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harts/chartEx1.xml" ContentType="application/vnd.ms-office.chartex+xml"/>
  <Override PartName="/xl/charts/style14.xml" ContentType="application/vnd.ms-office.chartstyle+xml"/>
  <Override PartName="/xl/charts/colors14.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8.xml" ContentType="application/vnd.openxmlformats-officedocument.spreadsheetml.pivotTable+xml"/>
  <Override PartName="/xl/comments6.xml" ContentType="application/vnd.openxmlformats-officedocument.spreadsheetml.comment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5367BDAF-6994-4392-98E0-96495A6F8899}" xr6:coauthVersionLast="47" xr6:coauthVersionMax="47" xr10:uidLastSave="{00000000-0000-0000-0000-000000000000}"/>
  <bookViews>
    <workbookView xWindow="-110" yWindow="-110" windowWidth="19420" windowHeight="11020" tabRatio="796" activeTab="9" xr2:uid="{370AC86C-7BA2-4445-934E-136C2E64468E}"/>
  </bookViews>
  <sheets>
    <sheet name="Data Sources" sheetId="4" r:id="rId1"/>
    <sheet name="Funding Delivery Channel" sheetId="18" r:id="rId2"/>
    <sheet name="Dashboard" sheetId="28" r:id="rId3"/>
    <sheet name="Global DB" sheetId="46" r:id="rId4"/>
    <sheet name="Regional DB" sheetId="47" r:id="rId5"/>
    <sheet name="Summary" sheetId="6" r:id="rId6"/>
    <sheet name="Matrix Allocations" sheetId="9" r:id="rId7"/>
    <sheet name="CDS Needs-based" sheetId="43" state="hidden" r:id="rId8"/>
    <sheet name="Sheet2" sheetId="21" r:id="rId9"/>
    <sheet name="Data Structure" sheetId="44" r:id="rId10"/>
    <sheet name="Regional Pivot" sheetId="41" r:id="rId11"/>
    <sheet name="DFAT" sheetId="17" r:id="rId12"/>
    <sheet name="Matrix" sheetId="1" r:id="rId13"/>
    <sheet name="Delivery Table" sheetId="10" state="hidden" r:id="rId14"/>
    <sheet name="ADB Projects" sheetId="12" r:id="rId15"/>
    <sheet name="Reference" sheetId="36" r:id="rId16"/>
    <sheet name="IsDB Projects" sheetId="8" r:id="rId17"/>
    <sheet name="USAID" sheetId="38" r:id="rId18"/>
    <sheet name="Primary Delivery Channel" sheetId="19" r:id="rId19"/>
    <sheet name="WB projects data" sheetId="13" r:id="rId20"/>
    <sheet name="WB pijects overview" sheetId="16" state="hidden" r:id="rId21"/>
    <sheet name="WB Approved projects" sheetId="5" state="hidden" r:id="rId22"/>
    <sheet name="PID" sheetId="15" state="hidden" r:id="rId23"/>
    <sheet name="WB Financing Data" sheetId="23" r:id="rId24"/>
    <sheet name="IDB C19 Vaccine Projects" sheetId="25" r:id="rId25"/>
    <sheet name="GAVI CCE" sheetId="26" r:id="rId26"/>
    <sheet name="CDS EAW" sheetId="32" r:id="rId27"/>
    <sheet name="CDS early access ceilings" sheetId="24" state="hidden" r:id="rId28"/>
    <sheet name="Vaccines donations" sheetId="14" state="hidden" r:id="rId29"/>
    <sheet name="CDS NBW" sheetId="50" r:id="rId30"/>
    <sheet name="UNICEF-BMZ" sheetId="39" r:id="rId31"/>
    <sheet name="DB(3) Pivots" sheetId="49" r:id="rId32"/>
    <sheet name="DB(1) Pivots" sheetId="45" r:id="rId33"/>
    <sheet name="DB(2) Pivots" sheetId="48" state="hidden" r:id="rId34"/>
    <sheet name="Country Ref" sheetId="40" state="hidden" r:id="rId35"/>
    <sheet name="BMGF_clean data" sheetId="33" r:id="rId36"/>
    <sheet name="Unallocated Funding" sheetId="34" r:id="rId37"/>
  </sheets>
  <externalReferences>
    <externalReference r:id="rId38"/>
    <externalReference r:id="rId39"/>
    <externalReference r:id="rId40"/>
    <externalReference r:id="rId41"/>
    <externalReference r:id="rId42"/>
    <externalReference r:id="rId43"/>
    <externalReference r:id="rId44"/>
  </externalReferences>
  <definedNames>
    <definedName name="_xlnm._FilterDatabase" localSheetId="14" hidden="1">'ADB Projects'!$A$4:$W$21</definedName>
    <definedName name="_xlnm._FilterDatabase" localSheetId="9" hidden="1">'Data Structure'!$P$2:$P$5371</definedName>
    <definedName name="_xlnm._FilterDatabase" localSheetId="13" hidden="1">'Delivery Table'!$A$1:$N$14</definedName>
    <definedName name="_xlnm._FilterDatabase" localSheetId="12" hidden="1">Matrix!$A$1:$Y$150</definedName>
    <definedName name="_xlnm._FilterDatabase" localSheetId="6" hidden="1">'Matrix Allocations'!$A$3:$CI$156</definedName>
    <definedName name="_xlnm._FilterDatabase" localSheetId="30" hidden="1">'UNICEF-BMZ'!$A$1:$H$196</definedName>
    <definedName name="_xlnm._FilterDatabase" localSheetId="17" hidden="1">USAID!$A$2:$E$151</definedName>
    <definedName name="_xlnm._FilterDatabase" localSheetId="21" hidden="1">'WB Approved projects'!$B$5:$P$143</definedName>
    <definedName name="_xlnm._FilterDatabase" localSheetId="23" hidden="1">'WB Financing Data'!$B$3:$FD$72</definedName>
    <definedName name="_xlnm._FilterDatabase" localSheetId="19" hidden="1">'WB projects data'!$A$4:$S$84</definedName>
    <definedName name="_xlchart.v1.0" hidden="1">'WB pijects overview'!$B$3:$B$6</definedName>
    <definedName name="_xlchart.v1.1" hidden="1">'WB pijects overview'!$C$3:$C$6</definedName>
    <definedName name="Active">#REF!</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Allocations'!$E$4:$E$152</definedName>
    <definedName name="annual">[1]Attendance!#REF!</definedName>
    <definedName name="annual123">[1]Attendance!#REF!</definedName>
    <definedName name="attend">[1]Attendance!#REF!</definedName>
    <definedName name="attend1">[1]Attendance!#REF!</definedName>
    <definedName name="attend123">[1]Attendance!#REF!</definedName>
    <definedName name="attend3">[1]Attendance!#REF!</definedName>
    <definedName name="attendance">[1]Attendance!#REF!</definedName>
    <definedName name="attendrec">[1]Attendance!#REF!</definedName>
    <definedName name="ausiso">DFAT!$B$4:$B$21</definedName>
    <definedName name="ausvd">DFAT!$K$3:$K$21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udA" localSheetId="34">[2]Reference!$B$2</definedName>
    <definedName name="BudA">Reference!$B$2</definedName>
    <definedName name="cceiso">'GAVI CCE'!$A$3:$A$95</definedName>
    <definedName name="ccevd">'GAVI CCE'!$F$3:$F$95</definedName>
    <definedName name="cdcvd">'Matrix Allocations'!$BR$4:$BR$152</definedName>
    <definedName name="cdsa">Table14[Admin (Clean)]</definedName>
    <definedName name="cdsd">'CDS EAW'!$J$2:$J$84</definedName>
    <definedName name="cdsiso">Table14[ISO Code]</definedName>
    <definedName name="cdsstat">Table14[Status (clean)]</definedName>
    <definedName name="cdsuni">Table14[Funds Channelled through UNICEF]</definedName>
    <definedName name="cdsvd">'CDS EAW'!$H$2:$H$84</definedName>
    <definedName name="closed">#REF!</definedName>
    <definedName name="contract">#REF!</definedName>
    <definedName name="contract1">'[1]Open Contracts'!#REF!</definedName>
    <definedName name="czevd">'Matrix Allocations'!$BM$4:$BM$152</definedName>
    <definedName name="DATA">'Data Structure'!$A$2:$X$6000</definedName>
    <definedName name="dateover">#REF!</definedName>
    <definedName name="debtd">'Matrix Allocations'!$P$4:$P$152</definedName>
    <definedName name="echovd">'Matrix Allocations'!$BS$4:$BS$152</definedName>
    <definedName name="elmavd">'Matrix Allocations'!$AV$4:$AV$152</definedName>
    <definedName name="ExternalData_1" localSheetId="24" hidden="1">'IDB C19 Vaccine Projects'!$B$1:$K$16</definedName>
    <definedName name="gaavd">'Matrix Allocations'!$BT$4:$BT$152</definedName>
    <definedName name="gbfvd">'Matrix Allocations'!$AU$4:$AU$152</definedName>
    <definedName name="GGHE">'Matrix Allocations'!$S$4:$S$152</definedName>
    <definedName name="goff">'Matrix Allocations'!$BU$4:$BU$152</definedName>
    <definedName name="gtauvd">'Matrix Allocations'!$BA$4:$BA$152</definedName>
    <definedName name="gtawvd">'Matrix Allocations'!$BB$4:$BB$152</definedName>
    <definedName name="health1">[1]Attendance!#REF!</definedName>
    <definedName name="health11">[1]Attendance!#REF!</definedName>
    <definedName name="heapd">[1]KPI!#REF!</definedName>
    <definedName name="home">[1]Attendance!#REF!</definedName>
    <definedName name="home123">[1]Attendance!#REF!</definedName>
    <definedName name="idbiso">'IDB C19 Vaccine Projects'!$O$4:$O$12</definedName>
    <definedName name="idbvd">'IDB C19 Vaccine Projects'!$Q$4:$Q$12</definedName>
    <definedName name="idbvp">'IDB C19 Vaccine Projects'!$P$4:$P$12</definedName>
    <definedName name="IG">'Matrix Allocations'!$D$4:$D$152</definedName>
    <definedName name="isdbiso">'IsDB Projects'!$A$5:$A$13</definedName>
    <definedName name="isdbvp">'IsDB Projects'!$D$5:$D$13</definedName>
    <definedName name="jicavd">'Matrix Allocations'!$AW$4:$AW$152</definedName>
    <definedName name="jmofavd">'Matrix Allocations'!$AY$4:$AY$152</definedName>
    <definedName name="leavean">[1]Attendance!#REF!</definedName>
    <definedName name="leavehome">[1]Attendance!#REF!</definedName>
    <definedName name="norvd">'Matrix Allocations'!$BN$4:$BN$152</definedName>
    <definedName name="nzvd">'Matrix Allocations'!$BD$4:$BD$152</definedName>
    <definedName name="opdvd">'Matrix Allocations'!$BO$4:$BO$152</definedName>
    <definedName name="overdue">#REF!</definedName>
    <definedName name="pdhea">[1]Attendance!#REF!</definedName>
    <definedName name="pdhea1">[1]Attendance!#REF!</definedName>
    <definedName name="pdheasm">'[1]Health SM list'!$B$2:$D$344</definedName>
    <definedName name="popiso">'Country Ref'!$A$3:$A$151</definedName>
    <definedName name="refiso">'Matrix Allocations'!$A$4:$A$152</definedName>
    <definedName name="region">'Matrix Allocations'!$C$4:$C$152</definedName>
    <definedName name="rokvd">'Matrix Allocations'!$BL$4:$BL$152</definedName>
    <definedName name="Slicer_Income_Group">#N/A</definedName>
    <definedName name="Slicer_MDB_Delivery_Funding">#N/A</definedName>
    <definedName name="Slicer_Region">#N/A</definedName>
    <definedName name="Slicer_Region1">#N/A</definedName>
    <definedName name="Slicer_Region2">#N/A</definedName>
    <definedName name="Slicer_Self_financing___AMC">#N/A</definedName>
    <definedName name="staff1">[1]Attendance!#REF!</definedName>
    <definedName name="staffdata">[3]Sheet1!$B$2:$D$212</definedName>
    <definedName name="Status">#REF!</definedName>
    <definedName name="Status2">#REF!</definedName>
    <definedName name="tpop">'Country Ref'!$F$3:$F$151</definedName>
    <definedName name="unallocated">[1]KPI!#REF!</definedName>
    <definedName name="UNICEF">#REF!</definedName>
    <definedName name="UNICEF2">#REF!</definedName>
    <definedName name="univd">'Matrix Allocations'!$AZ$4:$AZ$152</definedName>
    <definedName name="usiso">USAID!$A$3:$A$151</definedName>
    <definedName name="usvd">USAID!$C$3:$C$151</definedName>
    <definedName name="usvdhac">USAID!$D$3:$D$151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YesNo">#REF!</definedName>
    <definedName name="YesNoClose">#REF!</definedName>
  </definedNames>
  <calcPr calcId="191028"/>
  <pivotCaches>
    <pivotCache cacheId="0" r:id="rId45"/>
    <pivotCache cacheId="1" r:id="rId46"/>
    <pivotCache cacheId="2" r:id="rId47"/>
    <pivotCache cacheId="3" r:id="rId48"/>
    <pivotCache cacheId="4" r:id="rId49"/>
  </pivotCaches>
  <extLst>
    <ext xmlns:x14="http://schemas.microsoft.com/office/spreadsheetml/2009/9/main" uri="{BBE1A952-AA13-448e-AADC-164F8A28A991}">
      <x14:slicerCaches>
        <x14:slicerCache r:id="rId50"/>
        <x14:slicerCache r:id="rId51"/>
        <x14:slicerCache r:id="rId52"/>
        <x14:slicerCache r:id="rId53"/>
        <x14:slicerCache r:id="rId54"/>
        <x14:slicerCache r:id="rId5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50" i="9" l="1"/>
  <c r="AZ131" i="9"/>
  <c r="AZ152" i="9"/>
  <c r="AZ151" i="9"/>
  <c r="AZ150" i="9"/>
  <c r="AZ149" i="9"/>
  <c r="AZ148" i="9"/>
  <c r="AZ147" i="9"/>
  <c r="AZ146" i="9"/>
  <c r="AZ145" i="9"/>
  <c r="AZ144" i="9"/>
  <c r="AZ143" i="9"/>
  <c r="AZ142" i="9"/>
  <c r="AZ141" i="9"/>
  <c r="AZ140" i="9"/>
  <c r="AZ139" i="9"/>
  <c r="AZ138" i="9"/>
  <c r="AZ137" i="9"/>
  <c r="AZ136" i="9"/>
  <c r="AZ135" i="9"/>
  <c r="AZ134" i="9"/>
  <c r="AZ133" i="9"/>
  <c r="AZ132" i="9"/>
  <c r="AZ130" i="9"/>
  <c r="AZ129" i="9"/>
  <c r="AZ128" i="9"/>
  <c r="AZ127" i="9"/>
  <c r="AZ126" i="9"/>
  <c r="AZ125" i="9"/>
  <c r="AZ124" i="9"/>
  <c r="AZ123" i="9"/>
  <c r="AZ122" i="9"/>
  <c r="AZ121" i="9"/>
  <c r="AZ120" i="9"/>
  <c r="AZ119" i="9"/>
  <c r="AZ118" i="9"/>
  <c r="AZ117" i="9"/>
  <c r="AZ116" i="9"/>
  <c r="AZ115" i="9"/>
  <c r="AZ114" i="9"/>
  <c r="AZ113" i="9"/>
  <c r="AZ112" i="9"/>
  <c r="AZ111" i="9"/>
  <c r="AZ110" i="9"/>
  <c r="AZ109" i="9"/>
  <c r="AZ108" i="9"/>
  <c r="AZ107" i="9"/>
  <c r="AZ106" i="9"/>
  <c r="AZ105" i="9"/>
  <c r="AZ104" i="9"/>
  <c r="AZ103" i="9"/>
  <c r="AZ102" i="9"/>
  <c r="AZ101" i="9"/>
  <c r="AZ100" i="9"/>
  <c r="AZ99" i="9"/>
  <c r="AZ98" i="9"/>
  <c r="AZ97" i="9"/>
  <c r="AZ96" i="9"/>
  <c r="AZ95" i="9"/>
  <c r="AZ94" i="9"/>
  <c r="AZ93" i="9"/>
  <c r="AZ92" i="9"/>
  <c r="AZ91" i="9"/>
  <c r="AZ90" i="9"/>
  <c r="AZ89" i="9"/>
  <c r="AZ88" i="9"/>
  <c r="AZ87" i="9"/>
  <c r="AZ86" i="9"/>
  <c r="AZ85" i="9"/>
  <c r="AZ84" i="9"/>
  <c r="AZ83" i="9"/>
  <c r="AZ82" i="9"/>
  <c r="AZ81" i="9"/>
  <c r="AZ80" i="9"/>
  <c r="AZ79" i="9"/>
  <c r="AZ78" i="9"/>
  <c r="AZ77" i="9"/>
  <c r="AZ76" i="9"/>
  <c r="AZ75" i="9"/>
  <c r="AZ74" i="9"/>
  <c r="AZ73" i="9"/>
  <c r="AZ72" i="9"/>
  <c r="AZ71" i="9"/>
  <c r="AZ70" i="9"/>
  <c r="AZ69" i="9"/>
  <c r="AZ68" i="9"/>
  <c r="AZ67" i="9"/>
  <c r="AZ66" i="9"/>
  <c r="AZ65" i="9"/>
  <c r="AZ64" i="9"/>
  <c r="AZ63" i="9"/>
  <c r="AZ62" i="9"/>
  <c r="AZ61" i="9"/>
  <c r="AZ60" i="9"/>
  <c r="AZ59" i="9"/>
  <c r="AZ58" i="9"/>
  <c r="AZ57" i="9"/>
  <c r="AZ56" i="9"/>
  <c r="AZ55" i="9"/>
  <c r="AZ54" i="9"/>
  <c r="AZ53" i="9"/>
  <c r="AZ52" i="9"/>
  <c r="AZ51" i="9"/>
  <c r="AZ50" i="9"/>
  <c r="AZ49" i="9"/>
  <c r="AZ48" i="9"/>
  <c r="AZ47" i="9"/>
  <c r="AZ46" i="9"/>
  <c r="AZ45" i="9"/>
  <c r="AZ44" i="9"/>
  <c r="AZ43" i="9"/>
  <c r="AZ42" i="9"/>
  <c r="AZ41" i="9"/>
  <c r="AZ40" i="9"/>
  <c r="AZ39" i="9"/>
  <c r="AZ38" i="9"/>
  <c r="AZ37" i="9"/>
  <c r="AZ36" i="9"/>
  <c r="AZ35" i="9"/>
  <c r="AZ34" i="9"/>
  <c r="AZ33" i="9"/>
  <c r="AZ32" i="9"/>
  <c r="AZ31" i="9"/>
  <c r="AZ30" i="9"/>
  <c r="AZ29" i="9"/>
  <c r="AZ28" i="9"/>
  <c r="AZ27" i="9"/>
  <c r="AZ26" i="9"/>
  <c r="AZ25" i="9"/>
  <c r="AZ24" i="9"/>
  <c r="AZ23" i="9"/>
  <c r="AZ22" i="9"/>
  <c r="AZ21" i="9"/>
  <c r="AZ20" i="9"/>
  <c r="AZ19" i="9"/>
  <c r="AZ18" i="9"/>
  <c r="AZ17" i="9"/>
  <c r="AZ16" i="9"/>
  <c r="AZ15" i="9"/>
  <c r="AZ14" i="9"/>
  <c r="AZ13" i="9"/>
  <c r="AZ12" i="9"/>
  <c r="AZ11" i="9"/>
  <c r="AZ10" i="9"/>
  <c r="AZ9" i="9"/>
  <c r="AZ8" i="9"/>
  <c r="AZ7" i="9"/>
  <c r="AZ6" i="9"/>
  <c r="AZ5" i="9"/>
  <c r="AZ4" i="9"/>
  <c r="A84" i="23" l="1"/>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N86" i="23" s="1"/>
  <c r="J86" i="23"/>
  <c r="M86" i="23"/>
  <c r="L86" i="23"/>
  <c r="H86" i="23"/>
  <c r="F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BK152" i="9"/>
  <c r="BK151" i="9"/>
  <c r="BK150" i="9"/>
  <c r="BK149" i="9"/>
  <c r="BK148" i="9"/>
  <c r="BK146" i="9"/>
  <c r="BK145" i="9"/>
  <c r="BK143" i="9"/>
  <c r="BK141" i="9"/>
  <c r="BK140" i="9"/>
  <c r="BK138" i="9"/>
  <c r="BK136" i="9"/>
  <c r="BK135" i="9"/>
  <c r="BK134" i="9"/>
  <c r="BK133" i="9"/>
  <c r="BK132" i="9"/>
  <c r="BK130" i="9"/>
  <c r="BK129" i="9"/>
  <c r="BK126" i="9"/>
  <c r="BK125" i="9"/>
  <c r="BK123" i="9"/>
  <c r="BK122" i="9"/>
  <c r="BK120" i="9"/>
  <c r="BK118" i="9"/>
  <c r="BK117" i="9"/>
  <c r="BK116" i="9"/>
  <c r="BK115" i="9"/>
  <c r="BK114" i="9"/>
  <c r="BK113" i="9"/>
  <c r="BK112" i="9"/>
  <c r="BK111" i="9"/>
  <c r="BK110" i="9"/>
  <c r="BK108" i="9"/>
  <c r="BK107" i="9"/>
  <c r="BK106" i="9"/>
  <c r="BK105" i="9"/>
  <c r="BK104" i="9"/>
  <c r="BK103" i="9"/>
  <c r="BK102" i="9"/>
  <c r="BK99" i="9"/>
  <c r="BK98" i="9"/>
  <c r="BK97" i="9"/>
  <c r="BK96" i="9"/>
  <c r="BK95" i="9"/>
  <c r="BK94" i="9"/>
  <c r="BK92" i="9"/>
  <c r="BK88" i="9"/>
  <c r="BK87" i="9"/>
  <c r="BK85" i="9"/>
  <c r="BK84" i="9"/>
  <c r="BK82" i="9"/>
  <c r="BK80" i="9"/>
  <c r="BK79" i="9"/>
  <c r="BK78" i="9"/>
  <c r="BK77" i="9"/>
  <c r="BK76" i="9"/>
  <c r="BK75" i="9"/>
  <c r="BK74" i="9"/>
  <c r="BK72" i="9"/>
  <c r="BK71" i="9"/>
  <c r="BK69" i="9"/>
  <c r="BK68" i="9"/>
  <c r="BK67" i="9"/>
  <c r="BK66" i="9"/>
  <c r="BK65" i="9"/>
  <c r="BK64" i="9"/>
  <c r="BK63" i="9"/>
  <c r="BK61" i="9"/>
  <c r="BK59" i="9"/>
  <c r="BK58" i="9"/>
  <c r="BK57" i="9"/>
  <c r="BK54" i="9"/>
  <c r="BK53" i="9"/>
  <c r="BK52" i="9"/>
  <c r="BK50" i="9"/>
  <c r="BK49" i="9"/>
  <c r="BK48" i="9"/>
  <c r="BK47" i="9"/>
  <c r="BK44" i="9"/>
  <c r="BK43" i="9"/>
  <c r="BK41" i="9"/>
  <c r="BK40" i="9"/>
  <c r="BK39" i="9"/>
  <c r="BK38" i="9"/>
  <c r="BK37" i="9"/>
  <c r="BK36" i="9"/>
  <c r="BK35" i="9"/>
  <c r="BK33" i="9"/>
  <c r="BK32" i="9"/>
  <c r="BK31" i="9"/>
  <c r="BK30" i="9"/>
  <c r="BK29" i="9"/>
  <c r="BK28" i="9"/>
  <c r="BK27" i="9"/>
  <c r="BK26" i="9"/>
  <c r="BK24" i="9"/>
  <c r="BK23" i="9"/>
  <c r="BK22" i="9"/>
  <c r="BK21" i="9"/>
  <c r="BK20" i="9"/>
  <c r="BK19" i="9"/>
  <c r="BK16" i="9"/>
  <c r="BK15" i="9"/>
  <c r="BK14" i="9"/>
  <c r="BK13" i="9"/>
  <c r="BK12" i="9"/>
  <c r="BK11" i="9"/>
  <c r="BK10" i="9"/>
  <c r="BK9" i="9"/>
  <c r="BK8" i="9"/>
  <c r="BK7" i="9"/>
  <c r="BK5" i="9"/>
  <c r="BK4" i="9"/>
  <c r="J39" i="50"/>
  <c r="BK147" i="9" s="1"/>
  <c r="J38" i="50"/>
  <c r="BK144" i="9" s="1"/>
  <c r="J37" i="50"/>
  <c r="BK142" i="9" s="1"/>
  <c r="J36" i="50"/>
  <c r="BK139" i="9" s="1"/>
  <c r="J35" i="50"/>
  <c r="BK137" i="9" s="1"/>
  <c r="J34" i="50"/>
  <c r="BK131" i="9" s="1"/>
  <c r="J33" i="50"/>
  <c r="BK124" i="9" s="1"/>
  <c r="J32" i="50"/>
  <c r="J31" i="50"/>
  <c r="BK121" i="9" s="1"/>
  <c r="J30" i="50"/>
  <c r="BK119" i="9" s="1"/>
  <c r="J29" i="50"/>
  <c r="BK127" i="9" s="1"/>
  <c r="J28" i="50"/>
  <c r="BK90" i="9" s="1"/>
  <c r="J27" i="50"/>
  <c r="BK109" i="9" s="1"/>
  <c r="J26" i="50"/>
  <c r="BK128" i="9" s="1"/>
  <c r="J25" i="50"/>
  <c r="BK101" i="9" s="1"/>
  <c r="J24" i="50"/>
  <c r="BK100" i="9" s="1"/>
  <c r="J23" i="50"/>
  <c r="BK93" i="9" s="1"/>
  <c r="J22" i="50"/>
  <c r="BK91" i="9" s="1"/>
  <c r="J21" i="50"/>
  <c r="BK89" i="9" s="1"/>
  <c r="J20" i="50"/>
  <c r="BK86" i="9" s="1"/>
  <c r="J19" i="50"/>
  <c r="BK83" i="9" s="1"/>
  <c r="J18" i="50"/>
  <c r="BK81" i="9" s="1"/>
  <c r="J17" i="50"/>
  <c r="BK73" i="9" s="1"/>
  <c r="J16" i="50"/>
  <c r="BK70" i="9" s="1"/>
  <c r="J15" i="50"/>
  <c r="BK62" i="9" s="1"/>
  <c r="J14" i="50"/>
  <c r="BK60" i="9" s="1"/>
  <c r="J13" i="50"/>
  <c r="BK56" i="9" s="1"/>
  <c r="J12" i="50"/>
  <c r="BK55" i="9" s="1"/>
  <c r="J11" i="50"/>
  <c r="BK51" i="9" s="1"/>
  <c r="J10" i="50"/>
  <c r="J9" i="50"/>
  <c r="BK46" i="9" s="1"/>
  <c r="J8" i="50"/>
  <c r="BK45" i="9" s="1"/>
  <c r="J7" i="50"/>
  <c r="BK42" i="9" s="1"/>
  <c r="J6" i="50"/>
  <c r="BK34" i="9" s="1"/>
  <c r="J5" i="50"/>
  <c r="BK25" i="9" s="1"/>
  <c r="J4" i="50"/>
  <c r="BK18" i="9" s="1"/>
  <c r="J3" i="50"/>
  <c r="BK17" i="9" s="1"/>
  <c r="J2" i="50"/>
  <c r="BK6" i="9" s="1"/>
  <c r="BJ4" i="9"/>
  <c r="BJ152" i="9"/>
  <c r="BJ151" i="9"/>
  <c r="BJ150" i="9"/>
  <c r="BJ149" i="9"/>
  <c r="BJ148" i="9"/>
  <c r="BJ146" i="9"/>
  <c r="BJ145" i="9"/>
  <c r="BJ143" i="9"/>
  <c r="BJ141" i="9"/>
  <c r="BJ140" i="9"/>
  <c r="BJ138" i="9"/>
  <c r="BJ136" i="9"/>
  <c r="BJ135" i="9"/>
  <c r="BJ134" i="9"/>
  <c r="BJ133" i="9"/>
  <c r="BJ132" i="9"/>
  <c r="BJ130" i="9"/>
  <c r="BJ129" i="9"/>
  <c r="BJ126" i="9"/>
  <c r="BJ125" i="9"/>
  <c r="BJ123" i="9"/>
  <c r="BJ122" i="9"/>
  <c r="BJ120" i="9"/>
  <c r="BJ118" i="9"/>
  <c r="BJ117" i="9"/>
  <c r="BJ116" i="9"/>
  <c r="BJ115" i="9"/>
  <c r="BJ114" i="9"/>
  <c r="BJ113" i="9"/>
  <c r="BJ112" i="9"/>
  <c r="BJ111" i="9"/>
  <c r="BJ110" i="9"/>
  <c r="BJ108" i="9"/>
  <c r="BJ107" i="9"/>
  <c r="BJ106" i="9"/>
  <c r="BJ105" i="9"/>
  <c r="BJ104" i="9"/>
  <c r="BJ103" i="9"/>
  <c r="BJ102" i="9"/>
  <c r="BJ99" i="9"/>
  <c r="BJ98" i="9"/>
  <c r="BJ97" i="9"/>
  <c r="BJ96" i="9"/>
  <c r="BJ95" i="9"/>
  <c r="BJ94" i="9"/>
  <c r="BJ92" i="9"/>
  <c r="BJ88" i="9"/>
  <c r="BJ87" i="9"/>
  <c r="BJ85" i="9"/>
  <c r="BJ84" i="9"/>
  <c r="BJ82" i="9"/>
  <c r="BJ80" i="9"/>
  <c r="BJ79" i="9"/>
  <c r="BJ78" i="9"/>
  <c r="BJ77" i="9"/>
  <c r="BJ76" i="9"/>
  <c r="BJ75" i="9"/>
  <c r="BJ74" i="9"/>
  <c r="BJ72" i="9"/>
  <c r="BJ71" i="9"/>
  <c r="BJ69" i="9"/>
  <c r="BJ68" i="9"/>
  <c r="BJ67" i="9"/>
  <c r="BJ66" i="9"/>
  <c r="BJ65" i="9"/>
  <c r="BJ64" i="9"/>
  <c r="BJ63" i="9"/>
  <c r="BJ61" i="9"/>
  <c r="BJ59" i="9"/>
  <c r="BJ58" i="9"/>
  <c r="BJ57" i="9"/>
  <c r="BJ54" i="9"/>
  <c r="BJ53" i="9"/>
  <c r="BJ52" i="9"/>
  <c r="BJ50" i="9"/>
  <c r="BJ48" i="9"/>
  <c r="BJ47" i="9"/>
  <c r="BJ44" i="9"/>
  <c r="BJ43" i="9"/>
  <c r="BJ41" i="9"/>
  <c r="BJ40" i="9"/>
  <c r="BJ39" i="9"/>
  <c r="BJ38" i="9"/>
  <c r="BJ37" i="9"/>
  <c r="BJ36" i="9"/>
  <c r="BJ35" i="9"/>
  <c r="BJ33" i="9"/>
  <c r="BJ32" i="9"/>
  <c r="BJ31" i="9"/>
  <c r="BJ30" i="9"/>
  <c r="BJ29" i="9"/>
  <c r="BJ28" i="9"/>
  <c r="BJ27" i="9"/>
  <c r="BJ26" i="9"/>
  <c r="BJ24" i="9"/>
  <c r="BJ23" i="9"/>
  <c r="BJ22" i="9"/>
  <c r="BJ21" i="9"/>
  <c r="BJ20" i="9"/>
  <c r="BJ19" i="9"/>
  <c r="BJ16" i="9"/>
  <c r="BJ15" i="9"/>
  <c r="BJ14" i="9"/>
  <c r="BJ13" i="9"/>
  <c r="BJ12" i="9"/>
  <c r="BJ11" i="9"/>
  <c r="BJ10" i="9"/>
  <c r="BJ9" i="9"/>
  <c r="BJ8" i="9"/>
  <c r="BJ7" i="9"/>
  <c r="BJ5" i="9"/>
  <c r="I39" i="50"/>
  <c r="BJ147" i="9" s="1"/>
  <c r="I38" i="50"/>
  <c r="BJ144" i="9" s="1"/>
  <c r="I37" i="50"/>
  <c r="BJ142" i="9" s="1"/>
  <c r="I36" i="50"/>
  <c r="BJ139" i="9" s="1"/>
  <c r="I35" i="50"/>
  <c r="BJ137" i="9" s="1"/>
  <c r="I34" i="50"/>
  <c r="BJ131" i="9" s="1"/>
  <c r="I33" i="50"/>
  <c r="BJ124" i="9" s="1"/>
  <c r="I32" i="50"/>
  <c r="I31" i="50"/>
  <c r="BJ121" i="9" s="1"/>
  <c r="I30" i="50"/>
  <c r="BJ119" i="9" s="1"/>
  <c r="I29" i="50"/>
  <c r="BJ127" i="9" s="1"/>
  <c r="I28" i="50"/>
  <c r="BJ90" i="9" s="1"/>
  <c r="I27" i="50"/>
  <c r="BJ109" i="9" s="1"/>
  <c r="I26" i="50"/>
  <c r="BJ128" i="9" s="1"/>
  <c r="I25" i="50"/>
  <c r="BJ101" i="9" s="1"/>
  <c r="I24" i="50"/>
  <c r="BJ100" i="9" s="1"/>
  <c r="I23" i="50"/>
  <c r="BJ93" i="9" s="1"/>
  <c r="I22" i="50"/>
  <c r="BJ91" i="9" s="1"/>
  <c r="I21" i="50"/>
  <c r="BJ89" i="9" s="1"/>
  <c r="I20" i="50"/>
  <c r="BJ86" i="9" s="1"/>
  <c r="I19" i="50"/>
  <c r="BJ83" i="9" s="1"/>
  <c r="I18" i="50"/>
  <c r="BJ81" i="9" s="1"/>
  <c r="I17" i="50"/>
  <c r="BJ73" i="9" s="1"/>
  <c r="I16" i="50"/>
  <c r="BJ70" i="9" s="1"/>
  <c r="I15" i="50"/>
  <c r="BJ62" i="9" s="1"/>
  <c r="I14" i="50"/>
  <c r="BJ60" i="9" s="1"/>
  <c r="I13" i="50"/>
  <c r="BJ56" i="9" s="1"/>
  <c r="I12" i="50"/>
  <c r="BJ55" i="9" s="1"/>
  <c r="I11" i="50"/>
  <c r="BJ51" i="9" s="1"/>
  <c r="I10" i="50"/>
  <c r="BJ49" i="9" s="1"/>
  <c r="I9" i="50"/>
  <c r="BJ46" i="9" s="1"/>
  <c r="I8" i="50"/>
  <c r="BJ45" i="9" s="1"/>
  <c r="I7" i="50"/>
  <c r="BJ42" i="9" s="1"/>
  <c r="I6" i="50"/>
  <c r="BJ34" i="9" s="1"/>
  <c r="I5" i="50"/>
  <c r="BJ25" i="9" s="1"/>
  <c r="I4" i="50"/>
  <c r="BJ18" i="9" s="1"/>
  <c r="I3" i="50"/>
  <c r="BJ17" i="9" s="1"/>
  <c r="I2" i="50"/>
  <c r="BJ6" i="9" s="1"/>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50" i="48"/>
  <c r="R12" i="47" s="1"/>
  <c r="D222" i="48"/>
  <c r="F20" i="47" s="1"/>
  <c r="C241" i="48"/>
  <c r="G43" i="47" s="1"/>
  <c r="C240" i="48"/>
  <c r="F43" i="47" s="1"/>
  <c r="D225" i="48"/>
  <c r="F26" i="47" s="1"/>
  <c r="D224" i="48"/>
  <c r="F24" i="47" s="1"/>
  <c r="D223" i="48"/>
  <c r="F22" i="47" s="1"/>
  <c r="G245" i="48"/>
  <c r="F245" i="48"/>
  <c r="E245" i="48"/>
  <c r="D245" i="48"/>
  <c r="C245" i="48"/>
  <c r="G15" i="47" s="1"/>
  <c r="A245" i="48"/>
  <c r="D12" i="47" s="1"/>
  <c r="D477" i="45"/>
  <c r="E477" i="45"/>
  <c r="F477" i="45"/>
  <c r="G477" i="45"/>
  <c r="H477" i="45"/>
  <c r="I477" i="45"/>
  <c r="D478" i="45"/>
  <c r="E478" i="45"/>
  <c r="F478" i="45"/>
  <c r="G478" i="45"/>
  <c r="H478" i="45"/>
  <c r="I478" i="45"/>
  <c r="C478" i="45"/>
  <c r="C477" i="45"/>
  <c r="D456" i="45"/>
  <c r="E57" i="46" s="1"/>
  <c r="D455" i="45"/>
  <c r="D57" i="46" s="1"/>
  <c r="D437" i="45"/>
  <c r="D440" i="45"/>
  <c r="D44" i="46" s="1"/>
  <c r="D439" i="45"/>
  <c r="D42" i="46" s="1"/>
  <c r="D438" i="45"/>
  <c r="D255" i="45"/>
  <c r="J27" i="46" s="1"/>
  <c r="A12" i="45"/>
  <c r="G8" i="46" s="1"/>
  <c r="D261" i="45"/>
  <c r="J33" i="46" s="1"/>
  <c r="D260" i="45"/>
  <c r="J32" i="46" s="1"/>
  <c r="D259" i="45"/>
  <c r="J31" i="46" s="1"/>
  <c r="D258" i="45"/>
  <c r="J30" i="46" s="1"/>
  <c r="D257" i="45"/>
  <c r="J29" i="46" s="1"/>
  <c r="D256" i="45"/>
  <c r="J28" i="46" s="1"/>
  <c r="E382" i="49"/>
  <c r="E381" i="49"/>
  <c r="E380" i="49"/>
  <c r="E379" i="49"/>
  <c r="E378" i="49"/>
  <c r="E377" i="49"/>
  <c r="C369" i="49"/>
  <c r="C368" i="49"/>
  <c r="C367" i="49"/>
  <c r="C366" i="49"/>
  <c r="C365" i="49"/>
  <c r="C364" i="49"/>
  <c r="C363" i="49"/>
  <c r="C352" i="49"/>
  <c r="C351" i="49"/>
  <c r="C350" i="49"/>
  <c r="C349" i="49"/>
  <c r="C348" i="49"/>
  <c r="C347" i="49"/>
  <c r="C346" i="49"/>
  <c r="H188" i="49"/>
  <c r="H189" i="49"/>
  <c r="H190" i="49"/>
  <c r="H191" i="49"/>
  <c r="H192" i="49"/>
  <c r="H193" i="49"/>
  <c r="H194" i="49"/>
  <c r="H195" i="49"/>
  <c r="H196" i="49"/>
  <c r="H197" i="49"/>
  <c r="H198" i="49"/>
  <c r="H199" i="49"/>
  <c r="H200" i="49"/>
  <c r="H201" i="49"/>
  <c r="H202" i="49"/>
  <c r="H203" i="49"/>
  <c r="H204" i="49"/>
  <c r="H205" i="49"/>
  <c r="H206" i="49"/>
  <c r="H207" i="49"/>
  <c r="H208" i="49"/>
  <c r="H209" i="49"/>
  <c r="H210" i="49"/>
  <c r="H211" i="49"/>
  <c r="H212" i="49"/>
  <c r="H213" i="49"/>
  <c r="H214" i="49"/>
  <c r="H215" i="49"/>
  <c r="H216" i="49"/>
  <c r="H217" i="49"/>
  <c r="H218" i="49"/>
  <c r="H219" i="49"/>
  <c r="H220" i="49"/>
  <c r="H221" i="49"/>
  <c r="H222" i="49"/>
  <c r="H223" i="49"/>
  <c r="H224" i="49"/>
  <c r="H225" i="49"/>
  <c r="H226" i="49"/>
  <c r="H227" i="49"/>
  <c r="H228" i="49"/>
  <c r="H229" i="49"/>
  <c r="H230" i="49"/>
  <c r="H231" i="49"/>
  <c r="H232" i="49"/>
  <c r="H233" i="49"/>
  <c r="H234" i="49"/>
  <c r="H235" i="49"/>
  <c r="H236" i="49"/>
  <c r="H237" i="49"/>
  <c r="H238" i="49"/>
  <c r="H239" i="49"/>
  <c r="H240" i="49"/>
  <c r="H241" i="49"/>
  <c r="H242" i="49"/>
  <c r="H243" i="49"/>
  <c r="H244" i="49"/>
  <c r="H245" i="49"/>
  <c r="H246" i="49"/>
  <c r="H247" i="49"/>
  <c r="H248" i="49"/>
  <c r="H249" i="49"/>
  <c r="H250" i="49"/>
  <c r="H251" i="49"/>
  <c r="H252" i="49"/>
  <c r="H253" i="49"/>
  <c r="H254" i="49"/>
  <c r="H255" i="49"/>
  <c r="H256" i="49"/>
  <c r="H257" i="49"/>
  <c r="H258" i="49"/>
  <c r="H259" i="49"/>
  <c r="H260" i="49"/>
  <c r="H261" i="49"/>
  <c r="H262" i="49"/>
  <c r="H263" i="49"/>
  <c r="H264" i="49"/>
  <c r="H265" i="49"/>
  <c r="H266" i="49"/>
  <c r="H267" i="49"/>
  <c r="H268" i="49"/>
  <c r="H269" i="49"/>
  <c r="H270" i="49"/>
  <c r="H271" i="49"/>
  <c r="H272" i="49"/>
  <c r="H273" i="49"/>
  <c r="H274" i="49"/>
  <c r="H275" i="49"/>
  <c r="H276" i="49"/>
  <c r="H277" i="49"/>
  <c r="H278" i="49"/>
  <c r="H279" i="49"/>
  <c r="H280" i="49"/>
  <c r="H281" i="49"/>
  <c r="H282" i="49"/>
  <c r="H283" i="49"/>
  <c r="H284" i="49"/>
  <c r="H285" i="49"/>
  <c r="H286" i="49"/>
  <c r="H287" i="49"/>
  <c r="H288" i="49"/>
  <c r="H289" i="49"/>
  <c r="H290" i="49"/>
  <c r="H291" i="49"/>
  <c r="H292" i="49"/>
  <c r="H293" i="49"/>
  <c r="H294" i="49"/>
  <c r="H295" i="49"/>
  <c r="H296" i="49"/>
  <c r="H297" i="49"/>
  <c r="H298" i="49"/>
  <c r="H299" i="49"/>
  <c r="H300" i="49"/>
  <c r="H301" i="49"/>
  <c r="H302" i="49"/>
  <c r="H303" i="49"/>
  <c r="H304" i="49"/>
  <c r="H305" i="49"/>
  <c r="H306" i="49"/>
  <c r="H307" i="49"/>
  <c r="H308" i="49"/>
  <c r="H309" i="49"/>
  <c r="H310" i="49"/>
  <c r="H311" i="49"/>
  <c r="H312" i="49"/>
  <c r="H313" i="49"/>
  <c r="H314" i="49"/>
  <c r="H315" i="49"/>
  <c r="H316" i="49"/>
  <c r="H317" i="49"/>
  <c r="H318" i="49"/>
  <c r="H319" i="49"/>
  <c r="H320" i="49"/>
  <c r="H321" i="49"/>
  <c r="H322" i="49"/>
  <c r="H187" i="49"/>
  <c r="G333" i="49"/>
  <c r="G332" i="49"/>
  <c r="G331" i="49"/>
  <c r="G330" i="49"/>
  <c r="G329" i="49"/>
  <c r="G328" i="49"/>
  <c r="G327" i="49"/>
  <c r="G326" i="49"/>
  <c r="G325" i="49"/>
  <c r="G324" i="49"/>
  <c r="G323" i="49"/>
  <c r="B18" i="49"/>
  <c r="D4" i="49"/>
  <c r="L42" i="49"/>
  <c r="L43" i="49"/>
  <c r="L44" i="49"/>
  <c r="L45" i="49"/>
  <c r="L46" i="49"/>
  <c r="L47" i="49"/>
  <c r="L48" i="49"/>
  <c r="L49" i="49"/>
  <c r="L50" i="49"/>
  <c r="L51" i="49"/>
  <c r="L52" i="49"/>
  <c r="L53" i="49"/>
  <c r="L54" i="49"/>
  <c r="L55" i="49"/>
  <c r="L56" i="49"/>
  <c r="L57" i="49"/>
  <c r="L58" i="49"/>
  <c r="L59" i="49"/>
  <c r="L60" i="49"/>
  <c r="L61" i="49"/>
  <c r="L62" i="49"/>
  <c r="L63" i="49"/>
  <c r="L64" i="49"/>
  <c r="L65" i="49"/>
  <c r="L66" i="49"/>
  <c r="L67" i="49"/>
  <c r="L68" i="49"/>
  <c r="L69" i="49"/>
  <c r="L70" i="49"/>
  <c r="L71" i="49"/>
  <c r="L72" i="49"/>
  <c r="L73" i="49"/>
  <c r="L74" i="49"/>
  <c r="L75" i="49"/>
  <c r="L76" i="49"/>
  <c r="L77" i="49"/>
  <c r="L78" i="49"/>
  <c r="L79" i="49"/>
  <c r="L80" i="49"/>
  <c r="L81" i="49"/>
  <c r="L82" i="49"/>
  <c r="L83" i="49"/>
  <c r="L84" i="49"/>
  <c r="L85" i="49"/>
  <c r="L86" i="49"/>
  <c r="L87" i="49"/>
  <c r="L88" i="49"/>
  <c r="L89" i="49"/>
  <c r="L90" i="49"/>
  <c r="L91" i="49"/>
  <c r="L92" i="49"/>
  <c r="L93" i="49"/>
  <c r="L94" i="49"/>
  <c r="L95" i="49"/>
  <c r="L96" i="49"/>
  <c r="L97" i="49"/>
  <c r="L98" i="49"/>
  <c r="L99" i="49"/>
  <c r="L100" i="49"/>
  <c r="L101" i="49"/>
  <c r="L102" i="49"/>
  <c r="L103" i="49"/>
  <c r="L104" i="49"/>
  <c r="L105" i="49"/>
  <c r="L106" i="49"/>
  <c r="L107" i="49"/>
  <c r="L108" i="49"/>
  <c r="L109" i="49"/>
  <c r="L110" i="49"/>
  <c r="L111" i="49"/>
  <c r="L112" i="49"/>
  <c r="L113" i="49"/>
  <c r="L114" i="49"/>
  <c r="L115" i="49"/>
  <c r="L116" i="49"/>
  <c r="L117" i="49"/>
  <c r="L118" i="49"/>
  <c r="L119" i="49"/>
  <c r="L120" i="49"/>
  <c r="L121" i="49"/>
  <c r="L122" i="49"/>
  <c r="L123" i="49"/>
  <c r="L124" i="49"/>
  <c r="L125" i="49"/>
  <c r="L126" i="49"/>
  <c r="L127" i="49"/>
  <c r="L128" i="49"/>
  <c r="L129" i="49"/>
  <c r="L130" i="49"/>
  <c r="L131" i="49"/>
  <c r="L132" i="49"/>
  <c r="L133" i="49"/>
  <c r="L134" i="49"/>
  <c r="L135" i="49"/>
  <c r="L136" i="49"/>
  <c r="L137" i="49"/>
  <c r="L138" i="49"/>
  <c r="L139" i="49"/>
  <c r="L140" i="49"/>
  <c r="L141" i="49"/>
  <c r="L142" i="49"/>
  <c r="L143" i="49"/>
  <c r="L144" i="49"/>
  <c r="L145" i="49"/>
  <c r="L146" i="49"/>
  <c r="L147" i="49"/>
  <c r="L148" i="49"/>
  <c r="L149" i="49"/>
  <c r="L150" i="49"/>
  <c r="L151" i="49"/>
  <c r="L152" i="49"/>
  <c r="L153" i="49"/>
  <c r="L154" i="49"/>
  <c r="L155" i="49"/>
  <c r="L156" i="49"/>
  <c r="L157" i="49"/>
  <c r="L158" i="49"/>
  <c r="L159" i="49"/>
  <c r="L160" i="49"/>
  <c r="L161" i="49"/>
  <c r="L162" i="49"/>
  <c r="L163" i="49"/>
  <c r="L164" i="49"/>
  <c r="L165" i="49"/>
  <c r="L166" i="49"/>
  <c r="L167" i="49"/>
  <c r="L168" i="49"/>
  <c r="L169" i="49"/>
  <c r="L170" i="49"/>
  <c r="L171" i="49"/>
  <c r="L172" i="49"/>
  <c r="L173" i="49"/>
  <c r="L174" i="49"/>
  <c r="L175" i="49"/>
  <c r="L176" i="49"/>
  <c r="L177" i="49"/>
  <c r="L178" i="49"/>
  <c r="L41" i="49"/>
  <c r="K41" i="49"/>
  <c r="K42" i="49"/>
  <c r="K43" i="49"/>
  <c r="K44" i="49"/>
  <c r="K45" i="49"/>
  <c r="K46" i="49"/>
  <c r="K47" i="49"/>
  <c r="K48" i="49"/>
  <c r="K49" i="49"/>
  <c r="K50" i="49"/>
  <c r="K51" i="49"/>
  <c r="K52" i="49"/>
  <c r="K53" i="49"/>
  <c r="K54" i="49"/>
  <c r="K55" i="49"/>
  <c r="K56" i="49"/>
  <c r="K57" i="49"/>
  <c r="K58" i="49"/>
  <c r="K59" i="49"/>
  <c r="K60" i="49"/>
  <c r="K61" i="49"/>
  <c r="K62" i="49"/>
  <c r="K63" i="49"/>
  <c r="K64" i="49"/>
  <c r="K65" i="49"/>
  <c r="K66" i="49"/>
  <c r="K67" i="49"/>
  <c r="K68" i="49"/>
  <c r="K69" i="49"/>
  <c r="K70" i="49"/>
  <c r="K71" i="49"/>
  <c r="K72" i="49"/>
  <c r="K73" i="49"/>
  <c r="K74" i="49"/>
  <c r="K75" i="49"/>
  <c r="K76" i="49"/>
  <c r="K77" i="49"/>
  <c r="K78" i="49"/>
  <c r="K79" i="49"/>
  <c r="K80" i="49"/>
  <c r="K81" i="49"/>
  <c r="K82" i="49"/>
  <c r="K83" i="49"/>
  <c r="K84" i="49"/>
  <c r="K85" i="49"/>
  <c r="K86" i="49"/>
  <c r="K87" i="49"/>
  <c r="K88" i="49"/>
  <c r="K89" i="49"/>
  <c r="K90" i="49"/>
  <c r="K91" i="49"/>
  <c r="K92" i="49"/>
  <c r="K93" i="49"/>
  <c r="K94" i="49"/>
  <c r="K95" i="49"/>
  <c r="K96" i="49"/>
  <c r="K97" i="49"/>
  <c r="K98" i="49"/>
  <c r="K99" i="49"/>
  <c r="K100" i="49"/>
  <c r="K101" i="49"/>
  <c r="K102" i="49"/>
  <c r="K103" i="49"/>
  <c r="K104" i="49"/>
  <c r="K105" i="49"/>
  <c r="K106" i="49"/>
  <c r="K107" i="49"/>
  <c r="K108" i="49"/>
  <c r="K109" i="49"/>
  <c r="K110" i="49"/>
  <c r="K111" i="49"/>
  <c r="K112" i="49"/>
  <c r="K113" i="49"/>
  <c r="K114" i="49"/>
  <c r="K115" i="49"/>
  <c r="K116" i="49"/>
  <c r="K117" i="49"/>
  <c r="K118" i="49"/>
  <c r="K119" i="49"/>
  <c r="K120" i="49"/>
  <c r="K121" i="49"/>
  <c r="K122" i="49"/>
  <c r="K123" i="49"/>
  <c r="K124" i="49"/>
  <c r="K125" i="49"/>
  <c r="K126" i="49"/>
  <c r="K127" i="49"/>
  <c r="K128" i="49"/>
  <c r="K129" i="49"/>
  <c r="K130" i="49"/>
  <c r="K131" i="49"/>
  <c r="K132" i="49"/>
  <c r="K133" i="49"/>
  <c r="K134" i="49"/>
  <c r="K135" i="49"/>
  <c r="K136" i="49"/>
  <c r="K137" i="49"/>
  <c r="K138" i="49"/>
  <c r="K139" i="49"/>
  <c r="K140" i="49"/>
  <c r="K141" i="49"/>
  <c r="K142" i="49"/>
  <c r="K143" i="49"/>
  <c r="K144" i="49"/>
  <c r="K145" i="49"/>
  <c r="K146" i="49"/>
  <c r="K147" i="49"/>
  <c r="K148" i="49"/>
  <c r="K149" i="49"/>
  <c r="K150" i="49"/>
  <c r="K151" i="49"/>
  <c r="K152" i="49"/>
  <c r="K153" i="49"/>
  <c r="K154" i="49"/>
  <c r="K155" i="49"/>
  <c r="K156" i="49"/>
  <c r="K157" i="49"/>
  <c r="K158" i="49"/>
  <c r="K159" i="49"/>
  <c r="K160" i="49"/>
  <c r="K161" i="49"/>
  <c r="K162" i="49"/>
  <c r="K163" i="49"/>
  <c r="K164" i="49"/>
  <c r="K165" i="49"/>
  <c r="K166" i="49"/>
  <c r="K167" i="49"/>
  <c r="K168" i="49"/>
  <c r="K169" i="49"/>
  <c r="K170" i="49"/>
  <c r="K171" i="49"/>
  <c r="K172" i="49"/>
  <c r="K173" i="49"/>
  <c r="K174" i="49"/>
  <c r="K175" i="49"/>
  <c r="K176" i="49"/>
  <c r="K177" i="49"/>
  <c r="K178" i="49"/>
  <c r="J178" i="49"/>
  <c r="J177" i="49"/>
  <c r="J176" i="49"/>
  <c r="J175" i="49"/>
  <c r="J174" i="49"/>
  <c r="J173" i="49"/>
  <c r="J172" i="49"/>
  <c r="J171" i="49"/>
  <c r="J170" i="49"/>
  <c r="J169" i="49"/>
  <c r="J168" i="49"/>
  <c r="J167" i="49"/>
  <c r="J166" i="49"/>
  <c r="J165" i="49"/>
  <c r="J164" i="49"/>
  <c r="J163" i="49"/>
  <c r="J162" i="49"/>
  <c r="J161" i="49"/>
  <c r="J160" i="49"/>
  <c r="J159" i="49"/>
  <c r="J158" i="49"/>
  <c r="J157" i="49"/>
  <c r="J156" i="49"/>
  <c r="J155" i="49"/>
  <c r="J154" i="49"/>
  <c r="J153" i="49"/>
  <c r="J152" i="49"/>
  <c r="J151" i="49"/>
  <c r="J150" i="49"/>
  <c r="J149" i="49"/>
  <c r="J148" i="49"/>
  <c r="J147" i="49"/>
  <c r="J146" i="49"/>
  <c r="J145" i="49"/>
  <c r="J144" i="49"/>
  <c r="J143" i="49"/>
  <c r="J142" i="49"/>
  <c r="J141" i="49"/>
  <c r="J140" i="49"/>
  <c r="J139" i="49"/>
  <c r="J138" i="49"/>
  <c r="J137" i="49"/>
  <c r="J136" i="49"/>
  <c r="J135" i="49"/>
  <c r="J134" i="49"/>
  <c r="J133" i="49"/>
  <c r="J132" i="49"/>
  <c r="J131" i="49"/>
  <c r="J130" i="49"/>
  <c r="J129" i="49"/>
  <c r="J128" i="49"/>
  <c r="J127" i="49"/>
  <c r="J126" i="49"/>
  <c r="J125" i="49"/>
  <c r="J124" i="49"/>
  <c r="J123" i="49"/>
  <c r="J122" i="49"/>
  <c r="J121" i="49"/>
  <c r="J120" i="49"/>
  <c r="J119" i="49"/>
  <c r="J118" i="49"/>
  <c r="J117" i="49"/>
  <c r="J116" i="49"/>
  <c r="J115" i="49"/>
  <c r="J114" i="49"/>
  <c r="J113" i="49"/>
  <c r="J112" i="49"/>
  <c r="J111" i="49"/>
  <c r="J110" i="49"/>
  <c r="J109" i="49"/>
  <c r="J108" i="49"/>
  <c r="J107" i="49"/>
  <c r="J106" i="49"/>
  <c r="J105" i="49"/>
  <c r="J104" i="49"/>
  <c r="J103" i="49"/>
  <c r="J102" i="49"/>
  <c r="J101" i="49"/>
  <c r="J100" i="49"/>
  <c r="J99" i="49"/>
  <c r="J98" i="49"/>
  <c r="J97" i="49"/>
  <c r="J96" i="49"/>
  <c r="J95" i="49"/>
  <c r="J94" i="49"/>
  <c r="J93" i="49"/>
  <c r="J92" i="49"/>
  <c r="J91" i="49"/>
  <c r="J90" i="49"/>
  <c r="J89" i="49"/>
  <c r="J88" i="49"/>
  <c r="J87" i="49"/>
  <c r="J86" i="49"/>
  <c r="J85" i="49"/>
  <c r="J84" i="49"/>
  <c r="J83" i="49"/>
  <c r="J82" i="49"/>
  <c r="J81" i="49"/>
  <c r="J80" i="49"/>
  <c r="J79" i="49"/>
  <c r="J78" i="49"/>
  <c r="J77" i="49"/>
  <c r="J76" i="49"/>
  <c r="J75" i="49"/>
  <c r="J74" i="49"/>
  <c r="J73" i="49"/>
  <c r="J72" i="49"/>
  <c r="J71" i="49"/>
  <c r="J70" i="49"/>
  <c r="J69" i="49"/>
  <c r="J68" i="49"/>
  <c r="J67" i="49"/>
  <c r="J66" i="49"/>
  <c r="J65" i="49"/>
  <c r="J64" i="49"/>
  <c r="J63" i="49"/>
  <c r="J62" i="49"/>
  <c r="J61" i="49"/>
  <c r="J60" i="49"/>
  <c r="J59" i="49"/>
  <c r="J58" i="49"/>
  <c r="J57" i="49"/>
  <c r="J56" i="49"/>
  <c r="J55" i="49"/>
  <c r="J54" i="49"/>
  <c r="J53" i="49"/>
  <c r="J52" i="49"/>
  <c r="J51" i="49"/>
  <c r="J50" i="49"/>
  <c r="J49" i="49"/>
  <c r="J48" i="49"/>
  <c r="J47" i="49"/>
  <c r="J46" i="49"/>
  <c r="J45" i="49"/>
  <c r="J44" i="49"/>
  <c r="J43" i="49"/>
  <c r="J42" i="49"/>
  <c r="J41" i="49"/>
  <c r="B21" i="49"/>
  <c r="B20" i="49"/>
  <c r="B19" i="49"/>
  <c r="B17" i="49"/>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D504" i="48"/>
  <c r="D503" i="48"/>
  <c r="D502" i="48"/>
  <c r="D501" i="48"/>
  <c r="D500" i="48"/>
  <c r="D499" i="48"/>
  <c r="D498" i="48"/>
  <c r="D497" i="48"/>
  <c r="D496" i="48"/>
  <c r="D495" i="48"/>
  <c r="D494" i="48"/>
  <c r="D493" i="48"/>
  <c r="D492" i="48"/>
  <c r="D491" i="48"/>
  <c r="D490" i="48"/>
  <c r="D489" i="48"/>
  <c r="D488" i="48"/>
  <c r="D487" i="48"/>
  <c r="CI12" i="9"/>
  <c r="H20" i="47"/>
  <c r="H22" i="47"/>
  <c r="H24" i="47"/>
  <c r="H26" i="47"/>
  <c r="A175" i="48"/>
  <c r="D15" i="47" s="1"/>
  <c r="Q68" i="47"/>
  <c r="P68" i="47"/>
  <c r="O68" i="47"/>
  <c r="K68" i="47"/>
  <c r="G68" i="47"/>
  <c r="R68" i="47" s="1"/>
  <c r="Q71" i="47"/>
  <c r="P71" i="47"/>
  <c r="O71" i="47"/>
  <c r="K71" i="47"/>
  <c r="G71" i="47"/>
  <c r="R71" i="47" s="1"/>
  <c r="G55" i="47"/>
  <c r="R55" i="47" s="1"/>
  <c r="L83" i="46"/>
  <c r="I83" i="46"/>
  <c r="F83" i="46"/>
  <c r="L86" i="46"/>
  <c r="I86" i="46"/>
  <c r="F86" i="46"/>
  <c r="J92" i="47"/>
  <c r="J93" i="47"/>
  <c r="J94" i="47"/>
  <c r="J95" i="47"/>
  <c r="J96" i="47"/>
  <c r="J97" i="47"/>
  <c r="J98" i="47"/>
  <c r="J99" i="47"/>
  <c r="J100" i="47"/>
  <c r="J101" i="47"/>
  <c r="J102" i="47"/>
  <c r="J103" i="47"/>
  <c r="J104" i="47"/>
  <c r="J105" i="47"/>
  <c r="AO152" i="41"/>
  <c r="AO151" i="41"/>
  <c r="AO150" i="41"/>
  <c r="AO149" i="41"/>
  <c r="AO148" i="41"/>
  <c r="AO147" i="41"/>
  <c r="AO146" i="41"/>
  <c r="AO145" i="41"/>
  <c r="AO144" i="41"/>
  <c r="AO143" i="41"/>
  <c r="AO142" i="41"/>
  <c r="AO141" i="41"/>
  <c r="AO140" i="41"/>
  <c r="AO139" i="41"/>
  <c r="AO138" i="41"/>
  <c r="AO137" i="41"/>
  <c r="AO136" i="41"/>
  <c r="AO135" i="41"/>
  <c r="AO134" i="41"/>
  <c r="AO133" i="41"/>
  <c r="AO132" i="41"/>
  <c r="AO131" i="41"/>
  <c r="AO130" i="41"/>
  <c r="AO129" i="41"/>
  <c r="AO128" i="41"/>
  <c r="AO127" i="41"/>
  <c r="AO126" i="41"/>
  <c r="AO125" i="41"/>
  <c r="AO124" i="41"/>
  <c r="AO123" i="41"/>
  <c r="AO122" i="41"/>
  <c r="AO121" i="41"/>
  <c r="AO120" i="41"/>
  <c r="AO119" i="41"/>
  <c r="AO118" i="41"/>
  <c r="AO117" i="41"/>
  <c r="AO116" i="41"/>
  <c r="AO115" i="41"/>
  <c r="AO114" i="41"/>
  <c r="AO113" i="41"/>
  <c r="AO112" i="41"/>
  <c r="AO111" i="41"/>
  <c r="AO110" i="41"/>
  <c r="AO109" i="41"/>
  <c r="AO108" i="41"/>
  <c r="AO107" i="41"/>
  <c r="AO106" i="41"/>
  <c r="AO105" i="41"/>
  <c r="AO104" i="41"/>
  <c r="AO103" i="41"/>
  <c r="AO102" i="41"/>
  <c r="AO101" i="41"/>
  <c r="AO100" i="41"/>
  <c r="AO99" i="41"/>
  <c r="AO98" i="41"/>
  <c r="AO97" i="41"/>
  <c r="AO96" i="41"/>
  <c r="AO95" i="41"/>
  <c r="AO94" i="41"/>
  <c r="AO93" i="41"/>
  <c r="AO92" i="41"/>
  <c r="AO91" i="41"/>
  <c r="AO90" i="41"/>
  <c r="AO89" i="41"/>
  <c r="AO88" i="41"/>
  <c r="AO87" i="41"/>
  <c r="AO86" i="41"/>
  <c r="AO85" i="41"/>
  <c r="AO84" i="41"/>
  <c r="AO83" i="41"/>
  <c r="AO82" i="41"/>
  <c r="AO81" i="41"/>
  <c r="AO80" i="41"/>
  <c r="AO79" i="41"/>
  <c r="AO78" i="41"/>
  <c r="AO77" i="41"/>
  <c r="AO76" i="41"/>
  <c r="AO75" i="41"/>
  <c r="AO74" i="41"/>
  <c r="AO73" i="41"/>
  <c r="AO72" i="41"/>
  <c r="AO71" i="41"/>
  <c r="AO70" i="41"/>
  <c r="AO69" i="41"/>
  <c r="AO68" i="41"/>
  <c r="AO67" i="41"/>
  <c r="AO66" i="41"/>
  <c r="AO65" i="41"/>
  <c r="AO64" i="41"/>
  <c r="AO63" i="41"/>
  <c r="AO62" i="41"/>
  <c r="AO61" i="41"/>
  <c r="AO60" i="41"/>
  <c r="AO59" i="41"/>
  <c r="AO58" i="41"/>
  <c r="AO57" i="41"/>
  <c r="AO56" i="41"/>
  <c r="AO55" i="41"/>
  <c r="AO54" i="41"/>
  <c r="AO53" i="41"/>
  <c r="AO52" i="41"/>
  <c r="AO51" i="41"/>
  <c r="AO50" i="41"/>
  <c r="AO49" i="41"/>
  <c r="AO48" i="41"/>
  <c r="AO47" i="41"/>
  <c r="AO46" i="41"/>
  <c r="AO45" i="41"/>
  <c r="AO44" i="41"/>
  <c r="AO43" i="41"/>
  <c r="AO42" i="41"/>
  <c r="AO41" i="41"/>
  <c r="AO40" i="41"/>
  <c r="AO39" i="41"/>
  <c r="AO38" i="41"/>
  <c r="AO37" i="41"/>
  <c r="AO36" i="41"/>
  <c r="AO35" i="41"/>
  <c r="AO34" i="41"/>
  <c r="AO33" i="41"/>
  <c r="AO32" i="41"/>
  <c r="AO31" i="41"/>
  <c r="AO30" i="41"/>
  <c r="AO29" i="41"/>
  <c r="AO28" i="41"/>
  <c r="AO27" i="41"/>
  <c r="AO26" i="41"/>
  <c r="AO25" i="41"/>
  <c r="AO24" i="41"/>
  <c r="AO23" i="41"/>
  <c r="AO22" i="41"/>
  <c r="AO21" i="41"/>
  <c r="AO20" i="41"/>
  <c r="AO19" i="41"/>
  <c r="AO18" i="41"/>
  <c r="AO17" i="41"/>
  <c r="AO16" i="41"/>
  <c r="AO15" i="41"/>
  <c r="AO14" i="41"/>
  <c r="AO13" i="41"/>
  <c r="AO12" i="41"/>
  <c r="AO11" i="41"/>
  <c r="AO10" i="41"/>
  <c r="AO9" i="41"/>
  <c r="AO8" i="41"/>
  <c r="AO7" i="41"/>
  <c r="AO6" i="41"/>
  <c r="AO5" i="41"/>
  <c r="D6" i="47"/>
  <c r="M81" i="47"/>
  <c r="D81" i="47"/>
  <c r="D45" i="47"/>
  <c r="H30" i="47"/>
  <c r="L17" i="47"/>
  <c r="D30" i="47"/>
  <c r="D17"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J108" i="47"/>
  <c r="J107" i="47"/>
  <c r="J106" i="47"/>
  <c r="Q78" i="47"/>
  <c r="P78" i="47"/>
  <c r="O78" i="47"/>
  <c r="Q77" i="47"/>
  <c r="P77" i="47"/>
  <c r="O77" i="47"/>
  <c r="Q76" i="47"/>
  <c r="P76" i="47"/>
  <c r="O76" i="47"/>
  <c r="Q74" i="47"/>
  <c r="P74" i="47"/>
  <c r="O74" i="47"/>
  <c r="Q73" i="47"/>
  <c r="P73" i="47"/>
  <c r="O73" i="47"/>
  <c r="Q70" i="47"/>
  <c r="P70" i="47"/>
  <c r="O70" i="47"/>
  <c r="Q69" i="47"/>
  <c r="P69" i="47"/>
  <c r="O69" i="47"/>
  <c r="Q67" i="47"/>
  <c r="P67" i="47"/>
  <c r="O67" i="47"/>
  <c r="Q66" i="47"/>
  <c r="P66" i="47"/>
  <c r="O66" i="47"/>
  <c r="Q65" i="47"/>
  <c r="P65" i="47"/>
  <c r="O65" i="47"/>
  <c r="Q64" i="47"/>
  <c r="P64" i="47"/>
  <c r="O64" i="47"/>
  <c r="Q62" i="47"/>
  <c r="P62" i="47"/>
  <c r="O62" i="47"/>
  <c r="Q61" i="47"/>
  <c r="P61" i="47"/>
  <c r="O61" i="47"/>
  <c r="Q60" i="47"/>
  <c r="P60" i="47"/>
  <c r="O60" i="47"/>
  <c r="Q59" i="47"/>
  <c r="P59" i="47"/>
  <c r="O59" i="47"/>
  <c r="Q58" i="47"/>
  <c r="P58" i="47"/>
  <c r="O58" i="47"/>
  <c r="Q57" i="47"/>
  <c r="P57" i="47"/>
  <c r="O57" i="47"/>
  <c r="Q56" i="47"/>
  <c r="P56" i="47"/>
  <c r="O56" i="47"/>
  <c r="Q55" i="47"/>
  <c r="P55" i="47"/>
  <c r="O55" i="47"/>
  <c r="Q54" i="47"/>
  <c r="P54" i="47"/>
  <c r="O54" i="47"/>
  <c r="Q53" i="47"/>
  <c r="P53" i="47"/>
  <c r="O53" i="47"/>
  <c r="Q52" i="47"/>
  <c r="P52" i="47"/>
  <c r="O52" i="47"/>
  <c r="O50" i="47"/>
  <c r="O49" i="47"/>
  <c r="O48" i="47"/>
  <c r="G78" i="47"/>
  <c r="G77" i="47"/>
  <c r="R77" i="47" s="1"/>
  <c r="G76" i="47"/>
  <c r="R76" i="47" s="1"/>
  <c r="G74" i="47"/>
  <c r="R74" i="47" s="1"/>
  <c r="G73" i="47"/>
  <c r="R73" i="47" s="1"/>
  <c r="G70" i="47"/>
  <c r="R70" i="47" s="1"/>
  <c r="G69" i="47"/>
  <c r="R69" i="47" s="1"/>
  <c r="G67" i="47"/>
  <c r="R67" i="47" s="1"/>
  <c r="G66" i="47"/>
  <c r="R66" i="47" s="1"/>
  <c r="G65" i="47"/>
  <c r="R65" i="47" s="1"/>
  <c r="G64" i="47"/>
  <c r="R64" i="47" s="1"/>
  <c r="G62" i="47"/>
  <c r="R62" i="47" s="1"/>
  <c r="G61" i="47"/>
  <c r="R61" i="47" s="1"/>
  <c r="G60" i="47"/>
  <c r="R60" i="47" s="1"/>
  <c r="G59" i="47"/>
  <c r="R59" i="47" s="1"/>
  <c r="G58" i="47"/>
  <c r="R58" i="47" s="1"/>
  <c r="G57" i="47"/>
  <c r="R57" i="47" s="1"/>
  <c r="G56" i="47"/>
  <c r="R56" i="47" s="1"/>
  <c r="G54" i="47"/>
  <c r="R54" i="47" s="1"/>
  <c r="G53" i="47"/>
  <c r="R53" i="47" s="1"/>
  <c r="G52" i="47"/>
  <c r="G50" i="47"/>
  <c r="G49" i="47"/>
  <c r="G48" i="47"/>
  <c r="K48" i="47"/>
  <c r="K78" i="47"/>
  <c r="K77" i="47"/>
  <c r="K76" i="47"/>
  <c r="K74" i="47"/>
  <c r="K73" i="47"/>
  <c r="K70" i="47"/>
  <c r="K69" i="47"/>
  <c r="K67" i="47"/>
  <c r="K66" i="47"/>
  <c r="K65" i="47"/>
  <c r="K64" i="47"/>
  <c r="K62" i="47"/>
  <c r="K61" i="47"/>
  <c r="K60" i="47"/>
  <c r="K59" i="47"/>
  <c r="K58" i="47"/>
  <c r="K57" i="47"/>
  <c r="K56" i="47"/>
  <c r="K55" i="47"/>
  <c r="K54" i="47"/>
  <c r="K53" i="47"/>
  <c r="K52" i="47"/>
  <c r="K50" i="47"/>
  <c r="K49" i="47"/>
  <c r="Q43" i="47"/>
  <c r="O43" i="47"/>
  <c r="M43" i="47"/>
  <c r="K43" i="47"/>
  <c r="I43" i="47"/>
  <c r="G258" i="48"/>
  <c r="K93" i="47" s="1"/>
  <c r="G259" i="48"/>
  <c r="K94" i="47" s="1"/>
  <c r="G260" i="48"/>
  <c r="G261" i="48"/>
  <c r="K96" i="47" s="1"/>
  <c r="G262" i="48"/>
  <c r="K97" i="47" s="1"/>
  <c r="G263" i="48"/>
  <c r="K98" i="47" s="1"/>
  <c r="G264" i="48"/>
  <c r="K99" i="47" s="1"/>
  <c r="G265" i="48"/>
  <c r="K100" i="47" s="1"/>
  <c r="G266" i="48"/>
  <c r="K101" i="47" s="1"/>
  <c r="G267" i="48"/>
  <c r="K102" i="47" s="1"/>
  <c r="G268" i="48"/>
  <c r="K103" i="47" s="1"/>
  <c r="G269" i="48"/>
  <c r="K104" i="47" s="1"/>
  <c r="G270" i="48"/>
  <c r="G271" i="48"/>
  <c r="K106" i="47" s="1"/>
  <c r="G272" i="48"/>
  <c r="K107" i="47" s="1"/>
  <c r="G273" i="48"/>
  <c r="K108" i="47" s="1"/>
  <c r="G274" i="48"/>
  <c r="K109" i="47" s="1"/>
  <c r="G275" i="48"/>
  <c r="G276" i="48"/>
  <c r="K111" i="47" s="1"/>
  <c r="G277" i="48"/>
  <c r="K112" i="47" s="1"/>
  <c r="G278" i="48"/>
  <c r="K113" i="47" s="1"/>
  <c r="G279" i="48"/>
  <c r="K114" i="47" s="1"/>
  <c r="G280" i="48"/>
  <c r="K115" i="47" s="1"/>
  <c r="G281" i="48"/>
  <c r="K116" i="47" s="1"/>
  <c r="G282" i="48"/>
  <c r="K117" i="47" s="1"/>
  <c r="G283" i="48"/>
  <c r="K118" i="47" s="1"/>
  <c r="G284" i="48"/>
  <c r="K119" i="47" s="1"/>
  <c r="G285" i="48"/>
  <c r="K120" i="47" s="1"/>
  <c r="G286" i="48"/>
  <c r="K121" i="47" s="1"/>
  <c r="G287" i="48"/>
  <c r="K122" i="47" s="1"/>
  <c r="G288" i="48"/>
  <c r="K123" i="47" s="1"/>
  <c r="G289" i="48"/>
  <c r="K124" i="47" s="1"/>
  <c r="G290" i="48"/>
  <c r="K125" i="47" s="1"/>
  <c r="G291" i="48"/>
  <c r="K126" i="47" s="1"/>
  <c r="G292" i="48"/>
  <c r="K127" i="47" s="1"/>
  <c r="G293" i="48"/>
  <c r="K128" i="47" s="1"/>
  <c r="G294" i="48"/>
  <c r="K129" i="47" s="1"/>
  <c r="G295" i="48"/>
  <c r="K130" i="47" s="1"/>
  <c r="G296" i="48"/>
  <c r="K131" i="47" s="1"/>
  <c r="G297" i="48"/>
  <c r="K132" i="47" s="1"/>
  <c r="G298" i="48"/>
  <c r="K133" i="47" s="1"/>
  <c r="G299" i="48"/>
  <c r="K134" i="47" s="1"/>
  <c r="G300" i="48"/>
  <c r="K135" i="47" s="1"/>
  <c r="G301" i="48"/>
  <c r="K136" i="47" s="1"/>
  <c r="G302" i="48"/>
  <c r="K137" i="47" s="1"/>
  <c r="G303" i="48"/>
  <c r="K138" i="47" s="1"/>
  <c r="G304" i="48"/>
  <c r="K139" i="47" s="1"/>
  <c r="G305" i="48"/>
  <c r="K140" i="47" s="1"/>
  <c r="G306" i="48"/>
  <c r="K141" i="47" s="1"/>
  <c r="G307" i="48"/>
  <c r="K142" i="47" s="1"/>
  <c r="G308" i="48"/>
  <c r="K143" i="47" s="1"/>
  <c r="G309" i="48"/>
  <c r="K144" i="47" s="1"/>
  <c r="G310" i="48"/>
  <c r="K145" i="47" s="1"/>
  <c r="G311" i="48"/>
  <c r="K146" i="47" s="1"/>
  <c r="G312" i="48"/>
  <c r="K147" i="47" s="1"/>
  <c r="G313" i="48"/>
  <c r="K148" i="47" s="1"/>
  <c r="G314" i="48"/>
  <c r="K149" i="47" s="1"/>
  <c r="G315" i="48"/>
  <c r="K150" i="47" s="1"/>
  <c r="G316" i="48"/>
  <c r="K151" i="47" s="1"/>
  <c r="G317" i="48"/>
  <c r="K152" i="47" s="1"/>
  <c r="G318" i="48"/>
  <c r="K153" i="47" s="1"/>
  <c r="G319" i="48"/>
  <c r="K154" i="47" s="1"/>
  <c r="G320" i="48"/>
  <c r="K155" i="47" s="1"/>
  <c r="G321" i="48"/>
  <c r="K156" i="47" s="1"/>
  <c r="G322" i="48"/>
  <c r="K157" i="47" s="1"/>
  <c r="G323" i="48"/>
  <c r="K158" i="47" s="1"/>
  <c r="G324" i="48"/>
  <c r="K159" i="47" s="1"/>
  <c r="G325" i="48"/>
  <c r="K160" i="47" s="1"/>
  <c r="G326" i="48"/>
  <c r="K161" i="47" s="1"/>
  <c r="G327" i="48"/>
  <c r="K162" i="47" s="1"/>
  <c r="G328" i="48"/>
  <c r="K163" i="47" s="1"/>
  <c r="G329" i="48"/>
  <c r="K164" i="47" s="1"/>
  <c r="G330" i="48"/>
  <c r="K165" i="47" s="1"/>
  <c r="G331" i="48"/>
  <c r="K166" i="47" s="1"/>
  <c r="G332" i="48"/>
  <c r="K167" i="47" s="1"/>
  <c r="G333" i="48"/>
  <c r="K168" i="47" s="1"/>
  <c r="G334" i="48"/>
  <c r="K169" i="47" s="1"/>
  <c r="G335" i="48"/>
  <c r="K170" i="47" s="1"/>
  <c r="G336" i="48"/>
  <c r="K171" i="47" s="1"/>
  <c r="G337" i="48"/>
  <c r="K172" i="47" s="1"/>
  <c r="G338" i="48"/>
  <c r="K173" i="47" s="1"/>
  <c r="G339" i="48"/>
  <c r="K174" i="47" s="1"/>
  <c r="G340" i="48"/>
  <c r="K175" i="47" s="1"/>
  <c r="G341" i="48"/>
  <c r="K176" i="47" s="1"/>
  <c r="G342" i="48"/>
  <c r="K177" i="47" s="1"/>
  <c r="G343" i="48"/>
  <c r="K178" i="47" s="1"/>
  <c r="G344" i="48"/>
  <c r="K179" i="47" s="1"/>
  <c r="G345" i="48"/>
  <c r="K180" i="47" s="1"/>
  <c r="G346" i="48"/>
  <c r="K181" i="47" s="1"/>
  <c r="G347" i="48"/>
  <c r="K182" i="47" s="1"/>
  <c r="G348" i="48"/>
  <c r="K183" i="47" s="1"/>
  <c r="G349" i="48"/>
  <c r="K184" i="47" s="1"/>
  <c r="G350" i="48"/>
  <c r="K185" i="47" s="1"/>
  <c r="G351" i="48"/>
  <c r="K186" i="47" s="1"/>
  <c r="G352" i="48"/>
  <c r="K187" i="47" s="1"/>
  <c r="G353" i="48"/>
  <c r="K188" i="47" s="1"/>
  <c r="G354" i="48"/>
  <c r="K189" i="47" s="1"/>
  <c r="G355" i="48"/>
  <c r="K190" i="47" s="1"/>
  <c r="G356" i="48"/>
  <c r="K191" i="47" s="1"/>
  <c r="G357" i="48"/>
  <c r="K192" i="47" s="1"/>
  <c r="G358" i="48"/>
  <c r="K193" i="47" s="1"/>
  <c r="G359" i="48"/>
  <c r="K194" i="47" s="1"/>
  <c r="G360" i="48"/>
  <c r="K195" i="47" s="1"/>
  <c r="G361" i="48"/>
  <c r="K196" i="47" s="1"/>
  <c r="G362" i="48"/>
  <c r="K197" i="47" s="1"/>
  <c r="G363" i="48"/>
  <c r="K198" i="47" s="1"/>
  <c r="G364" i="48"/>
  <c r="K199" i="47" s="1"/>
  <c r="G365" i="48"/>
  <c r="K200" i="47" s="1"/>
  <c r="G366" i="48"/>
  <c r="K201" i="47" s="1"/>
  <c r="G367" i="48"/>
  <c r="K202" i="47" s="1"/>
  <c r="G368" i="48"/>
  <c r="K203" i="47" s="1"/>
  <c r="G369" i="48"/>
  <c r="K204" i="47" s="1"/>
  <c r="G370" i="48"/>
  <c r="K205" i="47" s="1"/>
  <c r="G371" i="48"/>
  <c r="K206" i="47" s="1"/>
  <c r="G372" i="48"/>
  <c r="K207" i="47" s="1"/>
  <c r="G373" i="48"/>
  <c r="K208" i="47" s="1"/>
  <c r="G374" i="48"/>
  <c r="K209" i="47" s="1"/>
  <c r="G375" i="48"/>
  <c r="K210" i="47" s="1"/>
  <c r="G376" i="48"/>
  <c r="K211" i="47" s="1"/>
  <c r="G377" i="48"/>
  <c r="K212" i="47" s="1"/>
  <c r="G378" i="48"/>
  <c r="K213" i="47" s="1"/>
  <c r="G379" i="48"/>
  <c r="K214" i="47" s="1"/>
  <c r="G380" i="48"/>
  <c r="K215" i="47" s="1"/>
  <c r="G381" i="48"/>
  <c r="K216" i="47" s="1"/>
  <c r="G382" i="48"/>
  <c r="G383" i="48"/>
  <c r="K218" i="47" s="1"/>
  <c r="G384" i="48"/>
  <c r="K219" i="47" s="1"/>
  <c r="G385" i="48"/>
  <c r="K220" i="47" s="1"/>
  <c r="G386" i="48"/>
  <c r="K221" i="47" s="1"/>
  <c r="G387" i="48"/>
  <c r="K222" i="47" s="1"/>
  <c r="G388" i="48"/>
  <c r="K223" i="47" s="1"/>
  <c r="G389" i="48"/>
  <c r="K224" i="47" s="1"/>
  <c r="G390" i="48"/>
  <c r="K225" i="47" s="1"/>
  <c r="G391" i="48"/>
  <c r="K226" i="47" s="1"/>
  <c r="G392" i="48"/>
  <c r="K227" i="47" s="1"/>
  <c r="G393" i="48"/>
  <c r="K228" i="47" s="1"/>
  <c r="G394" i="48"/>
  <c r="G395" i="48"/>
  <c r="G396" i="48"/>
  <c r="K231" i="47"/>
  <c r="G397" i="48"/>
  <c r="K232" i="47"/>
  <c r="G398" i="48"/>
  <c r="K233" i="47"/>
  <c r="G399" i="48"/>
  <c r="G400" i="48"/>
  <c r="K235" i="47"/>
  <c r="G401" i="48"/>
  <c r="K236" i="47"/>
  <c r="G402" i="48"/>
  <c r="G403" i="48"/>
  <c r="G404" i="48"/>
  <c r="K239" i="47"/>
  <c r="G405" i="48"/>
  <c r="K240" i="47"/>
  <c r="G257" i="48"/>
  <c r="K92" i="47" s="1"/>
  <c r="I102" i="46"/>
  <c r="M102" i="46" s="1"/>
  <c r="I103" i="46"/>
  <c r="K14" i="48"/>
  <c r="M15" i="47" s="1"/>
  <c r="J14" i="48"/>
  <c r="P15" i="47" s="1"/>
  <c r="I14" i="48"/>
  <c r="J15" i="47" s="1"/>
  <c r="H14" i="48"/>
  <c r="K230" i="47"/>
  <c r="K237" i="47"/>
  <c r="K217" i="47"/>
  <c r="K238" i="47"/>
  <c r="K234" i="47"/>
  <c r="K229" i="47"/>
  <c r="K105" i="47"/>
  <c r="O47" i="47"/>
  <c r="I98" i="46"/>
  <c r="M98" i="46" s="1"/>
  <c r="I99" i="46"/>
  <c r="M99" i="46" s="1"/>
  <c r="I100" i="46"/>
  <c r="K100" i="46" s="1"/>
  <c r="I101" i="46"/>
  <c r="M101" i="46" s="1"/>
  <c r="M103" i="46"/>
  <c r="I97" i="46"/>
  <c r="K97" i="46" s="1"/>
  <c r="AO153" i="41"/>
  <c r="A3" i="26"/>
  <c r="A4" i="26"/>
  <c r="A5" i="26"/>
  <c r="A6" i="26"/>
  <c r="A7" i="26"/>
  <c r="A8" i="26"/>
  <c r="A9" i="26"/>
  <c r="A10" i="26"/>
  <c r="A11" i="26"/>
  <c r="A12" i="26"/>
  <c r="A13" i="26"/>
  <c r="A14" i="26"/>
  <c r="A15" i="26"/>
  <c r="A16" i="26"/>
  <c r="A17" i="26"/>
  <c r="A20" i="26"/>
  <c r="A21" i="26"/>
  <c r="A22" i="26"/>
  <c r="A24" i="26"/>
  <c r="A25" i="26"/>
  <c r="A27" i="26"/>
  <c r="A28" i="26"/>
  <c r="A30" i="26"/>
  <c r="A31" i="26"/>
  <c r="A32" i="26"/>
  <c r="A33" i="26"/>
  <c r="A34" i="26"/>
  <c r="A35" i="26"/>
  <c r="A36" i="26"/>
  <c r="A37" i="26"/>
  <c r="A38" i="26"/>
  <c r="A39" i="26"/>
  <c r="A40" i="26"/>
  <c r="A42" i="26"/>
  <c r="A43" i="26"/>
  <c r="A44" i="26"/>
  <c r="A45" i="26"/>
  <c r="A46" i="26"/>
  <c r="A47" i="26"/>
  <c r="A48" i="26"/>
  <c r="A49" i="26"/>
  <c r="A50" i="26"/>
  <c r="A51" i="26"/>
  <c r="A52"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91" i="26"/>
  <c r="A92" i="26"/>
  <c r="A94" i="26"/>
  <c r="A95" i="26"/>
  <c r="P7" i="12"/>
  <c r="P12" i="12"/>
  <c r="A182" i="45"/>
  <c r="K8" i="46" s="1"/>
  <c r="L70" i="46"/>
  <c r="I70" i="46"/>
  <c r="F70" i="46"/>
  <c r="M200" i="39"/>
  <c r="L200" i="39"/>
  <c r="K200" i="39"/>
  <c r="J200" i="39"/>
  <c r="I200" i="39"/>
  <c r="G200" i="39"/>
  <c r="F200" i="39"/>
  <c r="L93" i="46"/>
  <c r="L92" i="46"/>
  <c r="L91" i="46"/>
  <c r="L89" i="46"/>
  <c r="L88" i="46"/>
  <c r="L85" i="46"/>
  <c r="L84" i="46"/>
  <c r="L82" i="46"/>
  <c r="L81" i="46"/>
  <c r="L80" i="46"/>
  <c r="L79" i="46"/>
  <c r="L77" i="46"/>
  <c r="L76" i="46"/>
  <c r="L75" i="46"/>
  <c r="L74" i="46"/>
  <c r="L73" i="46"/>
  <c r="L72" i="46"/>
  <c r="L71" i="46"/>
  <c r="L69" i="46"/>
  <c r="L68" i="46"/>
  <c r="L67" i="46"/>
  <c r="L65" i="46"/>
  <c r="L64" i="46"/>
  <c r="L63" i="46"/>
  <c r="I93" i="46"/>
  <c r="I92" i="46"/>
  <c r="I91" i="46"/>
  <c r="I89" i="46"/>
  <c r="I88" i="46"/>
  <c r="I85" i="46"/>
  <c r="I84" i="46"/>
  <c r="I82" i="46"/>
  <c r="I81" i="46"/>
  <c r="I80" i="46"/>
  <c r="I79" i="46"/>
  <c r="I77" i="46"/>
  <c r="I76" i="46"/>
  <c r="I75" i="46"/>
  <c r="I74" i="46"/>
  <c r="I73" i="46"/>
  <c r="I72" i="46"/>
  <c r="I71" i="46"/>
  <c r="I69" i="46"/>
  <c r="I68" i="46"/>
  <c r="I67" i="46"/>
  <c r="I65" i="46"/>
  <c r="I64" i="46"/>
  <c r="I63" i="46"/>
  <c r="F93" i="46"/>
  <c r="F92" i="46"/>
  <c r="F91" i="46"/>
  <c r="F89" i="46"/>
  <c r="F88" i="46"/>
  <c r="F85" i="46"/>
  <c r="F84" i="46"/>
  <c r="F82" i="46"/>
  <c r="F81" i="46"/>
  <c r="F80" i="46"/>
  <c r="F79" i="46"/>
  <c r="F77" i="46"/>
  <c r="F76" i="46"/>
  <c r="F75" i="46"/>
  <c r="F74" i="46"/>
  <c r="F73" i="46"/>
  <c r="F72" i="46"/>
  <c r="F71" i="46"/>
  <c r="F69" i="46"/>
  <c r="F68" i="46"/>
  <c r="F67" i="46"/>
  <c r="F65" i="46"/>
  <c r="F64" i="46"/>
  <c r="F63" i="46"/>
  <c r="BG152" i="9"/>
  <c r="BG151" i="9"/>
  <c r="BG150" i="9"/>
  <c r="BG149" i="9"/>
  <c r="BG148" i="9"/>
  <c r="BG147" i="9"/>
  <c r="BG146" i="9"/>
  <c r="BG145" i="9"/>
  <c r="BG144" i="9"/>
  <c r="BG143" i="9"/>
  <c r="BG142" i="9"/>
  <c r="BG141" i="9"/>
  <c r="BG140" i="9"/>
  <c r="BG139" i="9"/>
  <c r="BG138" i="9"/>
  <c r="BG137" i="9"/>
  <c r="BG136" i="9"/>
  <c r="BG135" i="9"/>
  <c r="BG134" i="9"/>
  <c r="BG133" i="9"/>
  <c r="BG132" i="9"/>
  <c r="BG131" i="9"/>
  <c r="BG130" i="9"/>
  <c r="BG129" i="9"/>
  <c r="BG128" i="9"/>
  <c r="BG127" i="9"/>
  <c r="BG126" i="9"/>
  <c r="BG125" i="9"/>
  <c r="BG124" i="9"/>
  <c r="BG123" i="9"/>
  <c r="BG122" i="9"/>
  <c r="BG121" i="9"/>
  <c r="BG120" i="9"/>
  <c r="BG119" i="9"/>
  <c r="BG118" i="9"/>
  <c r="BG117" i="9"/>
  <c r="BG116" i="9"/>
  <c r="BG115" i="9"/>
  <c r="BG114" i="9"/>
  <c r="BG113" i="9"/>
  <c r="BG112" i="9"/>
  <c r="BG111" i="9"/>
  <c r="BG110" i="9"/>
  <c r="BG109" i="9"/>
  <c r="BG108" i="9"/>
  <c r="BG107" i="9"/>
  <c r="BG106" i="9"/>
  <c r="BG105" i="9"/>
  <c r="BG104" i="9"/>
  <c r="BG103" i="9"/>
  <c r="BG102" i="9"/>
  <c r="BG101" i="9"/>
  <c r="BG100" i="9"/>
  <c r="BG99" i="9"/>
  <c r="BG98" i="9"/>
  <c r="BG97" i="9"/>
  <c r="BG96" i="9"/>
  <c r="BG95" i="9"/>
  <c r="BG94" i="9"/>
  <c r="BG93" i="9"/>
  <c r="BG92" i="9"/>
  <c r="BG91" i="9"/>
  <c r="BG90" i="9"/>
  <c r="BG89" i="9"/>
  <c r="BG88" i="9"/>
  <c r="BG87" i="9"/>
  <c r="BG86" i="9"/>
  <c r="BG85" i="9"/>
  <c r="BG84" i="9"/>
  <c r="BG83" i="9"/>
  <c r="BG82" i="9"/>
  <c r="BG81" i="9"/>
  <c r="BG80" i="9"/>
  <c r="BG79" i="9"/>
  <c r="BG78" i="9"/>
  <c r="BG77" i="9"/>
  <c r="BG76" i="9"/>
  <c r="BG75" i="9"/>
  <c r="BG74" i="9"/>
  <c r="BG73" i="9"/>
  <c r="BG72" i="9"/>
  <c r="BG71" i="9"/>
  <c r="BG70" i="9"/>
  <c r="BG69" i="9"/>
  <c r="BG68" i="9"/>
  <c r="BG67" i="9"/>
  <c r="BG66" i="9"/>
  <c r="BG65" i="9"/>
  <c r="BG64" i="9"/>
  <c r="BG63" i="9"/>
  <c r="BG62" i="9"/>
  <c r="BG61" i="9"/>
  <c r="BG60" i="9"/>
  <c r="BG59" i="9"/>
  <c r="BG58" i="9"/>
  <c r="BG57" i="9"/>
  <c r="BG56" i="9"/>
  <c r="BG55" i="9"/>
  <c r="BG54" i="9"/>
  <c r="BG53" i="9"/>
  <c r="BG52" i="9"/>
  <c r="BG51" i="9"/>
  <c r="BG50" i="9"/>
  <c r="BG49" i="9"/>
  <c r="BG48" i="9"/>
  <c r="BG47" i="9"/>
  <c r="BG46" i="9"/>
  <c r="BG45" i="9"/>
  <c r="BG44" i="9"/>
  <c r="BG43" i="9"/>
  <c r="BG42" i="9"/>
  <c r="BG41" i="9"/>
  <c r="BG40" i="9"/>
  <c r="BG39" i="9"/>
  <c r="BG38" i="9"/>
  <c r="BG37" i="9"/>
  <c r="BG36" i="9"/>
  <c r="BG35" i="9"/>
  <c r="BG34" i="9"/>
  <c r="BG33" i="9"/>
  <c r="BG32" i="9"/>
  <c r="BG31" i="9"/>
  <c r="BG30" i="9"/>
  <c r="BG29" i="9"/>
  <c r="BG28" i="9"/>
  <c r="BG27" i="9"/>
  <c r="BG26" i="9"/>
  <c r="BG25" i="9"/>
  <c r="BG24" i="9"/>
  <c r="BG23" i="9"/>
  <c r="BG22" i="9"/>
  <c r="BG21" i="9"/>
  <c r="BG20" i="9"/>
  <c r="BG19" i="9"/>
  <c r="BG18" i="9"/>
  <c r="BG17" i="9"/>
  <c r="BG16" i="9"/>
  <c r="BG15" i="9"/>
  <c r="BG14" i="9"/>
  <c r="BG13" i="9"/>
  <c r="BG12" i="9"/>
  <c r="BG11" i="9"/>
  <c r="BG10" i="9"/>
  <c r="BG9" i="9"/>
  <c r="BG8" i="9"/>
  <c r="BG7" i="9"/>
  <c r="BG6" i="9"/>
  <c r="BG5" i="9"/>
  <c r="BG4" i="9"/>
  <c r="H275" i="45"/>
  <c r="H276" i="45"/>
  <c r="H277" i="45"/>
  <c r="H278" i="45"/>
  <c r="H279" i="45"/>
  <c r="H280" i="45"/>
  <c r="H281" i="45"/>
  <c r="H282" i="45"/>
  <c r="H283" i="45"/>
  <c r="H284" i="45"/>
  <c r="H285" i="45"/>
  <c r="H286" i="45"/>
  <c r="H287" i="45"/>
  <c r="H288" i="45"/>
  <c r="H289" i="45"/>
  <c r="H290" i="45"/>
  <c r="H291" i="45"/>
  <c r="H292" i="45"/>
  <c r="H293" i="45"/>
  <c r="H294" i="45"/>
  <c r="H295" i="45"/>
  <c r="H296" i="45"/>
  <c r="H297" i="45"/>
  <c r="H298" i="45"/>
  <c r="H299" i="45"/>
  <c r="H300" i="45"/>
  <c r="H301" i="45"/>
  <c r="H302" i="45"/>
  <c r="H303" i="45"/>
  <c r="H304" i="45"/>
  <c r="H305" i="45"/>
  <c r="H306" i="45"/>
  <c r="H307" i="45"/>
  <c r="H308" i="45"/>
  <c r="H309" i="45"/>
  <c r="H310" i="45"/>
  <c r="H311" i="45"/>
  <c r="H312" i="45"/>
  <c r="H313" i="45"/>
  <c r="H314" i="45"/>
  <c r="H315" i="45"/>
  <c r="H316" i="45"/>
  <c r="H317" i="45"/>
  <c r="H318" i="45"/>
  <c r="H319" i="45"/>
  <c r="H320" i="45"/>
  <c r="H321" i="45"/>
  <c r="H322" i="45"/>
  <c r="H323" i="45"/>
  <c r="H324" i="45"/>
  <c r="H325" i="45"/>
  <c r="H326" i="45"/>
  <c r="H327" i="45"/>
  <c r="H328" i="45"/>
  <c r="H329" i="45"/>
  <c r="H330" i="45"/>
  <c r="H331" i="45"/>
  <c r="H332" i="45"/>
  <c r="H333" i="45"/>
  <c r="H334" i="45"/>
  <c r="H335" i="45"/>
  <c r="H336" i="45"/>
  <c r="H337" i="45"/>
  <c r="H338" i="45"/>
  <c r="H339" i="45"/>
  <c r="H340" i="45"/>
  <c r="H341" i="45"/>
  <c r="H342" i="45"/>
  <c r="H343" i="45"/>
  <c r="H344" i="45"/>
  <c r="H345" i="45"/>
  <c r="H346" i="45"/>
  <c r="H347" i="45"/>
  <c r="H348" i="45"/>
  <c r="H349" i="45"/>
  <c r="H350" i="45"/>
  <c r="H351" i="45"/>
  <c r="H352" i="45"/>
  <c r="H353" i="45"/>
  <c r="H354" i="45"/>
  <c r="H355" i="45"/>
  <c r="H356" i="45"/>
  <c r="H357" i="45"/>
  <c r="H358" i="45"/>
  <c r="H359" i="45"/>
  <c r="H360" i="45"/>
  <c r="H361" i="45"/>
  <c r="H362" i="45"/>
  <c r="H363" i="45"/>
  <c r="H364" i="45"/>
  <c r="H365" i="45"/>
  <c r="H366" i="45"/>
  <c r="H367" i="45"/>
  <c r="H368" i="45"/>
  <c r="H369" i="45"/>
  <c r="H370" i="45"/>
  <c r="H371" i="45"/>
  <c r="H372" i="45"/>
  <c r="H373" i="45"/>
  <c r="H374" i="45"/>
  <c r="H375" i="45"/>
  <c r="H376" i="45"/>
  <c r="H377" i="45"/>
  <c r="H378" i="45"/>
  <c r="H379" i="45"/>
  <c r="H380" i="45"/>
  <c r="H381" i="45"/>
  <c r="H382" i="45"/>
  <c r="H383" i="45"/>
  <c r="H384" i="45"/>
  <c r="H385" i="45"/>
  <c r="H386" i="45"/>
  <c r="H387" i="45"/>
  <c r="H388" i="45"/>
  <c r="H389" i="45"/>
  <c r="H390" i="45"/>
  <c r="H391" i="45"/>
  <c r="H392" i="45"/>
  <c r="H393" i="45"/>
  <c r="H394" i="45"/>
  <c r="H395" i="45"/>
  <c r="H396" i="45"/>
  <c r="H397" i="45"/>
  <c r="H398" i="45"/>
  <c r="H399" i="45"/>
  <c r="H400" i="45"/>
  <c r="H401" i="45"/>
  <c r="H402" i="45"/>
  <c r="H403" i="45"/>
  <c r="H404" i="45"/>
  <c r="H405" i="45"/>
  <c r="H406" i="45"/>
  <c r="H407" i="45"/>
  <c r="H408" i="45"/>
  <c r="H409" i="45"/>
  <c r="H410" i="45"/>
  <c r="H411" i="45"/>
  <c r="H412" i="45"/>
  <c r="H413" i="45"/>
  <c r="H414" i="45"/>
  <c r="H415" i="45"/>
  <c r="H416" i="45"/>
  <c r="H417" i="45"/>
  <c r="H418" i="45"/>
  <c r="H419" i="45"/>
  <c r="H420" i="45"/>
  <c r="H421" i="45"/>
  <c r="H422" i="45"/>
  <c r="H423" i="45"/>
  <c r="H424" i="45"/>
  <c r="H425" i="45"/>
  <c r="H426" i="45"/>
  <c r="H427" i="45"/>
  <c r="H274" i="45"/>
  <c r="E44" i="46"/>
  <c r="E42" i="46"/>
  <c r="E40" i="46"/>
  <c r="E38" i="46"/>
  <c r="D40" i="46"/>
  <c r="K28" i="46"/>
  <c r="K29" i="46"/>
  <c r="K30" i="46"/>
  <c r="K31" i="46"/>
  <c r="K32" i="46"/>
  <c r="K33" i="46"/>
  <c r="K27" i="46"/>
  <c r="M21" i="46"/>
  <c r="K21" i="46"/>
  <c r="I21" i="46"/>
  <c r="G21" i="46"/>
  <c r="E21" i="46"/>
  <c r="K18" i="17"/>
  <c r="N41" i="39"/>
  <c r="O41" i="39" s="1"/>
  <c r="BP36" i="9"/>
  <c r="BP48" i="9"/>
  <c r="BP57" i="9"/>
  <c r="BP71" i="9"/>
  <c r="BP85" i="9"/>
  <c r="BP87" i="9"/>
  <c r="BP89" i="9"/>
  <c r="BP97" i="9"/>
  <c r="BP104" i="9"/>
  <c r="BP110" i="9"/>
  <c r="BP112" i="9"/>
  <c r="BP114" i="9"/>
  <c r="BP118" i="9"/>
  <c r="BP125" i="9"/>
  <c r="BP130" i="9"/>
  <c r="BP138" i="9"/>
  <c r="BP148" i="9"/>
  <c r="BP8" i="9"/>
  <c r="N7" i="39"/>
  <c r="O7" i="39" s="1"/>
  <c r="BP5" i="9" s="1"/>
  <c r="N8" i="39"/>
  <c r="O8" i="39" s="1"/>
  <c r="N9" i="39"/>
  <c r="O9" i="39" s="1"/>
  <c r="N10" i="39"/>
  <c r="O10" i="39" s="1"/>
  <c r="BP9" i="9" s="1"/>
  <c r="N11" i="39"/>
  <c r="O11" i="39" s="1"/>
  <c r="BP10" i="9"/>
  <c r="N12" i="39"/>
  <c r="O12" i="39" s="1"/>
  <c r="N13" i="39"/>
  <c r="N14" i="39"/>
  <c r="O14" i="39" s="1"/>
  <c r="N15" i="39"/>
  <c r="O15" i="39" s="1"/>
  <c r="BP14" i="9" s="1"/>
  <c r="N16" i="39"/>
  <c r="O16" i="39" s="1"/>
  <c r="BP15" i="9" s="1"/>
  <c r="N17" i="39"/>
  <c r="O17" i="39" s="1"/>
  <c r="BP16" i="9" s="1"/>
  <c r="N18" i="39"/>
  <c r="O18" i="39" s="1"/>
  <c r="N19" i="39"/>
  <c r="O19" i="39" s="1"/>
  <c r="BP18" i="9" s="1"/>
  <c r="N20" i="39"/>
  <c r="O20" i="39" s="1"/>
  <c r="BP19" i="9" s="1"/>
  <c r="N21" i="39"/>
  <c r="O21" i="39" s="1"/>
  <c r="BP20" i="9" s="1"/>
  <c r="N22" i="39"/>
  <c r="O22" i="39" s="1"/>
  <c r="N23" i="39"/>
  <c r="O23" i="39" s="1"/>
  <c r="BP22" i="9" s="1"/>
  <c r="N24" i="39"/>
  <c r="O24" i="39" s="1"/>
  <c r="N25" i="39"/>
  <c r="O25" i="39" s="1"/>
  <c r="BP24" i="9" s="1"/>
  <c r="N26" i="39"/>
  <c r="O26" i="39" s="1"/>
  <c r="N27" i="39"/>
  <c r="O27" i="39" s="1"/>
  <c r="N28" i="39"/>
  <c r="O28" i="39" s="1"/>
  <c r="BP25" i="9" s="1"/>
  <c r="N29" i="39"/>
  <c r="O29" i="39" s="1"/>
  <c r="N30" i="39"/>
  <c r="N31" i="39"/>
  <c r="O31" i="39" s="1"/>
  <c r="BP29" i="9" s="1"/>
  <c r="N32" i="39"/>
  <c r="O32" i="39" s="1"/>
  <c r="BP30" i="9" s="1"/>
  <c r="N33" i="39"/>
  <c r="O33" i="39" s="1"/>
  <c r="BP31" i="9" s="1"/>
  <c r="N34" i="39"/>
  <c r="N35" i="39"/>
  <c r="O35" i="39" s="1"/>
  <c r="BP33" i="9" s="1"/>
  <c r="N36" i="39"/>
  <c r="O36" i="39" s="1"/>
  <c r="BP35" i="9" s="1"/>
  <c r="N37" i="39"/>
  <c r="O37" i="39" s="1"/>
  <c r="BP37" i="9" s="1"/>
  <c r="N38" i="39"/>
  <c r="O38" i="39" s="1"/>
  <c r="N39" i="39"/>
  <c r="O39" i="39" s="1"/>
  <c r="BP39" i="9" s="1"/>
  <c r="N40" i="39"/>
  <c r="O40" i="39" s="1"/>
  <c r="N42" i="39"/>
  <c r="O42" i="39" s="1"/>
  <c r="N43" i="39"/>
  <c r="O43" i="39" s="1"/>
  <c r="N44" i="39"/>
  <c r="O44" i="39" s="1"/>
  <c r="N45" i="39"/>
  <c r="O45" i="39" s="1"/>
  <c r="N46" i="39"/>
  <c r="O46" i="39" s="1"/>
  <c r="N47" i="39"/>
  <c r="O47" i="39" s="1"/>
  <c r="N48" i="39"/>
  <c r="O48" i="39" s="1"/>
  <c r="N49" i="39"/>
  <c r="O49" i="39" s="1"/>
  <c r="BP43" i="9" s="1"/>
  <c r="N50" i="39"/>
  <c r="O50" i="39" s="1"/>
  <c r="N51" i="39"/>
  <c r="O51" i="39" s="1"/>
  <c r="N52" i="39"/>
  <c r="O52" i="39" s="1"/>
  <c r="N53" i="39"/>
  <c r="O53" i="39" s="1"/>
  <c r="N54" i="39"/>
  <c r="O54" i="39" s="1"/>
  <c r="N55" i="39"/>
  <c r="O55" i="39" s="1"/>
  <c r="N56" i="39"/>
  <c r="O56" i="39" s="1"/>
  <c r="BP45" i="9" s="1"/>
  <c r="N57" i="39"/>
  <c r="O57" i="39" s="1"/>
  <c r="N58" i="39"/>
  <c r="O58" i="39" s="1"/>
  <c r="N59" i="39"/>
  <c r="O59" i="39" s="1"/>
  <c r="N60" i="39"/>
  <c r="O60" i="39" s="1"/>
  <c r="N61" i="39"/>
  <c r="O61" i="39" s="1"/>
  <c r="BP47" i="9" s="1"/>
  <c r="N62" i="39"/>
  <c r="O62" i="39" s="1"/>
  <c r="N63" i="39"/>
  <c r="O63" i="39" s="1"/>
  <c r="N64" i="39"/>
  <c r="O64" i="39" s="1"/>
  <c r="N65" i="39"/>
  <c r="O65" i="39" s="1"/>
  <c r="N66" i="39"/>
  <c r="O66" i="39" s="1"/>
  <c r="BP50" i="9" s="1"/>
  <c r="N67" i="39"/>
  <c r="O67" i="39" s="1"/>
  <c r="N68" i="39"/>
  <c r="O68" i="39" s="1"/>
  <c r="N69" i="39"/>
  <c r="O69" i="39" s="1"/>
  <c r="N70" i="39"/>
  <c r="N71" i="39"/>
  <c r="O71" i="39" s="1"/>
  <c r="BP53" i="9" s="1"/>
  <c r="N72" i="39"/>
  <c r="N73" i="39"/>
  <c r="O73" i="39" s="1"/>
  <c r="N74" i="39"/>
  <c r="O74" i="39" s="1"/>
  <c r="N75" i="39"/>
  <c r="O75" i="39" s="1"/>
  <c r="N76" i="39"/>
  <c r="O76" i="39" s="1"/>
  <c r="N77" i="39"/>
  <c r="O77" i="39" s="1"/>
  <c r="BP56" i="9" s="1"/>
  <c r="N78" i="39"/>
  <c r="O78" i="39" s="1"/>
  <c r="N79" i="39"/>
  <c r="O79" i="39" s="1"/>
  <c r="N80" i="39"/>
  <c r="O80" i="39" s="1"/>
  <c r="N81" i="39"/>
  <c r="O81" i="39" s="1"/>
  <c r="N82" i="39"/>
  <c r="O82" i="39" s="1"/>
  <c r="N83" i="39"/>
  <c r="O83" i="39" s="1"/>
  <c r="N84" i="39"/>
  <c r="O84" i="39" s="1"/>
  <c r="N85" i="39"/>
  <c r="O85" i="39" s="1"/>
  <c r="N86" i="39"/>
  <c r="O86" i="39" s="1"/>
  <c r="N87" i="39"/>
  <c r="O87" i="39"/>
  <c r="N88" i="39"/>
  <c r="O88" i="39" s="1"/>
  <c r="N89" i="39"/>
  <c r="O89" i="39" s="1"/>
  <c r="BP59" i="9" s="1"/>
  <c r="N90" i="39"/>
  <c r="N91" i="39"/>
  <c r="O91" i="39" s="1"/>
  <c r="N92" i="39"/>
  <c r="O92" i="39" s="1"/>
  <c r="BP61" i="9" s="1"/>
  <c r="N93" i="39"/>
  <c r="O93" i="39" s="1"/>
  <c r="BP62" i="9" s="1"/>
  <c r="N94" i="39"/>
  <c r="O94" i="39" s="1"/>
  <c r="N95" i="39"/>
  <c r="O95" i="39" s="1"/>
  <c r="N96" i="39"/>
  <c r="O96" i="39" s="1"/>
  <c r="BP63" i="9" s="1"/>
  <c r="N97" i="39"/>
  <c r="O97" i="39" s="1"/>
  <c r="BP64" i="9" s="1"/>
  <c r="N98" i="39"/>
  <c r="O98" i="39" s="1"/>
  <c r="BP65" i="9" s="1"/>
  <c r="N99" i="39"/>
  <c r="O99" i="39" s="1"/>
  <c r="BP66" i="9" s="1"/>
  <c r="N100" i="39"/>
  <c r="O100" i="39" s="1"/>
  <c r="BP67" i="9" s="1"/>
  <c r="N101" i="39"/>
  <c r="O101" i="39" s="1"/>
  <c r="BP68" i="9" s="1"/>
  <c r="N102" i="39"/>
  <c r="O102" i="39" s="1"/>
  <c r="N103" i="39"/>
  <c r="O103" i="39" s="1"/>
  <c r="N104" i="39"/>
  <c r="O104" i="39" s="1"/>
  <c r="BP72" i="9" s="1"/>
  <c r="N105" i="39"/>
  <c r="O105" i="39" s="1"/>
  <c r="BP73" i="9" s="1"/>
  <c r="N106" i="39"/>
  <c r="O106" i="39" s="1"/>
  <c r="BP74" i="9" s="1"/>
  <c r="N107" i="39"/>
  <c r="O107" i="39" s="1"/>
  <c r="N108" i="39"/>
  <c r="O108" i="39" s="1"/>
  <c r="BP75" i="9" s="1"/>
  <c r="N109" i="39"/>
  <c r="O109" i="39" s="1"/>
  <c r="N110" i="39"/>
  <c r="O110" i="39" s="1"/>
  <c r="BP77" i="9" s="1"/>
  <c r="N111" i="39"/>
  <c r="O111" i="39" s="1"/>
  <c r="N112" i="39"/>
  <c r="O112" i="39" s="1"/>
  <c r="BP79" i="9" s="1"/>
  <c r="N113" i="39"/>
  <c r="O113" i="39" s="1"/>
  <c r="BP102" i="9" s="1"/>
  <c r="N114" i="39"/>
  <c r="O114" i="39" s="1"/>
  <c r="BP80" i="9" s="1"/>
  <c r="N115" i="39"/>
  <c r="O115" i="39" s="1"/>
  <c r="N116" i="39"/>
  <c r="O116" i="39" s="1"/>
  <c r="BP82" i="9" s="1"/>
  <c r="N117" i="39"/>
  <c r="O117" i="39" s="1"/>
  <c r="N118" i="39"/>
  <c r="O118" i="39" s="1"/>
  <c r="BP84" i="9" s="1"/>
  <c r="N119" i="39"/>
  <c r="O119" i="39" s="1"/>
  <c r="N120" i="39"/>
  <c r="O120" i="39" s="1"/>
  <c r="N121" i="39"/>
  <c r="O121" i="39" s="1"/>
  <c r="N122" i="39"/>
  <c r="O122" i="39" s="1"/>
  <c r="BP88" i="9" s="1"/>
  <c r="N123" i="39"/>
  <c r="O123" i="39" s="1"/>
  <c r="BP90" i="9" s="1"/>
  <c r="N124" i="39"/>
  <c r="O124" i="39" s="1"/>
  <c r="BP91" i="9" s="1"/>
  <c r="N125" i="39"/>
  <c r="O125" i="39" s="1"/>
  <c r="N126" i="39"/>
  <c r="O126" i="39" s="1"/>
  <c r="N127" i="39"/>
  <c r="O127" i="39" s="1"/>
  <c r="N128" i="39"/>
  <c r="O128" i="39" s="1"/>
  <c r="BP95" i="9" s="1"/>
  <c r="N129" i="39"/>
  <c r="O129" i="39" s="1"/>
  <c r="BP96" i="9" s="1"/>
  <c r="N130" i="39"/>
  <c r="O130" i="39" s="1"/>
  <c r="BP98" i="9" s="1"/>
  <c r="N131" i="39"/>
  <c r="O131" i="39" s="1"/>
  <c r="BP99" i="9" s="1"/>
  <c r="N132" i="39"/>
  <c r="O132" i="39" s="1"/>
  <c r="N133" i="39"/>
  <c r="O133" i="39" s="1"/>
  <c r="N134" i="39"/>
  <c r="O134" i="39" s="1"/>
  <c r="N135" i="39"/>
  <c r="O135" i="39" s="1"/>
  <c r="N136" i="39"/>
  <c r="O136" i="39" s="1"/>
  <c r="N137" i="39"/>
  <c r="O137" i="39" s="1"/>
  <c r="N138" i="39"/>
  <c r="N139" i="39"/>
  <c r="O139" i="39" s="1"/>
  <c r="N140" i="39"/>
  <c r="O140" i="39" s="1"/>
  <c r="N141" i="39"/>
  <c r="O141" i="39" s="1"/>
  <c r="N142" i="39"/>
  <c r="O142" i="39" s="1"/>
  <c r="BP103" i="9" s="1"/>
  <c r="N143" i="39"/>
  <c r="O143" i="39" s="1"/>
  <c r="N144" i="39"/>
  <c r="O144" i="39" s="1"/>
  <c r="N145" i="39"/>
  <c r="O145" i="39" s="1"/>
  <c r="N146" i="39"/>
  <c r="N147" i="39"/>
  <c r="O147" i="39" s="1"/>
  <c r="BP105" i="9" s="1"/>
  <c r="N148" i="39"/>
  <c r="O148" i="39" s="1"/>
  <c r="N149" i="39"/>
  <c r="O149" i="39" s="1"/>
  <c r="N150" i="39"/>
  <c r="O150" i="39" s="1"/>
  <c r="N151" i="39"/>
  <c r="O151" i="39" s="1"/>
  <c r="N152" i="39"/>
  <c r="O152" i="39" s="1"/>
  <c r="BP109" i="9" s="1"/>
  <c r="N153" i="39"/>
  <c r="O153" i="39" s="1"/>
  <c r="N154" i="39"/>
  <c r="O154" i="39" s="1"/>
  <c r="N155" i="39"/>
  <c r="O155" i="39" s="1"/>
  <c r="BP111" i="9" s="1"/>
  <c r="N156" i="39"/>
  <c r="O156" i="39" s="1"/>
  <c r="N157" i="39"/>
  <c r="O157" i="39" s="1"/>
  <c r="N158" i="39"/>
  <c r="N159" i="39"/>
  <c r="O159" i="39" s="1"/>
  <c r="BP126" i="9" s="1"/>
  <c r="N160" i="39"/>
  <c r="O160" i="39" s="1"/>
  <c r="N161" i="39"/>
  <c r="O161" i="39" s="1"/>
  <c r="BP116" i="9" s="1"/>
  <c r="N162" i="39"/>
  <c r="O162" i="39" s="1"/>
  <c r="N163" i="39"/>
  <c r="O163" i="39" s="1"/>
  <c r="BP119" i="9" s="1"/>
  <c r="N164" i="39"/>
  <c r="O164" i="39" s="1"/>
  <c r="BP120" i="9" s="1"/>
  <c r="N165" i="39"/>
  <c r="N166" i="39"/>
  <c r="O166" i="39" s="1"/>
  <c r="N167" i="39"/>
  <c r="O167" i="39" s="1"/>
  <c r="N168" i="39"/>
  <c r="O168" i="39" s="1"/>
  <c r="N169" i="39"/>
  <c r="O169" i="39" s="1"/>
  <c r="BP127" i="9" s="1"/>
  <c r="N170" i="39"/>
  <c r="N171" i="39"/>
  <c r="O171" i="39" s="1"/>
  <c r="N172" i="39"/>
  <c r="O172" i="39" s="1"/>
  <c r="N173" i="39"/>
  <c r="O173" i="39" s="1"/>
  <c r="N174" i="39"/>
  <c r="O174" i="39" s="1"/>
  <c r="N175" i="39"/>
  <c r="O175" i="39" s="1"/>
  <c r="N176" i="39"/>
  <c r="O176" i="39" s="1"/>
  <c r="N177" i="39"/>
  <c r="O177" i="39" s="1"/>
  <c r="BP133" i="9"/>
  <c r="N178" i="39"/>
  <c r="O178" i="39" s="1"/>
  <c r="N179" i="39"/>
  <c r="O179" i="39" s="1"/>
  <c r="BP135" i="9" s="1"/>
  <c r="N180" i="39"/>
  <c r="N181" i="39"/>
  <c r="O181" i="39" s="1"/>
  <c r="BP137" i="9" s="1"/>
  <c r="N182" i="39"/>
  <c r="O182" i="39" s="1"/>
  <c r="BP139" i="9" s="1"/>
  <c r="N183" i="39"/>
  <c r="O183" i="39" s="1"/>
  <c r="BP140" i="9" s="1"/>
  <c r="N184" i="39"/>
  <c r="O184" i="39" s="1"/>
  <c r="BP141" i="9" s="1"/>
  <c r="N185" i="39"/>
  <c r="O185" i="39" s="1"/>
  <c r="BP142" i="9" s="1"/>
  <c r="N186" i="39"/>
  <c r="O186" i="39" s="1"/>
  <c r="BP143" i="9" s="1"/>
  <c r="N187" i="39"/>
  <c r="O187" i="39" s="1"/>
  <c r="BP144" i="9" s="1"/>
  <c r="N188" i="39"/>
  <c r="O188" i="39" s="1"/>
  <c r="N189" i="39"/>
  <c r="O189" i="39" s="1"/>
  <c r="N190" i="39"/>
  <c r="O190" i="39" s="1"/>
  <c r="N191" i="39"/>
  <c r="O191" i="39" s="1"/>
  <c r="BP146" i="9" s="1"/>
  <c r="N192" i="39"/>
  <c r="O192" i="39" s="1"/>
  <c r="BP147" i="9" s="1"/>
  <c r="N193" i="39"/>
  <c r="O193" i="39" s="1"/>
  <c r="N194" i="39"/>
  <c r="O194" i="39" s="1"/>
  <c r="N195" i="39"/>
  <c r="O195" i="39" s="1"/>
  <c r="N196" i="39"/>
  <c r="O196" i="39" s="1"/>
  <c r="N197" i="39"/>
  <c r="O197" i="39" s="1"/>
  <c r="BP150" i="9" s="1"/>
  <c r="N198" i="39"/>
  <c r="O198" i="39" s="1"/>
  <c r="BP151" i="9" s="1"/>
  <c r="N199" i="39"/>
  <c r="O199" i="39" s="1"/>
  <c r="BP152" i="9" s="1"/>
  <c r="N6" i="39"/>
  <c r="O6" i="39" s="1"/>
  <c r="BP4" i="9" s="1"/>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O180" i="39"/>
  <c r="BP136" i="9" s="1"/>
  <c r="O72" i="39"/>
  <c r="O13" i="39"/>
  <c r="BP13" i="9" s="1"/>
  <c r="O170" i="39"/>
  <c r="BP129" i="9" s="1"/>
  <c r="O158" i="39"/>
  <c r="BP113" i="9" s="1"/>
  <c r="O146" i="39"/>
  <c r="BP128" i="9" s="1"/>
  <c r="O138" i="39"/>
  <c r="BP69" i="9"/>
  <c r="O90" i="39"/>
  <c r="O70" i="39"/>
  <c r="BP52" i="9" s="1"/>
  <c r="O34" i="39"/>
  <c r="BP32" i="9" s="1"/>
  <c r="O30" i="39"/>
  <c r="BP28" i="9" s="1"/>
  <c r="O165" i="39"/>
  <c r="BP121" i="9" s="1"/>
  <c r="O2" i="32"/>
  <c r="O3" i="32"/>
  <c r="O4" i="32"/>
  <c r="O5" i="32"/>
  <c r="O6" i="32"/>
  <c r="O7" i="32"/>
  <c r="O8" i="32"/>
  <c r="O9" i="32"/>
  <c r="O10" i="32"/>
  <c r="O11" i="32"/>
  <c r="O12" i="32"/>
  <c r="O13" i="32"/>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C56" i="13"/>
  <c r="C50" i="13"/>
  <c r="C12" i="13"/>
  <c r="C83" i="13"/>
  <c r="C80" i="13"/>
  <c r="C46" i="13"/>
  <c r="C45" i="13"/>
  <c r="C8" i="13"/>
  <c r="BY152" i="9"/>
  <c r="BZ152" i="9" s="1"/>
  <c r="BY151" i="9"/>
  <c r="BZ151" i="9" s="1"/>
  <c r="BY150" i="9"/>
  <c r="BZ150" i="9" s="1"/>
  <c r="BY149" i="9"/>
  <c r="BZ149" i="9" s="1"/>
  <c r="BY148" i="9"/>
  <c r="BZ148" i="9" s="1"/>
  <c r="BY147" i="9"/>
  <c r="BY146" i="9"/>
  <c r="BZ146" i="9"/>
  <c r="BY145" i="9"/>
  <c r="BZ145" i="9" s="1"/>
  <c r="BY144" i="9"/>
  <c r="BY143" i="9"/>
  <c r="BZ143" i="9" s="1"/>
  <c r="BY142" i="9"/>
  <c r="BY141" i="9"/>
  <c r="BZ141" i="9" s="1"/>
  <c r="BY140" i="9"/>
  <c r="BZ140" i="9" s="1"/>
  <c r="BY139" i="9"/>
  <c r="BY138" i="9"/>
  <c r="BZ138" i="9" s="1"/>
  <c r="BY137" i="9"/>
  <c r="BY136" i="9"/>
  <c r="BZ136" i="9" s="1"/>
  <c r="BY135" i="9"/>
  <c r="BZ135" i="9" s="1"/>
  <c r="BY134" i="9"/>
  <c r="BY133" i="9"/>
  <c r="BZ133" i="9" s="1"/>
  <c r="BY132" i="9"/>
  <c r="BZ132" i="9" s="1"/>
  <c r="BY130" i="9"/>
  <c r="BZ130" i="9" s="1"/>
  <c r="BY129" i="9"/>
  <c r="BZ129" i="9" s="1"/>
  <c r="BY128" i="9"/>
  <c r="BY127" i="9"/>
  <c r="BY126" i="9"/>
  <c r="BY125" i="9"/>
  <c r="BZ125" i="9" s="1"/>
  <c r="BY124" i="9"/>
  <c r="BY123" i="9"/>
  <c r="BZ123" i="9" s="1"/>
  <c r="BY122" i="9"/>
  <c r="BZ122" i="9" s="1"/>
  <c r="BY121" i="9"/>
  <c r="BZ121" i="9" s="1"/>
  <c r="BY120" i="9"/>
  <c r="BZ120" i="9" s="1"/>
  <c r="BY119" i="9"/>
  <c r="BZ119" i="9" s="1"/>
  <c r="BY118" i="9"/>
  <c r="BZ118" i="9" s="1"/>
  <c r="BY117" i="9"/>
  <c r="BZ117" i="9" s="1"/>
  <c r="BY116" i="9"/>
  <c r="BZ116" i="9" s="1"/>
  <c r="BY115" i="9"/>
  <c r="BZ115" i="9" s="1"/>
  <c r="BY114" i="9"/>
  <c r="BY113" i="9"/>
  <c r="BZ113" i="9" s="1"/>
  <c r="BY112" i="9"/>
  <c r="BZ112" i="9" s="1"/>
  <c r="BY111" i="9"/>
  <c r="BZ111" i="9" s="1"/>
  <c r="BY110" i="9"/>
  <c r="BZ110" i="9" s="1"/>
  <c r="BY109" i="9"/>
  <c r="BY108" i="9"/>
  <c r="BZ108" i="9" s="1"/>
  <c r="BY107" i="9"/>
  <c r="BZ107" i="9" s="1"/>
  <c r="BY106" i="9"/>
  <c r="BZ106" i="9" s="1"/>
  <c r="BY105" i="9"/>
  <c r="BZ105" i="9" s="1"/>
  <c r="BY104" i="9"/>
  <c r="BZ104" i="9" s="1"/>
  <c r="BY103" i="9"/>
  <c r="BZ103" i="9" s="1"/>
  <c r="BY102" i="9"/>
  <c r="BZ102" i="9" s="1"/>
  <c r="BY101" i="9"/>
  <c r="BZ101" i="9" s="1"/>
  <c r="BY100" i="9"/>
  <c r="BZ100" i="9"/>
  <c r="BY99" i="9"/>
  <c r="BZ99" i="9" s="1"/>
  <c r="BY98" i="9"/>
  <c r="BZ98" i="9" s="1"/>
  <c r="BY97" i="9"/>
  <c r="BZ97" i="9" s="1"/>
  <c r="BY96" i="9"/>
  <c r="BZ96" i="9" s="1"/>
  <c r="BY95" i="9"/>
  <c r="BZ95" i="9" s="1"/>
  <c r="BY94" i="9"/>
  <c r="BZ94" i="9" s="1"/>
  <c r="BY93" i="9"/>
  <c r="BY92" i="9"/>
  <c r="BZ92" i="9" s="1"/>
  <c r="BY91" i="9"/>
  <c r="BY90" i="9"/>
  <c r="BY89" i="9"/>
  <c r="BY88" i="9"/>
  <c r="BZ88" i="9" s="1"/>
  <c r="BY87" i="9"/>
  <c r="BZ87" i="9" s="1"/>
  <c r="BY86" i="9"/>
  <c r="BZ86" i="9" s="1"/>
  <c r="BY85" i="9"/>
  <c r="BZ85" i="9" s="1"/>
  <c r="BY84" i="9"/>
  <c r="BZ84" i="9" s="1"/>
  <c r="BY83" i="9"/>
  <c r="BY82" i="9"/>
  <c r="BZ82" i="9"/>
  <c r="BY81" i="9"/>
  <c r="BZ81" i="9" s="1"/>
  <c r="BY80" i="9"/>
  <c r="BZ80" i="9" s="1"/>
  <c r="BY79" i="9"/>
  <c r="BZ79" i="9" s="1"/>
  <c r="BY78" i="9"/>
  <c r="BZ78" i="9" s="1"/>
  <c r="BY77" i="9"/>
  <c r="BZ77" i="9" s="1"/>
  <c r="BY76" i="9"/>
  <c r="BZ76" i="9" s="1"/>
  <c r="BY75" i="9"/>
  <c r="BZ75" i="9" s="1"/>
  <c r="BY74" i="9"/>
  <c r="BZ74" i="9" s="1"/>
  <c r="BY73" i="9"/>
  <c r="BY72" i="9"/>
  <c r="BZ72" i="9" s="1"/>
  <c r="BY71" i="9"/>
  <c r="BY70" i="9"/>
  <c r="BY69" i="9"/>
  <c r="BZ69" i="9" s="1"/>
  <c r="BY68" i="9"/>
  <c r="BZ68" i="9" s="1"/>
  <c r="BY67" i="9"/>
  <c r="BZ67" i="9" s="1"/>
  <c r="BY66" i="9"/>
  <c r="BZ66" i="9" s="1"/>
  <c r="BY65" i="9"/>
  <c r="BZ65" i="9" s="1"/>
  <c r="BY64" i="9"/>
  <c r="BZ64" i="9" s="1"/>
  <c r="BY63" i="9"/>
  <c r="BZ63" i="9" s="1"/>
  <c r="BY62" i="9"/>
  <c r="BY61" i="9"/>
  <c r="BZ61" i="9" s="1"/>
  <c r="BY60" i="9"/>
  <c r="BY59" i="9"/>
  <c r="BZ59" i="9" s="1"/>
  <c r="BY58" i="9"/>
  <c r="BZ58" i="9" s="1"/>
  <c r="BY57" i="9"/>
  <c r="BZ57" i="9" s="1"/>
  <c r="BY56" i="9"/>
  <c r="BY55" i="9"/>
  <c r="BZ55" i="9" s="1"/>
  <c r="BY54" i="9"/>
  <c r="BZ54" i="9" s="1"/>
  <c r="BY53" i="9"/>
  <c r="BZ53" i="9" s="1"/>
  <c r="BY52" i="9"/>
  <c r="BZ52" i="9" s="1"/>
  <c r="BY51" i="9"/>
  <c r="BY50" i="9"/>
  <c r="BZ50" i="9" s="1"/>
  <c r="BY49" i="9"/>
  <c r="BY48" i="9"/>
  <c r="BZ48" i="9" s="1"/>
  <c r="BY47" i="9"/>
  <c r="BZ47" i="9" s="1"/>
  <c r="BY46" i="9"/>
  <c r="BY45" i="9"/>
  <c r="BY44" i="9"/>
  <c r="BZ44" i="9" s="1"/>
  <c r="BY43" i="9"/>
  <c r="BZ43" i="9" s="1"/>
  <c r="BY42" i="9"/>
  <c r="BY41" i="9"/>
  <c r="BZ41" i="9" s="1"/>
  <c r="BY40" i="9"/>
  <c r="BZ40" i="9" s="1"/>
  <c r="BY39" i="9"/>
  <c r="BZ39" i="9" s="1"/>
  <c r="BY38" i="9"/>
  <c r="BZ38" i="9" s="1"/>
  <c r="BY37" i="9"/>
  <c r="BZ37" i="9" s="1"/>
  <c r="BY36" i="9"/>
  <c r="BZ36" i="9" s="1"/>
  <c r="BY35" i="9"/>
  <c r="BZ35" i="9" s="1"/>
  <c r="BY34" i="9"/>
  <c r="BZ34" i="9" s="1"/>
  <c r="BY33" i="9"/>
  <c r="BZ33" i="9" s="1"/>
  <c r="BY32" i="9"/>
  <c r="BZ32" i="9" s="1"/>
  <c r="BY31" i="9"/>
  <c r="BZ31" i="9" s="1"/>
  <c r="BY30" i="9"/>
  <c r="BZ30" i="9" s="1"/>
  <c r="BY29" i="9"/>
  <c r="BZ29" i="9" s="1"/>
  <c r="BY28" i="9"/>
  <c r="BZ28" i="9"/>
  <c r="BY27" i="9"/>
  <c r="BZ27" i="9" s="1"/>
  <c r="BY26" i="9"/>
  <c r="BZ26" i="9" s="1"/>
  <c r="BY25" i="9"/>
  <c r="BY24" i="9"/>
  <c r="BZ24" i="9"/>
  <c r="BY23" i="9"/>
  <c r="BZ23" i="9" s="1"/>
  <c r="BY22" i="9"/>
  <c r="BY21" i="9"/>
  <c r="BZ21" i="9" s="1"/>
  <c r="BY20" i="9"/>
  <c r="BZ20" i="9" s="1"/>
  <c r="BY19" i="9"/>
  <c r="BZ19" i="9" s="1"/>
  <c r="BY18" i="9"/>
  <c r="BY17" i="9"/>
  <c r="BY16" i="9"/>
  <c r="BZ16" i="9" s="1"/>
  <c r="BY15" i="9"/>
  <c r="BZ15" i="9" s="1"/>
  <c r="BY14" i="9"/>
  <c r="BZ14" i="9" s="1"/>
  <c r="BY13" i="9"/>
  <c r="BZ13" i="9" s="1"/>
  <c r="BY12" i="9"/>
  <c r="BZ12" i="9" s="1"/>
  <c r="BY11" i="9"/>
  <c r="BZ11" i="9"/>
  <c r="BY10" i="9"/>
  <c r="BY9" i="9"/>
  <c r="BZ9" i="9" s="1"/>
  <c r="BY8" i="9"/>
  <c r="BZ8" i="9" s="1"/>
  <c r="BY7" i="9"/>
  <c r="BZ7" i="9" s="1"/>
  <c r="BY6" i="9"/>
  <c r="BY5" i="9"/>
  <c r="BZ5" i="9" s="1"/>
  <c r="BY4" i="9"/>
  <c r="BZ4" i="9" s="1"/>
  <c r="N69" i="32"/>
  <c r="D11" i="38"/>
  <c r="BW5" i="9"/>
  <c r="BW6" i="9"/>
  <c r="BW7" i="9"/>
  <c r="BW8" i="9"/>
  <c r="BW9" i="9"/>
  <c r="BW10" i="9"/>
  <c r="BW11" i="9"/>
  <c r="BW13" i="9"/>
  <c r="BW14" i="9"/>
  <c r="BW15" i="9"/>
  <c r="CK15" i="9" s="1"/>
  <c r="BW16" i="9"/>
  <c r="BW17" i="9"/>
  <c r="BW18" i="9"/>
  <c r="BW19" i="9"/>
  <c r="CK19" i="9" s="1"/>
  <c r="BW20" i="9"/>
  <c r="BW21" i="9"/>
  <c r="BW22" i="9"/>
  <c r="BW23" i="9"/>
  <c r="BW24" i="9"/>
  <c r="BW25" i="9"/>
  <c r="BW26" i="9"/>
  <c r="BW27" i="9"/>
  <c r="BW28" i="9"/>
  <c r="BW29" i="9"/>
  <c r="BW30" i="9"/>
  <c r="BW31" i="9"/>
  <c r="BW32" i="9"/>
  <c r="BW33" i="9"/>
  <c r="BW34" i="9"/>
  <c r="BW35" i="9"/>
  <c r="BW36" i="9"/>
  <c r="BW37" i="9"/>
  <c r="BW38" i="9"/>
  <c r="BW39" i="9"/>
  <c r="BW40" i="9"/>
  <c r="BW41" i="9"/>
  <c r="BW42" i="9"/>
  <c r="BW43" i="9"/>
  <c r="BW44" i="9"/>
  <c r="BW45" i="9"/>
  <c r="BW46" i="9"/>
  <c r="BW47" i="9"/>
  <c r="BW48" i="9"/>
  <c r="BW49" i="9"/>
  <c r="BW50" i="9"/>
  <c r="BW51" i="9"/>
  <c r="BW52" i="9"/>
  <c r="BW53" i="9"/>
  <c r="BW54" i="9"/>
  <c r="BW55" i="9"/>
  <c r="BW56" i="9"/>
  <c r="BW57" i="9"/>
  <c r="BW58" i="9"/>
  <c r="BW59" i="9"/>
  <c r="BW60" i="9"/>
  <c r="BW61" i="9"/>
  <c r="BW62" i="9"/>
  <c r="BW63" i="9"/>
  <c r="BW64" i="9"/>
  <c r="BW65" i="9"/>
  <c r="BW66" i="9"/>
  <c r="BW67" i="9"/>
  <c r="BW68" i="9"/>
  <c r="BW69" i="9"/>
  <c r="BW70" i="9"/>
  <c r="BW71" i="9"/>
  <c r="BW72" i="9"/>
  <c r="BW73" i="9"/>
  <c r="BW74" i="9"/>
  <c r="BW75" i="9"/>
  <c r="CK75" i="9" s="1"/>
  <c r="BW76" i="9"/>
  <c r="BW77" i="9"/>
  <c r="BW78" i="9"/>
  <c r="BW79" i="9"/>
  <c r="BW80" i="9"/>
  <c r="BW81" i="9"/>
  <c r="BW82" i="9"/>
  <c r="BW83" i="9"/>
  <c r="CK83" i="9" s="1"/>
  <c r="BW84" i="9"/>
  <c r="BW85" i="9"/>
  <c r="BW86" i="9"/>
  <c r="BW87" i="9"/>
  <c r="BW88" i="9"/>
  <c r="BW89" i="9"/>
  <c r="BW90" i="9"/>
  <c r="BW91" i="9"/>
  <c r="CK91" i="9" s="1"/>
  <c r="BW92" i="9"/>
  <c r="BW93" i="9"/>
  <c r="BW94" i="9"/>
  <c r="BW95" i="9"/>
  <c r="BW96" i="9"/>
  <c r="BW97" i="9"/>
  <c r="BW98" i="9"/>
  <c r="BW99" i="9"/>
  <c r="BW100" i="9"/>
  <c r="BW101" i="9"/>
  <c r="BW102" i="9"/>
  <c r="BW103" i="9"/>
  <c r="BW104" i="9"/>
  <c r="BW105" i="9"/>
  <c r="BW106" i="9"/>
  <c r="BW107" i="9"/>
  <c r="CK107" i="9" s="1"/>
  <c r="BW108" i="9"/>
  <c r="BW109" i="9"/>
  <c r="BW110" i="9"/>
  <c r="BW111" i="9"/>
  <c r="BW112" i="9"/>
  <c r="BW113" i="9"/>
  <c r="BW114" i="9"/>
  <c r="BW115" i="9"/>
  <c r="CK115" i="9" s="1"/>
  <c r="BW116" i="9"/>
  <c r="BW117" i="9"/>
  <c r="BW118" i="9"/>
  <c r="BW119" i="9"/>
  <c r="BW120" i="9"/>
  <c r="BW121" i="9"/>
  <c r="BW122" i="9"/>
  <c r="BW123" i="9"/>
  <c r="BW124" i="9"/>
  <c r="BW125" i="9"/>
  <c r="BW126" i="9"/>
  <c r="BW127" i="9"/>
  <c r="BW128" i="9"/>
  <c r="BW129" i="9"/>
  <c r="BW130" i="9"/>
  <c r="BW131" i="9"/>
  <c r="BW132" i="9"/>
  <c r="BW133" i="9"/>
  <c r="BW134" i="9"/>
  <c r="BW135" i="9"/>
  <c r="BW136" i="9"/>
  <c r="BW137" i="9"/>
  <c r="BW138" i="9"/>
  <c r="BW139" i="9"/>
  <c r="BW140" i="9"/>
  <c r="BW141" i="9"/>
  <c r="BW142" i="9"/>
  <c r="BW143" i="9"/>
  <c r="BW144" i="9"/>
  <c r="BW145" i="9"/>
  <c r="BW146" i="9"/>
  <c r="BW147" i="9"/>
  <c r="CK147" i="9" s="1"/>
  <c r="BW148" i="9"/>
  <c r="BW149" i="9"/>
  <c r="BW150" i="9"/>
  <c r="BW151" i="9"/>
  <c r="BW152" i="9"/>
  <c r="BW4" i="9"/>
  <c r="BE131" i="9"/>
  <c r="BF131" i="9" s="1"/>
  <c r="F2" i="32"/>
  <c r="BH4" i="9" s="1"/>
  <c r="F3" i="32"/>
  <c r="BH6" i="9" s="1"/>
  <c r="F4" i="32"/>
  <c r="BH7" i="9" s="1"/>
  <c r="F5" i="32"/>
  <c r="BH13" i="9" s="1"/>
  <c r="F6" i="32"/>
  <c r="BH16" i="9"/>
  <c r="F7" i="32"/>
  <c r="BH17" i="9" s="1"/>
  <c r="F8" i="32"/>
  <c r="BH18" i="9" s="1"/>
  <c r="F9" i="32"/>
  <c r="BH23" i="9" s="1"/>
  <c r="F10" i="32"/>
  <c r="F11" i="32"/>
  <c r="BH26" i="9" s="1"/>
  <c r="F12" i="32"/>
  <c r="BH27" i="9" s="1"/>
  <c r="F13" i="32"/>
  <c r="BH28" i="9"/>
  <c r="F14" i="32"/>
  <c r="BH29" i="9" s="1"/>
  <c r="F15" i="32"/>
  <c r="BH33" i="9" s="1"/>
  <c r="F16" i="32"/>
  <c r="BH35" i="9" s="1"/>
  <c r="F17" i="32"/>
  <c r="F18" i="32"/>
  <c r="BH34" i="9" s="1"/>
  <c r="F19" i="32"/>
  <c r="BH41" i="9" s="1"/>
  <c r="F20" i="32"/>
  <c r="BH42" i="9" s="1"/>
  <c r="F21" i="32"/>
  <c r="F22" i="32"/>
  <c r="BH46" i="9" s="1"/>
  <c r="F23" i="32"/>
  <c r="BH49" i="9" s="1"/>
  <c r="F24" i="32"/>
  <c r="F25" i="32"/>
  <c r="BH51" i="9"/>
  <c r="F26" i="32"/>
  <c r="BH53" i="9" s="1"/>
  <c r="F27" i="32"/>
  <c r="BH55" i="9" s="1"/>
  <c r="F28" i="32"/>
  <c r="F29" i="32"/>
  <c r="BH58" i="9" s="1"/>
  <c r="F30" i="32"/>
  <c r="F31" i="32"/>
  <c r="BH60" i="9" s="1"/>
  <c r="F32" i="32"/>
  <c r="BH61" i="9" s="1"/>
  <c r="F33" i="32"/>
  <c r="BH62" i="9" s="1"/>
  <c r="F34" i="32"/>
  <c r="BH63" i="9" s="1"/>
  <c r="F35" i="32"/>
  <c r="BH64" i="9" s="1"/>
  <c r="F36" i="32"/>
  <c r="BH70" i="9" s="1"/>
  <c r="F37" i="32"/>
  <c r="F38" i="32"/>
  <c r="BH74" i="9" s="1"/>
  <c r="F39" i="32"/>
  <c r="BH75" i="9" s="1"/>
  <c r="F40" i="32"/>
  <c r="BH77" i="9" s="1"/>
  <c r="F41" i="32"/>
  <c r="BH78" i="9" s="1"/>
  <c r="F42" i="32"/>
  <c r="BH80" i="9" s="1"/>
  <c r="F43" i="32"/>
  <c r="BH81" i="9" s="1"/>
  <c r="F44" i="32"/>
  <c r="BH83" i="9" s="1"/>
  <c r="F45" i="32"/>
  <c r="BH84" i="9" s="1"/>
  <c r="F46" i="32"/>
  <c r="BH86" i="9" s="1"/>
  <c r="F47" i="32"/>
  <c r="BH91" i="9" s="1"/>
  <c r="F48" i="32"/>
  <c r="BH94" i="9" s="1"/>
  <c r="F49" i="32"/>
  <c r="BH95" i="9" s="1"/>
  <c r="F50" i="32"/>
  <c r="BH98" i="9" s="1"/>
  <c r="F51" i="32"/>
  <c r="BH99" i="9"/>
  <c r="F52" i="32"/>
  <c r="BH100" i="9" s="1"/>
  <c r="F53" i="32"/>
  <c r="BH101" i="9" s="1"/>
  <c r="F54" i="32"/>
  <c r="BH128" i="9" s="1"/>
  <c r="F55" i="32"/>
  <c r="BH103" i="9" s="1"/>
  <c r="F56" i="32"/>
  <c r="BH106" i="9" s="1"/>
  <c r="F57" i="32"/>
  <c r="BH109" i="9" s="1"/>
  <c r="F58" i="32"/>
  <c r="F59" i="32"/>
  <c r="BH113" i="9" s="1"/>
  <c r="F60" i="32"/>
  <c r="BH126" i="9" s="1"/>
  <c r="F61" i="32"/>
  <c r="BH127" i="9" s="1"/>
  <c r="F62" i="32"/>
  <c r="BH115" i="9" s="1"/>
  <c r="F63" i="32"/>
  <c r="BH116" i="9" s="1"/>
  <c r="F64" i="32"/>
  <c r="BH119" i="9" s="1"/>
  <c r="F65" i="32"/>
  <c r="BH121" i="9" s="1"/>
  <c r="F66" i="32"/>
  <c r="BH123" i="9" s="1"/>
  <c r="F67" i="32"/>
  <c r="BH124" i="9" s="1"/>
  <c r="F68" i="32"/>
  <c r="F69" i="32"/>
  <c r="BH131" i="9" s="1"/>
  <c r="F70" i="32"/>
  <c r="BH132" i="9" s="1"/>
  <c r="F71" i="32"/>
  <c r="BH135" i="9" s="1"/>
  <c r="F72" i="32"/>
  <c r="BH136" i="9" s="1"/>
  <c r="F73" i="32"/>
  <c r="BH137" i="9" s="1"/>
  <c r="F74" i="32"/>
  <c r="F75" i="32"/>
  <c r="BH142" i="9" s="1"/>
  <c r="F76" i="32"/>
  <c r="F77" i="32"/>
  <c r="BH144" i="9" s="1"/>
  <c r="F78" i="32"/>
  <c r="BH133" i="9" s="1"/>
  <c r="F79" i="32"/>
  <c r="BH146" i="9" s="1"/>
  <c r="F80" i="32"/>
  <c r="BH147" i="9" s="1"/>
  <c r="F81" i="32"/>
  <c r="BH149" i="9" s="1"/>
  <c r="F82" i="32"/>
  <c r="BH150" i="9" s="1"/>
  <c r="F83" i="32"/>
  <c r="BH151" i="9" s="1"/>
  <c r="F84" i="32"/>
  <c r="BH152" i="9" s="1"/>
  <c r="L84" i="32"/>
  <c r="K84" i="32"/>
  <c r="I84" i="32"/>
  <c r="L83" i="32"/>
  <c r="K83" i="32"/>
  <c r="I83" i="32"/>
  <c r="L82" i="32"/>
  <c r="K82" i="32"/>
  <c r="I82" i="32"/>
  <c r="L81" i="32"/>
  <c r="K81" i="32"/>
  <c r="I81" i="32"/>
  <c r="L80" i="32"/>
  <c r="K80" i="32"/>
  <c r="I80" i="32"/>
  <c r="L79" i="32"/>
  <c r="K79" i="32"/>
  <c r="I79" i="32"/>
  <c r="L78" i="32"/>
  <c r="K78" i="32"/>
  <c r="I78" i="32"/>
  <c r="L77" i="32"/>
  <c r="K77" i="32"/>
  <c r="I77" i="32"/>
  <c r="L76" i="32"/>
  <c r="K76" i="32"/>
  <c r="I76" i="32"/>
  <c r="L75" i="32"/>
  <c r="K75" i="32"/>
  <c r="I75" i="32"/>
  <c r="L74" i="32"/>
  <c r="K74" i="32"/>
  <c r="I74" i="32"/>
  <c r="L73" i="32"/>
  <c r="K73" i="32"/>
  <c r="I73" i="32"/>
  <c r="L72" i="32"/>
  <c r="K72" i="32"/>
  <c r="I72" i="32"/>
  <c r="L71" i="32"/>
  <c r="K71" i="32"/>
  <c r="I71" i="32"/>
  <c r="L70" i="32"/>
  <c r="K70" i="32"/>
  <c r="I70" i="32"/>
  <c r="L69" i="32"/>
  <c r="K69" i="32"/>
  <c r="I69" i="32"/>
  <c r="L68" i="32"/>
  <c r="K68" i="32"/>
  <c r="I68" i="32"/>
  <c r="L67" i="32"/>
  <c r="K67" i="32"/>
  <c r="I67" i="32"/>
  <c r="L66" i="32"/>
  <c r="K66" i="32"/>
  <c r="I66" i="32"/>
  <c r="L65" i="32"/>
  <c r="K65" i="32"/>
  <c r="I65" i="32"/>
  <c r="L64" i="32"/>
  <c r="K64" i="32"/>
  <c r="I64" i="32"/>
  <c r="L63" i="32"/>
  <c r="K63" i="32"/>
  <c r="I63" i="32"/>
  <c r="L62" i="32"/>
  <c r="K62" i="32"/>
  <c r="I62" i="32"/>
  <c r="L61" i="32"/>
  <c r="K61" i="32"/>
  <c r="I61" i="32"/>
  <c r="L60" i="32"/>
  <c r="K60" i="32"/>
  <c r="I60" i="32"/>
  <c r="L59" i="32"/>
  <c r="K59" i="32"/>
  <c r="I59" i="32"/>
  <c r="L58" i="32"/>
  <c r="K58" i="32"/>
  <c r="I58" i="32"/>
  <c r="L57" i="32"/>
  <c r="K57" i="32"/>
  <c r="I57" i="32"/>
  <c r="L56" i="32"/>
  <c r="K56" i="32"/>
  <c r="I56" i="32"/>
  <c r="L55" i="32"/>
  <c r="K55" i="32"/>
  <c r="I55" i="32"/>
  <c r="L54" i="32"/>
  <c r="K54" i="32"/>
  <c r="I54" i="32"/>
  <c r="L53" i="32"/>
  <c r="K53" i="32"/>
  <c r="I53" i="32"/>
  <c r="L52" i="32"/>
  <c r="K52" i="32"/>
  <c r="I52" i="32"/>
  <c r="L51" i="32"/>
  <c r="K51" i="32"/>
  <c r="I51" i="32"/>
  <c r="L50" i="32"/>
  <c r="K50" i="32"/>
  <c r="I50" i="32"/>
  <c r="L49" i="32"/>
  <c r="K49" i="32"/>
  <c r="I49" i="32"/>
  <c r="L48" i="32"/>
  <c r="K48" i="32"/>
  <c r="I48" i="32"/>
  <c r="L47" i="32"/>
  <c r="K47" i="32"/>
  <c r="I47" i="32"/>
  <c r="L46" i="32"/>
  <c r="K46" i="32"/>
  <c r="I46" i="32"/>
  <c r="L45" i="32"/>
  <c r="K45" i="32"/>
  <c r="I45" i="32"/>
  <c r="L44" i="32"/>
  <c r="K44" i="32"/>
  <c r="I44" i="32"/>
  <c r="L43" i="32"/>
  <c r="K43" i="32"/>
  <c r="I43" i="32"/>
  <c r="L42" i="32"/>
  <c r="K42" i="32"/>
  <c r="I42" i="32"/>
  <c r="L41" i="32"/>
  <c r="K41" i="32"/>
  <c r="I41" i="32"/>
  <c r="L40" i="32"/>
  <c r="K40" i="32"/>
  <c r="I40" i="32"/>
  <c r="L39" i="32"/>
  <c r="K39" i="32"/>
  <c r="I39" i="32"/>
  <c r="L38" i="32"/>
  <c r="K38" i="32"/>
  <c r="I38" i="32"/>
  <c r="L37" i="32"/>
  <c r="K37" i="32"/>
  <c r="I37" i="32"/>
  <c r="L36" i="32"/>
  <c r="K36" i="32"/>
  <c r="I36" i="32"/>
  <c r="L35" i="32"/>
  <c r="K35" i="32"/>
  <c r="I35" i="32"/>
  <c r="L34" i="32"/>
  <c r="K34" i="32"/>
  <c r="I34" i="32"/>
  <c r="L33" i="32"/>
  <c r="K33" i="32"/>
  <c r="I33" i="32"/>
  <c r="L32" i="32"/>
  <c r="K32" i="32"/>
  <c r="I32" i="32"/>
  <c r="L31" i="32"/>
  <c r="K31" i="32"/>
  <c r="I31" i="32"/>
  <c r="L30" i="32"/>
  <c r="K30" i="32"/>
  <c r="I30" i="32"/>
  <c r="L29" i="32"/>
  <c r="K29" i="32"/>
  <c r="I29" i="32"/>
  <c r="L28" i="32"/>
  <c r="K28" i="32"/>
  <c r="I28" i="32"/>
  <c r="L27" i="32"/>
  <c r="K27" i="32"/>
  <c r="I27" i="32"/>
  <c r="L26" i="32"/>
  <c r="K26" i="32"/>
  <c r="I26" i="32"/>
  <c r="L25" i="32"/>
  <c r="K25" i="32"/>
  <c r="I25" i="32"/>
  <c r="L24" i="32"/>
  <c r="K24" i="32"/>
  <c r="I24" i="32"/>
  <c r="L23" i="32"/>
  <c r="K23" i="32"/>
  <c r="I23" i="32"/>
  <c r="L22" i="32"/>
  <c r="K22" i="32"/>
  <c r="I22" i="32"/>
  <c r="L21" i="32"/>
  <c r="K21" i="32"/>
  <c r="I21" i="32"/>
  <c r="L20" i="32"/>
  <c r="K20" i="32"/>
  <c r="I20" i="32"/>
  <c r="L19" i="32"/>
  <c r="K19" i="32"/>
  <c r="I19" i="32"/>
  <c r="L18" i="32"/>
  <c r="K18" i="32"/>
  <c r="I18" i="32"/>
  <c r="L17" i="32"/>
  <c r="K17" i="32"/>
  <c r="I17" i="32"/>
  <c r="L16" i="32"/>
  <c r="K16" i="32"/>
  <c r="I16" i="32"/>
  <c r="L15" i="32"/>
  <c r="K15" i="32"/>
  <c r="I15" i="32"/>
  <c r="L14" i="32"/>
  <c r="K14" i="32"/>
  <c r="I14" i="32"/>
  <c r="L13" i="32"/>
  <c r="K13" i="32"/>
  <c r="I13" i="32"/>
  <c r="L12" i="32"/>
  <c r="K12" i="32"/>
  <c r="I12" i="32"/>
  <c r="L11" i="32"/>
  <c r="K11" i="32"/>
  <c r="I11" i="32"/>
  <c r="L10" i="32"/>
  <c r="K10" i="32"/>
  <c r="I10" i="32"/>
  <c r="L9" i="32"/>
  <c r="K9" i="32"/>
  <c r="I9" i="32"/>
  <c r="L8" i="32"/>
  <c r="K8" i="32"/>
  <c r="I8" i="32"/>
  <c r="L7" i="32"/>
  <c r="K7" i="32"/>
  <c r="I7" i="32"/>
  <c r="L6" i="32"/>
  <c r="K6" i="32"/>
  <c r="I6" i="32"/>
  <c r="L5" i="32"/>
  <c r="K5" i="32"/>
  <c r="I5" i="32"/>
  <c r="L4" i="32"/>
  <c r="K4" i="32"/>
  <c r="I4" i="32"/>
  <c r="L3" i="32"/>
  <c r="K3" i="32"/>
  <c r="I3" i="32"/>
  <c r="L2" i="32"/>
  <c r="K2" i="32"/>
  <c r="I2" i="32"/>
  <c r="BI60" i="9"/>
  <c r="BH96" i="9"/>
  <c r="BH32" i="9"/>
  <c r="BI148" i="9"/>
  <c r="BI84" i="9"/>
  <c r="BH112" i="9"/>
  <c r="BH48" i="9"/>
  <c r="BI132" i="9"/>
  <c r="BI116" i="9"/>
  <c r="BI100" i="9"/>
  <c r="BI68" i="9"/>
  <c r="BH140" i="9"/>
  <c r="BH108" i="9"/>
  <c r="BH92" i="9"/>
  <c r="BH76" i="9"/>
  <c r="BH44" i="9"/>
  <c r="BH11" i="9"/>
  <c r="BI144" i="9"/>
  <c r="BI128" i="9"/>
  <c r="BI112" i="9"/>
  <c r="BI96" i="9"/>
  <c r="BI80" i="9"/>
  <c r="BI64" i="9"/>
  <c r="BH120" i="9"/>
  <c r="BH104" i="9"/>
  <c r="BH88" i="9"/>
  <c r="BH72" i="9"/>
  <c r="BH56" i="9"/>
  <c r="BH40" i="9"/>
  <c r="BH24" i="9"/>
  <c r="BI140" i="9"/>
  <c r="BI124" i="9"/>
  <c r="BI108" i="9"/>
  <c r="BI92" i="9"/>
  <c r="BI76" i="9"/>
  <c r="BI5" i="9"/>
  <c r="BI9" i="9"/>
  <c r="BI14" i="9"/>
  <c r="BI18" i="9"/>
  <c r="BZ18" i="9" s="1"/>
  <c r="BI22" i="9"/>
  <c r="BI26" i="9"/>
  <c r="BI30" i="9"/>
  <c r="BI34" i="9"/>
  <c r="BI38" i="9"/>
  <c r="BI42" i="9"/>
  <c r="BI46" i="9"/>
  <c r="BI50" i="9"/>
  <c r="BI54" i="9"/>
  <c r="BI58" i="9"/>
  <c r="BI62" i="9"/>
  <c r="BI66" i="9"/>
  <c r="BI70" i="9"/>
  <c r="BI74" i="9"/>
  <c r="BI78" i="9"/>
  <c r="BI82" i="9"/>
  <c r="BI86" i="9"/>
  <c r="BI90" i="9"/>
  <c r="BI94" i="9"/>
  <c r="BI98" i="9"/>
  <c r="BI102" i="9"/>
  <c r="BI106" i="9"/>
  <c r="BI110" i="9"/>
  <c r="BI114" i="9"/>
  <c r="BI118" i="9"/>
  <c r="BI122" i="9"/>
  <c r="BI126" i="9"/>
  <c r="BI130" i="9"/>
  <c r="BI134" i="9"/>
  <c r="BI138" i="9"/>
  <c r="BI142" i="9"/>
  <c r="BI146" i="9"/>
  <c r="BI150" i="9"/>
  <c r="BH5" i="9"/>
  <c r="BH9" i="9"/>
  <c r="BH14" i="9"/>
  <c r="BH22" i="9"/>
  <c r="BH30" i="9"/>
  <c r="BH38" i="9"/>
  <c r="BH50" i="9"/>
  <c r="BH54" i="9"/>
  <c r="BH66" i="9"/>
  <c r="BH82" i="9"/>
  <c r="BH90" i="9"/>
  <c r="BH102" i="9"/>
  <c r="BH110" i="9"/>
  <c r="BH114" i="9"/>
  <c r="BH118" i="9"/>
  <c r="BH122" i="9"/>
  <c r="BH130" i="9"/>
  <c r="BH134" i="9"/>
  <c r="BH138" i="9"/>
  <c r="BI7" i="9"/>
  <c r="BI11" i="9"/>
  <c r="BI16" i="9"/>
  <c r="BI20" i="9"/>
  <c r="BI28" i="9"/>
  <c r="BI32" i="9"/>
  <c r="BI36" i="9"/>
  <c r="BI40" i="9"/>
  <c r="BI44" i="9"/>
  <c r="BI48" i="9"/>
  <c r="BI52" i="9"/>
  <c r="BI6" i="9"/>
  <c r="BI10" i="9"/>
  <c r="BI15" i="9"/>
  <c r="BI19" i="9"/>
  <c r="BI23" i="9"/>
  <c r="BI27" i="9"/>
  <c r="BI31" i="9"/>
  <c r="BI35" i="9"/>
  <c r="BI39" i="9"/>
  <c r="BI43" i="9"/>
  <c r="BI47" i="9"/>
  <c r="BI51" i="9"/>
  <c r="BI55" i="9"/>
  <c r="BI59" i="9"/>
  <c r="BI63" i="9"/>
  <c r="BI67" i="9"/>
  <c r="BI71" i="9"/>
  <c r="BI75" i="9"/>
  <c r="BI79" i="9"/>
  <c r="BI83" i="9"/>
  <c r="BI87" i="9"/>
  <c r="BI91" i="9"/>
  <c r="BI95" i="9"/>
  <c r="BI99" i="9"/>
  <c r="BI103" i="9"/>
  <c r="BI107" i="9"/>
  <c r="BI111" i="9"/>
  <c r="BI115" i="9"/>
  <c r="BI119" i="9"/>
  <c r="BI123" i="9"/>
  <c r="BI127" i="9"/>
  <c r="BI131" i="9"/>
  <c r="BI135" i="9"/>
  <c r="BI139" i="9"/>
  <c r="BZ139" i="9" s="1"/>
  <c r="BI143" i="9"/>
  <c r="BI147" i="9"/>
  <c r="BI151" i="9"/>
  <c r="BH10" i="9"/>
  <c r="BH15" i="9"/>
  <c r="BH19" i="9"/>
  <c r="BH31" i="9"/>
  <c r="BH39" i="9"/>
  <c r="BH43" i="9"/>
  <c r="BH47" i="9"/>
  <c r="BH59" i="9"/>
  <c r="BH67" i="9"/>
  <c r="BH71" i="9"/>
  <c r="BH79" i="9"/>
  <c r="BH87" i="9"/>
  <c r="BH107" i="9"/>
  <c r="BH111" i="9"/>
  <c r="BH139" i="9"/>
  <c r="BH143" i="9"/>
  <c r="BI24" i="9"/>
  <c r="BI8" i="9"/>
  <c r="BI13" i="9"/>
  <c r="BI17" i="9"/>
  <c r="BI21" i="9"/>
  <c r="BI25" i="9"/>
  <c r="BI29" i="9"/>
  <c r="BI33" i="9"/>
  <c r="BI37" i="9"/>
  <c r="BI41" i="9"/>
  <c r="BI45" i="9"/>
  <c r="BI49" i="9"/>
  <c r="BI53" i="9"/>
  <c r="BI57" i="9"/>
  <c r="BI61" i="9"/>
  <c r="BI65" i="9"/>
  <c r="BI69" i="9"/>
  <c r="BI73" i="9"/>
  <c r="BI77" i="9"/>
  <c r="BI81" i="9"/>
  <c r="BI85" i="9"/>
  <c r="BI89" i="9"/>
  <c r="BI93" i="9"/>
  <c r="BI97" i="9"/>
  <c r="BI101" i="9"/>
  <c r="BI105" i="9"/>
  <c r="BI109" i="9"/>
  <c r="BI113" i="9"/>
  <c r="BI117" i="9"/>
  <c r="BI121" i="9"/>
  <c r="BI125" i="9"/>
  <c r="BI129" i="9"/>
  <c r="BI133" i="9"/>
  <c r="BI137" i="9"/>
  <c r="BI141" i="9"/>
  <c r="BI145" i="9"/>
  <c r="BI149" i="9"/>
  <c r="BI4" i="9"/>
  <c r="BH8" i="9"/>
  <c r="BH21" i="9"/>
  <c r="BH25" i="9"/>
  <c r="BH37" i="9"/>
  <c r="BH45" i="9"/>
  <c r="BH57" i="9"/>
  <c r="BH65" i="9"/>
  <c r="BH69" i="9"/>
  <c r="BH73" i="9"/>
  <c r="BH85" i="9"/>
  <c r="BH89" i="9"/>
  <c r="BH93" i="9"/>
  <c r="BH97" i="9"/>
  <c r="BH105" i="9"/>
  <c r="BH117" i="9"/>
  <c r="BH125" i="9"/>
  <c r="BH129" i="9"/>
  <c r="BH141" i="9"/>
  <c r="BH145" i="9"/>
  <c r="BH148" i="9"/>
  <c r="BH68" i="9"/>
  <c r="BH52" i="9"/>
  <c r="BH36" i="9"/>
  <c r="BH20" i="9"/>
  <c r="BI152" i="9"/>
  <c r="BI136" i="9"/>
  <c r="BI120" i="9"/>
  <c r="BI104" i="9"/>
  <c r="BI88" i="9"/>
  <c r="BI72" i="9"/>
  <c r="BI56" i="9"/>
  <c r="B4" i="26"/>
  <c r="B5" i="26"/>
  <c r="B6" i="26"/>
  <c r="B12" i="26"/>
  <c r="B13" i="26"/>
  <c r="B14" i="26"/>
  <c r="B15" i="26"/>
  <c r="B22" i="26"/>
  <c r="B24" i="26"/>
  <c r="B27" i="26"/>
  <c r="B31" i="26"/>
  <c r="B33" i="26"/>
  <c r="B34" i="26"/>
  <c r="B36" i="26"/>
  <c r="B39" i="26"/>
  <c r="B42" i="26"/>
  <c r="B43" i="26"/>
  <c r="B44" i="26"/>
  <c r="B48" i="26"/>
  <c r="B51" i="26"/>
  <c r="B52" i="26"/>
  <c r="B54" i="26"/>
  <c r="B57" i="26"/>
  <c r="B59" i="26"/>
  <c r="B60" i="26"/>
  <c r="B61" i="26"/>
  <c r="B62" i="26"/>
  <c r="B63" i="26"/>
  <c r="B65" i="26"/>
  <c r="B67" i="26"/>
  <c r="B68" i="26"/>
  <c r="B69" i="26"/>
  <c r="B70" i="26"/>
  <c r="B71" i="26"/>
  <c r="B73" i="26"/>
  <c r="B75" i="26"/>
  <c r="B76" i="26"/>
  <c r="B77" i="26"/>
  <c r="B78" i="26"/>
  <c r="B79" i="26"/>
  <c r="B83" i="26"/>
  <c r="B84" i="26"/>
  <c r="B85" i="26"/>
  <c r="B86" i="26"/>
  <c r="B87" i="26"/>
  <c r="B89" i="26"/>
  <c r="B90" i="26"/>
  <c r="B91" i="26"/>
  <c r="B92" i="26"/>
  <c r="B94" i="26"/>
  <c r="B95" i="26"/>
  <c r="BE4" i="9"/>
  <c r="BF4" i="9" s="1"/>
  <c r="B93" i="26"/>
  <c r="B88" i="26"/>
  <c r="B82" i="26"/>
  <c r="B81" i="26"/>
  <c r="B80" i="26"/>
  <c r="B74" i="26"/>
  <c r="B72" i="26"/>
  <c r="B66" i="26"/>
  <c r="B64" i="26"/>
  <c r="B58" i="26"/>
  <c r="B56" i="26"/>
  <c r="B55" i="26"/>
  <c r="B53" i="26"/>
  <c r="B50" i="26"/>
  <c r="B49" i="26"/>
  <c r="B47" i="26"/>
  <c r="B46" i="26"/>
  <c r="B41" i="26"/>
  <c r="B40" i="26"/>
  <c r="B38" i="26"/>
  <c r="B37" i="26"/>
  <c r="B35" i="26"/>
  <c r="B32" i="26"/>
  <c r="B30" i="26"/>
  <c r="B29" i="26"/>
  <c r="B28" i="26"/>
  <c r="B26" i="26"/>
  <c r="B25" i="26"/>
  <c r="B23" i="26"/>
  <c r="B21" i="26"/>
  <c r="B20" i="26"/>
  <c r="B19" i="26"/>
  <c r="B18" i="26"/>
  <c r="B17" i="26"/>
  <c r="B16" i="26"/>
  <c r="B11" i="26"/>
  <c r="B10" i="26"/>
  <c r="B9" i="26"/>
  <c r="B8" i="26"/>
  <c r="B3" i="26"/>
  <c r="C59" i="38"/>
  <c r="C50" i="38"/>
  <c r="BO70" i="9"/>
  <c r="I26" i="12"/>
  <c r="J26" i="12" s="1"/>
  <c r="I27" i="12"/>
  <c r="BA154" i="9"/>
  <c r="I22" i="17"/>
  <c r="J22" i="17"/>
  <c r="L22" i="17"/>
  <c r="H22" i="17"/>
  <c r="D152" i="38"/>
  <c r="E152" i="38"/>
  <c r="BO106" i="9"/>
  <c r="BO103" i="9"/>
  <c r="BX152" i="9"/>
  <c r="BX151" i="9"/>
  <c r="BX150" i="9"/>
  <c r="BX149" i="9"/>
  <c r="BX148" i="9"/>
  <c r="BX147" i="9"/>
  <c r="BX146" i="9"/>
  <c r="BX145" i="9"/>
  <c r="BX144" i="9"/>
  <c r="BX143" i="9"/>
  <c r="CK143" i="9" s="1"/>
  <c r="BX142" i="9"/>
  <c r="BX141" i="9"/>
  <c r="CK141" i="9" s="1"/>
  <c r="BX140" i="9"/>
  <c r="BX139" i="9"/>
  <c r="BX138" i="9"/>
  <c r="BX137" i="9"/>
  <c r="BX136" i="9"/>
  <c r="BX135" i="9"/>
  <c r="BX134" i="9"/>
  <c r="BX133" i="9"/>
  <c r="CK133" i="9" s="1"/>
  <c r="BX132" i="9"/>
  <c r="BX131" i="9"/>
  <c r="BX130" i="9"/>
  <c r="BX129" i="9"/>
  <c r="BX128" i="9"/>
  <c r="BX127" i="9"/>
  <c r="BX126" i="9"/>
  <c r="BX125" i="9"/>
  <c r="CK125" i="9" s="1"/>
  <c r="BX124" i="9"/>
  <c r="BX123" i="9"/>
  <c r="BX122" i="9"/>
  <c r="BX121" i="9"/>
  <c r="BX120" i="9"/>
  <c r="BX119" i="9"/>
  <c r="CK119" i="9"/>
  <c r="BX118" i="9"/>
  <c r="CK118" i="9" s="1"/>
  <c r="BX117" i="9"/>
  <c r="BX116" i="9"/>
  <c r="BX115" i="9"/>
  <c r="BX114" i="9"/>
  <c r="BX113" i="9"/>
  <c r="BX112" i="9"/>
  <c r="BX111" i="9"/>
  <c r="BX110" i="9"/>
  <c r="BX109" i="9"/>
  <c r="BX108" i="9"/>
  <c r="BX107" i="9"/>
  <c r="BX106" i="9"/>
  <c r="BX105" i="9"/>
  <c r="BX104" i="9"/>
  <c r="BX103" i="9"/>
  <c r="BX102" i="9"/>
  <c r="BX101" i="9"/>
  <c r="BX100" i="9"/>
  <c r="BX99" i="9"/>
  <c r="BX98" i="9"/>
  <c r="BX97" i="9"/>
  <c r="CK97" i="9"/>
  <c r="BX96" i="9"/>
  <c r="BX95" i="9"/>
  <c r="BX94" i="9"/>
  <c r="BX93" i="9"/>
  <c r="BX92" i="9"/>
  <c r="BX91" i="9"/>
  <c r="BX90" i="9"/>
  <c r="BX89" i="9"/>
  <c r="BX88" i="9"/>
  <c r="CK88" i="9" s="1"/>
  <c r="BX87" i="9"/>
  <c r="BX86" i="9"/>
  <c r="BX85" i="9"/>
  <c r="BX84" i="9"/>
  <c r="BX83" i="9"/>
  <c r="BX82" i="9"/>
  <c r="BX81" i="9"/>
  <c r="BX80" i="9"/>
  <c r="CK80" i="9" s="1"/>
  <c r="BX79" i="9"/>
  <c r="BX78" i="9"/>
  <c r="BX77" i="9"/>
  <c r="BX76" i="9"/>
  <c r="BX75" i="9"/>
  <c r="BX74" i="9"/>
  <c r="BX73" i="9"/>
  <c r="BX72" i="9"/>
  <c r="CK72" i="9" s="1"/>
  <c r="BX71" i="9"/>
  <c r="BX70" i="9"/>
  <c r="BX69" i="9"/>
  <c r="BX68" i="9"/>
  <c r="BX67" i="9"/>
  <c r="BX66" i="9"/>
  <c r="BX65" i="9"/>
  <c r="BX64" i="9"/>
  <c r="BX63" i="9"/>
  <c r="BX62" i="9"/>
  <c r="BX61" i="9"/>
  <c r="BX60" i="9"/>
  <c r="BX59" i="9"/>
  <c r="BX58" i="9"/>
  <c r="BX57" i="9"/>
  <c r="BX56" i="9"/>
  <c r="CK56" i="9" s="1"/>
  <c r="BX55" i="9"/>
  <c r="BX54" i="9"/>
  <c r="BX53" i="9"/>
  <c r="BX52" i="9"/>
  <c r="BX51" i="9"/>
  <c r="BX50" i="9"/>
  <c r="BX49" i="9"/>
  <c r="BX48" i="9"/>
  <c r="CK48" i="9" s="1"/>
  <c r="BX47" i="9"/>
  <c r="BX46" i="9"/>
  <c r="BX45" i="9"/>
  <c r="BX44" i="9"/>
  <c r="BX43" i="9"/>
  <c r="BX42" i="9"/>
  <c r="BX41" i="9"/>
  <c r="BX40" i="9"/>
  <c r="CK40" i="9" s="1"/>
  <c r="BX39" i="9"/>
  <c r="BX38" i="9"/>
  <c r="BX37" i="9"/>
  <c r="BX36" i="9"/>
  <c r="BX35" i="9"/>
  <c r="BX34" i="9"/>
  <c r="BX33" i="9"/>
  <c r="BX32" i="9"/>
  <c r="BX31" i="9"/>
  <c r="BX30" i="9"/>
  <c r="BX29" i="9"/>
  <c r="BX28" i="9"/>
  <c r="BX27" i="9"/>
  <c r="BX26" i="9"/>
  <c r="BX25" i="9"/>
  <c r="BX24" i="9"/>
  <c r="BX23" i="9"/>
  <c r="BX22" i="9"/>
  <c r="BX21" i="9"/>
  <c r="CK21" i="9" s="1"/>
  <c r="BX20" i="9"/>
  <c r="BX19" i="9"/>
  <c r="BX18" i="9"/>
  <c r="BX17" i="9"/>
  <c r="BX16" i="9"/>
  <c r="BX15" i="9"/>
  <c r="BX14" i="9"/>
  <c r="BX13" i="9"/>
  <c r="BX11" i="9"/>
  <c r="BX10" i="9"/>
  <c r="BX9" i="9"/>
  <c r="BX8" i="9"/>
  <c r="BX7" i="9"/>
  <c r="BX6" i="9"/>
  <c r="BX5" i="9"/>
  <c r="BX4" i="9"/>
  <c r="BC152" i="9"/>
  <c r="BC151" i="9"/>
  <c r="BC150" i="9"/>
  <c r="BC148" i="9"/>
  <c r="BC147" i="9"/>
  <c r="CI147" i="9" s="1"/>
  <c r="BC146" i="9"/>
  <c r="BC145" i="9"/>
  <c r="BC144" i="9"/>
  <c r="BC143" i="9"/>
  <c r="BC142" i="9"/>
  <c r="BC141" i="9"/>
  <c r="BC140" i="9"/>
  <c r="BC139" i="9"/>
  <c r="CI139" i="9" s="1"/>
  <c r="BC138" i="9"/>
  <c r="BC137" i="9"/>
  <c r="BC136" i="9"/>
  <c r="BC135" i="9"/>
  <c r="BC134" i="9"/>
  <c r="BC133" i="9"/>
  <c r="BC132" i="9"/>
  <c r="BC131" i="9"/>
  <c r="CI131" i="9" s="1"/>
  <c r="BC130" i="9"/>
  <c r="BC129" i="9"/>
  <c r="BC128" i="9"/>
  <c r="BC127" i="9"/>
  <c r="BC126" i="9"/>
  <c r="BC125" i="9"/>
  <c r="BC124" i="9"/>
  <c r="BC123" i="9"/>
  <c r="CI123" i="9" s="1"/>
  <c r="BC122" i="9"/>
  <c r="BC121" i="9"/>
  <c r="BC120" i="9"/>
  <c r="BC119" i="9"/>
  <c r="BC118" i="9"/>
  <c r="BC117" i="9"/>
  <c r="BC116" i="9"/>
  <c r="BC115" i="9"/>
  <c r="CI115" i="9" s="1"/>
  <c r="BC114" i="9"/>
  <c r="BC113" i="9"/>
  <c r="BC112" i="9"/>
  <c r="BC111" i="9"/>
  <c r="BC110" i="9"/>
  <c r="BC109" i="9"/>
  <c r="BC108" i="9"/>
  <c r="BC107" i="9"/>
  <c r="BC106" i="9"/>
  <c r="BC105" i="9"/>
  <c r="BC104" i="9"/>
  <c r="BC103" i="9"/>
  <c r="BC102" i="9"/>
  <c r="BC101" i="9"/>
  <c r="BC100" i="9"/>
  <c r="BC99" i="9"/>
  <c r="CI99" i="9" s="1"/>
  <c r="BC98" i="9"/>
  <c r="BC97" i="9"/>
  <c r="BC96" i="9"/>
  <c r="BC95" i="9"/>
  <c r="BC94" i="9"/>
  <c r="BC93" i="9"/>
  <c r="BC92" i="9"/>
  <c r="BC91" i="9"/>
  <c r="CI91" i="9" s="1"/>
  <c r="BC90" i="9"/>
  <c r="BC89" i="9"/>
  <c r="BC88" i="9"/>
  <c r="BC87" i="9"/>
  <c r="BC86" i="9"/>
  <c r="BC85" i="9"/>
  <c r="BC84" i="9"/>
  <c r="BC83" i="9"/>
  <c r="CI83" i="9" s="1"/>
  <c r="BC81" i="9"/>
  <c r="BC80" i="9"/>
  <c r="BC79" i="9"/>
  <c r="BC78" i="9"/>
  <c r="BC77" i="9"/>
  <c r="BC76" i="9"/>
  <c r="BC74" i="9"/>
  <c r="BC73" i="9"/>
  <c r="BC72" i="9"/>
  <c r="BC71" i="9"/>
  <c r="BC70" i="9"/>
  <c r="BC69" i="9"/>
  <c r="BC68" i="9"/>
  <c r="BC67" i="9"/>
  <c r="BC66" i="9"/>
  <c r="BC65" i="9"/>
  <c r="CI65" i="9" s="1"/>
  <c r="BC63" i="9"/>
  <c r="BC62" i="9"/>
  <c r="BC61" i="9"/>
  <c r="BC60" i="9"/>
  <c r="BC59" i="9"/>
  <c r="BC58" i="9"/>
  <c r="BC57" i="9"/>
  <c r="BC56" i="9"/>
  <c r="CI56" i="9" s="1"/>
  <c r="BC55" i="9"/>
  <c r="BC54" i="9"/>
  <c r="BC53" i="9"/>
  <c r="BC52" i="9"/>
  <c r="BC50" i="9"/>
  <c r="BC49" i="9"/>
  <c r="BC48" i="9"/>
  <c r="BC47" i="9"/>
  <c r="CI47" i="9" s="1"/>
  <c r="BC46" i="9"/>
  <c r="BC45" i="9"/>
  <c r="BC44" i="9"/>
  <c r="BC43" i="9"/>
  <c r="BC42" i="9"/>
  <c r="BC41" i="9"/>
  <c r="BC40" i="9"/>
  <c r="BC39" i="9"/>
  <c r="BC38" i="9"/>
  <c r="BC37" i="9"/>
  <c r="BC36" i="9"/>
  <c r="BC35" i="9"/>
  <c r="BC34" i="9"/>
  <c r="BC33" i="9"/>
  <c r="BC32" i="9"/>
  <c r="BC31" i="9"/>
  <c r="CI31" i="9" s="1"/>
  <c r="BC30" i="9"/>
  <c r="BC29" i="9"/>
  <c r="BC28" i="9"/>
  <c r="BC27" i="9"/>
  <c r="BC25" i="9"/>
  <c r="BC24" i="9"/>
  <c r="BC23" i="9"/>
  <c r="BC22" i="9"/>
  <c r="BC21" i="9"/>
  <c r="BC20" i="9"/>
  <c r="BC19" i="9"/>
  <c r="BC18" i="9"/>
  <c r="BC17" i="9"/>
  <c r="BC16" i="9"/>
  <c r="BC15" i="9"/>
  <c r="CI15" i="9" s="1"/>
  <c r="BC14" i="9"/>
  <c r="BC13" i="9"/>
  <c r="BC11" i="9"/>
  <c r="BC10" i="9"/>
  <c r="BC9" i="9"/>
  <c r="BC8" i="9"/>
  <c r="BC7" i="9"/>
  <c r="BC6" i="9"/>
  <c r="CI6" i="9" s="1"/>
  <c r="BC5" i="9"/>
  <c r="BC4" i="9"/>
  <c r="K21" i="17"/>
  <c r="BC82" i="9" s="1"/>
  <c r="K20" i="17"/>
  <c r="K16" i="17"/>
  <c r="K15" i="17"/>
  <c r="BC64" i="9" s="1"/>
  <c r="K14" i="17"/>
  <c r="K4" i="17"/>
  <c r="V149" i="9"/>
  <c r="V148" i="9"/>
  <c r="V147" i="9"/>
  <c r="V146" i="9"/>
  <c r="V145" i="9"/>
  <c r="V142" i="9"/>
  <c r="V140" i="9"/>
  <c r="V138" i="9"/>
  <c r="V137" i="9"/>
  <c r="V135" i="9"/>
  <c r="V134" i="9"/>
  <c r="V133" i="9"/>
  <c r="V131" i="9"/>
  <c r="V130" i="9"/>
  <c r="V127" i="9"/>
  <c r="V126" i="9"/>
  <c r="V125" i="9"/>
  <c r="V120" i="9"/>
  <c r="V117" i="9"/>
  <c r="V114" i="9"/>
  <c r="V112" i="9"/>
  <c r="V111" i="9"/>
  <c r="V110" i="9"/>
  <c r="V107" i="9"/>
  <c r="V104" i="9"/>
  <c r="V99" i="9"/>
  <c r="V97" i="9"/>
  <c r="V96" i="9"/>
  <c r="V93" i="9"/>
  <c r="V89" i="9"/>
  <c r="V88" i="9"/>
  <c r="V85" i="9"/>
  <c r="V83" i="9"/>
  <c r="V82" i="9"/>
  <c r="V79" i="9"/>
  <c r="V72" i="9"/>
  <c r="V71" i="9"/>
  <c r="V69" i="9"/>
  <c r="V67" i="9"/>
  <c r="V65" i="9"/>
  <c r="V63" i="9"/>
  <c r="V61" i="9"/>
  <c r="V57" i="9"/>
  <c r="V56" i="9"/>
  <c r="V51" i="9"/>
  <c r="V48" i="9"/>
  <c r="V47" i="9"/>
  <c r="V43" i="9"/>
  <c r="V42" i="9"/>
  <c r="V41" i="9"/>
  <c r="V40" i="9"/>
  <c r="V39" i="9"/>
  <c r="V37" i="9"/>
  <c r="V36" i="9"/>
  <c r="V32" i="9"/>
  <c r="V31" i="9"/>
  <c r="V30" i="9"/>
  <c r="V28" i="9"/>
  <c r="V23" i="9"/>
  <c r="V22" i="9"/>
  <c r="V21" i="9"/>
  <c r="V20" i="9"/>
  <c r="V19" i="9"/>
  <c r="V15" i="9"/>
  <c r="V14" i="9"/>
  <c r="V10" i="9"/>
  <c r="V8" i="9"/>
  <c r="V6" i="9"/>
  <c r="V5" i="9"/>
  <c r="CA16" i="9"/>
  <c r="CB16" i="9" s="1"/>
  <c r="CA18" i="9"/>
  <c r="CB18" i="9" s="1"/>
  <c r="CA19" i="9"/>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P154" i="9"/>
  <c r="BP153" i="9"/>
  <c r="AX5" i="9"/>
  <c r="AX6" i="9"/>
  <c r="AX7" i="9"/>
  <c r="AX8" i="9"/>
  <c r="AX9" i="9"/>
  <c r="AX10" i="9"/>
  <c r="AX11" i="9"/>
  <c r="AX13" i="9"/>
  <c r="AX14" i="9"/>
  <c r="CI14" i="9" s="1"/>
  <c r="AX15" i="9"/>
  <c r="AX16" i="9"/>
  <c r="AX17" i="9"/>
  <c r="AX18" i="9"/>
  <c r="AX19" i="9"/>
  <c r="AX20" i="9"/>
  <c r="AX21" i="9"/>
  <c r="AX22" i="9"/>
  <c r="CI22" i="9" s="1"/>
  <c r="AX23" i="9"/>
  <c r="AX24" i="9"/>
  <c r="AX25" i="9"/>
  <c r="AX26" i="9"/>
  <c r="AX27" i="9"/>
  <c r="AX28" i="9"/>
  <c r="AX29" i="9"/>
  <c r="AX30" i="9"/>
  <c r="AX31" i="9"/>
  <c r="AX32" i="9"/>
  <c r="AX33" i="9"/>
  <c r="AX34" i="9"/>
  <c r="AX35" i="9"/>
  <c r="AX36" i="9"/>
  <c r="AX37" i="9"/>
  <c r="AX38" i="9"/>
  <c r="AX39" i="9"/>
  <c r="AX40" i="9"/>
  <c r="AX41" i="9"/>
  <c r="AX42" i="9"/>
  <c r="AX43" i="9"/>
  <c r="AX44" i="9"/>
  <c r="AX45" i="9"/>
  <c r="AX46" i="9"/>
  <c r="CI46" i="9" s="1"/>
  <c r="AX47" i="9"/>
  <c r="AX48" i="9"/>
  <c r="AX49" i="9"/>
  <c r="AX50" i="9"/>
  <c r="AX52" i="9"/>
  <c r="AX53" i="9"/>
  <c r="AX54" i="9"/>
  <c r="AX55" i="9"/>
  <c r="CI55" i="9" s="1"/>
  <c r="AX56" i="9"/>
  <c r="AX57" i="9"/>
  <c r="AX58" i="9"/>
  <c r="AX59" i="9"/>
  <c r="AX60" i="9"/>
  <c r="AX61" i="9"/>
  <c r="AX62" i="9"/>
  <c r="AX63" i="9"/>
  <c r="AX64" i="9"/>
  <c r="AX65" i="9"/>
  <c r="AX66" i="9"/>
  <c r="AX67" i="9"/>
  <c r="AX68" i="9"/>
  <c r="AX69" i="9"/>
  <c r="AX70" i="9"/>
  <c r="AX71" i="9"/>
  <c r="CI71" i="9" s="1"/>
  <c r="AX72" i="9"/>
  <c r="AX73" i="9"/>
  <c r="AX74" i="9"/>
  <c r="AX75" i="9"/>
  <c r="AX76" i="9"/>
  <c r="AX77" i="9"/>
  <c r="AX78" i="9"/>
  <c r="AX79" i="9"/>
  <c r="AX80" i="9"/>
  <c r="AX81" i="9"/>
  <c r="AX82" i="9"/>
  <c r="AX83" i="9"/>
  <c r="AX84" i="9"/>
  <c r="AX85" i="9"/>
  <c r="AX86" i="9"/>
  <c r="AX87" i="9"/>
  <c r="AX88" i="9"/>
  <c r="AX89" i="9"/>
  <c r="AX90" i="9"/>
  <c r="AX91" i="9"/>
  <c r="AX92" i="9"/>
  <c r="AX93" i="9"/>
  <c r="AX94" i="9"/>
  <c r="AX95" i="9"/>
  <c r="AX96" i="9"/>
  <c r="AX97" i="9"/>
  <c r="AX98" i="9"/>
  <c r="AX99" i="9"/>
  <c r="AX100" i="9"/>
  <c r="AX101" i="9"/>
  <c r="AX102" i="9"/>
  <c r="AX103" i="9"/>
  <c r="CI103" i="9" s="1"/>
  <c r="AX104" i="9"/>
  <c r="AX105" i="9"/>
  <c r="AX106" i="9"/>
  <c r="AX107" i="9"/>
  <c r="AX108" i="9"/>
  <c r="AX109" i="9"/>
  <c r="AX110" i="9"/>
  <c r="AX111" i="9"/>
  <c r="AX112" i="9"/>
  <c r="AX113" i="9"/>
  <c r="AX114" i="9"/>
  <c r="AX115" i="9"/>
  <c r="AX116" i="9"/>
  <c r="AX117" i="9"/>
  <c r="AX118" i="9"/>
  <c r="AX119" i="9"/>
  <c r="CI119" i="9" s="1"/>
  <c r="AX120" i="9"/>
  <c r="AX121" i="9"/>
  <c r="AX122" i="9"/>
  <c r="AX123" i="9"/>
  <c r="AX124" i="9"/>
  <c r="AX125" i="9"/>
  <c r="AX126" i="9"/>
  <c r="AX127" i="9"/>
  <c r="AX128" i="9"/>
  <c r="AX129" i="9"/>
  <c r="AX130" i="9"/>
  <c r="AX131" i="9"/>
  <c r="AX132" i="9"/>
  <c r="AX133" i="9"/>
  <c r="AX134" i="9"/>
  <c r="AX135" i="9"/>
  <c r="AX136" i="9"/>
  <c r="AX137" i="9"/>
  <c r="AX138" i="9"/>
  <c r="AX139" i="9"/>
  <c r="AX140" i="9"/>
  <c r="AX141" i="9"/>
  <c r="AX142" i="9"/>
  <c r="AX143" i="9"/>
  <c r="AX144" i="9"/>
  <c r="AX145" i="9"/>
  <c r="AX146" i="9"/>
  <c r="AX147" i="9"/>
  <c r="AX148" i="9"/>
  <c r="AX149" i="9"/>
  <c r="AX150" i="9"/>
  <c r="AX151" i="9"/>
  <c r="CI151" i="9" s="1"/>
  <c r="AX152" i="9"/>
  <c r="AX4" i="9"/>
  <c r="G14" i="17"/>
  <c r="G4" i="17"/>
  <c r="BO119" i="9"/>
  <c r="AY106" i="9"/>
  <c r="AY26" i="9"/>
  <c r="A2" i="36"/>
  <c r="BE15" i="9"/>
  <c r="BF15" i="9" s="1"/>
  <c r="BE18" i="9"/>
  <c r="BF18" i="9" s="1"/>
  <c r="BE21" i="9"/>
  <c r="BF21" i="9" s="1"/>
  <c r="BE17" i="9"/>
  <c r="BF17" i="9"/>
  <c r="BE20" i="9"/>
  <c r="BF20" i="9" s="1"/>
  <c r="BE28" i="9"/>
  <c r="BF28" i="9" s="1"/>
  <c r="BE30" i="9"/>
  <c r="BF30" i="9" s="1"/>
  <c r="BE38" i="9"/>
  <c r="BF38" i="9" s="1"/>
  <c r="BE27" i="9"/>
  <c r="BF27" i="9" s="1"/>
  <c r="BE34" i="9"/>
  <c r="BF34" i="9" s="1"/>
  <c r="BE35" i="9"/>
  <c r="BF35" i="9" s="1"/>
  <c r="BE32" i="9"/>
  <c r="BF32" i="9" s="1"/>
  <c r="BE33" i="9"/>
  <c r="BF33" i="9" s="1"/>
  <c r="BE25" i="9"/>
  <c r="BF25" i="9" s="1"/>
  <c r="BE37" i="9"/>
  <c r="BF37" i="9" s="1"/>
  <c r="CL37" i="9" s="1"/>
  <c r="BE40" i="9"/>
  <c r="BF40" i="9" s="1"/>
  <c r="BE41" i="9"/>
  <c r="BF41" i="9" s="1"/>
  <c r="BE43" i="9"/>
  <c r="BF43" i="9" s="1"/>
  <c r="BE6" i="9"/>
  <c r="BF6" i="9" s="1"/>
  <c r="BE44" i="9"/>
  <c r="BF44" i="9" s="1"/>
  <c r="BE45" i="9"/>
  <c r="BF45" i="9" s="1"/>
  <c r="BE48" i="9"/>
  <c r="BF48" i="9" s="1"/>
  <c r="BE50" i="9"/>
  <c r="BF50" i="9" s="1"/>
  <c r="BE54" i="9"/>
  <c r="BF54" i="9" s="1"/>
  <c r="BE55" i="9"/>
  <c r="BF55" i="9" s="1"/>
  <c r="BE58" i="9"/>
  <c r="BF58" i="9" s="1"/>
  <c r="BE53" i="9"/>
  <c r="BF53" i="9" s="1"/>
  <c r="BE59" i="9"/>
  <c r="BF59" i="9" s="1"/>
  <c r="BE57" i="9"/>
  <c r="BF57" i="9" s="1"/>
  <c r="BE60" i="9"/>
  <c r="BF60" i="9" s="1"/>
  <c r="BE62" i="9"/>
  <c r="BF62" i="9" s="1"/>
  <c r="BE61" i="9"/>
  <c r="BF61" i="9" s="1"/>
  <c r="BE64" i="9"/>
  <c r="BF64" i="9" s="1"/>
  <c r="BE63" i="9"/>
  <c r="BF63" i="9" s="1"/>
  <c r="BE65" i="9"/>
  <c r="BF65" i="9" s="1"/>
  <c r="BE66" i="9"/>
  <c r="BF66" i="9" s="1"/>
  <c r="BE67" i="9"/>
  <c r="BF67" i="9" s="1"/>
  <c r="BE68" i="9"/>
  <c r="BF68" i="9" s="1"/>
  <c r="CL68" i="9" s="1"/>
  <c r="BE69" i="9"/>
  <c r="BF69" i="9" s="1"/>
  <c r="BE70" i="9"/>
  <c r="BF70" i="9" s="1"/>
  <c r="BE74" i="9"/>
  <c r="BF74" i="9" s="1"/>
  <c r="BE26" i="9"/>
  <c r="BF26" i="9" s="1"/>
  <c r="BE75" i="9"/>
  <c r="BF75" i="9" s="1"/>
  <c r="BE76" i="9"/>
  <c r="BF76" i="9" s="1"/>
  <c r="BE78" i="9"/>
  <c r="BF78" i="9" s="1"/>
  <c r="BE79" i="9"/>
  <c r="BF79" i="9" s="1"/>
  <c r="CL79" i="9" s="1"/>
  <c r="BE124" i="9"/>
  <c r="BF124" i="9" s="1"/>
  <c r="BE77" i="9"/>
  <c r="BF77" i="9" s="1"/>
  <c r="BE93" i="9"/>
  <c r="BF93" i="9" s="1"/>
  <c r="BE90" i="9"/>
  <c r="BF90" i="9" s="1"/>
  <c r="BE80" i="9"/>
  <c r="BF80" i="9" s="1"/>
  <c r="BE83" i="9"/>
  <c r="BF83" i="9" s="1"/>
  <c r="BE88" i="9"/>
  <c r="BF88" i="9"/>
  <c r="BE102" i="9"/>
  <c r="BF102" i="9" s="1"/>
  <c r="BE84" i="9"/>
  <c r="BF84" i="9" s="1"/>
  <c r="BE95" i="9"/>
  <c r="BF95" i="9" s="1"/>
  <c r="BE92" i="9"/>
  <c r="BF92" i="9" s="1"/>
  <c r="BE91" i="9"/>
  <c r="BF91" i="9" s="1"/>
  <c r="BE94" i="9"/>
  <c r="BF94" i="9"/>
  <c r="BE86" i="9"/>
  <c r="BF86" i="9" s="1"/>
  <c r="BE81" i="9"/>
  <c r="BF81" i="9" s="1"/>
  <c r="BE96" i="9"/>
  <c r="BF96" i="9" s="1"/>
  <c r="BE100" i="9"/>
  <c r="BF100" i="9"/>
  <c r="BE101" i="9"/>
  <c r="BF101" i="9" s="1"/>
  <c r="BE99" i="9"/>
  <c r="BF99" i="9" s="1"/>
  <c r="BE98" i="9"/>
  <c r="BF98" i="9" s="1"/>
  <c r="BE103" i="9"/>
  <c r="BF103" i="9" s="1"/>
  <c r="CL103" i="9" s="1"/>
  <c r="BE105" i="9"/>
  <c r="BF105" i="9" s="1"/>
  <c r="BE108" i="9"/>
  <c r="BF108" i="9" s="1"/>
  <c r="BE109" i="9"/>
  <c r="BF109" i="9" s="1"/>
  <c r="BE106" i="9"/>
  <c r="BF106" i="9" s="1"/>
  <c r="BE72" i="9"/>
  <c r="BF72" i="9" s="1"/>
  <c r="BE107" i="9"/>
  <c r="BF107" i="9" s="1"/>
  <c r="BE128" i="9"/>
  <c r="BF128" i="9" s="1"/>
  <c r="BE111" i="9"/>
  <c r="BF111" i="9" s="1"/>
  <c r="BE113" i="9"/>
  <c r="BF113" i="9" s="1"/>
  <c r="BE129" i="9"/>
  <c r="BF129" i="9" s="1"/>
  <c r="BE116" i="9"/>
  <c r="BF116" i="9" s="1"/>
  <c r="CL116" i="9" s="1"/>
  <c r="BE119" i="9"/>
  <c r="BF119" i="9" s="1"/>
  <c r="BE46" i="9"/>
  <c r="BF46" i="9" s="1"/>
  <c r="BE121" i="9"/>
  <c r="BF121" i="9" s="1"/>
  <c r="BE117" i="9"/>
  <c r="BF117" i="9" s="1"/>
  <c r="BE123" i="9"/>
  <c r="BF123" i="9" s="1"/>
  <c r="BE115" i="9"/>
  <c r="BF115" i="9" s="1"/>
  <c r="BE130" i="9"/>
  <c r="BF130" i="9" s="1"/>
  <c r="BE49" i="9"/>
  <c r="BF49" i="9" s="1"/>
  <c r="BE29" i="9"/>
  <c r="BF29" i="9" s="1"/>
  <c r="BE136" i="9"/>
  <c r="BF136" i="9" s="1"/>
  <c r="BE132" i="9"/>
  <c r="BF132" i="9" s="1"/>
  <c r="BE135" i="9"/>
  <c r="BF135" i="9" s="1"/>
  <c r="BE139" i="9"/>
  <c r="BF139" i="9"/>
  <c r="BE133" i="9"/>
  <c r="BF133" i="9" s="1"/>
  <c r="CL133" i="9" s="1"/>
  <c r="BE143" i="9"/>
  <c r="BF143" i="9" s="1"/>
  <c r="BE144" i="9"/>
  <c r="BF144" i="9" s="1"/>
  <c r="CL144" i="9" s="1"/>
  <c r="BE145" i="9"/>
  <c r="BF145" i="9" s="1"/>
  <c r="BE146" i="9"/>
  <c r="BF146" i="9" s="1"/>
  <c r="BE148" i="9"/>
  <c r="BF148" i="9" s="1"/>
  <c r="BE149" i="9"/>
  <c r="BF149" i="9" s="1"/>
  <c r="BE73" i="9"/>
  <c r="BF73" i="9" s="1"/>
  <c r="BE150" i="9"/>
  <c r="BF150" i="9" s="1"/>
  <c r="BE122" i="9"/>
  <c r="BF122" i="9" s="1"/>
  <c r="BE151" i="9"/>
  <c r="BF151" i="9" s="1"/>
  <c r="BE152" i="9"/>
  <c r="BF152" i="9" s="1"/>
  <c r="BE7" i="9"/>
  <c r="BF7" i="9" s="1"/>
  <c r="BE5" i="9"/>
  <c r="BF5" i="9" s="1"/>
  <c r="BE9" i="9"/>
  <c r="BF9" i="9" s="1"/>
  <c r="BE10" i="9"/>
  <c r="BF10" i="9" s="1"/>
  <c r="BE11" i="9"/>
  <c r="BF11" i="9" s="1"/>
  <c r="BE24" i="9"/>
  <c r="BF24" i="9" s="1"/>
  <c r="BE16" i="9"/>
  <c r="BF16" i="9" s="1"/>
  <c r="BE23" i="9"/>
  <c r="BF23" i="9" s="1"/>
  <c r="BE13" i="9"/>
  <c r="BF13" i="9" s="1"/>
  <c r="BE19" i="9"/>
  <c r="BF19" i="9"/>
  <c r="Q7" i="12"/>
  <c r="Q8" i="12"/>
  <c r="Q9" i="12"/>
  <c r="Q10" i="12"/>
  <c r="Q11" i="12"/>
  <c r="Q12"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Q7" i="9"/>
  <c r="CJ7" i="9" s="1"/>
  <c r="BQ5" i="9"/>
  <c r="CJ5" i="9" s="1"/>
  <c r="BQ9" i="9"/>
  <c r="CJ9" i="9" s="1"/>
  <c r="BQ10" i="9"/>
  <c r="CJ10" i="9" s="1"/>
  <c r="BQ8" i="9"/>
  <c r="CJ8" i="9"/>
  <c r="BQ11" i="9"/>
  <c r="CJ11" i="9" s="1"/>
  <c r="BQ24" i="9"/>
  <c r="CJ24" i="9" s="1"/>
  <c r="BQ16" i="9"/>
  <c r="CJ16" i="9" s="1"/>
  <c r="BQ23" i="9"/>
  <c r="CJ23" i="9" s="1"/>
  <c r="BQ13" i="9"/>
  <c r="CJ13" i="9" s="1"/>
  <c r="BQ22" i="9"/>
  <c r="CJ22" i="9" s="1"/>
  <c r="BQ19" i="9"/>
  <c r="CJ19" i="9" s="1"/>
  <c r="BQ14" i="9"/>
  <c r="CJ14" i="9" s="1"/>
  <c r="BQ15" i="9"/>
  <c r="CJ15" i="9" s="1"/>
  <c r="BQ18" i="9"/>
  <c r="CJ18" i="9" s="1"/>
  <c r="BQ21" i="9"/>
  <c r="CJ21" i="9" s="1"/>
  <c r="BQ17" i="9"/>
  <c r="CJ17" i="9" s="1"/>
  <c r="BQ20" i="9"/>
  <c r="CJ20" i="9" s="1"/>
  <c r="BQ28" i="9"/>
  <c r="CJ28" i="9" s="1"/>
  <c r="BQ30" i="9"/>
  <c r="CJ30" i="9" s="1"/>
  <c r="BQ31" i="9"/>
  <c r="CJ31" i="9" s="1"/>
  <c r="BQ38" i="9"/>
  <c r="CJ38" i="9" s="1"/>
  <c r="BQ27" i="9"/>
  <c r="CJ27" i="9" s="1"/>
  <c r="BQ34" i="9"/>
  <c r="CJ34" i="9" s="1"/>
  <c r="BQ35" i="9"/>
  <c r="CJ35" i="9" s="1"/>
  <c r="BQ36" i="9"/>
  <c r="CJ36" i="9" s="1"/>
  <c r="BQ32" i="9"/>
  <c r="CJ32" i="9" s="1"/>
  <c r="BQ33" i="9"/>
  <c r="CJ33" i="9" s="1"/>
  <c r="BQ25" i="9"/>
  <c r="CJ25" i="9" s="1"/>
  <c r="BQ37" i="9"/>
  <c r="BQ40" i="9"/>
  <c r="CJ40" i="9" s="1"/>
  <c r="BQ41" i="9"/>
  <c r="CJ41" i="9" s="1"/>
  <c r="BQ42" i="9"/>
  <c r="CJ42" i="9" s="1"/>
  <c r="BQ43" i="9"/>
  <c r="CJ43" i="9" s="1"/>
  <c r="BQ6" i="9"/>
  <c r="CJ6" i="9" s="1"/>
  <c r="BQ44" i="9"/>
  <c r="CJ44" i="9" s="1"/>
  <c r="BQ45" i="9"/>
  <c r="CJ45" i="9"/>
  <c r="BQ48" i="9"/>
  <c r="CJ48" i="9" s="1"/>
  <c r="BQ50" i="9"/>
  <c r="CJ50" i="9" s="1"/>
  <c r="BQ51" i="9"/>
  <c r="CJ51" i="9"/>
  <c r="BQ89" i="9"/>
  <c r="CJ89" i="9" s="1"/>
  <c r="BQ52" i="9"/>
  <c r="CJ52" i="9" s="1"/>
  <c r="BQ54" i="9"/>
  <c r="CJ54" i="9" s="1"/>
  <c r="BQ55" i="9"/>
  <c r="CJ55" i="9" s="1"/>
  <c r="BQ58" i="9"/>
  <c r="CJ58" i="9" s="1"/>
  <c r="BQ53" i="9"/>
  <c r="CJ53" i="9" s="1"/>
  <c r="BQ59" i="9"/>
  <c r="CJ59" i="9" s="1"/>
  <c r="BQ47" i="9"/>
  <c r="CJ47" i="9" s="1"/>
  <c r="BQ56" i="9"/>
  <c r="CJ56" i="9" s="1"/>
  <c r="BQ57" i="9"/>
  <c r="CJ57" i="9" s="1"/>
  <c r="BQ60" i="9"/>
  <c r="CJ60" i="9" s="1"/>
  <c r="BQ62" i="9"/>
  <c r="CJ62" i="9" s="1"/>
  <c r="BQ39" i="9"/>
  <c r="CJ39" i="9" s="1"/>
  <c r="BQ61" i="9"/>
  <c r="CJ61" i="9" s="1"/>
  <c r="BQ64" i="9"/>
  <c r="CJ64" i="9" s="1"/>
  <c r="BQ63" i="9"/>
  <c r="CJ63" i="9" s="1"/>
  <c r="BQ65" i="9"/>
  <c r="CJ65" i="9"/>
  <c r="BQ66" i="9"/>
  <c r="CJ66" i="9" s="1"/>
  <c r="BQ67" i="9"/>
  <c r="CJ67" i="9" s="1"/>
  <c r="BQ68" i="9"/>
  <c r="CJ68" i="9" s="1"/>
  <c r="BQ69" i="9"/>
  <c r="CJ69" i="9" s="1"/>
  <c r="BQ70" i="9"/>
  <c r="BQ74" i="9"/>
  <c r="CJ74" i="9" s="1"/>
  <c r="BQ26" i="9"/>
  <c r="CJ26" i="9" s="1"/>
  <c r="BQ71" i="9"/>
  <c r="BQ125" i="9"/>
  <c r="CJ125" i="9" s="1"/>
  <c r="BQ75" i="9"/>
  <c r="CJ75" i="9" s="1"/>
  <c r="BQ76" i="9"/>
  <c r="CJ76" i="9" s="1"/>
  <c r="BQ78" i="9"/>
  <c r="CJ78" i="9" s="1"/>
  <c r="BQ79" i="9"/>
  <c r="CJ79" i="9" s="1"/>
  <c r="BQ126" i="9"/>
  <c r="CJ126" i="9"/>
  <c r="BQ124" i="9"/>
  <c r="CJ124" i="9" s="1"/>
  <c r="BQ77" i="9"/>
  <c r="CJ77" i="9" s="1"/>
  <c r="BQ93" i="9"/>
  <c r="CJ93" i="9" s="1"/>
  <c r="BQ90" i="9"/>
  <c r="CJ90" i="9" s="1"/>
  <c r="BQ80" i="9"/>
  <c r="CJ80" i="9" s="1"/>
  <c r="BQ83" i="9"/>
  <c r="CJ83" i="9" s="1"/>
  <c r="BQ88" i="9"/>
  <c r="CJ88" i="9" s="1"/>
  <c r="BQ85" i="9"/>
  <c r="CJ85" i="9" s="1"/>
  <c r="BQ102" i="9"/>
  <c r="CJ102" i="9" s="1"/>
  <c r="BQ84" i="9"/>
  <c r="CJ84" i="9" s="1"/>
  <c r="BQ95" i="9"/>
  <c r="CJ95" i="9" s="1"/>
  <c r="BQ92" i="9"/>
  <c r="CJ92" i="9"/>
  <c r="BQ91" i="9"/>
  <c r="CJ91" i="9" s="1"/>
  <c r="BQ94" i="9"/>
  <c r="CJ94" i="9" s="1"/>
  <c r="BQ86" i="9"/>
  <c r="CJ86" i="9" s="1"/>
  <c r="BQ87" i="9"/>
  <c r="CJ87" i="9" s="1"/>
  <c r="BQ81" i="9"/>
  <c r="CJ81" i="9" s="1"/>
  <c r="BQ82" i="9"/>
  <c r="CJ82" i="9" s="1"/>
  <c r="BQ96" i="9"/>
  <c r="CJ96" i="9" s="1"/>
  <c r="BQ100" i="9"/>
  <c r="CJ100" i="9" s="1"/>
  <c r="BQ101" i="9"/>
  <c r="CJ101" i="9" s="1"/>
  <c r="BQ99" i="9"/>
  <c r="CJ99" i="9" s="1"/>
  <c r="BQ98" i="9"/>
  <c r="CJ98" i="9" s="1"/>
  <c r="BQ97" i="9"/>
  <c r="CJ97" i="9" s="1"/>
  <c r="BQ103" i="9"/>
  <c r="BQ105" i="9"/>
  <c r="CJ105" i="9" s="1"/>
  <c r="BQ108" i="9"/>
  <c r="CJ108" i="9" s="1"/>
  <c r="BQ109" i="9"/>
  <c r="CJ109" i="9" s="1"/>
  <c r="BQ104" i="9"/>
  <c r="CJ104" i="9" s="1"/>
  <c r="BQ106" i="9"/>
  <c r="CJ106" i="9" s="1"/>
  <c r="BQ110" i="9"/>
  <c r="CJ110" i="9" s="1"/>
  <c r="BQ72" i="9"/>
  <c r="CJ72" i="9" s="1"/>
  <c r="BQ107" i="9"/>
  <c r="CJ107" i="9" s="1"/>
  <c r="BQ128" i="9"/>
  <c r="CJ128" i="9" s="1"/>
  <c r="BQ111" i="9"/>
  <c r="CJ111" i="9" s="1"/>
  <c r="BQ112" i="9"/>
  <c r="CJ112" i="9"/>
  <c r="BQ113" i="9"/>
  <c r="CJ113" i="9" s="1"/>
  <c r="BQ129" i="9"/>
  <c r="CJ129" i="9" s="1"/>
  <c r="BQ116" i="9"/>
  <c r="CJ116" i="9" s="1"/>
  <c r="BQ120" i="9"/>
  <c r="CJ120" i="9" s="1"/>
  <c r="BQ119" i="9"/>
  <c r="CJ119" i="9" s="1"/>
  <c r="BQ46" i="9"/>
  <c r="CJ46" i="9" s="1"/>
  <c r="BQ121" i="9"/>
  <c r="CJ121" i="9" s="1"/>
  <c r="BQ117" i="9"/>
  <c r="CJ117" i="9"/>
  <c r="BQ123" i="9"/>
  <c r="CJ123" i="9" s="1"/>
  <c r="BQ115" i="9"/>
  <c r="CJ115" i="9" s="1"/>
  <c r="BQ130" i="9"/>
  <c r="CJ130" i="9" s="1"/>
  <c r="BQ49" i="9"/>
  <c r="CJ49" i="9" s="1"/>
  <c r="BQ118" i="9"/>
  <c r="CJ118" i="9" s="1"/>
  <c r="BQ131" i="9"/>
  <c r="CJ131" i="9" s="1"/>
  <c r="BQ29" i="9"/>
  <c r="CJ29" i="9" s="1"/>
  <c r="BQ136" i="9"/>
  <c r="CJ136" i="9" s="1"/>
  <c r="BQ134" i="9"/>
  <c r="CJ134" i="9" s="1"/>
  <c r="BQ132" i="9"/>
  <c r="CJ132" i="9" s="1"/>
  <c r="BQ141" i="9"/>
  <c r="CJ141" i="9" s="1"/>
  <c r="BQ135" i="9"/>
  <c r="CJ135" i="9" s="1"/>
  <c r="BQ137" i="9"/>
  <c r="CJ137" i="9" s="1"/>
  <c r="BQ138" i="9"/>
  <c r="CJ138" i="9" s="1"/>
  <c r="BQ139" i="9"/>
  <c r="CJ139" i="9" s="1"/>
  <c r="BQ140" i="9"/>
  <c r="CJ140" i="9" s="1"/>
  <c r="BQ142" i="9"/>
  <c r="CJ142" i="9" s="1"/>
  <c r="BQ133" i="9"/>
  <c r="CJ133" i="9" s="1"/>
  <c r="BQ143" i="9"/>
  <c r="CJ143" i="9" s="1"/>
  <c r="BQ144" i="9"/>
  <c r="CJ144" i="9" s="1"/>
  <c r="BQ145" i="9"/>
  <c r="CJ145" i="9" s="1"/>
  <c r="BQ146" i="9"/>
  <c r="BQ127" i="9"/>
  <c r="CJ127" i="9" s="1"/>
  <c r="BQ148" i="9"/>
  <c r="CJ148" i="9"/>
  <c r="BQ149" i="9"/>
  <c r="CJ149" i="9" s="1"/>
  <c r="BQ147" i="9"/>
  <c r="CJ147" i="9" s="1"/>
  <c r="BQ114" i="9"/>
  <c r="CJ114" i="9" s="1"/>
  <c r="BQ73" i="9"/>
  <c r="CJ73" i="9" s="1"/>
  <c r="BQ150" i="9"/>
  <c r="CJ150" i="9" s="1"/>
  <c r="BQ122" i="9"/>
  <c r="CJ122" i="9" s="1"/>
  <c r="BQ151" i="9"/>
  <c r="CJ151" i="9" s="1"/>
  <c r="BQ152" i="9"/>
  <c r="CJ152" i="9"/>
  <c r="BQ4" i="9"/>
  <c r="CJ4" i="9" s="1"/>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U7" i="9"/>
  <c r="U5" i="9"/>
  <c r="U9" i="9"/>
  <c r="U10" i="9"/>
  <c r="U8" i="9"/>
  <c r="U11" i="9"/>
  <c r="U24" i="9"/>
  <c r="U16" i="9"/>
  <c r="U23" i="9"/>
  <c r="U13" i="9"/>
  <c r="U22" i="9"/>
  <c r="U19" i="9"/>
  <c r="U14" i="9"/>
  <c r="U15" i="9"/>
  <c r="U18" i="9"/>
  <c r="F17" i="6" s="1"/>
  <c r="U21" i="9"/>
  <c r="U17" i="9"/>
  <c r="U20" i="9"/>
  <c r="U28" i="9"/>
  <c r="U30" i="9"/>
  <c r="U31" i="9"/>
  <c r="U38" i="9"/>
  <c r="U27" i="9"/>
  <c r="U34" i="9"/>
  <c r="U35" i="9"/>
  <c r="U36" i="9"/>
  <c r="U32" i="9"/>
  <c r="U33" i="9"/>
  <c r="U25" i="9"/>
  <c r="U37" i="9"/>
  <c r="U40" i="9"/>
  <c r="U41" i="9"/>
  <c r="U42" i="9"/>
  <c r="U43" i="9"/>
  <c r="U6" i="9"/>
  <c r="U44" i="9"/>
  <c r="U45" i="9"/>
  <c r="U48" i="9"/>
  <c r="U50" i="9"/>
  <c r="U51" i="9"/>
  <c r="U89" i="9"/>
  <c r="U52" i="9"/>
  <c r="U54" i="9"/>
  <c r="U55" i="9"/>
  <c r="U58" i="9"/>
  <c r="U53" i="9"/>
  <c r="U59" i="9"/>
  <c r="U47" i="9"/>
  <c r="U56" i="9"/>
  <c r="U57" i="9"/>
  <c r="U60" i="9"/>
  <c r="U62" i="9"/>
  <c r="U39" i="9"/>
  <c r="U61" i="9"/>
  <c r="U64" i="9"/>
  <c r="U63" i="9"/>
  <c r="U65" i="9"/>
  <c r="U66" i="9"/>
  <c r="U67" i="9"/>
  <c r="U68" i="9"/>
  <c r="U69" i="9"/>
  <c r="U70" i="9"/>
  <c r="U74" i="9"/>
  <c r="U26" i="9"/>
  <c r="U71" i="9"/>
  <c r="U125" i="9"/>
  <c r="U75" i="9"/>
  <c r="U76" i="9"/>
  <c r="U78" i="9"/>
  <c r="U79" i="9"/>
  <c r="U126" i="9"/>
  <c r="U124" i="9"/>
  <c r="U77" i="9"/>
  <c r="U93" i="9"/>
  <c r="U90" i="9"/>
  <c r="U80" i="9"/>
  <c r="U83" i="9"/>
  <c r="U88" i="9"/>
  <c r="U85" i="9"/>
  <c r="U102" i="9"/>
  <c r="U84" i="9"/>
  <c r="U95" i="9"/>
  <c r="U92" i="9"/>
  <c r="U91" i="9"/>
  <c r="U94" i="9"/>
  <c r="U86" i="9"/>
  <c r="U87" i="9"/>
  <c r="U81" i="9"/>
  <c r="U82" i="9"/>
  <c r="U96" i="9"/>
  <c r="U100" i="9"/>
  <c r="U101" i="9"/>
  <c r="U99" i="9"/>
  <c r="U98" i="9"/>
  <c r="U97" i="9"/>
  <c r="U103" i="9"/>
  <c r="U105" i="9"/>
  <c r="U108" i="9"/>
  <c r="U109" i="9"/>
  <c r="U104" i="9"/>
  <c r="U106" i="9"/>
  <c r="U110" i="9"/>
  <c r="U72" i="9"/>
  <c r="U107" i="9"/>
  <c r="U128" i="9"/>
  <c r="U111" i="9"/>
  <c r="U112" i="9"/>
  <c r="U113" i="9"/>
  <c r="U129" i="9"/>
  <c r="U116" i="9"/>
  <c r="U120" i="9"/>
  <c r="U119" i="9"/>
  <c r="U46" i="9"/>
  <c r="U121" i="9"/>
  <c r="U117" i="9"/>
  <c r="U123" i="9"/>
  <c r="U115" i="9"/>
  <c r="U130" i="9"/>
  <c r="U49" i="9"/>
  <c r="U118" i="9"/>
  <c r="U131" i="9"/>
  <c r="U29" i="9"/>
  <c r="U136" i="9"/>
  <c r="U134" i="9"/>
  <c r="U132" i="9"/>
  <c r="U141" i="9"/>
  <c r="U135" i="9"/>
  <c r="U137" i="9"/>
  <c r="U138" i="9"/>
  <c r="U139" i="9"/>
  <c r="U140" i="9"/>
  <c r="U142" i="9"/>
  <c r="U133" i="9"/>
  <c r="U143" i="9"/>
  <c r="U144" i="9"/>
  <c r="U145" i="9"/>
  <c r="U146" i="9"/>
  <c r="U127" i="9"/>
  <c r="U148" i="9"/>
  <c r="U149" i="9"/>
  <c r="U147" i="9"/>
  <c r="U114" i="9"/>
  <c r="U73" i="9"/>
  <c r="U150" i="9"/>
  <c r="U122" i="9"/>
  <c r="U151" i="9"/>
  <c r="U152" i="9"/>
  <c r="U4" i="9"/>
  <c r="AU154" i="9"/>
  <c r="AV154" i="9"/>
  <c r="BN154" i="9"/>
  <c r="BM154" i="9"/>
  <c r="BL154" i="9"/>
  <c r="AC17" i="28"/>
  <c r="AC18" i="28"/>
  <c r="AC20" i="28"/>
  <c r="AC21" i="28"/>
  <c r="AC22" i="28"/>
  <c r="AC19" i="28"/>
  <c r="AC23" i="28"/>
  <c r="Y8" i="28"/>
  <c r="AF7" i="9"/>
  <c r="AG7" i="9"/>
  <c r="AH7" i="9"/>
  <c r="AF5" i="9"/>
  <c r="AG5" i="9"/>
  <c r="AH5" i="9"/>
  <c r="AF9" i="9"/>
  <c r="AG9" i="9"/>
  <c r="AH9" i="9"/>
  <c r="AF10" i="9"/>
  <c r="AG10" i="9"/>
  <c r="AH10" i="9"/>
  <c r="AF8" i="9"/>
  <c r="AG8" i="9"/>
  <c r="AH8" i="9"/>
  <c r="AF11" i="9"/>
  <c r="AG11" i="9"/>
  <c r="AH11" i="9"/>
  <c r="AF24" i="9"/>
  <c r="AG24" i="9"/>
  <c r="AH24" i="9"/>
  <c r="AF16" i="9"/>
  <c r="AG16" i="9"/>
  <c r="AH16" i="9"/>
  <c r="AF23" i="9"/>
  <c r="AG23" i="9"/>
  <c r="AH23" i="9"/>
  <c r="AF22" i="9"/>
  <c r="AG22" i="9"/>
  <c r="AH22" i="9"/>
  <c r="AF19" i="9"/>
  <c r="AG19" i="9"/>
  <c r="AH19" i="9"/>
  <c r="AF14" i="9"/>
  <c r="AG14" i="9"/>
  <c r="AH14" i="9"/>
  <c r="AF15" i="9"/>
  <c r="AG15" i="9"/>
  <c r="AH15" i="9"/>
  <c r="AF18" i="9"/>
  <c r="AG18" i="9"/>
  <c r="AH18" i="9"/>
  <c r="AF21" i="9"/>
  <c r="AG21" i="9"/>
  <c r="AH21" i="9"/>
  <c r="AF20" i="9"/>
  <c r="AG20" i="9"/>
  <c r="AH20" i="9"/>
  <c r="AF28" i="9"/>
  <c r="AG28" i="9"/>
  <c r="AH28" i="9"/>
  <c r="AF30" i="9"/>
  <c r="AG30" i="9"/>
  <c r="AH30" i="9"/>
  <c r="AF31" i="9"/>
  <c r="AG31" i="9"/>
  <c r="AH31" i="9"/>
  <c r="AF38" i="9"/>
  <c r="AG38" i="9"/>
  <c r="AH38" i="9"/>
  <c r="AF27" i="9"/>
  <c r="AG27" i="9"/>
  <c r="AH27" i="9"/>
  <c r="AF34" i="9"/>
  <c r="AG34" i="9"/>
  <c r="AH34" i="9"/>
  <c r="AF35" i="9"/>
  <c r="AG35" i="9"/>
  <c r="AH35" i="9"/>
  <c r="AF36" i="9"/>
  <c r="AG36" i="9"/>
  <c r="AH36" i="9"/>
  <c r="AF32" i="9"/>
  <c r="AG32" i="9"/>
  <c r="AH32" i="9"/>
  <c r="AF33" i="9"/>
  <c r="AG33" i="9"/>
  <c r="AH33" i="9"/>
  <c r="AF25" i="9"/>
  <c r="AG25" i="9"/>
  <c r="AH25" i="9"/>
  <c r="AF37" i="9"/>
  <c r="AG37" i="9"/>
  <c r="AH37" i="9"/>
  <c r="AF40" i="9"/>
  <c r="AG40" i="9"/>
  <c r="AH40" i="9"/>
  <c r="AF41" i="9"/>
  <c r="AG41" i="9"/>
  <c r="AH41" i="9"/>
  <c r="AF42" i="9"/>
  <c r="AG42" i="9"/>
  <c r="AH42" i="9"/>
  <c r="AF43" i="9"/>
  <c r="AG43" i="9"/>
  <c r="AH43" i="9"/>
  <c r="AF6" i="9"/>
  <c r="AG6" i="9"/>
  <c r="AH6" i="9"/>
  <c r="AF44" i="9"/>
  <c r="AG44" i="9"/>
  <c r="AH44" i="9"/>
  <c r="AF45" i="9"/>
  <c r="AG45" i="9"/>
  <c r="AH45" i="9"/>
  <c r="AF48" i="9"/>
  <c r="AG48" i="9"/>
  <c r="AH48" i="9"/>
  <c r="AF50" i="9"/>
  <c r="AG50" i="9"/>
  <c r="AH50" i="9"/>
  <c r="AF51" i="9"/>
  <c r="AG51" i="9"/>
  <c r="AH51" i="9"/>
  <c r="AF89" i="9"/>
  <c r="AG89" i="9"/>
  <c r="AH89" i="9"/>
  <c r="AF52" i="9"/>
  <c r="AG52" i="9"/>
  <c r="AH52" i="9"/>
  <c r="AF54" i="9"/>
  <c r="AG54" i="9"/>
  <c r="AH54" i="9"/>
  <c r="AF55" i="9"/>
  <c r="AG55" i="9"/>
  <c r="AH55" i="9"/>
  <c r="AF58" i="9"/>
  <c r="AG58" i="9"/>
  <c r="AH58" i="9"/>
  <c r="AF53" i="9"/>
  <c r="AG53" i="9"/>
  <c r="AH53" i="9"/>
  <c r="AF59" i="9"/>
  <c r="AG59" i="9"/>
  <c r="AH59" i="9"/>
  <c r="AF47" i="9"/>
  <c r="AG47" i="9"/>
  <c r="AH47" i="9"/>
  <c r="AF56" i="9"/>
  <c r="AG56" i="9"/>
  <c r="AH56" i="9"/>
  <c r="AF57" i="9"/>
  <c r="AG57" i="9"/>
  <c r="AH57" i="9"/>
  <c r="AF60" i="9"/>
  <c r="AG60" i="9"/>
  <c r="AH60" i="9"/>
  <c r="AF62" i="9"/>
  <c r="AG62" i="9"/>
  <c r="AH62" i="9"/>
  <c r="AF39" i="9"/>
  <c r="AG39" i="9"/>
  <c r="AH39" i="9"/>
  <c r="AF61" i="9"/>
  <c r="AG61" i="9"/>
  <c r="AH61" i="9"/>
  <c r="AF65" i="9"/>
  <c r="AG65" i="9"/>
  <c r="AH65" i="9"/>
  <c r="AF66" i="9"/>
  <c r="AG66" i="9"/>
  <c r="AH66" i="9"/>
  <c r="AF67" i="9"/>
  <c r="AG67" i="9"/>
  <c r="AH67" i="9"/>
  <c r="AF68" i="9"/>
  <c r="AG68" i="9"/>
  <c r="AH68" i="9"/>
  <c r="AF69" i="9"/>
  <c r="AG69" i="9"/>
  <c r="AH69" i="9"/>
  <c r="AF70" i="9"/>
  <c r="AG70" i="9"/>
  <c r="AH70" i="9"/>
  <c r="AF74" i="9"/>
  <c r="AG74" i="9"/>
  <c r="AH74" i="9"/>
  <c r="AF71" i="9"/>
  <c r="AG71" i="9"/>
  <c r="AH71" i="9"/>
  <c r="AF125" i="9"/>
  <c r="AG125" i="9"/>
  <c r="AH125" i="9"/>
  <c r="AF75" i="9"/>
  <c r="AG75" i="9"/>
  <c r="AH75" i="9"/>
  <c r="AF76" i="9"/>
  <c r="AG76" i="9"/>
  <c r="AH76" i="9"/>
  <c r="AF78" i="9"/>
  <c r="AG78" i="9"/>
  <c r="AH78" i="9"/>
  <c r="AF79" i="9"/>
  <c r="AG79" i="9"/>
  <c r="AH79" i="9"/>
  <c r="AF126" i="9"/>
  <c r="AG126" i="9"/>
  <c r="AH126" i="9"/>
  <c r="AF77" i="9"/>
  <c r="AG77" i="9"/>
  <c r="AH77" i="9"/>
  <c r="AF93" i="9"/>
  <c r="AG93" i="9"/>
  <c r="AH93" i="9"/>
  <c r="AF90" i="9"/>
  <c r="AG90" i="9"/>
  <c r="AH90" i="9"/>
  <c r="AF80" i="9"/>
  <c r="AG80" i="9"/>
  <c r="AH80" i="9"/>
  <c r="AF88" i="9"/>
  <c r="AG88" i="9"/>
  <c r="AH88" i="9"/>
  <c r="AF85" i="9"/>
  <c r="AG85" i="9"/>
  <c r="AH85" i="9"/>
  <c r="AF102" i="9"/>
  <c r="AG102" i="9"/>
  <c r="AH102" i="9"/>
  <c r="AF84" i="9"/>
  <c r="AG84" i="9"/>
  <c r="AH84" i="9"/>
  <c r="AF95" i="9"/>
  <c r="AG95" i="9"/>
  <c r="AH95" i="9"/>
  <c r="AF92" i="9"/>
  <c r="AG92" i="9"/>
  <c r="AH92" i="9"/>
  <c r="AF94" i="9"/>
  <c r="AG94" i="9"/>
  <c r="AH94" i="9"/>
  <c r="AF86" i="9"/>
  <c r="AG86" i="9"/>
  <c r="AH86" i="9"/>
  <c r="AF87" i="9"/>
  <c r="AG87" i="9"/>
  <c r="AH87" i="9"/>
  <c r="AF81" i="9"/>
  <c r="AG81" i="9"/>
  <c r="AH81" i="9"/>
  <c r="AF82" i="9"/>
  <c r="AG82" i="9"/>
  <c r="AH82" i="9"/>
  <c r="AF96" i="9"/>
  <c r="AG96" i="9"/>
  <c r="AH96" i="9"/>
  <c r="AF100" i="9"/>
  <c r="AG100" i="9"/>
  <c r="AH100" i="9"/>
  <c r="AF101" i="9"/>
  <c r="AG101" i="9"/>
  <c r="AH101" i="9"/>
  <c r="AF99" i="9"/>
  <c r="AG99" i="9"/>
  <c r="AH99" i="9"/>
  <c r="AF97" i="9"/>
  <c r="AG97" i="9"/>
  <c r="AH97" i="9"/>
  <c r="AF105" i="9"/>
  <c r="AG105" i="9"/>
  <c r="AH105" i="9"/>
  <c r="AF108" i="9"/>
  <c r="AG108" i="9"/>
  <c r="AH108" i="9"/>
  <c r="AF104" i="9"/>
  <c r="AG104" i="9"/>
  <c r="AH104" i="9"/>
  <c r="AF106" i="9"/>
  <c r="AG106" i="9"/>
  <c r="AH106" i="9"/>
  <c r="AF110" i="9"/>
  <c r="AG110" i="9"/>
  <c r="AH110" i="9"/>
  <c r="AF72" i="9"/>
  <c r="AG72" i="9"/>
  <c r="AH72" i="9"/>
  <c r="AF107" i="9"/>
  <c r="AG107" i="9"/>
  <c r="AH107" i="9"/>
  <c r="AF128" i="9"/>
  <c r="AG128" i="9"/>
  <c r="AH128" i="9"/>
  <c r="AF111" i="9"/>
  <c r="AG111" i="9"/>
  <c r="AH111" i="9"/>
  <c r="AF112" i="9"/>
  <c r="AG112" i="9"/>
  <c r="AH112" i="9"/>
  <c r="AF113" i="9"/>
  <c r="AG113" i="9"/>
  <c r="AH113" i="9"/>
  <c r="AF129" i="9"/>
  <c r="AG129" i="9"/>
  <c r="AH129" i="9"/>
  <c r="AF116" i="9"/>
  <c r="AG116" i="9"/>
  <c r="AH116" i="9"/>
  <c r="AF120" i="9"/>
  <c r="AG120" i="9"/>
  <c r="AH120" i="9"/>
  <c r="AF119" i="9"/>
  <c r="AG119" i="9"/>
  <c r="AH119" i="9"/>
  <c r="AF46" i="9"/>
  <c r="AG46" i="9"/>
  <c r="AH46" i="9"/>
  <c r="AF121" i="9"/>
  <c r="AG121" i="9"/>
  <c r="AH121" i="9"/>
  <c r="AF117" i="9"/>
  <c r="AG117" i="9"/>
  <c r="AH117" i="9"/>
  <c r="AF123" i="9"/>
  <c r="AG123" i="9"/>
  <c r="AH123" i="9"/>
  <c r="AF115" i="9"/>
  <c r="AG115" i="9"/>
  <c r="AH115" i="9"/>
  <c r="AF130" i="9"/>
  <c r="AG130" i="9"/>
  <c r="AH130" i="9"/>
  <c r="AF49" i="9"/>
  <c r="AG49" i="9"/>
  <c r="AH49" i="9"/>
  <c r="AF118" i="9"/>
  <c r="AG118" i="9"/>
  <c r="AH118" i="9"/>
  <c r="AF131" i="9"/>
  <c r="AG131" i="9"/>
  <c r="AH131" i="9"/>
  <c r="AF29" i="9"/>
  <c r="AG29" i="9"/>
  <c r="AH29" i="9"/>
  <c r="AF136" i="9"/>
  <c r="AG136" i="9"/>
  <c r="AH136" i="9"/>
  <c r="AF134" i="9"/>
  <c r="AG134" i="9"/>
  <c r="AH134" i="9"/>
  <c r="AF141" i="9"/>
  <c r="AG141" i="9"/>
  <c r="AH141" i="9"/>
  <c r="AF135" i="9"/>
  <c r="AG135" i="9"/>
  <c r="AH135" i="9"/>
  <c r="AF138" i="9"/>
  <c r="AG138" i="9"/>
  <c r="AH138" i="9"/>
  <c r="AF139" i="9"/>
  <c r="AG139" i="9"/>
  <c r="AH139" i="9"/>
  <c r="AF140" i="9"/>
  <c r="AG140" i="9"/>
  <c r="AH140" i="9"/>
  <c r="AF133" i="9"/>
  <c r="AG133" i="9"/>
  <c r="AH133" i="9"/>
  <c r="AF143" i="9"/>
  <c r="AG143" i="9"/>
  <c r="AH143" i="9"/>
  <c r="AF144" i="9"/>
  <c r="AG144" i="9"/>
  <c r="AH144" i="9"/>
  <c r="AF145" i="9"/>
  <c r="AG145" i="9"/>
  <c r="AH145" i="9"/>
  <c r="AF146" i="9"/>
  <c r="AG146" i="9"/>
  <c r="AH146" i="9"/>
  <c r="AF127" i="9"/>
  <c r="AG127" i="9"/>
  <c r="AH127" i="9"/>
  <c r="AF148" i="9"/>
  <c r="AG148" i="9"/>
  <c r="AH148" i="9"/>
  <c r="AF149" i="9"/>
  <c r="AG149" i="9"/>
  <c r="AH149" i="9"/>
  <c r="AF73" i="9"/>
  <c r="AG73" i="9"/>
  <c r="AH73" i="9"/>
  <c r="AF150" i="9"/>
  <c r="AG150" i="9"/>
  <c r="AH150" i="9"/>
  <c r="AF122" i="9"/>
  <c r="AG122" i="9"/>
  <c r="AH122" i="9"/>
  <c r="AF151" i="9"/>
  <c r="AG151" i="9"/>
  <c r="AH151" i="9"/>
  <c r="AF152" i="9"/>
  <c r="AG152" i="9"/>
  <c r="AH152" i="9"/>
  <c r="AE152" i="9"/>
  <c r="AE7" i="9"/>
  <c r="AE5" i="9"/>
  <c r="AE9" i="9"/>
  <c r="AE10" i="9"/>
  <c r="AE8" i="9"/>
  <c r="AE11" i="9"/>
  <c r="AE24" i="9"/>
  <c r="AE16" i="9"/>
  <c r="AE23" i="9"/>
  <c r="AE22" i="9"/>
  <c r="AE19" i="9"/>
  <c r="AE14" i="9"/>
  <c r="AE15" i="9"/>
  <c r="AE18" i="9"/>
  <c r="AE21" i="9"/>
  <c r="AE20" i="9"/>
  <c r="AE28" i="9"/>
  <c r="AE30" i="9"/>
  <c r="AE31" i="9"/>
  <c r="AE38" i="9"/>
  <c r="AE27" i="9"/>
  <c r="AE34" i="9"/>
  <c r="AE35" i="9"/>
  <c r="AE36" i="9"/>
  <c r="AE32" i="9"/>
  <c r="AE33" i="9"/>
  <c r="AE25" i="9"/>
  <c r="AE37" i="9"/>
  <c r="AE40" i="9"/>
  <c r="AE41" i="9"/>
  <c r="AE42" i="9"/>
  <c r="AE43" i="9"/>
  <c r="AE6" i="9"/>
  <c r="AE44" i="9"/>
  <c r="AE45" i="9"/>
  <c r="AE48" i="9"/>
  <c r="AE50" i="9"/>
  <c r="AE51" i="9"/>
  <c r="AE89" i="9"/>
  <c r="AE52" i="9"/>
  <c r="AE54" i="9"/>
  <c r="AE55" i="9"/>
  <c r="AE58" i="9"/>
  <c r="AE53" i="9"/>
  <c r="AE59" i="9"/>
  <c r="AE47" i="9"/>
  <c r="AE56" i="9"/>
  <c r="AE57" i="9"/>
  <c r="AE60" i="9"/>
  <c r="AE62" i="9"/>
  <c r="AE39" i="9"/>
  <c r="AE61" i="9"/>
  <c r="AE65" i="9"/>
  <c r="AE66" i="9"/>
  <c r="AE67" i="9"/>
  <c r="AE68" i="9"/>
  <c r="AE69" i="9"/>
  <c r="AE70" i="9"/>
  <c r="AE74" i="9"/>
  <c r="AE71" i="9"/>
  <c r="AE125" i="9"/>
  <c r="AE75" i="9"/>
  <c r="AE76" i="9"/>
  <c r="AE78" i="9"/>
  <c r="AE79" i="9"/>
  <c r="AE126" i="9"/>
  <c r="AE77" i="9"/>
  <c r="AE93" i="9"/>
  <c r="AE90" i="9"/>
  <c r="AE80" i="9"/>
  <c r="AE88" i="9"/>
  <c r="AE85" i="9"/>
  <c r="AE102" i="9"/>
  <c r="AE84" i="9"/>
  <c r="AE95" i="9"/>
  <c r="AE92" i="9"/>
  <c r="AE94" i="9"/>
  <c r="AE86" i="9"/>
  <c r="AE87" i="9"/>
  <c r="AE81" i="9"/>
  <c r="AE82" i="9"/>
  <c r="AE96" i="9"/>
  <c r="AE100" i="9"/>
  <c r="AE101" i="9"/>
  <c r="AE99" i="9"/>
  <c r="AE97" i="9"/>
  <c r="AE105" i="9"/>
  <c r="AE108" i="9"/>
  <c r="AE104" i="9"/>
  <c r="AE106" i="9"/>
  <c r="AE110" i="9"/>
  <c r="AE72" i="9"/>
  <c r="AE107" i="9"/>
  <c r="AE128" i="9"/>
  <c r="AE111" i="9"/>
  <c r="AE112" i="9"/>
  <c r="AE113" i="9"/>
  <c r="AE129" i="9"/>
  <c r="AE116" i="9"/>
  <c r="AE120" i="9"/>
  <c r="AE119" i="9"/>
  <c r="AE46" i="9"/>
  <c r="AE121" i="9"/>
  <c r="AE117" i="9"/>
  <c r="AE123" i="9"/>
  <c r="AE115" i="9"/>
  <c r="AE130" i="9"/>
  <c r="AE49" i="9"/>
  <c r="AE118" i="9"/>
  <c r="AE131" i="9"/>
  <c r="AE29" i="9"/>
  <c r="AE136" i="9"/>
  <c r="AE134" i="9"/>
  <c r="AE141" i="9"/>
  <c r="AE135" i="9"/>
  <c r="AE138" i="9"/>
  <c r="AE139" i="9"/>
  <c r="AE140" i="9"/>
  <c r="AE133" i="9"/>
  <c r="AE143" i="9"/>
  <c r="AE144" i="9"/>
  <c r="AE145" i="9"/>
  <c r="AE146" i="9"/>
  <c r="AE127" i="9"/>
  <c r="AE148" i="9"/>
  <c r="AE149" i="9"/>
  <c r="AE73" i="9"/>
  <c r="AE150" i="9"/>
  <c r="AE122" i="9"/>
  <c r="AE151" i="9"/>
  <c r="C12" i="12"/>
  <c r="S21" i="12"/>
  <c r="R21" i="12"/>
  <c r="AR7" i="9"/>
  <c r="AS7" i="9"/>
  <c r="AR5" i="9"/>
  <c r="AS5" i="9"/>
  <c r="AR9" i="9"/>
  <c r="AS9" i="9"/>
  <c r="AR10" i="9"/>
  <c r="AS10" i="9"/>
  <c r="Z10" i="9"/>
  <c r="AR8" i="9"/>
  <c r="AS8" i="9"/>
  <c r="AR11" i="9"/>
  <c r="AS11" i="9"/>
  <c r="AR24" i="9"/>
  <c r="AQ24" i="9" s="1"/>
  <c r="AS24" i="9"/>
  <c r="AR16" i="9"/>
  <c r="AS16" i="9"/>
  <c r="AR23" i="9"/>
  <c r="AS23" i="9"/>
  <c r="AR13" i="9"/>
  <c r="AS13" i="9"/>
  <c r="AR22" i="9"/>
  <c r="AS22" i="9"/>
  <c r="AR19" i="9"/>
  <c r="AS19" i="9"/>
  <c r="Z19" i="9"/>
  <c r="AR14" i="9"/>
  <c r="AS14" i="9"/>
  <c r="AR15" i="9"/>
  <c r="AS15" i="9"/>
  <c r="AR18" i="9"/>
  <c r="AS18" i="9"/>
  <c r="AR21" i="9"/>
  <c r="AS21" i="9"/>
  <c r="AR17" i="9"/>
  <c r="AQ17" i="9" s="1"/>
  <c r="AS17" i="9"/>
  <c r="AR20" i="9"/>
  <c r="AS20" i="9"/>
  <c r="Z20" i="9"/>
  <c r="AR28" i="9"/>
  <c r="AS28" i="9"/>
  <c r="AR30" i="9"/>
  <c r="AS30" i="9"/>
  <c r="Z30" i="9"/>
  <c r="AR31" i="9"/>
  <c r="AS31" i="9"/>
  <c r="AR38" i="9"/>
  <c r="AQ38" i="9" s="1"/>
  <c r="AS38" i="9"/>
  <c r="AR27" i="9"/>
  <c r="AS27" i="9"/>
  <c r="AR34" i="9"/>
  <c r="AS34" i="9"/>
  <c r="AR35" i="9"/>
  <c r="AS35" i="9"/>
  <c r="AR36" i="9"/>
  <c r="AQ36" i="9" s="1"/>
  <c r="AS36" i="9"/>
  <c r="AR32" i="9"/>
  <c r="AS32" i="9"/>
  <c r="AR33" i="9"/>
  <c r="AS33" i="9"/>
  <c r="AR25" i="9"/>
  <c r="AS25" i="9"/>
  <c r="AQ25" i="9" s="1"/>
  <c r="AR37" i="9"/>
  <c r="AQ37" i="9" s="1"/>
  <c r="AS37" i="9"/>
  <c r="Z37" i="9"/>
  <c r="AR40" i="9"/>
  <c r="AS40" i="9"/>
  <c r="AR41" i="9"/>
  <c r="AS41" i="9"/>
  <c r="Z41" i="9"/>
  <c r="AR42" i="9"/>
  <c r="AQ42" i="9" s="1"/>
  <c r="AS42" i="9"/>
  <c r="AR43" i="9"/>
  <c r="AS43" i="9"/>
  <c r="AR6" i="9"/>
  <c r="AS6" i="9"/>
  <c r="AR44" i="9"/>
  <c r="AS44" i="9"/>
  <c r="AR45" i="9"/>
  <c r="AQ45" i="9" s="1"/>
  <c r="AS45" i="9"/>
  <c r="AR48" i="9"/>
  <c r="AS48" i="9"/>
  <c r="Z48" i="9"/>
  <c r="AR50" i="9"/>
  <c r="AS50" i="9"/>
  <c r="AR51" i="9"/>
  <c r="AS51" i="9"/>
  <c r="AQ51" i="9" s="1"/>
  <c r="AR89" i="9"/>
  <c r="AS89" i="9"/>
  <c r="AR52" i="9"/>
  <c r="AS52" i="9"/>
  <c r="AR54" i="9"/>
  <c r="AS54" i="9"/>
  <c r="AR55" i="9"/>
  <c r="AS55" i="9"/>
  <c r="AQ55" i="9" s="1"/>
  <c r="AR58" i="9"/>
  <c r="AS58" i="9"/>
  <c r="AR53" i="9"/>
  <c r="AS53" i="9"/>
  <c r="AR59" i="9"/>
  <c r="AS59" i="9"/>
  <c r="AR47" i="9"/>
  <c r="AS47" i="9"/>
  <c r="AR56" i="9"/>
  <c r="AS56" i="9"/>
  <c r="AR57" i="9"/>
  <c r="AS57" i="9"/>
  <c r="Z57" i="9"/>
  <c r="AR60" i="9"/>
  <c r="AS60" i="9"/>
  <c r="AR62" i="9"/>
  <c r="AQ62" i="9" s="1"/>
  <c r="AS62" i="9"/>
  <c r="AR39" i="9"/>
  <c r="AS39" i="9"/>
  <c r="AR61" i="9"/>
  <c r="AQ61" i="9" s="1"/>
  <c r="AS61" i="9"/>
  <c r="Z61" i="9"/>
  <c r="AR64" i="9"/>
  <c r="AS64" i="9"/>
  <c r="AR63" i="9"/>
  <c r="AS63" i="9"/>
  <c r="AR65" i="9"/>
  <c r="AS65" i="9"/>
  <c r="AR66" i="9"/>
  <c r="AS66" i="9"/>
  <c r="AR67" i="9"/>
  <c r="AS67" i="9"/>
  <c r="AR68" i="9"/>
  <c r="AS68" i="9"/>
  <c r="AR69" i="9"/>
  <c r="AS69" i="9"/>
  <c r="AQ69" i="9" s="1"/>
  <c r="AR70" i="9"/>
  <c r="AS70" i="9"/>
  <c r="AR74" i="9"/>
  <c r="AS74" i="9"/>
  <c r="AQ74" i="9" s="1"/>
  <c r="AR26" i="9"/>
  <c r="AS26" i="9"/>
  <c r="AR71" i="9"/>
  <c r="AS71" i="9"/>
  <c r="AR125" i="9"/>
  <c r="AS125" i="9"/>
  <c r="AR75" i="9"/>
  <c r="AS75" i="9"/>
  <c r="AQ75" i="9" s="1"/>
  <c r="AR76" i="9"/>
  <c r="AS76" i="9"/>
  <c r="AR78" i="9"/>
  <c r="AS78" i="9"/>
  <c r="AR79" i="9"/>
  <c r="AS79" i="9"/>
  <c r="AR126" i="9"/>
  <c r="AQ126" i="9" s="1"/>
  <c r="AS126" i="9"/>
  <c r="AR124" i="9"/>
  <c r="AS124" i="9"/>
  <c r="AR77" i="9"/>
  <c r="AS77" i="9"/>
  <c r="AR93" i="9"/>
  <c r="AS93" i="9"/>
  <c r="AR90" i="9"/>
  <c r="AS90" i="9"/>
  <c r="AQ90" i="9" s="1"/>
  <c r="AR80" i="9"/>
  <c r="AS80" i="9"/>
  <c r="AR83" i="9"/>
  <c r="AS83" i="9"/>
  <c r="AR88" i="9"/>
  <c r="AS88" i="9"/>
  <c r="AR85" i="9"/>
  <c r="AS85" i="9"/>
  <c r="AR102" i="9"/>
  <c r="AS102" i="9"/>
  <c r="AR84" i="9"/>
  <c r="AS84" i="9"/>
  <c r="AQ84" i="9" s="1"/>
  <c r="AR95" i="9"/>
  <c r="AS95" i="9"/>
  <c r="AR92" i="9"/>
  <c r="AS92" i="9"/>
  <c r="AQ92" i="9" s="1"/>
  <c r="AR91" i="9"/>
  <c r="AS91" i="9"/>
  <c r="AR94" i="9"/>
  <c r="AS94" i="9"/>
  <c r="AR86" i="9"/>
  <c r="AS86" i="9"/>
  <c r="AR87" i="9"/>
  <c r="AS87" i="9"/>
  <c r="AQ87" i="9" s="1"/>
  <c r="AR81" i="9"/>
  <c r="AS81" i="9"/>
  <c r="AR82" i="9"/>
  <c r="AS82" i="9"/>
  <c r="AR96" i="9"/>
  <c r="AS96" i="9"/>
  <c r="AR100" i="9"/>
  <c r="AS100" i="9"/>
  <c r="AQ100" i="9" s="1"/>
  <c r="AR101" i="9"/>
  <c r="AS101" i="9"/>
  <c r="AR99" i="9"/>
  <c r="AS99" i="9"/>
  <c r="AR98" i="9"/>
  <c r="AS98" i="9"/>
  <c r="AR97" i="9"/>
  <c r="AS97" i="9"/>
  <c r="AR103" i="9"/>
  <c r="AS103" i="9"/>
  <c r="AR105" i="9"/>
  <c r="AS105" i="9"/>
  <c r="AR108" i="9"/>
  <c r="AS108" i="9"/>
  <c r="AR109" i="9"/>
  <c r="AS109" i="9"/>
  <c r="AQ109" i="9" s="1"/>
  <c r="AR104" i="9"/>
  <c r="AS104" i="9"/>
  <c r="AR106" i="9"/>
  <c r="AS106" i="9"/>
  <c r="AR110" i="9"/>
  <c r="AS110" i="9"/>
  <c r="AR72" i="9"/>
  <c r="AS72" i="9"/>
  <c r="AR107" i="9"/>
  <c r="AS107" i="9"/>
  <c r="AR128" i="9"/>
  <c r="AS128" i="9"/>
  <c r="AQ128" i="9" s="1"/>
  <c r="AR111" i="9"/>
  <c r="AS111" i="9"/>
  <c r="AR112" i="9"/>
  <c r="AS112" i="9"/>
  <c r="AR113" i="9"/>
  <c r="AS113" i="9"/>
  <c r="AR129" i="9"/>
  <c r="AS129" i="9"/>
  <c r="AR116" i="9"/>
  <c r="AS116" i="9"/>
  <c r="AR120" i="9"/>
  <c r="AS120" i="9"/>
  <c r="AQ120" i="9" s="1"/>
  <c r="AR119" i="9"/>
  <c r="AS119" i="9"/>
  <c r="AR46" i="9"/>
  <c r="AS46" i="9"/>
  <c r="AR121" i="9"/>
  <c r="AS121" i="9"/>
  <c r="AR117" i="9"/>
  <c r="AS117" i="9"/>
  <c r="AR123" i="9"/>
  <c r="AS123" i="9"/>
  <c r="AR115" i="9"/>
  <c r="AS115" i="9"/>
  <c r="AR130" i="9"/>
  <c r="AS130" i="9"/>
  <c r="Z130" i="9"/>
  <c r="AR49" i="9"/>
  <c r="AQ49" i="9" s="1"/>
  <c r="AS49" i="9"/>
  <c r="AR118" i="9"/>
  <c r="AS118" i="9"/>
  <c r="AR131" i="9"/>
  <c r="AS131" i="9"/>
  <c r="AR29" i="9"/>
  <c r="AS29" i="9"/>
  <c r="AR136" i="9"/>
  <c r="AQ136" i="9" s="1"/>
  <c r="AS136" i="9"/>
  <c r="AR134" i="9"/>
  <c r="AS134" i="9"/>
  <c r="AR132" i="9"/>
  <c r="AQ132" i="9" s="1"/>
  <c r="AS132" i="9"/>
  <c r="AR141" i="9"/>
  <c r="AS141" i="9"/>
  <c r="AR135" i="9"/>
  <c r="AQ135" i="9" s="1"/>
  <c r="AS135" i="9"/>
  <c r="AR137" i="9"/>
  <c r="AS137" i="9"/>
  <c r="AR138" i="9"/>
  <c r="AS138" i="9"/>
  <c r="AR139" i="9"/>
  <c r="AS139" i="9"/>
  <c r="AR140" i="9"/>
  <c r="AS140" i="9"/>
  <c r="AR142" i="9"/>
  <c r="AS142" i="9"/>
  <c r="AR133" i="9"/>
  <c r="AS133" i="9"/>
  <c r="AR143" i="9"/>
  <c r="AS143" i="9"/>
  <c r="AR144" i="9"/>
  <c r="AQ144" i="9" s="1"/>
  <c r="AS144" i="9"/>
  <c r="AR145" i="9"/>
  <c r="AS145" i="9"/>
  <c r="AR146" i="9"/>
  <c r="AS146" i="9"/>
  <c r="AR127" i="9"/>
  <c r="AS127" i="9"/>
  <c r="AR148" i="9"/>
  <c r="AQ148" i="9" s="1"/>
  <c r="AS148" i="9"/>
  <c r="AR149" i="9"/>
  <c r="AS149" i="9"/>
  <c r="AR147" i="9"/>
  <c r="AS147" i="9"/>
  <c r="AR114" i="9"/>
  <c r="AS114" i="9"/>
  <c r="AR73" i="9"/>
  <c r="AQ73" i="9" s="1"/>
  <c r="AS73" i="9"/>
  <c r="AR150" i="9"/>
  <c r="AS150" i="9"/>
  <c r="AR122" i="9"/>
  <c r="AS122" i="9"/>
  <c r="AR151" i="9"/>
  <c r="AS151" i="9"/>
  <c r="AR152" i="9"/>
  <c r="AQ152" i="9" s="1"/>
  <c r="AS152" i="9"/>
  <c r="AS4" i="9"/>
  <c r="AR4" i="9"/>
  <c r="C93" i="24"/>
  <c r="W5" i="9"/>
  <c r="W10" i="9"/>
  <c r="W8" i="9"/>
  <c r="W23" i="9"/>
  <c r="W22" i="9"/>
  <c r="W19" i="9"/>
  <c r="W14" i="9"/>
  <c r="W15" i="9"/>
  <c r="W21" i="9"/>
  <c r="W20" i="9"/>
  <c r="W28" i="9"/>
  <c r="W30" i="9"/>
  <c r="W31" i="9"/>
  <c r="W36" i="9"/>
  <c r="W32" i="9"/>
  <c r="W37" i="9"/>
  <c r="W40" i="9"/>
  <c r="W41" i="9"/>
  <c r="W42" i="9"/>
  <c r="W43" i="9"/>
  <c r="W6" i="9"/>
  <c r="W48" i="9"/>
  <c r="W51" i="9"/>
  <c r="W89" i="9"/>
  <c r="W47" i="9"/>
  <c r="W56" i="9"/>
  <c r="W57" i="9"/>
  <c r="W39" i="9"/>
  <c r="W61" i="9"/>
  <c r="W63" i="9"/>
  <c r="W65" i="9"/>
  <c r="W67" i="9"/>
  <c r="W69" i="9"/>
  <c r="W71" i="9"/>
  <c r="W125" i="9"/>
  <c r="W79" i="9"/>
  <c r="W126" i="9"/>
  <c r="W93" i="9"/>
  <c r="W83" i="9"/>
  <c r="W88" i="9"/>
  <c r="W85" i="9"/>
  <c r="W82" i="9"/>
  <c r="W96" i="9"/>
  <c r="W99" i="9"/>
  <c r="W97" i="9"/>
  <c r="W104" i="9"/>
  <c r="W110" i="9"/>
  <c r="W72" i="9"/>
  <c r="W107" i="9"/>
  <c r="W111" i="9"/>
  <c r="W112" i="9"/>
  <c r="W120" i="9"/>
  <c r="W117" i="9"/>
  <c r="W130" i="9"/>
  <c r="W131" i="9"/>
  <c r="W134" i="9"/>
  <c r="W135" i="9"/>
  <c r="W137" i="9"/>
  <c r="W138" i="9"/>
  <c r="W140" i="9"/>
  <c r="W142" i="9"/>
  <c r="W133" i="9"/>
  <c r="W145" i="9"/>
  <c r="W146" i="9"/>
  <c r="W127" i="9"/>
  <c r="W148" i="9"/>
  <c r="W149" i="9"/>
  <c r="W147" i="9"/>
  <c r="W114" i="9"/>
  <c r="AD13" i="9"/>
  <c r="AD22" i="9"/>
  <c r="AD19" i="9"/>
  <c r="AD14" i="9"/>
  <c r="AD15" i="9"/>
  <c r="AD18" i="9"/>
  <c r="AD21" i="9"/>
  <c r="AD17" i="9"/>
  <c r="AD20" i="9"/>
  <c r="AD28" i="9"/>
  <c r="AD30" i="9"/>
  <c r="AD31" i="9"/>
  <c r="AD38" i="9"/>
  <c r="AD27" i="9"/>
  <c r="AD34" i="9"/>
  <c r="AD35" i="9"/>
  <c r="AD36" i="9"/>
  <c r="AD32" i="9"/>
  <c r="AD33" i="9"/>
  <c r="AD25" i="9"/>
  <c r="AD37" i="9"/>
  <c r="AD40" i="9"/>
  <c r="AD41" i="9"/>
  <c r="AD42" i="9"/>
  <c r="AD43" i="9"/>
  <c r="AD6" i="9"/>
  <c r="AD44" i="9"/>
  <c r="AD45" i="9"/>
  <c r="AD48" i="9"/>
  <c r="AD50" i="9"/>
  <c r="AD51" i="9"/>
  <c r="AD89" i="9"/>
  <c r="AD52" i="9"/>
  <c r="AD54" i="9"/>
  <c r="AD55" i="9"/>
  <c r="AD58" i="9"/>
  <c r="AD53" i="9"/>
  <c r="AD59" i="9"/>
  <c r="AD47" i="9"/>
  <c r="AD56" i="9"/>
  <c r="AD57" i="9"/>
  <c r="AD60" i="9"/>
  <c r="AD62" i="9"/>
  <c r="AD39" i="9"/>
  <c r="AD61" i="9"/>
  <c r="AD64" i="9"/>
  <c r="AD63" i="9"/>
  <c r="AD65" i="9"/>
  <c r="AD66" i="9"/>
  <c r="AD67" i="9"/>
  <c r="AD68" i="9"/>
  <c r="AD69" i="9"/>
  <c r="AD70" i="9"/>
  <c r="AD74" i="9"/>
  <c r="AD26" i="9"/>
  <c r="AD71" i="9"/>
  <c r="AD125" i="9"/>
  <c r="AD75" i="9"/>
  <c r="AD76" i="9"/>
  <c r="AD78" i="9"/>
  <c r="AD79" i="9"/>
  <c r="AD126" i="9"/>
  <c r="AD124" i="9"/>
  <c r="AD77" i="9"/>
  <c r="AD93" i="9"/>
  <c r="AD90" i="9"/>
  <c r="AD80" i="9"/>
  <c r="AD83" i="9"/>
  <c r="AD88" i="9"/>
  <c r="AD85" i="9"/>
  <c r="AD102" i="9"/>
  <c r="AD84" i="9"/>
  <c r="AD95" i="9"/>
  <c r="AD92" i="9"/>
  <c r="AD91" i="9"/>
  <c r="AD94" i="9"/>
  <c r="AD86" i="9"/>
  <c r="AD87" i="9"/>
  <c r="AD81" i="9"/>
  <c r="AD82" i="9"/>
  <c r="AD96" i="9"/>
  <c r="AD100" i="9"/>
  <c r="AD101" i="9"/>
  <c r="AD99" i="9"/>
  <c r="AD98" i="9"/>
  <c r="AD97" i="9"/>
  <c r="AD103" i="9"/>
  <c r="AD105" i="9"/>
  <c r="AD108" i="9"/>
  <c r="AD109" i="9"/>
  <c r="AD104" i="9"/>
  <c r="AD106" i="9"/>
  <c r="AD110" i="9"/>
  <c r="AD72" i="9"/>
  <c r="AD107" i="9"/>
  <c r="AD128" i="9"/>
  <c r="AD111" i="9"/>
  <c r="AD112" i="9"/>
  <c r="AD113" i="9"/>
  <c r="AD129" i="9"/>
  <c r="AD116" i="9"/>
  <c r="AD120" i="9"/>
  <c r="AD119" i="9"/>
  <c r="AD46" i="9"/>
  <c r="AD121" i="9"/>
  <c r="AD117" i="9"/>
  <c r="AD123" i="9"/>
  <c r="AD115" i="9"/>
  <c r="AD130" i="9"/>
  <c r="AD49" i="9"/>
  <c r="AD118" i="9"/>
  <c r="AD131" i="9"/>
  <c r="AD29" i="9"/>
  <c r="AD136" i="9"/>
  <c r="AD134" i="9"/>
  <c r="AD132" i="9"/>
  <c r="AD141" i="9"/>
  <c r="AD135" i="9"/>
  <c r="AD137" i="9"/>
  <c r="AD138" i="9"/>
  <c r="AD139" i="9"/>
  <c r="AD140" i="9"/>
  <c r="AD142" i="9"/>
  <c r="AD133" i="9"/>
  <c r="AD143" i="9"/>
  <c r="AD144" i="9"/>
  <c r="AD145" i="9"/>
  <c r="AD146" i="9"/>
  <c r="AD127" i="9"/>
  <c r="AD148" i="9"/>
  <c r="AD149" i="9"/>
  <c r="AD147" i="9"/>
  <c r="AD114" i="9"/>
  <c r="AD73" i="9"/>
  <c r="AD150" i="9"/>
  <c r="AD122" i="9"/>
  <c r="AD151" i="9"/>
  <c r="AD152" i="9"/>
  <c r="AD7" i="9"/>
  <c r="AD5" i="9"/>
  <c r="AD9" i="9"/>
  <c r="AD10" i="9"/>
  <c r="AD8" i="9"/>
  <c r="AD11" i="9"/>
  <c r="AD24" i="9"/>
  <c r="AD16" i="9"/>
  <c r="AD23" i="9"/>
  <c r="AD4" i="9"/>
  <c r="T7" i="12"/>
  <c r="S7" i="12"/>
  <c r="R7" i="12"/>
  <c r="H7" i="12"/>
  <c r="C6" i="12"/>
  <c r="C7" i="12"/>
  <c r="H6" i="12"/>
  <c r="G14" i="12"/>
  <c r="F14" i="12"/>
  <c r="C14" i="12"/>
  <c r="C11" i="12"/>
  <c r="C10" i="12"/>
  <c r="C9" i="12"/>
  <c r="AC137" i="9" s="1"/>
  <c r="AE137" i="9" s="1"/>
  <c r="C8" i="12"/>
  <c r="AC114" i="9" s="1"/>
  <c r="V8" i="12"/>
  <c r="U8" i="12"/>
  <c r="T8" i="12"/>
  <c r="S8" i="12"/>
  <c r="R8" i="12"/>
  <c r="V9" i="12"/>
  <c r="U9" i="12"/>
  <c r="T9" i="12"/>
  <c r="S9" i="12"/>
  <c r="R9" i="12"/>
  <c r="V10" i="12"/>
  <c r="U10" i="12"/>
  <c r="T10" i="12"/>
  <c r="S10" i="12"/>
  <c r="R10" i="12"/>
  <c r="V11" i="12"/>
  <c r="U11" i="12"/>
  <c r="T11" i="12"/>
  <c r="S11" i="12"/>
  <c r="R11" i="12"/>
  <c r="G11" i="12"/>
  <c r="G10" i="12"/>
  <c r="F10" i="12"/>
  <c r="H10" i="12"/>
  <c r="G9" i="12"/>
  <c r="H9" i="12" s="1"/>
  <c r="F9" i="12"/>
  <c r="G8" i="12"/>
  <c r="F8" i="12"/>
  <c r="F12" i="12"/>
  <c r="T12" i="12"/>
  <c r="S12" i="12"/>
  <c r="R12" i="12"/>
  <c r="C17" i="12"/>
  <c r="AC63" i="9" s="1"/>
  <c r="H13" i="12"/>
  <c r="C13" i="12"/>
  <c r="H19" i="12"/>
  <c r="H15" i="12"/>
  <c r="C15" i="12"/>
  <c r="AC13" i="9" s="1"/>
  <c r="C21" i="12"/>
  <c r="AC124" i="9" s="1"/>
  <c r="H21" i="12"/>
  <c r="C19" i="12"/>
  <c r="AC98" i="9" s="1"/>
  <c r="X5" i="9"/>
  <c r="Y5" i="9"/>
  <c r="Z5" i="9"/>
  <c r="AA5" i="9"/>
  <c r="X10" i="9"/>
  <c r="Y10" i="9"/>
  <c r="AA10" i="9"/>
  <c r="X8" i="9"/>
  <c r="Y8" i="9"/>
  <c r="Z8" i="9"/>
  <c r="AA8" i="9"/>
  <c r="X23" i="9"/>
  <c r="Y23" i="9"/>
  <c r="Z23" i="9"/>
  <c r="AA23" i="9"/>
  <c r="X22" i="9"/>
  <c r="Y22" i="9"/>
  <c r="Z22" i="9"/>
  <c r="AA22" i="9"/>
  <c r="X19" i="9"/>
  <c r="Y19" i="9"/>
  <c r="AA19" i="9"/>
  <c r="X14" i="9"/>
  <c r="Y14" i="9"/>
  <c r="Z14" i="9"/>
  <c r="AA14" i="9"/>
  <c r="X15" i="9"/>
  <c r="Y15" i="9"/>
  <c r="Z15" i="9"/>
  <c r="AA15" i="9"/>
  <c r="X21" i="9"/>
  <c r="Y21" i="9"/>
  <c r="Z21" i="9"/>
  <c r="AA21" i="9"/>
  <c r="X20" i="9"/>
  <c r="Y20" i="9"/>
  <c r="AA20" i="9"/>
  <c r="X28" i="9"/>
  <c r="Y28" i="9"/>
  <c r="Z28" i="9"/>
  <c r="AA28" i="9"/>
  <c r="X30" i="9"/>
  <c r="Y30" i="9"/>
  <c r="AA30" i="9"/>
  <c r="X31" i="9"/>
  <c r="Y31" i="9"/>
  <c r="Z31" i="9"/>
  <c r="AA31" i="9"/>
  <c r="X36" i="9"/>
  <c r="Y36" i="9"/>
  <c r="Z36" i="9"/>
  <c r="AA36" i="9"/>
  <c r="X32" i="9"/>
  <c r="Y32" i="9"/>
  <c r="Z32" i="9"/>
  <c r="AA32" i="9"/>
  <c r="X37" i="9"/>
  <c r="Y37" i="9"/>
  <c r="AA37" i="9"/>
  <c r="X40" i="9"/>
  <c r="Y40" i="9"/>
  <c r="Z40" i="9"/>
  <c r="AA40" i="9"/>
  <c r="X41" i="9"/>
  <c r="Y41" i="9"/>
  <c r="AA41" i="9"/>
  <c r="X42" i="9"/>
  <c r="Y42" i="9"/>
  <c r="Z42" i="9"/>
  <c r="AA42" i="9"/>
  <c r="X43" i="9"/>
  <c r="Y43" i="9"/>
  <c r="Z43" i="9"/>
  <c r="AA43" i="9"/>
  <c r="X6" i="9"/>
  <c r="Y6" i="9"/>
  <c r="Z6" i="9"/>
  <c r="AA6" i="9"/>
  <c r="X48" i="9"/>
  <c r="Y48" i="9"/>
  <c r="AA48" i="9"/>
  <c r="X51" i="9"/>
  <c r="Y51" i="9"/>
  <c r="Z51" i="9"/>
  <c r="AA51" i="9"/>
  <c r="X89" i="9"/>
  <c r="Y89" i="9"/>
  <c r="Z89" i="9"/>
  <c r="AA89" i="9"/>
  <c r="X47" i="9"/>
  <c r="Y47" i="9"/>
  <c r="Z47" i="9"/>
  <c r="CH47" i="9" s="1"/>
  <c r="AA47" i="9"/>
  <c r="X56" i="9"/>
  <c r="Y56" i="9"/>
  <c r="Z56" i="9"/>
  <c r="AA56" i="9"/>
  <c r="X57" i="9"/>
  <c r="Y57" i="9"/>
  <c r="AA57" i="9"/>
  <c r="X39" i="9"/>
  <c r="Y39" i="9"/>
  <c r="Z39" i="9"/>
  <c r="AA39" i="9"/>
  <c r="X61" i="9"/>
  <c r="Y61" i="9"/>
  <c r="AA61" i="9"/>
  <c r="X63" i="9"/>
  <c r="Y63" i="9"/>
  <c r="Z63" i="9"/>
  <c r="AA63" i="9"/>
  <c r="X65" i="9"/>
  <c r="Y65" i="9"/>
  <c r="Z65" i="9"/>
  <c r="AA65" i="9"/>
  <c r="X67" i="9"/>
  <c r="Y67" i="9"/>
  <c r="Z67" i="9"/>
  <c r="AA67" i="9"/>
  <c r="X69" i="9"/>
  <c r="Y69" i="9"/>
  <c r="Z69" i="9"/>
  <c r="AA69" i="9"/>
  <c r="X71" i="9"/>
  <c r="Y71" i="9"/>
  <c r="Z71" i="9"/>
  <c r="AA71" i="9"/>
  <c r="X125" i="9"/>
  <c r="Y125" i="9"/>
  <c r="Z125" i="9"/>
  <c r="AA125" i="9"/>
  <c r="X79" i="9"/>
  <c r="Y79" i="9"/>
  <c r="Z79" i="9"/>
  <c r="AA79" i="9"/>
  <c r="X126" i="9"/>
  <c r="Y126" i="9"/>
  <c r="Z126" i="9"/>
  <c r="AA126" i="9"/>
  <c r="X93" i="9"/>
  <c r="Y93" i="9"/>
  <c r="Z93" i="9"/>
  <c r="AA93" i="9"/>
  <c r="X83" i="9"/>
  <c r="Y83" i="9"/>
  <c r="Z83" i="9"/>
  <c r="AA83" i="9"/>
  <c r="X88" i="9"/>
  <c r="Y88" i="9"/>
  <c r="Z88" i="9"/>
  <c r="AA88" i="9"/>
  <c r="X85" i="9"/>
  <c r="Y85" i="9"/>
  <c r="Z85" i="9"/>
  <c r="AA85" i="9"/>
  <c r="X82" i="9"/>
  <c r="Y82" i="9"/>
  <c r="Z82" i="9"/>
  <c r="AA82" i="9"/>
  <c r="X96" i="9"/>
  <c r="Y96" i="9"/>
  <c r="Z96" i="9"/>
  <c r="AA96" i="9"/>
  <c r="X99" i="9"/>
  <c r="Y99" i="9"/>
  <c r="Z99" i="9"/>
  <c r="AA99" i="9"/>
  <c r="X97" i="9"/>
  <c r="Y97" i="9"/>
  <c r="Z97" i="9"/>
  <c r="AA97" i="9"/>
  <c r="X104" i="9"/>
  <c r="Y104" i="9"/>
  <c r="Z104" i="9"/>
  <c r="AA104" i="9"/>
  <c r="X110" i="9"/>
  <c r="Y110" i="9"/>
  <c r="Z110" i="9"/>
  <c r="AA110" i="9"/>
  <c r="X72" i="9"/>
  <c r="Y72" i="9"/>
  <c r="Z72" i="9"/>
  <c r="AA72" i="9"/>
  <c r="X107" i="9"/>
  <c r="Y107" i="9"/>
  <c r="Z107" i="9"/>
  <c r="AA107" i="9"/>
  <c r="X111" i="9"/>
  <c r="Y111" i="9"/>
  <c r="Z111" i="9"/>
  <c r="AA111" i="9"/>
  <c r="X112" i="9"/>
  <c r="Y112" i="9"/>
  <c r="Z112" i="9"/>
  <c r="AA112" i="9"/>
  <c r="X120" i="9"/>
  <c r="Y120" i="9"/>
  <c r="Z120" i="9"/>
  <c r="AA120" i="9"/>
  <c r="X117" i="9"/>
  <c r="Y117" i="9"/>
  <c r="Z117" i="9"/>
  <c r="AA117" i="9"/>
  <c r="X130" i="9"/>
  <c r="Y130" i="9"/>
  <c r="AA130" i="9"/>
  <c r="X131" i="9"/>
  <c r="Y131" i="9"/>
  <c r="Z131" i="9"/>
  <c r="AA131" i="9"/>
  <c r="X134" i="9"/>
  <c r="Y134" i="9"/>
  <c r="Z134" i="9"/>
  <c r="AA134" i="9"/>
  <c r="X135" i="9"/>
  <c r="Y135" i="9"/>
  <c r="Z135" i="9"/>
  <c r="AA135" i="9"/>
  <c r="X137" i="9"/>
  <c r="Y137" i="9"/>
  <c r="Z137" i="9"/>
  <c r="AA137" i="9"/>
  <c r="X138" i="9"/>
  <c r="Y138" i="9"/>
  <c r="Z138" i="9"/>
  <c r="AA138" i="9"/>
  <c r="X140" i="9"/>
  <c r="Y140" i="9"/>
  <c r="Z140" i="9"/>
  <c r="AA140" i="9"/>
  <c r="X142" i="9"/>
  <c r="Y142" i="9"/>
  <c r="Z142" i="9"/>
  <c r="AA142" i="9"/>
  <c r="X133" i="9"/>
  <c r="Y133" i="9"/>
  <c r="Z133" i="9"/>
  <c r="AA133" i="9"/>
  <c r="X145" i="9"/>
  <c r="Y145" i="9"/>
  <c r="Z145" i="9"/>
  <c r="AA145" i="9"/>
  <c r="X146" i="9"/>
  <c r="Y146" i="9"/>
  <c r="Z146" i="9"/>
  <c r="AA146" i="9"/>
  <c r="X127" i="9"/>
  <c r="Y127" i="9"/>
  <c r="Z127" i="9"/>
  <c r="AA127" i="9"/>
  <c r="X148" i="9"/>
  <c r="Y148" i="9"/>
  <c r="Z148" i="9"/>
  <c r="AA148" i="9"/>
  <c r="X149" i="9"/>
  <c r="Y149" i="9"/>
  <c r="Z149" i="9"/>
  <c r="AA149" i="9"/>
  <c r="X147" i="9"/>
  <c r="Y147" i="9"/>
  <c r="Z147" i="9"/>
  <c r="AA147" i="9"/>
  <c r="X114" i="9"/>
  <c r="Y114" i="9"/>
  <c r="Z114" i="9"/>
  <c r="AA114" i="9"/>
  <c r="BD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C2" i="13"/>
  <c r="N163" i="5"/>
  <c r="O163" i="5" s="1"/>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s="1"/>
  <c r="O57" i="5"/>
  <c r="O56" i="5"/>
  <c r="O55" i="5"/>
  <c r="P53" i="5"/>
  <c r="O54" i="5" s="1"/>
  <c r="O52" i="5"/>
  <c r="P51" i="5"/>
  <c r="O51" i="5"/>
  <c r="O50" i="5"/>
  <c r="O49" i="5"/>
  <c r="O48" i="5"/>
  <c r="O47" i="5"/>
  <c r="N46" i="5"/>
  <c r="N45" i="5"/>
  <c r="C6" i="16" s="1"/>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s="1"/>
  <c r="O8" i="5"/>
  <c r="O7" i="5"/>
  <c r="BB154" i="9"/>
  <c r="F22" i="17"/>
  <c r="G22" i="17" s="1"/>
  <c r="D22" i="17"/>
  <c r="E22" i="17" s="1"/>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s="1"/>
  <c r="K17" i="15"/>
  <c r="K16" i="15"/>
  <c r="C4" i="16"/>
  <c r="C3" i="16"/>
  <c r="AK27" i="9"/>
  <c r="AK64" i="9"/>
  <c r="AK74" i="9"/>
  <c r="AK83" i="9"/>
  <c r="AK103" i="9"/>
  <c r="AK29" i="9"/>
  <c r="AK139" i="9"/>
  <c r="AK16" i="9"/>
  <c r="AK13" i="9"/>
  <c r="AJ16" i="9"/>
  <c r="AJ13" i="9"/>
  <c r="AJ27" i="9"/>
  <c r="AJ64" i="9"/>
  <c r="AJ74" i="9"/>
  <c r="AJ83" i="9"/>
  <c r="AJ103" i="9"/>
  <c r="AJ29" i="9"/>
  <c r="AJ139" i="9"/>
  <c r="AC26" i="9"/>
  <c r="AF26" i="9" s="1"/>
  <c r="AC83" i="9"/>
  <c r="AC103" i="9"/>
  <c r="AC132" i="9"/>
  <c r="AG132" i="9" s="1"/>
  <c r="AC142" i="9"/>
  <c r="AG142" i="9" s="1"/>
  <c r="AC147" i="9"/>
  <c r="AC17" i="9"/>
  <c r="AH17" i="9" s="1"/>
  <c r="I6" i="6"/>
  <c r="I5" i="6"/>
  <c r="I7" i="6"/>
  <c r="F6" i="6"/>
  <c r="F7" i="6"/>
  <c r="F5" i="6"/>
  <c r="C5" i="6"/>
  <c r="C6" i="6"/>
  <c r="C7" i="6"/>
  <c r="C13" i="6"/>
  <c r="C12" i="6"/>
  <c r="I13" i="6"/>
  <c r="I12" i="6"/>
  <c r="F13" i="6"/>
  <c r="F12" i="6"/>
  <c r="AN154" i="9"/>
  <c r="C23" i="6"/>
  <c r="C43" i="12"/>
  <c r="K85" i="9"/>
  <c r="J85" i="9"/>
  <c r="I85" i="9"/>
  <c r="H85" i="9"/>
  <c r="G85" i="9"/>
  <c r="K145" i="9"/>
  <c r="J145" i="9"/>
  <c r="I145" i="9"/>
  <c r="H145" i="9"/>
  <c r="G145" i="9"/>
  <c r="K140" i="9"/>
  <c r="J140" i="9"/>
  <c r="I140" i="9"/>
  <c r="H140" i="9"/>
  <c r="G140" i="9"/>
  <c r="K134" i="9"/>
  <c r="J134" i="9"/>
  <c r="I134" i="9"/>
  <c r="H134" i="9"/>
  <c r="G134" i="9"/>
  <c r="K130" i="9"/>
  <c r="J130" i="9"/>
  <c r="I130" i="9"/>
  <c r="H130" i="9"/>
  <c r="G130" i="9"/>
  <c r="K117" i="9"/>
  <c r="J117" i="9"/>
  <c r="I117" i="9"/>
  <c r="H117" i="9"/>
  <c r="G117" i="9"/>
  <c r="K112" i="9"/>
  <c r="J112" i="9"/>
  <c r="I112" i="9"/>
  <c r="H112" i="9"/>
  <c r="G112" i="9"/>
  <c r="K111" i="9"/>
  <c r="J111" i="9"/>
  <c r="I111" i="9"/>
  <c r="H111" i="9"/>
  <c r="G111" i="9"/>
  <c r="K107" i="9"/>
  <c r="J107" i="9"/>
  <c r="I107" i="9"/>
  <c r="H107" i="9"/>
  <c r="G107" i="9"/>
  <c r="K110" i="9"/>
  <c r="J110" i="9"/>
  <c r="I110" i="9"/>
  <c r="H110" i="9"/>
  <c r="G110" i="9"/>
  <c r="K104" i="9"/>
  <c r="J104" i="9"/>
  <c r="I104" i="9"/>
  <c r="H104" i="9"/>
  <c r="G104" i="9"/>
  <c r="K108" i="9"/>
  <c r="J108" i="9"/>
  <c r="I108" i="9"/>
  <c r="H108" i="9"/>
  <c r="G108" i="9"/>
  <c r="K97" i="9"/>
  <c r="J97" i="9"/>
  <c r="I97" i="9"/>
  <c r="H97" i="9"/>
  <c r="G97" i="9"/>
  <c r="K96" i="9"/>
  <c r="J96" i="9"/>
  <c r="I96" i="9"/>
  <c r="H96" i="9"/>
  <c r="G96" i="9"/>
  <c r="K82" i="9"/>
  <c r="J82" i="9"/>
  <c r="I82" i="9"/>
  <c r="H82" i="9"/>
  <c r="G82" i="9"/>
  <c r="K102" i="9"/>
  <c r="J102" i="9"/>
  <c r="I102" i="9"/>
  <c r="H102" i="9"/>
  <c r="G102" i="9"/>
  <c r="K88" i="9"/>
  <c r="J88" i="9"/>
  <c r="I88" i="9"/>
  <c r="H88" i="9"/>
  <c r="G88" i="9"/>
  <c r="K125" i="9"/>
  <c r="J125" i="9"/>
  <c r="I125" i="9"/>
  <c r="H125" i="9"/>
  <c r="G125" i="9"/>
  <c r="K69" i="9"/>
  <c r="J69" i="9"/>
  <c r="I69" i="9"/>
  <c r="H69" i="9"/>
  <c r="G69" i="9"/>
  <c r="K67" i="9"/>
  <c r="J67" i="9"/>
  <c r="I67" i="9"/>
  <c r="H67" i="9"/>
  <c r="G67" i="9"/>
  <c r="K39" i="9"/>
  <c r="J39" i="9"/>
  <c r="I39" i="9"/>
  <c r="H39" i="9"/>
  <c r="G39" i="9"/>
  <c r="K57" i="9"/>
  <c r="J57" i="9"/>
  <c r="I57" i="9"/>
  <c r="H57" i="9"/>
  <c r="G57" i="9"/>
  <c r="K47" i="9"/>
  <c r="J47" i="9"/>
  <c r="I47" i="9"/>
  <c r="H47" i="9"/>
  <c r="G47" i="9"/>
  <c r="K43" i="9"/>
  <c r="J43" i="9"/>
  <c r="I43" i="9"/>
  <c r="H43" i="9"/>
  <c r="G43" i="9"/>
  <c r="K32" i="9"/>
  <c r="J32" i="9"/>
  <c r="I32" i="9"/>
  <c r="H32" i="9"/>
  <c r="G32" i="9"/>
  <c r="K31" i="9"/>
  <c r="J31" i="9"/>
  <c r="I31" i="9"/>
  <c r="H31" i="9"/>
  <c r="G31" i="9"/>
  <c r="K30" i="9"/>
  <c r="J30" i="9"/>
  <c r="I30" i="9"/>
  <c r="H30" i="9"/>
  <c r="G30" i="9"/>
  <c r="K20" i="9"/>
  <c r="J20" i="9"/>
  <c r="I20" i="9"/>
  <c r="H20" i="9"/>
  <c r="G20" i="9"/>
  <c r="K14" i="9"/>
  <c r="J14" i="9"/>
  <c r="I14" i="9"/>
  <c r="H14" i="9"/>
  <c r="G14" i="9"/>
  <c r="K22" i="9"/>
  <c r="J22" i="9"/>
  <c r="I22" i="9"/>
  <c r="H22" i="9"/>
  <c r="G22" i="9"/>
  <c r="K8" i="9"/>
  <c r="J8" i="9"/>
  <c r="I8" i="9"/>
  <c r="H8" i="9"/>
  <c r="G8" i="9"/>
  <c r="K10" i="9"/>
  <c r="J10" i="9"/>
  <c r="I10" i="9"/>
  <c r="H10" i="9"/>
  <c r="G10" i="9"/>
  <c r="K9" i="9"/>
  <c r="J9" i="9"/>
  <c r="I9" i="9"/>
  <c r="H9" i="9"/>
  <c r="G9" i="9"/>
  <c r="K5" i="9"/>
  <c r="J5" i="9"/>
  <c r="I5" i="9"/>
  <c r="H5" i="9"/>
  <c r="G5" i="9"/>
  <c r="K19" i="9"/>
  <c r="J19" i="9"/>
  <c r="I19" i="9"/>
  <c r="H19" i="9"/>
  <c r="G19" i="9"/>
  <c r="K152" i="9"/>
  <c r="J152" i="9"/>
  <c r="I152" i="9"/>
  <c r="H152" i="9"/>
  <c r="G152" i="9"/>
  <c r="K136" i="9"/>
  <c r="J136" i="9"/>
  <c r="I136" i="9"/>
  <c r="H136" i="9"/>
  <c r="G136" i="9"/>
  <c r="K122" i="9"/>
  <c r="J122" i="9"/>
  <c r="I122" i="9"/>
  <c r="H122" i="9"/>
  <c r="G122" i="9"/>
  <c r="K29" i="9"/>
  <c r="J29" i="9"/>
  <c r="I29" i="9"/>
  <c r="H29" i="9"/>
  <c r="G29" i="9"/>
  <c r="K115" i="9"/>
  <c r="J115" i="9"/>
  <c r="I115" i="9"/>
  <c r="H115" i="9"/>
  <c r="G115" i="9"/>
  <c r="K119" i="9"/>
  <c r="J119" i="9"/>
  <c r="I119" i="9"/>
  <c r="H119" i="9"/>
  <c r="G119" i="9"/>
  <c r="K116" i="9"/>
  <c r="J116" i="9"/>
  <c r="I116" i="9"/>
  <c r="H116" i="9"/>
  <c r="G116" i="9"/>
  <c r="K149" i="9"/>
  <c r="J149" i="9"/>
  <c r="I149" i="9"/>
  <c r="H149" i="9"/>
  <c r="G149" i="9"/>
  <c r="K148" i="9"/>
  <c r="J148" i="9"/>
  <c r="I148" i="9"/>
  <c r="H148" i="9"/>
  <c r="G148" i="9"/>
  <c r="K101" i="9"/>
  <c r="J101" i="9"/>
  <c r="I101" i="9"/>
  <c r="H101" i="9"/>
  <c r="G101" i="9"/>
  <c r="K100" i="9"/>
  <c r="J100" i="9"/>
  <c r="I100" i="9"/>
  <c r="H100" i="9"/>
  <c r="G100" i="9"/>
  <c r="K144" i="9"/>
  <c r="J144" i="9"/>
  <c r="I144" i="9"/>
  <c r="H144" i="9"/>
  <c r="G144" i="9"/>
  <c r="K86" i="9"/>
  <c r="J86" i="9"/>
  <c r="I86" i="9"/>
  <c r="H86" i="9"/>
  <c r="G86" i="9"/>
  <c r="K84" i="9"/>
  <c r="J84" i="9"/>
  <c r="I84" i="9"/>
  <c r="H84" i="9"/>
  <c r="G84" i="9"/>
  <c r="K78" i="9"/>
  <c r="J78" i="9"/>
  <c r="I78" i="9"/>
  <c r="H78" i="9"/>
  <c r="G78" i="9"/>
  <c r="K139" i="9"/>
  <c r="J139" i="9"/>
  <c r="I139" i="9"/>
  <c r="H139" i="9"/>
  <c r="G139" i="9"/>
  <c r="K138" i="9"/>
  <c r="J138" i="9"/>
  <c r="I138" i="9"/>
  <c r="H138" i="9"/>
  <c r="G138" i="9"/>
  <c r="K59" i="9"/>
  <c r="J59" i="9"/>
  <c r="I59" i="9"/>
  <c r="H59" i="9"/>
  <c r="G59" i="9"/>
  <c r="K53" i="9"/>
  <c r="J53" i="9"/>
  <c r="I53" i="9"/>
  <c r="H53" i="9"/>
  <c r="G53" i="9"/>
  <c r="K141" i="9"/>
  <c r="J141" i="9"/>
  <c r="I141" i="9"/>
  <c r="H141" i="9"/>
  <c r="G141" i="9"/>
  <c r="K58" i="9"/>
  <c r="J58" i="9"/>
  <c r="I58" i="9"/>
  <c r="H58" i="9"/>
  <c r="G58" i="9"/>
  <c r="K55" i="9"/>
  <c r="J55" i="9"/>
  <c r="I55" i="9"/>
  <c r="H55" i="9"/>
  <c r="G55" i="9"/>
  <c r="K25" i="9"/>
  <c r="J25" i="9"/>
  <c r="I25" i="9"/>
  <c r="H25" i="9"/>
  <c r="G25" i="9"/>
  <c r="K131" i="9"/>
  <c r="J131" i="9"/>
  <c r="I131" i="9"/>
  <c r="H131" i="9"/>
  <c r="G131" i="9"/>
  <c r="K118" i="9"/>
  <c r="J118" i="9"/>
  <c r="I118" i="9"/>
  <c r="H118" i="9"/>
  <c r="G118" i="9"/>
  <c r="K49" i="9"/>
  <c r="J49" i="9"/>
  <c r="I49" i="9"/>
  <c r="H49" i="9"/>
  <c r="G49" i="9"/>
  <c r="K35" i="9"/>
  <c r="J35" i="9"/>
  <c r="I35" i="9"/>
  <c r="H35" i="9"/>
  <c r="G35" i="9"/>
  <c r="K34" i="9"/>
  <c r="J34" i="9"/>
  <c r="I34" i="9"/>
  <c r="H34" i="9"/>
  <c r="G34" i="9"/>
  <c r="K27" i="9"/>
  <c r="J27" i="9"/>
  <c r="I27" i="9"/>
  <c r="H27" i="9"/>
  <c r="G27" i="9"/>
  <c r="K46" i="9"/>
  <c r="J46" i="9"/>
  <c r="I46" i="9"/>
  <c r="H46" i="9"/>
  <c r="G46" i="9"/>
  <c r="K38" i="9"/>
  <c r="J38" i="9"/>
  <c r="I38" i="9"/>
  <c r="H38" i="9"/>
  <c r="G38" i="9"/>
  <c r="K28" i="9"/>
  <c r="J28" i="9"/>
  <c r="I28" i="9"/>
  <c r="H28" i="9"/>
  <c r="G28" i="9"/>
  <c r="K23" i="9"/>
  <c r="J23" i="9"/>
  <c r="I23" i="9"/>
  <c r="H23" i="9"/>
  <c r="G23" i="9"/>
  <c r="K129" i="9"/>
  <c r="J129" i="9"/>
  <c r="I129" i="9"/>
  <c r="H129" i="9"/>
  <c r="G129" i="9"/>
  <c r="K16" i="9"/>
  <c r="J16" i="9"/>
  <c r="I16" i="9"/>
  <c r="H16" i="9"/>
  <c r="G16" i="9"/>
  <c r="K128" i="9"/>
  <c r="J128" i="9"/>
  <c r="I128" i="9"/>
  <c r="H128" i="9"/>
  <c r="G128" i="9"/>
  <c r="K72" i="9"/>
  <c r="J72" i="9"/>
  <c r="I72" i="9"/>
  <c r="H72" i="9"/>
  <c r="G72" i="9"/>
  <c r="K103" i="9"/>
  <c r="J103" i="9"/>
  <c r="I103" i="9"/>
  <c r="H103" i="9"/>
  <c r="G103" i="9"/>
  <c r="K109" i="9"/>
  <c r="J109" i="9"/>
  <c r="I109" i="9"/>
  <c r="H109" i="9"/>
  <c r="G109" i="9"/>
  <c r="K105" i="9"/>
  <c r="J105" i="9"/>
  <c r="I105" i="9"/>
  <c r="H105" i="9"/>
  <c r="G105" i="9"/>
  <c r="K98" i="9"/>
  <c r="J98" i="9"/>
  <c r="I98" i="9"/>
  <c r="H98" i="9"/>
  <c r="G98" i="9"/>
  <c r="K83" i="9"/>
  <c r="J83" i="9"/>
  <c r="I83" i="9"/>
  <c r="H83" i="9"/>
  <c r="G83" i="9"/>
  <c r="K17" i="9"/>
  <c r="J17" i="9"/>
  <c r="I17" i="9"/>
  <c r="H17" i="9"/>
  <c r="G17" i="9"/>
  <c r="K13" i="9"/>
  <c r="J13" i="9"/>
  <c r="I13" i="9"/>
  <c r="H13" i="9"/>
  <c r="G13" i="9"/>
  <c r="K4" i="9"/>
  <c r="J4" i="9"/>
  <c r="I4" i="9"/>
  <c r="H4" i="9"/>
  <c r="G4" i="9"/>
  <c r="K150" i="9"/>
  <c r="J150" i="9"/>
  <c r="I150" i="9"/>
  <c r="H150" i="9"/>
  <c r="G150" i="9"/>
  <c r="K41" i="9"/>
  <c r="J41" i="9"/>
  <c r="I41" i="9"/>
  <c r="H41" i="9"/>
  <c r="G41" i="9"/>
  <c r="K127" i="9"/>
  <c r="J127" i="9"/>
  <c r="I127" i="9"/>
  <c r="H127" i="9"/>
  <c r="G127" i="9"/>
  <c r="K99" i="9"/>
  <c r="J99" i="9"/>
  <c r="I99" i="9"/>
  <c r="H99" i="9"/>
  <c r="G99" i="9"/>
  <c r="K92" i="9"/>
  <c r="J92" i="9"/>
  <c r="I92" i="9"/>
  <c r="H92" i="9"/>
  <c r="G92" i="9"/>
  <c r="K126" i="9"/>
  <c r="J126" i="9"/>
  <c r="I126" i="9"/>
  <c r="H126" i="9"/>
  <c r="G126" i="9"/>
  <c r="K61" i="9"/>
  <c r="J61" i="9"/>
  <c r="I61" i="9"/>
  <c r="H61" i="9"/>
  <c r="G61" i="9"/>
  <c r="K62" i="9"/>
  <c r="J62" i="9"/>
  <c r="I62" i="9"/>
  <c r="H62" i="9"/>
  <c r="G62" i="9"/>
  <c r="K60" i="9"/>
  <c r="J60" i="9"/>
  <c r="I60" i="9"/>
  <c r="H60" i="9"/>
  <c r="G60" i="9"/>
  <c r="K56" i="9"/>
  <c r="J56" i="9"/>
  <c r="I56" i="9"/>
  <c r="H56" i="9"/>
  <c r="G56" i="9"/>
  <c r="K87" i="9"/>
  <c r="J87" i="9"/>
  <c r="I87" i="9"/>
  <c r="H87" i="9"/>
  <c r="G87" i="9"/>
  <c r="K93" i="9"/>
  <c r="J93" i="9"/>
  <c r="I93" i="9"/>
  <c r="H93" i="9"/>
  <c r="G93" i="9"/>
  <c r="K42" i="9"/>
  <c r="J42" i="9"/>
  <c r="I42" i="9"/>
  <c r="H42" i="9"/>
  <c r="G42" i="9"/>
  <c r="K124" i="9"/>
  <c r="J124" i="9"/>
  <c r="I124" i="9"/>
  <c r="H124" i="9"/>
  <c r="G124" i="9"/>
  <c r="K151" i="9"/>
  <c r="J151" i="9"/>
  <c r="I151" i="9"/>
  <c r="H151" i="9"/>
  <c r="G151" i="9"/>
  <c r="K79" i="9"/>
  <c r="J79" i="9"/>
  <c r="I79" i="9"/>
  <c r="H79" i="9"/>
  <c r="G79" i="9"/>
  <c r="K143" i="9"/>
  <c r="J143" i="9"/>
  <c r="I143" i="9"/>
  <c r="H143" i="9"/>
  <c r="G143" i="9"/>
  <c r="K76" i="9"/>
  <c r="J76" i="9"/>
  <c r="I76" i="9"/>
  <c r="H76" i="9"/>
  <c r="G76" i="9"/>
  <c r="K133" i="9"/>
  <c r="J133" i="9"/>
  <c r="I133" i="9"/>
  <c r="H133" i="9"/>
  <c r="G133" i="9"/>
  <c r="K123" i="9"/>
  <c r="J123" i="9"/>
  <c r="I123" i="9"/>
  <c r="H123" i="9"/>
  <c r="G123" i="9"/>
  <c r="K121" i="9"/>
  <c r="J121" i="9"/>
  <c r="I121" i="9"/>
  <c r="H121" i="9"/>
  <c r="G121" i="9"/>
  <c r="K113" i="9"/>
  <c r="J113" i="9"/>
  <c r="I113" i="9"/>
  <c r="H113" i="9"/>
  <c r="G113" i="9"/>
  <c r="K81" i="9"/>
  <c r="J81" i="9"/>
  <c r="I81" i="9"/>
  <c r="H81" i="9"/>
  <c r="G81" i="9"/>
  <c r="K68" i="9"/>
  <c r="J68" i="9"/>
  <c r="I68" i="9"/>
  <c r="H68" i="9"/>
  <c r="G68" i="9"/>
  <c r="K66" i="9"/>
  <c r="J66" i="9"/>
  <c r="I66" i="9"/>
  <c r="H66" i="9"/>
  <c r="G66" i="9"/>
  <c r="K65" i="9"/>
  <c r="J65" i="9"/>
  <c r="I65" i="9"/>
  <c r="H65" i="9"/>
  <c r="G65" i="9"/>
  <c r="K63" i="9"/>
  <c r="J63" i="9"/>
  <c r="I63" i="9"/>
  <c r="H63" i="9"/>
  <c r="G63" i="9"/>
  <c r="K64" i="9"/>
  <c r="J64" i="9"/>
  <c r="I64" i="9"/>
  <c r="H64" i="9"/>
  <c r="G64" i="9"/>
  <c r="K94" i="9"/>
  <c r="J94" i="9"/>
  <c r="I94" i="9"/>
  <c r="H94" i="9"/>
  <c r="G94" i="9"/>
  <c r="K80" i="9"/>
  <c r="J80" i="9"/>
  <c r="I80" i="9"/>
  <c r="H80" i="9"/>
  <c r="G80" i="9"/>
  <c r="K77" i="9"/>
  <c r="J77" i="9"/>
  <c r="I77" i="9"/>
  <c r="H77" i="9"/>
  <c r="G77" i="9"/>
  <c r="K70" i="9"/>
  <c r="J70" i="9"/>
  <c r="I70" i="9"/>
  <c r="H70" i="9"/>
  <c r="G70" i="9"/>
  <c r="K50" i="9"/>
  <c r="J50" i="9"/>
  <c r="I50" i="9"/>
  <c r="H50" i="9"/>
  <c r="G50" i="9"/>
  <c r="K33" i="9"/>
  <c r="J33" i="9"/>
  <c r="I33" i="9"/>
  <c r="H33" i="9"/>
  <c r="G33" i="9"/>
  <c r="K24" i="9"/>
  <c r="J24" i="9"/>
  <c r="I24" i="9"/>
  <c r="H24" i="9"/>
  <c r="G24" i="9"/>
  <c r="K7" i="9"/>
  <c r="J7" i="9"/>
  <c r="I7" i="9"/>
  <c r="H7" i="9"/>
  <c r="G7" i="9"/>
  <c r="K54" i="9"/>
  <c r="J54" i="9"/>
  <c r="I54" i="9"/>
  <c r="H54" i="9"/>
  <c r="G54" i="9"/>
  <c r="K52" i="9"/>
  <c r="J52" i="9"/>
  <c r="I52" i="9"/>
  <c r="H52" i="9"/>
  <c r="G52" i="9"/>
  <c r="K73" i="9"/>
  <c r="J73" i="9"/>
  <c r="I73" i="9"/>
  <c r="H73" i="9"/>
  <c r="G73" i="9"/>
  <c r="K146" i="9"/>
  <c r="J146" i="9"/>
  <c r="I146" i="9"/>
  <c r="H146" i="9"/>
  <c r="G146" i="9"/>
  <c r="K132" i="9"/>
  <c r="J132" i="9"/>
  <c r="I132" i="9"/>
  <c r="H132" i="9"/>
  <c r="G132" i="9"/>
  <c r="K48" i="9"/>
  <c r="J48" i="9"/>
  <c r="I48" i="9"/>
  <c r="H48" i="9"/>
  <c r="G48" i="9"/>
  <c r="K45" i="9"/>
  <c r="J45" i="9"/>
  <c r="I45" i="9"/>
  <c r="H45" i="9"/>
  <c r="G45" i="9"/>
  <c r="K44" i="9"/>
  <c r="J44" i="9"/>
  <c r="I44" i="9"/>
  <c r="H44" i="9"/>
  <c r="G44" i="9"/>
  <c r="K6" i="9"/>
  <c r="J6" i="9"/>
  <c r="I6" i="9"/>
  <c r="H6" i="9"/>
  <c r="G6" i="9"/>
  <c r="K90" i="9"/>
  <c r="J90" i="9"/>
  <c r="I90" i="9"/>
  <c r="H90" i="9"/>
  <c r="G90" i="9"/>
  <c r="K74" i="9"/>
  <c r="J74" i="9"/>
  <c r="I74" i="9"/>
  <c r="H74" i="9"/>
  <c r="G74" i="9"/>
  <c r="K37" i="9"/>
  <c r="J37" i="9"/>
  <c r="I37" i="9"/>
  <c r="H37" i="9"/>
  <c r="G37" i="9"/>
  <c r="K114" i="9"/>
  <c r="J114" i="9"/>
  <c r="I114" i="9"/>
  <c r="H114" i="9"/>
  <c r="G114" i="9"/>
  <c r="K147" i="9"/>
  <c r="J147" i="9"/>
  <c r="I147" i="9"/>
  <c r="H147" i="9"/>
  <c r="G147" i="9"/>
  <c r="K36" i="9"/>
  <c r="J36" i="9"/>
  <c r="I36" i="9"/>
  <c r="H36" i="9"/>
  <c r="G36" i="9"/>
  <c r="K142" i="9"/>
  <c r="J142" i="9"/>
  <c r="I142" i="9"/>
  <c r="H142" i="9"/>
  <c r="G142" i="9"/>
  <c r="K137" i="9"/>
  <c r="J137" i="9"/>
  <c r="I137" i="9"/>
  <c r="H137" i="9"/>
  <c r="G137" i="9"/>
  <c r="K135" i="9"/>
  <c r="J135" i="9"/>
  <c r="I135" i="9"/>
  <c r="H135" i="9"/>
  <c r="G135" i="9"/>
  <c r="K120" i="9"/>
  <c r="J120" i="9"/>
  <c r="I120" i="9"/>
  <c r="H120" i="9"/>
  <c r="G120" i="9"/>
  <c r="K106" i="9"/>
  <c r="J106" i="9"/>
  <c r="I106" i="9"/>
  <c r="H106" i="9"/>
  <c r="G106" i="9"/>
  <c r="K91" i="9"/>
  <c r="J91" i="9"/>
  <c r="I91" i="9"/>
  <c r="H91" i="9"/>
  <c r="G91" i="9"/>
  <c r="K21" i="9"/>
  <c r="J21" i="9"/>
  <c r="I21" i="9"/>
  <c r="H21" i="9"/>
  <c r="G21" i="9"/>
  <c r="K18" i="9"/>
  <c r="J18" i="9"/>
  <c r="I18" i="9"/>
  <c r="H18" i="9"/>
  <c r="G18" i="9"/>
  <c r="K15" i="9"/>
  <c r="J15" i="9"/>
  <c r="I15" i="9"/>
  <c r="H15" i="9"/>
  <c r="G15" i="9"/>
  <c r="K95" i="9"/>
  <c r="J95" i="9"/>
  <c r="I95" i="9"/>
  <c r="H95" i="9"/>
  <c r="G95" i="9"/>
  <c r="K75" i="9"/>
  <c r="J75" i="9"/>
  <c r="I75" i="9"/>
  <c r="H75" i="9"/>
  <c r="G75" i="9"/>
  <c r="K71" i="9"/>
  <c r="J71" i="9"/>
  <c r="I71" i="9"/>
  <c r="H71" i="9"/>
  <c r="G71" i="9"/>
  <c r="K26" i="9"/>
  <c r="J26" i="9"/>
  <c r="I26" i="9"/>
  <c r="H26" i="9"/>
  <c r="G26" i="9"/>
  <c r="K11" i="9"/>
  <c r="J11" i="9"/>
  <c r="I11" i="9"/>
  <c r="H11" i="9"/>
  <c r="G11" i="9"/>
  <c r="K89" i="9"/>
  <c r="J89" i="9"/>
  <c r="I89" i="9"/>
  <c r="H89" i="9"/>
  <c r="G89" i="9"/>
  <c r="K51" i="9"/>
  <c r="J51" i="9"/>
  <c r="I51" i="9"/>
  <c r="H51" i="9"/>
  <c r="G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BE142" i="9"/>
  <c r="BF142" i="9" s="1"/>
  <c r="BE126" i="9"/>
  <c r="BF126" i="9" s="1"/>
  <c r="BE120" i="9"/>
  <c r="BF120" i="9" s="1"/>
  <c r="BE71" i="9"/>
  <c r="BF71" i="9" s="1"/>
  <c r="BE89" i="9"/>
  <c r="BF89" i="9" s="1"/>
  <c r="BE42" i="9"/>
  <c r="BF42" i="9" s="1"/>
  <c r="BE56" i="9"/>
  <c r="BF56" i="9"/>
  <c r="BE147" i="9"/>
  <c r="BF147" i="9" s="1"/>
  <c r="BE114" i="9"/>
  <c r="BF114" i="9" s="1"/>
  <c r="BE127" i="9"/>
  <c r="BF127" i="9" s="1"/>
  <c r="BE137" i="9"/>
  <c r="BF137" i="9" s="1"/>
  <c r="BE51" i="9"/>
  <c r="BF51" i="9" s="1"/>
  <c r="BC149" i="9"/>
  <c r="CB19" i="9"/>
  <c r="CA15" i="9"/>
  <c r="CB15" i="9" s="1"/>
  <c r="B45" i="26"/>
  <c r="B7" i="26"/>
  <c r="AH26" i="9"/>
  <c r="CA22" i="9"/>
  <c r="CB22" i="9" s="1"/>
  <c r="CA20" i="9"/>
  <c r="CB20" i="9" s="1"/>
  <c r="CA21" i="9"/>
  <c r="CB21" i="9"/>
  <c r="CA17" i="9"/>
  <c r="CB17" i="9" s="1"/>
  <c r="CA14" i="9"/>
  <c r="CB14" i="9" s="1"/>
  <c r="CA13" i="9"/>
  <c r="CB13" i="9" s="1"/>
  <c r="CA23" i="9"/>
  <c r="CB23" i="9" s="1"/>
  <c r="CA28" i="9"/>
  <c r="CB28" i="9" s="1"/>
  <c r="CA34" i="9"/>
  <c r="CB34" i="9"/>
  <c r="CA37" i="9"/>
  <c r="CB37" i="9" s="1"/>
  <c r="CA42" i="9"/>
  <c r="CB42" i="9"/>
  <c r="CA48" i="9"/>
  <c r="CB48" i="9" s="1"/>
  <c r="CA55" i="9"/>
  <c r="CB55" i="9" s="1"/>
  <c r="CA60" i="9"/>
  <c r="CB60" i="9" s="1"/>
  <c r="CA63" i="9"/>
  <c r="CB63" i="9" s="1"/>
  <c r="CA67" i="9"/>
  <c r="CB67" i="9" s="1"/>
  <c r="CA74" i="9"/>
  <c r="CB74" i="9" s="1"/>
  <c r="CA79" i="9"/>
  <c r="CB79" i="9" s="1"/>
  <c r="CA90" i="9"/>
  <c r="CB90" i="9"/>
  <c r="CA86" i="9"/>
  <c r="CB86" i="9" s="1"/>
  <c r="CA95" i="9"/>
  <c r="CB95" i="9" s="1"/>
  <c r="CA100" i="9"/>
  <c r="CB100" i="9" s="1"/>
  <c r="CA103" i="9"/>
  <c r="CB103" i="9" s="1"/>
  <c r="CA109" i="9"/>
  <c r="CB109" i="9" s="1"/>
  <c r="CA128" i="9"/>
  <c r="CB128" i="9"/>
  <c r="CA134" i="9"/>
  <c r="CB134" i="9" s="1"/>
  <c r="CA139" i="9"/>
  <c r="CB139" i="9"/>
  <c r="CA144" i="9"/>
  <c r="CB144" i="9" s="1"/>
  <c r="CA149" i="9"/>
  <c r="CB149" i="9" s="1"/>
  <c r="CA122" i="9"/>
  <c r="CB122" i="9" s="1"/>
  <c r="CA130" i="9"/>
  <c r="CB130" i="9" s="1"/>
  <c r="CA141" i="9"/>
  <c r="CB141" i="9" s="1"/>
  <c r="CA146" i="9"/>
  <c r="CB146" i="9" s="1"/>
  <c r="CA114" i="9"/>
  <c r="CB114" i="9" s="1"/>
  <c r="CA116" i="9"/>
  <c r="CB116" i="9"/>
  <c r="CA119" i="9"/>
  <c r="CB119" i="9" s="1"/>
  <c r="CA117" i="9"/>
  <c r="CB117" i="9" s="1"/>
  <c r="CA46" i="9"/>
  <c r="CB46" i="9" s="1"/>
  <c r="CA52" i="9"/>
  <c r="CB52" i="9" s="1"/>
  <c r="CA47" i="9"/>
  <c r="CB47" i="9" s="1"/>
  <c r="CA54" i="9"/>
  <c r="CB54" i="9"/>
  <c r="CA57" i="9"/>
  <c r="CB57" i="9" s="1"/>
  <c r="CA39" i="9"/>
  <c r="CB39" i="9"/>
  <c r="CA6" i="9"/>
  <c r="CB6" i="9" s="1"/>
  <c r="CA5" i="9"/>
  <c r="CB5" i="9" s="1"/>
  <c r="CA7" i="9"/>
  <c r="CB7" i="9" s="1"/>
  <c r="CA9" i="9"/>
  <c r="CB9" i="9" s="1"/>
  <c r="CA8" i="9"/>
  <c r="CB8" i="9" s="1"/>
  <c r="CA10" i="9"/>
  <c r="CB10" i="9" s="1"/>
  <c r="CA11" i="9"/>
  <c r="CB11" i="9" s="1"/>
  <c r="CA24" i="9"/>
  <c r="CB24" i="9"/>
  <c r="CA30" i="9"/>
  <c r="CB30" i="9" s="1"/>
  <c r="CA36" i="9"/>
  <c r="CB36" i="9" s="1"/>
  <c r="CA41" i="9"/>
  <c r="CB41" i="9" s="1"/>
  <c r="CA45" i="9"/>
  <c r="CB45" i="9" s="1"/>
  <c r="CA89" i="9"/>
  <c r="CB89" i="9" s="1"/>
  <c r="CA94" i="9"/>
  <c r="CB94" i="9"/>
  <c r="CA96" i="9"/>
  <c r="CB96" i="9" s="1"/>
  <c r="CA101" i="9"/>
  <c r="CB101" i="9"/>
  <c r="CA105" i="9"/>
  <c r="CB105" i="9" s="1"/>
  <c r="CA106" i="9"/>
  <c r="CB106" i="9" s="1"/>
  <c r="CA110" i="9"/>
  <c r="CB110" i="9" s="1"/>
  <c r="CA111" i="9"/>
  <c r="CB111" i="9" s="1"/>
  <c r="CA112" i="9"/>
  <c r="CB112" i="9" s="1"/>
  <c r="CA113" i="9"/>
  <c r="CB113" i="9" s="1"/>
  <c r="CA129" i="9"/>
  <c r="CB129" i="9" s="1"/>
  <c r="CA132" i="9"/>
  <c r="CB132" i="9"/>
  <c r="CA137" i="9"/>
  <c r="CB137" i="9" s="1"/>
  <c r="CA133" i="9"/>
  <c r="CB133" i="9" s="1"/>
  <c r="CA138" i="9"/>
  <c r="CB138" i="9" s="1"/>
  <c r="CA143" i="9"/>
  <c r="CB143" i="9" s="1"/>
  <c r="CA148" i="9"/>
  <c r="CB148" i="9" s="1"/>
  <c r="CA150" i="9"/>
  <c r="CB150" i="9"/>
  <c r="CA151" i="9"/>
  <c r="CB151" i="9" s="1"/>
  <c r="CA152" i="9"/>
  <c r="CB152" i="9"/>
  <c r="CA104" i="9"/>
  <c r="CB104" i="9" s="1"/>
  <c r="CA127" i="9"/>
  <c r="CB127" i="9" s="1"/>
  <c r="CA136" i="9"/>
  <c r="CB136" i="9" s="1"/>
  <c r="CA142" i="9"/>
  <c r="CB142" i="9" s="1"/>
  <c r="CA98" i="9"/>
  <c r="CB98" i="9" s="1"/>
  <c r="CA4" i="9"/>
  <c r="CB4" i="9" s="1"/>
  <c r="CA80" i="9"/>
  <c r="CB80" i="9" s="1"/>
  <c r="CA27" i="9"/>
  <c r="CB27" i="9" s="1"/>
  <c r="CA99" i="9"/>
  <c r="CB99" i="9" s="1"/>
  <c r="CA97" i="9"/>
  <c r="CB97" i="9" s="1"/>
  <c r="CA77" i="9"/>
  <c r="CB77" i="9" s="1"/>
  <c r="CA35" i="9"/>
  <c r="CB35" i="9" s="1"/>
  <c r="CA40" i="9"/>
  <c r="CB40" i="9" s="1"/>
  <c r="CA44" i="9"/>
  <c r="CB44" i="9" s="1"/>
  <c r="CA51" i="9"/>
  <c r="CB51" i="9" s="1"/>
  <c r="CA59" i="9"/>
  <c r="CB59" i="9" s="1"/>
  <c r="CA64" i="9"/>
  <c r="CB64" i="9" s="1"/>
  <c r="CA68" i="9"/>
  <c r="CB68" i="9" s="1"/>
  <c r="CA26" i="9"/>
  <c r="CB26" i="9" s="1"/>
  <c r="CA38" i="9"/>
  <c r="CB38" i="9" s="1"/>
  <c r="CA43" i="9"/>
  <c r="CB43" i="9" s="1"/>
  <c r="CA50" i="9"/>
  <c r="CB50" i="9" s="1"/>
  <c r="CA53" i="9"/>
  <c r="CB53" i="9" s="1"/>
  <c r="CA56" i="9"/>
  <c r="CB56" i="9" s="1"/>
  <c r="CA62" i="9"/>
  <c r="CB62" i="9" s="1"/>
  <c r="CA66" i="9"/>
  <c r="CB66" i="9" s="1"/>
  <c r="CA70" i="9"/>
  <c r="CB70" i="9" s="1"/>
  <c r="CA125" i="9"/>
  <c r="CB125" i="9" s="1"/>
  <c r="CA131" i="9"/>
  <c r="CB131" i="9" s="1"/>
  <c r="CA135" i="9"/>
  <c r="CB135" i="9" s="1"/>
  <c r="CA140" i="9"/>
  <c r="CB140" i="9" s="1"/>
  <c r="CA145" i="9"/>
  <c r="CB145" i="9" s="1"/>
  <c r="CA147" i="9"/>
  <c r="CB147" i="9" s="1"/>
  <c r="CA73" i="9"/>
  <c r="CA78" i="9"/>
  <c r="CB78" i="9"/>
  <c r="CA93" i="9"/>
  <c r="CB93" i="9" s="1"/>
  <c r="CA82" i="9"/>
  <c r="CB82" i="9" s="1"/>
  <c r="CA88" i="9"/>
  <c r="CB88" i="9" s="1"/>
  <c r="CA91" i="9"/>
  <c r="CB91" i="9" s="1"/>
  <c r="CA87" i="9"/>
  <c r="CB87" i="9" s="1"/>
  <c r="CA92" i="9"/>
  <c r="CB92" i="9" s="1"/>
  <c r="CA81" i="9"/>
  <c r="CB81" i="9" s="1"/>
  <c r="CA83" i="9"/>
  <c r="CB83" i="9" s="1"/>
  <c r="CA85" i="9"/>
  <c r="CB85" i="9"/>
  <c r="CA84" i="9"/>
  <c r="CB84" i="9" s="1"/>
  <c r="CA102" i="9"/>
  <c r="CB102" i="9"/>
  <c r="CA108" i="9"/>
  <c r="CB108" i="9" s="1"/>
  <c r="CA107" i="9"/>
  <c r="CB107" i="9" s="1"/>
  <c r="CA72" i="9"/>
  <c r="CB72" i="9" s="1"/>
  <c r="CA76" i="9"/>
  <c r="CB76" i="9" s="1"/>
  <c r="CA124" i="9"/>
  <c r="CB124" i="9" s="1"/>
  <c r="CA118" i="9"/>
  <c r="CB118" i="9" s="1"/>
  <c r="CA121" i="9"/>
  <c r="CB121" i="9" s="1"/>
  <c r="CA115" i="9"/>
  <c r="CB115" i="9" s="1"/>
  <c r="CA120" i="9"/>
  <c r="CB120" i="9" s="1"/>
  <c r="CA123" i="9"/>
  <c r="CB123" i="9" s="1"/>
  <c r="CA49" i="9"/>
  <c r="CB49" i="9" s="1"/>
  <c r="CA58" i="9"/>
  <c r="CB58" i="9" s="1"/>
  <c r="CA61" i="9"/>
  <c r="CB61" i="9" s="1"/>
  <c r="CA65" i="9"/>
  <c r="CB65" i="9" s="1"/>
  <c r="CA69" i="9"/>
  <c r="CB69" i="9" s="1"/>
  <c r="CA71" i="9"/>
  <c r="CB71" i="9" s="1"/>
  <c r="CA75" i="9"/>
  <c r="CB75" i="9"/>
  <c r="CA126" i="9"/>
  <c r="CB126" i="9" s="1"/>
  <c r="CA29" i="9"/>
  <c r="CB29" i="9" s="1"/>
  <c r="CA31" i="9"/>
  <c r="CB31" i="9" s="1"/>
  <c r="CA32" i="9"/>
  <c r="CB32" i="9" s="1"/>
  <c r="CA33" i="9"/>
  <c r="CB33" i="9" s="1"/>
  <c r="CA25" i="9"/>
  <c r="CB25" i="9" s="1"/>
  <c r="CB73" i="9"/>
  <c r="CK123" i="9"/>
  <c r="CL130" i="9"/>
  <c r="CL24" i="9"/>
  <c r="AF142" i="9"/>
  <c r="CI145" i="9"/>
  <c r="CC28" i="9"/>
  <c r="CG28" i="9" s="1"/>
  <c r="CI137" i="9"/>
  <c r="CL20" i="9"/>
  <c r="CL77" i="9"/>
  <c r="CL95" i="9"/>
  <c r="BZ147" i="9"/>
  <c r="CL128" i="9"/>
  <c r="CL135" i="9"/>
  <c r="CL99" i="9"/>
  <c r="CI152" i="9"/>
  <c r="CL57" i="9"/>
  <c r="CL139" i="9"/>
  <c r="CL91" i="9"/>
  <c r="BZ127" i="9"/>
  <c r="CL102" i="9"/>
  <c r="CL30" i="9"/>
  <c r="CL9" i="9"/>
  <c r="CL72" i="9"/>
  <c r="CL136" i="9"/>
  <c r="CL63" i="9"/>
  <c r="CL16" i="9"/>
  <c r="CC96" i="9"/>
  <c r="CG96" i="9" s="1"/>
  <c r="CC5" i="9"/>
  <c r="CE5" i="9" s="1"/>
  <c r="CL152" i="9"/>
  <c r="CL28" i="9"/>
  <c r="CI129" i="9"/>
  <c r="CI121" i="9"/>
  <c r="CI113" i="9"/>
  <c r="CI105" i="9"/>
  <c r="CI97" i="9"/>
  <c r="CL148" i="9"/>
  <c r="CL67" i="9"/>
  <c r="BZ71" i="9"/>
  <c r="CL96" i="9"/>
  <c r="CK104" i="9"/>
  <c r="CK18" i="9"/>
  <c r="CK46" i="9"/>
  <c r="AE132" i="9"/>
  <c r="CK128" i="9"/>
  <c r="AF17" i="9"/>
  <c r="CK145" i="9"/>
  <c r="CK137" i="9"/>
  <c r="CK117" i="9"/>
  <c r="CK113" i="9"/>
  <c r="CK105" i="9"/>
  <c r="CK29" i="9"/>
  <c r="AG17" i="9"/>
  <c r="BZ60" i="9"/>
  <c r="CK98" i="9"/>
  <c r="CI144" i="9"/>
  <c r="CI132" i="9"/>
  <c r="CI120" i="9"/>
  <c r="CI104" i="9"/>
  <c r="CI44" i="9"/>
  <c r="CI36" i="9"/>
  <c r="CI32" i="9"/>
  <c r="CI24" i="9"/>
  <c r="CI20" i="9"/>
  <c r="CI16" i="9"/>
  <c r="CI11" i="9"/>
  <c r="CI7" i="9"/>
  <c r="CK4" i="9"/>
  <c r="CK8" i="9"/>
  <c r="AH142" i="9"/>
  <c r="AE17" i="9"/>
  <c r="C9" i="6"/>
  <c r="AF132" i="9"/>
  <c r="CH43" i="9"/>
  <c r="CI143" i="9"/>
  <c r="CI127" i="9"/>
  <c r="CI111" i="9"/>
  <c r="CI95" i="9"/>
  <c r="CI79" i="9"/>
  <c r="CI67" i="9"/>
  <c r="CI59" i="9"/>
  <c r="CI43" i="9"/>
  <c r="CI39" i="9"/>
  <c r="CI35" i="9"/>
  <c r="CI27" i="9"/>
  <c r="CI23" i="9"/>
  <c r="CI19" i="9"/>
  <c r="CI10" i="9"/>
  <c r="BZ83" i="9"/>
  <c r="BZ51" i="9"/>
  <c r="CK28" i="9"/>
  <c r="BZ114" i="9"/>
  <c r="CI140" i="9"/>
  <c r="CI128" i="9"/>
  <c r="CI116" i="9"/>
  <c r="CI108" i="9"/>
  <c r="CI96" i="9"/>
  <c r="CI92" i="9"/>
  <c r="CI88" i="9"/>
  <c r="CI84" i="9"/>
  <c r="CI80" i="9"/>
  <c r="CI72" i="9"/>
  <c r="CI68" i="9"/>
  <c r="CI64" i="9"/>
  <c r="CI60" i="9"/>
  <c r="CI52" i="9"/>
  <c r="CI48" i="9"/>
  <c r="CI40" i="9"/>
  <c r="CI28" i="9"/>
  <c r="CK81" i="9"/>
  <c r="CK73" i="9"/>
  <c r="BZ109" i="9"/>
  <c r="AG137" i="9"/>
  <c r="CH137" i="9" s="1"/>
  <c r="AE142" i="9"/>
  <c r="CK146" i="9"/>
  <c r="CI148" i="9"/>
  <c r="CI136" i="9"/>
  <c r="CI124" i="9"/>
  <c r="CI112" i="9"/>
  <c r="CI100" i="9"/>
  <c r="CI76" i="9"/>
  <c r="CI4" i="9"/>
  <c r="AE103" i="9"/>
  <c r="AG103" i="9"/>
  <c r="AH103" i="9"/>
  <c r="AG124" i="9"/>
  <c r="CK22" i="9"/>
  <c r="BZ46" i="9"/>
  <c r="CK112" i="9"/>
  <c r="BZ126" i="9"/>
  <c r="AH132" i="9"/>
  <c r="C41" i="6"/>
  <c r="CH19" i="9"/>
  <c r="BZ144" i="9"/>
  <c r="CI149" i="9"/>
  <c r="CI141" i="9"/>
  <c r="CI133" i="9"/>
  <c r="CI125" i="9"/>
  <c r="CI117" i="9"/>
  <c r="CI109" i="9"/>
  <c r="CI101" i="9"/>
  <c r="CI93" i="9"/>
  <c r="BZ137" i="9"/>
  <c r="AK154" i="9"/>
  <c r="CH110" i="9"/>
  <c r="CK6" i="9"/>
  <c r="CK140" i="9"/>
  <c r="CK76" i="9"/>
  <c r="CK36" i="9"/>
  <c r="AF98" i="9"/>
  <c r="CK37" i="9"/>
  <c r="AH98" i="9"/>
  <c r="CK52" i="9"/>
  <c r="AE114" i="9"/>
  <c r="AF103" i="9"/>
  <c r="CH130" i="9"/>
  <c r="BZ22" i="9"/>
  <c r="CI150" i="9"/>
  <c r="CI142" i="9"/>
  <c r="CI134" i="9"/>
  <c r="CI126" i="9"/>
  <c r="CI118" i="9"/>
  <c r="CI110" i="9"/>
  <c r="CI102" i="9"/>
  <c r="CI94" i="9"/>
  <c r="CI86" i="9"/>
  <c r="CI78" i="9"/>
  <c r="CI70" i="9"/>
  <c r="CI62" i="9"/>
  <c r="CI54" i="9"/>
  <c r="CI38" i="9"/>
  <c r="CI5" i="9"/>
  <c r="CI146" i="9"/>
  <c r="CI138" i="9"/>
  <c r="CI130" i="9"/>
  <c r="CI122" i="9"/>
  <c r="CI114" i="9"/>
  <c r="CI106" i="9"/>
  <c r="CI98" i="9"/>
  <c r="CI90" i="9"/>
  <c r="CI82" i="9"/>
  <c r="CI74" i="9"/>
  <c r="CI66" i="9"/>
  <c r="CI58" i="9"/>
  <c r="CI50" i="9"/>
  <c r="CI42" i="9"/>
  <c r="CI34" i="9"/>
  <c r="CI18" i="9"/>
  <c r="CI9" i="9"/>
  <c r="CI85" i="9"/>
  <c r="CI77" i="9"/>
  <c r="CI69" i="9"/>
  <c r="CI61" i="9"/>
  <c r="CI53" i="9"/>
  <c r="CI45" i="9"/>
  <c r="CI37" i="9"/>
  <c r="CI29" i="9"/>
  <c r="CI21" i="9"/>
  <c r="CI13" i="9"/>
  <c r="BZ56" i="9"/>
  <c r="BZ49" i="9"/>
  <c r="BZ124" i="9"/>
  <c r="BZ128" i="9"/>
  <c r="CI89" i="9"/>
  <c r="CI81" i="9"/>
  <c r="CI73" i="9"/>
  <c r="CI57" i="9"/>
  <c r="CI49" i="9"/>
  <c r="CI41" i="9"/>
  <c r="CI33" i="9"/>
  <c r="CI25" i="9"/>
  <c r="CI17" i="9"/>
  <c r="CI8" i="9"/>
  <c r="CK110" i="9"/>
  <c r="J45" i="6"/>
  <c r="BE31" i="9"/>
  <c r="BF31" i="9" s="1"/>
  <c r="BE14" i="9"/>
  <c r="BF14" i="9" s="1"/>
  <c r="CC14" i="9" s="1"/>
  <c r="CG14" i="9" s="1"/>
  <c r="BE8" i="9"/>
  <c r="BF8" i="9" s="1"/>
  <c r="D38" i="46"/>
  <c r="CH134" i="9"/>
  <c r="CH148" i="9"/>
  <c r="CH133" i="9"/>
  <c r="CH131" i="9"/>
  <c r="CH69" i="9"/>
  <c r="CH56" i="9"/>
  <c r="CH6" i="9"/>
  <c r="CH28" i="9"/>
  <c r="CH145" i="9"/>
  <c r="CH142" i="9"/>
  <c r="CH96" i="9"/>
  <c r="CH51" i="9"/>
  <c r="CH48" i="9"/>
  <c r="AQ56" i="9"/>
  <c r="AQ31" i="9"/>
  <c r="AQ127" i="9"/>
  <c r="AQ46" i="9"/>
  <c r="AQ106" i="9"/>
  <c r="AQ77" i="9"/>
  <c r="AQ54" i="9"/>
  <c r="AQ35" i="9"/>
  <c r="AQ23" i="9"/>
  <c r="CH23" i="9"/>
  <c r="AQ32" i="9"/>
  <c r="AQ91" i="9"/>
  <c r="AQ124" i="9"/>
  <c r="AQ16" i="9"/>
  <c r="AQ65" i="9"/>
  <c r="AQ142" i="9"/>
  <c r="AQ123" i="9"/>
  <c r="AQ121" i="9"/>
  <c r="AQ104" i="9"/>
  <c r="AQ86" i="9"/>
  <c r="AQ70" i="9"/>
  <c r="AQ52" i="9"/>
  <c r="AQ15" i="9"/>
  <c r="AQ151" i="9"/>
  <c r="AQ150" i="9"/>
  <c r="AQ149" i="9"/>
  <c r="AQ139" i="9"/>
  <c r="AQ137" i="9"/>
  <c r="AQ116" i="9"/>
  <c r="AQ111" i="9"/>
  <c r="AQ107" i="9"/>
  <c r="AQ108" i="9"/>
  <c r="AQ103" i="9"/>
  <c r="AQ98" i="9"/>
  <c r="AQ101" i="9"/>
  <c r="AQ96" i="9"/>
  <c r="AQ81" i="9"/>
  <c r="AQ95" i="9"/>
  <c r="AQ102" i="9"/>
  <c r="AQ88" i="9"/>
  <c r="AQ93" i="9"/>
  <c r="AQ68" i="9"/>
  <c r="AQ63" i="9"/>
  <c r="AQ53" i="9"/>
  <c r="AQ48" i="9"/>
  <c r="AQ44" i="9"/>
  <c r="AQ43" i="9"/>
  <c r="AQ19" i="9"/>
  <c r="AQ13" i="9"/>
  <c r="AQ11" i="9"/>
  <c r="CH140" i="9"/>
  <c r="CH82" i="9"/>
  <c r="AQ58" i="9"/>
  <c r="AQ122" i="9"/>
  <c r="CH39" i="9"/>
  <c r="AQ147" i="9"/>
  <c r="AQ133" i="9"/>
  <c r="AQ138" i="9"/>
  <c r="AQ72" i="9"/>
  <c r="AQ82" i="9"/>
  <c r="AQ78" i="9"/>
  <c r="AQ146" i="9"/>
  <c r="AQ140" i="9"/>
  <c r="AQ131" i="9"/>
  <c r="AQ115" i="9"/>
  <c r="AQ129" i="9"/>
  <c r="AQ112" i="9"/>
  <c r="AQ105" i="9"/>
  <c r="AQ99" i="9"/>
  <c r="AQ94" i="9"/>
  <c r="AQ85" i="9"/>
  <c r="AQ83" i="9"/>
  <c r="AQ71" i="9"/>
  <c r="AQ64" i="9"/>
  <c r="AQ39" i="9"/>
  <c r="AQ60" i="9"/>
  <c r="AQ59" i="9"/>
  <c r="AQ89" i="9"/>
  <c r="AQ50" i="9"/>
  <c r="AQ6" i="9"/>
  <c r="AQ40" i="9"/>
  <c r="AQ27" i="9"/>
  <c r="AQ28" i="9"/>
  <c r="AQ18" i="9"/>
  <c r="AQ14" i="9"/>
  <c r="AQ8" i="9"/>
  <c r="AQ9" i="9"/>
  <c r="AQ7" i="9"/>
  <c r="CH146" i="9"/>
  <c r="CH135" i="9"/>
  <c r="CH111" i="9"/>
  <c r="CH89" i="9"/>
  <c r="CH42" i="9"/>
  <c r="CH31" i="9"/>
  <c r="CH14" i="9"/>
  <c r="CH22" i="9"/>
  <c r="CH138" i="9"/>
  <c r="CH120" i="9"/>
  <c r="CH93" i="9"/>
  <c r="CH61" i="9"/>
  <c r="CH10" i="9"/>
  <c r="CK38" i="9"/>
  <c r="CK41" i="9"/>
  <c r="CK49" i="9"/>
  <c r="CK89" i="9"/>
  <c r="CK148" i="9"/>
  <c r="CK144" i="9"/>
  <c r="CK136" i="9"/>
  <c r="CK132" i="9"/>
  <c r="CK120" i="9"/>
  <c r="CK96" i="9"/>
  <c r="CK64" i="9"/>
  <c r="CK32" i="9"/>
  <c r="CK20" i="9"/>
  <c r="CK42" i="9"/>
  <c r="CK90" i="9"/>
  <c r="E40" i="6"/>
  <c r="CK25" i="9"/>
  <c r="CK63" i="9"/>
  <c r="CK126" i="9"/>
  <c r="CK130" i="9"/>
  <c r="CK121" i="9"/>
  <c r="CK33" i="9"/>
  <c r="CK17" i="9"/>
  <c r="J44" i="6"/>
  <c r="AQ141" i="9"/>
  <c r="AQ134" i="9"/>
  <c r="AQ119" i="9"/>
  <c r="AQ79" i="9"/>
  <c r="CH37" i="9"/>
  <c r="AQ4" i="9"/>
  <c r="AQ47" i="9"/>
  <c r="AQ34" i="9"/>
  <c r="CH20" i="9"/>
  <c r="AH137" i="9"/>
  <c r="U155" i="9"/>
  <c r="AQ66" i="9"/>
  <c r="AQ130" i="9"/>
  <c r="AQ143" i="9"/>
  <c r="CH5" i="9"/>
  <c r="AQ30" i="9"/>
  <c r="AQ26" i="9"/>
  <c r="AQ114" i="9"/>
  <c r="CH36" i="9"/>
  <c r="CK5" i="9"/>
  <c r="C44" i="6"/>
  <c r="BZ70" i="9"/>
  <c r="AQ145" i="9"/>
  <c r="AQ110" i="9"/>
  <c r="AQ20" i="9"/>
  <c r="BZ134" i="9"/>
  <c r="CK134" i="9"/>
  <c r="BQ154" i="9"/>
  <c r="AE124" i="9"/>
  <c r="AQ21" i="9"/>
  <c r="AQ125" i="9"/>
  <c r="AQ80" i="9"/>
  <c r="CH104" i="9"/>
  <c r="CH30" i="9"/>
  <c r="AQ118" i="9"/>
  <c r="I17" i="6"/>
  <c r="CK122" i="9"/>
  <c r="CK78" i="9"/>
  <c r="CK34" i="9"/>
  <c r="AF124" i="9"/>
  <c r="AE63" i="9"/>
  <c r="CH127" i="9"/>
  <c r="CK14" i="9"/>
  <c r="BZ25" i="9"/>
  <c r="BZ142" i="9"/>
  <c r="BZ62" i="9"/>
  <c r="AQ76" i="9"/>
  <c r="AQ113" i="9"/>
  <c r="CH41" i="9"/>
  <c r="CH79" i="9"/>
  <c r="CH21" i="9"/>
  <c r="AQ41" i="9"/>
  <c r="AQ5" i="9"/>
  <c r="AQ33" i="9"/>
  <c r="AQ29" i="9"/>
  <c r="CK114" i="9"/>
  <c r="CK54" i="9"/>
  <c r="CK30" i="9"/>
  <c r="CK106" i="9"/>
  <c r="BZ6" i="9"/>
  <c r="BZ90" i="9"/>
  <c r="BZ42" i="9"/>
  <c r="CK93" i="9"/>
  <c r="CK85" i="9"/>
  <c r="CK57" i="9"/>
  <c r="CK82" i="9"/>
  <c r="BZ45" i="9"/>
  <c r="BZ17" i="9"/>
  <c r="BZ93" i="9"/>
  <c r="CK138" i="9"/>
  <c r="K102" i="46"/>
  <c r="CK13" i="9"/>
  <c r="CK7" i="9"/>
  <c r="E42" i="6"/>
  <c r="CK149" i="9"/>
  <c r="CK139" i="9"/>
  <c r="CK108" i="9"/>
  <c r="CK65" i="9"/>
  <c r="CK62" i="9"/>
  <c r="CK99" i="9"/>
  <c r="CK71" i="9"/>
  <c r="CK69" i="9"/>
  <c r="CK53" i="9"/>
  <c r="E43" i="6"/>
  <c r="E44" i="6"/>
  <c r="CK11" i="9"/>
  <c r="E41" i="6"/>
  <c r="CK150" i="9"/>
  <c r="CK129" i="9"/>
  <c r="CK24" i="9"/>
  <c r="CK142" i="9"/>
  <c r="CK116" i="9"/>
  <c r="CK109" i="9"/>
  <c r="CK66" i="9"/>
  <c r="CK61" i="9"/>
  <c r="E45" i="6"/>
  <c r="E46" i="6"/>
  <c r="CK9" i="9"/>
  <c r="CK111" i="9"/>
  <c r="CK103" i="9"/>
  <c r="CK100" i="9"/>
  <c r="CK74" i="9"/>
  <c r="CK67" i="9"/>
  <c r="CK55" i="9"/>
  <c r="CK152" i="9"/>
  <c r="CK101" i="9"/>
  <c r="CK68" i="9"/>
  <c r="CK60" i="9"/>
  <c r="CK58" i="9"/>
  <c r="CK94" i="9"/>
  <c r="CK92" i="9"/>
  <c r="CK95" i="9"/>
  <c r="CK43" i="9"/>
  <c r="CK102" i="9"/>
  <c r="CK86" i="9"/>
  <c r="CK50" i="9"/>
  <c r="CK77" i="9"/>
  <c r="CK45" i="9"/>
  <c r="CK124" i="9"/>
  <c r="CK84" i="9"/>
  <c r="CK44" i="9"/>
  <c r="M100" i="46"/>
  <c r="K101" i="46"/>
  <c r="M97" i="46"/>
  <c r="K103" i="46"/>
  <c r="D262" i="45"/>
  <c r="CD28" i="9"/>
  <c r="M105" i="46"/>
  <c r="C8" i="46"/>
  <c r="G12" i="47"/>
  <c r="CL8" i="9" l="1"/>
  <c r="CL61" i="9"/>
  <c r="CL59" i="9"/>
  <c r="CL127" i="9"/>
  <c r="CL146" i="9"/>
  <c r="CL64" i="9"/>
  <c r="CL48" i="9"/>
  <c r="CL147" i="9"/>
  <c r="CL74" i="9"/>
  <c r="CL4" i="9"/>
  <c r="CL121" i="9"/>
  <c r="CL13" i="9"/>
  <c r="CL151" i="9"/>
  <c r="CL150" i="9"/>
  <c r="CL137" i="9"/>
  <c r="CL98" i="9"/>
  <c r="CL90" i="9"/>
  <c r="CL66" i="9"/>
  <c r="CL45" i="9"/>
  <c r="CL33" i="9"/>
  <c r="CL25" i="9"/>
  <c r="CL19" i="9"/>
  <c r="CL114" i="9"/>
  <c r="CL71" i="9"/>
  <c r="CC127" i="9"/>
  <c r="CD127" i="9" s="1"/>
  <c r="CH117" i="9"/>
  <c r="CH112" i="9"/>
  <c r="CH85" i="9"/>
  <c r="CH126" i="9"/>
  <c r="CH71" i="9"/>
  <c r="CH57" i="9"/>
  <c r="CH32" i="9"/>
  <c r="CH107" i="9"/>
  <c r="CH125" i="9"/>
  <c r="CH15" i="9"/>
  <c r="CC69" i="9"/>
  <c r="CF69" i="9" s="1"/>
  <c r="CC142" i="9"/>
  <c r="CC88" i="9"/>
  <c r="CG88" i="9" s="1"/>
  <c r="F87" i="46"/>
  <c r="I78" i="46"/>
  <c r="I87" i="46"/>
  <c r="L87" i="46"/>
  <c r="D28" i="49"/>
  <c r="K72" i="47"/>
  <c r="D382" i="49"/>
  <c r="G47" i="47"/>
  <c r="C259" i="45"/>
  <c r="M31" i="46" s="1"/>
  <c r="C439" i="45"/>
  <c r="G42" i="46" s="1"/>
  <c r="C257" i="45"/>
  <c r="M29" i="46" s="1"/>
  <c r="C438" i="45"/>
  <c r="G40" i="46" s="1"/>
  <c r="L90" i="46"/>
  <c r="CC56" i="9"/>
  <c r="CF56" i="9" s="1"/>
  <c r="CL56" i="9"/>
  <c r="BP41" i="9"/>
  <c r="BP23" i="9"/>
  <c r="BP7" i="9"/>
  <c r="BP149" i="9"/>
  <c r="BP86" i="9"/>
  <c r="CC148" i="9"/>
  <c r="CL7" i="9"/>
  <c r="CL41" i="9"/>
  <c r="CL113" i="9"/>
  <c r="CL105" i="9"/>
  <c r="CL143" i="9"/>
  <c r="BP93" i="9"/>
  <c r="CL93" i="9" s="1"/>
  <c r="BP107" i="9"/>
  <c r="CL107" i="9" s="1"/>
  <c r="BP83" i="9"/>
  <c r="CL83" i="9" s="1"/>
  <c r="BP115" i="9"/>
  <c r="CL115" i="9" s="1"/>
  <c r="BP100" i="9"/>
  <c r="BP145" i="9"/>
  <c r="BP134" i="9"/>
  <c r="CG142" i="9"/>
  <c r="CD142" i="9"/>
  <c r="CL88" i="9"/>
  <c r="CL10" i="9"/>
  <c r="CL50" i="9"/>
  <c r="CL29" i="9"/>
  <c r="CL86" i="9"/>
  <c r="CL129" i="9"/>
  <c r="K98" i="46"/>
  <c r="F90" i="46"/>
  <c r="I90" i="46"/>
  <c r="G72" i="47"/>
  <c r="E30" i="49"/>
  <c r="CH99" i="9"/>
  <c r="CH65" i="9"/>
  <c r="CH40" i="9"/>
  <c r="CH8" i="9"/>
  <c r="CF88" i="9"/>
  <c r="F62" i="46"/>
  <c r="F66" i="46"/>
  <c r="F78" i="46"/>
  <c r="I66" i="46"/>
  <c r="L66" i="46"/>
  <c r="L78" i="46"/>
  <c r="K47" i="47"/>
  <c r="K63" i="47"/>
  <c r="C261" i="45"/>
  <c r="M33" i="46" s="1"/>
  <c r="C260" i="45"/>
  <c r="M32" i="46" s="1"/>
  <c r="C440" i="45"/>
  <c r="G44" i="46" s="1"/>
  <c r="C258" i="45"/>
  <c r="M30" i="46" s="1"/>
  <c r="C256" i="45"/>
  <c r="M28" i="46" s="1"/>
  <c r="C437" i="45"/>
  <c r="G38" i="46" s="1"/>
  <c r="C455" i="45"/>
  <c r="CE88" i="9"/>
  <c r="AQ117" i="9"/>
  <c r="AQ57" i="9"/>
  <c r="C456" i="45"/>
  <c r="C225" i="48"/>
  <c r="J26" i="47" s="1"/>
  <c r="F28" i="49"/>
  <c r="C255" i="45"/>
  <c r="M27" i="46" s="1"/>
  <c r="K99" i="46"/>
  <c r="K75" i="47"/>
  <c r="D368" i="49"/>
  <c r="CE142" i="9"/>
  <c r="CF142" i="9"/>
  <c r="AG83" i="9"/>
  <c r="CH83" i="9" s="1"/>
  <c r="AF83" i="9"/>
  <c r="AH83" i="9"/>
  <c r="AE83" i="9"/>
  <c r="AG63" i="9"/>
  <c r="CH63" i="9" s="1"/>
  <c r="AF63" i="9"/>
  <c r="AH63" i="9"/>
  <c r="CJ71" i="9"/>
  <c r="CC71" i="9"/>
  <c r="CC32" i="9"/>
  <c r="CL32" i="9"/>
  <c r="CL18" i="9"/>
  <c r="BP81" i="9"/>
  <c r="CL81" i="9" s="1"/>
  <c r="BP38" i="9"/>
  <c r="CD56" i="9"/>
  <c r="CE127" i="9"/>
  <c r="F19" i="6"/>
  <c r="CE28" i="9"/>
  <c r="CC145" i="9"/>
  <c r="CL145" i="9"/>
  <c r="CC65" i="9"/>
  <c r="CG65" i="9" s="1"/>
  <c r="CL65" i="9"/>
  <c r="CK70" i="9"/>
  <c r="CC126" i="9"/>
  <c r="CL126" i="9"/>
  <c r="CL100" i="9"/>
  <c r="CL84" i="9"/>
  <c r="BP122" i="9"/>
  <c r="CL122" i="9" s="1"/>
  <c r="BP51" i="9"/>
  <c r="CL51" i="9" s="1"/>
  <c r="BP44" i="9"/>
  <c r="CL44" i="9" s="1"/>
  <c r="CL43" i="9"/>
  <c r="CC43" i="9"/>
  <c r="CL38" i="9"/>
  <c r="CC107" i="9"/>
  <c r="CE107" i="9" s="1"/>
  <c r="CI107" i="9"/>
  <c r="CK16" i="9"/>
  <c r="CC15" i="9"/>
  <c r="CL15" i="9"/>
  <c r="BI154" i="9"/>
  <c r="AE147" i="9"/>
  <c r="AF147" i="9"/>
  <c r="AG147" i="9"/>
  <c r="CH147" i="9" s="1"/>
  <c r="CH72" i="9"/>
  <c r="CC72" i="9"/>
  <c r="CH97" i="9"/>
  <c r="AQ97" i="9"/>
  <c r="AQ67" i="9"/>
  <c r="CH67" i="9"/>
  <c r="AS154" i="9"/>
  <c r="AQ22" i="9"/>
  <c r="AQ10" i="9"/>
  <c r="AR154" i="9"/>
  <c r="CG148" i="9"/>
  <c r="CD148" i="9"/>
  <c r="I19" i="6"/>
  <c r="F18" i="6"/>
  <c r="C19" i="6"/>
  <c r="I18" i="6"/>
  <c r="C18" i="6"/>
  <c r="C17" i="6"/>
  <c r="CJ146" i="9"/>
  <c r="CC146" i="9"/>
  <c r="BP106" i="9"/>
  <c r="CG127" i="9"/>
  <c r="CF127" i="9"/>
  <c r="CD5" i="9"/>
  <c r="CF148" i="9"/>
  <c r="CC99" i="9"/>
  <c r="CC135" i="9"/>
  <c r="CI135" i="9"/>
  <c r="CI87" i="9"/>
  <c r="C42" i="6"/>
  <c r="C45" i="6"/>
  <c r="CI63" i="9"/>
  <c r="C46" i="6"/>
  <c r="C43" i="6"/>
  <c r="CI30" i="9"/>
  <c r="BC26" i="9"/>
  <c r="CI26" i="9" s="1"/>
  <c r="BZ10" i="9"/>
  <c r="CK10" i="9"/>
  <c r="CG56" i="9"/>
  <c r="CE56" i="9"/>
  <c r="CG69" i="9"/>
  <c r="CD69" i="9"/>
  <c r="CE148" i="9"/>
  <c r="CL31" i="9"/>
  <c r="CC31" i="9"/>
  <c r="CC133" i="9"/>
  <c r="CD133" i="9" s="1"/>
  <c r="CL149" i="9"/>
  <c r="CC149" i="9"/>
  <c r="AY154" i="9"/>
  <c r="D40" i="6"/>
  <c r="CK26" i="9"/>
  <c r="CL73" i="9"/>
  <c r="BY131" i="9"/>
  <c r="BP76" i="9"/>
  <c r="CL76" i="9" s="1"/>
  <c r="BP40" i="9"/>
  <c r="CG5" i="9"/>
  <c r="CF5" i="9"/>
  <c r="CC23" i="9"/>
  <c r="CL23" i="9"/>
  <c r="BP124" i="9"/>
  <c r="CL124" i="9" s="1"/>
  <c r="D26" i="6"/>
  <c r="CC30" i="9"/>
  <c r="CC79" i="9"/>
  <c r="CG79" i="9" s="1"/>
  <c r="AC91" i="9"/>
  <c r="D25" i="6"/>
  <c r="CH88" i="9"/>
  <c r="AH124" i="9"/>
  <c r="CC19" i="9"/>
  <c r="CL5" i="9"/>
  <c r="CJ103" i="9"/>
  <c r="CL69" i="9"/>
  <c r="CC20" i="9"/>
  <c r="K110" i="47"/>
  <c r="C224" i="48"/>
  <c r="J24" i="47" s="1"/>
  <c r="K95" i="47"/>
  <c r="D250" i="48"/>
  <c r="J12" i="47" s="1"/>
  <c r="C223" i="48"/>
  <c r="J22" i="47" s="1"/>
  <c r="CC67" i="9"/>
  <c r="CL35" i="9"/>
  <c r="R78" i="47"/>
  <c r="O75" i="47" s="1"/>
  <c r="G75" i="47"/>
  <c r="CC8" i="9"/>
  <c r="CD8" i="9" s="1"/>
  <c r="K20" i="15"/>
  <c r="CC57" i="9"/>
  <c r="CK35" i="9"/>
  <c r="CK51" i="9"/>
  <c r="CK59" i="9"/>
  <c r="CL109" i="9"/>
  <c r="CC111" i="9"/>
  <c r="CC130" i="9"/>
  <c r="CK39" i="9"/>
  <c r="CK31" i="9"/>
  <c r="R52" i="47"/>
  <c r="O51" i="47" s="1"/>
  <c r="G51" i="47"/>
  <c r="D364" i="49"/>
  <c r="BE39" i="9"/>
  <c r="BF39" i="9" s="1"/>
  <c r="CC39" i="9" s="1"/>
  <c r="CE8" i="9"/>
  <c r="CL120" i="9"/>
  <c r="CC120" i="9"/>
  <c r="CD72" i="9"/>
  <c r="M104" i="46"/>
  <c r="CF133" i="9"/>
  <c r="CL119" i="9"/>
  <c r="CL106" i="9"/>
  <c r="CE96" i="9"/>
  <c r="AQ154" i="9"/>
  <c r="CF65" i="9"/>
  <c r="CF28" i="9"/>
  <c r="CC83" i="9"/>
  <c r="CD83" i="9" s="1"/>
  <c r="CL75" i="9"/>
  <c r="K19" i="15"/>
  <c r="D28" i="6"/>
  <c r="CH149" i="9"/>
  <c r="CJ70" i="9"/>
  <c r="AX51" i="9"/>
  <c r="AX154" i="9" s="1"/>
  <c r="CK79" i="9"/>
  <c r="BZ89" i="9"/>
  <c r="BZ73" i="9"/>
  <c r="BP54" i="9"/>
  <c r="CL54" i="9" s="1"/>
  <c r="BP49" i="9"/>
  <c r="CL49" i="9" s="1"/>
  <c r="BP46" i="9"/>
  <c r="CL46" i="9" s="1"/>
  <c r="BP34" i="9"/>
  <c r="CL34" i="9" s="1"/>
  <c r="BP27" i="9"/>
  <c r="CL27" i="9" s="1"/>
  <c r="AE26" i="9"/>
  <c r="BO154" i="9"/>
  <c r="AG26" i="9"/>
  <c r="O53" i="5"/>
  <c r="D27" i="6"/>
  <c r="CC61" i="9"/>
  <c r="CC41" i="9"/>
  <c r="CK27" i="9"/>
  <c r="C152" i="38"/>
  <c r="BW12" i="9"/>
  <c r="CK12" i="9" s="1"/>
  <c r="BP131" i="9"/>
  <c r="CC131" i="9" s="1"/>
  <c r="BP123" i="9"/>
  <c r="CL123" i="9" s="1"/>
  <c r="BP26" i="9"/>
  <c r="CL26" i="9" s="1"/>
  <c r="BP17" i="9"/>
  <c r="CL17" i="9" s="1"/>
  <c r="AC109" i="9"/>
  <c r="BP108" i="9"/>
  <c r="CL108" i="9" s="1"/>
  <c r="BP42" i="9"/>
  <c r="CC48" i="9"/>
  <c r="BP60" i="9"/>
  <c r="CL60" i="9" s="1"/>
  <c r="CD88" i="9"/>
  <c r="D30" i="6"/>
  <c r="CL62" i="9"/>
  <c r="BP94" i="9"/>
  <c r="BP6" i="9"/>
  <c r="CD15" i="9"/>
  <c r="CL142" i="9"/>
  <c r="D31" i="6"/>
  <c r="CC63" i="9"/>
  <c r="BP101" i="9"/>
  <c r="CL101" i="9" s="1"/>
  <c r="BP21" i="9"/>
  <c r="BP12" i="9"/>
  <c r="CD20" i="9"/>
  <c r="CG19" i="9"/>
  <c r="C40" i="6"/>
  <c r="CK127" i="9"/>
  <c r="CK87" i="9"/>
  <c r="CK47" i="9"/>
  <c r="BP132" i="9"/>
  <c r="CL132" i="9" s="1"/>
  <c r="BP117" i="9"/>
  <c r="BP92" i="9"/>
  <c r="CL92" i="9" s="1"/>
  <c r="BP78" i="9"/>
  <c r="CL78" i="9" s="1"/>
  <c r="BP70" i="9"/>
  <c r="CL70" i="9" s="1"/>
  <c r="BP58" i="9"/>
  <c r="CL58" i="9" s="1"/>
  <c r="BC75" i="9"/>
  <c r="CI75" i="9" s="1"/>
  <c r="BP55" i="9"/>
  <c r="CL55" i="9" s="1"/>
  <c r="BP11" i="9"/>
  <c r="CL11" i="9" s="1"/>
  <c r="E26" i="49"/>
  <c r="AZ157" i="9"/>
  <c r="N200" i="39"/>
  <c r="K51" i="47"/>
  <c r="E25" i="49"/>
  <c r="G63" i="47"/>
  <c r="H250" i="48"/>
  <c r="P12" i="47" s="1"/>
  <c r="BE140" i="9"/>
  <c r="BF140" i="9" s="1"/>
  <c r="CC140" i="9" s="1"/>
  <c r="D26" i="49"/>
  <c r="D25" i="49"/>
  <c r="D27" i="49"/>
  <c r="E28" i="49"/>
  <c r="F30" i="49"/>
  <c r="D352" i="49"/>
  <c r="D380" i="49"/>
  <c r="D10" i="13"/>
  <c r="V16" i="9" s="1"/>
  <c r="D30" i="49"/>
  <c r="F25" i="49"/>
  <c r="D366" i="49"/>
  <c r="D347" i="49"/>
  <c r="O63" i="47"/>
  <c r="AF13" i="9"/>
  <c r="AH13" i="9"/>
  <c r="CD31" i="9"/>
  <c r="CG31" i="9"/>
  <c r="CE31" i="9"/>
  <c r="CF31" i="9"/>
  <c r="CD99" i="9"/>
  <c r="CE69" i="9"/>
  <c r="CF96" i="9"/>
  <c r="AE13" i="9"/>
  <c r="CG8" i="9"/>
  <c r="CL89" i="9"/>
  <c r="CC89" i="9"/>
  <c r="CF14" i="9"/>
  <c r="CE65" i="9"/>
  <c r="CD96" i="9"/>
  <c r="CC147" i="9"/>
  <c r="CF146" i="9"/>
  <c r="CG146" i="9"/>
  <c r="CD14" i="9"/>
  <c r="CE14" i="9"/>
  <c r="CD65" i="9"/>
  <c r="AG13" i="9"/>
  <c r="CL14" i="9"/>
  <c r="CC137" i="9"/>
  <c r="AG98" i="9"/>
  <c r="AE98" i="9"/>
  <c r="CE99" i="9"/>
  <c r="AG114" i="9"/>
  <c r="CH114" i="9" s="1"/>
  <c r="AF114" i="9"/>
  <c r="C36" i="6"/>
  <c r="C33" i="6"/>
  <c r="O67" i="5"/>
  <c r="H8" i="12"/>
  <c r="C24" i="12"/>
  <c r="CG57" i="9"/>
  <c r="AF137" i="9"/>
  <c r="C5" i="16"/>
  <c r="H11" i="12"/>
  <c r="CJ37" i="9"/>
  <c r="CC37" i="9"/>
  <c r="D24" i="6"/>
  <c r="D29" i="6"/>
  <c r="P7" i="5"/>
  <c r="P163" i="5" s="1"/>
  <c r="CG43" i="9"/>
  <c r="D23" i="6"/>
  <c r="AC64" i="9"/>
  <c r="H14" i="12"/>
  <c r="CC10" i="9"/>
  <c r="CL94" i="9"/>
  <c r="AC4" i="9"/>
  <c r="K22" i="17"/>
  <c r="CK151" i="9"/>
  <c r="CK135" i="9"/>
  <c r="CK23" i="9"/>
  <c r="BC51" i="9"/>
  <c r="CL53" i="9"/>
  <c r="CL111" i="9"/>
  <c r="BZ91" i="9"/>
  <c r="CL80" i="9"/>
  <c r="BE47" i="9"/>
  <c r="BF47" i="9" s="1"/>
  <c r="CC47" i="9" s="1"/>
  <c r="BE87" i="9"/>
  <c r="BF87" i="9" s="1"/>
  <c r="BE118" i="9"/>
  <c r="BF118" i="9" s="1"/>
  <c r="BE141" i="9"/>
  <c r="BF141" i="9" s="1"/>
  <c r="BE22" i="9"/>
  <c r="BE52" i="9"/>
  <c r="BF52" i="9" s="1"/>
  <c r="CL52" i="9" s="1"/>
  <c r="BE97" i="9"/>
  <c r="BF97" i="9" s="1"/>
  <c r="BE125" i="9"/>
  <c r="BF125" i="9" s="1"/>
  <c r="CC125" i="9" s="1"/>
  <c r="BE112" i="9"/>
  <c r="BF112" i="9" s="1"/>
  <c r="CC112" i="9" s="1"/>
  <c r="BE36" i="9"/>
  <c r="BF36" i="9" s="1"/>
  <c r="BE82" i="9"/>
  <c r="BF82" i="9" s="1"/>
  <c r="CC82" i="9" s="1"/>
  <c r="BE104" i="9"/>
  <c r="BF104" i="9" s="1"/>
  <c r="BE138" i="9"/>
  <c r="BF138" i="9" s="1"/>
  <c r="BE85" i="9"/>
  <c r="BF85" i="9" s="1"/>
  <c r="CC85" i="9" s="1"/>
  <c r="O72" i="47"/>
  <c r="BE134" i="9"/>
  <c r="BF134" i="9" s="1"/>
  <c r="BE110" i="9"/>
  <c r="BF110" i="9" s="1"/>
  <c r="F250" i="48"/>
  <c r="M12" i="47" s="1"/>
  <c r="E27" i="49"/>
  <c r="E29" i="49"/>
  <c r="D381" i="49"/>
  <c r="J7" i="13"/>
  <c r="J6" i="13"/>
  <c r="J21" i="13"/>
  <c r="J35" i="13"/>
  <c r="J46" i="13"/>
  <c r="J60" i="13"/>
  <c r="J71" i="13"/>
  <c r="I5" i="13"/>
  <c r="I19" i="13"/>
  <c r="I30" i="13"/>
  <c r="I44" i="13"/>
  <c r="I55" i="13"/>
  <c r="I69" i="13"/>
  <c r="I83" i="13"/>
  <c r="H15" i="13"/>
  <c r="H29" i="13"/>
  <c r="H40" i="13"/>
  <c r="H54" i="13"/>
  <c r="H68" i="13"/>
  <c r="H79" i="13"/>
  <c r="G21" i="13"/>
  <c r="X50" i="9" s="1"/>
  <c r="G32" i="13"/>
  <c r="X68" i="9" s="1"/>
  <c r="G46" i="13"/>
  <c r="X92" i="9" s="1"/>
  <c r="G60" i="13"/>
  <c r="X128" i="9" s="1"/>
  <c r="G71" i="13"/>
  <c r="X29" i="9" s="1"/>
  <c r="G7" i="13"/>
  <c r="X9" i="9" s="1"/>
  <c r="F10" i="13"/>
  <c r="W16" i="9" s="1"/>
  <c r="F24" i="13"/>
  <c r="W55" i="9" s="1"/>
  <c r="F38" i="13"/>
  <c r="W78" i="9" s="1"/>
  <c r="F49" i="13"/>
  <c r="W86" i="9" s="1"/>
  <c r="F63" i="13"/>
  <c r="W116" i="9" s="1"/>
  <c r="F74" i="13"/>
  <c r="W141" i="9" s="1"/>
  <c r="D15" i="13"/>
  <c r="V38" i="9" s="1"/>
  <c r="D29" i="13"/>
  <c r="V62" i="9" s="1"/>
  <c r="D40" i="13"/>
  <c r="V77" i="9" s="1"/>
  <c r="D54" i="13"/>
  <c r="V98" i="9" s="1"/>
  <c r="D65" i="13"/>
  <c r="V46" i="9" s="1"/>
  <c r="D79" i="13"/>
  <c r="V150" i="9" s="1"/>
  <c r="J11" i="13"/>
  <c r="J22" i="13"/>
  <c r="J36" i="13"/>
  <c r="J47" i="13"/>
  <c r="J61" i="13"/>
  <c r="J75" i="13"/>
  <c r="I6" i="13"/>
  <c r="I20" i="13"/>
  <c r="I31" i="13"/>
  <c r="I45" i="13"/>
  <c r="I59" i="13"/>
  <c r="I70" i="13"/>
  <c r="H5" i="13"/>
  <c r="H16" i="13"/>
  <c r="H30" i="13"/>
  <c r="H44" i="13"/>
  <c r="H55" i="13"/>
  <c r="H69" i="13"/>
  <c r="H80" i="13"/>
  <c r="G22" i="13"/>
  <c r="X52" i="9" s="1"/>
  <c r="G36" i="13"/>
  <c r="X75" i="9" s="1"/>
  <c r="G47" i="13"/>
  <c r="X91" i="9" s="1"/>
  <c r="G61" i="13"/>
  <c r="X113" i="9" s="1"/>
  <c r="G72" i="13"/>
  <c r="X136" i="9" s="1"/>
  <c r="G8" i="13"/>
  <c r="X11" i="9" s="1"/>
  <c r="F14" i="13"/>
  <c r="W27" i="9" s="1"/>
  <c r="F25" i="13"/>
  <c r="W58" i="9" s="1"/>
  <c r="F39" i="13"/>
  <c r="W124" i="9" s="1"/>
  <c r="F50" i="13"/>
  <c r="W87" i="9" s="1"/>
  <c r="F64" i="13"/>
  <c r="W119" i="9" s="1"/>
  <c r="F78" i="13"/>
  <c r="W73" i="9" s="1"/>
  <c r="D16" i="13"/>
  <c r="V34" i="9" s="1"/>
  <c r="D30" i="13"/>
  <c r="V64" i="9" s="1"/>
  <c r="D41" i="13"/>
  <c r="V90" i="9" s="1"/>
  <c r="D55" i="13"/>
  <c r="V103" i="9" s="1"/>
  <c r="D69" i="13"/>
  <c r="V49" i="9" s="1"/>
  <c r="D80" i="13"/>
  <c r="V122" i="9" s="1"/>
  <c r="J12" i="13"/>
  <c r="J23" i="13"/>
  <c r="J37" i="13"/>
  <c r="J51" i="13"/>
  <c r="J62" i="13"/>
  <c r="J76" i="13"/>
  <c r="I7" i="13"/>
  <c r="I21" i="13"/>
  <c r="I35" i="13"/>
  <c r="I46" i="13"/>
  <c r="I60" i="13"/>
  <c r="I71" i="13"/>
  <c r="H6" i="13"/>
  <c r="H20" i="13"/>
  <c r="H31" i="13"/>
  <c r="H45" i="13"/>
  <c r="H56" i="13"/>
  <c r="H70" i="13"/>
  <c r="G5" i="13"/>
  <c r="G23" i="13"/>
  <c r="X54" i="9" s="1"/>
  <c r="G37" i="13"/>
  <c r="X76" i="9" s="1"/>
  <c r="G48" i="13"/>
  <c r="X94" i="9" s="1"/>
  <c r="G62" i="13"/>
  <c r="X129" i="9" s="1"/>
  <c r="G76" i="13"/>
  <c r="X144" i="9" s="1"/>
  <c r="G9" i="13"/>
  <c r="X17" i="9" s="1"/>
  <c r="F15" i="13"/>
  <c r="W38" i="9" s="1"/>
  <c r="F26" i="13"/>
  <c r="W53" i="9" s="1"/>
  <c r="F40" i="13"/>
  <c r="W77" i="9" s="1"/>
  <c r="F54" i="13"/>
  <c r="W98" i="9" s="1"/>
  <c r="F65" i="13"/>
  <c r="W46" i="9" s="1"/>
  <c r="F79" i="13"/>
  <c r="W150" i="9" s="1"/>
  <c r="D17" i="13"/>
  <c r="V35" i="9" s="1"/>
  <c r="D31" i="13"/>
  <c r="V66" i="9" s="1"/>
  <c r="D45" i="13"/>
  <c r="V95" i="9" s="1"/>
  <c r="D56" i="13"/>
  <c r="V105" i="9" s="1"/>
  <c r="D70" i="13"/>
  <c r="V118" i="9" s="1"/>
  <c r="D81" i="13"/>
  <c r="V151" i="9" s="1"/>
  <c r="J13" i="13"/>
  <c r="J27" i="13"/>
  <c r="J38" i="13"/>
  <c r="J52" i="13"/>
  <c r="J63" i="13"/>
  <c r="J77" i="13"/>
  <c r="I11" i="13"/>
  <c r="I22" i="13"/>
  <c r="I36" i="13"/>
  <c r="I47" i="13"/>
  <c r="I61" i="13"/>
  <c r="I75" i="13"/>
  <c r="H7" i="13"/>
  <c r="H21" i="13"/>
  <c r="H32" i="13"/>
  <c r="H46" i="13"/>
  <c r="H60" i="13"/>
  <c r="H71" i="13"/>
  <c r="G13" i="13"/>
  <c r="X24" i="9" s="1"/>
  <c r="G24" i="13"/>
  <c r="X55" i="9" s="1"/>
  <c r="G38" i="13"/>
  <c r="X78" i="9" s="1"/>
  <c r="G52" i="13"/>
  <c r="X100" i="9" s="1"/>
  <c r="G63" i="13"/>
  <c r="X116" i="9" s="1"/>
  <c r="G77" i="13"/>
  <c r="X143" i="9" s="1"/>
  <c r="G10" i="13"/>
  <c r="X16" i="9" s="1"/>
  <c r="F16" i="13"/>
  <c r="W34" i="9" s="1"/>
  <c r="F30" i="13"/>
  <c r="W64" i="9" s="1"/>
  <c r="F41" i="13"/>
  <c r="W90" i="9" s="1"/>
  <c r="F55" i="13"/>
  <c r="W103" i="9" s="1"/>
  <c r="F66" i="13"/>
  <c r="W121" i="9" s="1"/>
  <c r="F80" i="13"/>
  <c r="W122" i="9" s="1"/>
  <c r="D21" i="13"/>
  <c r="V50" i="9" s="1"/>
  <c r="D32" i="13"/>
  <c r="V68" i="9" s="1"/>
  <c r="D46" i="13"/>
  <c r="V92" i="9" s="1"/>
  <c r="D57" i="13"/>
  <c r="V108" i="9" s="1"/>
  <c r="D71" i="13"/>
  <c r="V29" i="9" s="1"/>
  <c r="D7" i="13"/>
  <c r="V9" i="9" s="1"/>
  <c r="J14" i="13"/>
  <c r="J28" i="13"/>
  <c r="J39" i="13"/>
  <c r="J53" i="13"/>
  <c r="J67" i="13"/>
  <c r="J78" i="13"/>
  <c r="I12" i="13"/>
  <c r="I23" i="13"/>
  <c r="I37" i="13"/>
  <c r="I51" i="13"/>
  <c r="I62" i="13"/>
  <c r="I76" i="13"/>
  <c r="H8" i="13"/>
  <c r="H22" i="13"/>
  <c r="H36" i="13"/>
  <c r="H47" i="13"/>
  <c r="H61" i="13"/>
  <c r="H72" i="13"/>
  <c r="G14" i="13"/>
  <c r="X27" i="9" s="1"/>
  <c r="G28" i="13"/>
  <c r="X60" i="9" s="1"/>
  <c r="G39" i="13"/>
  <c r="X124" i="9" s="1"/>
  <c r="G53" i="13"/>
  <c r="X101" i="9" s="1"/>
  <c r="G64" i="13"/>
  <c r="X119" i="9" s="1"/>
  <c r="G78" i="13"/>
  <c r="X73" i="9" s="1"/>
  <c r="F6" i="13"/>
  <c r="W7" i="9" s="1"/>
  <c r="F17" i="13"/>
  <c r="W35" i="9" s="1"/>
  <c r="F31" i="13"/>
  <c r="W66" i="9" s="1"/>
  <c r="F42" i="13"/>
  <c r="W80" i="9" s="1"/>
  <c r="F56" i="13"/>
  <c r="W105" i="9" s="1"/>
  <c r="F70" i="13"/>
  <c r="W118" i="9" s="1"/>
  <c r="F81" i="13"/>
  <c r="W151" i="9" s="1"/>
  <c r="D22" i="13"/>
  <c r="V52" i="9" s="1"/>
  <c r="D33" i="13"/>
  <c r="V70" i="9" s="1"/>
  <c r="D47" i="13"/>
  <c r="V91" i="9" s="1"/>
  <c r="D61" i="13"/>
  <c r="V113" i="9" s="1"/>
  <c r="D72" i="13"/>
  <c r="V136" i="9" s="1"/>
  <c r="D8" i="13"/>
  <c r="V11" i="9" s="1"/>
  <c r="J15" i="13"/>
  <c r="J29" i="13"/>
  <c r="J43" i="13"/>
  <c r="J54" i="13"/>
  <c r="J68" i="13"/>
  <c r="J79" i="13"/>
  <c r="I13" i="13"/>
  <c r="I27" i="13"/>
  <c r="I38" i="13"/>
  <c r="I52" i="13"/>
  <c r="I63" i="13"/>
  <c r="I77" i="13"/>
  <c r="H12" i="13"/>
  <c r="H23" i="13"/>
  <c r="H37" i="13"/>
  <c r="H48" i="13"/>
  <c r="H62" i="13"/>
  <c r="H76" i="13"/>
  <c r="G15" i="13"/>
  <c r="X38" i="9" s="1"/>
  <c r="G29" i="13"/>
  <c r="X62" i="9" s="1"/>
  <c r="G40" i="13"/>
  <c r="X77" i="9" s="1"/>
  <c r="G54" i="13"/>
  <c r="X98" i="9" s="1"/>
  <c r="G68" i="13"/>
  <c r="X115" i="9" s="1"/>
  <c r="G79" i="13"/>
  <c r="X150" i="9" s="1"/>
  <c r="F7" i="13"/>
  <c r="W9" i="9" s="1"/>
  <c r="F18" i="13"/>
  <c r="W33" i="9" s="1"/>
  <c r="F32" i="13"/>
  <c r="W68" i="9" s="1"/>
  <c r="F46" i="13"/>
  <c r="W92" i="9" s="1"/>
  <c r="F57" i="13"/>
  <c r="W108" i="9" s="1"/>
  <c r="F71" i="13"/>
  <c r="W29" i="9" s="1"/>
  <c r="F82" i="13"/>
  <c r="W152" i="9" s="1"/>
  <c r="D23" i="13"/>
  <c r="V54" i="9" s="1"/>
  <c r="D37" i="13"/>
  <c r="V76" i="9" s="1"/>
  <c r="D48" i="13"/>
  <c r="V94" i="9" s="1"/>
  <c r="D62" i="13"/>
  <c r="V129" i="9" s="1"/>
  <c r="D73" i="13"/>
  <c r="V132" i="9" s="1"/>
  <c r="D9" i="13"/>
  <c r="V17" i="9" s="1"/>
  <c r="J19" i="13"/>
  <c r="J30" i="13"/>
  <c r="J44" i="13"/>
  <c r="J55" i="13"/>
  <c r="J69" i="13"/>
  <c r="J83" i="13"/>
  <c r="I14" i="13"/>
  <c r="I28" i="13"/>
  <c r="I39" i="13"/>
  <c r="I53" i="13"/>
  <c r="I67" i="13"/>
  <c r="I78" i="13"/>
  <c r="H13" i="13"/>
  <c r="H24" i="13"/>
  <c r="H38" i="13"/>
  <c r="H52" i="13"/>
  <c r="H63" i="13"/>
  <c r="J20" i="13"/>
  <c r="I43" i="13"/>
  <c r="H64" i="13"/>
  <c r="G45" i="13"/>
  <c r="X95" i="9" s="1"/>
  <c r="F9" i="13"/>
  <c r="W17" i="9" s="1"/>
  <c r="F62" i="13"/>
  <c r="W129" i="9" s="1"/>
  <c r="D39" i="13"/>
  <c r="V124" i="9" s="1"/>
  <c r="D11" i="13"/>
  <c r="V13" i="9" s="1"/>
  <c r="J31" i="13"/>
  <c r="I54" i="13"/>
  <c r="H77" i="13"/>
  <c r="G55" i="13"/>
  <c r="X103" i="9" s="1"/>
  <c r="F22" i="13"/>
  <c r="W52" i="9" s="1"/>
  <c r="F72" i="13"/>
  <c r="W136" i="9" s="1"/>
  <c r="D49" i="13"/>
  <c r="V86" i="9" s="1"/>
  <c r="J45" i="13"/>
  <c r="I68" i="13"/>
  <c r="H78" i="13"/>
  <c r="G56" i="13"/>
  <c r="X105" i="9" s="1"/>
  <c r="F23" i="13"/>
  <c r="W54" i="9" s="1"/>
  <c r="F73" i="13"/>
  <c r="W132" i="9" s="1"/>
  <c r="D53" i="13"/>
  <c r="V101" i="9" s="1"/>
  <c r="J59" i="13"/>
  <c r="I79" i="13"/>
  <c r="G16" i="13"/>
  <c r="X34" i="9" s="1"/>
  <c r="G69" i="13"/>
  <c r="X49" i="9" s="1"/>
  <c r="F33" i="13"/>
  <c r="W70" i="9" s="1"/>
  <c r="D13" i="13"/>
  <c r="V24" i="9" s="1"/>
  <c r="D63" i="13"/>
  <c r="V116" i="9" s="1"/>
  <c r="J70" i="13"/>
  <c r="H14" i="13"/>
  <c r="G20" i="13"/>
  <c r="X44" i="9" s="1"/>
  <c r="G70" i="13"/>
  <c r="X118" i="9" s="1"/>
  <c r="F34" i="13"/>
  <c r="W74" i="9" s="1"/>
  <c r="D14" i="13"/>
  <c r="V27" i="9" s="1"/>
  <c r="D64" i="13"/>
  <c r="V119" i="9" s="1"/>
  <c r="J5" i="13"/>
  <c r="H28" i="13"/>
  <c r="G30" i="13"/>
  <c r="X64" i="9" s="1"/>
  <c r="G80" i="13"/>
  <c r="X122" i="9" s="1"/>
  <c r="F47" i="13"/>
  <c r="W91" i="9" s="1"/>
  <c r="D24" i="13"/>
  <c r="V55" i="9" s="1"/>
  <c r="D77" i="13"/>
  <c r="V143" i="9" s="1"/>
  <c r="I15" i="13"/>
  <c r="H39" i="13"/>
  <c r="G31" i="13"/>
  <c r="X66" i="9" s="1"/>
  <c r="G6" i="13"/>
  <c r="X7" i="9" s="1"/>
  <c r="F48" i="13"/>
  <c r="W94" i="9" s="1"/>
  <c r="D25" i="13"/>
  <c r="V58" i="9" s="1"/>
  <c r="D78" i="13"/>
  <c r="V73" i="9" s="1"/>
  <c r="D38" i="13"/>
  <c r="V78" i="9" s="1"/>
  <c r="F58" i="13"/>
  <c r="W109" i="9" s="1"/>
  <c r="C222" i="48"/>
  <c r="J20" i="47" s="1"/>
  <c r="D29" i="49"/>
  <c r="F26" i="49"/>
  <c r="D379" i="49"/>
  <c r="D348" i="49"/>
  <c r="D369" i="49"/>
  <c r="D351" i="49"/>
  <c r="D378" i="49"/>
  <c r="AZ154" i="9"/>
  <c r="F8" i="13"/>
  <c r="W11" i="9" s="1"/>
  <c r="F27" i="49"/>
  <c r="G44" i="13"/>
  <c r="X84" i="9" s="1"/>
  <c r="H53" i="13"/>
  <c r="I29" i="13"/>
  <c r="F29" i="49"/>
  <c r="D365" i="49"/>
  <c r="D350" i="49"/>
  <c r="D346" i="49"/>
  <c r="D349" i="49"/>
  <c r="D377" i="49"/>
  <c r="D367" i="49"/>
  <c r="D363" i="49"/>
  <c r="J8" i="13"/>
  <c r="G11" i="13"/>
  <c r="X13" i="9" s="1"/>
  <c r="D6" i="13"/>
  <c r="V7" i="9" s="1"/>
  <c r="D76" i="13"/>
  <c r="V144" i="9" s="1"/>
  <c r="D68" i="13"/>
  <c r="V115" i="9" s="1"/>
  <c r="D60" i="13"/>
  <c r="V128" i="9" s="1"/>
  <c r="D52" i="13"/>
  <c r="V100" i="9" s="1"/>
  <c r="D44" i="13"/>
  <c r="V84" i="9" s="1"/>
  <c r="D36" i="13"/>
  <c r="V75" i="9" s="1"/>
  <c r="D28" i="13"/>
  <c r="V60" i="9" s="1"/>
  <c r="D20" i="13"/>
  <c r="V44" i="9" s="1"/>
  <c r="F77" i="13"/>
  <c r="W143" i="9" s="1"/>
  <c r="F69" i="13"/>
  <c r="W49" i="9" s="1"/>
  <c r="F61" i="13"/>
  <c r="W113" i="9" s="1"/>
  <c r="F53" i="13"/>
  <c r="W101" i="9" s="1"/>
  <c r="F45" i="13"/>
  <c r="W95" i="9" s="1"/>
  <c r="F37" i="13"/>
  <c r="W76" i="9" s="1"/>
  <c r="F29" i="13"/>
  <c r="W62" i="9" s="1"/>
  <c r="F21" i="13"/>
  <c r="W50" i="9" s="1"/>
  <c r="F13" i="13"/>
  <c r="W24" i="9" s="1"/>
  <c r="F5" i="13"/>
  <c r="G83" i="13"/>
  <c r="X45" i="9" s="1"/>
  <c r="G75" i="13"/>
  <c r="X139" i="9" s="1"/>
  <c r="G67" i="13"/>
  <c r="X123" i="9" s="1"/>
  <c r="G59" i="13"/>
  <c r="X106" i="9" s="1"/>
  <c r="G51" i="13"/>
  <c r="X81" i="9" s="1"/>
  <c r="G43" i="13"/>
  <c r="X102" i="9" s="1"/>
  <c r="G35" i="13"/>
  <c r="X26" i="9" s="1"/>
  <c r="G27" i="13"/>
  <c r="X59" i="9" s="1"/>
  <c r="G19" i="13"/>
  <c r="X25" i="9" s="1"/>
  <c r="H83" i="13"/>
  <c r="H75" i="13"/>
  <c r="H67" i="13"/>
  <c r="H59" i="13"/>
  <c r="H51" i="13"/>
  <c r="H43" i="13"/>
  <c r="H35" i="13"/>
  <c r="H27" i="13"/>
  <c r="H19" i="13"/>
  <c r="H11" i="13"/>
  <c r="I82" i="13"/>
  <c r="I74" i="13"/>
  <c r="I66" i="13"/>
  <c r="I58" i="13"/>
  <c r="I50" i="13"/>
  <c r="I42" i="13"/>
  <c r="I34" i="13"/>
  <c r="I26" i="13"/>
  <c r="I18" i="13"/>
  <c r="I10" i="13"/>
  <c r="J82" i="13"/>
  <c r="J74" i="13"/>
  <c r="J66" i="13"/>
  <c r="J58" i="13"/>
  <c r="J50" i="13"/>
  <c r="J42" i="13"/>
  <c r="J34" i="13"/>
  <c r="J26" i="13"/>
  <c r="J18" i="13"/>
  <c r="J10" i="13"/>
  <c r="D83" i="13"/>
  <c r="V45" i="9" s="1"/>
  <c r="D75" i="13"/>
  <c r="V139" i="9" s="1"/>
  <c r="D67" i="13"/>
  <c r="V123" i="9" s="1"/>
  <c r="D59" i="13"/>
  <c r="V106" i="9" s="1"/>
  <c r="D51" i="13"/>
  <c r="V81" i="9" s="1"/>
  <c r="D43" i="13"/>
  <c r="V102" i="9" s="1"/>
  <c r="D35" i="13"/>
  <c r="V26" i="9" s="1"/>
  <c r="D27" i="13"/>
  <c r="V59" i="9" s="1"/>
  <c r="D19" i="13"/>
  <c r="V25" i="9" s="1"/>
  <c r="D5" i="13"/>
  <c r="F76" i="13"/>
  <c r="W144" i="9" s="1"/>
  <c r="F68" i="13"/>
  <c r="W115" i="9" s="1"/>
  <c r="F60" i="13"/>
  <c r="W128" i="9" s="1"/>
  <c r="F52" i="13"/>
  <c r="W100" i="9" s="1"/>
  <c r="F44" i="13"/>
  <c r="W84" i="9" s="1"/>
  <c r="F36" i="13"/>
  <c r="W75" i="9" s="1"/>
  <c r="F28" i="13"/>
  <c r="W60" i="9" s="1"/>
  <c r="F20" i="13"/>
  <c r="W44" i="9" s="1"/>
  <c r="F12" i="13"/>
  <c r="W18" i="9" s="1"/>
  <c r="G12" i="13"/>
  <c r="X18" i="9" s="1"/>
  <c r="G82" i="13"/>
  <c r="X152" i="9" s="1"/>
  <c r="G74" i="13"/>
  <c r="X141" i="9" s="1"/>
  <c r="G66" i="13"/>
  <c r="X121" i="9" s="1"/>
  <c r="G58" i="13"/>
  <c r="X109" i="9" s="1"/>
  <c r="G50" i="13"/>
  <c r="X87" i="9" s="1"/>
  <c r="G42" i="13"/>
  <c r="X80" i="9" s="1"/>
  <c r="G34" i="13"/>
  <c r="X74" i="9" s="1"/>
  <c r="G26" i="13"/>
  <c r="X53" i="9" s="1"/>
  <c r="G18" i="13"/>
  <c r="X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J17" i="13"/>
  <c r="J9" i="13"/>
  <c r="D12" i="13"/>
  <c r="V18" i="9" s="1"/>
  <c r="D82" i="13"/>
  <c r="V152" i="9" s="1"/>
  <c r="D74" i="13"/>
  <c r="V141" i="9" s="1"/>
  <c r="D66" i="13"/>
  <c r="V121" i="9" s="1"/>
  <c r="D58" i="13"/>
  <c r="V109" i="9" s="1"/>
  <c r="D50" i="13"/>
  <c r="V87" i="9" s="1"/>
  <c r="D42" i="13"/>
  <c r="V80" i="9" s="1"/>
  <c r="D34" i="13"/>
  <c r="V74" i="9" s="1"/>
  <c r="D26" i="13"/>
  <c r="V53" i="9" s="1"/>
  <c r="D18" i="13"/>
  <c r="V33" i="9" s="1"/>
  <c r="F83" i="13"/>
  <c r="W45" i="9" s="1"/>
  <c r="F75" i="13"/>
  <c r="W139" i="9" s="1"/>
  <c r="F67" i="13"/>
  <c r="W123" i="9" s="1"/>
  <c r="F59" i="13"/>
  <c r="W106" i="9" s="1"/>
  <c r="F51" i="13"/>
  <c r="W81" i="9" s="1"/>
  <c r="F43" i="13"/>
  <c r="W102" i="9" s="1"/>
  <c r="F35" i="13"/>
  <c r="W26" i="9" s="1"/>
  <c r="F27" i="13"/>
  <c r="W59" i="9" s="1"/>
  <c r="F19" i="13"/>
  <c r="W25" i="9" s="1"/>
  <c r="F11" i="13"/>
  <c r="W13" i="9" s="1"/>
  <c r="G81" i="13"/>
  <c r="X151" i="9" s="1"/>
  <c r="G73" i="13"/>
  <c r="X132" i="9" s="1"/>
  <c r="G65" i="13"/>
  <c r="X46" i="9" s="1"/>
  <c r="G57" i="13"/>
  <c r="X108" i="9" s="1"/>
  <c r="G49" i="13"/>
  <c r="X86" i="9" s="1"/>
  <c r="G41" i="13"/>
  <c r="X90" i="9" s="1"/>
  <c r="G33" i="13"/>
  <c r="X70" i="9" s="1"/>
  <c r="G25" i="13"/>
  <c r="X58" i="9" s="1"/>
  <c r="G17" i="13"/>
  <c r="X35" i="9" s="1"/>
  <c r="H81" i="13"/>
  <c r="H73" i="13"/>
  <c r="H65" i="13"/>
  <c r="H57" i="13"/>
  <c r="H49" i="13"/>
  <c r="H41" i="13"/>
  <c r="H33" i="13"/>
  <c r="H25" i="13"/>
  <c r="H17" i="13"/>
  <c r="H9" i="13"/>
  <c r="I80" i="13"/>
  <c r="I72" i="13"/>
  <c r="I64" i="13"/>
  <c r="I56" i="13"/>
  <c r="I48" i="13"/>
  <c r="I40" i="13"/>
  <c r="I32" i="13"/>
  <c r="I24" i="13"/>
  <c r="I16" i="13"/>
  <c r="I8" i="13"/>
  <c r="J80" i="13"/>
  <c r="J72" i="13"/>
  <c r="J64" i="13"/>
  <c r="J56" i="13"/>
  <c r="J48" i="13"/>
  <c r="J40" i="13"/>
  <c r="J32" i="13"/>
  <c r="J24" i="13"/>
  <c r="J16" i="13"/>
  <c r="CC93" i="9" l="1"/>
  <c r="CG93" i="9" s="1"/>
  <c r="CF107" i="9"/>
  <c r="CF8" i="9"/>
  <c r="CG67" i="9"/>
  <c r="CD67" i="9"/>
  <c r="CE67" i="9"/>
  <c r="CF67" i="9"/>
  <c r="CL131" i="9"/>
  <c r="CG130" i="9"/>
  <c r="CF130" i="9"/>
  <c r="CE130" i="9"/>
  <c r="CD130" i="9"/>
  <c r="CD57" i="9"/>
  <c r="CF57" i="9"/>
  <c r="CE57" i="9"/>
  <c r="CG30" i="9"/>
  <c r="CE30" i="9"/>
  <c r="CF30" i="9"/>
  <c r="CD30" i="9"/>
  <c r="CG39" i="9"/>
  <c r="CE39" i="9"/>
  <c r="CF39" i="9"/>
  <c r="CD39" i="9"/>
  <c r="CG111" i="9"/>
  <c r="CD111" i="9"/>
  <c r="CE111" i="9"/>
  <c r="CF111" i="9"/>
  <c r="CC40" i="9"/>
  <c r="CL40" i="9"/>
  <c r="CG135" i="9"/>
  <c r="CD135" i="9"/>
  <c r="CF135" i="9"/>
  <c r="CE135" i="9"/>
  <c r="CE43" i="9"/>
  <c r="CF43" i="9"/>
  <c r="CD43" i="9"/>
  <c r="CE19" i="9"/>
  <c r="CD19" i="9"/>
  <c r="CF19" i="9"/>
  <c r="CE146" i="9"/>
  <c r="CD146" i="9"/>
  <c r="CG145" i="9"/>
  <c r="CD145" i="9"/>
  <c r="CE145" i="9"/>
  <c r="CF145" i="9"/>
  <c r="CE149" i="9"/>
  <c r="CG149" i="9"/>
  <c r="CF149" i="9"/>
  <c r="CD149" i="9"/>
  <c r="CG99" i="9"/>
  <c r="CF99" i="9"/>
  <c r="CG15" i="9"/>
  <c r="CF15" i="9"/>
  <c r="CE15" i="9"/>
  <c r="CE79" i="9"/>
  <c r="CD79" i="9"/>
  <c r="CF79" i="9"/>
  <c r="CL39" i="9"/>
  <c r="CG72" i="9"/>
  <c r="CE72" i="9"/>
  <c r="CF72" i="9"/>
  <c r="CG126" i="9"/>
  <c r="CD126" i="9"/>
  <c r="CF126" i="9"/>
  <c r="CE126" i="9"/>
  <c r="CG20" i="9"/>
  <c r="CE20" i="9"/>
  <c r="CF20" i="9"/>
  <c r="CE23" i="9"/>
  <c r="CG23" i="9"/>
  <c r="CF23" i="9"/>
  <c r="CD23" i="9"/>
  <c r="BZ131" i="9"/>
  <c r="CK131" i="9"/>
  <c r="CG133" i="9"/>
  <c r="CE133" i="9"/>
  <c r="CF32" i="9"/>
  <c r="CE32" i="9"/>
  <c r="CG32" i="9"/>
  <c r="CD32" i="9"/>
  <c r="AF91" i="9"/>
  <c r="AG91" i="9"/>
  <c r="AE91" i="9"/>
  <c r="AH91" i="9"/>
  <c r="CG107" i="9"/>
  <c r="CD107" i="9"/>
  <c r="CG71" i="9"/>
  <c r="CE71" i="9"/>
  <c r="CF71" i="9"/>
  <c r="CD71" i="9"/>
  <c r="CG140" i="9"/>
  <c r="CE140" i="9"/>
  <c r="CF140" i="9"/>
  <c r="CD140" i="9"/>
  <c r="CC12" i="9"/>
  <c r="CL12" i="9"/>
  <c r="CG63" i="9"/>
  <c r="CD63" i="9"/>
  <c r="CF63" i="9"/>
  <c r="CE63" i="9"/>
  <c r="CG48" i="9"/>
  <c r="CF48" i="9"/>
  <c r="CE48" i="9"/>
  <c r="CD48" i="9"/>
  <c r="CC21" i="9"/>
  <c r="CL21" i="9"/>
  <c r="CC42" i="9"/>
  <c r="CL42" i="9"/>
  <c r="CG41" i="9"/>
  <c r="CF41" i="9"/>
  <c r="CD41" i="9"/>
  <c r="CE41" i="9"/>
  <c r="CL140" i="9"/>
  <c r="CK155" i="9"/>
  <c r="CG61" i="9"/>
  <c r="CE61" i="9"/>
  <c r="CD61" i="9"/>
  <c r="CF61" i="9"/>
  <c r="CG120" i="9"/>
  <c r="CF120" i="9"/>
  <c r="CE120" i="9"/>
  <c r="CD120" i="9"/>
  <c r="CG83" i="9"/>
  <c r="CF83" i="9"/>
  <c r="CE83" i="9"/>
  <c r="CL117" i="9"/>
  <c r="CC117" i="9"/>
  <c r="CC6" i="9"/>
  <c r="CL6" i="9"/>
  <c r="AF109" i="9"/>
  <c r="AG109" i="9"/>
  <c r="AH109" i="9"/>
  <c r="AE109" i="9"/>
  <c r="CE131" i="9"/>
  <c r="CF131" i="9"/>
  <c r="CD131" i="9"/>
  <c r="CG131" i="9"/>
  <c r="Z34" i="9"/>
  <c r="Z55" i="9"/>
  <c r="AA119" i="9"/>
  <c r="Z94" i="9"/>
  <c r="Y70" i="9"/>
  <c r="AA90" i="9"/>
  <c r="Z58" i="9"/>
  <c r="Y16" i="9"/>
  <c r="Y141" i="9"/>
  <c r="AA33" i="9"/>
  <c r="AA152" i="9"/>
  <c r="Z121" i="9"/>
  <c r="Y81" i="9"/>
  <c r="Y73" i="9"/>
  <c r="Z98" i="9"/>
  <c r="CH98" i="9" s="1"/>
  <c r="Z102" i="9"/>
  <c r="Z123" i="9"/>
  <c r="AA84" i="9"/>
  <c r="Y94" i="9"/>
  <c r="Z59" i="9"/>
  <c r="Y11" i="9"/>
  <c r="AA123" i="9"/>
  <c r="Y29" i="9"/>
  <c r="Z91" i="9"/>
  <c r="AA59" i="9"/>
  <c r="Y66" i="9"/>
  <c r="Z9" i="9"/>
  <c r="Z118" i="9"/>
  <c r="CH118" i="9" s="1"/>
  <c r="AA91" i="9"/>
  <c r="Y98" i="9"/>
  <c r="Z64" i="9"/>
  <c r="AA7" i="9"/>
  <c r="CC36" i="9"/>
  <c r="J40" i="6"/>
  <c r="J42" i="6"/>
  <c r="AF64" i="9"/>
  <c r="AG64" i="9"/>
  <c r="AE64" i="9"/>
  <c r="AH64" i="9"/>
  <c r="CG37" i="9"/>
  <c r="CD37" i="9"/>
  <c r="CE37" i="9"/>
  <c r="CF37" i="9"/>
  <c r="Z105" i="9"/>
  <c r="Y90" i="9"/>
  <c r="AA86" i="9"/>
  <c r="Z70" i="9"/>
  <c r="Y33" i="9"/>
  <c r="Y152" i="9"/>
  <c r="AA53" i="9"/>
  <c r="Z16" i="9"/>
  <c r="Z141" i="9"/>
  <c r="CH141" i="9" s="1"/>
  <c r="Y106" i="9"/>
  <c r="Z115" i="9"/>
  <c r="AA66" i="9"/>
  <c r="AA44" i="9"/>
  <c r="Z101" i="9"/>
  <c r="AA64" i="9"/>
  <c r="Y76" i="9"/>
  <c r="Z24" i="9"/>
  <c r="Z144" i="9"/>
  <c r="AA101" i="9"/>
  <c r="Y128" i="9"/>
  <c r="Z75" i="9"/>
  <c r="AA24" i="9"/>
  <c r="Y44" i="9"/>
  <c r="AA144" i="9"/>
  <c r="Y122" i="9"/>
  <c r="Z106" i="9"/>
  <c r="AA75" i="9"/>
  <c r="Y77" i="9"/>
  <c r="Z25" i="9"/>
  <c r="AA9" i="9"/>
  <c r="CE112" i="9"/>
  <c r="CG112" i="9"/>
  <c r="CD112" i="9"/>
  <c r="CF112" i="9"/>
  <c r="CG47" i="9"/>
  <c r="CD47" i="9"/>
  <c r="CF47" i="9"/>
  <c r="CE47" i="9"/>
  <c r="CL82" i="9"/>
  <c r="CL141" i="9"/>
  <c r="CC114" i="9"/>
  <c r="AA68" i="9"/>
  <c r="AA17" i="9"/>
  <c r="Y17" i="9"/>
  <c r="Z68" i="9"/>
  <c r="AA136" i="9"/>
  <c r="AA34" i="9"/>
  <c r="AA122" i="9"/>
  <c r="Z119" i="9"/>
  <c r="Y86" i="9"/>
  <c r="AA108" i="9"/>
  <c r="Z90" i="9"/>
  <c r="Y53" i="9"/>
  <c r="AA74" i="9"/>
  <c r="Z33" i="9"/>
  <c r="Z152" i="9"/>
  <c r="Y123" i="9"/>
  <c r="AA11" i="9"/>
  <c r="Z150" i="9"/>
  <c r="AA95" i="9"/>
  <c r="Y116" i="9"/>
  <c r="Z124" i="9"/>
  <c r="AA25" i="9"/>
  <c r="Y54" i="9"/>
  <c r="AA150" i="9"/>
  <c r="Z129" i="9"/>
  <c r="AA124" i="9"/>
  <c r="Y92" i="9"/>
  <c r="Z52" i="9"/>
  <c r="CH52" i="9" s="1"/>
  <c r="Y7" i="9"/>
  <c r="AA129" i="9"/>
  <c r="Y49" i="9"/>
  <c r="Z95" i="9"/>
  <c r="AA52" i="9"/>
  <c r="Y62" i="9"/>
  <c r="I84" i="13"/>
  <c r="Z4" i="9"/>
  <c r="CL134" i="9"/>
  <c r="CC134" i="9"/>
  <c r="CF125" i="9"/>
  <c r="CG125" i="9"/>
  <c r="CE125" i="9"/>
  <c r="CD125" i="9"/>
  <c r="CL112" i="9"/>
  <c r="CL47" i="9"/>
  <c r="CD137" i="9"/>
  <c r="CG137" i="9"/>
  <c r="CE137" i="9"/>
  <c r="CF137" i="9"/>
  <c r="CG89" i="9"/>
  <c r="CE89" i="9"/>
  <c r="CF89" i="9"/>
  <c r="CD89" i="9"/>
  <c r="Z11" i="9"/>
  <c r="Z136" i="9"/>
  <c r="Y108" i="9"/>
  <c r="AA46" i="9"/>
  <c r="Z86" i="9"/>
  <c r="Y74" i="9"/>
  <c r="AA80" i="9"/>
  <c r="Z53" i="9"/>
  <c r="Y13" i="9"/>
  <c r="Y139" i="9"/>
  <c r="Y101" i="9"/>
  <c r="Y27" i="9"/>
  <c r="AA106" i="9"/>
  <c r="Y100" i="9"/>
  <c r="Z60" i="9"/>
  <c r="Y18" i="9"/>
  <c r="AA115" i="9"/>
  <c r="Y136" i="9"/>
  <c r="Z81" i="9"/>
  <c r="AA60" i="9"/>
  <c r="Y68" i="9"/>
  <c r="Z13" i="9"/>
  <c r="CH13" i="9" s="1"/>
  <c r="Z29" i="9"/>
  <c r="AA81" i="9"/>
  <c r="Y103" i="9"/>
  <c r="Z66" i="9"/>
  <c r="AA13" i="9"/>
  <c r="Y38" i="9"/>
  <c r="AA29" i="9"/>
  <c r="CL97" i="9"/>
  <c r="CC97" i="9"/>
  <c r="AF4" i="9"/>
  <c r="AF154" i="9" s="1"/>
  <c r="AH4" i="9"/>
  <c r="AE4" i="9"/>
  <c r="AG4" i="9"/>
  <c r="AE154" i="9"/>
  <c r="AH114" i="9"/>
  <c r="J43" i="6"/>
  <c r="AA55" i="9"/>
  <c r="Z122" i="9"/>
  <c r="AA132" i="9"/>
  <c r="Z108" i="9"/>
  <c r="Y80" i="9"/>
  <c r="AA87" i="9"/>
  <c r="Z74" i="9"/>
  <c r="Y25" i="9"/>
  <c r="Y45" i="9"/>
  <c r="Y60" i="9"/>
  <c r="AA118" i="9"/>
  <c r="Y78" i="9"/>
  <c r="Z27" i="9"/>
  <c r="Z143" i="9"/>
  <c r="AA98" i="9"/>
  <c r="Y113" i="9"/>
  <c r="Z76" i="9"/>
  <c r="AA27" i="9"/>
  <c r="Y50" i="9"/>
  <c r="AA143" i="9"/>
  <c r="G84" i="13"/>
  <c r="X4" i="9"/>
  <c r="Z128" i="9"/>
  <c r="AA76" i="9"/>
  <c r="Y84" i="9"/>
  <c r="Z44" i="9"/>
  <c r="Z45" i="9"/>
  <c r="AA128" i="9"/>
  <c r="J46" i="6"/>
  <c r="CL125" i="9"/>
  <c r="CC13" i="9"/>
  <c r="CF147" i="9"/>
  <c r="CD147" i="9"/>
  <c r="CE147" i="9"/>
  <c r="CG147" i="9"/>
  <c r="Y132" i="9"/>
  <c r="AA35" i="9"/>
  <c r="AA151" i="9"/>
  <c r="Z46" i="9"/>
  <c r="Y87" i="9"/>
  <c r="D84" i="13"/>
  <c r="V4" i="9"/>
  <c r="V154" i="9" s="1"/>
  <c r="AA109" i="9"/>
  <c r="Z80" i="9"/>
  <c r="Y59" i="9"/>
  <c r="Y124" i="9"/>
  <c r="AA4" i="9"/>
  <c r="J84" i="13"/>
  <c r="Y55" i="9"/>
  <c r="AA45" i="9"/>
  <c r="Z116" i="9"/>
  <c r="AA102" i="9"/>
  <c r="Y91" i="9"/>
  <c r="Z54" i="9"/>
  <c r="Y9" i="9"/>
  <c r="AA116" i="9"/>
  <c r="Y118" i="9"/>
  <c r="Z92" i="9"/>
  <c r="AA54" i="9"/>
  <c r="Y64" i="9"/>
  <c r="Z7" i="9"/>
  <c r="Z49" i="9"/>
  <c r="AA92" i="9"/>
  <c r="CL138" i="9"/>
  <c r="CC138" i="9"/>
  <c r="BF22" i="9"/>
  <c r="BF154" i="9"/>
  <c r="CI51" i="9"/>
  <c r="H40" i="6"/>
  <c r="BC154" i="9"/>
  <c r="CL85" i="9"/>
  <c r="Y46" i="9"/>
  <c r="AA77" i="9"/>
  <c r="AA94" i="9"/>
  <c r="Y151" i="9"/>
  <c r="AA58" i="9"/>
  <c r="Z17" i="9"/>
  <c r="Z132" i="9"/>
  <c r="Y109" i="9"/>
  <c r="AA121" i="9"/>
  <c r="Z87" i="9"/>
  <c r="CH87" i="9" s="1"/>
  <c r="Y26" i="9"/>
  <c r="W4" i="9"/>
  <c r="F84" i="13"/>
  <c r="Z38" i="9"/>
  <c r="Y24" i="9"/>
  <c r="AA49" i="9"/>
  <c r="Y144" i="9"/>
  <c r="Z100" i="9"/>
  <c r="AA62" i="9"/>
  <c r="Y75" i="9"/>
  <c r="Z18" i="9"/>
  <c r="Z139" i="9"/>
  <c r="AA100" i="9"/>
  <c r="Y105" i="9"/>
  <c r="Z26" i="9"/>
  <c r="AA18" i="9"/>
  <c r="Y34" i="9"/>
  <c r="AA139" i="9"/>
  <c r="Y150" i="9"/>
  <c r="Z103" i="9"/>
  <c r="AA26" i="9"/>
  <c r="CD85" i="9"/>
  <c r="CG85" i="9"/>
  <c r="CF85" i="9"/>
  <c r="CE85" i="9"/>
  <c r="CL104" i="9"/>
  <c r="CC104" i="9"/>
  <c r="CL36" i="9"/>
  <c r="CG10" i="9"/>
  <c r="CE10" i="9"/>
  <c r="CD10" i="9"/>
  <c r="CF10" i="9"/>
  <c r="AH147" i="9"/>
  <c r="Y35" i="9"/>
  <c r="AA105" i="9"/>
  <c r="Z77" i="9"/>
  <c r="Y58" i="9"/>
  <c r="AA70" i="9"/>
  <c r="Z35" i="9"/>
  <c r="Z151" i="9"/>
  <c r="Y121" i="9"/>
  <c r="AA16" i="9"/>
  <c r="AA141" i="9"/>
  <c r="Z109" i="9"/>
  <c r="Y102" i="9"/>
  <c r="Z62" i="9"/>
  <c r="Y143" i="9"/>
  <c r="Y119" i="9"/>
  <c r="Z73" i="9"/>
  <c r="AA103" i="9"/>
  <c r="Y129" i="9"/>
  <c r="Z78" i="9"/>
  <c r="AA38" i="9"/>
  <c r="Y52" i="9"/>
  <c r="AA73" i="9"/>
  <c r="Z113" i="9"/>
  <c r="AA78" i="9"/>
  <c r="Y95" i="9"/>
  <c r="Z50" i="9"/>
  <c r="Y4" i="9"/>
  <c r="H84" i="13"/>
  <c r="AA113" i="9"/>
  <c r="Y115" i="9"/>
  <c r="Z84" i="9"/>
  <c r="AA50" i="9"/>
  <c r="CL110" i="9"/>
  <c r="CC110" i="9"/>
  <c r="CG82" i="9"/>
  <c r="CD82" i="9"/>
  <c r="CF82" i="9"/>
  <c r="CE82" i="9"/>
  <c r="CC118" i="9"/>
  <c r="CL87" i="9"/>
  <c r="CL118" i="9"/>
  <c r="CC51" i="9"/>
  <c r="CE93" i="9" l="1"/>
  <c r="CF93" i="9"/>
  <c r="CD93" i="9"/>
  <c r="CC52" i="9"/>
  <c r="CD52" i="9" s="1"/>
  <c r="CD40" i="9"/>
  <c r="CE40" i="9"/>
  <c r="CF40" i="9"/>
  <c r="CG40" i="9"/>
  <c r="CC141" i="9"/>
  <c r="CG21" i="9"/>
  <c r="CD21" i="9"/>
  <c r="CF21" i="9"/>
  <c r="CE21" i="9"/>
  <c r="CG6" i="9"/>
  <c r="CE6" i="9"/>
  <c r="CF6" i="9"/>
  <c r="CD6" i="9"/>
  <c r="CH64" i="9"/>
  <c r="CF117" i="9"/>
  <c r="CE117" i="9"/>
  <c r="CD117" i="9"/>
  <c r="CG117" i="9"/>
  <c r="CC98" i="9"/>
  <c r="CG98" i="9" s="1"/>
  <c r="CG42" i="9"/>
  <c r="CE42" i="9"/>
  <c r="CD42" i="9"/>
  <c r="CF42" i="9"/>
  <c r="Y154" i="9"/>
  <c r="CC151" i="9"/>
  <c r="CH151" i="9"/>
  <c r="CH132" i="9"/>
  <c r="CC132" i="9"/>
  <c r="CH49" i="9"/>
  <c r="CC49" i="9"/>
  <c r="CC92" i="9"/>
  <c r="CH92" i="9"/>
  <c r="CH54" i="9"/>
  <c r="CC54" i="9"/>
  <c r="CC76" i="9"/>
  <c r="CH76" i="9"/>
  <c r="CG97" i="9"/>
  <c r="CE97" i="9"/>
  <c r="CF97" i="9"/>
  <c r="CD97" i="9"/>
  <c r="CC66" i="9"/>
  <c r="CH66" i="9"/>
  <c r="CC136" i="9"/>
  <c r="CH136" i="9"/>
  <c r="CC33" i="9"/>
  <c r="CH33" i="9"/>
  <c r="CC25" i="9"/>
  <c r="CH25" i="9"/>
  <c r="CC75" i="9"/>
  <c r="CH75" i="9"/>
  <c r="CH24" i="9"/>
  <c r="CC24" i="9"/>
  <c r="CH105" i="9"/>
  <c r="CC105" i="9"/>
  <c r="CC102" i="9"/>
  <c r="CH102" i="9"/>
  <c r="CC84" i="9"/>
  <c r="CH84" i="9"/>
  <c r="CH50" i="9"/>
  <c r="CC50" i="9"/>
  <c r="CH129" i="9"/>
  <c r="CC129" i="9"/>
  <c r="CH124" i="9"/>
  <c r="CC124" i="9"/>
  <c r="CC64" i="9"/>
  <c r="CC9" i="9"/>
  <c r="CH9" i="9"/>
  <c r="CC58" i="9"/>
  <c r="CH58" i="9"/>
  <c r="CC35" i="9"/>
  <c r="CH35" i="9"/>
  <c r="CH17" i="9"/>
  <c r="CC17" i="9"/>
  <c r="CH7" i="9"/>
  <c r="CC7" i="9"/>
  <c r="CF52" i="9"/>
  <c r="CH108" i="9"/>
  <c r="CC108" i="9"/>
  <c r="CC86" i="9"/>
  <c r="CH86" i="9"/>
  <c r="CF134" i="9"/>
  <c r="CG134" i="9"/>
  <c r="CE134" i="9"/>
  <c r="CD134" i="9"/>
  <c r="CC16" i="9"/>
  <c r="CH16" i="9"/>
  <c r="CC70" i="9"/>
  <c r="CH70" i="9"/>
  <c r="CF98" i="9"/>
  <c r="CC62" i="9"/>
  <c r="CH62" i="9"/>
  <c r="CC22" i="9"/>
  <c r="CL22" i="9"/>
  <c r="J41" i="6"/>
  <c r="CC80" i="9"/>
  <c r="CH80" i="9"/>
  <c r="CC46" i="9"/>
  <c r="CH46" i="9"/>
  <c r="CC74" i="9"/>
  <c r="CH74" i="9"/>
  <c r="CC11" i="9"/>
  <c r="CH11" i="9"/>
  <c r="CH95" i="9"/>
  <c r="CC95" i="9"/>
  <c r="CH119" i="9"/>
  <c r="CC119" i="9"/>
  <c r="CH68" i="9"/>
  <c r="CC68" i="9"/>
  <c r="CF114" i="9"/>
  <c r="CE114" i="9"/>
  <c r="CG114" i="9"/>
  <c r="CD114" i="9"/>
  <c r="CC87" i="9"/>
  <c r="CH55" i="9"/>
  <c r="CC55" i="9"/>
  <c r="CE51" i="9"/>
  <c r="CD51" i="9"/>
  <c r="CF51" i="9"/>
  <c r="CG51" i="9"/>
  <c r="CE110" i="9"/>
  <c r="CD110" i="9"/>
  <c r="CF110" i="9"/>
  <c r="CG110" i="9"/>
  <c r="CG104" i="9"/>
  <c r="CD104" i="9"/>
  <c r="CF104" i="9"/>
  <c r="CE104" i="9"/>
  <c r="CH103" i="9"/>
  <c r="CC103" i="9"/>
  <c r="CC139" i="9"/>
  <c r="CH139" i="9"/>
  <c r="CC100" i="9"/>
  <c r="CH100" i="9"/>
  <c r="CC38" i="9"/>
  <c r="CH38" i="9"/>
  <c r="CF138" i="9"/>
  <c r="CG138" i="9"/>
  <c r="CE138" i="9"/>
  <c r="CD138" i="9"/>
  <c r="AG154" i="9"/>
  <c r="CC4" i="9"/>
  <c r="Z154" i="9"/>
  <c r="Z155" i="9" s="1"/>
  <c r="CH4" i="9"/>
  <c r="CH115" i="9"/>
  <c r="CC115" i="9"/>
  <c r="CC73" i="9"/>
  <c r="CH73" i="9"/>
  <c r="CC45" i="9"/>
  <c r="CH45" i="9"/>
  <c r="CH128" i="9"/>
  <c r="CC128" i="9"/>
  <c r="CH53" i="9"/>
  <c r="CC53" i="9"/>
  <c r="CC152" i="9"/>
  <c r="CH152" i="9"/>
  <c r="CH90" i="9"/>
  <c r="CC90" i="9"/>
  <c r="CH123" i="9"/>
  <c r="CC123" i="9"/>
  <c r="CH34" i="9"/>
  <c r="CC34" i="9"/>
  <c r="CH18" i="9"/>
  <c r="CC18" i="9"/>
  <c r="CH116" i="9"/>
  <c r="CC116" i="9"/>
  <c r="CC143" i="9"/>
  <c r="CH143" i="9"/>
  <c r="CH122" i="9"/>
  <c r="CC122" i="9"/>
  <c r="AH154" i="9"/>
  <c r="CH29" i="9"/>
  <c r="CC29" i="9"/>
  <c r="CC81" i="9"/>
  <c r="CH81" i="9"/>
  <c r="CH106" i="9"/>
  <c r="CC106" i="9"/>
  <c r="CC101" i="9"/>
  <c r="CH101" i="9"/>
  <c r="CG36" i="9"/>
  <c r="CD36" i="9"/>
  <c r="CE36" i="9"/>
  <c r="CF36" i="9"/>
  <c r="CG118" i="9"/>
  <c r="CF118" i="9"/>
  <c r="CE118" i="9"/>
  <c r="CD118" i="9"/>
  <c r="CH113" i="9"/>
  <c r="CC113" i="9"/>
  <c r="CC78" i="9"/>
  <c r="CH78" i="9"/>
  <c r="CH109" i="9"/>
  <c r="CC109" i="9"/>
  <c r="CC77" i="9"/>
  <c r="CH77" i="9"/>
  <c r="CH26" i="9"/>
  <c r="CC26" i="9"/>
  <c r="CG13" i="9"/>
  <c r="CF13" i="9"/>
  <c r="CE13" i="9"/>
  <c r="CD13" i="9"/>
  <c r="CH44" i="9"/>
  <c r="CC44" i="9"/>
  <c r="CH27" i="9"/>
  <c r="CC27" i="9"/>
  <c r="CH60" i="9"/>
  <c r="CC60" i="9"/>
  <c r="CH150" i="9"/>
  <c r="CC150" i="9"/>
  <c r="CC144" i="9"/>
  <c r="CH144" i="9"/>
  <c r="CH91" i="9"/>
  <c r="CC91" i="9"/>
  <c r="CH59" i="9"/>
  <c r="CC59" i="9"/>
  <c r="CC121" i="9"/>
  <c r="CH121" i="9"/>
  <c r="CC94" i="9"/>
  <c r="CH94" i="9"/>
  <c r="CF141" i="9"/>
  <c r="CG141" i="9"/>
  <c r="CE141" i="9"/>
  <c r="CD141" i="9"/>
  <c r="CD98" i="9" l="1"/>
  <c r="CE52" i="9"/>
  <c r="CE98" i="9"/>
  <c r="CG52" i="9"/>
  <c r="CG94" i="9"/>
  <c r="CE94" i="9"/>
  <c r="CF94" i="9"/>
  <c r="CD94" i="9"/>
  <c r="CD144" i="9"/>
  <c r="CF144" i="9"/>
  <c r="CE144" i="9"/>
  <c r="CG144" i="9"/>
  <c r="CG77" i="9"/>
  <c r="CD77" i="9"/>
  <c r="CF77" i="9"/>
  <c r="CE77" i="9"/>
  <c r="CG101" i="9"/>
  <c r="CD101" i="9"/>
  <c r="CF101" i="9"/>
  <c r="CE101" i="9"/>
  <c r="CE122" i="9"/>
  <c r="CD122" i="9"/>
  <c r="CF122" i="9"/>
  <c r="CG122" i="9"/>
  <c r="CE34" i="9"/>
  <c r="CG34" i="9"/>
  <c r="CF34" i="9"/>
  <c r="CD34" i="9"/>
  <c r="CG53" i="9"/>
  <c r="CF53" i="9"/>
  <c r="CD53" i="9"/>
  <c r="CE53" i="9"/>
  <c r="CF115" i="9"/>
  <c r="CD115" i="9"/>
  <c r="CE115" i="9"/>
  <c r="CG115" i="9"/>
  <c r="CE103" i="9"/>
  <c r="CG103" i="9"/>
  <c r="CD103" i="9"/>
  <c r="CF103" i="9"/>
  <c r="CG87" i="9"/>
  <c r="CE87" i="9"/>
  <c r="CD87" i="9"/>
  <c r="CF87" i="9"/>
  <c r="CE46" i="9"/>
  <c r="CG46" i="9"/>
  <c r="CD46" i="9"/>
  <c r="CF46" i="9"/>
  <c r="CG102" i="9"/>
  <c r="CF102" i="9"/>
  <c r="CD102" i="9"/>
  <c r="CE102" i="9"/>
  <c r="CG25" i="9"/>
  <c r="CF25" i="9"/>
  <c r="CD25" i="9"/>
  <c r="CE25" i="9"/>
  <c r="CG92" i="9"/>
  <c r="CF92" i="9"/>
  <c r="CD92" i="9"/>
  <c r="CE92" i="9"/>
  <c r="CG150" i="9"/>
  <c r="CF150" i="9"/>
  <c r="CE150" i="9"/>
  <c r="CD150" i="9"/>
  <c r="CG109" i="9"/>
  <c r="CD109" i="9"/>
  <c r="CF109" i="9"/>
  <c r="CE109" i="9"/>
  <c r="CD106" i="9"/>
  <c r="CE106" i="9"/>
  <c r="CG106" i="9"/>
  <c r="CF106" i="9"/>
  <c r="CG95" i="9"/>
  <c r="CE95" i="9"/>
  <c r="CF95" i="9"/>
  <c r="CD95" i="9"/>
  <c r="CG35" i="9"/>
  <c r="CF35" i="9"/>
  <c r="CD35" i="9"/>
  <c r="CE35" i="9"/>
  <c r="CF129" i="9"/>
  <c r="CE129" i="9"/>
  <c r="CG129" i="9"/>
  <c r="CD129" i="9"/>
  <c r="CG105" i="9"/>
  <c r="CF105" i="9"/>
  <c r="CE105" i="9"/>
  <c r="CD105" i="9"/>
  <c r="CE49" i="9"/>
  <c r="CD49" i="9"/>
  <c r="CG49" i="9"/>
  <c r="CF49" i="9"/>
  <c r="CG121" i="9"/>
  <c r="CF121" i="9"/>
  <c r="CE121" i="9"/>
  <c r="CD121" i="9"/>
  <c r="CF123" i="9"/>
  <c r="CE123" i="9"/>
  <c r="CG123" i="9"/>
  <c r="CD123" i="9"/>
  <c r="CF128" i="9"/>
  <c r="CE128" i="9"/>
  <c r="CD128" i="9"/>
  <c r="CG128" i="9"/>
  <c r="CG80" i="9"/>
  <c r="CD80" i="9"/>
  <c r="CE80" i="9"/>
  <c r="CF80" i="9"/>
  <c r="CE33" i="9"/>
  <c r="CF33" i="9"/>
  <c r="CD33" i="9"/>
  <c r="CG33" i="9"/>
  <c r="CF59" i="9"/>
  <c r="CE59" i="9"/>
  <c r="CD59" i="9"/>
  <c r="CG59" i="9"/>
  <c r="CG60" i="9"/>
  <c r="CE60" i="9"/>
  <c r="CF60" i="9"/>
  <c r="CD60" i="9"/>
  <c r="CG143" i="9"/>
  <c r="CD143" i="9"/>
  <c r="CF143" i="9"/>
  <c r="CE143" i="9"/>
  <c r="CG38" i="9"/>
  <c r="CD38" i="9"/>
  <c r="CF38" i="9"/>
  <c r="CE38" i="9"/>
  <c r="CG58" i="9"/>
  <c r="CE58" i="9"/>
  <c r="CD58" i="9"/>
  <c r="CF58" i="9"/>
  <c r="CG50" i="9"/>
  <c r="CD50" i="9"/>
  <c r="CE50" i="9"/>
  <c r="CF50" i="9"/>
  <c r="CG24" i="9"/>
  <c r="CF24" i="9"/>
  <c r="CD24" i="9"/>
  <c r="CE24" i="9"/>
  <c r="CD132" i="9"/>
  <c r="CE132" i="9"/>
  <c r="CF132" i="9"/>
  <c r="CG132" i="9"/>
  <c r="CE78" i="9"/>
  <c r="CG78" i="9"/>
  <c r="CD78" i="9"/>
  <c r="CF78" i="9"/>
  <c r="CG81" i="9"/>
  <c r="CD81" i="9"/>
  <c r="CE81" i="9"/>
  <c r="CF81" i="9"/>
  <c r="CG116" i="9"/>
  <c r="CF116" i="9"/>
  <c r="CE116" i="9"/>
  <c r="CD116" i="9"/>
  <c r="CD90" i="9"/>
  <c r="CF90" i="9"/>
  <c r="CE90" i="9"/>
  <c r="CG90" i="9"/>
  <c r="CD4" i="9"/>
  <c r="CG4" i="9"/>
  <c r="CF4" i="9"/>
  <c r="CE4" i="9"/>
  <c r="CG11" i="9"/>
  <c r="CE11" i="9"/>
  <c r="CF11" i="9"/>
  <c r="CD11" i="9"/>
  <c r="CG7" i="9"/>
  <c r="CE7" i="9"/>
  <c r="CF7" i="9"/>
  <c r="CD7" i="9"/>
  <c r="CG136" i="9"/>
  <c r="CF136" i="9"/>
  <c r="CE136" i="9"/>
  <c r="CD136" i="9"/>
  <c r="CG76" i="9"/>
  <c r="CD76" i="9"/>
  <c r="CE76" i="9"/>
  <c r="CF76" i="9"/>
  <c r="CE91" i="9"/>
  <c r="CG91" i="9"/>
  <c r="CF91" i="9"/>
  <c r="CD91" i="9"/>
  <c r="CG27" i="9"/>
  <c r="CD27" i="9"/>
  <c r="CE27" i="9"/>
  <c r="CF27" i="9"/>
  <c r="CE26" i="9"/>
  <c r="CG26" i="9"/>
  <c r="CD26" i="9"/>
  <c r="CF26" i="9"/>
  <c r="CE113" i="9"/>
  <c r="CD113" i="9"/>
  <c r="CF113" i="9"/>
  <c r="CG113" i="9"/>
  <c r="CG29" i="9"/>
  <c r="CF29" i="9"/>
  <c r="CE29" i="9"/>
  <c r="CD29" i="9"/>
  <c r="CE45" i="9"/>
  <c r="CG45" i="9"/>
  <c r="CF45" i="9"/>
  <c r="CD45" i="9"/>
  <c r="CG100" i="9"/>
  <c r="CF100" i="9"/>
  <c r="CD100" i="9"/>
  <c r="CE100" i="9"/>
  <c r="CG68" i="9"/>
  <c r="CE68" i="9"/>
  <c r="CD68" i="9"/>
  <c r="CF68" i="9"/>
  <c r="CG22" i="9"/>
  <c r="CD22" i="9"/>
  <c r="CF22" i="9"/>
  <c r="CE22" i="9"/>
  <c r="CG70" i="9"/>
  <c r="CE70" i="9"/>
  <c r="CD70" i="9"/>
  <c r="CF70" i="9"/>
  <c r="CG86" i="9"/>
  <c r="CE86" i="9"/>
  <c r="CF86" i="9"/>
  <c r="CD86" i="9"/>
  <c r="CG9" i="9"/>
  <c r="CE9" i="9"/>
  <c r="CF9" i="9"/>
  <c r="CD9" i="9"/>
  <c r="CE54" i="9"/>
  <c r="CF54" i="9"/>
  <c r="CD54" i="9"/>
  <c r="CG54" i="9"/>
  <c r="CF18" i="9"/>
  <c r="CE18" i="9"/>
  <c r="CD18" i="9"/>
  <c r="CG18" i="9"/>
  <c r="CG55" i="9"/>
  <c r="CD55" i="9"/>
  <c r="CE55" i="9"/>
  <c r="CF55" i="9"/>
  <c r="CG74" i="9"/>
  <c r="CD74" i="9"/>
  <c r="CF74" i="9"/>
  <c r="CE74" i="9"/>
  <c r="CG108" i="9"/>
  <c r="CF108" i="9"/>
  <c r="CD108" i="9"/>
  <c r="CE108" i="9"/>
  <c r="CD17" i="9"/>
  <c r="CF17" i="9"/>
  <c r="CG17" i="9"/>
  <c r="CE17" i="9"/>
  <c r="CF64" i="9"/>
  <c r="CD64" i="9"/>
  <c r="CE64" i="9"/>
  <c r="CG64" i="9"/>
  <c r="CG84" i="9"/>
  <c r="CD84" i="9"/>
  <c r="CF84" i="9"/>
  <c r="CE84" i="9"/>
  <c r="CE75" i="9"/>
  <c r="CG75" i="9"/>
  <c r="CD75" i="9"/>
  <c r="CF75" i="9"/>
  <c r="CG66" i="9"/>
  <c r="CE66" i="9"/>
  <c r="CF66" i="9"/>
  <c r="CD66" i="9"/>
  <c r="CG151" i="9"/>
  <c r="CF151" i="9"/>
  <c r="CE151" i="9"/>
  <c r="CD151" i="9"/>
  <c r="CG44" i="9"/>
  <c r="CD44" i="9"/>
  <c r="CF44" i="9"/>
  <c r="CE44" i="9"/>
  <c r="CG152" i="9"/>
  <c r="CF152" i="9"/>
  <c r="CD152" i="9"/>
  <c r="CE152" i="9"/>
  <c r="CG73" i="9"/>
  <c r="CF73" i="9"/>
  <c r="CE73" i="9"/>
  <c r="CD73" i="9"/>
  <c r="CG139" i="9"/>
  <c r="CF139" i="9"/>
  <c r="CE139" i="9"/>
  <c r="CD139" i="9"/>
  <c r="CD119" i="9"/>
  <c r="CF119" i="9"/>
  <c r="CE119" i="9"/>
  <c r="CG119" i="9"/>
  <c r="CF62" i="9"/>
  <c r="CG62" i="9"/>
  <c r="CD62" i="9"/>
  <c r="CE62" i="9"/>
  <c r="CG16" i="9"/>
  <c r="CD16" i="9"/>
  <c r="CF16" i="9"/>
  <c r="CE16" i="9"/>
  <c r="CD124" i="9"/>
  <c r="CF124" i="9"/>
  <c r="CE124" i="9"/>
  <c r="CG12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V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X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D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L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M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N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O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P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U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AY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R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S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sharedStrings.xml><?xml version="1.0" encoding="utf-8"?>
<sst xmlns="http://schemas.openxmlformats.org/spreadsheetml/2006/main" count="112765" uniqueCount="1888">
  <si>
    <t> </t>
  </si>
  <si>
    <t>Latest update</t>
  </si>
  <si>
    <t>18th January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</si>
  <si>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</si>
  <si>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</si>
  <si>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</si>
  <si>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</si>
  <si>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</si>
  <si>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</si>
  <si>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</si>
  <si>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</si>
  <si>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</si>
  <si>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</si>
  <si>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</si>
  <si>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</si>
  <si>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</si>
  <si>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</si>
  <si>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</si>
  <si>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</si>
  <si>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</si>
  <si>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</si>
  <si>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</si>
  <si>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</si>
  <si>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</si>
  <si>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(Diane Wu) - latest data - 10th November 2021, tracker updated 11th November 2021</t>
  </si>
  <si>
    <t>dwu3@worldbank.org</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</si>
  <si>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</si>
  <si>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</si>
  <si>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</si>
  <si>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</si>
  <si>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</si>
  <si>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</si>
  <si>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</si>
  <si>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</si>
  <si>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</si>
  <si>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</si>
  <si>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</si>
  <si>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8th November, 2021</t>
  </si>
  <si>
    <t>MATILDEN@iadb.org</t>
  </si>
  <si>
    <t>Gavi Bridge Funding</t>
  </si>
  <si>
    <t>GAVI (Harrison Kimabuthi) - June 17th, 2021; updated July 27th 2021</t>
  </si>
  <si>
    <t>hkiambuthi@gavi.org</t>
  </si>
  <si>
    <t>GAVI COVAX TA to UNICEF</t>
  </si>
  <si>
    <t>UNICEF (Ulla Griffiths); updated 22/07/2021 based on information from Yarlini Balarajan, Updated 12th November (removal of CR)</t>
  </si>
  <si>
    <t>ugriffiths@unicef.org</t>
  </si>
  <si>
    <t>GAVI COVAX TA to WHO</t>
  </si>
  <si>
    <t>WHO (Viktoryia Hladilova)</t>
  </si>
  <si>
    <t>hladilovav@who.int</t>
  </si>
  <si>
    <t>Australia</t>
  </si>
  <si>
    <t>UNICEF (Alison Jenkins); updated 4th January 2022</t>
  </si>
  <si>
    <t>aljenkins@unicef.org
Pascal.Rigaldies@CardnoID.org (DFAT)</t>
  </si>
  <si>
    <t>New Zealand</t>
  </si>
  <si>
    <t>UNICEF (Alison Jenkins) and UNICEF ACT-A HAC Tracker; updated 29th November, 2021</t>
  </si>
  <si>
    <t>aljenkins@unicef.org
dkiernan@unicef.org</t>
  </si>
  <si>
    <t>ELMA Funding</t>
  </si>
  <si>
    <t>UNICEF (Ulla Griffiths). Updated September 23rd 2021</t>
  </si>
  <si>
    <t>JICA Funding</t>
  </si>
  <si>
    <t>UNICEF (Ulla Griffiths)</t>
  </si>
  <si>
    <t>USAID</t>
  </si>
  <si>
    <t>USAID (Carmen Tull and Marc Cunningham) and UNICEF ACT-A HAC Tracker; updated October 12th, 2021</t>
  </si>
  <si>
    <t>ctull@usaid.gov
mcunningham@usaid.gov</t>
  </si>
  <si>
    <t>Japan MoFA (Cold Chain)</t>
  </si>
  <si>
    <t>UNICEF (Mioh Nemoto) and UNICEF ACT-A HAC Tracker; updated 13th December, 2021</t>
  </si>
  <si>
    <t>mnemoto@unicef.org
dkiernan@unicef.org</t>
  </si>
  <si>
    <t>Gavi cold Chain</t>
  </si>
  <si>
    <t>GAVI (Mike Brison) - June 24th, 2021; updated 1st December 2021</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</si>
  <si>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</si>
  <si>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</si>
  <si>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</si>
  <si>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</si>
  <si>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</si>
  <si>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</si>
  <si>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</si>
  <si>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</si>
  <si>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Funding</t>
  </si>
  <si>
    <t>UNICEF (Ulla Griffiths); GAVI (Eshan Vasudeva); Partners Platform; Latest update 17th December 2021</t>
  </si>
  <si>
    <t>ugriffiths@unicef.org
evasudeva@gavi.org</t>
  </si>
  <si>
    <t>BMZ-GAVI (non-CDS grant funds through UNICEF)</t>
  </si>
  <si>
    <t>UNICEF (Yarlini Balarajan and Ibironke Oyatoye); updated 5th January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</si>
  <si>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</si>
  <si>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</si>
  <si>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</si>
  <si>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</si>
  <si>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</si>
  <si>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</si>
  <si>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</si>
  <si>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</si>
  <si>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</si>
  <si>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</si>
  <si>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t>
  </si>
  <si>
    <t>aljenkins@unicef.org
pbosquet@unicef.org</t>
  </si>
  <si>
    <t>Germany - Federal Foreign Office (AA)</t>
  </si>
  <si>
    <t>UNICEF (Ulla Griffiths); 5th January 2022</t>
  </si>
  <si>
    <t>Government of Ireland</t>
  </si>
  <si>
    <t>UNICEF (Alison Jenkins); 5th January 2022</t>
  </si>
  <si>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</si>
  <si>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</si>
  <si>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</si>
  <si>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</si>
  <si>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</si>
  <si>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</si>
  <si>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</si>
  <si>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</si>
  <si>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</si>
  <si>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</si>
  <si>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</si>
  <si>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</si>
  <si>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</si>
  <si>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</si>
  <si>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</si>
  <si>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</si>
  <si>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</si>
  <si>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C19 Vaccine Delivery Funding Dashboard</t>
  </si>
  <si>
    <t>Contacts: Ulla Griffiths (ugriffiths@unicef.org) and Ibironke Oyatoye (ioyatoye@unicef.org)</t>
  </si>
  <si>
    <t>Total Number of Countries</t>
  </si>
  <si>
    <t>Total External Funding*</t>
  </si>
  <si>
    <t>Total Delivery Funding*</t>
  </si>
  <si>
    <t>Delivery Funding % of Total</t>
  </si>
  <si>
    <t>*Funds that have not yet been disaggregated have not been included</t>
  </si>
  <si>
    <t>Number of countries receiving external funding for vaccine delivery by source</t>
  </si>
  <si>
    <t>Number of Countries by Income Group Receiving Delivery Funding from External Sources</t>
  </si>
  <si>
    <t>Regional Breakdown</t>
  </si>
  <si>
    <t>Region</t>
  </si>
  <si>
    <t>Total Funding</t>
  </si>
  <si>
    <t>Delivery Funding</t>
  </si>
  <si>
    <t>Delivery % of Total</t>
  </si>
  <si>
    <t>EAPRO</t>
  </si>
  <si>
    <t>ECARO</t>
  </si>
  <si>
    <t>ESARO</t>
  </si>
  <si>
    <t>WCARO</t>
  </si>
  <si>
    <t>LACRO</t>
  </si>
  <si>
    <t>MENA</t>
  </si>
  <si>
    <t>ROSA</t>
  </si>
  <si>
    <t>*MDBs providing delivery funding include: World Bank, ADB, IDB​; Bilaterals providing delivery funding include: USAID, Japan, Australia, New Zealand​
**Funds that have not been disaggregated by country have not been included</t>
  </si>
  <si>
    <t>*MDBs providing delivery funding include: World Bank, ADB, IDB​; Non-MDB funding includes: Bilaterals providing delivery funding  (USAID, Japan, Australia, New Zealand​), UNICEF, GAVI, Foundations
**Funds that have not been disaggregated by country have not been included</t>
  </si>
  <si>
    <t>Average Vaccine Delivery Funds Per Capita for 30% Population by Income Group (USD)</t>
  </si>
  <si>
    <t>Average Vaccine Delivery Funds Per Capita for 30% Population by Region (USD)</t>
  </si>
  <si>
    <t>Bottom 10 Countries with Lowest Average Vaccine Delivery Funds Per Capita for 30% Population by Country</t>
  </si>
  <si>
    <t>Average Delivery Funds per Capita (30% Pop)</t>
  </si>
  <si>
    <t>(Multiple Items)</t>
  </si>
  <si>
    <t>Country Count</t>
  </si>
  <si>
    <t>Row Labels</t>
  </si>
  <si>
    <t>Sum of Average Delivery Funds per Capita (30% Pop)</t>
  </si>
  <si>
    <t>Algeria</t>
  </si>
  <si>
    <t>Brazil</t>
  </si>
  <si>
    <t>AMC</t>
  </si>
  <si>
    <t>SFC</t>
  </si>
  <si>
    <t>Cuba</t>
  </si>
  <si>
    <t>LIC</t>
  </si>
  <si>
    <t>Iran</t>
  </si>
  <si>
    <t>LMIC</t>
  </si>
  <si>
    <t>Romania</t>
  </si>
  <si>
    <t>UMIC</t>
  </si>
  <si>
    <t>Serbia</t>
  </si>
  <si>
    <t>St. Lucia</t>
  </si>
  <si>
    <t>St. Vincent and the Grenadines</t>
  </si>
  <si>
    <t>Tanzania</t>
  </si>
  <si>
    <t>Thailand</t>
  </si>
  <si>
    <t>Delivery Funding Breakdown by Country</t>
  </si>
  <si>
    <t>Sum of Delivery Funding Total</t>
  </si>
  <si>
    <t>Afghanistan</t>
  </si>
  <si>
    <t>Albania</t>
  </si>
  <si>
    <t>Angola</t>
  </si>
  <si>
    <t>Antigua and Barbuda</t>
  </si>
  <si>
    <t>Argentina</t>
  </si>
  <si>
    <t>Armenia</t>
  </si>
  <si>
    <t>Azerbaijan</t>
  </si>
  <si>
    <t>Bangladesh</t>
  </si>
  <si>
    <t>Belarus</t>
  </si>
  <si>
    <t>Belize</t>
  </si>
  <si>
    <t>Benin</t>
  </si>
  <si>
    <t>Bhutan</t>
  </si>
  <si>
    <t xml:space="preserve">Bolivia </t>
  </si>
  <si>
    <t>*Select filters above to review specific selections of data</t>
  </si>
  <si>
    <t>Bosnia and Herzegovina</t>
  </si>
  <si>
    <t>Botswana</t>
  </si>
  <si>
    <t>Bulgaria</t>
  </si>
  <si>
    <t>Burkina Faso</t>
  </si>
  <si>
    <t>Burundi</t>
  </si>
  <si>
    <t>Cabo Verde</t>
  </si>
  <si>
    <t>Cambodia</t>
  </si>
  <si>
    <t>Cameroon</t>
  </si>
  <si>
    <t xml:space="preserve">CAR </t>
  </si>
  <si>
    <t>Chad</t>
  </si>
  <si>
    <t>Chile</t>
  </si>
  <si>
    <t>China</t>
  </si>
  <si>
    <t>Colombia</t>
  </si>
  <si>
    <t>Comoros</t>
  </si>
  <si>
    <t>Congo, Dem. Rep</t>
  </si>
  <si>
    <t xml:space="preserve">Congo, Rep. </t>
  </si>
  <si>
    <t>Cook Islands</t>
  </si>
  <si>
    <t>Costa Rica</t>
  </si>
  <si>
    <t>Côte d'Ivoire</t>
  </si>
  <si>
    <t>Croatia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</si>
  <si>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</si>
  <si>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</si>
  <si>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</si>
  <si>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</si>
  <si>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</si>
  <si>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</si>
  <si>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</si>
  <si>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</si>
  <si>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</si>
  <si>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</si>
  <si>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</si>
  <si>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</si>
  <si>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</si>
  <si>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</si>
  <si>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</si>
  <si>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</si>
  <si>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</si>
  <si>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</si>
  <si>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</si>
  <si>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</si>
  <si>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</si>
  <si>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</si>
  <si>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</si>
  <si>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</si>
  <si>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</si>
  <si>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</si>
  <si>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</si>
  <si>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</si>
  <si>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</si>
  <si>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</si>
  <si>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</si>
  <si>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</si>
  <si>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</si>
  <si>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</si>
  <si>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</si>
  <si>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</si>
  <si>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</si>
  <si>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</si>
  <si>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</si>
  <si>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</si>
  <si>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</si>
  <si>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</si>
  <si>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</si>
  <si>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</si>
  <si>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</si>
  <si>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</si>
  <si>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</si>
  <si>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</si>
  <si>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</si>
  <si>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</si>
  <si>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</si>
  <si>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</si>
  <si>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</si>
  <si>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</si>
  <si>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</si>
  <si>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Nauru</t>
  </si>
  <si>
    <t>Nepal</t>
  </si>
  <si>
    <t>Nicaragua</t>
  </si>
  <si>
    <t>Niger</t>
  </si>
  <si>
    <t>Nigeria</t>
  </si>
  <si>
    <t>North Macedonia</t>
  </si>
  <si>
    <t>Pakistan</t>
  </si>
  <si>
    <t>Palau</t>
  </si>
  <si>
    <t>Panama</t>
  </si>
  <si>
    <t>Papua New Guinea</t>
  </si>
  <si>
    <t>Paraguay</t>
  </si>
  <si>
    <t>Peru</t>
  </si>
  <si>
    <t>Philippines</t>
  </si>
  <si>
    <t>Poland</t>
  </si>
  <si>
    <t>Russian Federation</t>
  </si>
  <si>
    <t>Rwanda</t>
  </si>
  <si>
    <t>Samoa</t>
  </si>
  <si>
    <t>Sao Tome and Principe</t>
  </si>
  <si>
    <t>Senegal</t>
  </si>
  <si>
    <t>Seychelles</t>
  </si>
  <si>
    <t>Sierra Leone</t>
  </si>
  <si>
    <t>Solomon Islands</t>
  </si>
  <si>
    <t>Somalia</t>
  </si>
  <si>
    <t>South Africa</t>
  </si>
  <si>
    <t>South Sudan</t>
  </si>
  <si>
    <t>Sri Lanka</t>
  </si>
  <si>
    <t>St. Kitts and Nevis</t>
  </si>
  <si>
    <t>State of Palestine/WB &amp; Gaza</t>
  </si>
  <si>
    <t>Sudan</t>
  </si>
  <si>
    <t>Suriname</t>
  </si>
  <si>
    <t>Syrian Arab Republic</t>
  </si>
  <si>
    <t>Tajikistan</t>
  </si>
  <si>
    <t>Timor-Leste</t>
  </si>
  <si>
    <t>Togo</t>
  </si>
  <si>
    <t>Tonga</t>
  </si>
  <si>
    <t>Trinidad and Tobago</t>
  </si>
  <si>
    <t>Tunisia</t>
  </si>
  <si>
    <t>Turkey</t>
  </si>
  <si>
    <t>Turkmenistan</t>
  </si>
  <si>
    <t>Tuvalu</t>
  </si>
  <si>
    <t>Uganda</t>
  </si>
  <si>
    <t>Ukraine</t>
  </si>
  <si>
    <t>Uruguay</t>
  </si>
  <si>
    <t>Uzbekistan</t>
  </si>
  <si>
    <t>Vanuatu</t>
  </si>
  <si>
    <t>Venezuela</t>
  </si>
  <si>
    <t>Vietnam</t>
  </si>
  <si>
    <t>Yemen</t>
  </si>
  <si>
    <t>Zambia</t>
  </si>
  <si>
    <t>Zimbabwe</t>
  </si>
  <si>
    <t>Grand Total</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</si>
  <si>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</si>
  <si>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</si>
  <si>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</si>
  <si>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</si>
  <si>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</si>
  <si>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</si>
  <si>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</si>
  <si>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</si>
  <si>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</si>
  <si>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</si>
  <si>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</si>
  <si>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</si>
  <si>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</si>
  <si>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</si>
  <si>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</si>
  <si>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</si>
  <si>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No. of countries</t>
  </si>
  <si>
    <t>Total Delivery Financing (USD)</t>
  </si>
  <si>
    <t>Total Per Capita (USD)</t>
  </si>
  <si>
    <t>Table 3. External delivery funding by income classification</t>
  </si>
  <si>
    <t>Figure 3. External delivery funding by income classification</t>
  </si>
  <si>
    <t>Income Classification</t>
  </si>
  <si>
    <t>No Income Classification</t>
  </si>
  <si>
    <t>Figure 4. Share of external delivery financing by AMC/SFC status</t>
  </si>
  <si>
    <t>Figure 5. External delivery financing by AMC/SFC status</t>
  </si>
  <si>
    <t>Figure 6. Number of AMC/SFC countries by UNICEF region</t>
  </si>
  <si>
    <t xml:space="preserve">                </t>
  </si>
  <si>
    <t>Table 4. External delivery financing by financing source</t>
  </si>
  <si>
    <t>Funding Source</t>
  </si>
  <si>
    <t>Financing for delivery (USD)</t>
  </si>
  <si>
    <t>Utilization (USD)</t>
  </si>
  <si>
    <t>UNICEF HAC contributions (USD)</t>
  </si>
  <si>
    <t>World Bank</t>
  </si>
  <si>
    <t>Asian Development Bank</t>
  </si>
  <si>
    <t>Inter-American Development Bank</t>
  </si>
  <si>
    <t>Australia (DFAT)</t>
  </si>
  <si>
    <t>CDC</t>
  </si>
  <si>
    <t>Japan - Ministry of Foreign Affairs</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</si>
  <si>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</si>
  <si>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</si>
  <si>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</si>
  <si>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</si>
  <si>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</si>
  <si>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</si>
  <si>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</si>
  <si>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</si>
  <si>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</si>
  <si>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</si>
  <si>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</si>
  <si>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</si>
  <si>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</si>
  <si>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</si>
  <si>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</si>
  <si>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</si>
  <si>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</si>
  <si>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</si>
  <si>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(All)</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</si>
  <si>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</si>
  <si>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</si>
  <si>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</si>
  <si>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</si>
  <si>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</si>
  <si>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</si>
  <si>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</si>
  <si>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</si>
  <si>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</si>
  <si>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</si>
  <si>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</si>
  <si>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</si>
  <si>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</si>
  <si>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</si>
  <si>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</si>
  <si>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</si>
  <si>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</si>
  <si>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</si>
  <si>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</si>
  <si>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</si>
  <si>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</si>
  <si>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</si>
  <si>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</si>
  <si>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Funding</t>
  </si>
  <si>
    <t>Funding Source Type</t>
  </si>
  <si>
    <t>Sum of Funding Amount</t>
  </si>
  <si>
    <t>MDB</t>
  </si>
  <si>
    <t>Bilateral</t>
  </si>
  <si>
    <t>Intl. Org</t>
  </si>
  <si>
    <t>Recipient</t>
  </si>
  <si>
    <t>Total external financing</t>
  </si>
  <si>
    <t>Total per capita</t>
  </si>
  <si>
    <t>Gavi CDS EAW</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</si>
  <si>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</si>
  <si>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</si>
  <si>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</si>
  <si>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</si>
  <si>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</si>
  <si>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</si>
  <si>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</si>
  <si>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</si>
  <si>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</si>
  <si>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</si>
  <si>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</si>
  <si>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</si>
  <si>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</si>
  <si>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</si>
  <si>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</si>
  <si>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</si>
  <si>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</si>
  <si>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</si>
  <si>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</si>
  <si>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</si>
  <si>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</si>
  <si>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</si>
  <si>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</si>
  <si>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</si>
  <si>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</si>
  <si>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</si>
  <si>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</si>
  <si>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</si>
  <si>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</si>
  <si>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</si>
  <si>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</si>
  <si>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</si>
  <si>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</si>
  <si>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</si>
  <si>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</si>
  <si>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</si>
  <si>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</si>
  <si>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</si>
  <si>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</si>
  <si>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</si>
  <si>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</si>
  <si>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</si>
  <si>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ISO Code</t>
  </si>
  <si>
    <t>Country Name</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</si>
  <si>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</si>
  <si>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</si>
  <si>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</si>
  <si>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</si>
  <si>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</si>
  <si>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</si>
  <si>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</si>
  <si>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</si>
  <si>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</si>
  <si>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</si>
  <si>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</si>
  <si>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</si>
  <si>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</si>
  <si>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</si>
  <si>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</si>
  <si>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</si>
  <si>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</si>
  <si>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</si>
  <si>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</si>
  <si>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</si>
  <si>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</si>
  <si>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</si>
  <si>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</si>
  <si>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</si>
  <si>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</si>
  <si>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</si>
  <si>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</si>
  <si>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</si>
  <si>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</si>
  <si>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</si>
  <si>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</si>
  <si>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</si>
  <si>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</si>
  <si>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</si>
  <si>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</si>
  <si>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</si>
  <si>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</si>
  <si>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</si>
  <si>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</si>
  <si>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</si>
  <si>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</si>
  <si>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</si>
  <si>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t>
  </si>
  <si>
    <t>Gavi Cold Chain - Application</t>
  </si>
  <si>
    <t>Gavi Cold Chain - Disbursement</t>
  </si>
  <si>
    <t>CDS - Administration Modality</t>
  </si>
  <si>
    <t>CDS EAW Status</t>
  </si>
  <si>
    <t>CDS EAW Amount</t>
  </si>
  <si>
    <t>CDS Needs-based status</t>
  </si>
  <si>
    <t>CDS Needs-based Amount</t>
  </si>
  <si>
    <t xml:space="preserve">Other private donations </t>
  </si>
  <si>
    <t>BMZ-GAVI</t>
  </si>
  <si>
    <t>BMGF</t>
  </si>
  <si>
    <t>ECHO</t>
  </si>
  <si>
    <t>Ireland</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</si>
  <si>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</si>
  <si>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</si>
  <si>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</si>
  <si>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</si>
  <si>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</si>
  <si>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</si>
  <si>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</si>
  <si>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</si>
  <si>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</si>
  <si>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</si>
  <si>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</si>
  <si>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</si>
  <si>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</si>
  <si>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</si>
  <si>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HAC</t>
  </si>
  <si>
    <t>Total Gavi</t>
  </si>
  <si>
    <t>World Bank Financing Instruments</t>
  </si>
  <si>
    <t>IsDB</t>
  </si>
  <si>
    <t>AfDB Eligibility</t>
  </si>
  <si>
    <t>Inter-American Development Bank (IDB)</t>
  </si>
  <si>
    <t>USAID Funding (Total country envelope)</t>
  </si>
  <si>
    <t>UNICEF ACT-A HAC (Thematic and Flexible Funding Allocation)</t>
  </si>
  <si>
    <t>Australia (Multi-Year Contributions)</t>
  </si>
  <si>
    <t>GAVI Cold Chain</t>
  </si>
  <si>
    <t>Covid-19 Delivery Support (CDS)</t>
  </si>
  <si>
    <t>30% of population</t>
  </si>
  <si>
    <t>40% of Population</t>
  </si>
  <si>
    <t>70% of population</t>
  </si>
  <si>
    <t>100% of population</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</si>
  <si>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</si>
  <si>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</si>
  <si>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</si>
  <si>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</si>
  <si>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</si>
  <si>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</si>
  <si>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</si>
  <si>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</si>
  <si>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</si>
  <si>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</si>
  <si>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</si>
  <si>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</si>
  <si>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</si>
  <si>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Disbursement</t>
  </si>
  <si>
    <t>Funds Administration Modality</t>
  </si>
  <si>
    <t>Total Population (Linksbridge + UN Pop)</t>
  </si>
  <si>
    <t>30% of Total Population (Linksbridge + UN Pop)</t>
  </si>
  <si>
    <t>Total MDB - Delivery Funding</t>
  </si>
  <si>
    <t>Total Bilateral - Delivery Funding</t>
  </si>
  <si>
    <t>Total Foundation/Private - Delivery Funding</t>
  </si>
  <si>
    <t>Total HAC - Delivery Funding</t>
  </si>
  <si>
    <t>Total Gavi - Delivery Funding</t>
  </si>
  <si>
    <t>AFG</t>
  </si>
  <si>
    <t>Yes</t>
  </si>
  <si>
    <t>High</t>
  </si>
  <si>
    <t>ALB</t>
  </si>
  <si>
    <t>No</t>
  </si>
  <si>
    <t>DZA</t>
  </si>
  <si>
    <t>N/A</t>
  </si>
  <si>
    <t>AGO</t>
  </si>
  <si>
    <t>…</t>
  </si>
  <si>
    <t>ATG</t>
  </si>
  <si>
    <t>HIC</t>
  </si>
  <si>
    <t>ARG</t>
  </si>
  <si>
    <t>Loan</t>
  </si>
  <si>
    <t>ARM</t>
  </si>
  <si>
    <t>AZE</t>
  </si>
  <si>
    <t>BRB</t>
  </si>
  <si>
    <t>Barbados</t>
  </si>
  <si>
    <t>BGD</t>
  </si>
  <si>
    <t>Low</t>
  </si>
  <si>
    <t>BLR</t>
  </si>
  <si>
    <t>BLZ</t>
  </si>
  <si>
    <t>BEN</t>
  </si>
  <si>
    <t>Moderate</t>
  </si>
  <si>
    <t>BTN</t>
  </si>
  <si>
    <t>BOL</t>
  </si>
  <si>
    <t>BIH</t>
  </si>
  <si>
    <t>BWA</t>
  </si>
  <si>
    <t>BRA</t>
  </si>
  <si>
    <t>BGR</t>
  </si>
  <si>
    <t>BFA</t>
  </si>
  <si>
    <t>BDI</t>
  </si>
  <si>
    <t>CPV</t>
  </si>
  <si>
    <t>KHM</t>
  </si>
  <si>
    <t>CMR</t>
  </si>
  <si>
    <t>CAF</t>
  </si>
  <si>
    <t/>
  </si>
  <si>
    <t>TCD</t>
  </si>
  <si>
    <t>CHL</t>
  </si>
  <si>
    <t>CHN</t>
  </si>
  <si>
    <t>COL</t>
  </si>
  <si>
    <t>COM</t>
  </si>
  <si>
    <t>COD</t>
  </si>
  <si>
    <t>COG</t>
  </si>
  <si>
    <t>In distress</t>
  </si>
  <si>
    <t>COK</t>
  </si>
  <si>
    <t>CRI</t>
  </si>
  <si>
    <t>CIV</t>
  </si>
  <si>
    <t>HRV</t>
  </si>
  <si>
    <t>CUB</t>
  </si>
  <si>
    <t>DJI</t>
  </si>
  <si>
    <t>DMA</t>
  </si>
  <si>
    <t>DOM</t>
  </si>
  <si>
    <t>ECU</t>
  </si>
  <si>
    <t>EGY</t>
  </si>
  <si>
    <t>SLV</t>
  </si>
  <si>
    <t>GNQ</t>
  </si>
  <si>
    <t>ERI</t>
  </si>
  <si>
    <t>SWZ</t>
  </si>
  <si>
    <t>ETH</t>
  </si>
  <si>
    <t>FJI</t>
  </si>
  <si>
    <t>GAB</t>
  </si>
  <si>
    <t>GMB</t>
  </si>
  <si>
    <t>GEO</t>
  </si>
  <si>
    <t>GHA</t>
  </si>
  <si>
    <t>GRD</t>
  </si>
  <si>
    <t>GTM</t>
  </si>
  <si>
    <t>GIN</t>
  </si>
  <si>
    <t>GNB</t>
  </si>
  <si>
    <t>GUY</t>
  </si>
  <si>
    <t>HTI</t>
  </si>
  <si>
    <t>HND</t>
  </si>
  <si>
    <t>IND</t>
  </si>
  <si>
    <t>IDN</t>
  </si>
  <si>
    <t>IRN</t>
  </si>
  <si>
    <t>IRQ</t>
  </si>
  <si>
    <t>JAM</t>
  </si>
  <si>
    <t>JOR</t>
  </si>
  <si>
    <t>KAZ</t>
  </si>
  <si>
    <t>KEN</t>
  </si>
  <si>
    <t>KIR</t>
  </si>
  <si>
    <t>PRK</t>
  </si>
  <si>
    <t>XKX</t>
  </si>
  <si>
    <t>KGZ</t>
  </si>
  <si>
    <t>LAO</t>
  </si>
  <si>
    <t>LBN</t>
  </si>
  <si>
    <t>LSO</t>
  </si>
  <si>
    <t>LBR</t>
  </si>
  <si>
    <t>LBY</t>
  </si>
  <si>
    <t>MDG</t>
  </si>
  <si>
    <t>MWI</t>
  </si>
  <si>
    <t>MYS</t>
  </si>
  <si>
    <t>MDV</t>
  </si>
  <si>
    <t>MLI</t>
  </si>
  <si>
    <t>MHL</t>
  </si>
  <si>
    <t>MRT</t>
  </si>
  <si>
    <t>MUS</t>
  </si>
  <si>
    <t>MEX</t>
  </si>
  <si>
    <t>FSM</t>
  </si>
  <si>
    <t>MDA</t>
  </si>
  <si>
    <t>MNG</t>
  </si>
  <si>
    <t>MNE</t>
  </si>
  <si>
    <t>MAR</t>
  </si>
  <si>
    <t>MOZ</t>
  </si>
  <si>
    <t>MMR</t>
  </si>
  <si>
    <t>NAM</t>
  </si>
  <si>
    <t>NRU</t>
  </si>
  <si>
    <t>NPL</t>
  </si>
  <si>
    <t>NIC</t>
  </si>
  <si>
    <t>NER</t>
  </si>
  <si>
    <t>NGA</t>
  </si>
  <si>
    <t>MKD</t>
  </si>
  <si>
    <t>PAK</t>
  </si>
  <si>
    <t>PLW</t>
  </si>
  <si>
    <t>PAN</t>
  </si>
  <si>
    <t>PNG</t>
  </si>
  <si>
    <t>PRY</t>
  </si>
  <si>
    <t>PER</t>
  </si>
  <si>
    <t>PHL</t>
  </si>
  <si>
    <t>POL</t>
  </si>
  <si>
    <t>ROU</t>
  </si>
  <si>
    <t>RUS</t>
  </si>
  <si>
    <t>RWA</t>
  </si>
  <si>
    <t>WSM</t>
  </si>
  <si>
    <t>STP</t>
  </si>
  <si>
    <t>SEN</t>
  </si>
  <si>
    <t>SRB</t>
  </si>
  <si>
    <t>SYC</t>
  </si>
  <si>
    <t>SLE</t>
  </si>
  <si>
    <t>SLB</t>
  </si>
  <si>
    <t>SOM</t>
  </si>
  <si>
    <t>ZAF</t>
  </si>
  <si>
    <t>SSD</t>
  </si>
  <si>
    <t>LKA</t>
  </si>
  <si>
    <t>KNA</t>
  </si>
  <si>
    <t>LCA</t>
  </si>
  <si>
    <t>VCT</t>
  </si>
  <si>
    <t>PSE</t>
  </si>
  <si>
    <t>SDN</t>
  </si>
  <si>
    <t>SUR</t>
  </si>
  <si>
    <t>SYR</t>
  </si>
  <si>
    <t>TJK</t>
  </si>
  <si>
    <t>TZA</t>
  </si>
  <si>
    <t>THA</t>
  </si>
  <si>
    <t>TLS</t>
  </si>
  <si>
    <t>TGO</t>
  </si>
  <si>
    <t>TON</t>
  </si>
  <si>
    <t>TTO</t>
  </si>
  <si>
    <t>TUN</t>
  </si>
  <si>
    <t>TUR</t>
  </si>
  <si>
    <t>TKM</t>
  </si>
  <si>
    <t>TUV</t>
  </si>
  <si>
    <t>UGA</t>
  </si>
  <si>
    <t>UKR</t>
  </si>
  <si>
    <t>URY</t>
  </si>
  <si>
    <t>UZB</t>
  </si>
  <si>
    <t>VUT</t>
  </si>
  <si>
    <t>VEN</t>
  </si>
  <si>
    <t>VNM</t>
  </si>
  <si>
    <t>YEM</t>
  </si>
  <si>
    <t>ZMB</t>
  </si>
  <si>
    <t>ZWE</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</si>
  <si>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</si>
  <si>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</si>
  <si>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</si>
  <si>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</si>
  <si>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</si>
  <si>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</si>
  <si>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</si>
  <si>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</si>
  <si>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</si>
  <si>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</si>
  <si>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</si>
  <si>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</si>
  <si>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</si>
  <si>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</si>
  <si>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</si>
  <si>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</si>
  <si>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</si>
  <si>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</si>
  <si>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</si>
  <si>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</si>
  <si>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</si>
  <si>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</si>
  <si>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</si>
  <si>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</si>
  <si>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</si>
  <si>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</si>
  <si>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</si>
  <si>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</si>
  <si>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</si>
  <si>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</si>
  <si>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Funding Mechanism</t>
  </si>
  <si>
    <t>Year</t>
  </si>
  <si>
    <t>Allocation Sub-Type</t>
  </si>
  <si>
    <t>Funding Amount</t>
  </si>
  <si>
    <t>Funding Status</t>
  </si>
  <si>
    <t>Disbursement Amount</t>
  </si>
  <si>
    <t>HAC</t>
  </si>
  <si>
    <t>AMC/SFC</t>
  </si>
  <si>
    <t>Total population</t>
  </si>
  <si>
    <t>IMR Watchlist</t>
  </si>
  <si>
    <t>SIDS</t>
  </si>
  <si>
    <t>Risk of Debt Distress</t>
  </si>
  <si>
    <t>Multi-Year</t>
  </si>
  <si>
    <t>Vaccine Procurement</t>
  </si>
  <si>
    <t>Confirmed</t>
  </si>
  <si>
    <t>Other</t>
  </si>
  <si>
    <t>Islamic Development Bank</t>
  </si>
  <si>
    <t>Cold Chain</t>
  </si>
  <si>
    <t>UNICEF HAC</t>
  </si>
  <si>
    <t>Remove</t>
  </si>
  <si>
    <t>Population Information</t>
  </si>
  <si>
    <t>Unallocated</t>
  </si>
  <si>
    <t>Mastercard Foundation</t>
  </si>
  <si>
    <t>Africa CDC</t>
  </si>
  <si>
    <t>Unconfirmed</t>
  </si>
  <si>
    <t>U.S. Government</t>
  </si>
  <si>
    <t>USAID &amp; CDC</t>
  </si>
  <si>
    <t>COVID-19 Vaccine Delivery Funding</t>
  </si>
  <si>
    <t>Funding sources highlighted in orange denotes contributions to UNICEF HAC</t>
  </si>
  <si>
    <t xml:space="preserve">Select Region </t>
  </si>
  <si>
    <t xml:space="preserve"> WB - Vaccine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</si>
  <si>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</si>
  <si>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</si>
  <si>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</si>
  <si>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</si>
  <si>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</si>
  <si>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</si>
  <si>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</si>
  <si>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</si>
  <si>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</si>
  <si>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</si>
  <si>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</si>
  <si>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</si>
  <si>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</si>
  <si>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</si>
  <si>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</si>
  <si>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</si>
  <si>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</si>
  <si>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</si>
  <si>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ECHO</t>
  </si>
  <si>
    <t xml:space="preserve"> USAID Funding</t>
  </si>
  <si>
    <t>-of which is USAID contributions to the HAC</t>
  </si>
  <si>
    <t xml:space="preserve"> Japan MoFA funding (Cold Chain)</t>
  </si>
  <si>
    <t xml:space="preserve"> Germany - Federal Foreign Office (AA)</t>
  </si>
  <si>
    <t xml:space="preserve"> ELMA Funding </t>
  </si>
  <si>
    <t xml:space="preserve"> Other private donations </t>
  </si>
  <si>
    <t xml:space="preserve"> BMGF</t>
  </si>
  <si>
    <t>UNICEF (Thematic and flexible funding)  ACT-A HAC Allocation</t>
  </si>
  <si>
    <t xml:space="preserve"> Total MDB</t>
  </si>
  <si>
    <t xml:space="preserve"> Total Bilateral (incl. ECHO)</t>
  </si>
  <si>
    <t xml:space="preserve"> Total Foundation/Private</t>
  </si>
  <si>
    <t xml:space="preserve"> Total UNICEF HAC</t>
  </si>
  <si>
    <t xml:space="preserve"> Total Gavi</t>
  </si>
  <si>
    <t xml:space="preserve"> Total External Financing for Vaccine Delivery</t>
  </si>
  <si>
    <t xml:space="preserve"> Total External Financing for Vaccine Delivery per capita (30% of Pop.)</t>
  </si>
  <si>
    <t>1. No funding</t>
  </si>
  <si>
    <t>2. Less than US$ 1</t>
  </si>
  <si>
    <t>3. Between US$ 1 and US$ 3</t>
  </si>
  <si>
    <t>4. Between US$ 3 and US$ 5</t>
  </si>
  <si>
    <t>5. Between US$ 5 and US$ 10</t>
  </si>
  <si>
    <t>6. Between US$ 10 and US$ 20</t>
  </si>
  <si>
    <t>7. Above US$ 20</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</si>
  <si>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</si>
  <si>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</si>
  <si>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</si>
  <si>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</si>
  <si>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</si>
  <si>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</si>
  <si>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</si>
  <si>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</si>
  <si>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</si>
  <si>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</si>
  <si>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</si>
  <si>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</si>
  <si>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</si>
  <si>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</si>
  <si>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</si>
  <si>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</si>
  <si>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</si>
  <si>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</si>
  <si>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</si>
  <si>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</si>
  <si>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</si>
  <si>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</si>
  <si>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</si>
  <si>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</si>
  <si>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</si>
  <si>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</si>
  <si>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</si>
  <si>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</si>
  <si>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</si>
  <si>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</si>
  <si>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</si>
  <si>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</si>
  <si>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</si>
  <si>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</si>
  <si>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</si>
  <si>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</si>
  <si>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</si>
  <si>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</si>
  <si>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</si>
  <si>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</si>
  <si>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</si>
  <si>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</si>
  <si>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</si>
  <si>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</si>
  <si>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</si>
  <si>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</si>
  <si>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</si>
  <si>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</si>
  <si>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</si>
  <si>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</si>
  <si>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</si>
  <si>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</si>
  <si>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</si>
  <si>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</si>
  <si>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</si>
  <si>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</si>
  <si>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</si>
  <si>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</si>
  <si>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</si>
  <si>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</si>
  <si>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</si>
  <si>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</si>
  <si>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</si>
  <si>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</si>
  <si>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</si>
  <si>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</si>
  <si>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</si>
  <si>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</si>
  <si>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</si>
  <si>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</si>
  <si>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</si>
  <si>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</si>
  <si>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</si>
  <si>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</si>
  <si>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</si>
  <si>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</si>
  <si>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</si>
  <si>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</si>
  <si>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</si>
  <si>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</si>
  <si>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</si>
  <si>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</si>
  <si>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</si>
  <si>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</si>
  <si>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</si>
  <si>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</si>
  <si>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</si>
  <si>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</si>
  <si>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</si>
  <si>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</si>
  <si>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</si>
  <si>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</si>
  <si>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</si>
  <si>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</si>
  <si>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</si>
  <si>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</si>
  <si>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</si>
  <si>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</si>
  <si>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</si>
  <si>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</si>
  <si>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</si>
  <si>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</si>
  <si>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</si>
  <si>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</si>
  <si>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</si>
  <si>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</si>
  <si>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</si>
  <si>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</si>
  <si>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</si>
  <si>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</si>
  <si>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</si>
  <si>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</si>
  <si>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</si>
  <si>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</si>
  <si>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</si>
  <si>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</si>
  <si>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</si>
  <si>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</si>
  <si>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</si>
  <si>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</si>
  <si>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</si>
  <si>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</si>
  <si>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</si>
  <si>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</si>
  <si>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</si>
  <si>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</si>
  <si>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</si>
  <si>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</si>
  <si>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</si>
  <si>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</si>
  <si>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</si>
  <si>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</si>
  <si>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</si>
  <si>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</si>
  <si>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</si>
  <si>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</si>
  <si>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</si>
  <si>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</si>
  <si>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</si>
  <si>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</si>
  <si>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</si>
  <si>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</si>
  <si>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</si>
  <si>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</si>
  <si>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</si>
  <si>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</si>
  <si>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</si>
  <si>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</si>
  <si>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</si>
  <si>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</si>
  <si>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</si>
  <si>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</si>
  <si>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</si>
  <si>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</si>
  <si>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</si>
  <si>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</si>
  <si>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</si>
  <si>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</si>
  <si>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</si>
  <si>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</si>
  <si>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</si>
  <si>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</si>
  <si>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</si>
  <si>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</si>
  <si>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</si>
  <si>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</si>
  <si>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</si>
  <si>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</si>
  <si>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</si>
  <si>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</si>
  <si>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</si>
  <si>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</si>
  <si>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</si>
  <si>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</si>
  <si>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</si>
  <si>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</si>
  <si>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</si>
  <si>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</si>
  <si>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</si>
  <si>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</si>
  <si>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</si>
  <si>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</si>
  <si>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</si>
  <si>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</si>
  <si>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</si>
  <si>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</si>
  <si>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</si>
  <si>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</si>
  <si>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</si>
  <si>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</si>
  <si>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</si>
  <si>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</si>
  <si>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</si>
  <si>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</si>
  <si>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</si>
  <si>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</si>
  <si>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</si>
  <si>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</si>
  <si>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</si>
  <si>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</si>
  <si>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</si>
  <si>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</si>
  <si>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</si>
  <si>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</si>
  <si>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</si>
  <si>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</si>
  <si>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</si>
  <si>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</si>
  <si>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</si>
  <si>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</si>
  <si>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</si>
  <si>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</si>
  <si>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</si>
  <si>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</si>
  <si>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</si>
  <si>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</si>
  <si>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</si>
  <si>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</si>
  <si>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</si>
  <si>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</si>
  <si>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</si>
  <si>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</si>
  <si>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</si>
  <si>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</si>
  <si>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Pakistan (restructuring)</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</si>
  <si>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</si>
  <si>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</si>
  <si>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</si>
  <si>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</si>
  <si>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</si>
  <si>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</si>
  <si>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</si>
  <si>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</si>
  <si>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</si>
  <si>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</si>
  <si>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</si>
  <si>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</si>
  <si>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</si>
  <si>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</si>
  <si>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</si>
  <si>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</si>
  <si>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</si>
  <si>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</si>
  <si>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</si>
  <si>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</si>
  <si>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</si>
  <si>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</si>
  <si>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</si>
  <si>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</si>
  <si>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</si>
  <si>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</si>
  <si>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</si>
  <si>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</si>
  <si>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</si>
  <si>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</si>
  <si>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</si>
  <si>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</si>
  <si>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</si>
  <si>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</si>
  <si>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</si>
  <si>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</si>
  <si>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</si>
  <si>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</si>
  <si>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</si>
  <si>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</si>
  <si>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</si>
  <si>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</si>
  <si>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</si>
  <si>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</si>
  <si>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</si>
  <si>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</si>
  <si>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</si>
  <si>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</si>
  <si>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</si>
  <si>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</si>
  <si>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</si>
  <si>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</si>
  <si>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</si>
  <si>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</si>
  <si>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</si>
  <si>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</si>
  <si>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</si>
  <si>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</si>
  <si>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</si>
  <si>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</si>
  <si>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</si>
  <si>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</si>
  <si>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</si>
  <si>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</si>
  <si>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</si>
  <si>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</si>
  <si>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</si>
  <si>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</si>
  <si>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</si>
  <si>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</si>
  <si>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</si>
  <si>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</si>
  <si>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</si>
  <si>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</si>
  <si>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</si>
  <si>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</si>
  <si>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</si>
  <si>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</si>
  <si>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</si>
  <si>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</si>
  <si>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</si>
  <si>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</si>
  <si>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</si>
  <si>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</si>
  <si>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</si>
  <si>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</si>
  <si>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</si>
  <si>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</si>
  <si>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</si>
  <si>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</si>
  <si>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</si>
  <si>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</si>
  <si>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</si>
  <si>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</si>
  <si>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</si>
  <si>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</si>
  <si>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</si>
  <si>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</si>
  <si>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</si>
  <si>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</si>
  <si>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</si>
  <si>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</si>
  <si>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</si>
  <si>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</si>
  <si>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</si>
  <si>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</si>
  <si>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</si>
  <si>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</si>
  <si>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</si>
  <si>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</si>
  <si>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</si>
  <si>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</si>
  <si>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</si>
  <si>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</si>
  <si>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</si>
  <si>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</si>
  <si>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</si>
  <si>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</si>
  <si>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</si>
  <si>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</si>
  <si>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</si>
  <si>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</si>
  <si>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</si>
  <si>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</si>
  <si>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</si>
  <si>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</si>
  <si>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</si>
  <si>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</si>
  <si>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</si>
  <si>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</si>
  <si>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</si>
  <si>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</si>
  <si>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</si>
  <si>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</si>
  <si>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</si>
  <si>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</si>
  <si>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</si>
  <si>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</si>
  <si>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</si>
  <si>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</si>
  <si>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</si>
  <si>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</si>
  <si>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</si>
  <si>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</si>
  <si>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</si>
  <si>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</si>
  <si>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</si>
  <si>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</si>
  <si>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</si>
  <si>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</si>
  <si>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</si>
  <si>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</si>
  <si>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</si>
  <si>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</si>
  <si>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</si>
  <si>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</si>
  <si>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</si>
  <si>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</si>
  <si>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</si>
  <si>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</si>
  <si>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</si>
  <si>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</si>
  <si>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</si>
  <si>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</si>
  <si>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</si>
  <si>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</si>
  <si>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</si>
  <si>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</si>
  <si>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</si>
  <si>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</si>
  <si>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</si>
  <si>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</si>
  <si>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</si>
  <si>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</si>
  <si>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</si>
  <si>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</si>
  <si>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</si>
  <si>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</si>
  <si>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</si>
  <si>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</si>
  <si>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</si>
  <si>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</si>
  <si>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</si>
  <si>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</si>
  <si>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</si>
  <si>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</si>
  <si>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</si>
  <si>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</si>
  <si>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</si>
  <si>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</si>
  <si>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</si>
  <si>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</si>
  <si>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</si>
  <si>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</si>
  <si>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</si>
  <si>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</si>
  <si>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</si>
  <si>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</si>
  <si>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</si>
  <si>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</si>
  <si>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</si>
  <si>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</si>
  <si>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</si>
  <si>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</si>
  <si>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</si>
  <si>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</si>
  <si>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</si>
  <si>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</si>
  <si>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</si>
  <si>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</si>
  <si>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</si>
  <si>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</si>
  <si>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</si>
  <si>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</si>
  <si>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</si>
  <si>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</si>
  <si>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</si>
  <si>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</si>
  <si>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</si>
  <si>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</si>
  <si>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</si>
  <si>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</si>
  <si>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</si>
  <si>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</si>
  <si>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</si>
  <si>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</si>
  <si>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</si>
  <si>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</si>
  <si>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</si>
  <si>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</si>
  <si>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</si>
  <si>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</si>
  <si>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</si>
  <si>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</si>
  <si>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</si>
  <si>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</si>
  <si>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</si>
  <si>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</si>
  <si>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 xml:space="preserve">Bhutan </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</si>
  <si>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</si>
  <si>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</si>
  <si>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</si>
  <si>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</si>
  <si>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</si>
  <si>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</si>
  <si>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</si>
  <si>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</si>
  <si>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</si>
  <si>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</si>
  <si>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</si>
  <si>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</si>
  <si>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</si>
  <si>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</si>
  <si>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</si>
  <si>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</si>
  <si>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</si>
  <si>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</si>
  <si>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</si>
  <si>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</si>
  <si>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</si>
  <si>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</si>
  <si>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</si>
  <si>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</si>
  <si>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</si>
  <si>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</si>
  <si>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</si>
  <si>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</si>
  <si>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</si>
  <si>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</si>
  <si>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</si>
  <si>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</si>
  <si>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</si>
  <si>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</si>
  <si>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</si>
  <si>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</si>
  <si>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</si>
  <si>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</si>
  <si>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</si>
  <si>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</si>
  <si>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</si>
  <si>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</si>
  <si>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</si>
  <si>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</si>
  <si>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</si>
  <si>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</si>
  <si>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</si>
  <si>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</si>
  <si>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</si>
  <si>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</si>
  <si>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</si>
  <si>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</si>
  <si>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</si>
  <si>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Mozambique (AF)</t>
  </si>
  <si>
    <t>P178068</t>
  </si>
  <si>
    <t>P175848</t>
  </si>
  <si>
    <t>P176345</t>
  </si>
  <si>
    <t>P177076</t>
  </si>
  <si>
    <t>P173916</t>
  </si>
  <si>
    <t>P173796</t>
  </si>
  <si>
    <t>P174717</t>
  </si>
  <si>
    <t>P178181</t>
  </si>
  <si>
    <t>P175953</t>
  </si>
  <si>
    <t>Philippines (AF)</t>
  </si>
  <si>
    <t>P177884</t>
  </si>
  <si>
    <t>Philippines (restructuring)</t>
  </si>
  <si>
    <t>P173877</t>
  </si>
  <si>
    <t>P176304</t>
  </si>
  <si>
    <t>P176152</t>
  </si>
  <si>
    <t>P175992</t>
  </si>
  <si>
    <t>P176441</t>
  </si>
  <si>
    <t>Sierra Leone (AF)</t>
  </si>
  <si>
    <t>P177850</t>
  </si>
  <si>
    <t>P176956</t>
  </si>
  <si>
    <t>P176480</t>
  </si>
  <si>
    <t>IBRD/IDA</t>
  </si>
  <si>
    <t>P176422</t>
  </si>
  <si>
    <t>Sri Lanka (AF)</t>
  </si>
  <si>
    <t>P177714</t>
  </si>
  <si>
    <t>P176824</t>
  </si>
  <si>
    <t>P175168</t>
  </si>
  <si>
    <t>Tajikistan (AF)</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</si>
  <si>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</si>
  <si>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</si>
  <si>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</si>
  <si>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</si>
  <si>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</si>
  <si>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</si>
  <si>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</si>
  <si>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</si>
  <si>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</si>
  <si>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</si>
  <si>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</si>
  <si>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</si>
  <si>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</si>
  <si>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</si>
  <si>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</si>
  <si>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</si>
  <si>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</si>
  <si>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</si>
  <si>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</si>
  <si>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</si>
  <si>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</si>
  <si>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</si>
  <si>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</si>
  <si>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</si>
  <si>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</si>
  <si>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</si>
  <si>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</si>
  <si>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</si>
  <si>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</si>
  <si>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</si>
  <si>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</si>
  <si>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</si>
  <si>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</si>
  <si>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</si>
  <si>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</si>
  <si>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</si>
  <si>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</si>
  <si>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</si>
  <si>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</si>
  <si>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</si>
  <si>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</si>
  <si>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</si>
  <si>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</si>
  <si>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</si>
  <si>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</si>
  <si>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</si>
  <si>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</si>
  <si>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</si>
  <si>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</si>
  <si>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</si>
  <si>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</si>
  <si>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</si>
  <si>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</si>
  <si>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</si>
  <si>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</si>
  <si>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</si>
  <si>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</si>
  <si>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</si>
  <si>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</si>
  <si>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</si>
  <si>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</si>
  <si>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</si>
  <si>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</si>
  <si>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</si>
  <si>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</si>
  <si>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</si>
  <si>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</si>
  <si>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</si>
  <si>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</si>
  <si>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</si>
  <si>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</si>
  <si>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</si>
  <si>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</si>
  <si>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</si>
  <si>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</si>
  <si>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</si>
  <si>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</si>
  <si>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</si>
  <si>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</si>
  <si>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</si>
  <si>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</si>
  <si>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</si>
  <si>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</si>
  <si>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</si>
  <si>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</si>
  <si>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</si>
  <si>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Country name</t>
  </si>
  <si>
    <t xml:space="preserve">Disbursed Amount </t>
  </si>
  <si>
    <t xml:space="preserve"> $-   </t>
  </si>
  <si>
    <t>AMC classification</t>
  </si>
  <si>
    <t>CDS status</t>
  </si>
  <si>
    <t>Status (clean)</t>
  </si>
  <si>
    <t>Amount requested (USD)</t>
  </si>
  <si>
    <t>Amount approved (USD)</t>
  </si>
  <si>
    <t>Variance (Requested v Approved)</t>
  </si>
  <si>
    <t>Amount disbursed (USD)</t>
  </si>
  <si>
    <t>Variance (disbursed v Approved)</t>
  </si>
  <si>
    <t>Percentage Disbursed (% of approved)</t>
  </si>
  <si>
    <t>Date of disbursement of funds</t>
  </si>
  <si>
    <t>Funds Channelled through UNICEF</t>
  </si>
  <si>
    <t>Admin (Clean)</t>
  </si>
  <si>
    <t>AMC - GAVI</t>
  </si>
  <si>
    <t>EMRO</t>
  </si>
  <si>
    <t>Amount disbursed</t>
  </si>
  <si>
    <t>10/12/2021</t>
  </si>
  <si>
    <t>quality check successful</t>
  </si>
  <si>
    <t>Submitted</t>
  </si>
  <si>
    <t>AMC - UNICEF</t>
  </si>
  <si>
    <t>AFRO</t>
  </si>
  <si>
    <t>9/8/2021</t>
  </si>
  <si>
    <t>amount approved</t>
  </si>
  <si>
    <t>10/15/2021</t>
  </si>
  <si>
    <t>not applying</t>
  </si>
  <si>
    <t>SEARO</t>
  </si>
  <si>
    <t>10/7/2021</t>
  </si>
  <si>
    <t>amount disbursed</t>
  </si>
  <si>
    <t>Disbursed</t>
  </si>
  <si>
    <t>11/26/2021</t>
  </si>
  <si>
    <t>submission initiated</t>
  </si>
  <si>
    <t>pending</t>
  </si>
  <si>
    <t>Bolivia (Plurinational State of)</t>
  </si>
  <si>
    <t>AMRO</t>
  </si>
  <si>
    <t>8/10/2021</t>
  </si>
  <si>
    <t>8/27/2021</t>
  </si>
  <si>
    <t>WPRO</t>
  </si>
  <si>
    <t>11/2/2021</t>
  </si>
  <si>
    <t>Congo</t>
  </si>
  <si>
    <t>11/18/2021</t>
  </si>
  <si>
    <t>10/18/2021</t>
  </si>
  <si>
    <t>Democratic Republic of the Congo</t>
  </si>
  <si>
    <t>10/5/2021</t>
  </si>
  <si>
    <t>10/22/2021</t>
  </si>
  <si>
    <t>9/15/2021</t>
  </si>
  <si>
    <t>9/22/2021</t>
  </si>
  <si>
    <t>9/29/2021</t>
  </si>
  <si>
    <t>9/23/2021</t>
  </si>
  <si>
    <t>11/11/2021</t>
  </si>
  <si>
    <t>10/20/2021</t>
  </si>
  <si>
    <t>10/27/2021</t>
  </si>
  <si>
    <t>11/8/2021</t>
  </si>
  <si>
    <t>8/24/2021</t>
  </si>
  <si>
    <t>EURO</t>
  </si>
  <si>
    <t>11/10/2021</t>
  </si>
  <si>
    <t>Lao People's Democratic Republic</t>
  </si>
  <si>
    <t>11/24/2021</t>
  </si>
  <si>
    <t>9/6/2021</t>
  </si>
  <si>
    <t>8/31/2021</t>
  </si>
  <si>
    <t>11/5/2021</t>
  </si>
  <si>
    <t>occupied Palestinian territory, including east Jerusalem</t>
  </si>
  <si>
    <t>12/17/2021</t>
  </si>
  <si>
    <t>Republic of Moldova</t>
  </si>
  <si>
    <t>Saint Lucia</t>
  </si>
  <si>
    <t>Saint Vincent and the Grenadines</t>
  </si>
  <si>
    <t>10/14/2021</t>
  </si>
  <si>
    <t>11/25/2021</t>
  </si>
  <si>
    <t>9/30/2021</t>
  </si>
  <si>
    <t>United Republic of Tanzania</t>
  </si>
  <si>
    <t>Viet Nam</t>
  </si>
  <si>
    <t>Country Code</t>
  </si>
  <si>
    <t>Early access ceiling</t>
  </si>
  <si>
    <t>Saint Vincent &amp; Grenadines</t>
  </si>
  <si>
    <t>Egypt, Arab Republic</t>
  </si>
  <si>
    <t>Democratic Republic of the Congo (Kinshasa)</t>
  </si>
  <si>
    <t>GAVI</t>
  </si>
  <si>
    <t>Yemen, Rep.</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</si>
  <si>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</si>
  <si>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</si>
  <si>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</si>
  <si>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</si>
  <si>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</si>
  <si>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</si>
  <si>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</si>
  <si>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</si>
  <si>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</si>
  <si>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</si>
  <si>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</si>
  <si>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</si>
  <si>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</si>
  <si>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</si>
  <si>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</si>
  <si>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</si>
  <si>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</si>
  <si>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</si>
  <si>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</si>
  <si>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</si>
  <si>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</si>
  <si>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</si>
  <si>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</si>
  <si>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</si>
  <si>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</si>
  <si>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</si>
  <si>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</si>
  <si>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</si>
  <si>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</si>
  <si>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</si>
  <si>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</si>
  <si>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</si>
  <si>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</si>
  <si>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</si>
  <si>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</si>
  <si>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</si>
  <si>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France</t>
  </si>
  <si>
    <t>Slovakia</t>
  </si>
  <si>
    <t>Bharat Biotech</t>
  </si>
  <si>
    <t>Oman</t>
  </si>
  <si>
    <t>Saint Vincent</t>
  </si>
  <si>
    <t>St Kittts and Nevis</t>
  </si>
  <si>
    <t>Israel</t>
  </si>
  <si>
    <t>Pfizer/BioNTech</t>
  </si>
  <si>
    <t>Moderna</t>
  </si>
  <si>
    <t>Gamaleya Research Institute</t>
  </si>
  <si>
    <t xml:space="preserve">MTN Group/ African Union </t>
  </si>
  <si>
    <t>Russia</t>
  </si>
  <si>
    <t>UAE</t>
  </si>
  <si>
    <t>ISO</t>
  </si>
  <si>
    <t>Track</t>
  </si>
  <si>
    <t>CDS Status</t>
  </si>
  <si>
    <t>Residual Gap (USD)</t>
  </si>
  <si>
    <t>Total Cost (USD)</t>
  </si>
  <si>
    <t>Clean Status</t>
  </si>
  <si>
    <t>Only UNICEF</t>
  </si>
  <si>
    <t>Full Request</t>
  </si>
  <si>
    <t>Submission initiated</t>
  </si>
  <si>
    <t>GAVI Secretariat Review</t>
  </si>
  <si>
    <t>Not yet submitted</t>
  </si>
  <si>
    <t>Fast Track</t>
  </si>
  <si>
    <t>Micronesia (Federated States of)</t>
  </si>
  <si>
    <t>Applied filters:
data.recipients.name is Residual Gap
Track is Full Request or Fast Track
country_iso_code is not MHL
data.status is not Draft</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</si>
  <si>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</si>
  <si>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</si>
  <si>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</si>
  <si>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</si>
  <si>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</si>
  <si>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</si>
  <si>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</si>
  <si>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</si>
  <si>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</si>
  <si>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</si>
  <si>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</si>
  <si>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</si>
  <si>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</si>
  <si>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</si>
  <si>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</si>
  <si>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</si>
  <si>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</si>
  <si>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</si>
  <si>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</si>
  <si>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</si>
  <si>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</si>
  <si>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</si>
  <si>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</si>
  <si>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</si>
  <si>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</si>
  <si>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</si>
  <si>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</si>
  <si>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</si>
  <si>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</si>
  <si>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</si>
  <si>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</si>
  <si>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</si>
  <si>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</si>
  <si>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</si>
  <si>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</si>
  <si>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</si>
  <si>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</si>
  <si>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</si>
  <si>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</si>
  <si>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</si>
  <si>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</si>
  <si>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</si>
  <si>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</si>
  <si>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</si>
  <si>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</si>
  <si>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</si>
  <si>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</si>
  <si>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</si>
  <si>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</si>
  <si>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</si>
  <si>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</si>
  <si>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</si>
  <si>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</si>
  <si>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</si>
  <si>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</si>
  <si>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</si>
  <si>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</si>
  <si>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</si>
  <si>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</si>
  <si>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</si>
  <si>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</si>
  <si>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</si>
  <si>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 Rep.</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</si>
  <si>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</si>
  <si>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</si>
  <si>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</si>
  <si>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</si>
  <si>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</si>
  <si>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</si>
  <si>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</si>
  <si>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</si>
  <si>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</si>
  <si>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</si>
  <si>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</si>
  <si>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</si>
  <si>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</si>
  <si>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</si>
  <si>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</si>
  <si>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</si>
  <si>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</si>
  <si>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Congo, Dem. Rep.</t>
  </si>
  <si>
    <t>DR CONGO</t>
  </si>
  <si>
    <t>EAPRO - GENERIC</t>
  </si>
  <si>
    <t>ECUADOR</t>
  </si>
  <si>
    <t>ECW (EDUCATION CANNOT WAIT)</t>
  </si>
  <si>
    <t>Egypt, Arab Rep.</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</si>
  <si>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</si>
  <si>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</si>
  <si>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</si>
  <si>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</si>
  <si>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</si>
  <si>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</si>
  <si>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</si>
  <si>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</si>
  <si>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</si>
  <si>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</si>
  <si>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</si>
  <si>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</si>
  <si>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</si>
  <si>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 The</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</si>
  <si>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</si>
  <si>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</si>
  <si>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</si>
  <si>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</si>
  <si>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</si>
  <si>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</si>
  <si>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</si>
  <si>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</si>
  <si>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</si>
  <si>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</si>
  <si>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</si>
  <si>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</si>
  <si>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</si>
  <si>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</si>
  <si>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</si>
  <si>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</si>
  <si>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</si>
  <si>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</si>
  <si>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</si>
  <si>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</si>
  <si>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</si>
  <si>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</si>
  <si>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</si>
  <si>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</si>
  <si>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</si>
  <si>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</si>
  <si>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</si>
  <si>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</si>
  <si>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</si>
  <si>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</si>
  <si>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</si>
  <si>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</si>
  <si>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</si>
  <si>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</si>
  <si>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</si>
  <si>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</si>
  <si>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</si>
  <si>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</si>
  <si>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</si>
  <si>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</si>
  <si>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</si>
  <si>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</si>
  <si>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</si>
  <si>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</si>
  <si>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</si>
  <si>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</si>
  <si>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</si>
  <si>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</si>
  <si>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</si>
  <si>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</si>
  <si>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</si>
  <si>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</si>
  <si>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</si>
  <si>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</si>
  <si>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</si>
  <si>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</si>
  <si>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</si>
  <si>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</si>
  <si>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</si>
  <si>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</si>
  <si>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</si>
  <si>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</si>
  <si>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</si>
  <si>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</si>
  <si>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</si>
  <si>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</si>
  <si>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</si>
  <si>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</si>
  <si>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</si>
  <si>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</si>
  <si>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</si>
  <si>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</si>
  <si>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</si>
  <si>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</si>
  <si>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</si>
  <si>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</si>
  <si>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</si>
  <si>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</si>
  <si>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</si>
  <si>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</si>
  <si>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</si>
  <si>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</si>
  <si>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</si>
  <si>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</si>
  <si>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</si>
  <si>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</si>
  <si>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</si>
  <si>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</si>
  <si>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</si>
  <si>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</si>
  <si>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</si>
  <si>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</si>
  <si>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</si>
  <si>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</si>
  <si>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</si>
  <si>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</si>
  <si>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</si>
  <si>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</si>
  <si>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</si>
  <si>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</si>
  <si>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</si>
  <si>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</si>
  <si>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</si>
  <si>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</si>
  <si>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</si>
  <si>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</si>
  <si>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</si>
  <si>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</si>
  <si>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</si>
  <si>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</si>
  <si>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</si>
  <si>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</si>
  <si>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</si>
  <si>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</si>
  <si>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</si>
  <si>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</si>
  <si>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</si>
  <si>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</si>
  <si>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</si>
  <si>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</si>
  <si>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</si>
  <si>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</si>
  <si>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</si>
  <si>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</si>
  <si>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</si>
  <si>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</si>
  <si>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</si>
  <si>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</si>
  <si>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</si>
  <si>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</si>
  <si>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</si>
  <si>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</si>
  <si>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</si>
  <si>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</si>
  <si>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</si>
  <si>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</si>
  <si>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Only LMICs (no HICs) &amp; No Russia and no China</t>
  </si>
  <si>
    <t>Total Delivery Funding</t>
  </si>
  <si>
    <t>Total no. of countries w/delivery financing</t>
  </si>
  <si>
    <t>Number of countries receiving external funding for vaccine delivery by delivery source</t>
  </si>
  <si>
    <t>no. of countries</t>
  </si>
  <si>
    <t>Private/Foundation</t>
  </si>
  <si>
    <t>Countries by income group receiving delivery funding from external sources</t>
  </si>
  <si>
    <t>MDB Only</t>
  </si>
  <si>
    <t>Non-MDB Only</t>
  </si>
  <si>
    <t>Both MDB and non-MDB</t>
  </si>
  <si>
    <t>Both</t>
  </si>
  <si>
    <t xml:space="preserve">Regional Funding breakdown </t>
  </si>
  <si>
    <t>Sum of Total population</t>
  </si>
  <si>
    <t>Total funding per capita</t>
  </si>
  <si>
    <t>Regional Funding breakdown (incl. SIDS)</t>
  </si>
  <si>
    <t>Average funding per capita</t>
  </si>
  <si>
    <t>Regional Funding breakdown (excl. SIDS)</t>
  </si>
  <si>
    <t>Average funding per capita by income classification</t>
  </si>
  <si>
    <t>Total Vaccine Delivery Funding</t>
  </si>
  <si>
    <t>Figure 1. Total Delivery financing by financing source type</t>
  </si>
  <si>
    <t>Column Labels</t>
  </si>
  <si>
    <t>Total Delivery Financing by financing source type</t>
  </si>
  <si>
    <t>Total Delivery Funding by Region</t>
  </si>
  <si>
    <t>Funding per capita</t>
  </si>
  <si>
    <t xml:space="preserve">Delivery Funding by region </t>
  </si>
  <si>
    <t>Funding Per Capita</t>
  </si>
  <si>
    <t>Financing by Income Classification</t>
  </si>
  <si>
    <t>Financing by AMC/SFF classification</t>
  </si>
  <si>
    <t>AMC/SFF Classification by region</t>
  </si>
  <si>
    <t>Financing by financing source</t>
  </si>
  <si>
    <t>Sum of Disbursement Amount</t>
  </si>
  <si>
    <t>HAC contributions by financing source</t>
  </si>
  <si>
    <t>Unallocated financing by financing source</t>
  </si>
  <si>
    <t>Unallocated financing by financing source and mechanism</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</si>
  <si>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</si>
  <si>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</si>
  <si>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</si>
  <si>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</si>
  <si>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</si>
  <si>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</si>
  <si>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</si>
  <si>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</si>
  <si>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</si>
  <si>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</si>
  <si>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</si>
  <si>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</si>
  <si>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</si>
  <si>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</si>
  <si>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</si>
  <si>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</si>
  <si>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</si>
  <si>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</si>
  <si>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Delivery funding by financing source type</t>
  </si>
  <si>
    <t>Total HAC Contributions by financing source</t>
  </si>
  <si>
    <t>Linksbridge + UNPOP</t>
  </si>
  <si>
    <t xml:space="preserve">Total Population </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</si>
  <si>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</si>
  <si>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</si>
  <si>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</si>
  <si>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</si>
  <si>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</si>
  <si>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</si>
  <si>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</si>
  <si>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</si>
  <si>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</si>
  <si>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</si>
  <si>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</si>
  <si>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</si>
  <si>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</si>
  <si>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</si>
  <si>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</si>
  <si>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</si>
  <si>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</si>
  <si>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https://krishnamoorthi.house.gov/sites/krishnamoorthi.house.gov/files/Letter to President Biden on Funding for a Global Vaccination Campaign_0.pdf</t>
  </si>
  <si>
    <t>Keep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</si>
</sst>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 #,##0.0_);_(* \(#,##0.0\);_(* &quot;-&quot;??_);_(@_)"/>
    <numFmt numFmtId="174" formatCode="_-[$$-409]* #,##0.00_ ;_-[$$-409]* \-#,##0.00\ ;_-[$$-409]* &quot;-&quot;??_ ;_-@_ "/>
    <numFmt numFmtId="175" formatCode="#,##0.0"/>
    <numFmt numFmtId="176" formatCode="_(&quot;$&quot;* #,##0_);_(&quot;$&quot;* \(#,##0\);_(&quot;$&quot;* &quot;-&quot;??_);_(@_)"/>
    <numFmt numFmtId="177" formatCode="[$-409]d\-mmm\-yy;@"/>
    <numFmt numFmtId="178" formatCode="&quot;$&quot;#,##0"/>
    <numFmt numFmtId="179" formatCode="&quot;$&quot;#,##0.00"/>
    <numFmt numFmtId="180" formatCode="_-* #,##0_-;\-* #,##0_-;_-* &quot;-&quot;??_-;_-@_-"/>
    <numFmt numFmtId="181" formatCode="_([$$-409]* #,##0.00_);_([$$-409]* \(#,##0.00\);_([$$-409]* &quot;-&quot;??_);_(@_)"/>
  </numFmts>
  <fonts count="7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b/>
      <sz val="36"/>
      <color theme="4"/>
      <name val="Calibri"/>
      <family val="2"/>
      <scheme val="minor"/>
    </font>
    <font>
      <sz val="16"/>
      <color theme="1"/>
      <name val="Calibri"/>
      <family val="2"/>
      <scheme val="minor"/>
    </font>
    <font>
      <b/>
      <sz val="16"/>
      <color theme="4"/>
      <name val="Calibri"/>
      <family val="2"/>
      <scheme val="minor"/>
    </font>
    <font>
      <b/>
      <sz val="12"/>
      <color theme="4"/>
      <name val="Calibri"/>
      <family val="2"/>
      <scheme val="minor"/>
    </font>
    <font>
      <b/>
      <sz val="24"/>
      <color theme="0"/>
      <name val="Calibri"/>
      <family val="2"/>
      <scheme val="minor"/>
    </font>
    <font>
      <sz val="9"/>
      <color theme="1"/>
      <name val="Calibri"/>
      <family val="2"/>
      <scheme val="minor"/>
    </font>
    <font>
      <b/>
      <sz val="18"/>
      <color theme="4"/>
      <name val="Calibri"/>
      <family val="2"/>
      <scheme val="minor"/>
    </font>
    <font>
      <b/>
      <sz val="16"/>
      <color theme="1"/>
      <name val="Calibri"/>
      <family val="2"/>
      <scheme val="minor"/>
    </font>
    <font>
      <b/>
      <sz val="18"/>
      <color theme="1"/>
      <name val="Calibri"/>
      <family val="2"/>
      <scheme val="minor"/>
    </font>
    <font>
      <sz val="18"/>
      <color theme="1"/>
      <name val="Calibri"/>
      <family val="2"/>
      <scheme val="minor"/>
    </font>
    <font>
      <sz val="8"/>
      <color theme="1"/>
      <name val="Calibri"/>
      <family val="2"/>
      <scheme val="minor"/>
    </font>
    <font>
      <b/>
      <sz val="22"/>
      <color theme="4"/>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12"/>
      <color theme="0"/>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b/>
      <sz val="16"/>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s>
  <borders count="1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s>
  <cellStyleXfs count="17">
    <xf numFmtId="0" fontId="0" fillId="0" borderId="0"/>
    <xf numFmtId="0" fontId="8" fillId="0" borderId="0" applyNumberFormat="0" applyFill="0" applyBorder="0" applyAlignment="0" applyProtection="0"/>
    <xf numFmtId="168" fontId="9" fillId="0" borderId="0" applyFont="0" applyFill="0" applyBorder="0" applyAlignment="0" applyProtection="0"/>
    <xf numFmtId="9" fontId="9" fillId="0" borderId="0" applyFont="0" applyFill="0" applyBorder="0" applyAlignment="0" applyProtection="0"/>
    <xf numFmtId="0" fontId="6" fillId="0" borderId="0"/>
    <xf numFmtId="168" fontId="6" fillId="0" borderId="0" applyFont="0" applyFill="0" applyBorder="0" applyAlignment="0" applyProtection="0"/>
    <xf numFmtId="9" fontId="6" fillId="0" borderId="0" applyFont="0" applyFill="0" applyBorder="0" applyAlignment="0" applyProtection="0"/>
    <xf numFmtId="167" fontId="9" fillId="0" borderId="0" applyFont="0" applyFill="0" applyBorder="0" applyAlignment="0" applyProtection="0"/>
    <xf numFmtId="0" fontId="52" fillId="0" borderId="0"/>
    <xf numFmtId="167" fontId="52" fillId="0" borderId="0" applyFont="0" applyFill="0" applyBorder="0" applyAlignment="0" applyProtection="0"/>
    <xf numFmtId="0" fontId="5" fillId="0" borderId="0"/>
    <xf numFmtId="167" fontId="5" fillId="0" borderId="0" applyFont="0" applyFill="0" applyBorder="0" applyAlignment="0" applyProtection="0"/>
    <xf numFmtId="0" fontId="4" fillId="0" borderId="0"/>
    <xf numFmtId="167" fontId="4" fillId="0" borderId="0" applyFont="0" applyFill="0" applyBorder="0" applyAlignment="0" applyProtection="0"/>
    <xf numFmtId="0" fontId="55" fillId="0" borderId="0"/>
    <xf numFmtId="0" fontId="3" fillId="0" borderId="0"/>
    <xf numFmtId="0" fontId="75" fillId="0" borderId="0"/>
  </cellStyleXfs>
  <cellXfs count="1527">
    <xf numFmtId="0" fontId="0" fillId="0" borderId="0" xfId="0"/>
    <xf numFmtId="0" fontId="0" fillId="2" borderId="0" xfId="0" applyFill="1"/>
    <xf numFmtId="0" fontId="0" fillId="2" borderId="1" xfId="0" applyFill="1" applyBorder="1"/>
    <xf numFmtId="0" fontId="10" fillId="2" borderId="0" xfId="0" applyFont="1" applyFill="1"/>
    <xf numFmtId="0" fontId="11" fillId="2" borderId="0" xfId="0" applyFont="1" applyFill="1" applyAlignment="1">
      <alignment vertical="center"/>
    </xf>
    <xf numFmtId="0" fontId="7" fillId="2" borderId="0" xfId="0" applyFont="1" applyFill="1" applyAlignment="1">
      <alignment vertical="center"/>
    </xf>
    <xf numFmtId="0" fontId="10" fillId="2" borderId="0" xfId="0" applyFont="1" applyFill="1" applyAlignment="1">
      <alignment vertical="center"/>
    </xf>
    <xf numFmtId="0" fontId="0" fillId="2" borderId="0" xfId="0" applyFill="1" applyAlignment="1">
      <alignment vertical="center"/>
    </xf>
    <xf numFmtId="0" fontId="7" fillId="2" borderId="10" xfId="0" applyFont="1" applyFill="1" applyBorder="1" applyAlignment="1">
      <alignment vertical="center"/>
    </xf>
    <xf numFmtId="0" fontId="7"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2" fillId="3" borderId="0" xfId="0" applyFont="1" applyFill="1" applyAlignment="1">
      <alignment wrapText="1"/>
    </xf>
    <xf numFmtId="0" fontId="12" fillId="3" borderId="23" xfId="0" applyFont="1" applyFill="1" applyBorder="1" applyAlignment="1">
      <alignment wrapText="1"/>
    </xf>
    <xf numFmtId="0" fontId="13"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7" fillId="4" borderId="35" xfId="0" applyFont="1" applyFill="1" applyBorder="1"/>
    <xf numFmtId="0" fontId="7" fillId="4" borderId="36" xfId="0" applyFont="1" applyFill="1" applyBorder="1"/>
    <xf numFmtId="0" fontId="7" fillId="4" borderId="52" xfId="0" applyFont="1" applyFill="1" applyBorder="1"/>
    <xf numFmtId="0" fontId="14" fillId="2" borderId="0" xfId="0" applyFont="1" applyFill="1"/>
    <xf numFmtId="0" fontId="15" fillId="2" borderId="0" xfId="0" applyFont="1" applyFill="1"/>
    <xf numFmtId="0" fontId="14" fillId="2" borderId="1" xfId="0" applyFont="1" applyFill="1" applyBorder="1"/>
    <xf numFmtId="0" fontId="14" fillId="2" borderId="49" xfId="0" applyFont="1" applyFill="1" applyBorder="1"/>
    <xf numFmtId="0" fontId="14" fillId="2" borderId="25" xfId="0" applyFont="1" applyFill="1" applyBorder="1"/>
    <xf numFmtId="0" fontId="14" fillId="2" borderId="2" xfId="0" applyFont="1" applyFill="1" applyBorder="1"/>
    <xf numFmtId="0" fontId="14" fillId="2" borderId="50" xfId="0" applyFont="1" applyFill="1" applyBorder="1"/>
    <xf numFmtId="0" fontId="14" fillId="2" borderId="55" xfId="0" applyFont="1" applyFill="1" applyBorder="1"/>
    <xf numFmtId="0" fontId="14" fillId="2" borderId="26" xfId="0" applyFont="1" applyFill="1" applyBorder="1"/>
    <xf numFmtId="0" fontId="14" fillId="2" borderId="51" xfId="0" applyFont="1" applyFill="1" applyBorder="1"/>
    <xf numFmtId="0" fontId="14" fillId="2" borderId="3" xfId="0" applyFont="1" applyFill="1" applyBorder="1"/>
    <xf numFmtId="0" fontId="14" fillId="2" borderId="57" xfId="0" applyFont="1" applyFill="1" applyBorder="1"/>
    <xf numFmtId="0" fontId="14" fillId="2" borderId="43" xfId="0" applyFont="1" applyFill="1" applyBorder="1"/>
    <xf numFmtId="0" fontId="16"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2" fillId="3" borderId="49" xfId="0" applyFont="1" applyFill="1" applyBorder="1"/>
    <xf numFmtId="0" fontId="12" fillId="3" borderId="25" xfId="0" applyFont="1" applyFill="1" applyBorder="1"/>
    <xf numFmtId="0" fontId="12" fillId="3" borderId="1" xfId="0" applyFont="1" applyFill="1" applyBorder="1"/>
    <xf numFmtId="0" fontId="12" fillId="3" borderId="2" xfId="0" applyFont="1" applyFill="1" applyBorder="1"/>
    <xf numFmtId="0" fontId="12"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5" fillId="2" borderId="25" xfId="0" applyFont="1" applyFill="1" applyBorder="1" applyAlignment="1">
      <alignment horizontal="center"/>
    </xf>
    <xf numFmtId="0" fontId="15" fillId="2" borderId="25" xfId="0" applyFont="1" applyFill="1" applyBorder="1" applyAlignment="1">
      <alignment horizontal="center" vertical="center"/>
    </xf>
    <xf numFmtId="0" fontId="15"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4" fillId="2" borderId="0" xfId="0" applyNumberFormat="1" applyFont="1" applyFill="1"/>
    <xf numFmtId="170" fontId="14" fillId="2" borderId="1" xfId="0" applyNumberFormat="1" applyFont="1" applyFill="1" applyBorder="1"/>
    <xf numFmtId="0" fontId="14"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7"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5"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8" fillId="2" borderId="70" xfId="1" applyFill="1" applyBorder="1" applyAlignment="1">
      <alignment horizontal="left" vertical="top"/>
    </xf>
    <xf numFmtId="15" fontId="0" fillId="0" borderId="0" xfId="0" applyNumberFormat="1"/>
    <xf numFmtId="169" fontId="9" fillId="2" borderId="0" xfId="2" applyNumberFormat="1" applyFont="1" applyFill="1"/>
    <xf numFmtId="169" fontId="9" fillId="2" borderId="70" xfId="2" applyNumberFormat="1" applyFont="1" applyFill="1" applyBorder="1" applyAlignment="1">
      <alignment horizontal="left" vertical="top"/>
    </xf>
    <xf numFmtId="0" fontId="15" fillId="2" borderId="51" xfId="0" applyFont="1" applyFill="1" applyBorder="1" applyAlignment="1">
      <alignment horizontal="center" vertical="center"/>
    </xf>
    <xf numFmtId="169" fontId="14" fillId="2" borderId="1" xfId="2" applyNumberFormat="1" applyFont="1" applyFill="1" applyBorder="1"/>
    <xf numFmtId="0" fontId="7" fillId="2" borderId="1" xfId="0" applyFont="1" applyFill="1" applyBorder="1" applyAlignment="1">
      <alignment horizontal="center" vertical="top" wrapText="1"/>
    </xf>
    <xf numFmtId="0" fontId="7" fillId="2" borderId="0" xfId="0" applyFont="1" applyFill="1" applyAlignment="1">
      <alignment horizontal="center" vertical="top" wrapText="1"/>
    </xf>
    <xf numFmtId="0" fontId="7" fillId="2" borderId="45" xfId="0" applyFont="1" applyFill="1" applyBorder="1"/>
    <xf numFmtId="0" fontId="7"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7" fillId="2" borderId="54" xfId="0" applyFont="1" applyFill="1" applyBorder="1"/>
    <xf numFmtId="170" fontId="15" fillId="2" borderId="71" xfId="0" applyNumberFormat="1" applyFont="1" applyFill="1" applyBorder="1" applyAlignment="1">
      <alignment horizontal="center" vertical="center"/>
    </xf>
    <xf numFmtId="170" fontId="14" fillId="2" borderId="57" xfId="2" applyNumberFormat="1" applyFont="1" applyFill="1" applyBorder="1"/>
    <xf numFmtId="171" fontId="14"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4" fillId="2" borderId="76" xfId="2" applyNumberFormat="1" applyFont="1" applyFill="1" applyBorder="1"/>
    <xf numFmtId="0" fontId="14" fillId="2" borderId="21" xfId="0" applyFont="1" applyFill="1" applyBorder="1"/>
    <xf numFmtId="0" fontId="14" fillId="2" borderId="68" xfId="0" applyFont="1" applyFill="1" applyBorder="1"/>
    <xf numFmtId="0" fontId="14" fillId="2" borderId="69" xfId="0" applyFont="1" applyFill="1" applyBorder="1"/>
    <xf numFmtId="0" fontId="14" fillId="2" borderId="71" xfId="0" applyFont="1" applyFill="1" applyBorder="1"/>
    <xf numFmtId="0" fontId="8" fillId="2" borderId="1" xfId="1" applyFill="1" applyBorder="1"/>
    <xf numFmtId="0" fontId="20" fillId="4" borderId="0" xfId="0" applyFont="1" applyFill="1"/>
    <xf numFmtId="0" fontId="7" fillId="2" borderId="10" xfId="0" applyFont="1" applyFill="1" applyBorder="1" applyAlignment="1">
      <alignment horizontal="center" vertical="top" wrapText="1"/>
    </xf>
    <xf numFmtId="0" fontId="20"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7" fillId="4" borderId="75" xfId="2" applyNumberFormat="1" applyFont="1" applyFill="1" applyBorder="1"/>
    <xf numFmtId="0" fontId="7" fillId="2" borderId="53" xfId="0" applyFont="1" applyFill="1" applyBorder="1" applyAlignment="1">
      <alignment horizontal="center"/>
    </xf>
    <xf numFmtId="0" fontId="16" fillId="2" borderId="1" xfId="0" applyFont="1" applyFill="1" applyBorder="1" applyAlignment="1">
      <alignment wrapText="1"/>
    </xf>
    <xf numFmtId="0" fontId="12" fillId="5" borderId="1" xfId="0" applyFont="1" applyFill="1" applyBorder="1"/>
    <xf numFmtId="0" fontId="16"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0"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18"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8" fillId="2" borderId="37" xfId="1" applyFill="1" applyBorder="1" applyAlignment="1">
      <alignment vertical="top"/>
    </xf>
    <xf numFmtId="0" fontId="8"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7"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5"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0"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2"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4" fillId="2" borderId="1" xfId="0" applyNumberFormat="1" applyFont="1" applyFill="1" applyBorder="1"/>
    <xf numFmtId="169" fontId="14" fillId="2" borderId="0" xfId="2" applyNumberFormat="1" applyFont="1" applyFill="1"/>
    <xf numFmtId="170" fontId="14" fillId="2" borderId="0" xfId="2" applyNumberFormat="1" applyFont="1" applyFill="1" applyBorder="1"/>
    <xf numFmtId="169" fontId="14" fillId="2" borderId="0" xfId="2" applyNumberFormat="1" applyFont="1" applyFill="1" applyBorder="1"/>
    <xf numFmtId="171" fontId="14" fillId="2" borderId="0" xfId="2" applyNumberFormat="1" applyFont="1" applyFill="1" applyBorder="1"/>
    <xf numFmtId="0" fontId="12" fillId="5" borderId="0" xfId="0" applyFont="1" applyFill="1"/>
    <xf numFmtId="171" fontId="0" fillId="2" borderId="0" xfId="0" applyNumberFormat="1" applyFill="1"/>
    <xf numFmtId="171" fontId="15" fillId="2" borderId="55" xfId="0" applyNumberFormat="1" applyFont="1" applyFill="1" applyBorder="1" applyAlignment="1">
      <alignment horizontal="center" vertical="center"/>
    </xf>
    <xf numFmtId="171" fontId="14" fillId="2" borderId="1" xfId="0" applyNumberFormat="1" applyFont="1" applyFill="1" applyBorder="1"/>
    <xf numFmtId="0" fontId="7" fillId="2" borderId="5" xfId="0" applyFont="1" applyFill="1" applyBorder="1" applyAlignment="1">
      <alignment vertical="top" wrapText="1"/>
    </xf>
    <xf numFmtId="0" fontId="0" fillId="2" borderId="0" xfId="0" applyFill="1" applyAlignment="1">
      <alignment horizontal="center"/>
    </xf>
    <xf numFmtId="0" fontId="20" fillId="2" borderId="0" xfId="0" applyFont="1" applyFill="1" applyAlignment="1">
      <alignment horizontal="center"/>
    </xf>
    <xf numFmtId="0" fontId="7" fillId="2" borderId="14" xfId="0" applyFont="1" applyFill="1" applyBorder="1" applyAlignment="1">
      <alignment vertical="top" wrapText="1"/>
    </xf>
    <xf numFmtId="0" fontId="7" fillId="2" borderId="5" xfId="0" applyFont="1" applyFill="1" applyBorder="1" applyAlignment="1">
      <alignment horizontal="center" vertical="top" wrapText="1"/>
    </xf>
    <xf numFmtId="0" fontId="7"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9" fillId="2" borderId="20" xfId="2" applyNumberFormat="1" applyFont="1" applyFill="1" applyBorder="1" applyAlignment="1">
      <alignment horizontal="left" vertical="top"/>
    </xf>
    <xf numFmtId="169" fontId="0" fillId="2" borderId="3" xfId="2" applyNumberFormat="1" applyFont="1" applyFill="1" applyBorder="1"/>
    <xf numFmtId="0" fontId="18" fillId="2" borderId="19" xfId="1" applyFont="1" applyFill="1" applyBorder="1" applyAlignment="1">
      <alignment horizontal="center" vertical="top"/>
    </xf>
    <xf numFmtId="169" fontId="9" fillId="2" borderId="19" xfId="2" applyNumberFormat="1" applyFont="1" applyFill="1" applyBorder="1" applyAlignment="1">
      <alignment horizontal="center" vertical="top"/>
    </xf>
    <xf numFmtId="0" fontId="18" fillId="2" borderId="20" xfId="1" applyFont="1" applyFill="1" applyBorder="1" applyAlignment="1">
      <alignment horizontal="center" vertical="top"/>
    </xf>
    <xf numFmtId="169" fontId="9"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8" fillId="4" borderId="98" xfId="1" applyFill="1" applyBorder="1" applyAlignment="1">
      <alignment horizontal="left" vertical="top"/>
    </xf>
    <xf numFmtId="0" fontId="9" fillId="4" borderId="99" xfId="1" applyFont="1" applyFill="1" applyBorder="1" applyAlignment="1">
      <alignment horizontal="left" vertical="top" wrapText="1"/>
    </xf>
    <xf numFmtId="0" fontId="18" fillId="4" borderId="99" xfId="1" applyFont="1" applyFill="1" applyBorder="1" applyAlignment="1">
      <alignment horizontal="left" vertical="top"/>
    </xf>
    <xf numFmtId="169" fontId="9"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9"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9"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4" fillId="2" borderId="1" xfId="2" applyNumberFormat="1" applyFont="1" applyFill="1" applyBorder="1"/>
    <xf numFmtId="3" fontId="23"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9"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4" fillId="0" borderId="1" xfId="0" applyFont="1" applyBorder="1"/>
    <xf numFmtId="0" fontId="0" fillId="0" borderId="1" xfId="0" applyBorder="1"/>
    <xf numFmtId="169" fontId="0" fillId="8" borderId="1" xfId="2" applyNumberFormat="1" applyFont="1" applyFill="1" applyBorder="1"/>
    <xf numFmtId="169" fontId="25" fillId="9" borderId="1" xfId="2" applyNumberFormat="1" applyFont="1" applyFill="1" applyBorder="1"/>
    <xf numFmtId="169" fontId="0" fillId="9" borderId="1" xfId="2" applyNumberFormat="1" applyFont="1" applyFill="1" applyBorder="1"/>
    <xf numFmtId="169" fontId="26" fillId="9" borderId="1" xfId="2" applyNumberFormat="1" applyFont="1" applyFill="1" applyBorder="1"/>
    <xf numFmtId="0" fontId="0" fillId="0" borderId="2" xfId="0" applyBorder="1"/>
    <xf numFmtId="0" fontId="27" fillId="10" borderId="1" xfId="0" applyFont="1" applyFill="1" applyBorder="1"/>
    <xf numFmtId="169" fontId="27" fillId="10" borderId="1" xfId="2" applyNumberFormat="1" applyFont="1" applyFill="1" applyBorder="1"/>
    <xf numFmtId="0" fontId="25" fillId="0" borderId="1" xfId="0" applyFont="1" applyBorder="1"/>
    <xf numFmtId="169" fontId="26" fillId="8" borderId="1" xfId="2" applyNumberFormat="1" applyFont="1" applyFill="1" applyBorder="1"/>
    <xf numFmtId="169" fontId="28" fillId="9" borderId="1" xfId="2" applyNumberFormat="1" applyFont="1" applyFill="1" applyBorder="1"/>
    <xf numFmtId="169" fontId="24" fillId="8" borderId="1" xfId="2" applyNumberFormat="1" applyFont="1" applyFill="1" applyBorder="1"/>
    <xf numFmtId="169" fontId="24"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8" fillId="7" borderId="61" xfId="1" applyFill="1" applyBorder="1" applyAlignment="1">
      <alignment horizontal="left" vertical="top"/>
    </xf>
    <xf numFmtId="0" fontId="9" fillId="7" borderId="62" xfId="1" applyFont="1" applyFill="1" applyBorder="1" applyAlignment="1">
      <alignment horizontal="left" vertical="top" wrapText="1"/>
    </xf>
    <xf numFmtId="0" fontId="18" fillId="7" borderId="62" xfId="1" applyFont="1" applyFill="1" applyBorder="1" applyAlignment="1">
      <alignment horizontal="center" vertical="top"/>
    </xf>
    <xf numFmtId="169" fontId="9"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7" fillId="2" borderId="1" xfId="0" applyFont="1" applyFill="1" applyBorder="1" applyAlignment="1">
      <alignment horizontal="center"/>
    </xf>
    <xf numFmtId="0" fontId="7"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9"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9" fillId="4" borderId="2" xfId="2" applyNumberFormat="1" applyFont="1" applyFill="1" applyBorder="1" applyAlignment="1">
      <alignment horizontal="center" vertical="top"/>
    </xf>
    <xf numFmtId="0" fontId="9"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9" fillId="2" borderId="1" xfId="1" applyFont="1" applyFill="1" applyBorder="1" applyAlignment="1">
      <alignment horizontal="left" vertical="center" wrapText="1"/>
    </xf>
    <xf numFmtId="0" fontId="9"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7" fillId="12" borderId="61" xfId="0" applyFont="1" applyFill="1" applyBorder="1" applyAlignment="1">
      <alignment horizontal="center"/>
    </xf>
    <xf numFmtId="0" fontId="7"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7" fillId="4" borderId="14" xfId="0" applyFont="1" applyFill="1" applyBorder="1" applyAlignment="1">
      <alignment horizontal="center"/>
    </xf>
    <xf numFmtId="0" fontId="7" fillId="4" borderId="5" xfId="0" applyFont="1" applyFill="1" applyBorder="1" applyAlignment="1">
      <alignment horizontal="center"/>
    </xf>
    <xf numFmtId="0" fontId="7"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7" fillId="4" borderId="61" xfId="0" applyFont="1" applyFill="1" applyBorder="1" applyAlignment="1">
      <alignment horizontal="center" vertical="center"/>
    </xf>
    <xf numFmtId="0" fontId="7" fillId="4" borderId="62" xfId="0" applyFont="1" applyFill="1" applyBorder="1" applyAlignment="1">
      <alignment horizontal="center" vertical="center"/>
    </xf>
    <xf numFmtId="0" fontId="7" fillId="4" borderId="62" xfId="0" applyFont="1" applyFill="1" applyBorder="1" applyAlignment="1">
      <alignment horizontal="center" vertical="center" wrapText="1"/>
    </xf>
    <xf numFmtId="0" fontId="7" fillId="4" borderId="63" xfId="0" applyFont="1" applyFill="1" applyBorder="1" applyAlignment="1">
      <alignment horizontal="center" vertical="center" wrapText="1"/>
    </xf>
    <xf numFmtId="170" fontId="15" fillId="2" borderId="3" xfId="0" applyNumberFormat="1" applyFont="1" applyFill="1" applyBorder="1" applyAlignment="1">
      <alignment horizontal="center" vertical="center" wrapText="1"/>
    </xf>
    <xf numFmtId="170" fontId="15"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7" fillId="2" borderId="65" xfId="0" applyFont="1" applyFill="1" applyBorder="1"/>
    <xf numFmtId="0" fontId="7" fillId="2" borderId="66" xfId="0" applyFont="1" applyFill="1" applyBorder="1"/>
    <xf numFmtId="0" fontId="7" fillId="2" borderId="66" xfId="0" applyFont="1" applyFill="1" applyBorder="1" applyAlignment="1">
      <alignment wrapText="1"/>
    </xf>
    <xf numFmtId="0" fontId="8" fillId="2" borderId="4" xfId="1" applyFill="1" applyBorder="1"/>
    <xf numFmtId="0" fontId="8" fillId="2" borderId="17" xfId="1" applyFill="1" applyBorder="1"/>
    <xf numFmtId="0" fontId="12" fillId="0" borderId="17" xfId="0" applyFont="1" applyBorder="1" applyAlignment="1">
      <alignment wrapText="1"/>
    </xf>
    <xf numFmtId="0" fontId="8" fillId="2" borderId="16" xfId="1" applyFill="1" applyBorder="1"/>
    <xf numFmtId="170" fontId="15" fillId="2" borderId="71" xfId="0" applyNumberFormat="1" applyFont="1" applyFill="1" applyBorder="1" applyAlignment="1">
      <alignment horizontal="center" vertical="center" wrapText="1"/>
    </xf>
    <xf numFmtId="0" fontId="18" fillId="2" borderId="36" xfId="1" applyFont="1" applyFill="1" applyBorder="1" applyAlignment="1">
      <alignment horizontal="center" vertical="top"/>
    </xf>
    <xf numFmtId="0" fontId="18" fillId="2" borderId="27" xfId="1" applyFont="1" applyFill="1" applyBorder="1" applyAlignment="1">
      <alignment horizontal="center" vertical="top"/>
    </xf>
    <xf numFmtId="169" fontId="9" fillId="4" borderId="5" xfId="2" applyNumberFormat="1" applyFont="1" applyFill="1" applyBorder="1" applyAlignment="1">
      <alignment horizontal="center" vertical="top"/>
    </xf>
    <xf numFmtId="169" fontId="9" fillId="4" borderId="12" xfId="2" applyNumberFormat="1" applyFont="1" applyFill="1" applyBorder="1" applyAlignment="1">
      <alignment horizontal="center" vertical="top"/>
    </xf>
    <xf numFmtId="169" fontId="9" fillId="4" borderId="27" xfId="2" applyNumberFormat="1" applyFont="1" applyFill="1" applyBorder="1" applyAlignment="1">
      <alignment horizontal="center" vertical="top"/>
    </xf>
    <xf numFmtId="169" fontId="9" fillId="2" borderId="27" xfId="2" applyNumberFormat="1" applyFont="1" applyFill="1" applyBorder="1" applyAlignment="1">
      <alignment horizontal="center" vertical="top"/>
    </xf>
    <xf numFmtId="169" fontId="9" fillId="2" borderId="95" xfId="2" applyNumberFormat="1" applyFont="1" applyFill="1" applyBorder="1" applyAlignment="1">
      <alignment horizontal="center" vertical="top"/>
    </xf>
    <xf numFmtId="169" fontId="9" fillId="2" borderId="40" xfId="2" applyNumberFormat="1" applyFont="1" applyFill="1" applyBorder="1" applyAlignment="1">
      <alignment horizontal="center" vertical="top"/>
    </xf>
    <xf numFmtId="169" fontId="9" fillId="2" borderId="6" xfId="2" applyNumberFormat="1" applyFont="1" applyFill="1" applyBorder="1" applyAlignment="1">
      <alignment horizontal="center" vertical="top"/>
    </xf>
    <xf numFmtId="169" fontId="9"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9" fillId="2" borderId="5" xfId="2" applyNumberFormat="1" applyFont="1" applyFill="1" applyBorder="1" applyAlignment="1">
      <alignment horizontal="right" vertical="top"/>
    </xf>
    <xf numFmtId="169" fontId="9" fillId="2" borderId="12" xfId="2" applyNumberFormat="1" applyFont="1" applyFill="1" applyBorder="1" applyAlignment="1">
      <alignment horizontal="right" vertical="top"/>
    </xf>
    <xf numFmtId="0" fontId="18" fillId="2" borderId="6" xfId="1" applyFont="1" applyFill="1" applyBorder="1" applyAlignment="1">
      <alignment horizontal="center" vertical="top"/>
    </xf>
    <xf numFmtId="0" fontId="18" fillId="2" borderId="1" xfId="1" applyFont="1" applyFill="1" applyBorder="1" applyAlignment="1">
      <alignment horizontal="center" vertical="top"/>
    </xf>
    <xf numFmtId="0" fontId="18" fillId="2" borderId="10" xfId="1" applyFont="1" applyFill="1" applyBorder="1" applyAlignment="1">
      <alignment horizontal="center" vertical="top"/>
    </xf>
    <xf numFmtId="169" fontId="9" fillId="2" borderId="1" xfId="2" applyNumberFormat="1" applyFont="1" applyFill="1" applyBorder="1" applyAlignment="1">
      <alignment horizontal="center" vertical="top"/>
    </xf>
    <xf numFmtId="169" fontId="9" fillId="2" borderId="10" xfId="2" applyNumberFormat="1" applyFont="1" applyFill="1" applyBorder="1" applyAlignment="1">
      <alignment horizontal="center" vertical="top"/>
    </xf>
    <xf numFmtId="0" fontId="18" fillId="4" borderId="36" xfId="1" applyFont="1" applyFill="1" applyBorder="1" applyAlignment="1">
      <alignment horizontal="center" vertical="top"/>
    </xf>
    <xf numFmtId="0" fontId="18" fillId="4" borderId="27" xfId="1" applyFont="1" applyFill="1" applyBorder="1" applyAlignment="1">
      <alignment horizontal="center" vertical="top"/>
    </xf>
    <xf numFmtId="169" fontId="9" fillId="2" borderId="12" xfId="2" applyNumberFormat="1" applyFont="1" applyFill="1" applyBorder="1" applyAlignment="1">
      <alignment horizontal="center" vertical="top"/>
    </xf>
    <xf numFmtId="0" fontId="18" fillId="2" borderId="40" xfId="1" applyFont="1" applyFill="1" applyBorder="1" applyAlignment="1">
      <alignment horizontal="center" vertical="top"/>
    </xf>
    <xf numFmtId="0" fontId="18" fillId="2" borderId="12" xfId="1" applyFont="1" applyFill="1" applyBorder="1" applyAlignment="1">
      <alignment horizontal="center" vertical="top"/>
    </xf>
    <xf numFmtId="0" fontId="18" fillId="2" borderId="73" xfId="1" applyFont="1" applyFill="1" applyBorder="1" applyAlignment="1">
      <alignment horizontal="center" vertical="top"/>
    </xf>
    <xf numFmtId="169" fontId="9" fillId="2" borderId="36" xfId="2" applyNumberFormat="1" applyFont="1" applyFill="1" applyBorder="1" applyAlignment="1">
      <alignment horizontal="center" vertical="top"/>
    </xf>
    <xf numFmtId="0" fontId="18" fillId="2" borderId="89" xfId="1" applyFont="1" applyFill="1" applyBorder="1" applyAlignment="1">
      <alignment horizontal="center" vertical="top"/>
    </xf>
    <xf numFmtId="0" fontId="18" fillId="2" borderId="95" xfId="1" applyFont="1" applyFill="1" applyBorder="1" applyAlignment="1">
      <alignment horizontal="center" vertical="top"/>
    </xf>
    <xf numFmtId="169" fontId="9" fillId="2" borderId="3" xfId="2" applyNumberFormat="1" applyFont="1" applyFill="1" applyBorder="1" applyAlignment="1">
      <alignment horizontal="center" vertical="center"/>
    </xf>
    <xf numFmtId="169" fontId="9" fillId="2" borderId="2" xfId="2" applyNumberFormat="1" applyFont="1" applyFill="1" applyBorder="1" applyAlignment="1">
      <alignment horizontal="center" vertical="center"/>
    </xf>
    <xf numFmtId="0" fontId="0" fillId="2" borderId="9" xfId="0" applyFill="1" applyBorder="1" applyAlignment="1">
      <alignment horizontal="center"/>
    </xf>
    <xf numFmtId="169" fontId="9" fillId="2" borderId="5" xfId="2" applyNumberFormat="1" applyFont="1" applyFill="1" applyBorder="1" applyAlignment="1">
      <alignment horizontal="center" vertical="top"/>
    </xf>
    <xf numFmtId="169" fontId="9" fillId="2" borderId="9" xfId="2" applyNumberFormat="1" applyFont="1" applyFill="1" applyBorder="1" applyAlignment="1">
      <alignment horizontal="center" vertical="top"/>
    </xf>
    <xf numFmtId="169" fontId="9" fillId="4" borderId="95" xfId="2" applyNumberFormat="1" applyFont="1" applyFill="1" applyBorder="1" applyAlignment="1">
      <alignment horizontal="center" vertical="top"/>
    </xf>
    <xf numFmtId="0" fontId="18" fillId="4" borderId="95" xfId="1" applyFont="1" applyFill="1" applyBorder="1" applyAlignment="1">
      <alignment horizontal="center" vertical="top"/>
    </xf>
    <xf numFmtId="0" fontId="18" fillId="4" borderId="5" xfId="1" applyFont="1" applyFill="1" applyBorder="1" applyAlignment="1">
      <alignment horizontal="center" vertical="top"/>
    </xf>
    <xf numFmtId="0" fontId="18" fillId="4" borderId="12" xfId="1" applyFont="1" applyFill="1" applyBorder="1" applyAlignment="1">
      <alignment horizontal="center" vertical="top"/>
    </xf>
    <xf numFmtId="0" fontId="18" fillId="4" borderId="6" xfId="1" applyFont="1" applyFill="1" applyBorder="1" applyAlignment="1">
      <alignment horizontal="center" vertical="top"/>
    </xf>
    <xf numFmtId="0" fontId="18" fillId="4" borderId="1" xfId="1" applyFont="1" applyFill="1" applyBorder="1" applyAlignment="1">
      <alignment horizontal="center" vertical="top"/>
    </xf>
    <xf numFmtId="0" fontId="18" fillId="4" borderId="10" xfId="1" applyFont="1" applyFill="1" applyBorder="1" applyAlignment="1">
      <alignment horizontal="center" vertical="top"/>
    </xf>
    <xf numFmtId="169" fontId="9" fillId="4" borderId="6" xfId="2" applyNumberFormat="1" applyFont="1" applyFill="1" applyBorder="1" applyAlignment="1">
      <alignment horizontal="center" vertical="top"/>
    </xf>
    <xf numFmtId="169" fontId="9" fillId="4" borderId="1" xfId="2" applyNumberFormat="1" applyFont="1" applyFill="1" applyBorder="1" applyAlignment="1">
      <alignment horizontal="center" vertical="top"/>
    </xf>
    <xf numFmtId="169" fontId="9" fillId="4" borderId="10" xfId="2" applyNumberFormat="1" applyFont="1" applyFill="1" applyBorder="1" applyAlignment="1">
      <alignment horizontal="center" vertical="top"/>
    </xf>
    <xf numFmtId="0" fontId="18" fillId="4" borderId="3" xfId="1" applyFont="1" applyFill="1" applyBorder="1" applyAlignment="1">
      <alignment horizontal="center" vertical="top"/>
    </xf>
    <xf numFmtId="0" fontId="18" fillId="4" borderId="2" xfId="1" applyFont="1" applyFill="1" applyBorder="1" applyAlignment="1">
      <alignment horizontal="center" vertical="top"/>
    </xf>
    <xf numFmtId="169" fontId="9" fillId="2" borderId="5" xfId="2" applyNumberFormat="1" applyFont="1" applyFill="1" applyBorder="1" applyAlignment="1">
      <alignment horizontal="center"/>
    </xf>
    <xf numFmtId="169" fontId="9" fillId="2" borderId="12" xfId="2" applyNumberFormat="1" applyFont="1" applyFill="1" applyBorder="1" applyAlignment="1">
      <alignment horizontal="center"/>
    </xf>
    <xf numFmtId="169" fontId="9" fillId="2" borderId="9" xfId="2" applyNumberFormat="1" applyFont="1" applyFill="1" applyBorder="1" applyAlignment="1">
      <alignment horizontal="center"/>
    </xf>
    <xf numFmtId="0" fontId="18" fillId="2" borderId="5" xfId="1" applyFont="1" applyFill="1" applyBorder="1" applyAlignment="1">
      <alignment horizontal="center" vertical="top"/>
    </xf>
    <xf numFmtId="0" fontId="7" fillId="2" borderId="9" xfId="0" applyFont="1" applyFill="1" applyBorder="1" applyAlignment="1">
      <alignment horizontal="center" vertical="top" wrapText="1"/>
    </xf>
    <xf numFmtId="169" fontId="9" fillId="2" borderId="112" xfId="2" applyNumberFormat="1" applyFont="1" applyFill="1" applyBorder="1" applyAlignment="1">
      <alignment horizontal="center" vertical="top"/>
    </xf>
    <xf numFmtId="169" fontId="9" fillId="2" borderId="59" xfId="2" applyNumberFormat="1" applyFont="1" applyFill="1" applyBorder="1" applyAlignment="1">
      <alignment horizontal="center" vertical="top"/>
    </xf>
    <xf numFmtId="0" fontId="20"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18" fillId="4" borderId="99" xfId="1" applyFont="1" applyFill="1" applyBorder="1" applyAlignment="1">
      <alignment horizontal="left" vertical="top" wrapText="1"/>
    </xf>
    <xf numFmtId="0" fontId="18" fillId="7" borderId="62" xfId="1" applyFont="1" applyFill="1" applyBorder="1" applyAlignment="1">
      <alignment horizontal="center" vertical="top" wrapText="1"/>
    </xf>
    <xf numFmtId="0" fontId="18" fillId="2" borderId="19" xfId="1" applyFont="1" applyFill="1" applyBorder="1" applyAlignment="1">
      <alignment horizontal="center" vertical="top" wrapText="1"/>
    </xf>
    <xf numFmtId="0" fontId="18" fillId="2" borderId="20" xfId="1" applyFont="1" applyFill="1" applyBorder="1" applyAlignment="1">
      <alignment horizontal="center" vertical="top" wrapText="1"/>
    </xf>
    <xf numFmtId="0" fontId="18"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0" fillId="4" borderId="0" xfId="0" applyNumberFormat="1" applyFont="1" applyFill="1"/>
    <xf numFmtId="14" fontId="0" fillId="4" borderId="0" xfId="0" applyNumberFormat="1" applyFill="1"/>
    <xf numFmtId="14" fontId="0" fillId="2" borderId="0" xfId="0" applyNumberFormat="1" applyFill="1"/>
    <xf numFmtId="14" fontId="7"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18" fillId="2" borderId="6" xfId="1" applyNumberFormat="1" applyFont="1" applyFill="1" applyBorder="1" applyAlignment="1">
      <alignment horizontal="center" vertical="top"/>
    </xf>
    <xf numFmtId="14" fontId="18" fillId="2" borderId="1" xfId="1" applyNumberFormat="1" applyFont="1" applyFill="1" applyBorder="1" applyAlignment="1">
      <alignment horizontal="center" vertical="top"/>
    </xf>
    <xf numFmtId="14" fontId="18" fillId="2" borderId="10" xfId="1" applyNumberFormat="1" applyFont="1" applyFill="1" applyBorder="1" applyAlignment="1">
      <alignment horizontal="center" vertical="top"/>
    </xf>
    <xf numFmtId="14" fontId="18" fillId="2" borderId="12" xfId="1" applyNumberFormat="1" applyFont="1" applyFill="1" applyBorder="1" applyAlignment="1">
      <alignment horizontal="center" vertical="top"/>
    </xf>
    <xf numFmtId="14" fontId="18" fillId="2" borderId="73" xfId="1" applyNumberFormat="1" applyFont="1" applyFill="1" applyBorder="1" applyAlignment="1">
      <alignment horizontal="center" vertical="top"/>
    </xf>
    <xf numFmtId="14" fontId="18" fillId="2" borderId="36" xfId="1" applyNumberFormat="1" applyFont="1" applyFill="1" applyBorder="1" applyAlignment="1">
      <alignment horizontal="center" vertical="top"/>
    </xf>
    <xf numFmtId="14" fontId="18" fillId="2" borderId="27" xfId="1" applyNumberFormat="1" applyFont="1" applyFill="1" applyBorder="1" applyAlignment="1">
      <alignment horizontal="center" vertical="top"/>
    </xf>
    <xf numFmtId="14" fontId="18" fillId="2" borderId="40" xfId="1" applyNumberFormat="1" applyFont="1" applyFill="1" applyBorder="1" applyAlignment="1">
      <alignment horizontal="center" vertical="top"/>
    </xf>
    <xf numFmtId="14" fontId="18" fillId="4" borderId="36" xfId="1" applyNumberFormat="1" applyFont="1" applyFill="1" applyBorder="1" applyAlignment="1">
      <alignment horizontal="center" vertical="top"/>
    </xf>
    <xf numFmtId="14" fontId="18" fillId="4" borderId="27" xfId="1" applyNumberFormat="1" applyFont="1" applyFill="1" applyBorder="1" applyAlignment="1">
      <alignment horizontal="center" vertical="top"/>
    </xf>
    <xf numFmtId="14" fontId="18" fillId="2" borderId="89" xfId="1" applyNumberFormat="1" applyFont="1" applyFill="1" applyBorder="1" applyAlignment="1">
      <alignment horizontal="center" vertical="top"/>
    </xf>
    <xf numFmtId="14" fontId="18" fillId="2" borderId="95" xfId="1" applyNumberFormat="1" applyFont="1" applyFill="1" applyBorder="1" applyAlignment="1">
      <alignment horizontal="center" vertical="top"/>
    </xf>
    <xf numFmtId="14" fontId="9" fillId="2" borderId="27" xfId="1" applyNumberFormat="1" applyFont="1" applyFill="1" applyBorder="1" applyAlignment="1">
      <alignment horizontal="left" vertical="top" wrapText="1"/>
    </xf>
    <xf numFmtId="14" fontId="9" fillId="2" borderId="40" xfId="1" applyNumberFormat="1" applyFont="1" applyFill="1" applyBorder="1" applyAlignment="1">
      <alignment horizontal="left" vertical="top" wrapText="1"/>
    </xf>
    <xf numFmtId="14" fontId="18" fillId="4" borderId="99" xfId="1" applyNumberFormat="1" applyFont="1" applyFill="1" applyBorder="1" applyAlignment="1">
      <alignment horizontal="left" vertical="top"/>
    </xf>
    <xf numFmtId="14" fontId="9" fillId="2" borderId="6" xfId="2" applyNumberFormat="1" applyFont="1" applyFill="1" applyBorder="1" applyAlignment="1">
      <alignment horizontal="center" vertical="top"/>
    </xf>
    <xf numFmtId="14" fontId="9" fillId="2" borderId="2" xfId="2" applyNumberFormat="1" applyFont="1" applyFill="1" applyBorder="1" applyAlignment="1">
      <alignment horizontal="center" vertical="top"/>
    </xf>
    <xf numFmtId="14" fontId="9" fillId="2" borderId="6" xfId="1" applyNumberFormat="1" applyFont="1" applyFill="1" applyBorder="1" applyAlignment="1">
      <alignment horizontal="center" vertical="top" wrapText="1"/>
    </xf>
    <xf numFmtId="14" fontId="9" fillId="2" borderId="1" xfId="1" applyNumberFormat="1" applyFont="1" applyFill="1" applyBorder="1" applyAlignment="1">
      <alignment horizontal="center" vertical="top" wrapText="1"/>
    </xf>
    <xf numFmtId="14" fontId="9" fillId="2" borderId="10" xfId="1" applyNumberFormat="1" applyFont="1" applyFill="1" applyBorder="1" applyAlignment="1">
      <alignment horizontal="center" vertical="top" wrapText="1"/>
    </xf>
    <xf numFmtId="14" fontId="18"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9" fillId="2" borderId="3" xfId="1" applyNumberFormat="1" applyFont="1" applyFill="1" applyBorder="1" applyAlignment="1">
      <alignment horizontal="left" vertical="center" wrapText="1"/>
    </xf>
    <xf numFmtId="14" fontId="9" fillId="2" borderId="2" xfId="1" applyNumberFormat="1" applyFont="1" applyFill="1" applyBorder="1" applyAlignment="1">
      <alignment horizontal="left" vertical="center" wrapText="1"/>
    </xf>
    <xf numFmtId="14" fontId="9" fillId="2" borderId="5" xfId="1" applyNumberFormat="1" applyFont="1" applyFill="1" applyBorder="1" applyAlignment="1">
      <alignment horizontal="left" vertical="center" wrapText="1"/>
    </xf>
    <xf numFmtId="14" fontId="9" fillId="2" borderId="12" xfId="1" applyNumberFormat="1" applyFont="1" applyFill="1" applyBorder="1" applyAlignment="1">
      <alignment horizontal="left" vertical="center" wrapText="1"/>
    </xf>
    <xf numFmtId="14" fontId="9" fillId="2" borderId="6" xfId="1" applyNumberFormat="1" applyFont="1" applyFill="1" applyBorder="1" applyAlignment="1">
      <alignment horizontal="left" vertical="center" wrapText="1"/>
    </xf>
    <xf numFmtId="14" fontId="9" fillId="2" borderId="1" xfId="1" applyNumberFormat="1" applyFont="1" applyFill="1" applyBorder="1" applyAlignment="1">
      <alignment horizontal="left" vertical="center" wrapText="1"/>
    </xf>
    <xf numFmtId="14" fontId="9" fillId="2" borderId="10" xfId="1" applyNumberFormat="1" applyFont="1" applyFill="1" applyBorder="1" applyAlignment="1">
      <alignment horizontal="left" vertical="center" wrapText="1"/>
    </xf>
    <xf numFmtId="14" fontId="9" fillId="2" borderId="12" xfId="1" applyNumberFormat="1" applyFont="1" applyFill="1" applyBorder="1" applyAlignment="1">
      <alignment horizontal="center" vertical="center" wrapText="1"/>
    </xf>
    <xf numFmtId="14" fontId="9" fillId="2" borderId="9" xfId="1" applyNumberFormat="1" applyFont="1" applyFill="1" applyBorder="1" applyAlignment="1">
      <alignment horizontal="center" vertical="center" wrapText="1"/>
    </xf>
    <xf numFmtId="14" fontId="9" fillId="2" borderId="1" xfId="2" applyNumberFormat="1" applyFont="1" applyFill="1" applyBorder="1" applyAlignment="1">
      <alignment horizontal="center" vertical="top"/>
    </xf>
    <xf numFmtId="14" fontId="9" fillId="2" borderId="10" xfId="2" applyNumberFormat="1" applyFont="1" applyFill="1" applyBorder="1" applyAlignment="1">
      <alignment horizontal="center" vertical="top"/>
    </xf>
    <xf numFmtId="14" fontId="18" fillId="7" borderId="62" xfId="1" applyNumberFormat="1" applyFont="1" applyFill="1" applyBorder="1" applyAlignment="1">
      <alignment horizontal="center" vertical="top"/>
    </xf>
    <xf numFmtId="14" fontId="9" fillId="2" borderId="12" xfId="2" applyNumberFormat="1" applyFont="1" applyFill="1" applyBorder="1" applyAlignment="1">
      <alignment horizontal="center" vertical="top"/>
    </xf>
    <xf numFmtId="14" fontId="9" fillId="2" borderId="9" xfId="2" applyNumberFormat="1" applyFont="1" applyFill="1" applyBorder="1" applyAlignment="1">
      <alignment horizontal="center" vertical="top"/>
    </xf>
    <xf numFmtId="14" fontId="18" fillId="4" borderId="5" xfId="1" applyNumberFormat="1" applyFont="1" applyFill="1" applyBorder="1" applyAlignment="1">
      <alignment horizontal="center" vertical="top"/>
    </xf>
    <xf numFmtId="14" fontId="18" fillId="4" borderId="12" xfId="1" applyNumberFormat="1" applyFont="1" applyFill="1" applyBorder="1" applyAlignment="1">
      <alignment horizontal="center" vertical="top"/>
    </xf>
    <xf numFmtId="14" fontId="18" fillId="4" borderId="6" xfId="1" applyNumberFormat="1" applyFont="1" applyFill="1" applyBorder="1" applyAlignment="1">
      <alignment horizontal="center" vertical="top"/>
    </xf>
    <xf numFmtId="14" fontId="18" fillId="4" borderId="1" xfId="1" applyNumberFormat="1" applyFont="1" applyFill="1" applyBorder="1" applyAlignment="1">
      <alignment horizontal="center" vertical="top"/>
    </xf>
    <xf numFmtId="14" fontId="18" fillId="4" borderId="10" xfId="1" applyNumberFormat="1" applyFont="1" applyFill="1" applyBorder="1" applyAlignment="1">
      <alignment horizontal="center" vertical="top"/>
    </xf>
    <xf numFmtId="14" fontId="18" fillId="4" borderId="3" xfId="1" applyNumberFormat="1" applyFont="1" applyFill="1" applyBorder="1" applyAlignment="1">
      <alignment horizontal="center" vertical="top"/>
    </xf>
    <xf numFmtId="14" fontId="18" fillId="4" borderId="2" xfId="1" applyNumberFormat="1" applyFont="1" applyFill="1" applyBorder="1" applyAlignment="1">
      <alignment horizontal="center" vertical="top"/>
    </xf>
    <xf numFmtId="14" fontId="18" fillId="2" borderId="20" xfId="1" applyNumberFormat="1" applyFont="1" applyFill="1" applyBorder="1" applyAlignment="1">
      <alignment horizontal="center" vertical="top"/>
    </xf>
    <xf numFmtId="14" fontId="18" fillId="2" borderId="19" xfId="1" applyNumberFormat="1" applyFont="1" applyFill="1" applyBorder="1" applyAlignment="1">
      <alignment horizontal="center" vertical="top"/>
    </xf>
    <xf numFmtId="14" fontId="18" fillId="2" borderId="70" xfId="1" applyNumberFormat="1" applyFont="1" applyFill="1" applyBorder="1" applyAlignment="1">
      <alignment horizontal="left" vertical="top"/>
    </xf>
    <xf numFmtId="14" fontId="18" fillId="2" borderId="5" xfId="1" applyNumberFormat="1" applyFont="1" applyFill="1" applyBorder="1" applyAlignment="1">
      <alignment horizontal="center" vertical="top"/>
    </xf>
    <xf numFmtId="0" fontId="8" fillId="4" borderId="61" xfId="1" applyFill="1" applyBorder="1" applyAlignment="1">
      <alignment horizontal="left" vertical="top"/>
    </xf>
    <xf numFmtId="0" fontId="9" fillId="4" borderId="62" xfId="1" applyFont="1" applyFill="1" applyBorder="1" applyAlignment="1">
      <alignment horizontal="left" vertical="top" wrapText="1"/>
    </xf>
    <xf numFmtId="0" fontId="9" fillId="4" borderId="62" xfId="1" applyFont="1" applyFill="1" applyBorder="1" applyAlignment="1">
      <alignment horizontal="center" vertical="top"/>
    </xf>
    <xf numFmtId="14" fontId="9" fillId="4" borderId="62" xfId="1" applyNumberFormat="1" applyFont="1" applyFill="1" applyBorder="1" applyAlignment="1">
      <alignment horizontal="center" vertical="center"/>
    </xf>
    <xf numFmtId="0" fontId="9" fillId="4" borderId="62" xfId="1" applyFont="1" applyFill="1" applyBorder="1" applyAlignment="1">
      <alignment vertical="center" wrapText="1"/>
    </xf>
    <xf numFmtId="0" fontId="9" fillId="4" borderId="62" xfId="0" applyFont="1" applyFill="1" applyBorder="1" applyAlignment="1">
      <alignment horizontal="left" vertical="top"/>
    </xf>
    <xf numFmtId="3" fontId="9" fillId="4" borderId="62" xfId="0" applyNumberFormat="1" applyFont="1" applyFill="1" applyBorder="1" applyAlignment="1">
      <alignment horizontal="right" vertical="top"/>
    </xf>
    <xf numFmtId="0" fontId="9" fillId="4" borderId="62" xfId="0" applyFont="1" applyFill="1" applyBorder="1" applyAlignment="1">
      <alignment horizontal="left" vertical="top" wrapText="1"/>
    </xf>
    <xf numFmtId="0" fontId="9" fillId="2" borderId="62" xfId="0" applyFont="1" applyFill="1" applyBorder="1"/>
    <xf numFmtId="169" fontId="9" fillId="4" borderId="62" xfId="2" applyNumberFormat="1" applyFont="1" applyFill="1" applyBorder="1" applyAlignment="1">
      <alignment horizontal="right" vertical="top"/>
    </xf>
    <xf numFmtId="10" fontId="9" fillId="4" borderId="63" xfId="3" applyNumberFormat="1" applyFont="1" applyFill="1" applyBorder="1" applyAlignment="1">
      <alignment horizontal="right" vertical="top"/>
    </xf>
    <xf numFmtId="170" fontId="20" fillId="4" borderId="0" xfId="0" applyNumberFormat="1" applyFont="1" applyFill="1"/>
    <xf numFmtId="170" fontId="0" fillId="4" borderId="0" xfId="0" applyNumberFormat="1" applyFill="1"/>
    <xf numFmtId="170" fontId="9" fillId="2" borderId="0" xfId="2" applyNumberFormat="1" applyFont="1" applyFill="1"/>
    <xf numFmtId="170" fontId="7" fillId="2" borderId="10" xfId="0" applyNumberFormat="1" applyFont="1" applyFill="1" applyBorder="1" applyAlignment="1">
      <alignment horizontal="center" vertical="top" wrapText="1"/>
    </xf>
    <xf numFmtId="170" fontId="9" fillId="4" borderId="99" xfId="2" applyNumberFormat="1" applyFont="1" applyFill="1" applyBorder="1" applyAlignment="1">
      <alignment horizontal="left" vertical="top"/>
    </xf>
    <xf numFmtId="170" fontId="9" fillId="2" borderId="6" xfId="2" applyNumberFormat="1" applyFont="1" applyFill="1" applyBorder="1" applyAlignment="1">
      <alignment horizontal="center" vertical="center"/>
    </xf>
    <xf numFmtId="170" fontId="9" fillId="2" borderId="1" xfId="2" applyNumberFormat="1" applyFont="1" applyFill="1" applyBorder="1" applyAlignment="1">
      <alignment horizontal="center" vertical="center"/>
    </xf>
    <xf numFmtId="170" fontId="9" fillId="2" borderId="10" xfId="2" applyNumberFormat="1" applyFont="1" applyFill="1" applyBorder="1" applyAlignment="1">
      <alignment horizontal="center" vertical="center"/>
    </xf>
    <xf numFmtId="170" fontId="9" fillId="7" borderId="62" xfId="2" applyNumberFormat="1" applyFont="1" applyFill="1" applyBorder="1" applyAlignment="1">
      <alignment horizontal="center" vertical="top"/>
    </xf>
    <xf numFmtId="170" fontId="9" fillId="4" borderId="62" xfId="2" applyNumberFormat="1" applyFont="1" applyFill="1" applyBorder="1" applyAlignment="1">
      <alignment horizontal="center" vertical="center"/>
    </xf>
    <xf numFmtId="170" fontId="9" fillId="2" borderId="20" xfId="2" applyNumberFormat="1" applyFont="1" applyFill="1" applyBorder="1" applyAlignment="1">
      <alignment horizontal="left" vertical="top"/>
    </xf>
    <xf numFmtId="170" fontId="9" fillId="2" borderId="19" xfId="2" applyNumberFormat="1" applyFont="1" applyFill="1" applyBorder="1" applyAlignment="1">
      <alignment horizontal="center" vertical="top"/>
    </xf>
    <xf numFmtId="170" fontId="9" fillId="2" borderId="20" xfId="2" applyNumberFormat="1" applyFont="1" applyFill="1" applyBorder="1" applyAlignment="1">
      <alignment horizontal="center" vertical="top"/>
    </xf>
    <xf numFmtId="170" fontId="9" fillId="2" borderId="70" xfId="2" applyNumberFormat="1" applyFont="1" applyFill="1" applyBorder="1" applyAlignment="1">
      <alignment horizontal="left" vertical="top"/>
    </xf>
    <xf numFmtId="0" fontId="9" fillId="4" borderId="5" xfId="1" applyFont="1" applyFill="1" applyBorder="1" applyAlignment="1">
      <alignment vertical="center" wrapText="1"/>
    </xf>
    <xf numFmtId="0" fontId="9" fillId="4" borderId="5" xfId="1" applyFont="1" applyFill="1" applyBorder="1" applyAlignment="1">
      <alignment vertical="center"/>
    </xf>
    <xf numFmtId="14" fontId="9" fillId="4" borderId="5" xfId="1" applyNumberFormat="1" applyFont="1" applyFill="1" applyBorder="1" applyAlignment="1">
      <alignment vertical="center"/>
    </xf>
    <xf numFmtId="170" fontId="9" fillId="4" borderId="5" xfId="1" applyNumberFormat="1" applyFont="1" applyFill="1" applyBorder="1" applyAlignment="1">
      <alignment vertical="center"/>
    </xf>
    <xf numFmtId="0" fontId="9" fillId="4" borderId="9" xfId="1" applyFont="1" applyFill="1" applyBorder="1" applyAlignment="1">
      <alignment vertical="center" wrapText="1"/>
    </xf>
    <xf numFmtId="0" fontId="9" fillId="4" borderId="9" xfId="1" applyFont="1" applyFill="1" applyBorder="1" applyAlignment="1">
      <alignment vertical="center"/>
    </xf>
    <xf numFmtId="14" fontId="9" fillId="4" borderId="9" xfId="1" applyNumberFormat="1" applyFont="1" applyFill="1" applyBorder="1" applyAlignment="1">
      <alignment vertical="center"/>
    </xf>
    <xf numFmtId="170" fontId="9" fillId="4" borderId="9" xfId="1" applyNumberFormat="1" applyFont="1" applyFill="1" applyBorder="1" applyAlignment="1">
      <alignment vertical="center"/>
    </xf>
    <xf numFmtId="0" fontId="15" fillId="2" borderId="59" xfId="0" applyFont="1" applyFill="1" applyBorder="1" applyAlignment="1">
      <alignment vertical="center"/>
    </xf>
    <xf numFmtId="0" fontId="15" fillId="2" borderId="70" xfId="0" applyFont="1" applyFill="1" applyBorder="1" applyAlignment="1">
      <alignment vertical="center"/>
    </xf>
    <xf numFmtId="9" fontId="14" fillId="2" borderId="0" xfId="0" applyNumberFormat="1" applyFont="1" applyFill="1"/>
    <xf numFmtId="0" fontId="6" fillId="0" borderId="0" xfId="4"/>
    <xf numFmtId="0" fontId="7" fillId="0" borderId="0" xfId="0" applyFont="1"/>
    <xf numFmtId="0" fontId="33" fillId="0" borderId="0" xfId="0" applyFont="1"/>
    <xf numFmtId="172" fontId="35" fillId="0" borderId="0" xfId="0" applyNumberFormat="1" applyFont="1" applyAlignment="1">
      <alignment horizontal="center"/>
    </xf>
    <xf numFmtId="0" fontId="35"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5" fontId="0" fillId="2" borderId="1" xfId="0" applyNumberFormat="1" applyFill="1" applyBorder="1"/>
    <xf numFmtId="170" fontId="15" fillId="2" borderId="55" xfId="0" applyNumberFormat="1" applyFont="1" applyFill="1" applyBorder="1" applyAlignment="1">
      <alignment horizontal="center" vertical="center" wrapText="1"/>
    </xf>
    <xf numFmtId="171" fontId="14" fillId="2" borderId="1" xfId="2" applyNumberFormat="1" applyFont="1" applyFill="1" applyBorder="1"/>
    <xf numFmtId="0" fontId="24" fillId="0" borderId="1" xfId="4" applyFont="1" applyBorder="1" applyAlignment="1">
      <alignment horizontal="center"/>
    </xf>
    <xf numFmtId="0" fontId="36" fillId="0" borderId="1" xfId="4" applyFont="1" applyBorder="1" applyAlignment="1">
      <alignment horizontal="left" vertical="center"/>
    </xf>
    <xf numFmtId="0" fontId="36" fillId="0" borderId="1" xfId="4" applyFont="1" applyBorder="1" applyAlignment="1">
      <alignment horizontal="left" vertical="center" wrapText="1"/>
    </xf>
    <xf numFmtId="0" fontId="6" fillId="0" borderId="0" xfId="4" applyAlignment="1">
      <alignment wrapText="1"/>
    </xf>
    <xf numFmtId="0" fontId="6" fillId="0" borderId="1" xfId="4" applyBorder="1" applyAlignment="1">
      <alignment wrapText="1"/>
    </xf>
    <xf numFmtId="170" fontId="15" fillId="2" borderId="1" xfId="0" applyNumberFormat="1" applyFont="1" applyFill="1" applyBorder="1" applyAlignment="1">
      <alignment vertical="center" wrapText="1"/>
    </xf>
    <xf numFmtId="0" fontId="0" fillId="2" borderId="16" xfId="0" applyFill="1" applyBorder="1" applyAlignment="1">
      <alignment wrapText="1"/>
    </xf>
    <xf numFmtId="0" fontId="7" fillId="2" borderId="114" xfId="0" applyFont="1" applyFill="1" applyBorder="1" applyAlignment="1">
      <alignment wrapText="1"/>
    </xf>
    <xf numFmtId="0" fontId="8" fillId="2" borderId="16" xfId="1" applyFill="1" applyBorder="1" applyAlignment="1">
      <alignment wrapText="1"/>
    </xf>
    <xf numFmtId="14" fontId="6" fillId="0" borderId="0" xfId="4" applyNumberFormat="1" applyAlignment="1">
      <alignment wrapText="1"/>
    </xf>
    <xf numFmtId="14" fontId="6" fillId="0" borderId="0" xfId="4" applyNumberFormat="1"/>
    <xf numFmtId="170" fontId="15" fillId="2" borderId="74" xfId="0" applyNumberFormat="1" applyFont="1" applyFill="1" applyBorder="1" applyAlignment="1">
      <alignment horizontal="center" vertical="center" wrapText="1"/>
    </xf>
    <xf numFmtId="0" fontId="29" fillId="14" borderId="115" xfId="4" applyFont="1" applyFill="1" applyBorder="1" applyAlignment="1">
      <alignment wrapText="1"/>
    </xf>
    <xf numFmtId="0" fontId="0" fillId="0" borderId="0" xfId="0" pivotButton="1"/>
    <xf numFmtId="0" fontId="0" fillId="0" borderId="0" xfId="0" applyAlignment="1">
      <alignment horizontal="left"/>
    </xf>
    <xf numFmtId="174" fontId="0" fillId="0" borderId="0" xfId="0" applyNumberFormat="1"/>
    <xf numFmtId="174" fontId="14" fillId="2" borderId="1" xfId="0" applyNumberFormat="1" applyFont="1" applyFill="1" applyBorder="1"/>
    <xf numFmtId="0" fontId="12" fillId="3" borderId="0" xfId="0" applyFont="1" applyFill="1"/>
    <xf numFmtId="0" fontId="30" fillId="13" borderId="0" xfId="0" applyFont="1" applyFill="1"/>
    <xf numFmtId="0" fontId="30" fillId="0" borderId="0" xfId="0" applyFont="1"/>
    <xf numFmtId="176" fontId="39" fillId="0" borderId="1" xfId="4" applyNumberFormat="1" applyFont="1" applyBorder="1"/>
    <xf numFmtId="0" fontId="39" fillId="0" borderId="0" xfId="4" applyFont="1"/>
    <xf numFmtId="176" fontId="39" fillId="0" borderId="0" xfId="4" applyNumberFormat="1" applyFont="1"/>
    <xf numFmtId="170" fontId="16" fillId="2" borderId="1" xfId="0" applyNumberFormat="1" applyFont="1" applyFill="1" applyBorder="1"/>
    <xf numFmtId="0" fontId="25" fillId="0" borderId="1" xfId="4" applyFont="1" applyBorder="1"/>
    <xf numFmtId="0" fontId="8"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18" borderId="0" xfId="0" applyFill="1"/>
    <xf numFmtId="0" fontId="47" fillId="0" borderId="0" xfId="0" applyFont="1"/>
    <xf numFmtId="0" fontId="48" fillId="0" borderId="1" xfId="0" applyFont="1" applyBorder="1"/>
    <xf numFmtId="0" fontId="48" fillId="0" borderId="1" xfId="0" applyFont="1" applyBorder="1" applyAlignment="1">
      <alignment wrapText="1"/>
    </xf>
    <xf numFmtId="0" fontId="47" fillId="0" borderId="0" xfId="0" applyFont="1" applyAlignment="1">
      <alignment wrapText="1"/>
    </xf>
    <xf numFmtId="169" fontId="0" fillId="0" borderId="0" xfId="2" applyNumberFormat="1" applyFont="1" applyBorder="1" applyAlignment="1"/>
    <xf numFmtId="176" fontId="49" fillId="0" borderId="1" xfId="7" applyNumberFormat="1" applyFont="1" applyBorder="1" applyAlignment="1"/>
    <xf numFmtId="9" fontId="49" fillId="0" borderId="1" xfId="3" applyFont="1" applyBorder="1" applyAlignment="1"/>
    <xf numFmtId="9" fontId="0" fillId="0" borderId="0" xfId="3" applyFont="1" applyBorder="1" applyAlignment="1"/>
    <xf numFmtId="0" fontId="50" fillId="0" borderId="0" xfId="0" applyFont="1" applyAlignment="1">
      <alignment horizontal="center" vertical="top" wrapText="1"/>
    </xf>
    <xf numFmtId="0" fontId="42" fillId="0" borderId="0" xfId="0" applyFont="1" applyAlignment="1">
      <alignment vertical="top" wrapText="1"/>
    </xf>
    <xf numFmtId="0" fontId="0" fillId="0" borderId="0" xfId="0" applyAlignment="1">
      <alignment wrapText="1"/>
    </xf>
    <xf numFmtId="0" fontId="41" fillId="0" borderId="1" xfId="0" applyFont="1" applyBorder="1"/>
    <xf numFmtId="167" fontId="0" fillId="0" borderId="0" xfId="0" applyNumberFormat="1"/>
    <xf numFmtId="0" fontId="41" fillId="0" borderId="1" xfId="0" applyFont="1" applyBorder="1" applyAlignment="1">
      <alignment horizontal="center"/>
    </xf>
    <xf numFmtId="0" fontId="51" fillId="0" borderId="0" xfId="0" applyFont="1"/>
    <xf numFmtId="170" fontId="15" fillId="2" borderId="69" xfId="0" applyNumberFormat="1" applyFont="1" applyFill="1" applyBorder="1" applyAlignment="1">
      <alignment horizontal="left" vertical="center" wrapText="1"/>
    </xf>
    <xf numFmtId="169" fontId="14" fillId="2" borderId="0" xfId="2" applyNumberFormat="1" applyFont="1" applyFill="1" applyBorder="1" applyAlignment="1">
      <alignment wrapText="1"/>
    </xf>
    <xf numFmtId="176" fontId="14" fillId="2" borderId="1" xfId="7" applyNumberFormat="1" applyFont="1" applyFill="1" applyBorder="1"/>
    <xf numFmtId="0" fontId="0" fillId="2" borderId="41" xfId="0" applyFill="1" applyBorder="1" applyAlignment="1">
      <alignment vertical="top"/>
    </xf>
    <xf numFmtId="0" fontId="8" fillId="2" borderId="13" xfId="1" applyFill="1" applyBorder="1" applyAlignment="1">
      <alignment wrapText="1"/>
    </xf>
    <xf numFmtId="0" fontId="15" fillId="2" borderId="3" xfId="0" applyFont="1" applyFill="1" applyBorder="1" applyAlignment="1">
      <alignment vertical="center" wrapText="1"/>
    </xf>
    <xf numFmtId="0" fontId="16" fillId="2" borderId="1" xfId="0" applyFont="1" applyFill="1" applyBorder="1"/>
    <xf numFmtId="176" fontId="15" fillId="2" borderId="3" xfId="7" applyNumberFormat="1" applyFont="1" applyFill="1" applyBorder="1" applyAlignment="1">
      <alignment vertical="center" wrapText="1"/>
    </xf>
    <xf numFmtId="176" fontId="16" fillId="2" borderId="1" xfId="7" applyNumberFormat="1" applyFont="1" applyFill="1" applyBorder="1"/>
    <xf numFmtId="176" fontId="14" fillId="2" borderId="0" xfId="7" applyNumberFormat="1" applyFont="1" applyFill="1" applyBorder="1"/>
    <xf numFmtId="176" fontId="14" fillId="2" borderId="0" xfId="7" applyNumberFormat="1" applyFont="1" applyFill="1"/>
    <xf numFmtId="0" fontId="5" fillId="0" borderId="0" xfId="10" applyAlignment="1">
      <alignment horizontal="center" vertical="center"/>
    </xf>
    <xf numFmtId="0" fontId="5" fillId="0" borderId="0" xfId="10"/>
    <xf numFmtId="176" fontId="0" fillId="0" borderId="0" xfId="11" applyNumberFormat="1" applyFont="1" applyAlignment="1">
      <alignment horizontal="center" vertical="center"/>
    </xf>
    <xf numFmtId="14" fontId="5" fillId="0" borderId="0" xfId="10" applyNumberFormat="1" applyAlignment="1">
      <alignment horizontal="center" vertical="center"/>
    </xf>
    <xf numFmtId="170" fontId="15" fillId="2" borderId="50" xfId="0" applyNumberFormat="1" applyFont="1" applyFill="1" applyBorder="1" applyAlignment="1">
      <alignment horizontal="center" vertical="center" wrapText="1"/>
    </xf>
    <xf numFmtId="170" fontId="15" fillId="2" borderId="117" xfId="0" applyNumberFormat="1" applyFont="1" applyFill="1" applyBorder="1" applyAlignment="1">
      <alignment horizontal="center" vertical="center" wrapText="1"/>
    </xf>
    <xf numFmtId="170" fontId="15" fillId="2" borderId="69" xfId="0" applyNumberFormat="1" applyFont="1" applyFill="1" applyBorder="1" applyAlignment="1">
      <alignment horizontal="center" vertical="center" wrapText="1"/>
    </xf>
    <xf numFmtId="167" fontId="5" fillId="0" borderId="0" xfId="10" applyNumberFormat="1"/>
    <xf numFmtId="0" fontId="16" fillId="11" borderId="1" xfId="0" applyFont="1" applyFill="1" applyBorder="1" applyAlignment="1">
      <alignment wrapText="1"/>
    </xf>
    <xf numFmtId="0" fontId="0" fillId="2" borderId="17" xfId="0" applyFill="1" applyBorder="1" applyAlignment="1">
      <alignment vertical="top" wrapText="1"/>
    </xf>
    <xf numFmtId="0" fontId="24" fillId="0" borderId="0" xfId="12" applyFont="1"/>
    <xf numFmtId="0" fontId="45" fillId="0" borderId="0" xfId="12" applyFont="1"/>
    <xf numFmtId="0" fontId="4" fillId="0" borderId="0" xfId="12"/>
    <xf numFmtId="0" fontId="53" fillId="0" borderId="109" xfId="12" applyFont="1" applyBorder="1"/>
    <xf numFmtId="0" fontId="53" fillId="0" borderId="109" xfId="12" applyFont="1" applyBorder="1" applyAlignment="1">
      <alignment horizontal="center"/>
    </xf>
    <xf numFmtId="176" fontId="45" fillId="0" borderId="0" xfId="13" applyNumberFormat="1" applyFont="1"/>
    <xf numFmtId="176" fontId="45" fillId="0" borderId="0" xfId="12" applyNumberFormat="1" applyFont="1"/>
    <xf numFmtId="0" fontId="14" fillId="2" borderId="0" xfId="0" applyFont="1" applyFill="1" applyAlignment="1">
      <alignment wrapText="1"/>
    </xf>
    <xf numFmtId="170" fontId="14" fillId="2" borderId="0" xfId="7" applyNumberFormat="1" applyFont="1" applyFill="1"/>
    <xf numFmtId="0" fontId="7"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7"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7" fontId="0" fillId="2" borderId="10" xfId="0" applyNumberFormat="1" applyFill="1" applyBorder="1" applyAlignment="1">
      <alignment wrapText="1"/>
    </xf>
    <xf numFmtId="167" fontId="0" fillId="2" borderId="10" xfId="7" applyFont="1" applyFill="1" applyBorder="1" applyAlignment="1">
      <alignment wrapText="1"/>
    </xf>
    <xf numFmtId="0" fontId="20" fillId="2" borderId="0" xfId="0" applyFont="1" applyFill="1" applyAlignment="1">
      <alignment wrapText="1"/>
    </xf>
    <xf numFmtId="0" fontId="7" fillId="2" borderId="12" xfId="0" applyFont="1" applyFill="1" applyBorder="1" applyAlignment="1">
      <alignment vertical="top" wrapText="1"/>
    </xf>
    <xf numFmtId="0" fontId="7" fillId="2" borderId="120" xfId="0" applyFont="1" applyFill="1" applyBorder="1" applyAlignment="1">
      <alignment vertical="top" wrapText="1"/>
    </xf>
    <xf numFmtId="0" fontId="7" fillId="2" borderId="3" xfId="0" applyFont="1" applyFill="1" applyBorder="1" applyAlignment="1">
      <alignment vertical="top" wrapText="1"/>
    </xf>
    <xf numFmtId="176" fontId="0" fillId="2" borderId="1" xfId="7" applyNumberFormat="1" applyFont="1" applyFill="1" applyBorder="1" applyAlignment="1">
      <alignment wrapText="1"/>
    </xf>
    <xf numFmtId="176" fontId="4" fillId="0" borderId="0" xfId="12" applyNumberFormat="1"/>
    <xf numFmtId="0" fontId="7" fillId="0" borderId="61" xfId="0" applyFont="1" applyBorder="1" applyAlignment="1">
      <alignment horizontal="center" vertical="center"/>
    </xf>
    <xf numFmtId="0" fontId="7" fillId="0" borderId="62" xfId="0" applyFont="1" applyBorder="1" applyAlignment="1">
      <alignment horizontal="center" vertical="center"/>
    </xf>
    <xf numFmtId="0" fontId="7" fillId="0" borderId="63" xfId="0" applyFont="1" applyBorder="1" applyAlignment="1">
      <alignment horizontal="center" vertical="center"/>
    </xf>
    <xf numFmtId="0" fontId="8" fillId="0" borderId="1" xfId="1" applyBorder="1" applyAlignment="1">
      <alignment horizontal="center" vertical="center"/>
    </xf>
    <xf numFmtId="0" fontId="50" fillId="0" borderId="0" xfId="0" applyFont="1" applyAlignment="1">
      <alignment horizontal="center" vertical="center" wrapText="1"/>
    </xf>
    <xf numFmtId="170" fontId="15" fillId="2" borderId="1" xfId="0" applyNumberFormat="1" applyFont="1" applyFill="1" applyBorder="1" applyAlignment="1">
      <alignment horizontal="center" vertical="center" wrapText="1"/>
    </xf>
    <xf numFmtId="0" fontId="15" fillId="2" borderId="2" xfId="0" applyFont="1" applyFill="1" applyBorder="1" applyAlignment="1">
      <alignment horizontal="center" vertical="center" wrapText="1"/>
    </xf>
    <xf numFmtId="0" fontId="15" fillId="2" borderId="1" xfId="0" applyFont="1" applyFill="1" applyBorder="1" applyAlignment="1">
      <alignment horizontal="center" vertical="center" wrapText="1"/>
    </xf>
    <xf numFmtId="0" fontId="15" fillId="2" borderId="2" xfId="0" applyFont="1" applyFill="1" applyBorder="1" applyAlignment="1">
      <alignment horizontal="center" vertical="center"/>
    </xf>
    <xf numFmtId="0" fontId="15" fillId="2" borderId="1" xfId="0" applyFont="1" applyFill="1" applyBorder="1" applyAlignment="1">
      <alignment horizontal="center" vertical="center"/>
    </xf>
    <xf numFmtId="0" fontId="15" fillId="2" borderId="0" xfId="0" applyFont="1" applyFill="1" applyAlignment="1">
      <alignment horizontal="center" vertical="center"/>
    </xf>
    <xf numFmtId="0" fontId="15" fillId="2" borderId="56" xfId="0" applyFont="1" applyFill="1" applyBorder="1" applyAlignment="1">
      <alignment horizontal="center" vertical="center"/>
    </xf>
    <xf numFmtId="0" fontId="15" fillId="2" borderId="26" xfId="0" applyFont="1" applyFill="1" applyBorder="1" applyAlignment="1">
      <alignment horizontal="center" vertical="center"/>
    </xf>
    <xf numFmtId="0" fontId="15"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6" fillId="0" borderId="2" xfId="0" applyFont="1" applyBorder="1" applyAlignment="1">
      <alignment horizontal="center"/>
    </xf>
    <xf numFmtId="0" fontId="26" fillId="0" borderId="12" xfId="0" applyFont="1" applyBorder="1" applyAlignment="1">
      <alignment horizontal="center"/>
    </xf>
    <xf numFmtId="0" fontId="26" fillId="0" borderId="3" xfId="0" applyFont="1" applyBorder="1" applyAlignment="1">
      <alignment horizontal="center"/>
    </xf>
    <xf numFmtId="0" fontId="0" fillId="2" borderId="1" xfId="0" applyFill="1" applyBorder="1" applyAlignment="1">
      <alignment horizontal="center"/>
    </xf>
    <xf numFmtId="0" fontId="9" fillId="2" borderId="27" xfId="1" applyFont="1" applyFill="1" applyBorder="1" applyAlignment="1">
      <alignment horizontal="left" vertical="top" wrapText="1"/>
    </xf>
    <xf numFmtId="0" fontId="9" fillId="2" borderId="40" xfId="1" applyFont="1" applyFill="1" applyBorder="1" applyAlignment="1">
      <alignment horizontal="left" vertical="top" wrapText="1"/>
    </xf>
    <xf numFmtId="0" fontId="9"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9" fillId="2" borderId="1" xfId="1" applyFont="1" applyFill="1" applyBorder="1" applyAlignment="1">
      <alignment horizontal="left" vertical="top"/>
    </xf>
    <xf numFmtId="0" fontId="9" fillId="2" borderId="10" xfId="1" applyFont="1" applyFill="1" applyBorder="1" applyAlignment="1">
      <alignment horizontal="left" vertical="top"/>
    </xf>
    <xf numFmtId="0" fontId="9" fillId="2" borderId="12" xfId="1" applyFont="1" applyFill="1" applyBorder="1" applyAlignment="1">
      <alignment horizontal="left" vertical="top" wrapText="1"/>
    </xf>
    <xf numFmtId="170" fontId="9"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9" fillId="2" borderId="6" xfId="1" applyFont="1" applyFill="1" applyBorder="1" applyAlignment="1">
      <alignment horizontal="center" vertical="top" wrapText="1"/>
    </xf>
    <xf numFmtId="0" fontId="9" fillId="2" borderId="1" xfId="1" applyFont="1" applyFill="1" applyBorder="1" applyAlignment="1">
      <alignment horizontal="center" vertical="top" wrapText="1"/>
    </xf>
    <xf numFmtId="0" fontId="9"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9" fillId="2" borderId="3" xfId="1" applyFont="1" applyFill="1" applyBorder="1" applyAlignment="1">
      <alignment horizontal="left" vertical="center" wrapText="1"/>
    </xf>
    <xf numFmtId="0" fontId="9"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8" fillId="2" borderId="15" xfId="1" applyFill="1" applyBorder="1" applyAlignment="1">
      <alignment horizontal="left" vertical="center"/>
    </xf>
    <xf numFmtId="0" fontId="9" fillId="2" borderId="5" xfId="1" applyFont="1" applyFill="1" applyBorder="1" applyAlignment="1">
      <alignment horizontal="left" vertical="center" wrapText="1"/>
    </xf>
    <xf numFmtId="0" fontId="9" fillId="2" borderId="12" xfId="1" applyFont="1" applyFill="1" applyBorder="1" applyAlignment="1">
      <alignment horizontal="left" vertical="center" wrapText="1"/>
    </xf>
    <xf numFmtId="170" fontId="9"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9" fillId="2" borderId="12" xfId="1" applyFont="1" applyFill="1" applyBorder="1" applyAlignment="1">
      <alignment horizontal="center" vertical="center" wrapText="1"/>
    </xf>
    <xf numFmtId="0" fontId="9" fillId="2" borderId="9" xfId="1" applyFont="1" applyFill="1" applyBorder="1" applyAlignment="1">
      <alignment horizontal="center" vertical="center" wrapText="1"/>
    </xf>
    <xf numFmtId="170" fontId="9" fillId="2" borderId="12" xfId="1" applyNumberFormat="1" applyFont="1" applyFill="1" applyBorder="1" applyAlignment="1">
      <alignment horizontal="center" vertical="center" wrapText="1"/>
    </xf>
    <xf numFmtId="170" fontId="9" fillId="2" borderId="9" xfId="1" applyNumberFormat="1" applyFont="1" applyFill="1" applyBorder="1" applyAlignment="1">
      <alignment horizontal="center" vertical="center" wrapText="1"/>
    </xf>
    <xf numFmtId="169" fontId="9"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9" fillId="2" borderId="5" xfId="2" applyNumberFormat="1" applyFont="1" applyFill="1" applyBorder="1" applyAlignment="1">
      <alignment horizontal="center" vertical="center"/>
    </xf>
    <xf numFmtId="169" fontId="9" fillId="2" borderId="12" xfId="2" applyNumberFormat="1" applyFont="1" applyFill="1" applyBorder="1" applyAlignment="1">
      <alignment horizontal="center" vertical="center"/>
    </xf>
    <xf numFmtId="169" fontId="9"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6" fontId="14" fillId="2" borderId="1" xfId="0" applyNumberFormat="1" applyFont="1" applyFill="1" applyBorder="1"/>
    <xf numFmtId="9" fontId="0" fillId="2" borderId="1" xfId="3" applyFont="1" applyFill="1" applyBorder="1" applyAlignment="1">
      <alignment horizontal="center"/>
    </xf>
    <xf numFmtId="0" fontId="24" fillId="0" borderId="0" xfId="0" applyFont="1"/>
    <xf numFmtId="9" fontId="0" fillId="0" borderId="0" xfId="3" applyFont="1"/>
    <xf numFmtId="0" fontId="14" fillId="11" borderId="1" xfId="0" applyFont="1" applyFill="1" applyBorder="1"/>
    <xf numFmtId="0" fontId="14" fillId="11" borderId="49" xfId="0" applyFont="1" applyFill="1" applyBorder="1"/>
    <xf numFmtId="0" fontId="14" fillId="11" borderId="68" xfId="0" applyFont="1" applyFill="1" applyBorder="1"/>
    <xf numFmtId="0" fontId="14" fillId="11" borderId="57" xfId="0" applyFont="1" applyFill="1" applyBorder="1"/>
    <xf numFmtId="170" fontId="14" fillId="11" borderId="57" xfId="2" applyNumberFormat="1" applyFont="1" applyFill="1" applyBorder="1"/>
    <xf numFmtId="169" fontId="14" fillId="11" borderId="1" xfId="2" applyNumberFormat="1" applyFont="1" applyFill="1" applyBorder="1"/>
    <xf numFmtId="171" fontId="14" fillId="11" borderId="76" xfId="2" applyNumberFormat="1" applyFont="1" applyFill="1" applyBorder="1"/>
    <xf numFmtId="171" fontId="14" fillId="11" borderId="1" xfId="2" applyNumberFormat="1" applyFont="1" applyFill="1" applyBorder="1"/>
    <xf numFmtId="171" fontId="14" fillId="11" borderId="1" xfId="0" applyNumberFormat="1" applyFont="1" applyFill="1" applyBorder="1"/>
    <xf numFmtId="174" fontId="14" fillId="11" borderId="1" xfId="0" applyNumberFormat="1" applyFont="1" applyFill="1" applyBorder="1"/>
    <xf numFmtId="170" fontId="14" fillId="11" borderId="1" xfId="0" applyNumberFormat="1" applyFont="1" applyFill="1" applyBorder="1"/>
    <xf numFmtId="170" fontId="16" fillId="11" borderId="1" xfId="0" applyNumberFormat="1" applyFont="1" applyFill="1" applyBorder="1"/>
    <xf numFmtId="0" fontId="14" fillId="11" borderId="0" xfId="0" applyFont="1" applyFill="1"/>
    <xf numFmtId="169" fontId="54" fillId="2" borderId="1" xfId="2" applyNumberFormat="1" applyFont="1" applyFill="1" applyBorder="1" applyProtection="1"/>
    <xf numFmtId="0" fontId="15" fillId="2" borderId="1" xfId="0" applyFont="1" applyFill="1" applyBorder="1" applyAlignment="1">
      <alignment vertical="center"/>
    </xf>
    <xf numFmtId="0" fontId="7" fillId="0" borderId="1" xfId="0" applyFont="1" applyBorder="1"/>
    <xf numFmtId="169" fontId="0" fillId="9" borderId="49" xfId="2" applyNumberFormat="1" applyFont="1" applyFill="1" applyBorder="1"/>
    <xf numFmtId="169" fontId="27" fillId="10" borderId="49" xfId="2" applyNumberFormat="1" applyFont="1" applyFill="1" applyBorder="1"/>
    <xf numFmtId="0" fontId="7" fillId="0" borderId="1" xfId="0" applyFont="1" applyBorder="1" applyAlignment="1">
      <alignment horizontal="center" vertical="center"/>
    </xf>
    <xf numFmtId="3" fontId="0" fillId="0" borderId="1" xfId="0" applyNumberFormat="1" applyBorder="1"/>
    <xf numFmtId="0" fontId="26" fillId="11" borderId="1" xfId="0" applyFont="1" applyFill="1" applyBorder="1" applyAlignment="1">
      <alignment vertical="center"/>
    </xf>
    <xf numFmtId="0" fontId="24" fillId="20" borderId="104" xfId="0" applyFont="1" applyFill="1" applyBorder="1" applyAlignment="1">
      <alignment vertical="center"/>
    </xf>
    <xf numFmtId="178" fontId="24" fillId="20" borderId="1" xfId="0" applyNumberFormat="1" applyFont="1" applyFill="1" applyBorder="1" applyAlignment="1">
      <alignment vertical="center"/>
    </xf>
    <xf numFmtId="178" fontId="57" fillId="11" borderId="0" xfId="0" applyNumberFormat="1" applyFont="1" applyFill="1" applyAlignment="1">
      <alignment vertical="center"/>
    </xf>
    <xf numFmtId="0" fontId="56" fillId="11" borderId="12" xfId="0" applyFont="1" applyFill="1" applyBorder="1" applyAlignment="1">
      <alignment horizontal="center" vertical="center" wrapText="1"/>
    </xf>
    <xf numFmtId="0" fontId="58" fillId="2" borderId="0" xfId="0" applyFont="1" applyFill="1" applyAlignment="1">
      <alignment vertical="center"/>
    </xf>
    <xf numFmtId="0" fontId="58" fillId="2" borderId="0" xfId="0" applyFont="1" applyFill="1" applyAlignment="1">
      <alignment horizontal="center" vertical="center"/>
    </xf>
    <xf numFmtId="0" fontId="58" fillId="2" borderId="70" xfId="0" applyFont="1" applyFill="1" applyBorder="1" applyAlignment="1">
      <alignment horizontal="center" vertical="center"/>
    </xf>
    <xf numFmtId="0" fontId="58" fillId="2" borderId="26" xfId="0" applyFont="1" applyFill="1" applyBorder="1" applyAlignment="1">
      <alignment horizontal="center" vertical="center"/>
    </xf>
    <xf numFmtId="180" fontId="59" fillId="13" borderId="1" xfId="2" applyNumberFormat="1" applyFont="1" applyFill="1" applyBorder="1" applyAlignment="1">
      <alignment horizontal="center" vertical="center" wrapText="1"/>
    </xf>
    <xf numFmtId="1" fontId="0" fillId="0" borderId="0" xfId="0" applyNumberFormat="1"/>
    <xf numFmtId="3" fontId="7" fillId="0" borderId="1" xfId="0" applyNumberFormat="1" applyFont="1" applyBorder="1"/>
    <xf numFmtId="3" fontId="6" fillId="0" borderId="0" xfId="4" applyNumberFormat="1" applyAlignment="1">
      <alignment wrapText="1"/>
    </xf>
    <xf numFmtId="3" fontId="6" fillId="0" borderId="0" xfId="4" applyNumberFormat="1"/>
    <xf numFmtId="170" fontId="15" fillId="2" borderId="120" xfId="0" applyNumberFormat="1" applyFont="1" applyFill="1" applyBorder="1" applyAlignment="1">
      <alignment vertical="center" wrapText="1"/>
    </xf>
    <xf numFmtId="170" fontId="15"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14" fontId="0" fillId="0" borderId="0" xfId="0" applyNumberFormat="1"/>
    <xf numFmtId="0" fontId="7" fillId="20" borderId="0" xfId="0" applyFont="1" applyFill="1" applyAlignment="1">
      <alignment horizontal="center"/>
    </xf>
    <xf numFmtId="170" fontId="15" fillId="20" borderId="1" xfId="0" applyNumberFormat="1" applyFont="1" applyFill="1" applyBorder="1" applyAlignment="1">
      <alignment vertical="center" wrapText="1"/>
    </xf>
    <xf numFmtId="181" fontId="0" fillId="6" borderId="1" xfId="0" applyNumberFormat="1" applyFill="1" applyBorder="1"/>
    <xf numFmtId="0" fontId="0" fillId="19" borderId="0" xfId="0" applyFill="1"/>
    <xf numFmtId="170" fontId="15" fillId="19" borderId="1" xfId="0" applyNumberFormat="1" applyFont="1" applyFill="1" applyBorder="1" applyAlignment="1">
      <alignment vertical="center" wrapText="1"/>
    </xf>
    <xf numFmtId="170" fontId="0" fillId="22" borderId="1" xfId="0" applyNumberFormat="1" applyFill="1" applyBorder="1"/>
    <xf numFmtId="0" fontId="7" fillId="0" borderId="0" xfId="0" applyFont="1" applyAlignment="1">
      <alignment horizontal="center"/>
    </xf>
    <xf numFmtId="0" fontId="7" fillId="0" borderId="49" xfId="0" applyFont="1" applyBorder="1" applyAlignment="1">
      <alignment horizontal="center" vertical="center"/>
    </xf>
    <xf numFmtId="3" fontId="0" fillId="0" borderId="49" xfId="0" applyNumberFormat="1" applyBorder="1"/>
    <xf numFmtId="0" fontId="7"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7"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5" fillId="2" borderId="0" xfId="0" applyNumberFormat="1" applyFont="1" applyFill="1" applyAlignment="1">
      <alignment horizontal="left" vertical="center" wrapText="1"/>
    </xf>
    <xf numFmtId="170" fontId="15" fillId="2" borderId="120" xfId="0" applyNumberFormat="1" applyFont="1" applyFill="1" applyBorder="1" applyAlignment="1">
      <alignment horizontal="center" vertical="center" wrapText="1"/>
    </xf>
    <xf numFmtId="170" fontId="0" fillId="0" borderId="0" xfId="0" applyNumberFormat="1"/>
    <xf numFmtId="3" fontId="60" fillId="0" borderId="0" xfId="0" applyNumberFormat="1" applyFont="1"/>
    <xf numFmtId="168" fontId="0" fillId="2" borderId="0" xfId="2" applyFont="1" applyFill="1"/>
    <xf numFmtId="0" fontId="7" fillId="2" borderId="114" xfId="0" applyFont="1" applyFill="1" applyBorder="1" applyAlignment="1">
      <alignment vertical="center" wrapText="1"/>
    </xf>
    <xf numFmtId="0" fontId="0" fillId="2" borderId="41" xfId="0" applyFill="1" applyBorder="1" applyAlignment="1">
      <alignment vertical="center"/>
    </xf>
    <xf numFmtId="0" fontId="7"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4" fillId="0" borderId="0" xfId="0" applyFont="1"/>
    <xf numFmtId="0" fontId="37" fillId="16" borderId="116" xfId="0" applyFont="1" applyFill="1" applyBorder="1" applyAlignment="1">
      <alignment horizontal="left" vertical="top" wrapText="1"/>
    </xf>
    <xf numFmtId="0" fontId="37" fillId="16" borderId="0" xfId="0" applyFont="1" applyFill="1" applyAlignment="1">
      <alignment horizontal="left" vertical="top" wrapText="1"/>
    </xf>
    <xf numFmtId="0" fontId="34" fillId="17" borderId="116" xfId="0" applyFont="1" applyFill="1" applyBorder="1"/>
    <xf numFmtId="164" fontId="34" fillId="17" borderId="0" xfId="0" applyNumberFormat="1" applyFont="1" applyFill="1"/>
    <xf numFmtId="0" fontId="34" fillId="17" borderId="0" xfId="0" applyFont="1" applyFill="1" applyAlignment="1">
      <alignment horizontal="center" vertical="center"/>
    </xf>
    <xf numFmtId="165" fontId="34" fillId="17" borderId="0" xfId="0" applyNumberFormat="1" applyFont="1" applyFill="1"/>
    <xf numFmtId="0" fontId="34" fillId="0" borderId="116" xfId="0" applyFont="1" applyBorder="1"/>
    <xf numFmtId="164" fontId="34" fillId="0" borderId="0" xfId="0" applyNumberFormat="1" applyFont="1"/>
    <xf numFmtId="0" fontId="34" fillId="0" borderId="0" xfId="0" applyFont="1" applyAlignment="1">
      <alignment horizontal="center" vertical="center"/>
    </xf>
    <xf numFmtId="165" fontId="34" fillId="0" borderId="0" xfId="0" applyNumberFormat="1" applyFont="1"/>
    <xf numFmtId="0" fontId="25" fillId="0" borderId="116" xfId="0" applyFont="1" applyBorder="1"/>
    <xf numFmtId="0" fontId="34" fillId="17" borderId="0" xfId="0" applyFont="1" applyFill="1"/>
    <xf numFmtId="0" fontId="25" fillId="17" borderId="116" xfId="0" applyFont="1" applyFill="1" applyBorder="1"/>
    <xf numFmtId="0" fontId="38" fillId="0" borderId="0" xfId="0" applyFont="1"/>
    <xf numFmtId="0" fontId="14" fillId="2" borderId="1" xfId="0" applyFont="1" applyFill="1" applyBorder="1" applyAlignment="1">
      <alignment horizontal="center"/>
    </xf>
    <xf numFmtId="170" fontId="15" fillId="20" borderId="49" xfId="0" applyNumberFormat="1" applyFont="1" applyFill="1" applyBorder="1" applyAlignment="1">
      <alignment vertical="center" wrapText="1"/>
    </xf>
    <xf numFmtId="181" fontId="0" fillId="6" borderId="49" xfId="0" applyNumberFormat="1" applyFill="1" applyBorder="1"/>
    <xf numFmtId="0" fontId="14"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80" fontId="12" fillId="3" borderId="0" xfId="2" applyNumberFormat="1" applyFont="1" applyFill="1" applyBorder="1" applyAlignment="1">
      <alignment horizontal="center" vertical="center" wrapText="1"/>
    </xf>
    <xf numFmtId="180" fontId="12"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167" fontId="0" fillId="0" borderId="0" xfId="0" applyNumberFormat="1" applyAlignment="1">
      <alignment horizontal="center" vertical="center"/>
    </xf>
    <xf numFmtId="0" fontId="0" fillId="0" borderId="0" xfId="0" pivotButton="1" applyAlignment="1">
      <alignment horizontal="center" vertical="center" wrapText="1"/>
    </xf>
    <xf numFmtId="0" fontId="2" fillId="0" borderId="0" xfId="0" applyFont="1" applyAlignment="1">
      <alignment vertical="center"/>
    </xf>
    <xf numFmtId="0" fontId="56" fillId="11" borderId="2" xfId="0" applyFont="1" applyFill="1" applyBorder="1" applyAlignment="1">
      <alignment vertical="center" wrapText="1"/>
    </xf>
    <xf numFmtId="0" fontId="15" fillId="23" borderId="1" xfId="0" applyFont="1" applyFill="1" applyBorder="1" applyAlignment="1">
      <alignment horizontal="center" vertical="center" wrapText="1"/>
    </xf>
    <xf numFmtId="0" fontId="15" fillId="2" borderId="59" xfId="0" applyFont="1" applyFill="1" applyBorder="1" applyAlignment="1">
      <alignment horizontal="center" vertical="center" wrapText="1"/>
    </xf>
    <xf numFmtId="0" fontId="15" fillId="2" borderId="43" xfId="0" applyFont="1" applyFill="1" applyBorder="1" applyAlignment="1">
      <alignment horizontal="center" vertical="center" wrapText="1"/>
    </xf>
    <xf numFmtId="0" fontId="14" fillId="26" borderId="1" xfId="0" applyFont="1" applyFill="1" applyBorder="1"/>
    <xf numFmtId="0" fontId="15" fillId="26" borderId="1" xfId="0" applyFont="1" applyFill="1" applyBorder="1" applyAlignment="1">
      <alignment horizontal="center" vertical="center" wrapText="1"/>
    </xf>
    <xf numFmtId="176" fontId="14" fillId="27" borderId="1" xfId="0" applyNumberFormat="1" applyFont="1" applyFill="1" applyBorder="1"/>
    <xf numFmtId="176" fontId="62" fillId="2" borderId="0" xfId="0" applyNumberFormat="1" applyFont="1" applyFill="1"/>
    <xf numFmtId="0" fontId="56" fillId="28" borderId="1" xfId="0" applyFont="1" applyFill="1" applyBorder="1" applyAlignment="1">
      <alignment horizontal="center" vertical="center" wrapText="1"/>
    </xf>
    <xf numFmtId="0" fontId="56" fillId="28" borderId="49" xfId="0" applyFont="1" applyFill="1" applyBorder="1" applyAlignment="1">
      <alignment vertical="center" wrapText="1"/>
    </xf>
    <xf numFmtId="0" fontId="56" fillId="28" borderId="68" xfId="0" applyFont="1" applyFill="1" applyBorder="1" applyAlignment="1">
      <alignment vertical="center" wrapText="1"/>
    </xf>
    <xf numFmtId="0" fontId="56" fillId="29" borderId="1" xfId="0" applyFont="1" applyFill="1" applyBorder="1" applyAlignment="1">
      <alignment horizontal="center" vertical="center" wrapText="1"/>
    </xf>
    <xf numFmtId="0" fontId="56" fillId="11" borderId="2" xfId="0" applyFont="1" applyFill="1" applyBorder="1" applyAlignment="1">
      <alignment horizontal="center" vertical="center" wrapText="1"/>
    </xf>
    <xf numFmtId="0" fontId="63" fillId="28" borderId="2" xfId="0" applyFont="1" applyFill="1" applyBorder="1" applyAlignment="1">
      <alignment horizontal="center" vertical="center" wrapText="1"/>
    </xf>
    <xf numFmtId="0" fontId="63" fillId="28" borderId="2" xfId="0" applyFont="1" applyFill="1" applyBorder="1" applyAlignment="1">
      <alignment vertical="center" wrapText="1"/>
    </xf>
    <xf numFmtId="0" fontId="63" fillId="29" borderId="2" xfId="0" applyFont="1" applyFill="1" applyBorder="1" applyAlignment="1">
      <alignment horizontal="center" vertical="center" wrapText="1"/>
    </xf>
    <xf numFmtId="0" fontId="56" fillId="11" borderId="12" xfId="0" applyFont="1" applyFill="1" applyBorder="1" applyAlignment="1">
      <alignment vertical="center" wrapText="1"/>
    </xf>
    <xf numFmtId="0" fontId="63" fillId="28" borderId="12" xfId="0" applyFont="1" applyFill="1" applyBorder="1" applyAlignment="1">
      <alignment vertical="center" wrapText="1"/>
    </xf>
    <xf numFmtId="0" fontId="63" fillId="28" borderId="128" xfId="0" applyFont="1" applyFill="1" applyBorder="1" applyAlignment="1">
      <alignment horizontal="center" vertical="center" wrapText="1"/>
    </xf>
    <xf numFmtId="179" fontId="63" fillId="28" borderId="2" xfId="0" applyNumberFormat="1" applyFont="1" applyFill="1" applyBorder="1" applyAlignment="1">
      <alignment horizontal="center" vertical="center" wrapText="1"/>
    </xf>
    <xf numFmtId="0" fontId="63" fillId="28" borderId="3" xfId="0" applyFont="1" applyFill="1" applyBorder="1" applyAlignment="1">
      <alignment vertical="center" wrapText="1"/>
    </xf>
    <xf numFmtId="179" fontId="63" fillId="29" borderId="2" xfId="0" applyNumberFormat="1" applyFont="1" applyFill="1" applyBorder="1" applyAlignment="1">
      <alignment horizontal="center" vertical="center" wrapText="1"/>
    </xf>
    <xf numFmtId="0" fontId="56" fillId="11" borderId="3" xfId="0" applyFont="1" applyFill="1" applyBorder="1" applyAlignment="1">
      <alignment vertical="center" wrapText="1"/>
    </xf>
    <xf numFmtId="0" fontId="56" fillId="11" borderId="3" xfId="0" applyFont="1" applyFill="1" applyBorder="1" applyAlignment="1">
      <alignment horizontal="center" vertical="center" wrapText="1"/>
    </xf>
    <xf numFmtId="178" fontId="64" fillId="0" borderId="1" xfId="0" applyNumberFormat="1" applyFont="1" applyBorder="1" applyAlignment="1">
      <alignment vertical="center"/>
    </xf>
    <xf numFmtId="178" fontId="65" fillId="30" borderId="1" xfId="0" applyNumberFormat="1" applyFont="1" applyFill="1" applyBorder="1" applyAlignment="1">
      <alignment vertical="center"/>
    </xf>
    <xf numFmtId="178" fontId="65" fillId="0" borderId="1" xfId="0" applyNumberFormat="1" applyFont="1" applyBorder="1" applyAlignment="1">
      <alignment vertical="center"/>
    </xf>
    <xf numFmtId="178" fontId="65" fillId="31" borderId="1" xfId="0" applyNumberFormat="1" applyFont="1" applyFill="1" applyBorder="1" applyAlignment="1">
      <alignment vertical="center"/>
    </xf>
    <xf numFmtId="178" fontId="65" fillId="32" borderId="1" xfId="0" applyNumberFormat="1" applyFont="1" applyFill="1" applyBorder="1" applyAlignment="1">
      <alignment vertical="center"/>
    </xf>
    <xf numFmtId="178" fontId="64" fillId="33" borderId="1" xfId="0" applyNumberFormat="1" applyFont="1" applyFill="1" applyBorder="1" applyAlignment="1">
      <alignment vertical="center"/>
    </xf>
    <xf numFmtId="178" fontId="65" fillId="35" borderId="1" xfId="0" applyNumberFormat="1" applyFont="1" applyFill="1" applyBorder="1" applyAlignment="1">
      <alignment vertical="center"/>
    </xf>
    <xf numFmtId="0" fontId="24" fillId="20" borderId="49" xfId="0" applyFont="1" applyFill="1" applyBorder="1" applyAlignment="1">
      <alignment vertical="center"/>
    </xf>
    <xf numFmtId="0" fontId="68" fillId="0" borderId="0" xfId="0" applyFont="1" applyAlignment="1">
      <alignment horizontal="left"/>
    </xf>
    <xf numFmtId="0" fontId="7" fillId="0" borderId="0" xfId="0" applyFont="1" applyAlignment="1">
      <alignment horizontal="left"/>
    </xf>
    <xf numFmtId="0" fontId="0" fillId="0" borderId="0" xfId="0" applyAlignment="1">
      <alignment horizontal="left" indent="1"/>
    </xf>
    <xf numFmtId="10" fontId="0" fillId="0" borderId="0" xfId="0" applyNumberFormat="1"/>
    <xf numFmtId="0" fontId="68"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7" fillId="36" borderId="135" xfId="0" applyFont="1" applyFill="1" applyBorder="1" applyAlignment="1">
      <alignment horizontal="center" vertical="center" wrapText="1"/>
    </xf>
    <xf numFmtId="0" fontId="7" fillId="36" borderId="136" xfId="0" applyFont="1" applyFill="1" applyBorder="1" applyAlignment="1">
      <alignment horizontal="center" vertical="center" wrapText="1"/>
    </xf>
    <xf numFmtId="0" fontId="0" fillId="36" borderId="135" xfId="0" applyFill="1" applyBorder="1"/>
    <xf numFmtId="0" fontId="7" fillId="36" borderId="136" xfId="0" applyFont="1" applyFill="1" applyBorder="1" applyAlignment="1">
      <alignment horizontal="center" vertical="center"/>
    </xf>
    <xf numFmtId="0" fontId="7" fillId="36" borderId="137" xfId="0" applyFont="1" applyFill="1" applyBorder="1" applyAlignment="1">
      <alignment horizontal="center" vertical="center"/>
    </xf>
    <xf numFmtId="0" fontId="48" fillId="2" borderId="0" xfId="0" applyFont="1" applyFill="1" applyAlignment="1">
      <alignment horizontal="center" wrapText="1"/>
    </xf>
    <xf numFmtId="0" fontId="0" fillId="19" borderId="0" xfId="0" applyFill="1" applyAlignment="1">
      <alignment horizontal="center" vertical="center"/>
    </xf>
    <xf numFmtId="0" fontId="7" fillId="22" borderId="134" xfId="0" applyFont="1" applyFill="1" applyBorder="1" applyAlignment="1">
      <alignment horizontal="center" vertical="center"/>
    </xf>
    <xf numFmtId="0" fontId="7" fillId="22" borderId="141" xfId="0" applyFont="1" applyFill="1" applyBorder="1" applyAlignment="1">
      <alignment horizontal="center" vertical="center"/>
    </xf>
    <xf numFmtId="0" fontId="68" fillId="0" borderId="0" xfId="0" applyFont="1" applyAlignment="1">
      <alignment horizontal="center"/>
    </xf>
    <xf numFmtId="0" fontId="7" fillId="36" borderId="138" xfId="0" applyFont="1" applyFill="1" applyBorder="1" applyAlignment="1">
      <alignment vertical="center"/>
    </xf>
    <xf numFmtId="0" fontId="7" fillId="36" borderId="140" xfId="0" applyFont="1" applyFill="1" applyBorder="1" applyAlignment="1">
      <alignment vertical="center"/>
    </xf>
    <xf numFmtId="0" fontId="68" fillId="0" borderId="0" xfId="0" applyFont="1" applyAlignment="1">
      <alignment vertical="center" wrapText="1"/>
    </xf>
    <xf numFmtId="0" fontId="0" fillId="0" borderId="1" xfId="0" applyBorder="1" applyAlignment="1">
      <alignment wrapText="1"/>
    </xf>
    <xf numFmtId="0" fontId="7" fillId="0" borderId="1" xfId="0" applyFont="1" applyBorder="1" applyAlignment="1">
      <alignment horizontal="left" wrapText="1"/>
    </xf>
    <xf numFmtId="2" fontId="7" fillId="0" borderId="0" xfId="0" applyNumberFormat="1" applyFont="1"/>
    <xf numFmtId="0" fontId="0" fillId="0" borderId="0" xfId="0" applyAlignment="1">
      <alignment vertical="center" wrapText="1"/>
    </xf>
    <xf numFmtId="0" fontId="7" fillId="6" borderId="0" xfId="0" applyFont="1" applyFill="1"/>
    <xf numFmtId="0" fontId="69" fillId="38" borderId="1" xfId="0" applyFont="1" applyFill="1" applyBorder="1" applyAlignment="1">
      <alignment horizontal="center" vertical="center"/>
    </xf>
    <xf numFmtId="0" fontId="7"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4" fillId="2" borderId="1" xfId="0" applyNumberFormat="1" applyFont="1" applyFill="1" applyBorder="1" applyAlignment="1">
      <alignment horizontal="center" vertical="center"/>
    </xf>
    <xf numFmtId="2" fontId="24" fillId="2" borderId="1" xfId="0" applyNumberFormat="1" applyFont="1" applyFill="1" applyBorder="1" applyAlignment="1">
      <alignment horizontal="center"/>
    </xf>
    <xf numFmtId="0" fontId="69" fillId="39" borderId="1" xfId="0" applyFont="1" applyFill="1" applyBorder="1"/>
    <xf numFmtId="0" fontId="69" fillId="2" borderId="0" xfId="0" applyFont="1" applyFill="1"/>
    <xf numFmtId="3" fontId="24" fillId="2" borderId="2" xfId="0" applyNumberFormat="1" applyFont="1" applyFill="1" applyBorder="1" applyAlignment="1">
      <alignment horizontal="center" vertical="center"/>
    </xf>
    <xf numFmtId="2" fontId="24" fillId="2" borderId="2" xfId="0" applyNumberFormat="1" applyFont="1" applyFill="1" applyBorder="1" applyAlignment="1">
      <alignment horizontal="center"/>
    </xf>
    <xf numFmtId="3" fontId="24" fillId="2" borderId="3" xfId="0" applyNumberFormat="1" applyFont="1" applyFill="1" applyBorder="1" applyAlignment="1">
      <alignment horizontal="center" vertical="center"/>
    </xf>
    <xf numFmtId="2" fontId="24"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7" fillId="33" borderId="3" xfId="0" applyFont="1" applyFill="1" applyBorder="1" applyAlignment="1">
      <alignment horizontal="center" vertical="center" wrapText="1"/>
    </xf>
    <xf numFmtId="0" fontId="0" fillId="41" borderId="1" xfId="0" applyFill="1" applyBorder="1"/>
    <xf numFmtId="0" fontId="7"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4" fillId="36" borderId="1" xfId="0" applyFont="1" applyFill="1" applyBorder="1" applyAlignment="1">
      <alignment horizontal="center" vertical="center" wrapText="1"/>
    </xf>
    <xf numFmtId="3" fontId="7" fillId="0" borderId="0" xfId="0" applyNumberFormat="1" applyFont="1"/>
    <xf numFmtId="3" fontId="68" fillId="0" borderId="0" xfId="0" applyNumberFormat="1" applyFont="1"/>
    <xf numFmtId="3" fontId="72" fillId="0" borderId="0" xfId="0" applyNumberFormat="1" applyFont="1"/>
    <xf numFmtId="0" fontId="72" fillId="0" borderId="0" xfId="0" applyFont="1"/>
    <xf numFmtId="3" fontId="72" fillId="0" borderId="1" xfId="0" applyNumberFormat="1" applyFont="1" applyBorder="1"/>
    <xf numFmtId="0" fontId="72" fillId="0" borderId="1" xfId="0" applyFont="1" applyBorder="1"/>
    <xf numFmtId="3" fontId="68" fillId="0" borderId="1" xfId="0" applyNumberFormat="1" applyFont="1" applyBorder="1"/>
    <xf numFmtId="0" fontId="68" fillId="0" borderId="1" xfId="0" applyFont="1" applyBorder="1"/>
    <xf numFmtId="0" fontId="68" fillId="0" borderId="1" xfId="0" applyFont="1" applyBorder="1" applyAlignment="1">
      <alignment horizontal="center"/>
    </xf>
    <xf numFmtId="2" fontId="72" fillId="0" borderId="0" xfId="0" applyNumberFormat="1" applyFont="1"/>
    <xf numFmtId="2" fontId="68" fillId="0" borderId="1" xfId="0" applyNumberFormat="1" applyFont="1" applyBorder="1"/>
    <xf numFmtId="0" fontId="7" fillId="0" borderId="0" xfId="0" applyFont="1" applyAlignment="1">
      <alignment horizontal="center" vertical="center" wrapText="1"/>
    </xf>
    <xf numFmtId="2" fontId="0" fillId="0" borderId="1" xfId="0" applyNumberFormat="1" applyBorder="1"/>
    <xf numFmtId="0" fontId="48" fillId="2" borderId="0" xfId="0" applyFont="1" applyFill="1" applyAlignment="1">
      <alignment horizontal="center" vertical="center" wrapText="1"/>
    </xf>
    <xf numFmtId="0" fontId="71" fillId="2" borderId="0" xfId="0" applyFont="1" applyFill="1" applyAlignment="1">
      <alignment horizontal="center"/>
    </xf>
    <xf numFmtId="0" fontId="7" fillId="2" borderId="68" xfId="0" applyFont="1" applyFill="1" applyBorder="1" applyAlignment="1">
      <alignment vertical="center"/>
    </xf>
    <xf numFmtId="170" fontId="74" fillId="2" borderId="1" xfId="0" applyNumberFormat="1" applyFont="1" applyFill="1" applyBorder="1"/>
    <xf numFmtId="0" fontId="75" fillId="0" borderId="0" xfId="16"/>
    <xf numFmtId="3" fontId="75" fillId="0" borderId="0" xfId="16" applyNumberFormat="1"/>
    <xf numFmtId="0" fontId="56" fillId="0" borderId="0" xfId="16" applyFont="1"/>
    <xf numFmtId="3" fontId="56" fillId="0" borderId="0" xfId="16" applyNumberFormat="1" applyFont="1"/>
    <xf numFmtId="0" fontId="56" fillId="0" borderId="56" xfId="16" applyFont="1" applyBorder="1"/>
    <xf numFmtId="0" fontId="15" fillId="2" borderId="43" xfId="0" applyFont="1" applyFill="1" applyBorder="1" applyAlignment="1">
      <alignment horizontal="center" vertical="center"/>
    </xf>
    <xf numFmtId="0" fontId="15" fillId="2" borderId="60" xfId="0" applyFont="1" applyFill="1" applyBorder="1" applyAlignment="1">
      <alignment horizontal="center" vertical="center"/>
    </xf>
    <xf numFmtId="3" fontId="14" fillId="2" borderId="3" xfId="0" applyNumberFormat="1" applyFont="1" applyFill="1" applyBorder="1"/>
    <xf numFmtId="0" fontId="76" fillId="0" borderId="0" xfId="0" applyFont="1"/>
    <xf numFmtId="0" fontId="34" fillId="42" borderId="0" xfId="0" applyFont="1" applyFill="1"/>
    <xf numFmtId="0" fontId="31" fillId="43" borderId="113" xfId="0" applyFont="1" applyFill="1" applyBorder="1" applyAlignment="1">
      <alignment horizontal="left" vertical="center" wrapText="1"/>
    </xf>
    <xf numFmtId="0" fontId="31" fillId="43" borderId="154" xfId="0" applyFont="1" applyFill="1" applyBorder="1" applyAlignment="1">
      <alignment horizontal="left" vertical="center" wrapText="1"/>
    </xf>
    <xf numFmtId="0" fontId="31" fillId="43" borderId="155" xfId="0" applyFont="1" applyFill="1" applyBorder="1" applyAlignment="1">
      <alignment horizontal="left" vertical="center" wrapText="1"/>
    </xf>
    <xf numFmtId="0" fontId="30" fillId="44" borderId="1" xfId="0" applyFont="1" applyFill="1" applyBorder="1" applyAlignment="1">
      <alignment vertical="center" wrapText="1"/>
    </xf>
    <xf numFmtId="172" fontId="30" fillId="3" borderId="68" xfId="0" applyNumberFormat="1" applyFont="1" applyFill="1" applyBorder="1" applyAlignment="1">
      <alignment horizontal="center" vertical="center" wrapText="1"/>
    </xf>
    <xf numFmtId="172" fontId="30" fillId="3" borderId="69" xfId="0" applyNumberFormat="1" applyFont="1" applyFill="1" applyBorder="1" applyAlignment="1">
      <alignment horizontal="center" vertical="center" wrapText="1"/>
    </xf>
    <xf numFmtId="9" fontId="30" fillId="3" borderId="69" xfId="0" applyNumberFormat="1" applyFont="1" applyFill="1" applyBorder="1" applyAlignment="1">
      <alignment horizontal="center" vertical="center" wrapText="1"/>
    </xf>
    <xf numFmtId="9" fontId="30" fillId="3" borderId="117" xfId="0" applyNumberFormat="1" applyFont="1" applyFill="1" applyBorder="1" applyAlignment="1">
      <alignment horizontal="center" vertical="center" wrapText="1"/>
    </xf>
    <xf numFmtId="0" fontId="30" fillId="3" borderId="26" xfId="0" applyFont="1" applyFill="1" applyBorder="1" applyAlignment="1">
      <alignment horizontal="center" vertical="center" wrapText="1"/>
    </xf>
    <xf numFmtId="0" fontId="30" fillId="3" borderId="55" xfId="0" applyFont="1" applyFill="1" applyBorder="1" applyAlignment="1">
      <alignment horizontal="center" vertical="center" wrapText="1"/>
    </xf>
    <xf numFmtId="9" fontId="30" fillId="3" borderId="2" xfId="0" applyNumberFormat="1" applyFont="1" applyFill="1" applyBorder="1" applyAlignment="1">
      <alignment horizontal="center" vertical="center" wrapText="1"/>
    </xf>
    <xf numFmtId="9" fontId="30" fillId="3" borderId="68" xfId="0" applyNumberFormat="1" applyFont="1" applyFill="1" applyBorder="1" applyAlignment="1">
      <alignment horizontal="center" vertical="center" wrapText="1"/>
    </xf>
    <xf numFmtId="172" fontId="30" fillId="0" borderId="68" xfId="0" applyNumberFormat="1" applyFont="1" applyBorder="1"/>
    <xf numFmtId="0" fontId="30" fillId="44" borderId="68" xfId="0" applyFont="1" applyFill="1" applyBorder="1" applyAlignment="1">
      <alignment vertical="center" wrapText="1"/>
    </xf>
    <xf numFmtId="0" fontId="30" fillId="44" borderId="3" xfId="0" applyFont="1" applyFill="1" applyBorder="1" applyAlignment="1">
      <alignment vertical="center" wrapText="1"/>
    </xf>
    <xf numFmtId="172" fontId="30" fillId="3" borderId="21" xfId="0" applyNumberFormat="1" applyFont="1" applyFill="1" applyBorder="1" applyAlignment="1">
      <alignment horizontal="center" vertical="center" wrapText="1"/>
    </xf>
    <xf numFmtId="0" fontId="30" fillId="3" borderId="68" xfId="0" applyFont="1" applyFill="1" applyBorder="1" applyAlignment="1">
      <alignment horizontal="center" vertical="center" wrapText="1"/>
    </xf>
    <xf numFmtId="9" fontId="30" fillId="3" borderId="21" xfId="0" applyNumberFormat="1" applyFont="1" applyFill="1" applyBorder="1" applyAlignment="1">
      <alignment horizontal="center" vertical="center" wrapText="1"/>
    </xf>
    <xf numFmtId="172" fontId="30" fillId="0" borderId="21" xfId="0" applyNumberFormat="1" applyFont="1" applyBorder="1"/>
    <xf numFmtId="0" fontId="30" fillId="44" borderId="21" xfId="0" applyFont="1" applyFill="1" applyBorder="1" applyAlignment="1">
      <alignment vertical="center" wrapText="1"/>
    </xf>
    <xf numFmtId="0" fontId="30" fillId="42" borderId="3" xfId="0" applyFont="1" applyFill="1" applyBorder="1" applyAlignment="1">
      <alignment vertical="center" wrapText="1"/>
    </xf>
    <xf numFmtId="0" fontId="30" fillId="3" borderId="21" xfId="0" applyFont="1" applyFill="1" applyBorder="1" applyAlignment="1">
      <alignment horizontal="center" vertical="center" wrapText="1"/>
    </xf>
    <xf numFmtId="0" fontId="30" fillId="0" borderId="21" xfId="0" applyFont="1" applyBorder="1" applyAlignment="1">
      <alignment horizontal="center" vertical="center" wrapText="1"/>
    </xf>
    <xf numFmtId="172" fontId="30" fillId="0" borderId="21" xfId="0" applyNumberFormat="1" applyFont="1" applyBorder="1" applyAlignment="1">
      <alignment horizontal="center" vertical="center" wrapText="1"/>
    </xf>
    <xf numFmtId="172" fontId="30" fillId="3" borderId="1" xfId="0" applyNumberFormat="1" applyFont="1" applyFill="1" applyBorder="1" applyAlignment="1">
      <alignment horizontal="center" vertical="center" wrapText="1"/>
    </xf>
    <xf numFmtId="9" fontId="32" fillId="3" borderId="21" xfId="0" applyNumberFormat="1" applyFont="1" applyFill="1" applyBorder="1" applyAlignment="1">
      <alignment horizontal="center" wrapText="1"/>
    </xf>
    <xf numFmtId="0" fontId="35" fillId="43" borderId="0" xfId="0" applyFont="1" applyFill="1"/>
    <xf numFmtId="172" fontId="35" fillId="43" borderId="0" xfId="0" applyNumberFormat="1" applyFont="1" applyFill="1" applyAlignment="1">
      <alignment horizontal="center"/>
    </xf>
    <xf numFmtId="1" fontId="35" fillId="43" borderId="0" xfId="0" applyNumberFormat="1" applyFont="1" applyFill="1" applyAlignment="1">
      <alignment horizontal="center"/>
    </xf>
    <xf numFmtId="172" fontId="35" fillId="43" borderId="0" xfId="0" applyNumberFormat="1" applyFont="1" applyFill="1"/>
    <xf numFmtId="0" fontId="30" fillId="43" borderId="0" xfId="0" applyFont="1" applyFill="1"/>
    <xf numFmtId="0" fontId="35" fillId="43" borderId="0" xfId="0" applyFont="1" applyFill="1" applyAlignment="1">
      <alignment horizontal="center"/>
    </xf>
    <xf numFmtId="9" fontId="35" fillId="43" borderId="0" xfId="0" applyNumberFormat="1" applyFont="1" applyFill="1" applyAlignment="1">
      <alignment horizontal="center"/>
    </xf>
    <xf numFmtId="0" fontId="35" fillId="43" borderId="0" xfId="0" applyFont="1" applyFill="1" applyAlignment="1">
      <alignment horizontal="center" vertical="center"/>
    </xf>
    <xf numFmtId="172" fontId="30" fillId="43" borderId="0" xfId="0" applyNumberFormat="1" applyFont="1" applyFill="1"/>
    <xf numFmtId="9" fontId="35" fillId="0" borderId="0" xfId="0" applyNumberFormat="1" applyFont="1" applyAlignment="1">
      <alignment horizontal="center"/>
    </xf>
    <xf numFmtId="0" fontId="7" fillId="0" borderId="0" xfId="0" applyFont="1" applyAlignment="1">
      <alignment vertical="center" wrapText="1"/>
    </xf>
    <xf numFmtId="3" fontId="1" fillId="0" borderId="0" xfId="0" applyNumberFormat="1" applyFont="1" applyAlignment="1">
      <alignment horizontal="center" vertical="center"/>
    </xf>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7" fontId="1" fillId="0" borderId="0" xfId="7"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8" fontId="1" fillId="0" borderId="1" xfId="0" applyNumberFormat="1" applyFont="1" applyBorder="1" applyAlignment="1">
      <alignment vertical="center"/>
    </xf>
    <xf numFmtId="178" fontId="1" fillId="11" borderId="1" xfId="0" applyNumberFormat="1" applyFont="1" applyFill="1" applyBorder="1" applyAlignment="1">
      <alignment vertical="center"/>
    </xf>
    <xf numFmtId="178" fontId="1" fillId="34" borderId="1" xfId="0" applyNumberFormat="1" applyFont="1" applyFill="1" applyBorder="1" applyAlignment="1">
      <alignment vertical="center"/>
    </xf>
    <xf numFmtId="178" fontId="1" fillId="21" borderId="1" xfId="0" applyNumberFormat="1" applyFont="1" applyFill="1" applyBorder="1" applyAlignment="1">
      <alignment vertical="center"/>
    </xf>
    <xf numFmtId="0" fontId="1" fillId="0" borderId="0" xfId="0"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0" fillId="0" borderId="0" xfId="0" applyFont="1" applyAlignment="1">
      <alignment horizontal="center" vertical="center" wrapText="1"/>
    </xf>
    <xf numFmtId="0" fontId="0" fillId="0" borderId="0" xfId="0" applyNumberFormat="1"/>
    <xf numFmtId="0" fontId="42" fillId="0" borderId="0" xfId="0" applyFont="1" applyAlignment="1">
      <alignment horizontal="center" vertical="center" wrapText="1"/>
    </xf>
    <xf numFmtId="0" fontId="42" fillId="0" borderId="0" xfId="0" applyFont="1" applyAlignment="1">
      <alignment horizontal="center" wrapText="1"/>
    </xf>
    <xf numFmtId="0" fontId="41" fillId="0" borderId="49" xfId="0" applyFont="1" applyBorder="1" applyAlignment="1">
      <alignment horizontal="center"/>
    </xf>
    <xf numFmtId="0" fontId="41" fillId="0" borderId="68" xfId="0" applyFont="1" applyBorder="1" applyAlignment="1">
      <alignment horizontal="center"/>
    </xf>
    <xf numFmtId="0" fontId="41" fillId="0" borderId="104" xfId="0" applyFont="1" applyBorder="1" applyAlignment="1">
      <alignment horizontal="center"/>
    </xf>
    <xf numFmtId="0" fontId="48" fillId="0" borderId="1" xfId="0" applyFont="1" applyBorder="1" applyAlignment="1">
      <alignment horizontal="center"/>
    </xf>
    <xf numFmtId="176" fontId="49" fillId="0" borderId="1" xfId="7" applyNumberFormat="1" applyFont="1" applyBorder="1" applyAlignment="1">
      <alignment horizontal="center"/>
    </xf>
    <xf numFmtId="0" fontId="50" fillId="0" borderId="0" xfId="0" applyFont="1" applyAlignment="1">
      <alignment horizontal="center" vertical="center" wrapText="1"/>
    </xf>
    <xf numFmtId="0" fontId="46" fillId="0" borderId="0" xfId="0" applyFont="1" applyAlignment="1">
      <alignment horizontal="right"/>
    </xf>
    <xf numFmtId="0" fontId="40" fillId="0" borderId="0" xfId="0" applyFont="1" applyAlignment="1">
      <alignment horizontal="center"/>
    </xf>
    <xf numFmtId="0" fontId="41" fillId="0" borderId="0" xfId="0" applyFont="1" applyAlignment="1">
      <alignment horizontal="center"/>
    </xf>
    <xf numFmtId="0" fontId="42" fillId="0" borderId="0" xfId="0" applyFont="1" applyAlignment="1">
      <alignment horizontal="center"/>
    </xf>
    <xf numFmtId="0" fontId="43" fillId="0" borderId="0" xfId="0" applyFont="1" applyAlignment="1">
      <alignment horizontal="center"/>
    </xf>
    <xf numFmtId="0" fontId="44" fillId="18" borderId="0" xfId="0" applyFont="1" applyFill="1" applyAlignment="1">
      <alignment horizontal="center" vertical="center"/>
    </xf>
    <xf numFmtId="176" fontId="44" fillId="18" borderId="0" xfId="7" applyNumberFormat="1" applyFont="1" applyFill="1" applyAlignment="1">
      <alignment horizontal="center" vertical="center"/>
    </xf>
    <xf numFmtId="9" fontId="44" fillId="18" borderId="0" xfId="3" applyFont="1" applyFill="1" applyAlignment="1">
      <alignment horizontal="center" vertical="center"/>
    </xf>
    <xf numFmtId="0" fontId="45" fillId="0" borderId="0" xfId="0" applyFont="1" applyAlignment="1">
      <alignment horizontal="right"/>
    </xf>
    <xf numFmtId="0" fontId="20" fillId="7" borderId="64" xfId="0" applyFont="1" applyFill="1" applyBorder="1" applyAlignment="1">
      <alignment horizontal="center" vertical="center" wrapText="1"/>
    </xf>
    <xf numFmtId="0" fontId="20" fillId="7" borderId="110" xfId="0" applyFont="1" applyFill="1" applyBorder="1" applyAlignment="1">
      <alignment horizontal="center" vertical="center" wrapText="1"/>
    </xf>
    <xf numFmtId="0" fontId="20" fillId="7" borderId="111" xfId="0" applyFont="1" applyFill="1" applyBorder="1" applyAlignment="1">
      <alignment horizontal="center" vertical="center" wrapText="1"/>
    </xf>
    <xf numFmtId="0" fontId="7" fillId="6" borderId="149" xfId="0" applyFont="1" applyFill="1" applyBorder="1" applyAlignment="1">
      <alignment horizontal="center"/>
    </xf>
    <xf numFmtId="0" fontId="7" fillId="6" borderId="150" xfId="0" applyFont="1" applyFill="1" applyBorder="1" applyAlignment="1">
      <alignment horizontal="center"/>
    </xf>
    <xf numFmtId="0" fontId="7" fillId="6" borderId="133" xfId="0" applyFont="1" applyFill="1" applyBorder="1" applyAlignment="1">
      <alignment horizontal="center"/>
    </xf>
    <xf numFmtId="3" fontId="7" fillId="27" borderId="152" xfId="0" applyNumberFormat="1" applyFont="1" applyFill="1" applyBorder="1" applyAlignment="1">
      <alignment horizontal="center" vertical="center"/>
    </xf>
    <xf numFmtId="0" fontId="7" fillId="27" borderId="153" xfId="0" applyFont="1" applyFill="1" applyBorder="1" applyAlignment="1">
      <alignment horizontal="center" vertical="center"/>
    </xf>
    <xf numFmtId="3" fontId="20" fillId="2" borderId="152" xfId="0" applyNumberFormat="1" applyFont="1" applyFill="1" applyBorder="1" applyAlignment="1">
      <alignment horizontal="center" vertical="center"/>
    </xf>
    <xf numFmtId="3" fontId="20" fillId="2" borderId="153" xfId="0" applyNumberFormat="1" applyFont="1" applyFill="1" applyBorder="1" applyAlignment="1">
      <alignment horizontal="center" vertical="center"/>
    </xf>
    <xf numFmtId="0" fontId="69" fillId="18" borderId="151" xfId="0" applyFont="1" applyFill="1" applyBorder="1" applyAlignment="1">
      <alignment horizontal="center" vertical="center" wrapText="1"/>
    </xf>
    <xf numFmtId="0" fontId="69" fillId="18" borderId="152" xfId="0" applyFont="1" applyFill="1" applyBorder="1" applyAlignment="1">
      <alignment horizontal="center" vertical="center" wrapText="1"/>
    </xf>
    <xf numFmtId="0" fontId="69" fillId="13" borderId="151" xfId="0" applyFont="1" applyFill="1" applyBorder="1" applyAlignment="1">
      <alignment horizontal="center" vertical="center" wrapText="1"/>
    </xf>
    <xf numFmtId="0" fontId="69" fillId="13" borderId="152" xfId="0" applyFont="1" applyFill="1" applyBorder="1" applyAlignment="1">
      <alignment horizontal="center" vertical="center" wrapText="1"/>
    </xf>
    <xf numFmtId="0" fontId="0" fillId="6" borderId="138" xfId="0" applyFill="1" applyBorder="1" applyAlignment="1">
      <alignment horizontal="center"/>
    </xf>
    <xf numFmtId="0" fontId="0" fillId="6" borderId="134" xfId="0" applyFill="1" applyBorder="1" applyAlignment="1">
      <alignment horizontal="center"/>
    </xf>
    <xf numFmtId="3" fontId="0" fillId="6" borderId="134" xfId="0" applyNumberFormat="1" applyFill="1" applyBorder="1" applyAlignment="1">
      <alignment horizontal="center"/>
    </xf>
    <xf numFmtId="3" fontId="0" fillId="6" borderId="139" xfId="0" applyNumberFormat="1" applyFill="1" applyBorder="1" applyAlignment="1">
      <alignment horizontal="center"/>
    </xf>
    <xf numFmtId="0" fontId="24" fillId="6" borderId="134" xfId="0" applyFont="1" applyFill="1" applyBorder="1" applyAlignment="1">
      <alignment horizontal="center"/>
    </xf>
    <xf numFmtId="0" fontId="0" fillId="6" borderId="141" xfId="0" applyFill="1" applyBorder="1" applyAlignment="1">
      <alignment horizontal="center"/>
    </xf>
    <xf numFmtId="0" fontId="69" fillId="13" borderId="64" xfId="0" applyFont="1" applyFill="1" applyBorder="1" applyAlignment="1">
      <alignment horizontal="center"/>
    </xf>
    <xf numFmtId="0" fontId="69" fillId="13" borderId="110" xfId="0" applyFont="1" applyFill="1" applyBorder="1" applyAlignment="1">
      <alignment horizontal="center"/>
    </xf>
    <xf numFmtId="0" fontId="69" fillId="13" borderId="111" xfId="0" applyFont="1" applyFill="1" applyBorder="1" applyAlignment="1">
      <alignment horizontal="center"/>
    </xf>
    <xf numFmtId="0" fontId="69" fillId="18" borderId="135" xfId="0" applyFont="1" applyFill="1" applyBorder="1" applyAlignment="1">
      <alignment horizontal="center" vertical="center" wrapText="1"/>
    </xf>
    <xf numFmtId="0" fontId="69" fillId="18" borderId="136" xfId="0" applyFont="1" applyFill="1" applyBorder="1" applyAlignment="1">
      <alignment horizontal="center" vertical="center" wrapText="1"/>
    </xf>
    <xf numFmtId="0" fontId="69" fillId="18" borderId="137" xfId="0" applyFont="1" applyFill="1" applyBorder="1" applyAlignment="1">
      <alignment horizontal="center" vertical="center" wrapText="1"/>
    </xf>
    <xf numFmtId="0" fontId="24" fillId="6" borderId="138" xfId="0" applyFont="1" applyFill="1" applyBorder="1" applyAlignment="1">
      <alignment horizontal="center"/>
    </xf>
    <xf numFmtId="0" fontId="0" fillId="6" borderId="139" xfId="0" applyFill="1" applyBorder="1" applyAlignment="1">
      <alignment horizontal="center"/>
    </xf>
    <xf numFmtId="0" fontId="0" fillId="6" borderId="142" xfId="0" applyFill="1" applyBorder="1" applyAlignment="1">
      <alignment horizontal="center"/>
    </xf>
    <xf numFmtId="0" fontId="7" fillId="36" borderId="143" xfId="0" applyFont="1" applyFill="1" applyBorder="1" applyAlignment="1">
      <alignment horizontal="center" vertical="center" wrapText="1"/>
    </xf>
    <xf numFmtId="0" fontId="7" fillId="36" borderId="144" xfId="0" applyFont="1" applyFill="1" applyBorder="1" applyAlignment="1">
      <alignment horizontal="center" vertical="center" wrapText="1"/>
    </xf>
    <xf numFmtId="0" fontId="7" fillId="36" borderId="145" xfId="0" applyFont="1" applyFill="1" applyBorder="1" applyAlignment="1">
      <alignment horizontal="center" vertical="center" wrapText="1"/>
    </xf>
    <xf numFmtId="3" fontId="47" fillId="22" borderId="146" xfId="0" applyNumberFormat="1" applyFont="1" applyFill="1" applyBorder="1" applyAlignment="1">
      <alignment horizontal="center"/>
    </xf>
    <xf numFmtId="3" fontId="47" fillId="22" borderId="147" xfId="0" applyNumberFormat="1" applyFont="1" applyFill="1" applyBorder="1" applyAlignment="1">
      <alignment horizontal="center"/>
    </xf>
    <xf numFmtId="3" fontId="47" fillId="22" borderId="148" xfId="0" applyNumberFormat="1" applyFont="1" applyFill="1" applyBorder="1" applyAlignment="1">
      <alignment horizontal="center"/>
    </xf>
    <xf numFmtId="0" fontId="47" fillId="22" borderId="146" xfId="0" applyFont="1" applyFill="1" applyBorder="1" applyAlignment="1">
      <alignment horizontal="center"/>
    </xf>
    <xf numFmtId="0" fontId="47" fillId="22" borderId="147" xfId="0" applyFont="1" applyFill="1" applyBorder="1" applyAlignment="1">
      <alignment horizontal="center"/>
    </xf>
    <xf numFmtId="0" fontId="47" fillId="22" borderId="148" xfId="0" applyFont="1" applyFill="1" applyBorder="1" applyAlignment="1">
      <alignment horizontal="center"/>
    </xf>
    <xf numFmtId="0" fontId="7" fillId="36" borderId="135" xfId="0" applyFont="1" applyFill="1" applyBorder="1" applyAlignment="1">
      <alignment horizontal="center" vertical="center"/>
    </xf>
    <xf numFmtId="0" fontId="7" fillId="36" borderId="138" xfId="0" applyFont="1" applyFill="1" applyBorder="1" applyAlignment="1">
      <alignment horizontal="center" vertical="center"/>
    </xf>
    <xf numFmtId="3" fontId="7" fillId="22" borderId="134" xfId="0" applyNumberFormat="1" applyFont="1" applyFill="1" applyBorder="1" applyAlignment="1">
      <alignment horizontal="center" vertical="center"/>
    </xf>
    <xf numFmtId="0" fontId="7" fillId="36" borderId="138" xfId="0" applyFont="1" applyFill="1" applyBorder="1" applyAlignment="1">
      <alignment horizontal="center" wrapText="1"/>
    </xf>
    <xf numFmtId="0" fontId="7" fillId="36" borderId="140" xfId="0" applyFont="1" applyFill="1" applyBorder="1" applyAlignment="1">
      <alignment horizontal="center" wrapText="1"/>
    </xf>
    <xf numFmtId="0" fontId="7" fillId="22" borderId="134" xfId="0" applyFont="1" applyFill="1" applyBorder="1" applyAlignment="1">
      <alignment horizontal="center" vertical="center"/>
    </xf>
    <xf numFmtId="4" fontId="7" fillId="22" borderId="134" xfId="0" applyNumberFormat="1" applyFont="1" applyFill="1" applyBorder="1" applyAlignment="1">
      <alignment horizontal="center" vertical="center"/>
    </xf>
    <xf numFmtId="4" fontId="7" fillId="22" borderId="139" xfId="0" applyNumberFormat="1" applyFont="1" applyFill="1" applyBorder="1" applyAlignment="1">
      <alignment horizontal="center" vertical="center"/>
    </xf>
    <xf numFmtId="0" fontId="7" fillId="36" borderId="136" xfId="0" applyFont="1" applyFill="1" applyBorder="1" applyAlignment="1">
      <alignment horizontal="center" vertical="center" wrapText="1"/>
    </xf>
    <xf numFmtId="0" fontId="7" fillId="36" borderId="137" xfId="0" applyFont="1" applyFill="1" applyBorder="1" applyAlignment="1">
      <alignment horizontal="center" vertical="center" wrapText="1"/>
    </xf>
    <xf numFmtId="0" fontId="69" fillId="13" borderId="64" xfId="0" applyFont="1" applyFill="1" applyBorder="1" applyAlignment="1">
      <alignment horizontal="center" wrapText="1"/>
    </xf>
    <xf numFmtId="0" fontId="69" fillId="13" borderId="110" xfId="0" applyFont="1" applyFill="1" applyBorder="1" applyAlignment="1">
      <alignment horizontal="center" wrapText="1"/>
    </xf>
    <xf numFmtId="0" fontId="69" fillId="13" borderId="111" xfId="0" applyFont="1" applyFill="1" applyBorder="1" applyAlignment="1">
      <alignment horizontal="center" wrapText="1"/>
    </xf>
    <xf numFmtId="0" fontId="48" fillId="25" borderId="129" xfId="0" applyFont="1" applyFill="1" applyBorder="1" applyAlignment="1">
      <alignment horizontal="center" vertical="center" wrapText="1"/>
    </xf>
    <xf numFmtId="0" fontId="48" fillId="25" borderId="108" xfId="0" applyFont="1" applyFill="1" applyBorder="1" applyAlignment="1">
      <alignment horizontal="center" vertical="center" wrapText="1"/>
    </xf>
    <xf numFmtId="0" fontId="48" fillId="25" borderId="130" xfId="0" applyFont="1" applyFill="1" applyBorder="1" applyAlignment="1">
      <alignment horizontal="center" vertical="center" wrapText="1"/>
    </xf>
    <xf numFmtId="0" fontId="48" fillId="25" borderId="131" xfId="0" applyFont="1" applyFill="1" applyBorder="1" applyAlignment="1">
      <alignment horizontal="center" vertical="center" wrapText="1"/>
    </xf>
    <xf numFmtId="0" fontId="48" fillId="25" borderId="109" xfId="0" applyFont="1" applyFill="1" applyBorder="1" applyAlignment="1">
      <alignment horizontal="center" vertical="center" wrapText="1"/>
    </xf>
    <xf numFmtId="0" fontId="48" fillId="25" borderId="132" xfId="0" applyFont="1" applyFill="1" applyBorder="1" applyAlignment="1">
      <alignment horizontal="center" vertical="center" wrapText="1"/>
    </xf>
    <xf numFmtId="0" fontId="69" fillId="13" borderId="129" xfId="0" applyFont="1" applyFill="1" applyBorder="1" applyAlignment="1">
      <alignment horizontal="center"/>
    </xf>
    <xf numFmtId="0" fontId="69" fillId="13" borderId="108" xfId="0" applyFont="1" applyFill="1" applyBorder="1" applyAlignment="1">
      <alignment horizontal="center"/>
    </xf>
    <xf numFmtId="0" fontId="69" fillId="13" borderId="130" xfId="0" applyFont="1" applyFill="1" applyBorder="1" applyAlignment="1">
      <alignment horizontal="center"/>
    </xf>
    <xf numFmtId="3" fontId="7" fillId="22" borderId="141" xfId="0" applyNumberFormat="1" applyFont="1" applyFill="1" applyBorder="1" applyAlignment="1">
      <alignment horizontal="center"/>
    </xf>
    <xf numFmtId="3" fontId="7" fillId="22" borderId="142" xfId="0" applyNumberFormat="1" applyFont="1" applyFill="1" applyBorder="1" applyAlignment="1">
      <alignment horizontal="center"/>
    </xf>
    <xf numFmtId="0" fontId="7" fillId="36" borderId="136" xfId="0" applyFont="1" applyFill="1" applyBorder="1" applyAlignment="1">
      <alignment horizontal="center" wrapText="1"/>
    </xf>
    <xf numFmtId="0" fontId="7" fillId="36" borderId="134" xfId="0" applyFont="1" applyFill="1" applyBorder="1" applyAlignment="1">
      <alignment horizontal="center" wrapText="1"/>
    </xf>
    <xf numFmtId="0" fontId="7" fillId="36" borderId="134" xfId="0" applyFont="1" applyFill="1" applyBorder="1" applyAlignment="1">
      <alignment horizontal="center" vertical="center" wrapText="1"/>
    </xf>
    <xf numFmtId="0" fontId="7" fillId="36" borderId="139" xfId="0" applyFont="1" applyFill="1" applyBorder="1" applyAlignment="1">
      <alignment horizontal="center" vertical="center" wrapText="1"/>
    </xf>
    <xf numFmtId="0" fontId="7" fillId="36" borderId="136" xfId="0" applyFont="1" applyFill="1" applyBorder="1" applyAlignment="1">
      <alignment horizontal="center"/>
    </xf>
    <xf numFmtId="0" fontId="7" fillId="36" borderId="137" xfId="0" applyFont="1" applyFill="1" applyBorder="1" applyAlignment="1">
      <alignment horizontal="center"/>
    </xf>
    <xf numFmtId="0" fontId="69" fillId="13" borderId="64" xfId="0" applyFont="1" applyFill="1" applyBorder="1" applyAlignment="1">
      <alignment horizontal="center" vertical="center"/>
    </xf>
    <xf numFmtId="0" fontId="69" fillId="13" borderId="110" xfId="0" applyFont="1" applyFill="1" applyBorder="1" applyAlignment="1">
      <alignment horizontal="center" vertical="center"/>
    </xf>
    <xf numFmtId="0" fontId="69" fillId="13" borderId="111" xfId="0" applyFont="1" applyFill="1" applyBorder="1" applyAlignment="1">
      <alignment horizontal="center" vertical="center"/>
    </xf>
    <xf numFmtId="0" fontId="69" fillId="18" borderId="135" xfId="0" applyFont="1" applyFill="1" applyBorder="1" applyAlignment="1">
      <alignment horizontal="center"/>
    </xf>
    <xf numFmtId="0" fontId="69" fillId="18" borderId="136" xfId="0" applyFont="1" applyFill="1" applyBorder="1" applyAlignment="1">
      <alignment horizontal="center"/>
    </xf>
    <xf numFmtId="0" fontId="7" fillId="37" borderId="138" xfId="0" applyFont="1" applyFill="1" applyBorder="1" applyAlignment="1">
      <alignment horizontal="center"/>
    </xf>
    <xf numFmtId="0" fontId="7" fillId="37" borderId="134" xfId="0" applyFont="1" applyFill="1" applyBorder="1" applyAlignment="1">
      <alignment horizontal="center"/>
    </xf>
    <xf numFmtId="0" fontId="69" fillId="18" borderId="137" xfId="0" applyFont="1" applyFill="1" applyBorder="1" applyAlignment="1">
      <alignment horizontal="center"/>
    </xf>
    <xf numFmtId="3" fontId="7" fillId="37" borderId="134" xfId="0" applyNumberFormat="1" applyFont="1" applyFill="1" applyBorder="1" applyAlignment="1">
      <alignment horizontal="center"/>
    </xf>
    <xf numFmtId="0" fontId="7" fillId="36" borderId="138" xfId="0" applyFont="1" applyFill="1" applyBorder="1" applyAlignment="1">
      <alignment horizontal="center" vertical="center" wrapText="1"/>
    </xf>
    <xf numFmtId="0" fontId="7" fillId="36" borderId="140" xfId="0" applyFont="1" applyFill="1" applyBorder="1" applyAlignment="1">
      <alignment horizontal="center" vertical="center" wrapText="1"/>
    </xf>
    <xf numFmtId="0" fontId="7" fillId="22" borderId="141" xfId="0" applyFont="1" applyFill="1" applyBorder="1" applyAlignment="1">
      <alignment horizontal="center" vertical="center"/>
    </xf>
    <xf numFmtId="3" fontId="7" fillId="22" borderId="141" xfId="0" applyNumberFormat="1" applyFont="1" applyFill="1" applyBorder="1" applyAlignment="1">
      <alignment horizontal="center" vertical="center"/>
    </xf>
    <xf numFmtId="4" fontId="7" fillId="22" borderId="141" xfId="0" applyNumberFormat="1" applyFont="1" applyFill="1" applyBorder="1" applyAlignment="1">
      <alignment horizontal="center" vertical="center"/>
    </xf>
    <xf numFmtId="4" fontId="7" fillId="22" borderId="142" xfId="0" applyNumberFormat="1" applyFont="1" applyFill="1" applyBorder="1" applyAlignment="1">
      <alignment horizontal="center" vertical="center"/>
    </xf>
    <xf numFmtId="3" fontId="7" fillId="37" borderId="139" xfId="0" applyNumberFormat="1" applyFont="1" applyFill="1" applyBorder="1" applyAlignment="1">
      <alignment horizontal="center"/>
    </xf>
    <xf numFmtId="0" fontId="7" fillId="20" borderId="138" xfId="0" applyFont="1" applyFill="1" applyBorder="1" applyAlignment="1">
      <alignment horizontal="center"/>
    </xf>
    <xf numFmtId="0" fontId="7" fillId="20" borderId="134" xfId="0" applyFont="1" applyFill="1" applyBorder="1" applyAlignment="1">
      <alignment horizontal="center"/>
    </xf>
    <xf numFmtId="0" fontId="7" fillId="6" borderId="138" xfId="0" applyFont="1" applyFill="1" applyBorder="1" applyAlignment="1">
      <alignment horizontal="center"/>
    </xf>
    <xf numFmtId="0" fontId="7" fillId="6" borderId="134" xfId="0" applyFont="1" applyFill="1" applyBorder="1" applyAlignment="1">
      <alignment horizontal="center"/>
    </xf>
    <xf numFmtId="3" fontId="7" fillId="20" borderId="134" xfId="0" applyNumberFormat="1" applyFont="1" applyFill="1" applyBorder="1" applyAlignment="1">
      <alignment horizontal="center"/>
    </xf>
    <xf numFmtId="0" fontId="7" fillId="6" borderId="140" xfId="0" applyFont="1" applyFill="1" applyBorder="1" applyAlignment="1">
      <alignment horizontal="center"/>
    </xf>
    <xf numFmtId="0" fontId="7" fillId="6" borderId="141" xfId="0" applyFont="1" applyFill="1" applyBorder="1" applyAlignment="1">
      <alignment horizontal="center"/>
    </xf>
    <xf numFmtId="3" fontId="0" fillId="6" borderId="141" xfId="0" applyNumberFormat="1" applyFill="1" applyBorder="1" applyAlignment="1">
      <alignment horizontal="center"/>
    </xf>
    <xf numFmtId="3" fontId="7" fillId="20" borderId="139" xfId="0" applyNumberFormat="1" applyFont="1" applyFill="1" applyBorder="1" applyAlignment="1">
      <alignment horizontal="center"/>
    </xf>
    <xf numFmtId="3" fontId="0" fillId="6" borderId="142" xfId="0" applyNumberFormat="1" applyFill="1" applyBorder="1" applyAlignment="1">
      <alignment horizontal="center"/>
    </xf>
    <xf numFmtId="0" fontId="7" fillId="36" borderId="135" xfId="0" applyFont="1" applyFill="1" applyBorder="1" applyAlignment="1">
      <alignment horizontal="center"/>
    </xf>
    <xf numFmtId="0" fontId="7" fillId="22" borderId="140" xfId="0" applyFont="1" applyFill="1" applyBorder="1" applyAlignment="1">
      <alignment horizontal="center"/>
    </xf>
    <xf numFmtId="0" fontId="7"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0" fontId="7" fillId="22" borderId="139" xfId="0" applyFont="1" applyFill="1" applyBorder="1" applyAlignment="1">
      <alignment horizontal="center" vertical="center"/>
    </xf>
    <xf numFmtId="0" fontId="7" fillId="22" borderId="142" xfId="0" applyFont="1" applyFill="1" applyBorder="1" applyAlignment="1">
      <alignment horizontal="center" vertical="center"/>
    </xf>
    <xf numFmtId="0" fontId="0" fillId="0" borderId="110" xfId="0" applyBorder="1" applyAlignment="1">
      <alignment horizontal="center"/>
    </xf>
    <xf numFmtId="0" fontId="20" fillId="7" borderId="50" xfId="0" applyFont="1" applyFill="1" applyBorder="1" applyAlignment="1">
      <alignment horizontal="center" vertical="center" wrapText="1"/>
    </xf>
    <xf numFmtId="0" fontId="20" fillId="7" borderId="117" xfId="0" applyFont="1" applyFill="1" applyBorder="1" applyAlignment="1">
      <alignment horizontal="center" vertical="center" wrapText="1"/>
    </xf>
    <xf numFmtId="0" fontId="20" fillId="7" borderId="69" xfId="0" applyFont="1" applyFill="1" applyBorder="1" applyAlignment="1">
      <alignment horizontal="center" vertical="center" wrapText="1"/>
    </xf>
    <xf numFmtId="0" fontId="20" fillId="7" borderId="57" xfId="0" applyFont="1" applyFill="1" applyBorder="1" applyAlignment="1">
      <alignment horizontal="center" vertical="center" wrapText="1"/>
    </xf>
    <xf numFmtId="0" fontId="20" fillId="7" borderId="56" xfId="0" applyFont="1" applyFill="1" applyBorder="1" applyAlignment="1">
      <alignment horizontal="center" vertical="center" wrapText="1"/>
    </xf>
    <xf numFmtId="0" fontId="20" fillId="7" borderId="21" xfId="0" applyFont="1" applyFill="1" applyBorder="1" applyAlignment="1">
      <alignment horizontal="center" vertical="center" wrapText="1"/>
    </xf>
    <xf numFmtId="3" fontId="0" fillId="0" borderId="1" xfId="0" applyNumberFormat="1"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0" fontId="7" fillId="0" borderId="1" xfId="0" applyFont="1" applyBorder="1" applyAlignment="1">
      <alignment horizontal="center"/>
    </xf>
    <xf numFmtId="3" fontId="7" fillId="27" borderId="50" xfId="0" applyNumberFormat="1" applyFont="1" applyFill="1" applyBorder="1" applyAlignment="1">
      <alignment horizontal="center" vertical="center"/>
    </xf>
    <xf numFmtId="3" fontId="7" fillId="27" borderId="69" xfId="0" applyNumberFormat="1" applyFont="1" applyFill="1" applyBorder="1" applyAlignment="1">
      <alignment horizontal="center" vertical="center"/>
    </xf>
    <xf numFmtId="3" fontId="7" fillId="27" borderId="57" xfId="0" applyNumberFormat="1" applyFont="1" applyFill="1" applyBorder="1" applyAlignment="1">
      <alignment horizontal="center" vertical="center"/>
    </xf>
    <xf numFmtId="3" fontId="7" fillId="27" borderId="21" xfId="0" applyNumberFormat="1" applyFont="1" applyFill="1" applyBorder="1" applyAlignment="1">
      <alignment horizontal="center" vertical="center"/>
    </xf>
    <xf numFmtId="0" fontId="69" fillId="39" borderId="1" xfId="0" applyFont="1" applyFill="1" applyBorder="1" applyAlignment="1">
      <alignment horizontal="center"/>
    </xf>
    <xf numFmtId="0" fontId="69" fillId="38" borderId="1" xfId="0" applyFont="1" applyFill="1" applyBorder="1" applyAlignment="1">
      <alignment horizontal="center" vertical="center" wrapText="1"/>
    </xf>
    <xf numFmtId="3" fontId="7" fillId="27" borderId="1" xfId="0" applyNumberFormat="1" applyFont="1" applyFill="1" applyBorder="1" applyAlignment="1">
      <alignment horizontal="center" vertical="center"/>
    </xf>
    <xf numFmtId="0" fontId="7" fillId="12" borderId="50" xfId="0" applyFont="1" applyFill="1" applyBorder="1" applyAlignment="1">
      <alignment horizontal="center" vertical="center"/>
    </xf>
    <xf numFmtId="0" fontId="7" fillId="12" borderId="69"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1"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 xfId="0" applyFont="1" applyFill="1" applyBorder="1" applyAlignment="1">
      <alignment horizontal="center" vertical="center" wrapText="1"/>
    </xf>
    <xf numFmtId="0" fontId="69" fillId="38" borderId="1" xfId="0" applyFont="1" applyFill="1" applyBorder="1" applyAlignment="1">
      <alignment horizontal="center"/>
    </xf>
    <xf numFmtId="0" fontId="7" fillId="12" borderId="1" xfId="0" applyFont="1" applyFill="1" applyBorder="1" applyAlignment="1">
      <alignment horizontal="center"/>
    </xf>
    <xf numFmtId="0" fontId="0" fillId="0" borderId="1" xfId="0" applyBorder="1" applyAlignment="1">
      <alignment horizontal="center"/>
    </xf>
    <xf numFmtId="0" fontId="7" fillId="34" borderId="1" xfId="0" applyFont="1" applyFill="1" applyBorder="1" applyAlignment="1">
      <alignment horizontal="center" vertical="center" wrapText="1"/>
    </xf>
    <xf numFmtId="2" fontId="7" fillId="2" borderId="49" xfId="0" applyNumberFormat="1" applyFont="1" applyFill="1" applyBorder="1" applyAlignment="1">
      <alignment horizontal="center" vertical="center"/>
    </xf>
    <xf numFmtId="2" fontId="7" fillId="2" borderId="104" xfId="0" applyNumberFormat="1" applyFont="1" applyFill="1" applyBorder="1" applyAlignment="1">
      <alignment horizontal="center" vertical="center"/>
    </xf>
    <xf numFmtId="0" fontId="7" fillId="0" borderId="1" xfId="0" applyFont="1" applyBorder="1" applyAlignment="1">
      <alignment horizontal="center" vertical="center"/>
    </xf>
    <xf numFmtId="3" fontId="7" fillId="0" borderId="1" xfId="0" applyNumberFormat="1" applyFont="1" applyBorder="1" applyAlignment="1">
      <alignment horizontal="center" vertical="center"/>
    </xf>
    <xf numFmtId="2" fontId="7" fillId="0" borderId="1" xfId="0" applyNumberFormat="1" applyFont="1" applyBorder="1" applyAlignment="1">
      <alignment horizontal="center" vertical="center"/>
    </xf>
    <xf numFmtId="0" fontId="24" fillId="36" borderId="1" xfId="0" applyFont="1" applyFill="1" applyBorder="1" applyAlignment="1">
      <alignment horizontal="center" vertical="center"/>
    </xf>
    <xf numFmtId="3" fontId="7" fillId="22" borderId="1" xfId="0" applyNumberFormat="1" applyFont="1" applyFill="1" applyBorder="1" applyAlignment="1">
      <alignment horizontal="center" vertical="center"/>
    </xf>
    <xf numFmtId="3" fontId="7" fillId="12" borderId="1" xfId="0" applyNumberFormat="1" applyFont="1" applyFill="1" applyBorder="1" applyAlignment="1">
      <alignment horizontal="center"/>
    </xf>
    <xf numFmtId="3" fontId="0" fillId="0" borderId="49" xfId="0" applyNumberFormat="1" applyBorder="1" applyAlignment="1">
      <alignment horizontal="center"/>
    </xf>
    <xf numFmtId="3" fontId="0" fillId="0" borderId="104" xfId="0" applyNumberFormat="1" applyBorder="1" applyAlignment="1">
      <alignment horizontal="center"/>
    </xf>
    <xf numFmtId="3" fontId="0" fillId="0" borderId="68" xfId="0" applyNumberFormat="1" applyBorder="1" applyAlignment="1">
      <alignment horizontal="center"/>
    </xf>
    <xf numFmtId="0" fontId="70" fillId="27" borderId="50" xfId="0" applyFont="1" applyFill="1" applyBorder="1" applyAlignment="1">
      <alignment horizontal="center" vertical="center"/>
    </xf>
    <xf numFmtId="0" fontId="70" fillId="27" borderId="117" xfId="0" applyFont="1" applyFill="1" applyBorder="1" applyAlignment="1">
      <alignment horizontal="center" vertical="center"/>
    </xf>
    <xf numFmtId="0" fontId="70" fillId="27" borderId="69" xfId="0" applyFont="1" applyFill="1" applyBorder="1" applyAlignment="1">
      <alignment horizontal="center" vertical="center"/>
    </xf>
    <xf numFmtId="0" fontId="70" fillId="27" borderId="120" xfId="0" applyFont="1" applyFill="1" applyBorder="1" applyAlignment="1">
      <alignment horizontal="center" vertical="center"/>
    </xf>
    <xf numFmtId="0" fontId="70" fillId="27" borderId="0" xfId="0" applyFont="1" applyFill="1" applyAlignment="1">
      <alignment horizontal="center" vertical="center"/>
    </xf>
    <xf numFmtId="0" fontId="70" fillId="27" borderId="20" xfId="0" applyFont="1" applyFill="1" applyBorder="1" applyAlignment="1">
      <alignment horizontal="center" vertical="center"/>
    </xf>
    <xf numFmtId="0" fontId="71" fillId="27" borderId="57" xfId="0" applyFont="1" applyFill="1" applyBorder="1" applyAlignment="1">
      <alignment horizontal="center"/>
    </xf>
    <xf numFmtId="0" fontId="71" fillId="27" borderId="56" xfId="0" applyFont="1" applyFill="1" applyBorder="1" applyAlignment="1">
      <alignment horizontal="center"/>
    </xf>
    <xf numFmtId="0" fontId="71" fillId="27" borderId="21" xfId="0" applyFont="1" applyFill="1" applyBorder="1" applyAlignment="1">
      <alignment horizontal="center"/>
    </xf>
    <xf numFmtId="0" fontId="20" fillId="7" borderId="120" xfId="0" applyFont="1" applyFill="1" applyBorder="1" applyAlignment="1">
      <alignment horizontal="center" vertical="center" wrapText="1"/>
    </xf>
    <xf numFmtId="0" fontId="20" fillId="7" borderId="0" xfId="0" applyFont="1" applyFill="1" applyAlignment="1">
      <alignment horizontal="center" vertical="center" wrapText="1"/>
    </xf>
    <xf numFmtId="0" fontId="20" fillId="7" borderId="20" xfId="0" applyFont="1" applyFill="1" applyBorder="1" applyAlignment="1">
      <alignment horizontal="center" vertical="center" wrapText="1"/>
    </xf>
    <xf numFmtId="0" fontId="69" fillId="39" borderId="1" xfId="0" applyFont="1" applyFill="1" applyBorder="1" applyAlignment="1">
      <alignment horizontal="center" vertical="center"/>
    </xf>
    <xf numFmtId="0" fontId="69" fillId="38" borderId="49" xfId="0" applyFont="1" applyFill="1" applyBorder="1" applyAlignment="1">
      <alignment horizontal="center" vertical="center"/>
    </xf>
    <xf numFmtId="0" fontId="69" fillId="38" borderId="68" xfId="0" applyFont="1" applyFill="1" applyBorder="1" applyAlignment="1">
      <alignment horizontal="center" vertical="center"/>
    </xf>
    <xf numFmtId="0" fontId="7" fillId="2" borderId="1" xfId="0" applyFont="1" applyFill="1" applyBorder="1" applyAlignment="1">
      <alignment horizontal="center" vertical="center"/>
    </xf>
    <xf numFmtId="0" fontId="69" fillId="39" borderId="49" xfId="0" applyFont="1" applyFill="1" applyBorder="1" applyAlignment="1">
      <alignment horizontal="center" vertical="center" wrapText="1"/>
    </xf>
    <xf numFmtId="0" fontId="69" fillId="39" borderId="104" xfId="0" applyFont="1" applyFill="1" applyBorder="1" applyAlignment="1">
      <alignment horizontal="center" vertical="center" wrapText="1"/>
    </xf>
    <xf numFmtId="0" fontId="69" fillId="39" borderId="68" xfId="0" applyFont="1" applyFill="1" applyBorder="1" applyAlignment="1">
      <alignment horizontal="center" vertical="center" wrapText="1"/>
    </xf>
    <xf numFmtId="2" fontId="7" fillId="27" borderId="1" xfId="0" applyNumberFormat="1" applyFont="1" applyFill="1" applyBorder="1" applyAlignment="1">
      <alignment horizontal="center" vertical="center"/>
    </xf>
    <xf numFmtId="0" fontId="20" fillId="4" borderId="0" xfId="0" applyFont="1" applyFill="1" applyAlignment="1">
      <alignment horizontal="center"/>
    </xf>
    <xf numFmtId="0" fontId="7" fillId="4" borderId="47" xfId="0" applyFont="1" applyFill="1" applyBorder="1" applyAlignment="1">
      <alignment horizontal="center" wrapText="1"/>
    </xf>
    <xf numFmtId="0" fontId="7" fillId="4" borderId="48" xfId="0" applyFont="1" applyFill="1" applyBorder="1" applyAlignment="1">
      <alignment horizontal="center"/>
    </xf>
    <xf numFmtId="0" fontId="7" fillId="4" borderId="35" xfId="0" applyFont="1" applyFill="1" applyBorder="1" applyAlignment="1">
      <alignment horizontal="center" wrapText="1"/>
    </xf>
    <xf numFmtId="0" fontId="7" fillId="4" borderId="52" xfId="0" applyFont="1" applyFill="1" applyBorder="1" applyAlignment="1">
      <alignment horizontal="center"/>
    </xf>
    <xf numFmtId="0" fontId="7" fillId="4" borderId="48" xfId="0" applyFont="1" applyFill="1" applyBorder="1" applyAlignment="1">
      <alignment horizontal="center" wrapText="1"/>
    </xf>
    <xf numFmtId="0" fontId="15" fillId="2" borderId="59" xfId="0" applyFont="1" applyFill="1" applyBorder="1" applyAlignment="1">
      <alignment horizontal="center" vertical="center" wrapText="1"/>
    </xf>
    <xf numFmtId="0" fontId="15" fillId="2" borderId="0" xfId="0" applyFont="1" applyFill="1" applyAlignment="1">
      <alignment horizontal="center" vertical="center" wrapText="1"/>
    </xf>
    <xf numFmtId="0" fontId="15" fillId="2" borderId="70" xfId="0" applyFont="1" applyFill="1" applyBorder="1" applyAlignment="1">
      <alignment horizontal="center" vertical="center" wrapText="1"/>
    </xf>
    <xf numFmtId="0" fontId="15" fillId="2" borderId="1" xfId="0" applyFont="1" applyFill="1" applyBorder="1" applyAlignment="1">
      <alignment horizontal="center" vertical="center"/>
    </xf>
    <xf numFmtId="0" fontId="15" fillId="2" borderId="59" xfId="0" applyFont="1" applyFill="1" applyBorder="1" applyAlignment="1">
      <alignment horizontal="center"/>
    </xf>
    <xf numFmtId="0" fontId="15" fillId="2" borderId="0" xfId="0" applyFont="1" applyFill="1" applyAlignment="1">
      <alignment horizontal="center"/>
    </xf>
    <xf numFmtId="0" fontId="15" fillId="2" borderId="20" xfId="0" applyFont="1" applyFill="1" applyBorder="1" applyAlignment="1">
      <alignment horizontal="center"/>
    </xf>
    <xf numFmtId="0" fontId="15" fillId="2" borderId="0" xfId="0" applyFont="1" applyFill="1" applyAlignment="1">
      <alignment horizontal="center" vertical="center"/>
    </xf>
    <xf numFmtId="0" fontId="15" fillId="2" borderId="56" xfId="0" applyFont="1" applyFill="1" applyBorder="1" applyAlignment="1">
      <alignment horizontal="center" vertical="center"/>
    </xf>
    <xf numFmtId="0" fontId="15" fillId="2" borderId="70" xfId="0" applyFont="1" applyFill="1" applyBorder="1" applyAlignment="1">
      <alignment horizontal="center" vertical="center"/>
    </xf>
    <xf numFmtId="0" fontId="15" fillId="2" borderId="77" xfId="0" applyFont="1" applyFill="1" applyBorder="1" applyAlignment="1">
      <alignment horizontal="center" vertical="center"/>
    </xf>
    <xf numFmtId="0" fontId="15" fillId="2" borderId="26" xfId="0" applyFont="1" applyFill="1" applyBorder="1" applyAlignment="1">
      <alignment horizontal="center" vertical="center"/>
    </xf>
    <xf numFmtId="0" fontId="15" fillId="2" borderId="43" xfId="0" applyFont="1" applyFill="1" applyBorder="1" applyAlignment="1">
      <alignment horizontal="center" vertical="center"/>
    </xf>
    <xf numFmtId="0" fontId="15" fillId="2" borderId="26" xfId="0" applyFont="1" applyFill="1" applyBorder="1" applyAlignment="1">
      <alignment horizontal="center" vertical="center" wrapText="1"/>
    </xf>
    <xf numFmtId="0" fontId="15" fillId="2" borderId="43" xfId="0" applyFont="1" applyFill="1" applyBorder="1" applyAlignment="1">
      <alignment horizontal="center" vertical="center" wrapText="1"/>
    </xf>
    <xf numFmtId="0" fontId="15" fillId="2" borderId="60" xfId="0" applyFont="1" applyFill="1" applyBorder="1" applyAlignment="1">
      <alignment horizontal="center" vertical="center"/>
    </xf>
    <xf numFmtId="0" fontId="15" fillId="2" borderId="74" xfId="0" applyFont="1" applyFill="1" applyBorder="1" applyAlignment="1">
      <alignment horizontal="center" vertical="center"/>
    </xf>
    <xf numFmtId="0" fontId="15" fillId="2" borderId="55" xfId="0" applyFont="1" applyFill="1" applyBorder="1" applyAlignment="1">
      <alignment horizontal="center" vertical="center"/>
    </xf>
    <xf numFmtId="0" fontId="15" fillId="2" borderId="80" xfId="0" applyFont="1" applyFill="1" applyBorder="1" applyAlignment="1">
      <alignment horizontal="center" vertical="center"/>
    </xf>
    <xf numFmtId="0" fontId="15" fillId="2" borderId="81" xfId="0" applyFont="1" applyFill="1" applyBorder="1" applyAlignment="1">
      <alignment horizontal="center" vertical="center"/>
    </xf>
    <xf numFmtId="0" fontId="15" fillId="2" borderId="2" xfId="0" applyFont="1" applyFill="1" applyBorder="1" applyAlignment="1">
      <alignment horizontal="center" vertical="center" wrapText="1"/>
    </xf>
    <xf numFmtId="0" fontId="15" fillId="2" borderId="3" xfId="0" applyFont="1" applyFill="1" applyBorder="1" applyAlignment="1">
      <alignment horizontal="center" vertical="center" wrapText="1"/>
    </xf>
    <xf numFmtId="169" fontId="15" fillId="2" borderId="2" xfId="2" applyNumberFormat="1" applyFont="1" applyFill="1" applyBorder="1" applyAlignment="1">
      <alignment horizontal="center" vertical="center" wrapText="1"/>
    </xf>
    <xf numFmtId="169" fontId="15" fillId="2" borderId="3" xfId="2" applyNumberFormat="1" applyFont="1" applyFill="1" applyBorder="1" applyAlignment="1">
      <alignment horizontal="center" vertical="center" wrapText="1"/>
    </xf>
    <xf numFmtId="170" fontId="15" fillId="2" borderId="1" xfId="0" applyNumberFormat="1" applyFont="1" applyFill="1" applyBorder="1" applyAlignment="1">
      <alignment horizontal="center" wrapText="1"/>
    </xf>
    <xf numFmtId="0" fontId="15" fillId="2" borderId="104" xfId="0" applyFont="1" applyFill="1" applyBorder="1" applyAlignment="1">
      <alignment horizontal="center" vertical="center" wrapText="1"/>
    </xf>
    <xf numFmtId="0" fontId="15" fillId="2" borderId="68" xfId="0" applyFont="1" applyFill="1" applyBorder="1" applyAlignment="1">
      <alignment horizontal="center" vertical="center" wrapText="1"/>
    </xf>
    <xf numFmtId="170" fontId="15" fillId="2" borderId="1" xfId="0" applyNumberFormat="1" applyFont="1" applyFill="1" applyBorder="1" applyAlignment="1">
      <alignment horizontal="center" vertical="center" wrapText="1"/>
    </xf>
    <xf numFmtId="0" fontId="7" fillId="24" borderId="1" xfId="0" applyFont="1" applyFill="1" applyBorder="1" applyAlignment="1">
      <alignment horizontal="center"/>
    </xf>
    <xf numFmtId="0" fontId="47" fillId="19" borderId="3" xfId="0" applyFont="1" applyFill="1" applyBorder="1" applyAlignment="1">
      <alignment horizontal="center" vertical="center" wrapText="1"/>
    </xf>
    <xf numFmtId="0" fontId="47" fillId="19" borderId="2" xfId="0" applyFont="1" applyFill="1" applyBorder="1" applyAlignment="1">
      <alignment horizontal="center" vertical="center" wrapText="1"/>
    </xf>
    <xf numFmtId="0" fontId="61" fillId="25" borderId="1" xfId="0" applyFont="1" applyFill="1" applyBorder="1" applyAlignment="1">
      <alignment horizontal="center" vertical="center"/>
    </xf>
    <xf numFmtId="0" fontId="48" fillId="7" borderId="1" xfId="0" applyFont="1" applyFill="1" applyBorder="1" applyAlignment="1">
      <alignment horizontal="center" vertical="center"/>
    </xf>
    <xf numFmtId="0" fontId="7" fillId="24" borderId="49" xfId="0" applyFont="1" applyFill="1" applyBorder="1" applyAlignment="1">
      <alignment horizontal="center"/>
    </xf>
    <xf numFmtId="0" fontId="7" fillId="24" borderId="104" xfId="0" applyFont="1" applyFill="1" applyBorder="1" applyAlignment="1">
      <alignment horizontal="center"/>
    </xf>
    <xf numFmtId="0" fontId="7" fillId="24" borderId="68" xfId="0" applyFont="1" applyFill="1" applyBorder="1" applyAlignment="1">
      <alignment horizontal="center"/>
    </xf>
    <xf numFmtId="0" fontId="7" fillId="24" borderId="120" xfId="0" applyFont="1" applyFill="1" applyBorder="1" applyAlignment="1">
      <alignment horizontal="center"/>
    </xf>
    <xf numFmtId="0" fontId="7" fillId="24" borderId="0" xfId="0" applyFont="1" applyFill="1" applyAlignment="1">
      <alignment horizontal="center"/>
    </xf>
    <xf numFmtId="0" fontId="7" fillId="24" borderId="20" xfId="0" applyFont="1" applyFill="1" applyBorder="1" applyAlignment="1">
      <alignment horizontal="center"/>
    </xf>
    <xf numFmtId="0" fontId="26" fillId="0" borderId="2" xfId="0" applyFont="1" applyBorder="1" applyAlignment="1">
      <alignment horizontal="center"/>
    </xf>
    <xf numFmtId="0" fontId="26" fillId="0" borderId="12" xfId="0" applyFont="1" applyBorder="1" applyAlignment="1">
      <alignment horizontal="center"/>
    </xf>
    <xf numFmtId="0" fontId="26" fillId="0" borderId="3" xfId="0" applyFont="1" applyBorder="1" applyAlignment="1">
      <alignment horizontal="center"/>
    </xf>
    <xf numFmtId="0" fontId="24" fillId="0" borderId="49" xfId="0" applyFont="1" applyBorder="1" applyAlignment="1">
      <alignment horizontal="center" vertical="center" wrapText="1"/>
    </xf>
    <xf numFmtId="0" fontId="24" fillId="0" borderId="104" xfId="0" applyFont="1" applyBorder="1" applyAlignment="1">
      <alignment horizontal="center" vertical="center" wrapText="1"/>
    </xf>
    <xf numFmtId="0" fontId="24" fillId="0" borderId="68" xfId="0" applyFont="1" applyBorder="1" applyAlignment="1">
      <alignment horizontal="center" vertical="center" wrapText="1"/>
    </xf>
    <xf numFmtId="169" fontId="24" fillId="8" borderId="1" xfId="2" applyNumberFormat="1" applyFont="1" applyFill="1" applyBorder="1" applyAlignment="1">
      <alignment horizontal="center" vertical="center" wrapText="1"/>
    </xf>
    <xf numFmtId="169" fontId="24" fillId="9" borderId="1" xfId="2" applyNumberFormat="1" applyFont="1" applyFill="1" applyBorder="1" applyAlignment="1">
      <alignment horizontal="center" vertical="center" wrapText="1"/>
    </xf>
    <xf numFmtId="169" fontId="24"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7" fillId="4" borderId="108" xfId="0" applyFont="1" applyFill="1" applyBorder="1" applyAlignment="1">
      <alignment horizontal="center"/>
    </xf>
    <xf numFmtId="0" fontId="7" fillId="4" borderId="127" xfId="0" applyFont="1" applyFill="1" applyBorder="1" applyAlignment="1">
      <alignment horizontal="center"/>
    </xf>
    <xf numFmtId="0" fontId="8" fillId="2" borderId="14" xfId="1" applyFill="1" applyBorder="1" applyAlignment="1">
      <alignment horizontal="left" vertical="top"/>
    </xf>
    <xf numFmtId="0" fontId="8" fillId="2" borderId="15" xfId="1" applyFill="1" applyBorder="1" applyAlignment="1">
      <alignment horizontal="left" vertical="top"/>
    </xf>
    <xf numFmtId="0" fontId="8" fillId="2" borderId="82" xfId="1" applyFill="1" applyBorder="1" applyAlignment="1">
      <alignment horizontal="lef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0" fontId="0" fillId="2" borderId="5" xfId="0" applyFill="1" applyBorder="1" applyAlignment="1">
      <alignment horizontal="center" wrapText="1"/>
    </xf>
    <xf numFmtId="0" fontId="0" fillId="2" borderId="12" xfId="0" applyFill="1" applyBorder="1" applyAlignment="1">
      <alignment horizontal="center" wrapText="1"/>
    </xf>
    <xf numFmtId="0" fontId="0" fillId="2" borderId="9" xfId="0" applyFill="1" applyBorder="1" applyAlignment="1">
      <alignment horizontal="center" wrapText="1"/>
    </xf>
    <xf numFmtId="170" fontId="9" fillId="2" borderId="5" xfId="2" applyNumberFormat="1" applyFont="1" applyFill="1" applyBorder="1" applyAlignment="1">
      <alignment horizontal="center"/>
    </xf>
    <xf numFmtId="170" fontId="9" fillId="2" borderId="12" xfId="2" applyNumberFormat="1" applyFont="1" applyFill="1" applyBorder="1" applyAlignment="1">
      <alignment horizontal="center"/>
    </xf>
    <xf numFmtId="170" fontId="9" fillId="2" borderId="9" xfId="2" applyNumberFormat="1" applyFont="1" applyFill="1" applyBorder="1" applyAlignment="1">
      <alignment horizontal="center"/>
    </xf>
    <xf numFmtId="0" fontId="8" fillId="2" borderId="37" xfId="1" applyFill="1" applyBorder="1" applyAlignment="1">
      <alignment horizontal="left" vertical="top"/>
    </xf>
    <xf numFmtId="0" fontId="0" fillId="2" borderId="27" xfId="0" applyFill="1" applyBorder="1" applyAlignment="1">
      <alignment horizontal="left" vertical="top"/>
    </xf>
    <xf numFmtId="3" fontId="0" fillId="2" borderId="27" xfId="0" applyNumberFormat="1" applyFill="1" applyBorder="1" applyAlignment="1">
      <alignment horizontal="right" vertical="top"/>
    </xf>
    <xf numFmtId="0" fontId="23" fillId="2" borderId="5" xfId="1" applyFont="1" applyFill="1" applyBorder="1" applyAlignment="1">
      <alignment horizontal="left" vertical="top" wrapText="1"/>
    </xf>
    <xf numFmtId="0" fontId="23" fillId="2" borderId="12" xfId="1" applyFont="1" applyFill="1" applyBorder="1" applyAlignment="1">
      <alignment horizontal="left" vertical="top" wrapText="1"/>
    </xf>
    <xf numFmtId="0" fontId="18" fillId="2" borderId="5" xfId="1" applyFont="1" applyFill="1" applyBorder="1" applyAlignment="1">
      <alignment horizontal="center" vertical="top" wrapText="1"/>
    </xf>
    <xf numFmtId="0" fontId="18" fillId="2" borderId="12" xfId="1" applyFont="1" applyFill="1" applyBorder="1" applyAlignment="1">
      <alignment horizontal="center" vertical="top" wrapText="1"/>
    </xf>
    <xf numFmtId="170" fontId="9" fillId="2" borderId="5" xfId="2" applyNumberFormat="1" applyFont="1" applyFill="1" applyBorder="1" applyAlignment="1">
      <alignment horizontal="center" vertical="top"/>
    </xf>
    <xf numFmtId="170" fontId="9" fillId="2" borderId="12" xfId="2" applyNumberFormat="1" applyFont="1" applyFill="1" applyBorder="1" applyAlignment="1">
      <alignment horizontal="center" vertical="top"/>
    </xf>
    <xf numFmtId="0" fontId="0" fillId="2" borderId="5" xfId="0" applyFill="1" applyBorder="1" applyAlignment="1">
      <alignment horizontal="left" vertical="top"/>
    </xf>
    <xf numFmtId="0" fontId="0" fillId="2" borderId="12" xfId="0" applyFill="1" applyBorder="1" applyAlignment="1">
      <alignment horizontal="left" vertical="top"/>
    </xf>
    <xf numFmtId="3" fontId="0" fillId="2" borderId="5" xfId="0" applyNumberFormat="1" applyFill="1" applyBorder="1" applyAlignment="1">
      <alignment horizontal="center" vertical="top"/>
    </xf>
    <xf numFmtId="3" fontId="0" fillId="2" borderId="12" xfId="0" applyNumberFormat="1" applyFill="1" applyBorder="1" applyAlignment="1">
      <alignment horizontal="center" vertical="top"/>
    </xf>
    <xf numFmtId="0" fontId="8" fillId="2" borderId="4" xfId="1" applyFill="1" applyBorder="1" applyAlignment="1">
      <alignment horizontal="left" vertical="top"/>
    </xf>
    <xf numFmtId="0" fontId="8" fillId="2" borderId="17" xfId="1" applyFill="1" applyBorder="1" applyAlignment="1">
      <alignment horizontal="left" vertical="top"/>
    </xf>
    <xf numFmtId="0" fontId="8" fillId="2" borderId="8" xfId="1" applyFill="1" applyBorder="1" applyAlignment="1">
      <alignment horizontal="left" vertical="top"/>
    </xf>
    <xf numFmtId="0" fontId="9" fillId="2" borderId="6" xfId="1" applyFont="1" applyFill="1" applyBorder="1" applyAlignment="1">
      <alignment horizontal="left" vertical="top" wrapText="1"/>
    </xf>
    <xf numFmtId="0" fontId="9" fillId="2" borderId="1" xfId="1" applyFont="1" applyFill="1" applyBorder="1" applyAlignment="1">
      <alignment horizontal="left" vertical="top" wrapText="1"/>
    </xf>
    <xf numFmtId="0" fontId="9" fillId="2" borderId="10" xfId="1" applyFont="1" applyFill="1" applyBorder="1" applyAlignment="1">
      <alignment horizontal="left" vertical="top" wrapText="1"/>
    </xf>
    <xf numFmtId="169" fontId="9" fillId="2" borderId="6" xfId="2" applyNumberFormat="1" applyFont="1" applyFill="1" applyBorder="1" applyAlignment="1">
      <alignment horizontal="center" vertical="top" wrapText="1"/>
    </xf>
    <xf numFmtId="169" fontId="9" fillId="2" borderId="1" xfId="2" applyNumberFormat="1" applyFont="1" applyFill="1" applyBorder="1" applyAlignment="1">
      <alignment horizontal="center" vertical="top" wrapText="1"/>
    </xf>
    <xf numFmtId="169" fontId="9" fillId="2" borderId="10" xfId="2" applyNumberFormat="1" applyFont="1" applyFill="1" applyBorder="1" applyAlignment="1">
      <alignment horizontal="center" vertical="top" wrapText="1"/>
    </xf>
    <xf numFmtId="170" fontId="9" fillId="2" borderId="6" xfId="2" applyNumberFormat="1" applyFont="1" applyFill="1" applyBorder="1" applyAlignment="1">
      <alignment horizontal="center" vertical="top"/>
    </xf>
    <xf numFmtId="170" fontId="9" fillId="2" borderId="1" xfId="2" applyNumberFormat="1" applyFont="1" applyFill="1" applyBorder="1" applyAlignment="1">
      <alignment horizontal="center" vertical="top"/>
    </xf>
    <xf numFmtId="170" fontId="9" fillId="2" borderId="10" xfId="2" applyNumberFormat="1" applyFont="1" applyFill="1" applyBorder="1" applyAlignment="1">
      <alignment horizontal="center" vertical="top"/>
    </xf>
    <xf numFmtId="0" fontId="0" fillId="2" borderId="6" xfId="0" applyFill="1" applyBorder="1" applyAlignment="1">
      <alignment horizontal="left" vertical="top"/>
    </xf>
    <xf numFmtId="0" fontId="0" fillId="2" borderId="1" xfId="0" applyFill="1" applyBorder="1" applyAlignment="1">
      <alignment horizontal="lef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0" fontId="0" fillId="2" borderId="10" xfId="0" applyFill="1" applyBorder="1" applyAlignment="1">
      <alignment horizontal="left" vertical="top"/>
    </xf>
    <xf numFmtId="3" fontId="0" fillId="2" borderId="10" xfId="0" applyNumberFormat="1" applyFill="1" applyBorder="1" applyAlignment="1">
      <alignment horizontal="right" vertical="top"/>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9" fillId="2" borderId="12" xfId="1" applyFont="1" applyFill="1" applyBorder="1" applyAlignment="1">
      <alignment horizontal="left" vertical="top" wrapText="1"/>
    </xf>
    <xf numFmtId="0" fontId="9" fillId="2" borderId="9" xfId="1" applyFont="1" applyFill="1" applyBorder="1" applyAlignment="1">
      <alignment horizontal="left" vertical="top" wrapText="1"/>
    </xf>
    <xf numFmtId="0" fontId="18"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9" fillId="2" borderId="5" xfId="1" applyFont="1" applyFill="1" applyBorder="1" applyAlignment="1">
      <alignment horizontal="left" vertical="top" wrapText="1"/>
    </xf>
    <xf numFmtId="3" fontId="0" fillId="2" borderId="5" xfId="0" applyNumberFormat="1" applyFill="1" applyBorder="1" applyAlignment="1">
      <alignment horizontal="right" vertical="top"/>
    </xf>
    <xf numFmtId="3" fontId="0" fillId="2" borderId="12" xfId="0" applyNumberFormat="1" applyFill="1" applyBorder="1" applyAlignment="1">
      <alignment horizontal="right" vertical="top"/>
    </xf>
    <xf numFmtId="0" fontId="8" fillId="4" borderId="4" xfId="1" applyFill="1" applyBorder="1" applyAlignment="1">
      <alignment horizontal="left" vertical="top"/>
    </xf>
    <xf numFmtId="0" fontId="8" fillId="4" borderId="17" xfId="1" applyFill="1" applyBorder="1" applyAlignment="1">
      <alignment horizontal="left" vertical="top"/>
    </xf>
    <xf numFmtId="0" fontId="8" fillId="4" borderId="41" xfId="1" applyFill="1" applyBorder="1" applyAlignment="1">
      <alignment horizontal="left" vertical="top"/>
    </xf>
    <xf numFmtId="0" fontId="9" fillId="4" borderId="6" xfId="1" applyFont="1" applyFill="1" applyBorder="1" applyAlignment="1">
      <alignment horizontal="left" vertical="top" wrapText="1"/>
    </xf>
    <xf numFmtId="0" fontId="9" fillId="4" borderId="1" xfId="1" applyFont="1" applyFill="1" applyBorder="1" applyAlignment="1">
      <alignment horizontal="left" vertical="top" wrapText="1"/>
    </xf>
    <xf numFmtId="0" fontId="9" fillId="4" borderId="2" xfId="1" applyFont="1" applyFill="1" applyBorder="1" applyAlignment="1">
      <alignment horizontal="left" vertical="top" wrapText="1"/>
    </xf>
    <xf numFmtId="0" fontId="18" fillId="4" borderId="6" xfId="1" applyFont="1" applyFill="1" applyBorder="1" applyAlignment="1">
      <alignment horizontal="center" vertical="top" wrapText="1"/>
    </xf>
    <xf numFmtId="0" fontId="18" fillId="4" borderId="1" xfId="1" applyFont="1" applyFill="1" applyBorder="1" applyAlignment="1">
      <alignment horizontal="center" vertical="top" wrapText="1"/>
    </xf>
    <xf numFmtId="0" fontId="18" fillId="4" borderId="2" xfId="1" applyFont="1" applyFill="1" applyBorder="1" applyAlignment="1">
      <alignment horizontal="center" vertical="top" wrapText="1"/>
    </xf>
    <xf numFmtId="170" fontId="18" fillId="4" borderId="6" xfId="1" applyNumberFormat="1" applyFont="1" applyFill="1" applyBorder="1" applyAlignment="1">
      <alignment horizontal="center" vertical="top"/>
    </xf>
    <xf numFmtId="170" fontId="18" fillId="4" borderId="1" xfId="1" applyNumberFormat="1" applyFont="1" applyFill="1" applyBorder="1" applyAlignment="1">
      <alignment horizontal="center" vertical="top"/>
    </xf>
    <xf numFmtId="170" fontId="18" fillId="4" borderId="2" xfId="1" applyNumberFormat="1" applyFont="1" applyFill="1" applyBorder="1" applyAlignment="1">
      <alignment horizontal="center" vertical="top"/>
    </xf>
    <xf numFmtId="0" fontId="0" fillId="4" borderId="6" xfId="0" applyFill="1" applyBorder="1" applyAlignment="1">
      <alignment horizontal="left" vertical="top"/>
    </xf>
    <xf numFmtId="0" fontId="0" fillId="4" borderId="1" xfId="0" applyFill="1" applyBorder="1" applyAlignment="1">
      <alignment horizontal="left" vertical="top"/>
    </xf>
    <xf numFmtId="3" fontId="0" fillId="4" borderId="6" xfId="0" applyNumberFormat="1" applyFill="1" applyBorder="1" applyAlignment="1">
      <alignment horizontal="right" vertical="top"/>
    </xf>
    <xf numFmtId="3" fontId="0" fillId="4" borderId="1"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8" fillId="4" borderId="14" xfId="1" applyFill="1" applyBorder="1" applyAlignment="1">
      <alignment horizontal="left" vertical="top"/>
    </xf>
    <xf numFmtId="0" fontId="8" fillId="4" borderId="82" xfId="1" applyFill="1" applyBorder="1" applyAlignment="1">
      <alignment horizontal="left" vertical="top"/>
    </xf>
    <xf numFmtId="0" fontId="9" fillId="4" borderId="5" xfId="1" applyFont="1" applyFill="1" applyBorder="1" applyAlignment="1">
      <alignment horizontal="left" vertical="top" wrapText="1"/>
    </xf>
    <xf numFmtId="0" fontId="9" fillId="4" borderId="9" xfId="1" applyFont="1" applyFill="1" applyBorder="1" applyAlignment="1">
      <alignment horizontal="left" vertical="top" wrapText="1"/>
    </xf>
    <xf numFmtId="0" fontId="8" fillId="4" borderId="4" xfId="1" applyFill="1" applyBorder="1" applyAlignment="1">
      <alignment horizontal="left" vertical="top" wrapText="1"/>
    </xf>
    <xf numFmtId="0" fontId="8" fillId="4" borderId="17" xfId="1" applyFill="1" applyBorder="1" applyAlignment="1">
      <alignment horizontal="left" vertical="top" wrapText="1"/>
    </xf>
    <xf numFmtId="0" fontId="8" fillId="4" borderId="8" xfId="1" applyFill="1" applyBorder="1" applyAlignment="1">
      <alignment horizontal="left" vertical="top" wrapText="1"/>
    </xf>
    <xf numFmtId="0" fontId="9" fillId="4" borderId="10" xfId="1" applyFont="1" applyFill="1" applyBorder="1" applyAlignment="1">
      <alignment horizontal="left" vertical="top" wrapText="1"/>
    </xf>
    <xf numFmtId="0" fontId="18" fillId="4" borderId="10" xfId="1" applyFont="1" applyFill="1" applyBorder="1" applyAlignment="1">
      <alignment horizontal="center" vertical="top" wrapText="1"/>
    </xf>
    <xf numFmtId="170" fontId="9" fillId="4" borderId="6" xfId="2" applyNumberFormat="1" applyFont="1" applyFill="1" applyBorder="1" applyAlignment="1">
      <alignment horizontal="center" vertical="top"/>
    </xf>
    <xf numFmtId="170" fontId="9" fillId="4" borderId="1" xfId="2" applyNumberFormat="1" applyFont="1" applyFill="1" applyBorder="1" applyAlignment="1">
      <alignment horizontal="center" vertical="top"/>
    </xf>
    <xf numFmtId="170" fontId="9" fillId="4" borderId="10" xfId="2" applyNumberFormat="1" applyFont="1" applyFill="1" applyBorder="1" applyAlignment="1">
      <alignment horizontal="center"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8" fillId="4" borderId="22" xfId="1" applyFill="1" applyBorder="1" applyAlignment="1">
      <alignment horizontal="left" vertical="top"/>
    </xf>
    <xf numFmtId="0" fontId="9" fillId="4" borderId="3" xfId="1" applyFont="1" applyFill="1" applyBorder="1" applyAlignment="1">
      <alignment horizontal="left" vertical="top" wrapText="1"/>
    </xf>
    <xf numFmtId="0" fontId="18" fillId="4" borderId="3" xfId="1" applyFont="1" applyFill="1" applyBorder="1" applyAlignment="1">
      <alignment horizontal="center" vertical="top" wrapText="1"/>
    </xf>
    <xf numFmtId="170" fontId="18" fillId="4" borderId="3"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169" fontId="9" fillId="2" borderId="12" xfId="2" applyNumberFormat="1" applyFont="1" applyFill="1" applyBorder="1" applyAlignment="1">
      <alignment horizontal="center" vertical="top" wrapText="1"/>
    </xf>
    <xf numFmtId="169" fontId="9" fillId="2" borderId="9" xfId="2" applyNumberFormat="1" applyFont="1" applyFill="1" applyBorder="1" applyAlignment="1">
      <alignment horizontal="center" vertical="top" wrapText="1"/>
    </xf>
    <xf numFmtId="170" fontId="9" fillId="2" borderId="9" xfId="2" applyNumberFormat="1" applyFont="1" applyFill="1" applyBorder="1" applyAlignment="1">
      <alignment horizontal="center" vertical="top"/>
    </xf>
    <xf numFmtId="0" fontId="0" fillId="2" borderId="9" xfId="0" applyFill="1" applyBorder="1" applyAlignment="1">
      <alignment horizontal="left" vertical="top"/>
    </xf>
    <xf numFmtId="3" fontId="0" fillId="2" borderId="9" xfId="0" applyNumberFormat="1" applyFill="1" applyBorder="1" applyAlignment="1">
      <alignment horizontal="center" vertical="top"/>
    </xf>
    <xf numFmtId="0" fontId="8" fillId="4" borderId="15" xfId="1" applyFill="1" applyBorder="1" applyAlignment="1">
      <alignment horizontal="left" vertical="top"/>
    </xf>
    <xf numFmtId="0" fontId="9" fillId="4" borderId="12" xfId="1" applyFont="1" applyFill="1" applyBorder="1" applyAlignment="1">
      <alignment horizontal="left" vertical="top" wrapText="1"/>
    </xf>
    <xf numFmtId="0" fontId="18" fillId="4" borderId="5" xfId="1" applyFont="1" applyFill="1" applyBorder="1" applyAlignment="1">
      <alignment horizontal="center" vertical="top" wrapText="1"/>
    </xf>
    <xf numFmtId="0" fontId="18" fillId="4" borderId="12" xfId="1" applyFont="1" applyFill="1" applyBorder="1" applyAlignment="1">
      <alignment horizontal="center" vertical="top" wrapText="1"/>
    </xf>
    <xf numFmtId="170" fontId="9" fillId="4" borderId="5" xfId="2" applyNumberFormat="1" applyFont="1" applyFill="1" applyBorder="1" applyAlignment="1">
      <alignment horizontal="center" vertical="top"/>
    </xf>
    <xf numFmtId="170" fontId="9" fillId="4" borderId="12" xfId="2" applyNumberFormat="1" applyFont="1" applyFill="1" applyBorder="1" applyAlignment="1">
      <alignment horizontal="center"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8" fillId="2" borderId="15" xfId="1" applyFill="1" applyBorder="1" applyAlignment="1">
      <alignment horizontal="left" vertical="center"/>
    </xf>
    <xf numFmtId="0" fontId="8" fillId="2" borderId="82" xfId="1" applyFill="1" applyBorder="1" applyAlignment="1">
      <alignment horizontal="left" vertical="center"/>
    </xf>
    <xf numFmtId="0" fontId="9" fillId="2" borderId="12" xfId="1" applyFont="1" applyFill="1" applyBorder="1" applyAlignment="1">
      <alignment horizontal="center" vertical="center" wrapText="1"/>
    </xf>
    <xf numFmtId="0" fontId="9" fillId="2" borderId="9" xfId="1" applyFont="1" applyFill="1" applyBorder="1" applyAlignment="1">
      <alignment horizontal="center" vertical="center" wrapText="1"/>
    </xf>
    <xf numFmtId="170" fontId="9" fillId="2" borderId="12" xfId="1" applyNumberFormat="1" applyFont="1" applyFill="1" applyBorder="1" applyAlignment="1">
      <alignment horizontal="center" vertical="center" wrapText="1"/>
    </xf>
    <xf numFmtId="170" fontId="9" fillId="2" borderId="9" xfId="1" applyNumberFormat="1" applyFont="1" applyFill="1" applyBorder="1" applyAlignment="1">
      <alignment horizontal="center" vertical="center" wrapText="1"/>
    </xf>
    <xf numFmtId="3" fontId="0" fillId="2" borderId="9" xfId="0" applyNumberFormat="1" applyFill="1" applyBorder="1" applyAlignment="1">
      <alignment horizontal="right" vertical="top"/>
    </xf>
    <xf numFmtId="0" fontId="9" fillId="2" borderId="5" xfId="1" applyFont="1" applyFill="1" applyBorder="1" applyAlignment="1">
      <alignment horizontal="left" vertical="center" wrapText="1"/>
    </xf>
    <xf numFmtId="0" fontId="9" fillId="2" borderId="12" xfId="1" applyFont="1" applyFill="1" applyBorder="1" applyAlignment="1">
      <alignment horizontal="left" vertical="center" wrapText="1"/>
    </xf>
    <xf numFmtId="170" fontId="9" fillId="2" borderId="5" xfId="2" applyNumberFormat="1" applyFont="1" applyFill="1" applyBorder="1" applyAlignment="1">
      <alignment horizontal="center" vertical="center"/>
    </xf>
    <xf numFmtId="170" fontId="9"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8" fillId="4" borderId="107" xfId="1" applyFill="1" applyBorder="1" applyAlignment="1">
      <alignment horizontal="left" vertical="top"/>
    </xf>
    <xf numFmtId="0" fontId="8" fillId="4" borderId="106"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170" fontId="9" fillId="4" borderId="27" xfId="2" applyNumberFormat="1" applyFont="1" applyFill="1" applyBorder="1" applyAlignment="1">
      <alignment horizontal="center" vertical="top"/>
    </xf>
    <xf numFmtId="170" fontId="9" fillId="4" borderId="95" xfId="2" applyNumberFormat="1" applyFont="1" applyFill="1" applyBorder="1" applyAlignment="1">
      <alignment horizontal="center" vertical="top"/>
    </xf>
    <xf numFmtId="0" fontId="9" fillId="4" borderId="27" xfId="1" applyFont="1" applyFill="1" applyBorder="1" applyAlignment="1">
      <alignment horizontal="left" vertical="top" wrapText="1"/>
    </xf>
    <xf numFmtId="0" fontId="9" fillId="4" borderId="95" xfId="1" applyFont="1" applyFill="1" applyBorder="1" applyAlignment="1">
      <alignment horizontal="left" vertical="top" wrapText="1"/>
    </xf>
    <xf numFmtId="0" fontId="18" fillId="4" borderId="27" xfId="1" applyFont="1" applyFill="1" applyBorder="1" applyAlignment="1">
      <alignment horizontal="center" vertical="top" wrapText="1"/>
    </xf>
    <xf numFmtId="0" fontId="18" fillId="4" borderId="95" xfId="1" applyFont="1" applyFill="1" applyBorder="1" applyAlignment="1">
      <alignment horizontal="center" vertical="top" wrapText="1"/>
    </xf>
    <xf numFmtId="0" fontId="0" fillId="4" borderId="27" xfId="0" applyFill="1" applyBorder="1" applyAlignment="1">
      <alignment horizontal="left" vertical="top"/>
    </xf>
    <xf numFmtId="0" fontId="0" fillId="4" borderId="95" xfId="0" applyFill="1" applyBorder="1" applyAlignment="1">
      <alignment horizontal="left" vertical="top"/>
    </xf>
    <xf numFmtId="0" fontId="8" fillId="2" borderId="41" xfId="1" applyFill="1" applyBorder="1" applyAlignment="1">
      <alignment horizontal="left" vertical="top"/>
    </xf>
    <xf numFmtId="0" fontId="9" fillId="2" borderId="6" xfId="1" applyFont="1" applyFill="1" applyBorder="1" applyAlignment="1">
      <alignment horizontal="center" vertical="top" wrapText="1"/>
    </xf>
    <xf numFmtId="0" fontId="9" fillId="2" borderId="1" xfId="1" applyFont="1" applyFill="1" applyBorder="1" applyAlignment="1">
      <alignment horizontal="center" vertical="top" wrapText="1"/>
    </xf>
    <xf numFmtId="0" fontId="9" fillId="2" borderId="10" xfId="1" applyFont="1" applyFill="1" applyBorder="1" applyAlignment="1">
      <alignment horizontal="center" vertical="top" wrapText="1"/>
    </xf>
    <xf numFmtId="170" fontId="9" fillId="2" borderId="6" xfId="1" applyNumberFormat="1" applyFont="1" applyFill="1" applyBorder="1" applyAlignment="1">
      <alignment horizontal="center" vertical="top" wrapText="1"/>
    </xf>
    <xf numFmtId="170" fontId="9" fillId="2" borderId="1" xfId="1" applyNumberFormat="1" applyFont="1" applyFill="1" applyBorder="1" applyAlignment="1">
      <alignment horizontal="center" vertical="top" wrapText="1"/>
    </xf>
    <xf numFmtId="170" fontId="9" fillId="2" borderId="10" xfId="1" applyNumberFormat="1" applyFont="1" applyFill="1" applyBorder="1" applyAlignment="1">
      <alignment horizontal="center" vertical="top" wrapText="1"/>
    </xf>
    <xf numFmtId="169" fontId="0" fillId="2" borderId="6" xfId="0" applyNumberFormat="1" applyFill="1" applyBorder="1" applyAlignment="1">
      <alignment horizontal="center" vertical="top"/>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8" fillId="2" borderId="22" xfId="1" applyFill="1" applyBorder="1" applyAlignment="1">
      <alignment horizontal="left" vertical="center"/>
    </xf>
    <xf numFmtId="0" fontId="8" fillId="2" borderId="41" xfId="1" applyFill="1" applyBorder="1" applyAlignment="1">
      <alignment horizontal="left" vertical="center"/>
    </xf>
    <xf numFmtId="0" fontId="9" fillId="2" borderId="3" xfId="1" applyFont="1" applyFill="1" applyBorder="1" applyAlignment="1">
      <alignment horizontal="left" vertical="top" wrapText="1"/>
    </xf>
    <xf numFmtId="0" fontId="9" fillId="2" borderId="2" xfId="1" applyFont="1" applyFill="1" applyBorder="1" applyAlignment="1">
      <alignment horizontal="left" vertical="top" wrapText="1"/>
    </xf>
    <xf numFmtId="0" fontId="9" fillId="2" borderId="3" xfId="1" applyFont="1" applyFill="1" applyBorder="1" applyAlignment="1">
      <alignment horizontal="left" vertical="center" wrapText="1"/>
    </xf>
    <xf numFmtId="0" fontId="9" fillId="2" borderId="2" xfId="1" applyFont="1" applyFill="1" applyBorder="1" applyAlignment="1">
      <alignment horizontal="left" vertical="center" wrapText="1"/>
    </xf>
    <xf numFmtId="170" fontId="9" fillId="2" borderId="3" xfId="2" applyNumberFormat="1" applyFont="1" applyFill="1" applyBorder="1" applyAlignment="1">
      <alignment horizontal="center" vertical="center"/>
    </xf>
    <xf numFmtId="170" fontId="9"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9" fillId="2" borderId="2" xfId="2" applyNumberFormat="1" applyFont="1" applyFill="1" applyBorder="1" applyAlignment="1">
      <alignment horizontal="center" vertical="top" wrapText="1"/>
    </xf>
    <xf numFmtId="0" fontId="8" fillId="2" borderId="14" xfId="1" applyFill="1" applyBorder="1" applyAlignment="1">
      <alignment horizontal="left" vertical="center"/>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9" fillId="2" borderId="73" xfId="2" applyNumberFormat="1" applyFont="1" applyFill="1" applyBorder="1" applyAlignment="1">
      <alignment horizontal="center" vertical="top"/>
    </xf>
    <xf numFmtId="0" fontId="0" fillId="2" borderId="3" xfId="0" applyFill="1" applyBorder="1" applyAlignment="1">
      <alignment horizontal="left" vertical="top"/>
    </xf>
    <xf numFmtId="0" fontId="0" fillId="2" borderId="2"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18" fillId="2" borderId="27" xfId="1" applyFont="1" applyFill="1" applyBorder="1" applyAlignment="1">
      <alignment horizontal="center" vertical="top" wrapText="1"/>
    </xf>
    <xf numFmtId="0" fontId="18" fillId="2" borderId="40" xfId="1" applyFont="1" applyFill="1" applyBorder="1" applyAlignment="1">
      <alignment horizontal="center" vertical="top" wrapText="1"/>
    </xf>
    <xf numFmtId="0" fontId="18" fillId="2" borderId="73" xfId="1" applyFont="1" applyFill="1" applyBorder="1" applyAlignment="1">
      <alignment horizontal="center" vertical="top" wrapText="1"/>
    </xf>
    <xf numFmtId="170" fontId="9" fillId="2" borderId="36" xfId="2" applyNumberFormat="1" applyFont="1" applyFill="1" applyBorder="1" applyAlignment="1">
      <alignment horizontal="center" vertical="top"/>
    </xf>
    <xf numFmtId="170" fontId="9" fillId="2" borderId="27" xfId="2" applyNumberFormat="1" applyFont="1" applyFill="1" applyBorder="1" applyAlignment="1">
      <alignment horizontal="center" vertical="top"/>
    </xf>
    <xf numFmtId="170" fontId="9" fillId="2" borderId="40" xfId="2" applyNumberFormat="1" applyFont="1" applyFill="1" applyBorder="1" applyAlignment="1">
      <alignment horizontal="center" vertical="top"/>
    </xf>
    <xf numFmtId="0" fontId="18" fillId="2" borderId="89" xfId="1" applyFont="1" applyFill="1" applyBorder="1" applyAlignment="1">
      <alignment horizontal="center" vertical="top" wrapText="1"/>
    </xf>
    <xf numFmtId="0" fontId="18" fillId="2" borderId="95" xfId="1" applyFont="1" applyFill="1" applyBorder="1" applyAlignment="1">
      <alignment horizontal="center" vertical="top" wrapText="1"/>
    </xf>
    <xf numFmtId="3" fontId="0" fillId="2" borderId="36" xfId="0" applyNumberFormat="1" applyFill="1" applyBorder="1" applyAlignment="1">
      <alignment horizontal="right" vertical="top"/>
    </xf>
    <xf numFmtId="0" fontId="8" fillId="2" borderId="35" xfId="1" applyFill="1" applyBorder="1" applyAlignment="1">
      <alignment horizontal="left" vertical="top"/>
    </xf>
    <xf numFmtId="0" fontId="8" fillId="4" borderId="37" xfId="1" applyFill="1" applyBorder="1" applyAlignment="1">
      <alignment horizontal="left" vertical="top"/>
    </xf>
    <xf numFmtId="0" fontId="8" fillId="2" borderId="42" xfId="1" applyFill="1" applyBorder="1" applyAlignment="1">
      <alignment horizontal="left" vertical="top"/>
    </xf>
    <xf numFmtId="0" fontId="8" fillId="2" borderId="30" xfId="1" applyFill="1" applyBorder="1" applyAlignment="1">
      <alignment horizontal="left" vertical="top"/>
    </xf>
    <xf numFmtId="0" fontId="8" fillId="2" borderId="32" xfId="1" applyFill="1" applyBorder="1" applyAlignment="1">
      <alignment horizontal="left" vertical="top"/>
    </xf>
    <xf numFmtId="0" fontId="8" fillId="2" borderId="84" xfId="1" applyFill="1" applyBorder="1" applyAlignment="1">
      <alignment horizontal="left" vertical="top"/>
    </xf>
    <xf numFmtId="0" fontId="8" fillId="2" borderId="93" xfId="1" applyFill="1" applyBorder="1" applyAlignment="1">
      <alignment horizontal="left" vertical="top"/>
    </xf>
    <xf numFmtId="0" fontId="8" fillId="2" borderId="87" xfId="1" applyFill="1" applyBorder="1" applyAlignment="1">
      <alignment horizontal="left" vertical="top"/>
    </xf>
    <xf numFmtId="0" fontId="18" fillId="2" borderId="6" xfId="1" applyFont="1" applyFill="1" applyBorder="1" applyAlignment="1">
      <alignment horizontal="center" vertical="top" wrapText="1"/>
    </xf>
    <xf numFmtId="0" fontId="18" fillId="2" borderId="1" xfId="1" applyFont="1" applyFill="1" applyBorder="1" applyAlignment="1">
      <alignment horizontal="center" vertical="top" wrapText="1"/>
    </xf>
    <xf numFmtId="0" fontId="18" fillId="2" borderId="10" xfId="1" applyFont="1" applyFill="1" applyBorder="1" applyAlignment="1">
      <alignment horizontal="center" vertical="top" wrapText="1"/>
    </xf>
    <xf numFmtId="0" fontId="18" fillId="4" borderId="36" xfId="1" applyFont="1" applyFill="1" applyBorder="1" applyAlignment="1">
      <alignment horizontal="center" vertical="top" wrapText="1"/>
    </xf>
    <xf numFmtId="0" fontId="9" fillId="2" borderId="36" xfId="1" applyFont="1" applyFill="1" applyBorder="1" applyAlignment="1">
      <alignment horizontal="left" vertical="top" wrapText="1"/>
    </xf>
    <xf numFmtId="0" fontId="9" fillId="2" borderId="27" xfId="1" applyFont="1" applyFill="1" applyBorder="1" applyAlignment="1">
      <alignment horizontal="left" vertical="top" wrapText="1"/>
    </xf>
    <xf numFmtId="169" fontId="9" fillId="2" borderId="6" xfId="2" applyNumberFormat="1" applyFont="1" applyFill="1" applyBorder="1" applyAlignment="1">
      <alignment horizontal="left" vertical="top" wrapText="1"/>
    </xf>
    <xf numFmtId="169" fontId="9" fillId="2" borderId="2" xfId="2" applyNumberFormat="1" applyFont="1" applyFill="1" applyBorder="1" applyAlignment="1">
      <alignment horizontal="left" vertical="top"/>
    </xf>
    <xf numFmtId="169" fontId="0" fillId="2" borderId="2" xfId="0" applyNumberFormat="1" applyFill="1" applyBorder="1" applyAlignment="1">
      <alignment horizontal="center" vertical="top"/>
    </xf>
    <xf numFmtId="170" fontId="9" fillId="2" borderId="2" xfId="2" applyNumberFormat="1" applyFont="1" applyFill="1" applyBorder="1" applyAlignment="1">
      <alignment horizontal="center" vertical="top"/>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9" xfId="0" applyFont="1" applyFill="1" applyBorder="1" applyAlignment="1">
      <alignment horizontal="center" vertical="center"/>
    </xf>
    <xf numFmtId="0" fontId="8" fillId="2" borderId="14" xfId="1" applyFill="1" applyBorder="1" applyAlignment="1">
      <alignment vertical="top"/>
    </xf>
    <xf numFmtId="0" fontId="8" fillId="2" borderId="15" xfId="1" applyFill="1" applyBorder="1" applyAlignment="1">
      <alignmen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9" fillId="2" borderId="5" xfId="2" applyNumberFormat="1" applyFont="1" applyFill="1" applyBorder="1" applyAlignment="1">
      <alignment horizontal="right" vertical="top"/>
    </xf>
    <xf numFmtId="170" fontId="9" fillId="2" borderId="12" xfId="2" applyNumberFormat="1" applyFont="1" applyFill="1" applyBorder="1" applyAlignment="1">
      <alignment horizontal="right" vertical="top"/>
    </xf>
    <xf numFmtId="0" fontId="9" fillId="2" borderId="12" xfId="1" applyFont="1" applyFill="1" applyBorder="1" applyAlignment="1">
      <alignment horizontal="left" vertical="top"/>
    </xf>
    <xf numFmtId="0" fontId="9" fillId="2" borderId="1" xfId="1" applyFont="1" applyFill="1" applyBorder="1" applyAlignment="1">
      <alignment horizontal="left" vertical="top"/>
    </xf>
    <xf numFmtId="0" fontId="9" fillId="2" borderId="10" xfId="1" applyFont="1" applyFill="1" applyBorder="1" applyAlignment="1">
      <alignment horizontal="left" vertical="top"/>
    </xf>
    <xf numFmtId="0" fontId="8" fillId="2" borderId="22" xfId="1" applyFill="1" applyBorder="1" applyAlignment="1">
      <alignment horizontal="left" vertical="top"/>
    </xf>
    <xf numFmtId="0" fontId="9" fillId="2" borderId="73" xfId="1" applyFont="1" applyFill="1" applyBorder="1" applyAlignment="1">
      <alignment horizontal="left" vertical="top" wrapText="1"/>
    </xf>
    <xf numFmtId="0" fontId="7" fillId="2" borderId="72" xfId="0" applyFont="1" applyFill="1" applyBorder="1" applyAlignment="1">
      <alignment horizontal="center" vertical="center"/>
    </xf>
    <xf numFmtId="0" fontId="7" fillId="2" borderId="108" xfId="0" applyFont="1" applyFill="1" applyBorder="1" applyAlignment="1">
      <alignment horizontal="center" vertical="center"/>
    </xf>
    <xf numFmtId="0" fontId="7" fillId="2" borderId="19" xfId="0" applyFont="1" applyFill="1" applyBorder="1" applyAlignment="1">
      <alignment horizontal="center" vertical="center"/>
    </xf>
    <xf numFmtId="0" fontId="9" fillId="2" borderId="40" xfId="1" applyFont="1" applyFill="1" applyBorder="1" applyAlignment="1">
      <alignment horizontal="left" vertical="top" wrapText="1"/>
    </xf>
    <xf numFmtId="0" fontId="18" fillId="2" borderId="36" xfId="1" applyFont="1" applyFill="1" applyBorder="1" applyAlignment="1">
      <alignment horizontal="center" vertical="top" wrapText="1"/>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0" fontId="9" fillId="4" borderId="36" xfId="1" applyFont="1" applyFill="1" applyBorder="1" applyAlignment="1">
      <alignment horizontal="left" vertical="top" wrapText="1"/>
    </xf>
    <xf numFmtId="0" fontId="0" fillId="2" borderId="40" xfId="0" applyFill="1" applyBorder="1" applyAlignment="1">
      <alignment horizontal="left" vertical="top"/>
    </xf>
    <xf numFmtId="170" fontId="9" fillId="4" borderId="36"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9" fillId="2" borderId="89" xfId="1" applyFont="1" applyFill="1" applyBorder="1" applyAlignment="1">
      <alignment horizontal="left" vertical="top" wrapText="1"/>
    </xf>
    <xf numFmtId="0" fontId="9" fillId="2" borderId="95" xfId="1" applyFont="1" applyFill="1" applyBorder="1" applyAlignment="1">
      <alignment horizontal="left" vertical="top" wrapText="1"/>
    </xf>
    <xf numFmtId="170" fontId="9" fillId="2" borderId="89" xfId="2" applyNumberFormat="1" applyFont="1" applyFill="1" applyBorder="1" applyAlignment="1">
      <alignment horizontal="center" vertical="top"/>
    </xf>
    <xf numFmtId="170" fontId="9" fillId="2" borderId="95" xfId="2" applyNumberFormat="1" applyFon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9" fillId="2" borderId="5" xfId="2" applyNumberFormat="1" applyFont="1" applyFill="1" applyBorder="1" applyAlignment="1">
      <alignment horizontal="center" vertical="center"/>
    </xf>
    <xf numFmtId="169" fontId="9" fillId="2" borderId="12" xfId="2" applyNumberFormat="1" applyFont="1" applyFill="1" applyBorder="1" applyAlignment="1">
      <alignment horizontal="center" vertical="center"/>
    </xf>
    <xf numFmtId="169" fontId="9"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0" fillId="3" borderId="49" xfId="0" applyNumberFormat="1" applyFont="1" applyFill="1" applyBorder="1" applyAlignment="1">
      <alignment horizontal="center" vertical="center" wrapText="1"/>
    </xf>
    <xf numFmtId="172" fontId="30" fillId="3" borderId="68" xfId="0" applyNumberFormat="1" applyFont="1" applyFill="1" applyBorder="1" applyAlignment="1">
      <alignment horizontal="center" vertical="center" wrapText="1"/>
    </xf>
    <xf numFmtId="169" fontId="7" fillId="6" borderId="7" xfId="2" applyNumberFormat="1" applyFont="1" applyFill="1" applyBorder="1" applyAlignment="1">
      <alignment horizontal="center" vertical="center"/>
    </xf>
    <xf numFmtId="169" fontId="7" fillId="6" borderId="11" xfId="2" applyNumberFormat="1" applyFont="1" applyFill="1" applyBorder="1" applyAlignment="1">
      <alignment horizontal="center" vertical="center"/>
    </xf>
    <xf numFmtId="0" fontId="7" fillId="6" borderId="4" xfId="0" applyFont="1" applyFill="1" applyBorder="1" applyAlignment="1">
      <alignment horizontal="center" vertical="center"/>
    </xf>
    <xf numFmtId="0" fontId="7" fillId="6" borderId="8" xfId="0" applyFont="1" applyFill="1" applyBorder="1" applyAlignment="1">
      <alignment horizontal="center" vertical="center"/>
    </xf>
    <xf numFmtId="0" fontId="7" fillId="6" borderId="6" xfId="0" applyFont="1" applyFill="1" applyBorder="1" applyAlignment="1">
      <alignment horizontal="center" vertical="center"/>
    </xf>
    <xf numFmtId="0" fontId="7"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xf numFmtId="3" fontId="68" fillId="0" borderId="1" xfId="0" applyNumberFormat="1" applyFont="1" applyBorder="1" applyAlignment="1">
      <alignment horizontal="center" vertical="center"/>
    </xf>
    <xf numFmtId="0" fontId="73" fillId="27" borderId="0" xfId="0" applyFont="1" applyFill="1" applyAlignment="1">
      <alignment horizontal="center" vertical="center"/>
    </xf>
    <xf numFmtId="0" fontId="68" fillId="0" borderId="0" xfId="0" applyFont="1" applyAlignment="1">
      <alignment horizontal="center"/>
    </xf>
    <xf numFmtId="0" fontId="7" fillId="0" borderId="0" xfId="0" applyFont="1" applyAlignment="1">
      <alignment horizontal="center"/>
    </xf>
    <xf numFmtId="0" fontId="68" fillId="0" borderId="0" xfId="0" applyFont="1" applyAlignment="1">
      <alignment horizontal="center" vertical="center" wrapText="1"/>
    </xf>
  </cellXfs>
  <cellStyles count="17">
    <cellStyle name="Comma" xfId="2" builtinId="3"/>
    <cellStyle name="Comma 2" xfId="5" xr:uid="{2D894A4C-7EF0-41E6-975B-28BA24B9ADF2}"/>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Percent" xfId="3" builtinId="5"/>
    <cellStyle name="Percent 2" xfId="6" xr:uid="{353749A1-B255-4BFC-9D20-520DD658C23C}"/>
  </cellStyles>
  <dxfs count="366">
    <dxf>
      <font>
        <color rgb="FFFF0000"/>
      </font>
    </dxf>
    <dxf>
      <font>
        <color rgb="FFFF0000"/>
      </font>
    </dxf>
    <dxf>
      <font>
        <color rgb="FFFF0000"/>
      </font>
    </dxf>
    <dxf>
      <font>
        <color rgb="FFFF0000"/>
      </font>
    </dxf>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numFmt numFmtId="3" formatCode="#,##0"/>
    </dxf>
    <dxf>
      <numFmt numFmtId="3" formatCode="#,##0"/>
    </dxf>
    <dxf>
      <numFmt numFmtId="182" formatCode="m/d/yyyy"/>
    </dxf>
    <dxf>
      <numFmt numFmtId="13" formatCode="0%"/>
    </dxf>
    <dxf>
      <numFmt numFmtId="3" formatCode="#,##0"/>
    </dxf>
    <dxf>
      <numFmt numFmtId="3" formatCode="#,##0"/>
    </dxf>
    <dxf>
      <numFmt numFmtId="3" formatCode="#,##0"/>
    </dxf>
    <dxf>
      <numFmt numFmtId="3" formatCode="#,##0"/>
    </dxf>
    <dxf>
      <numFmt numFmtId="3" formatCode="#,##0"/>
    </dxf>
    <dxf>
      <numFmt numFmtId="0" formatCode="General"/>
    </dxf>
    <dxf>
      <numFmt numFmtId="3" formatCode="#,##0"/>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4" formatCode="_-[$$-409]* #,##0.00_ ;_-[$$-409]* \-#,##0.00\ ;_-[$$-409]* &quot;-&quot;??_ ;_-@_ "/>
    </dxf>
    <dxf>
      <fill>
        <patternFill>
          <bgColor theme="5" tint="0.59996337778862885"/>
        </patternFill>
      </fill>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7" formatCode="_(&quot;$&quot;* #,##0.00_);_(&quot;$&quot;* \(#,##0.0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alignment vertical="bottom"/>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wrapText="1"/>
    </dxf>
    <dxf>
      <numFmt numFmtId="167" formatCode="_(&quot;$&quot;* #,##0.00_);_(&quot;$&quot;* \(#,##0.00\);_(&quot;$&quot;* &quot;-&quot;??_);_(@_)"/>
    </dxf>
    <dxf>
      <numFmt numFmtId="167" formatCode="_(&quot;$&quot;* #,##0.00_);_(&quot;$&quot;* \(#,##0.00\);_(&quot;$&quot;* &quot;-&quot;??_);_(@_)"/>
    </dxf>
    <dxf>
      <alignment wrapText="1"/>
    </dxf>
    <dxf>
      <numFmt numFmtId="167" formatCode="_(&quot;$&quot;* #,##0.00_);_(&quot;$&quot;* \(#,##0.00\);_(&quot;$&quot;* &quot;-&quot;??_);_(@_)"/>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365"/>
    </tableStyle>
    <tableStyle name="PivotTable Style 2" table="0" count="2" xr9:uid="{26000F69-B29F-4F5C-8713-193FE9486E2F}">
      <tableStyleElement type="wholeTable" dxfId="364"/>
      <tableStyleElement type="headerRow" dxfId="36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pivotCacheDefinition" Target="pivotCache/pivotCacheDefinition3.xml"/><Relationship Id="rId50" Type="http://schemas.microsoft.com/office/2007/relationships/slicerCache" Target="slicerCaches/slicerCache1.xml"/><Relationship Id="rId55" Type="http://schemas.microsoft.com/office/2007/relationships/slicerCache" Target="slicerCaches/slicerCache6.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pivotCacheDefinition" Target="pivotCache/pivotCacheDefinition1.xml"/><Relationship Id="rId53" Type="http://schemas.microsoft.com/office/2007/relationships/slicerCache" Target="slicerCaches/slicerCache4.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pivotCacheDefinition" Target="pivotCache/pivotCacheDefinition4.xml"/><Relationship Id="rId56" Type="http://schemas.openxmlformats.org/officeDocument/2006/relationships/theme" Target="theme/theme1.xml"/><Relationship Id="rId64" Type="http://schemas.openxmlformats.org/officeDocument/2006/relationships/customXml" Target="../customXml/item3.xml"/><Relationship Id="rId8" Type="http://schemas.openxmlformats.org/officeDocument/2006/relationships/worksheet" Target="worksheets/sheet8.xml"/><Relationship Id="rId51" Type="http://schemas.microsoft.com/office/2007/relationships/slicerCache" Target="slicerCaches/slicerCache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pivotCacheDefinition" Target="pivotCache/pivotCacheDefinition2.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microsoft.com/office/2007/relationships/slicerCache" Target="slicerCaches/slicerCache5.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5.xml"/><Relationship Id="rId57"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microsoft.com/office/2007/relationships/slicerCache" Target="slicerCaches/slicerCache3.xml"/><Relationship Id="rId60" Type="http://schemas.microsoft.com/office/2017/10/relationships/person" Target="persons/person.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Foundations</c:v>
              </c:pt>
              <c:pt idx="1">
                <c:v>Bilaterals</c:v>
              </c:pt>
              <c:pt idx="2">
                <c:v>UNICEF</c:v>
              </c:pt>
              <c:pt idx="3">
                <c:v>GAVI</c:v>
              </c:pt>
              <c:pt idx="4">
                <c:v>MDBs</c:v>
              </c:pt>
            </c:strLit>
          </c:cat>
          <c:val>
            <c:numLit>
              <c:formatCode>General</c:formatCode>
              <c:ptCount val="5"/>
              <c:pt idx="0">
                <c:v>0</c:v>
              </c:pt>
              <c:pt idx="1">
                <c:v>65</c:v>
              </c:pt>
              <c:pt idx="2">
                <c:v>78</c:v>
              </c:pt>
              <c:pt idx="3">
                <c:v>90</c:v>
              </c:pt>
              <c:pt idx="4">
                <c:v>60</c:v>
              </c:pt>
            </c:numLit>
          </c:val>
          <c:extLst>
            <c:ext xmlns:c16="http://schemas.microsoft.com/office/drawing/2014/chart" uri="{C3380CC4-5D6E-409C-BE32-E72D297353CC}">
              <c16:uniqueId val="{00000000-A8A1-4E17-94B9-34520F9F7865}"/>
            </c:ext>
          </c:extLst>
        </c:ser>
        <c:dLbls>
          <c:showLegendKey val="0"/>
          <c:showVal val="0"/>
          <c:showCatName val="0"/>
          <c:showSerName val="0"/>
          <c:showPercent val="0"/>
          <c:showBubbleSize val="0"/>
        </c:dLbls>
        <c:gapWidth val="182"/>
        <c:axId val="886501631"/>
        <c:axId val="886499135"/>
      </c:barChart>
      <c:catAx>
        <c:axId val="88650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9135"/>
        <c:crosses val="autoZero"/>
        <c:auto val="1"/>
        <c:lblAlgn val="ctr"/>
        <c:lblOffset val="100"/>
        <c:noMultiLvlLbl val="0"/>
      </c:catAx>
      <c:valAx>
        <c:axId val="886499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01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661646784457693E-2"/>
          <c:y val="0.13880133078384002"/>
          <c:w val="0.89808794619257926"/>
          <c:h val="0.53456346882111772"/>
        </c:manualLayout>
      </c:layout>
      <c:barChart>
        <c:barDir val="col"/>
        <c:grouping val="stacked"/>
        <c:varyColors val="0"/>
        <c:ser>
          <c:idx val="0"/>
          <c:order val="0"/>
          <c:tx>
            <c:v>MDBs</c:v>
          </c:tx>
          <c:spPr>
            <a:solidFill>
              <a:schemeClr val="accent1"/>
            </a:solidFill>
            <a:ln>
              <a:noFill/>
            </a:ln>
            <a:effectLst/>
          </c:spPr>
          <c:invertIfNegative val="0"/>
          <c:cat>
            <c:strLit>
              <c:ptCount val="6"/>
              <c:pt idx="0">
                <c:v>AMC LIC</c:v>
              </c:pt>
              <c:pt idx="1">
                <c:v>AMC LMIC</c:v>
              </c:pt>
              <c:pt idx="2">
                <c:v>AMC UMIC</c:v>
              </c:pt>
              <c:pt idx="3">
                <c:v>SFC LMIC</c:v>
              </c:pt>
              <c:pt idx="4">
                <c:v>SFC UMIC</c:v>
              </c:pt>
              <c:pt idx="5">
                <c:v>SFC HIC</c:v>
              </c:pt>
            </c:strLit>
          </c:cat>
          <c:val>
            <c:numLit>
              <c:formatCode>General</c:formatCode>
              <c:ptCount val="6"/>
              <c:pt idx="0">
                <c:v>16</c:v>
              </c:pt>
              <c:pt idx="1">
                <c:v>31</c:v>
              </c:pt>
              <c:pt idx="2">
                <c:v>5</c:v>
              </c:pt>
              <c:pt idx="3">
                <c:v>1</c:v>
              </c:pt>
              <c:pt idx="4">
                <c:v>6</c:v>
              </c:pt>
              <c:pt idx="5">
                <c:v>1</c:v>
              </c:pt>
            </c:numLit>
          </c:val>
          <c:extLst>
            <c:ext xmlns:c16="http://schemas.microsoft.com/office/drawing/2014/chart" uri="{C3380CC4-5D6E-409C-BE32-E72D297353CC}">
              <c16:uniqueId val="{00000000-DD19-4DB8-AE92-05C93203678B}"/>
            </c:ext>
          </c:extLst>
        </c:ser>
        <c:ser>
          <c:idx val="1"/>
          <c:order val="1"/>
          <c:tx>
            <c:v>Non-MDBs</c:v>
          </c:tx>
          <c:spPr>
            <a:solidFill>
              <a:schemeClr val="accent2"/>
            </a:solidFill>
            <a:ln>
              <a:noFill/>
            </a:ln>
            <a:effectLst/>
          </c:spPr>
          <c:invertIfNegative val="0"/>
          <c:cat>
            <c:strLit>
              <c:ptCount val="6"/>
              <c:pt idx="0">
                <c:v>AMC LIC</c:v>
              </c:pt>
              <c:pt idx="1">
                <c:v>AMC LMIC</c:v>
              </c:pt>
              <c:pt idx="2">
                <c:v>AMC UMIC</c:v>
              </c:pt>
              <c:pt idx="3">
                <c:v>SFC LMIC</c:v>
              </c:pt>
              <c:pt idx="4">
                <c:v>SFC UMIC</c:v>
              </c:pt>
              <c:pt idx="5">
                <c:v>SFC HIC</c:v>
              </c:pt>
            </c:strLit>
          </c:cat>
          <c:val>
            <c:numLit>
              <c:formatCode>General</c:formatCode>
              <c:ptCount val="6"/>
              <c:pt idx="0">
                <c:v>25</c:v>
              </c:pt>
              <c:pt idx="1">
                <c:v>53</c:v>
              </c:pt>
              <c:pt idx="2">
                <c:v>11</c:v>
              </c:pt>
              <c:pt idx="3">
                <c:v>1</c:v>
              </c:pt>
              <c:pt idx="4">
                <c:v>25</c:v>
              </c:pt>
              <c:pt idx="5">
                <c:v>0</c:v>
              </c:pt>
            </c:numLit>
          </c:val>
          <c:extLst>
            <c:ext xmlns:c16="http://schemas.microsoft.com/office/drawing/2014/chart" uri="{C3380CC4-5D6E-409C-BE32-E72D297353CC}">
              <c16:uniqueId val="{00000001-DD19-4DB8-AE92-05C93203678B}"/>
            </c:ext>
          </c:extLst>
        </c:ser>
        <c:ser>
          <c:idx val="2"/>
          <c:order val="2"/>
          <c:tx>
            <c:v>Totals</c:v>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AMC LIC</c:v>
              </c:pt>
              <c:pt idx="1">
                <c:v>AMC LMIC</c:v>
              </c:pt>
              <c:pt idx="2">
                <c:v>AMC UMIC</c:v>
              </c:pt>
              <c:pt idx="3">
                <c:v>SFC LMIC</c:v>
              </c:pt>
              <c:pt idx="4">
                <c:v>SFC UMIC</c:v>
              </c:pt>
              <c:pt idx="5">
                <c:v>SFC HIC</c:v>
              </c:pt>
            </c:strLit>
          </c:cat>
          <c:val>
            <c:numLit>
              <c:formatCode>General</c:formatCode>
              <c:ptCount val="6"/>
              <c:pt idx="0">
                <c:v>41</c:v>
              </c:pt>
              <c:pt idx="1">
                <c:v>84</c:v>
              </c:pt>
              <c:pt idx="2">
                <c:v>16</c:v>
              </c:pt>
              <c:pt idx="3">
                <c:v>2</c:v>
              </c:pt>
              <c:pt idx="4">
                <c:v>31</c:v>
              </c:pt>
              <c:pt idx="5">
                <c:v>1</c:v>
              </c:pt>
            </c:numLit>
          </c:val>
          <c:extLst>
            <c:ext xmlns:c16="http://schemas.microsoft.com/office/drawing/2014/chart" uri="{C3380CC4-5D6E-409C-BE32-E72D297353CC}">
              <c16:uniqueId val="{00000002-DD19-4DB8-AE92-05C93203678B}"/>
            </c:ext>
          </c:extLst>
        </c:ser>
        <c:dLbls>
          <c:showLegendKey val="0"/>
          <c:showVal val="0"/>
          <c:showCatName val="0"/>
          <c:showSerName val="0"/>
          <c:showPercent val="0"/>
          <c:showBubbleSize val="0"/>
        </c:dLbls>
        <c:gapWidth val="150"/>
        <c:overlap val="100"/>
        <c:axId val="1322080479"/>
        <c:axId val="1322071327"/>
      </c:barChart>
      <c:catAx>
        <c:axId val="132208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71327"/>
        <c:crosses val="autoZero"/>
        <c:auto val="1"/>
        <c:lblAlgn val="ctr"/>
        <c:lblOffset val="100"/>
        <c:noMultiLvlLbl val="0"/>
      </c:catAx>
      <c:valAx>
        <c:axId val="1322071327"/>
        <c:scaling>
          <c:orientation val="minMax"/>
          <c:max val="1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8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dLbl>
              <c:idx val="3"/>
              <c:layout>
                <c:manualLayout>
                  <c:x val="-1.2621839253132488E-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A9-4347-BF68-94C7F4F565D0}"/>
                </c:ext>
              </c:extLst>
            </c:dLbl>
            <c:dLbl>
              <c:idx val="4"/>
              <c:layout>
                <c:manualLayout>
                  <c:x val="-1.6024271346694145E-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A9-4347-BF68-94C7F4F565D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AMC LMIC</c:v>
              </c:pt>
              <c:pt idx="1">
                <c:v>AMC UMIC</c:v>
              </c:pt>
              <c:pt idx="2">
                <c:v>AMC LIC</c:v>
              </c:pt>
              <c:pt idx="3">
                <c:v>SFC LMIC</c:v>
              </c:pt>
              <c:pt idx="4">
                <c:v>SFC UMIC</c:v>
              </c:pt>
            </c:strLit>
          </c:cat>
          <c:val>
            <c:numLit>
              <c:formatCode>General</c:formatCode>
              <c:ptCount val="5"/>
              <c:pt idx="0">
                <c:v>1.1585316338088909</c:v>
              </c:pt>
              <c:pt idx="1">
                <c:v>1.5602950311332224</c:v>
              </c:pt>
              <c:pt idx="2">
                <c:v>2.4145593847018749</c:v>
              </c:pt>
              <c:pt idx="3">
                <c:v>0.1718739741399713</c:v>
              </c:pt>
              <c:pt idx="4">
                <c:v>0.12432130482716526</c:v>
              </c:pt>
            </c:numLit>
          </c:val>
          <c:extLst>
            <c:ext xmlns:c16="http://schemas.microsoft.com/office/drawing/2014/chart" uri="{C3380CC4-5D6E-409C-BE32-E72D297353CC}">
              <c16:uniqueId val="{00000002-0BA9-4347-BF68-94C7F4F565D0}"/>
            </c:ext>
          </c:extLst>
        </c:ser>
        <c:dLbls>
          <c:showLegendKey val="0"/>
          <c:showVal val="0"/>
          <c:showCatName val="0"/>
          <c:showSerName val="0"/>
          <c:showPercent val="0"/>
          <c:showBubbleSize val="0"/>
        </c:dLbls>
        <c:gapWidth val="182"/>
        <c:axId val="789820447"/>
        <c:axId val="789827103"/>
      </c:barChart>
      <c:catAx>
        <c:axId val="78982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27103"/>
        <c:crosses val="autoZero"/>
        <c:auto val="1"/>
        <c:lblAlgn val="ctr"/>
        <c:lblOffset val="100"/>
        <c:noMultiLvlLbl val="0"/>
      </c:catAx>
      <c:valAx>
        <c:axId val="789827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2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ECARO</c:v>
              </c:pt>
              <c:pt idx="1">
                <c:v>ROSA</c:v>
              </c:pt>
              <c:pt idx="2">
                <c:v>EAPRO</c:v>
              </c:pt>
              <c:pt idx="3">
                <c:v>LACRO</c:v>
              </c:pt>
              <c:pt idx="4">
                <c:v>MENA</c:v>
              </c:pt>
              <c:pt idx="5">
                <c:v>WCARO</c:v>
              </c:pt>
              <c:pt idx="6">
                <c:v>ESARO</c:v>
              </c:pt>
            </c:strLit>
          </c:cat>
          <c:val>
            <c:numLit>
              <c:formatCode>General</c:formatCode>
              <c:ptCount val="7"/>
              <c:pt idx="0">
                <c:v>0.56633923967276534</c:v>
              </c:pt>
              <c:pt idx="1">
                <c:v>0.60803001446287452</c:v>
              </c:pt>
              <c:pt idx="2">
                <c:v>0.66067690848766869</c:v>
              </c:pt>
              <c:pt idx="3">
                <c:v>0.65508465563730778</c:v>
              </c:pt>
              <c:pt idx="4">
                <c:v>0.86751401010808205</c:v>
              </c:pt>
              <c:pt idx="5">
                <c:v>1.6973289227633697</c:v>
              </c:pt>
              <c:pt idx="6">
                <c:v>2.1309542125555487</c:v>
              </c:pt>
            </c:numLit>
          </c:val>
          <c:extLst>
            <c:ext xmlns:c16="http://schemas.microsoft.com/office/drawing/2014/chart" uri="{C3380CC4-5D6E-409C-BE32-E72D297353CC}">
              <c16:uniqueId val="{00000000-64E9-4E40-9961-1C3D2D366AD1}"/>
            </c:ext>
          </c:extLst>
        </c:ser>
        <c:dLbls>
          <c:showLegendKey val="0"/>
          <c:showVal val="0"/>
          <c:showCatName val="0"/>
          <c:showSerName val="0"/>
          <c:showPercent val="0"/>
          <c:showBubbleSize val="0"/>
        </c:dLbls>
        <c:gapWidth val="182"/>
        <c:axId val="1502436447"/>
        <c:axId val="1502437695"/>
      </c:barChart>
      <c:catAx>
        <c:axId val="150243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437695"/>
        <c:crosses val="autoZero"/>
        <c:auto val="1"/>
        <c:lblAlgn val="ctr"/>
        <c:lblOffset val="100"/>
        <c:noMultiLvlLbl val="0"/>
      </c:catAx>
      <c:valAx>
        <c:axId val="150243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43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4"/>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5"/>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0.67032773616801922</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0.142397578297003</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spPr>
              <a:solidFill>
                <a:schemeClr val="accent3"/>
              </a:solidFill>
              <a:ln w="9525">
                <a:solidFill>
                  <a:schemeClr val="tx1"/>
                </a:solidFill>
              </a:ln>
              <a:effectLst/>
            </c:spPr>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0.12131646185919624</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4.3530741902086764E-2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2.2427481773694781E-2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504042530.00397408</c:v>
                </c:pt>
                <c:pt idx="1">
                  <c:v>149093147.11832529</c:v>
                </c:pt>
                <c:pt idx="2">
                  <c:v>627181600.69962966</c:v>
                </c:pt>
                <c:pt idx="3">
                  <c:v>734748750.18481481</c:v>
                </c:pt>
                <c:pt idx="4">
                  <c:v>225424925.18370369</c:v>
                </c:pt>
                <c:pt idx="5">
                  <c:v>443881841.29515672</c:v>
                </c:pt>
                <c:pt idx="6">
                  <c:v>553295548.42962968</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87585250618926602"/>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5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0.76792180720173941</c:v>
                </c:pt>
                <c:pt idx="1">
                  <c:v>0.23207819279826053</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2488946540.0752339</c:v>
                </c:pt>
                <c:pt idx="1">
                  <c:v>752199259.84000003</c:v>
                </c:pt>
              </c:numCache>
            </c:numRef>
          </c:val>
          <c:extLst>
            <c:ext xmlns:c16="http://schemas.microsoft.com/office/drawing/2014/chart" uri="{C3380CC4-5D6E-409C-BE32-E72D297353CC}">
              <c16:uniqueId val="{00000002-685E-41E5-AA0F-BA87A25A1183}"/>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4</c:v>
                </c:pt>
                <c:pt idx="1">
                  <c:v>12</c:v>
                </c:pt>
                <c:pt idx="2">
                  <c:v>4</c:v>
                </c:pt>
                <c:pt idx="3">
                  <c:v>14</c:v>
                </c:pt>
                <c:pt idx="4">
                  <c:v>5</c:v>
                </c:pt>
                <c:pt idx="5">
                  <c:v>0</c:v>
                </c:pt>
                <c:pt idx="6">
                  <c:v>1</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Pivots'!$A$222:$A$225</c:f>
              <c:strCache>
                <c:ptCount val="4"/>
                <c:pt idx="0">
                  <c:v>UMIC</c:v>
                </c:pt>
                <c:pt idx="1">
                  <c:v>LMIC</c:v>
                </c:pt>
                <c:pt idx="2">
                  <c:v>LIC</c:v>
                </c:pt>
                <c:pt idx="3">
                  <c:v>No Income Classification</c:v>
                </c:pt>
              </c:strCache>
            </c:strRef>
          </c:cat>
          <c:val>
            <c:numRef>
              <c:f>'DB(2) Pivots'!$B$222:$B$225</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2488946540.0752339</c:v>
                </c:pt>
                <c:pt idx="1">
                  <c:v>748721802.84000003</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0.67032773616801922</c:v>
                </c:pt>
              </c:numCache>
            </c:numRef>
          </c:val>
          <c:extLst>
            <c:ext xmlns:c16="http://schemas.microsoft.com/office/drawing/2014/chart" uri="{C3380CC4-5D6E-409C-BE32-E72D297353CC}">
              <c16:uniqueId val="{00000000-2FA3-4156-9006-EF3A4033386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0.142397578297003</c:v>
                </c:pt>
              </c:numCache>
            </c:numRef>
          </c:val>
          <c:extLst>
            <c:ext xmlns:c16="http://schemas.microsoft.com/office/drawing/2014/chart" uri="{C3380CC4-5D6E-409C-BE32-E72D297353CC}">
              <c16:uniqueId val="{00000001-2FA3-4156-9006-EF3A4033386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0.12131646185919624</c:v>
                </c:pt>
              </c:numCache>
            </c:numRef>
          </c:val>
          <c:extLst>
            <c:ext xmlns:c16="http://schemas.microsoft.com/office/drawing/2014/chart" uri="{C3380CC4-5D6E-409C-BE32-E72D297353CC}">
              <c16:uniqueId val="{00000002-2FA3-4156-9006-EF3A4033386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4.3530741902086764E-2</c:v>
                </c:pt>
              </c:numCache>
            </c:numRef>
          </c:val>
          <c:extLst>
            <c:ext xmlns:c16="http://schemas.microsoft.com/office/drawing/2014/chart" uri="{C3380CC4-5D6E-409C-BE32-E72D297353CC}">
              <c16:uniqueId val="{00000004-2FA3-4156-9006-EF3A4033386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2.2427481773694781E-2</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'DB(3) Pivots'!$A$17:$A$21</c:f>
              <c:strCache>
                <c:ptCount val="5"/>
                <c:pt idx="0">
                  <c:v>MDB</c:v>
                </c:pt>
                <c:pt idx="1">
                  <c:v>Gavi</c:v>
                </c:pt>
                <c:pt idx="2">
                  <c:v>Bilateral</c:v>
                </c:pt>
                <c:pt idx="3">
                  <c:v>UNICEF</c:v>
                </c:pt>
                <c:pt idx="4">
                  <c:v>Private/Foundation</c:v>
                </c:pt>
              </c:strCache>
            </c:strRef>
          </c:cat>
          <c:val>
            <c:numRef>
              <c:f>'DB(3) Pivots'!$B$17:$B$21</c:f>
              <c:numCache>
                <c:formatCode>General</c:formatCode>
                <c:ptCount val="5"/>
                <c:pt idx="0">
                  <c:v>73</c:v>
                </c:pt>
                <c:pt idx="1">
                  <c:v>94</c:v>
                </c:pt>
                <c:pt idx="2">
                  <c:v>124</c:v>
                </c:pt>
                <c:pt idx="3">
                  <c:v>97</c:v>
                </c:pt>
                <c:pt idx="4">
                  <c:v>49</c:v>
                </c:pt>
              </c:numCache>
            </c:numRef>
          </c:val>
          <c:extLst>
            <c:ext xmlns:c16="http://schemas.microsoft.com/office/drawing/2014/chart" uri="{C3380CC4-5D6E-409C-BE32-E72D297353CC}">
              <c16:uniqueId val="{00000000-498C-4A2C-82BC-103698678CE3}"/>
            </c:ext>
          </c:extLst>
        </c:ser>
        <c:dLbls>
          <c:showLegendKey val="0"/>
          <c:showVal val="0"/>
          <c:showCatName val="0"/>
          <c:showSerName val="0"/>
          <c:showPercent val="0"/>
          <c:showBubbleSize val="0"/>
        </c:dLbls>
        <c:gapWidth val="50"/>
        <c:axId val="1801111696"/>
        <c:axId val="1801110448"/>
      </c:barChart>
      <c:catAx>
        <c:axId val="1801111696"/>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01110448"/>
        <c:crosses val="autoZero"/>
        <c:auto val="1"/>
        <c:lblAlgn val="ctr"/>
        <c:lblOffset val="100"/>
        <c:noMultiLvlLbl val="0"/>
      </c:catAx>
      <c:valAx>
        <c:axId val="1801110448"/>
        <c:scaling>
          <c:orientation val="minMax"/>
        </c:scaling>
        <c:delete val="1"/>
        <c:axPos val="b"/>
        <c:numFmt formatCode="General" sourceLinked="1"/>
        <c:majorTickMark val="none"/>
        <c:minorTickMark val="none"/>
        <c:tickLblPos val="nextTo"/>
        <c:crossAx val="180111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'DB(3) Pivots'!$D$24</c:f>
              <c:strCache>
                <c:ptCount val="1"/>
                <c:pt idx="0">
                  <c:v>MDB Only</c:v>
                </c:pt>
              </c:strCache>
            </c:strRef>
          </c:tx>
          <c:spPr>
            <a:solidFill>
              <a:schemeClr val="accent1"/>
            </a:solidFill>
            <a:ln>
              <a:noFill/>
            </a:ln>
            <a:effectLst/>
          </c:spPr>
          <c:invertIfNegative val="0"/>
          <c:cat>
            <c:multiLvlStrRef>
              <c:f>'DB(3) Pivots'!$B$25:$C$30</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Pivots'!$D$25:$D$30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30B-4D5E-876B-66AE245A871A}"/>
            </c:ext>
          </c:extLst>
        </c:ser>
        <c:ser>
          <c:idx val="1"/>
          <c:order val="1"/>
          <c:tx>
            <c:strRef>
              <c:f>'DB(3) Pivots'!$E$24</c:f>
              <c:strCache>
                <c:ptCount val="1"/>
                <c:pt idx="0">
                  <c:v>Non-MDB Only</c:v>
                </c:pt>
              </c:strCache>
            </c:strRef>
          </c:tx>
          <c:spPr>
            <a:solidFill>
              <a:schemeClr val="accent2"/>
            </a:solidFill>
            <a:ln>
              <a:solidFill>
                <a:schemeClr val="tx1"/>
              </a:solidFill>
            </a:ln>
            <a:effectLst/>
          </c:spPr>
          <c:invertIfNegative val="0"/>
          <c:dLbls>
            <c:dLbl>
              <c:idx val="3"/>
              <c:layout>
                <c:manualLayout>
                  <c:x val="1.9444444444444445E-2"/>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0B-4D5E-876B-66AE245A871A}"/>
                </c:ext>
              </c:extLst>
            </c:dLbl>
            <c:spPr>
              <a:solidFill>
                <a:schemeClr val="accent2"/>
              </a:solidFill>
              <a:ln w="3175">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'DB(3) Pivots'!$B$25:$C$30</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Pivots'!$E$25:$E$30</c:f>
              <c:numCache>
                <c:formatCode>General</c:formatCode>
                <c:ptCount val="6"/>
                <c:pt idx="0">
                  <c:v>4</c:v>
                </c:pt>
                <c:pt idx="1">
                  <c:v>19</c:v>
                </c:pt>
                <c:pt idx="2">
                  <c:v>7</c:v>
                </c:pt>
                <c:pt idx="3">
                  <c:v>1</c:v>
                </c:pt>
                <c:pt idx="4">
                  <c:v>25</c:v>
                </c:pt>
                <c:pt idx="5">
                  <c:v>2</c:v>
                </c:pt>
              </c:numCache>
            </c:numRef>
          </c:val>
          <c:extLst>
            <c:ext xmlns:c16="http://schemas.microsoft.com/office/drawing/2014/chart" uri="{C3380CC4-5D6E-409C-BE32-E72D297353CC}">
              <c16:uniqueId val="{00000001-930B-4D5E-876B-66AE245A871A}"/>
            </c:ext>
          </c:extLst>
        </c:ser>
        <c:ser>
          <c:idx val="2"/>
          <c:order val="2"/>
          <c:tx>
            <c:strRef>
              <c:f>'DB(3) Pivots'!$F$24</c:f>
              <c:strCache>
                <c:ptCount val="1"/>
                <c:pt idx="0">
                  <c:v>Both MDB and non-MDB</c:v>
                </c:pt>
              </c:strCache>
            </c:strRef>
          </c:tx>
          <c:spPr>
            <a:solidFill>
              <a:schemeClr val="accent6"/>
            </a:solidFill>
            <a:ln>
              <a:solidFill>
                <a:schemeClr val="tx1"/>
              </a:solidFill>
            </a:ln>
            <a:effectLst/>
          </c:spPr>
          <c:invertIfNegative val="0"/>
          <c:dLbls>
            <c:dLbl>
              <c:idx val="3"/>
              <c:layout>
                <c:manualLayout>
                  <c:x val="-1.6666666666666666E-2"/>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0B-4D5E-876B-66AE245A871A}"/>
                </c:ext>
              </c:extLst>
            </c:dLbl>
            <c:dLbl>
              <c:idx val="5"/>
              <c:delete val="1"/>
              <c:extLst>
                <c:ext xmlns:c15="http://schemas.microsoft.com/office/drawing/2012/chart" uri="{CE6537A1-D6FC-4f65-9D91-7224C49458BB}"/>
                <c:ext xmlns:c16="http://schemas.microsoft.com/office/drawing/2014/chart" uri="{C3380CC4-5D6E-409C-BE32-E72D297353CC}">
                  <c16:uniqueId val="{00000005-930B-4D5E-876B-66AE245A871A}"/>
                </c:ext>
              </c:extLst>
            </c:dLbl>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'DB(3) Pivots'!$B$25:$C$30</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Pivots'!$F$25:$F$30</c:f>
              <c:numCache>
                <c:formatCode>General</c:formatCode>
                <c:ptCount val="6"/>
                <c:pt idx="0">
                  <c:v>22</c:v>
                </c:pt>
                <c:pt idx="1">
                  <c:v>34</c:v>
                </c:pt>
                <c:pt idx="2">
                  <c:v>5</c:v>
                </c:pt>
                <c:pt idx="3">
                  <c:v>1</c:v>
                </c:pt>
                <c:pt idx="4">
                  <c:v>11</c:v>
                </c:pt>
                <c:pt idx="5">
                  <c:v>0</c:v>
                </c:pt>
              </c:numCache>
            </c:numRef>
          </c:val>
          <c:extLst>
            <c:ext xmlns:c16="http://schemas.microsoft.com/office/drawing/2014/chart" uri="{C3380CC4-5D6E-409C-BE32-E72D297353CC}">
              <c16:uniqueId val="{00000003-930B-4D5E-876B-66AE245A871A}"/>
            </c:ext>
          </c:extLst>
        </c:ser>
        <c:dLbls>
          <c:showLegendKey val="0"/>
          <c:showVal val="0"/>
          <c:showCatName val="0"/>
          <c:showSerName val="0"/>
          <c:showPercent val="0"/>
          <c:showBubbleSize val="0"/>
        </c:dLbls>
        <c:gapWidth val="150"/>
        <c:overlap val="100"/>
        <c:axId val="1297820880"/>
        <c:axId val="1297820464"/>
      </c:barChart>
      <c:catAx>
        <c:axId val="1297820880"/>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297820464"/>
        <c:crosses val="autoZero"/>
        <c:auto val="1"/>
        <c:lblAlgn val="ctr"/>
        <c:lblOffset val="100"/>
        <c:noMultiLvlLbl val="0"/>
      </c:catAx>
      <c:valAx>
        <c:axId val="1297820464"/>
        <c:scaling>
          <c:orientation val="minMax"/>
        </c:scaling>
        <c:delete val="1"/>
        <c:axPos val="l"/>
        <c:numFmt formatCode="General" sourceLinked="1"/>
        <c:majorTickMark val="none"/>
        <c:minorTickMark val="none"/>
        <c:tickLblPos val="nextTo"/>
        <c:crossAx val="129782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tx>
            <c:strRef>
              <c:f>'DB(3) Pivots'!$D$376</c:f>
              <c:strCache>
                <c:ptCount val="1"/>
                <c:pt idx="0">
                  <c:v>Average funding per capita</c:v>
                </c:pt>
              </c:strCache>
            </c:strRef>
          </c:tx>
          <c:spPr>
            <a:solidFill>
              <a:schemeClr val="accent2"/>
            </a:solidFill>
            <a:ln w="12700">
              <a:solidFill>
                <a:schemeClr val="tx1"/>
              </a:solid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'DB(3) Pivots'!$B$377:$C$382</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Pivots'!$D$377:$D$382</c:f>
              <c:numCache>
                <c:formatCode>0.00</c:formatCode>
                <c:ptCount val="6"/>
                <c:pt idx="0">
                  <c:v>1.3292186197546507</c:v>
                </c:pt>
                <c:pt idx="1">
                  <c:v>4.3306609755615915</c:v>
                </c:pt>
                <c:pt idx="2">
                  <c:v>8.0975621245138019</c:v>
                </c:pt>
                <c:pt idx="3">
                  <c:v>4.7649956800798714</c:v>
                </c:pt>
                <c:pt idx="4">
                  <c:v>1.0875347310781145</c:v>
                </c:pt>
                <c:pt idx="5">
                  <c:v>5.821376163070008</c:v>
                </c:pt>
              </c:numCache>
            </c:numRef>
          </c:val>
          <c:extLst>
            <c:ext xmlns:c16="http://schemas.microsoft.com/office/drawing/2014/chart" uri="{C3380CC4-5D6E-409C-BE32-E72D297353CC}">
              <c16:uniqueId val="{00000000-338D-4F6D-BF28-7B8517C9BFCC}"/>
            </c:ext>
          </c:extLst>
        </c:ser>
        <c:dLbls>
          <c:showLegendKey val="0"/>
          <c:showVal val="0"/>
          <c:showCatName val="0"/>
          <c:showSerName val="0"/>
          <c:showPercent val="0"/>
          <c:showBubbleSize val="0"/>
        </c:dLbls>
        <c:gapWidth val="36"/>
        <c:axId val="1733822240"/>
        <c:axId val="1733812256"/>
      </c:barChart>
      <c:catAx>
        <c:axId val="1733822240"/>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3812256"/>
        <c:crosses val="autoZero"/>
        <c:auto val="1"/>
        <c:lblAlgn val="ctr"/>
        <c:lblOffset val="100"/>
        <c:noMultiLvlLbl val="0"/>
      </c:catAx>
      <c:valAx>
        <c:axId val="1733812256"/>
        <c:scaling>
          <c:orientation val="minMax"/>
        </c:scaling>
        <c:delete val="1"/>
        <c:axPos val="b"/>
        <c:numFmt formatCode="0.00" sourceLinked="1"/>
        <c:majorTickMark val="none"/>
        <c:minorTickMark val="none"/>
        <c:tickLblPos val="nextTo"/>
        <c:crossAx val="173382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0.67032773616801922</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0.142397578297003</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0.12131646185919624</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4.3530741902086764E-2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2.2427481773694781E-2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504042530.00397408</c:v>
                </c:pt>
                <c:pt idx="1">
                  <c:v>149093147.11832529</c:v>
                </c:pt>
                <c:pt idx="2">
                  <c:v>627181600.69962966</c:v>
                </c:pt>
                <c:pt idx="3">
                  <c:v>734748750.18481481</c:v>
                </c:pt>
                <c:pt idx="4">
                  <c:v>225424925.18370369</c:v>
                </c:pt>
                <c:pt idx="5">
                  <c:v>443881841.29515672</c:v>
                </c:pt>
                <c:pt idx="6">
                  <c:v>553295548.42962968</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0.76792180720173941</c:v>
                </c:pt>
                <c:pt idx="1">
                  <c:v>0.23207819279826053</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2488946540.0752339</c:v>
                </c:pt>
                <c:pt idx="1">
                  <c:v>752199259.84000003</c:v>
                </c:pt>
              </c:numCache>
            </c:numRef>
          </c:val>
          <c:extLst>
            <c:ext xmlns:c16="http://schemas.microsoft.com/office/drawing/2014/chart" uri="{C3380CC4-5D6E-409C-BE32-E72D297353CC}">
              <c16:uniqueId val="{00000000-8B48-4389-9937-A5466960D5FE}"/>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4</c:v>
                </c:pt>
                <c:pt idx="1">
                  <c:v>12</c:v>
                </c:pt>
                <c:pt idx="2">
                  <c:v>4</c:v>
                </c:pt>
                <c:pt idx="3">
                  <c:v>14</c:v>
                </c:pt>
                <c:pt idx="4">
                  <c:v>5</c:v>
                </c:pt>
                <c:pt idx="5">
                  <c:v>0</c:v>
                </c:pt>
                <c:pt idx="6">
                  <c:v>1</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Pivots'!$A$222:$A$225</c:f>
              <c:strCache>
                <c:ptCount val="4"/>
                <c:pt idx="0">
                  <c:v>UMIC</c:v>
                </c:pt>
                <c:pt idx="1">
                  <c:v>LMIC</c:v>
                </c:pt>
                <c:pt idx="2">
                  <c:v>LIC</c:v>
                </c:pt>
                <c:pt idx="3">
                  <c:v>No Income Classification</c:v>
                </c:pt>
              </c:strCache>
            </c:strRef>
          </c:cat>
          <c:val>
            <c:numRef>
              <c:f>'DB(2) Pivots'!$B$222:$B$225</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2488946540.0752339</c:v>
                </c:pt>
                <c:pt idx="1">
                  <c:v>748721802.84000003</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0.67032773616801922</c:v>
                </c:pt>
              </c:numCache>
            </c:numRef>
          </c:val>
          <c:extLst>
            <c:ext xmlns:c16="http://schemas.microsoft.com/office/drawing/2014/chart" uri="{C3380CC4-5D6E-409C-BE32-E72D297353CC}">
              <c16:uniqueId val="{00000001-B81F-49DC-AD95-04F466FC8F8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0.142397578297003</c:v>
                </c:pt>
              </c:numCache>
            </c:numRef>
          </c:val>
          <c:extLst>
            <c:ext xmlns:c16="http://schemas.microsoft.com/office/drawing/2014/chart" uri="{C3380CC4-5D6E-409C-BE32-E72D297353CC}">
              <c16:uniqueId val="{00000002-B81F-49DC-AD95-04F466FC8F8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0.12131646185919624</c:v>
                </c:pt>
              </c:numCache>
            </c:numRef>
          </c:val>
          <c:extLst>
            <c:ext xmlns:c16="http://schemas.microsoft.com/office/drawing/2014/chart" uri="{C3380CC4-5D6E-409C-BE32-E72D297353CC}">
              <c16:uniqueId val="{00000003-B81F-49DC-AD95-04F466FC8F8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4.3530741902086764E-2</c:v>
                </c:pt>
              </c:numCache>
            </c:numRef>
          </c:val>
          <c:extLst>
            <c:ext xmlns:c16="http://schemas.microsoft.com/office/drawing/2014/chart" uri="{C3380CC4-5D6E-409C-BE32-E72D297353CC}">
              <c16:uniqueId val="{00000004-B81F-49DC-AD95-04F466FC8F8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2.2427481773694781E-2</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chart" Target="../charts/chart29.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939800</xdr:colOff>
      <xdr:row>14</xdr:row>
      <xdr:rowOff>160337</xdr:rowOff>
    </xdr:from>
    <xdr:to>
      <xdr:col>7</xdr:col>
      <xdr:colOff>558800</xdr:colOff>
      <xdr:row>24</xdr:row>
      <xdr:rowOff>182562</xdr:rowOff>
    </xdr:to>
    <xdr:graphicFrame macro="">
      <xdr:nvGraphicFramePr>
        <xdr:cNvPr id="2" name="Chart 1">
          <a:extLst>
            <a:ext uri="{FF2B5EF4-FFF2-40B4-BE49-F238E27FC236}">
              <a16:creationId xmlns:a16="http://schemas.microsoft.com/office/drawing/2014/main" id="{59826F74-FBD8-4958-9C6E-752A52CF1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88900</xdr:colOff>
      <xdr:row>14</xdr:row>
      <xdr:rowOff>190500</xdr:rowOff>
    </xdr:from>
    <xdr:to>
      <xdr:col>20</xdr:col>
      <xdr:colOff>127000</xdr:colOff>
      <xdr:row>24</xdr:row>
      <xdr:rowOff>107949</xdr:rowOff>
    </xdr:to>
    <xdr:graphicFrame macro="">
      <xdr:nvGraphicFramePr>
        <xdr:cNvPr id="3" name="Chart 2">
          <a:extLst>
            <a:ext uri="{FF2B5EF4-FFF2-40B4-BE49-F238E27FC236}">
              <a16:creationId xmlns:a16="http://schemas.microsoft.com/office/drawing/2014/main" id="{E5B331BB-359B-44A7-9E8F-6F245B961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165101</xdr:colOff>
      <xdr:row>33</xdr:row>
      <xdr:rowOff>63500</xdr:rowOff>
    </xdr:from>
    <xdr:to>
      <xdr:col>7</xdr:col>
      <xdr:colOff>152400</xdr:colOff>
      <xdr:row>48</xdr:row>
      <xdr:rowOff>88900</xdr:rowOff>
    </xdr:to>
    <xdr:graphicFrame macro="">
      <xdr:nvGraphicFramePr>
        <xdr:cNvPr id="4" name="Chart 3">
          <a:extLst>
            <a:ext uri="{FF2B5EF4-FFF2-40B4-BE49-F238E27FC236}">
              <a16:creationId xmlns:a16="http://schemas.microsoft.com/office/drawing/2014/main" id="{CD25F83D-0175-47B0-843B-C513AC900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224973</xdr:colOff>
      <xdr:row>32</xdr:row>
      <xdr:rowOff>132442</xdr:rowOff>
    </xdr:from>
    <xdr:to>
      <xdr:col>20</xdr:col>
      <xdr:colOff>281215</xdr:colOff>
      <xdr:row>47</xdr:row>
      <xdr:rowOff>177799</xdr:rowOff>
    </xdr:to>
    <xdr:graphicFrame macro="">
      <xdr:nvGraphicFramePr>
        <xdr:cNvPr id="5" name="Chart 4">
          <a:extLst>
            <a:ext uri="{FF2B5EF4-FFF2-40B4-BE49-F238E27FC236}">
              <a16:creationId xmlns:a16="http://schemas.microsoft.com/office/drawing/2014/main" id="{FAF02340-0644-49C5-903A-295107A71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438150</xdr:colOff>
      <xdr:row>57</xdr:row>
      <xdr:rowOff>6350</xdr:rowOff>
    </xdr:from>
    <xdr:to>
      <xdr:col>15</xdr:col>
      <xdr:colOff>501650</xdr:colOff>
      <xdr:row>69</xdr:row>
      <xdr:rowOff>92069</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D254A2E-B08C-44CA-B1E2-D6D290D329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12450" y="147129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56</xdr:row>
      <xdr:rowOff>190500</xdr:rowOff>
    </xdr:from>
    <xdr:to>
      <xdr:col>12</xdr:col>
      <xdr:colOff>177800</xdr:colOff>
      <xdr:row>69</xdr:row>
      <xdr:rowOff>73019</xdr:rowOff>
    </xdr:to>
    <mc:AlternateContent xmlns:mc="http://schemas.openxmlformats.org/markup-compatibility/2006" xmlns:a14="http://schemas.microsoft.com/office/drawing/2010/main">
      <mc:Choice Requires="a14">
        <xdr:graphicFrame macro="">
          <xdr:nvGraphicFramePr>
            <xdr:cNvPr id="7" name="Income Group">
              <a:extLst>
                <a:ext uri="{FF2B5EF4-FFF2-40B4-BE49-F238E27FC236}">
                  <a16:creationId xmlns:a16="http://schemas.microsoft.com/office/drawing/2014/main" id="{E7BB321F-4B32-4C87-A48F-082B95B2B784}"/>
                </a:ext>
              </a:extLst>
            </xdr:cNvPr>
            <xdr:cNvGraphicFramePr/>
          </xdr:nvGraphicFramePr>
          <xdr:xfrm>
            <a:off x="0" y="0"/>
            <a:ext cx="0" cy="0"/>
          </xdr:xfrm>
          <a:graphic>
            <a:graphicData uri="http://schemas.microsoft.com/office/drawing/2010/slicer">
              <sle:slicer xmlns:sle="http://schemas.microsoft.com/office/drawing/2010/slicer" name="Income Group"/>
            </a:graphicData>
          </a:graphic>
        </xdr:graphicFrame>
      </mc:Choice>
      <mc:Fallback xmlns="">
        <xdr:sp macro="" textlink="">
          <xdr:nvSpPr>
            <xdr:cNvPr id="0" name=""/>
            <xdr:cNvSpPr>
              <a:spLocks noTextEdit="1"/>
            </xdr:cNvSpPr>
          </xdr:nvSpPr>
          <xdr:spPr>
            <a:xfrm>
              <a:off x="8623300" y="146939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438150</xdr:colOff>
      <xdr:row>57</xdr:row>
      <xdr:rowOff>31750</xdr:rowOff>
    </xdr:from>
    <xdr:to>
      <xdr:col>9</xdr:col>
      <xdr:colOff>285750</xdr:colOff>
      <xdr:row>69</xdr:row>
      <xdr:rowOff>117469</xdr:rowOff>
    </xdr:to>
    <mc:AlternateContent xmlns:mc="http://schemas.openxmlformats.org/markup-compatibility/2006" xmlns:a14="http://schemas.microsoft.com/office/drawing/2010/main">
      <mc:Choice Requires="a14">
        <xdr:graphicFrame macro="">
          <xdr:nvGraphicFramePr>
            <xdr:cNvPr id="8" name="Self-financing / AMC">
              <a:extLst>
                <a:ext uri="{FF2B5EF4-FFF2-40B4-BE49-F238E27FC236}">
                  <a16:creationId xmlns:a16="http://schemas.microsoft.com/office/drawing/2014/main" id="{611B073A-24E0-465E-8C70-9E9AF77D54C3}"/>
                </a:ext>
              </a:extLst>
            </xdr:cNvPr>
            <xdr:cNvGraphicFramePr/>
          </xdr:nvGraphicFramePr>
          <xdr:xfrm>
            <a:off x="0" y="0"/>
            <a:ext cx="0" cy="0"/>
          </xdr:xfrm>
          <a:graphic>
            <a:graphicData uri="http://schemas.microsoft.com/office/drawing/2010/slicer">
              <sle:slicer xmlns:sle="http://schemas.microsoft.com/office/drawing/2010/slicer" name="Self-financing / AMC"/>
            </a:graphicData>
          </a:graphic>
        </xdr:graphicFrame>
      </mc:Choice>
      <mc:Fallback xmlns="">
        <xdr:sp macro="" textlink="">
          <xdr:nvSpPr>
            <xdr:cNvPr id="0" name=""/>
            <xdr:cNvSpPr>
              <a:spLocks noTextEdit="1"/>
            </xdr:cNvSpPr>
          </xdr:nvSpPr>
          <xdr:spPr>
            <a:xfrm>
              <a:off x="6546850" y="147383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596900</xdr:colOff>
      <xdr:row>57</xdr:row>
      <xdr:rowOff>0</xdr:rowOff>
    </xdr:from>
    <xdr:to>
      <xdr:col>6</xdr:col>
      <xdr:colOff>203200</xdr:colOff>
      <xdr:row>69</xdr:row>
      <xdr:rowOff>85719</xdr:rowOff>
    </xdr:to>
    <mc:AlternateContent xmlns:mc="http://schemas.openxmlformats.org/markup-compatibility/2006" xmlns:a14="http://schemas.microsoft.com/office/drawing/2010/main">
      <mc:Choice Requires="a14">
        <xdr:graphicFrame macro="">
          <xdr:nvGraphicFramePr>
            <xdr:cNvPr id="9" name="MDB Delivery Funding">
              <a:extLst>
                <a:ext uri="{FF2B5EF4-FFF2-40B4-BE49-F238E27FC236}">
                  <a16:creationId xmlns:a16="http://schemas.microsoft.com/office/drawing/2014/main" id="{2833B653-22CD-4640-AEE3-533F57D681BE}"/>
                </a:ext>
              </a:extLst>
            </xdr:cNvPr>
            <xdr:cNvGraphicFramePr/>
          </xdr:nvGraphicFramePr>
          <xdr:xfrm>
            <a:off x="0" y="0"/>
            <a:ext cx="0" cy="0"/>
          </xdr:xfrm>
          <a:graphic>
            <a:graphicData uri="http://schemas.microsoft.com/office/drawing/2010/slicer">
              <sle:slicer xmlns:sle="http://schemas.microsoft.com/office/drawing/2010/slicer" name="MDB Delivery Funding"/>
            </a:graphicData>
          </a:graphic>
        </xdr:graphicFrame>
      </mc:Choice>
      <mc:Fallback xmlns="">
        <xdr:sp macro="" textlink="">
          <xdr:nvSpPr>
            <xdr:cNvPr id="0" name=""/>
            <xdr:cNvSpPr>
              <a:spLocks noTextEdit="1"/>
            </xdr:cNvSpPr>
          </xdr:nvSpPr>
          <xdr:spPr>
            <a:xfrm>
              <a:off x="4483100" y="147066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95</xdr:row>
      <xdr:rowOff>9524</xdr:rowOff>
    </xdr:from>
    <xdr:to>
      <xdr:col>7</xdr:col>
      <xdr:colOff>809625</xdr:colOff>
      <xdr:row>104</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87086</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128587</xdr:colOff>
      <xdr:row>12</xdr:row>
      <xdr:rowOff>0</xdr:rowOff>
    </xdr:from>
    <xdr:to>
      <xdr:col>14</xdr:col>
      <xdr:colOff>200025</xdr:colOff>
      <xdr:row>25</xdr:row>
      <xdr:rowOff>95250</xdr:rowOff>
    </xdr:to>
    <xdr:graphicFrame macro="">
      <xdr:nvGraphicFramePr>
        <xdr:cNvPr id="2" name="Chart 1">
          <a:extLst>
            <a:ext uri="{FF2B5EF4-FFF2-40B4-BE49-F238E27FC236}">
              <a16:creationId xmlns:a16="http://schemas.microsoft.com/office/drawing/2014/main" id="{8CD00E06-2DAC-453F-A5D7-E57DEF609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233362</xdr:colOff>
      <xdr:row>18</xdr:row>
      <xdr:rowOff>123825</xdr:rowOff>
    </xdr:from>
    <xdr:to>
      <xdr:col>24</xdr:col>
      <xdr:colOff>4762</xdr:colOff>
      <xdr:row>32</xdr:row>
      <xdr:rowOff>123825</xdr:rowOff>
    </xdr:to>
    <xdr:graphicFrame macro="">
      <xdr:nvGraphicFramePr>
        <xdr:cNvPr id="3" name="Chart 2">
          <a:extLst>
            <a:ext uri="{FF2B5EF4-FFF2-40B4-BE49-F238E27FC236}">
              <a16:creationId xmlns:a16="http://schemas.microsoft.com/office/drawing/2014/main" id="{8A875DCB-1942-42DC-B960-C5B25F5DC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376237</xdr:colOff>
      <xdr:row>363</xdr:row>
      <xdr:rowOff>161925</xdr:rowOff>
    </xdr:from>
    <xdr:to>
      <xdr:col>14</xdr:col>
      <xdr:colOff>147637</xdr:colOff>
      <xdr:row>377</xdr:row>
      <xdr:rowOff>104775</xdr:rowOff>
    </xdr:to>
    <xdr:graphicFrame macro="">
      <xdr:nvGraphicFramePr>
        <xdr:cNvPr id="4" name="Chart 3">
          <a:extLst>
            <a:ext uri="{FF2B5EF4-FFF2-40B4-BE49-F238E27FC236}">
              <a16:creationId xmlns:a16="http://schemas.microsoft.com/office/drawing/2014/main" id="{44A70129-DDB4-43AF-B6C6-22E07B64B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564</xdr:row>
      <xdr:rowOff>38100</xdr:rowOff>
    </xdr:from>
    <xdr:to>
      <xdr:col>11</xdr:col>
      <xdr:colOff>0</xdr:colOff>
      <xdr:row>574</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271462</xdr:colOff>
      <xdr:row>214</xdr:row>
      <xdr:rowOff>161925</xdr:rowOff>
    </xdr:from>
    <xdr:to>
      <xdr:col>10</xdr:col>
      <xdr:colOff>271462</xdr:colOff>
      <xdr:row>227</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228</xdr:row>
      <xdr:rowOff>76200</xdr:rowOff>
    </xdr:from>
    <xdr:to>
      <xdr:col>8</xdr:col>
      <xdr:colOff>671511</xdr:colOff>
      <xdr:row>240</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414</xdr:row>
      <xdr:rowOff>180975</xdr:rowOff>
    </xdr:from>
    <xdr:to>
      <xdr:col>17</xdr:col>
      <xdr:colOff>581025</xdr:colOff>
      <xdr:row>421</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767</xdr:row>
      <xdr:rowOff>174812</xdr:rowOff>
    </xdr:from>
    <xdr:to>
      <xdr:col>8</xdr:col>
      <xdr:colOff>627529</xdr:colOff>
      <xdr:row>781</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920</xdr:row>
      <xdr:rowOff>174812</xdr:rowOff>
    </xdr:from>
    <xdr:to>
      <xdr:col>8</xdr:col>
      <xdr:colOff>627529</xdr:colOff>
      <xdr:row>934</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Users/ahiggins/AppData/Local/Microsoft/Windows/INetCache/Content.Outlook/P4KB0SXX/KPI%20Workbook%20-%20%2002%20Dec%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my.sharepoint.com/personal/clacerna_unicef_org/Documents/KPI%20Workbook%20-%20Per%20Unit.xlsx"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Combined%20HAC%20requests.xlsb?59911B5E" TargetMode="External"/><Relationship Id="rId1" Type="http://schemas.openxmlformats.org/officeDocument/2006/relationships/externalLinkPath" Target="file:///\\59911B5E\Combined%20HAC%20requests.xlsb"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Data%20Sources/World%20Bank/WB%20Vaccine%20Financing%2022.01.13.xlsx?68EF305B" TargetMode="External"/><Relationship Id="rId1" Type="http://schemas.openxmlformats.org/officeDocument/2006/relationships/externalLinkPath" Target="file:///\\68EF305B\WB%20Vaccine%20Financing%2022.01.13.xlsx" TargetMode="External"/></Relationships>
</file>

<file path=xl/externalLinks/_rels/externalLink6.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Data%20Sources/Gavi%20Cold%20Chain/COVAX%20CCE%20Investments%20-Revised%20Dec1,%202021%20.xlsx?2E24D90D" TargetMode="External"/><Relationship Id="rId1" Type="http://schemas.openxmlformats.org/officeDocument/2006/relationships/externalLinkPath" Target="file:///\\2E24D90D\COVAX%20CCE%20Investments%20-Revised%20Dec1,%202021%20.xlsx"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Data%20Sources/BMGF/BMGF%20Country%20Level%20Support%20for%20UNICEF.xlsx?6910F25B" TargetMode="External"/><Relationship Id="rId1" Type="http://schemas.openxmlformats.org/officeDocument/2006/relationships/externalLinkPath" Target="file:///\\6910F25B\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Unallocated Funds"/>
      <sheetName val="DCT"/>
      <sheetName val="Unit Trip Summary"/>
      <sheetName val="Open TA summary"/>
      <sheetName val="TA Listing"/>
      <sheetName val="Health SM list"/>
      <sheetName val="Donor Reports"/>
      <sheetName val="Open Contracts"/>
      <sheetName val="Open FC &amp; FR"/>
      <sheetName val="PER Status"/>
      <sheetName val="Attendance"/>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Sheet3"/>
      <sheetName val="Sheet2"/>
      <sheetName val="Sheet5"/>
      <sheetName val="Unallocated Funds"/>
      <sheetName val="DCT"/>
      <sheetName val="Sheet4"/>
      <sheetName val="Open TA summary"/>
      <sheetName val="Unit Trip Summary"/>
      <sheetName val="TA Listing"/>
      <sheetName val="Sheet1"/>
      <sheetName val="Donor Reports"/>
      <sheetName val="PER Status"/>
      <sheetName val="Attendance"/>
      <sheetName val="attendance data"/>
      <sheetName val="Open Con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 All regions requests"/>
      <sheetName val="Vx All regions allocations"/>
      <sheetName val="RCCEx All regions allocations"/>
      <sheetName val="Vx Overall Summary"/>
      <sheetName val="USAID Covid-19 vaccine roll out"/>
      <sheetName val="PPE summary"/>
      <sheetName val="ESARO Summary"/>
      <sheetName val="Angola"/>
      <sheetName val="Comoros"/>
      <sheetName val="Eswatini"/>
      <sheetName val="Ethiopia"/>
      <sheetName val="Kenya"/>
      <sheetName val="Lesotho"/>
      <sheetName val="Malawi"/>
      <sheetName val="Mozambique"/>
      <sheetName val="Somalia"/>
      <sheetName val="South Sudan"/>
      <sheetName val="Rwanda"/>
      <sheetName val="Uganda"/>
      <sheetName val="Zambia"/>
      <sheetName val="Zimbabwe"/>
      <sheetName val="EAPRO"/>
      <sheetName val="EAPRO Summary"/>
      <sheetName val="Indonesia"/>
      <sheetName val="Lao PDR"/>
      <sheetName val="Myanmar"/>
      <sheetName val="Mongolia"/>
      <sheetName val="Philippines"/>
      <sheetName val="Vietnam"/>
      <sheetName val="LACRO Summary"/>
      <sheetName val="LACRO"/>
      <sheetName val="WCARO Summary"/>
      <sheetName val="Benin"/>
      <sheetName val="Burkina Faso"/>
      <sheetName val="Cameroon"/>
      <sheetName val="CAR"/>
      <sheetName val="Chad"/>
      <sheetName val="Congo"/>
      <sheetName val="CIV"/>
      <sheetName val="DRC"/>
      <sheetName val="Gambia"/>
      <sheetName val="Ghana"/>
      <sheetName val="Guinea Bissau"/>
      <sheetName val="Guinea"/>
      <sheetName val="Liberia"/>
      <sheetName val="Mali"/>
      <sheetName val="Mauritania"/>
      <sheetName val="Niger"/>
      <sheetName val="Nigeria"/>
      <sheetName val="Sao Tome"/>
      <sheetName val="Senegal"/>
      <sheetName val="Sierra Leone"/>
      <sheetName val="Togo"/>
      <sheetName val="ROSA Summary"/>
      <sheetName val="Afghanistan"/>
      <sheetName val="Bangladesh"/>
      <sheetName val="Bhutan"/>
      <sheetName val="India"/>
      <sheetName val="Maldives"/>
      <sheetName val="Nepal"/>
      <sheetName val="Pakistan"/>
      <sheetName val="Sri Lanka"/>
      <sheetName val="ECARO Summary"/>
      <sheetName val="Albania"/>
      <sheetName val="Armenia"/>
      <sheetName val="Azerbaijan"/>
      <sheetName val="Belarus"/>
      <sheetName val="BiH"/>
      <sheetName val="Georgia"/>
      <sheetName val="Kosovo"/>
      <sheetName val="Kyrgistan"/>
      <sheetName val="Montenegro"/>
      <sheetName val="Moldova"/>
      <sheetName val="North Macedonia"/>
      <sheetName val="Romania"/>
      <sheetName val="Serbia"/>
      <sheetName val="Ukraine"/>
      <sheetName val="Turkmenistan"/>
      <sheetName val="Uzbekistan"/>
      <sheetName val="MENA Summary"/>
      <sheetName val="Algeria"/>
      <sheetName val="Djibouti"/>
      <sheetName val="Egypt"/>
      <sheetName val="Iran"/>
      <sheetName val="Iraq"/>
      <sheetName val="Jordan"/>
      <sheetName val="Lebanon"/>
      <sheetName val="Libya"/>
      <sheetName val="Palestine"/>
      <sheetName val="NW Syria"/>
      <sheetName val="Syria"/>
      <sheetName val="Sudan"/>
      <sheetName val="Tunisia"/>
      <sheetName val="Yemen"/>
      <sheetName val="JICA funding"/>
      <sheetName val="Sheet3"/>
      <sheetName val="Data Catalog"/>
      <sheetName val="Data Validation - Milestones"/>
      <sheetName val="Data Validation_Activities"/>
      <sheetName val="Copy of 5| Final Checkpoint, Uz"/>
      <sheetName val="4| HR profile, Uzbekistan"/>
      <sheetName val="All regions requests"/>
      <sheetName val="All regions allocations"/>
      <sheetName val="Overall Summary"/>
    </sheetNames>
    <sheetDataSet>
      <sheetData sheetId="0"/>
      <sheetData sheetId="1">
        <row r="10">
          <cell r="A10" t="str">
            <v>PRK</v>
          </cell>
          <cell r="O10">
            <v>0</v>
          </cell>
        </row>
        <row r="11">
          <cell r="A11" t="str">
            <v>KHM</v>
          </cell>
          <cell r="O11">
            <v>0</v>
          </cell>
        </row>
        <row r="12">
          <cell r="A12" t="str">
            <v>KIR</v>
          </cell>
          <cell r="O12">
            <v>0</v>
          </cell>
        </row>
        <row r="13">
          <cell r="A13" t="str">
            <v>LAO</v>
          </cell>
          <cell r="O13">
            <v>850000</v>
          </cell>
        </row>
        <row r="14">
          <cell r="A14" t="str">
            <v>FSM</v>
          </cell>
          <cell r="O14">
            <v>0</v>
          </cell>
        </row>
        <row r="15">
          <cell r="A15" t="str">
            <v>MNG</v>
          </cell>
          <cell r="O15">
            <v>0</v>
          </cell>
        </row>
        <row r="16">
          <cell r="A16" t="str">
            <v>MMR</v>
          </cell>
          <cell r="O16">
            <v>1240000</v>
          </cell>
        </row>
        <row r="17">
          <cell r="A17" t="str">
            <v>PNG</v>
          </cell>
          <cell r="O17">
            <v>400000</v>
          </cell>
        </row>
        <row r="18">
          <cell r="A18" t="str">
            <v>PHL</v>
          </cell>
          <cell r="O18">
            <v>100000</v>
          </cell>
        </row>
        <row r="19">
          <cell r="A19" t="str">
            <v>SLB</v>
          </cell>
          <cell r="O19">
            <v>0</v>
          </cell>
        </row>
        <row r="20">
          <cell r="A20" t="str">
            <v>TLS</v>
          </cell>
          <cell r="O20">
            <v>260000</v>
          </cell>
        </row>
        <row r="21">
          <cell r="A21" t="str">
            <v>VUT</v>
          </cell>
          <cell r="O21">
            <v>0</v>
          </cell>
        </row>
        <row r="22">
          <cell r="A22" t="str">
            <v>VNM</v>
          </cell>
          <cell r="O22">
            <v>1000000</v>
          </cell>
        </row>
        <row r="23">
          <cell r="A23" t="str">
            <v>FJI</v>
          </cell>
          <cell r="O23">
            <v>400000</v>
          </cell>
        </row>
        <row r="24">
          <cell r="A24" t="str">
            <v>IDN</v>
          </cell>
          <cell r="O24">
            <v>0</v>
          </cell>
        </row>
        <row r="25">
          <cell r="A25" t="str">
            <v>WSM</v>
          </cell>
          <cell r="O25">
            <v>0</v>
          </cell>
        </row>
        <row r="26">
          <cell r="A26" t="str">
            <v>TON</v>
          </cell>
          <cell r="O26">
            <v>0</v>
          </cell>
        </row>
        <row r="27">
          <cell r="A27" t="str">
            <v>TUV</v>
          </cell>
          <cell r="O27">
            <v>0</v>
          </cell>
        </row>
        <row r="28">
          <cell r="A28"/>
          <cell r="O28">
            <v>0</v>
          </cell>
        </row>
        <row r="29">
          <cell r="A29" t="str">
            <v>TJK</v>
          </cell>
          <cell r="O29">
            <v>0</v>
          </cell>
        </row>
        <row r="30">
          <cell r="A30" t="str">
            <v>KGZ</v>
          </cell>
          <cell r="O30">
            <v>1220000</v>
          </cell>
        </row>
        <row r="31">
          <cell r="A31" t="str">
            <v>MDA</v>
          </cell>
          <cell r="O31">
            <v>672500</v>
          </cell>
        </row>
        <row r="32">
          <cell r="A32" t="str">
            <v>UKR</v>
          </cell>
          <cell r="O32">
            <v>1450000</v>
          </cell>
        </row>
        <row r="33">
          <cell r="A33" t="str">
            <v>UZB</v>
          </cell>
          <cell r="O33">
            <v>950000</v>
          </cell>
        </row>
        <row r="34">
          <cell r="A34" t="str">
            <v>XKX</v>
          </cell>
          <cell r="O34">
            <v>619000</v>
          </cell>
        </row>
        <row r="35">
          <cell r="A35" t="str">
            <v>BIH</v>
          </cell>
          <cell r="O35">
            <v>200000</v>
          </cell>
        </row>
        <row r="36">
          <cell r="A36" t="str">
            <v>GEO</v>
          </cell>
          <cell r="O36">
            <v>200000</v>
          </cell>
        </row>
        <row r="37">
          <cell r="A37" t="str">
            <v>ARM</v>
          </cell>
          <cell r="O37">
            <v>100000</v>
          </cell>
        </row>
        <row r="38">
          <cell r="A38" t="str">
            <v>AZE</v>
          </cell>
          <cell r="O38">
            <v>100000</v>
          </cell>
        </row>
        <row r="39">
          <cell r="A39" t="str">
            <v>SRB</v>
          </cell>
          <cell r="O39">
            <v>100000</v>
          </cell>
        </row>
        <row r="40">
          <cell r="A40" t="str">
            <v>ALB</v>
          </cell>
          <cell r="O40">
            <v>100000</v>
          </cell>
        </row>
        <row r="41">
          <cell r="A41" t="str">
            <v>MKD</v>
          </cell>
          <cell r="O41">
            <v>100000</v>
          </cell>
        </row>
        <row r="42">
          <cell r="A42" t="str">
            <v>MNE</v>
          </cell>
          <cell r="O42">
            <v>100000</v>
          </cell>
        </row>
        <row r="43">
          <cell r="A43" t="str">
            <v>ROU</v>
          </cell>
          <cell r="O43">
            <v>50000</v>
          </cell>
        </row>
        <row r="44">
          <cell r="A44" t="str">
            <v>KAZ</v>
          </cell>
          <cell r="O44">
            <v>50000</v>
          </cell>
        </row>
        <row r="45">
          <cell r="A45"/>
          <cell r="O45">
            <v>0</v>
          </cell>
        </row>
        <row r="46">
          <cell r="A46" t="str">
            <v>BDI</v>
          </cell>
          <cell r="O46">
            <v>575000</v>
          </cell>
        </row>
        <row r="47">
          <cell r="A47" t="str">
            <v>ERI</v>
          </cell>
          <cell r="O47">
            <v>0</v>
          </cell>
        </row>
        <row r="48">
          <cell r="A48" t="str">
            <v>ETH</v>
          </cell>
          <cell r="O48">
            <v>2775000</v>
          </cell>
        </row>
        <row r="49">
          <cell r="A49" t="str">
            <v>MDG</v>
          </cell>
          <cell r="O49">
            <v>1100000</v>
          </cell>
        </row>
        <row r="50">
          <cell r="A50" t="str">
            <v>MWI</v>
          </cell>
          <cell r="O50">
            <v>1066214</v>
          </cell>
        </row>
        <row r="51">
          <cell r="A51" t="str">
            <v>MOZ</v>
          </cell>
          <cell r="O51">
            <v>860469</v>
          </cell>
        </row>
        <row r="52">
          <cell r="A52" t="str">
            <v>RWA</v>
          </cell>
          <cell r="O52">
            <v>374000</v>
          </cell>
        </row>
        <row r="53">
          <cell r="A53" t="str">
            <v>SOM</v>
          </cell>
          <cell r="O53">
            <v>2015014</v>
          </cell>
        </row>
        <row r="54">
          <cell r="A54" t="str">
            <v>SSD</v>
          </cell>
          <cell r="O54">
            <v>680600</v>
          </cell>
        </row>
        <row r="55">
          <cell r="A55" t="str">
            <v>UGA</v>
          </cell>
          <cell r="O55">
            <v>316219</v>
          </cell>
        </row>
        <row r="56">
          <cell r="A56" t="str">
            <v>AGO</v>
          </cell>
          <cell r="O56">
            <v>839236</v>
          </cell>
        </row>
        <row r="57">
          <cell r="A57" t="str">
            <v>COM</v>
          </cell>
          <cell r="O57">
            <v>143500</v>
          </cell>
        </row>
        <row r="58">
          <cell r="A58" t="str">
            <v>SWZ</v>
          </cell>
          <cell r="O58">
            <v>766500</v>
          </cell>
        </row>
        <row r="59">
          <cell r="A59" t="str">
            <v>KEN</v>
          </cell>
          <cell r="O59">
            <v>500000</v>
          </cell>
        </row>
        <row r="60">
          <cell r="A60" t="str">
            <v>LSO</v>
          </cell>
          <cell r="O60">
            <v>720000</v>
          </cell>
        </row>
        <row r="61">
          <cell r="A61" t="str">
            <v>TZA</v>
          </cell>
          <cell r="O61">
            <v>1824000</v>
          </cell>
        </row>
        <row r="62">
          <cell r="A62" t="str">
            <v>ZMB</v>
          </cell>
          <cell r="O62">
            <v>1080000</v>
          </cell>
        </row>
        <row r="63">
          <cell r="A63" t="str">
            <v>ZWE</v>
          </cell>
          <cell r="O63">
            <v>315226</v>
          </cell>
        </row>
        <row r="64">
          <cell r="A64" t="str">
            <v>BWA</v>
          </cell>
          <cell r="O64">
            <v>650000</v>
          </cell>
        </row>
        <row r="65">
          <cell r="A65" t="str">
            <v>ZAF</v>
          </cell>
          <cell r="O65">
            <v>1872229</v>
          </cell>
        </row>
        <row r="66">
          <cell r="A66" t="str">
            <v>NAM</v>
          </cell>
          <cell r="O66">
            <v>1642000</v>
          </cell>
        </row>
        <row r="67">
          <cell r="A67"/>
          <cell r="O67">
            <v>160000</v>
          </cell>
        </row>
        <row r="68">
          <cell r="A68" t="str">
            <v>HTI</v>
          </cell>
          <cell r="O68">
            <v>1500000</v>
          </cell>
        </row>
        <row r="69">
          <cell r="A69" t="str">
            <v>BOL</v>
          </cell>
          <cell r="O69">
            <v>400000</v>
          </cell>
        </row>
        <row r="70">
          <cell r="A70" t="str">
            <v>SLV</v>
          </cell>
          <cell r="O70">
            <v>300000</v>
          </cell>
        </row>
        <row r="71">
          <cell r="A71" t="str">
            <v>HND</v>
          </cell>
          <cell r="O71">
            <v>300000</v>
          </cell>
        </row>
        <row r="72">
          <cell r="A72" t="str">
            <v>NIC</v>
          </cell>
          <cell r="O72">
            <v>800000</v>
          </cell>
        </row>
        <row r="73">
          <cell r="A73" t="str">
            <v>BRA</v>
          </cell>
          <cell r="O73">
            <v>660000</v>
          </cell>
        </row>
        <row r="74">
          <cell r="A74" t="str">
            <v>VEN</v>
          </cell>
          <cell r="O74">
            <v>1000000</v>
          </cell>
        </row>
        <row r="75">
          <cell r="A75" t="str">
            <v>DMA</v>
          </cell>
          <cell r="O75">
            <v>75000</v>
          </cell>
        </row>
        <row r="76">
          <cell r="A76" t="str">
            <v>GRD</v>
          </cell>
          <cell r="O76">
            <v>75000</v>
          </cell>
        </row>
        <row r="77">
          <cell r="A77" t="str">
            <v>GUY</v>
          </cell>
          <cell r="O77">
            <v>100000</v>
          </cell>
        </row>
        <row r="78">
          <cell r="A78" t="str">
            <v>LCA</v>
          </cell>
          <cell r="O78">
            <v>75000</v>
          </cell>
        </row>
        <row r="79">
          <cell r="A79" t="str">
            <v>VCT</v>
          </cell>
          <cell r="O79">
            <v>75000</v>
          </cell>
        </row>
        <row r="80">
          <cell r="A80" t="str">
            <v>CUB</v>
          </cell>
          <cell r="O80">
            <v>500000</v>
          </cell>
        </row>
        <row r="81">
          <cell r="A81" t="str">
            <v>DOM</v>
          </cell>
          <cell r="O81">
            <v>200000</v>
          </cell>
        </row>
        <row r="82">
          <cell r="A82" t="str">
            <v>PER</v>
          </cell>
          <cell r="O82">
            <v>802143</v>
          </cell>
        </row>
        <row r="83">
          <cell r="A83" t="str">
            <v>ARG</v>
          </cell>
          <cell r="O83">
            <v>0</v>
          </cell>
        </row>
        <row r="84">
          <cell r="A84" t="str">
            <v>BLZ</v>
          </cell>
          <cell r="O84">
            <v>100000</v>
          </cell>
        </row>
        <row r="85">
          <cell r="A85" t="str">
            <v>CHL</v>
          </cell>
          <cell r="O85">
            <v>0</v>
          </cell>
        </row>
        <row r="86">
          <cell r="A86" t="str">
            <v>COL</v>
          </cell>
          <cell r="O86">
            <v>200000</v>
          </cell>
        </row>
        <row r="87">
          <cell r="A87" t="str">
            <v>CRI</v>
          </cell>
          <cell r="O87">
            <v>0</v>
          </cell>
        </row>
        <row r="88">
          <cell r="A88" t="str">
            <v>ECU</v>
          </cell>
          <cell r="O88">
            <v>0</v>
          </cell>
        </row>
        <row r="89">
          <cell r="A89" t="str">
            <v>GTM</v>
          </cell>
          <cell r="O89">
            <v>0</v>
          </cell>
        </row>
        <row r="90">
          <cell r="A90" t="str">
            <v>JAM</v>
          </cell>
          <cell r="O90">
            <v>0</v>
          </cell>
        </row>
        <row r="91">
          <cell r="A91" t="str">
            <v>MEX</v>
          </cell>
          <cell r="O91">
            <v>0</v>
          </cell>
        </row>
        <row r="92">
          <cell r="A92" t="str">
            <v>PAN</v>
          </cell>
          <cell r="O92">
            <v>0</v>
          </cell>
        </row>
        <row r="93">
          <cell r="A93" t="str">
            <v>PRY</v>
          </cell>
          <cell r="O93">
            <v>200000</v>
          </cell>
        </row>
        <row r="94">
          <cell r="A94" t="str">
            <v>SUR</v>
          </cell>
          <cell r="O94">
            <v>0</v>
          </cell>
        </row>
        <row r="95">
          <cell r="A95" t="str">
            <v>URY</v>
          </cell>
          <cell r="O95">
            <v>0</v>
          </cell>
        </row>
        <row r="96">
          <cell r="A96"/>
          <cell r="O96">
            <v>0</v>
          </cell>
        </row>
        <row r="97">
          <cell r="A97" t="str">
            <v>SDN</v>
          </cell>
          <cell r="O97">
            <v>7767500</v>
          </cell>
        </row>
        <row r="98">
          <cell r="A98" t="str">
            <v>SYR</v>
          </cell>
          <cell r="O98">
            <v>4353018</v>
          </cell>
        </row>
        <row r="99">
          <cell r="A99" t="str">
            <v>YEM</v>
          </cell>
          <cell r="O99">
            <v>5929249</v>
          </cell>
        </row>
        <row r="100">
          <cell r="A100" t="str">
            <v>DZA</v>
          </cell>
          <cell r="O100">
            <v>0</v>
          </cell>
        </row>
        <row r="101">
          <cell r="A101" t="str">
            <v>DJI</v>
          </cell>
          <cell r="O101">
            <v>0</v>
          </cell>
        </row>
        <row r="102">
          <cell r="A102" t="str">
            <v>EGY</v>
          </cell>
          <cell r="O102">
            <v>1458302</v>
          </cell>
        </row>
        <row r="103">
          <cell r="A103" t="str">
            <v>MAR</v>
          </cell>
          <cell r="O103">
            <v>200000</v>
          </cell>
        </row>
        <row r="104">
          <cell r="A104" t="str">
            <v>PSE</v>
          </cell>
          <cell r="O104">
            <v>450000</v>
          </cell>
        </row>
        <row r="105">
          <cell r="A105" t="str">
            <v>TUN</v>
          </cell>
          <cell r="O105">
            <v>0</v>
          </cell>
        </row>
        <row r="106">
          <cell r="A106" t="str">
            <v>IRN</v>
          </cell>
          <cell r="O106">
            <v>2428858</v>
          </cell>
        </row>
        <row r="107">
          <cell r="A107" t="str">
            <v>IRQ</v>
          </cell>
          <cell r="O107">
            <v>5799334</v>
          </cell>
        </row>
        <row r="108">
          <cell r="A108" t="str">
            <v>LBN</v>
          </cell>
          <cell r="O108">
            <v>8535626</v>
          </cell>
        </row>
        <row r="109">
          <cell r="A109" t="str">
            <v>LBY</v>
          </cell>
          <cell r="O109">
            <v>1000000</v>
          </cell>
        </row>
        <row r="110">
          <cell r="A110" t="str">
            <v>SYR</v>
          </cell>
          <cell r="O110">
            <v>800000</v>
          </cell>
        </row>
        <row r="111">
          <cell r="A111" t="str">
            <v>JOR</v>
          </cell>
          <cell r="O111">
            <v>1423400</v>
          </cell>
        </row>
        <row r="112">
          <cell r="A112"/>
          <cell r="O112">
            <v>250000</v>
          </cell>
        </row>
        <row r="113">
          <cell r="A113" t="str">
            <v>AFG</v>
          </cell>
          <cell r="O113">
            <v>2000000</v>
          </cell>
        </row>
        <row r="114">
          <cell r="A114" t="str">
            <v>BGD</v>
          </cell>
          <cell r="O114">
            <v>3000000</v>
          </cell>
        </row>
        <row r="115">
          <cell r="A115" t="str">
            <v>BTN</v>
          </cell>
          <cell r="O115">
            <v>110950</v>
          </cell>
        </row>
        <row r="116">
          <cell r="A116" t="str">
            <v>IND</v>
          </cell>
          <cell r="O116">
            <v>12694456</v>
          </cell>
        </row>
        <row r="117">
          <cell r="A117" t="str">
            <v>NPL</v>
          </cell>
          <cell r="O117">
            <v>1889000</v>
          </cell>
        </row>
        <row r="118">
          <cell r="A118" t="str">
            <v>PAK</v>
          </cell>
          <cell r="O118">
            <v>3000000</v>
          </cell>
        </row>
        <row r="119">
          <cell r="A119" t="str">
            <v>LKA</v>
          </cell>
          <cell r="O119">
            <v>500000</v>
          </cell>
        </row>
        <row r="120">
          <cell r="A120" t="str">
            <v>MDV</v>
          </cell>
          <cell r="O120">
            <v>77341</v>
          </cell>
        </row>
        <row r="121">
          <cell r="A121"/>
          <cell r="O121">
            <v>0</v>
          </cell>
        </row>
        <row r="122">
          <cell r="A122" t="str">
            <v>BFA</v>
          </cell>
          <cell r="O122">
            <v>898700</v>
          </cell>
        </row>
        <row r="123">
          <cell r="A123" t="str">
            <v>CAF</v>
          </cell>
          <cell r="O123">
            <v>0</v>
          </cell>
        </row>
        <row r="124">
          <cell r="A124" t="str">
            <v>TCD</v>
          </cell>
          <cell r="O124">
            <v>1086043</v>
          </cell>
        </row>
        <row r="125">
          <cell r="A125" t="str">
            <v>COD</v>
          </cell>
          <cell r="O125">
            <v>3858268</v>
          </cell>
        </row>
        <row r="126">
          <cell r="A126" t="str">
            <v>GMB</v>
          </cell>
          <cell r="O126">
            <v>552287</v>
          </cell>
        </row>
        <row r="127">
          <cell r="A127" t="str">
            <v>GIN</v>
          </cell>
          <cell r="O127">
            <v>378110</v>
          </cell>
        </row>
        <row r="128">
          <cell r="A128" t="str">
            <v>GNB</v>
          </cell>
          <cell r="O128">
            <v>225847</v>
          </cell>
        </row>
        <row r="129">
          <cell r="A129" t="str">
            <v>LBR</v>
          </cell>
          <cell r="O129">
            <v>586872</v>
          </cell>
        </row>
        <row r="130">
          <cell r="A130" t="str">
            <v>MLI</v>
          </cell>
          <cell r="O130">
            <v>1802789</v>
          </cell>
        </row>
        <row r="131">
          <cell r="A131" t="str">
            <v>NER</v>
          </cell>
          <cell r="O131">
            <v>1345921</v>
          </cell>
        </row>
        <row r="132">
          <cell r="A132" t="str">
            <v>SLE</v>
          </cell>
          <cell r="O132">
            <v>472533</v>
          </cell>
        </row>
        <row r="133">
          <cell r="A133" t="str">
            <v>TGO</v>
          </cell>
          <cell r="O133">
            <v>500000</v>
          </cell>
        </row>
        <row r="134">
          <cell r="A134" t="str">
            <v>BEN</v>
          </cell>
          <cell r="O134">
            <v>564235</v>
          </cell>
        </row>
        <row r="135">
          <cell r="A135" t="str">
            <v>CMR</v>
          </cell>
          <cell r="O135">
            <v>1645844</v>
          </cell>
        </row>
        <row r="136">
          <cell r="A136" t="str">
            <v>COG</v>
          </cell>
          <cell r="O136">
            <v>555079</v>
          </cell>
        </row>
        <row r="137">
          <cell r="A137" t="str">
            <v>CIV</v>
          </cell>
          <cell r="O137">
            <v>1677055</v>
          </cell>
        </row>
        <row r="138">
          <cell r="A138" t="str">
            <v>GHA</v>
          </cell>
          <cell r="O138">
            <v>0</v>
          </cell>
        </row>
        <row r="139">
          <cell r="A139" t="str">
            <v>MRT</v>
          </cell>
          <cell r="O139">
            <v>535076</v>
          </cell>
        </row>
        <row r="140">
          <cell r="A140" t="str">
            <v>NGA</v>
          </cell>
          <cell r="O140">
            <v>5036546</v>
          </cell>
        </row>
        <row r="141">
          <cell r="A141" t="str">
            <v>SEN</v>
          </cell>
          <cell r="O141">
            <v>779275</v>
          </cell>
        </row>
        <row r="142">
          <cell r="A142" t="str">
            <v>CPV</v>
          </cell>
          <cell r="O142">
            <v>0</v>
          </cell>
        </row>
        <row r="143">
          <cell r="A143" t="str">
            <v>STP</v>
          </cell>
          <cell r="O143">
            <v>0</v>
          </cell>
        </row>
        <row r="144">
          <cell r="A144"/>
          <cell r="O14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ISO"/>
      <sheetName val="Overview "/>
      <sheetName val="AU Lens "/>
      <sheetName val="Total Countries Submitted "/>
      <sheetName val="Country_name_ref"/>
      <sheetName val="SEARO Countries"/>
    </sheetNames>
    <sheetDataSet>
      <sheetData sheetId="0">
        <row r="3">
          <cell r="C3" t="str">
            <v>Afghanistan</v>
          </cell>
        </row>
        <row r="4">
          <cell r="C4" t="str">
            <v>Algeria</v>
          </cell>
        </row>
        <row r="5">
          <cell r="C5" t="str">
            <v>Angola</v>
          </cell>
        </row>
        <row r="6">
          <cell r="C6" t="str">
            <v>Bangladesh</v>
          </cell>
        </row>
        <row r="7">
          <cell r="C7" t="str">
            <v>Benin</v>
          </cell>
        </row>
        <row r="8">
          <cell r="C8" t="str">
            <v>Bhutan</v>
          </cell>
        </row>
        <row r="9">
          <cell r="C9" t="str">
            <v>Bolivia</v>
          </cell>
        </row>
        <row r="10">
          <cell r="C10" t="str">
            <v>Burkina Faso</v>
          </cell>
        </row>
        <row r="11">
          <cell r="C11" t="str">
            <v>Burundi</v>
          </cell>
        </row>
        <row r="12">
          <cell r="C12" t="str">
            <v>Cabo Verde</v>
          </cell>
        </row>
        <row r="13">
          <cell r="C13" t="str">
            <v>Cambodia</v>
          </cell>
        </row>
        <row r="14">
          <cell r="C14" t="str">
            <v>Cameroon</v>
          </cell>
        </row>
        <row r="15">
          <cell r="C15" t="str">
            <v>Central African Republic</v>
          </cell>
        </row>
        <row r="16">
          <cell r="C16" t="str">
            <v>Chad</v>
          </cell>
        </row>
        <row r="17">
          <cell r="C17" t="str">
            <v>Comoros</v>
          </cell>
        </row>
        <row r="20">
          <cell r="C20" t="str">
            <v>Côte d'Ivoire</v>
          </cell>
        </row>
        <row r="21">
          <cell r="C21" t="str">
            <v>Djibouti</v>
          </cell>
        </row>
        <row r="22">
          <cell r="C22" t="str">
            <v>Dominica</v>
          </cell>
        </row>
        <row r="24">
          <cell r="C24" t="str">
            <v>El Salvador</v>
          </cell>
        </row>
        <row r="25">
          <cell r="C25" t="str">
            <v>Eritrea</v>
          </cell>
        </row>
        <row r="27">
          <cell r="C27" t="str">
            <v>Ethiopia</v>
          </cell>
        </row>
        <row r="28">
          <cell r="C28" t="str">
            <v>Fiji</v>
          </cell>
        </row>
        <row r="30">
          <cell r="C30" t="str">
            <v>Ghana</v>
          </cell>
        </row>
        <row r="31">
          <cell r="C31" t="str">
            <v>Grenada</v>
          </cell>
        </row>
        <row r="32">
          <cell r="C32" t="str">
            <v>Guinea</v>
          </cell>
        </row>
        <row r="33">
          <cell r="C33" t="str">
            <v>Guinea-Bissau</v>
          </cell>
        </row>
        <row r="34">
          <cell r="C34" t="str">
            <v>Guyana</v>
          </cell>
        </row>
        <row r="35">
          <cell r="C35" t="str">
            <v>Haiti</v>
          </cell>
        </row>
        <row r="36">
          <cell r="C36" t="str">
            <v>Honduras</v>
          </cell>
        </row>
        <row r="37">
          <cell r="C37" t="str">
            <v>India</v>
          </cell>
        </row>
        <row r="38">
          <cell r="C38" t="str">
            <v>Indonesia</v>
          </cell>
        </row>
        <row r="39">
          <cell r="C39" t="str">
            <v>Kenya</v>
          </cell>
        </row>
        <row r="40">
          <cell r="C40" t="str">
            <v>Kiribati</v>
          </cell>
        </row>
        <row r="42">
          <cell r="C42" t="str">
            <v>Kosovo</v>
          </cell>
        </row>
        <row r="43">
          <cell r="C43" t="str">
            <v>Kyrgyz Republic</v>
          </cell>
        </row>
        <row r="44">
          <cell r="C44" t="str">
            <v>Lao PDR</v>
          </cell>
        </row>
        <row r="45">
          <cell r="C45" t="str">
            <v>Lesotho</v>
          </cell>
        </row>
        <row r="46">
          <cell r="C46" t="str">
            <v>Liberia</v>
          </cell>
        </row>
        <row r="47">
          <cell r="C47" t="str">
            <v>Madagascar</v>
          </cell>
        </row>
        <row r="48">
          <cell r="C48" t="str">
            <v>Malawi</v>
          </cell>
        </row>
        <row r="49">
          <cell r="C49" t="str">
            <v>Maldives</v>
          </cell>
        </row>
        <row r="50">
          <cell r="C50" t="str">
            <v>Mali</v>
          </cell>
        </row>
        <row r="51">
          <cell r="C51" t="str">
            <v>Marshall Islands</v>
          </cell>
        </row>
        <row r="52">
          <cell r="C52" t="str">
            <v>Mauritania</v>
          </cell>
        </row>
        <row r="54">
          <cell r="C54" t="str">
            <v>Moldova</v>
          </cell>
        </row>
        <row r="55">
          <cell r="C55" t="str">
            <v>Mongolia</v>
          </cell>
        </row>
        <row r="56">
          <cell r="C56" t="str">
            <v>Morocco</v>
          </cell>
        </row>
        <row r="57">
          <cell r="C57" t="str">
            <v>Mozambique</v>
          </cell>
        </row>
        <row r="58">
          <cell r="C58" t="str">
            <v>Myanmar</v>
          </cell>
        </row>
        <row r="59">
          <cell r="C59" t="str">
            <v>Nepal</v>
          </cell>
        </row>
        <row r="60">
          <cell r="C60" t="str">
            <v>Nicaragua</v>
          </cell>
        </row>
        <row r="61">
          <cell r="C61" t="str">
            <v>Niger</v>
          </cell>
        </row>
        <row r="62">
          <cell r="C62" t="str">
            <v>Nigeria</v>
          </cell>
        </row>
        <row r="63">
          <cell r="C63" t="str">
            <v>Pakistan</v>
          </cell>
        </row>
        <row r="64">
          <cell r="C64" t="str">
            <v>Papua New Guinea</v>
          </cell>
        </row>
        <row r="65">
          <cell r="C65" t="str">
            <v>Philippines</v>
          </cell>
        </row>
        <row r="66">
          <cell r="C66" t="str">
            <v>Rwanda</v>
          </cell>
        </row>
        <row r="67">
          <cell r="C67" t="str">
            <v>Samoa</v>
          </cell>
        </row>
        <row r="68">
          <cell r="C68" t="str">
            <v>São Tomé and Principe</v>
          </cell>
        </row>
        <row r="69">
          <cell r="C69" t="str">
            <v>Senegal</v>
          </cell>
        </row>
        <row r="70">
          <cell r="C70" t="str">
            <v>Sierra Leone</v>
          </cell>
        </row>
        <row r="71">
          <cell r="C71" t="str">
            <v>Solomon Islands</v>
          </cell>
        </row>
        <row r="72">
          <cell r="C72" t="str">
            <v>Somalia</v>
          </cell>
        </row>
        <row r="73">
          <cell r="C73" t="str">
            <v>South Sudan</v>
          </cell>
        </row>
        <row r="74">
          <cell r="C74" t="str">
            <v>Sri Lanka</v>
          </cell>
        </row>
        <row r="75">
          <cell r="C75" t="str">
            <v>St. Lucia</v>
          </cell>
        </row>
        <row r="76">
          <cell r="C76" t="str">
            <v>St. Vincent and the Grenadines</v>
          </cell>
        </row>
        <row r="77">
          <cell r="C77" t="str">
            <v>Sudan</v>
          </cell>
        </row>
        <row r="78">
          <cell r="C78" t="str">
            <v>Syrian Arab Republic (Damascus)</v>
          </cell>
        </row>
        <row r="79">
          <cell r="C79" t="str">
            <v>Syrian Arab Republic (NWS)</v>
          </cell>
        </row>
        <row r="80">
          <cell r="C80" t="str">
            <v>Tajikistan</v>
          </cell>
        </row>
        <row r="81">
          <cell r="C81" t="str">
            <v>Tanzania</v>
          </cell>
        </row>
        <row r="82">
          <cell r="C82" t="str">
            <v>Timor-Leste</v>
          </cell>
        </row>
        <row r="83">
          <cell r="C83" t="str">
            <v>Togo</v>
          </cell>
        </row>
        <row r="84">
          <cell r="C84" t="str">
            <v>Tonga</v>
          </cell>
        </row>
        <row r="85">
          <cell r="C85" t="str">
            <v>Tunisia</v>
          </cell>
        </row>
        <row r="86">
          <cell r="C86" t="str">
            <v>Tuvalu</v>
          </cell>
        </row>
        <row r="87">
          <cell r="C87" t="str">
            <v>Uganda</v>
          </cell>
        </row>
        <row r="88">
          <cell r="C88" t="str">
            <v>Ukraine</v>
          </cell>
        </row>
        <row r="89">
          <cell r="C89" t="str">
            <v>Uzbekistan</v>
          </cell>
        </row>
        <row r="90">
          <cell r="C90" t="str">
            <v>Vanuatu</v>
          </cell>
        </row>
        <row r="91">
          <cell r="C91" t="str">
            <v>Vietnam</v>
          </cell>
        </row>
        <row r="92">
          <cell r="C92" t="str">
            <v>West Bank and Gaza</v>
          </cell>
        </row>
        <row r="94">
          <cell r="C94" t="str">
            <v>Zambia</v>
          </cell>
        </row>
        <row r="95">
          <cell r="C95" t="str">
            <v>Zimbabwe</v>
          </cell>
        </row>
      </sheetData>
      <sheetData sheetId="1"/>
      <sheetData sheetId="2"/>
      <sheetData sheetId="3"/>
      <sheetData sheetId="4">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3"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Output%20slides/C19VFM_IMR%20Outputs%20Dashboard_v2.xlsx?7E1BC961" TargetMode="External"/><Relationship Id="rId2" Type="http://schemas.openxmlformats.org/officeDocument/2006/relationships/externalLinkPath" Target="file:///\\7E1BC961\C19VFM_IMR%20Outputs%20Dashboard_v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Srivatsa" refreshedDate="44425.595391666669" createdVersion="7" refreshedVersion="7" minRefreshableVersion="3" recordCount="148" xr:uid="{DB771522-465C-46B4-9989-8BA39F12001F}">
  <cacheSource type="worksheet">
    <worksheetSource name="Table1" r:id="rId2"/>
  </cacheSource>
  <cacheFields count="86">
    <cacheField name="ISO Code" numFmtId="0">
      <sharedItems/>
    </cacheField>
    <cacheField name="Country Name" numFmtId="0">
      <sharedItems count="148">
        <s v="Afghanistan"/>
        <s v="Angola"/>
        <s v="Albania"/>
        <s v="Argentina"/>
        <s v="Armenia"/>
        <s v="Antigua and Barbuda"/>
        <s v="Azerbaijan"/>
        <s v="Burundi"/>
        <s v="Benin"/>
        <s v="Burkina Faso"/>
        <s v="Bangladesh"/>
        <s v="Bulgaria"/>
        <s v="Bosnia and Herzegovina"/>
        <s v="Belarus"/>
        <s v="Belize"/>
        <s v="Bolivia "/>
        <s v="Brazil"/>
        <s v="Bhutan"/>
        <s v="Botswana"/>
        <s v="CAR "/>
        <s v="Chile"/>
        <s v="China"/>
        <s v="Côte d'Ivoire"/>
        <s v="Cameroon"/>
        <s v="Congo, Dem. Rep"/>
        <s v="Congo, Rep. "/>
        <s v="Cook Islands"/>
        <s v="Colombia"/>
        <s v="Comoros"/>
        <s v="Cabo Verde"/>
        <s v="Costa Rica"/>
        <s v="Cuba"/>
        <s v="Djibouti"/>
        <s v="Dominica"/>
        <s v="Dominican Republic"/>
        <s v="Algeria"/>
        <s v="Ecuador"/>
        <s v="Egypt"/>
        <s v="Eritrea"/>
        <s v="Ethiopia"/>
        <s v="Fiji"/>
        <s v="Micronesia"/>
        <s v="Gabon"/>
        <s v="Georgia"/>
        <s v="Ghana"/>
        <s v="Guinea"/>
        <s v="Gambia"/>
        <s v="Guinea-Bissau"/>
        <s v="Equatorial Guinea"/>
        <s v="Grenada"/>
        <s v="Guatemala"/>
        <s v="Guyana"/>
        <s v="Honduras"/>
        <s v="Croatia"/>
        <s v="Haiti"/>
        <s v="Indonesia"/>
        <s v="India"/>
        <s v="Iran"/>
        <s v="Iraq"/>
        <s v="Jamaica"/>
        <s v="Jordan"/>
        <s v="Kazakhstan"/>
        <s v="Kenya"/>
        <s v="Kyrgyzstan"/>
        <s v="Cambodia"/>
        <s v="Kiribati"/>
        <s v="St. Kitts and Nevis"/>
        <s v="Lao PDR"/>
        <s v="Lebanon"/>
        <s v="Liberia"/>
        <s v="Libya"/>
        <s v="St. Lucia"/>
        <s v="Sri Lanka"/>
        <s v="Lesotho "/>
        <s v="Morocco "/>
        <s v="Moldova"/>
        <s v="Madagascar"/>
        <s v="Maldives"/>
        <s v="Mexico"/>
        <s v="Marshall Islands"/>
        <s v="North Macedonia"/>
        <s v="Mali"/>
        <s v="Myanmar"/>
        <s v="Montenegro"/>
        <s v="Mongolia"/>
        <s v="Mozambique"/>
        <s v="Mauritania"/>
        <s v="Mauritius"/>
        <s v="Malawi"/>
        <s v="Malaysia"/>
        <s v="Namibia"/>
        <s v="Niger"/>
        <s v="Nigeria"/>
        <s v="Nicaragua"/>
        <s v="Nepal"/>
        <s v="Nauru"/>
        <s v="Pakistan"/>
        <s v="Panama"/>
        <s v="Peru"/>
        <s v="Philippines"/>
        <s v="Palau"/>
        <s v="Papua New Guinea"/>
        <s v="Poland"/>
        <s v="Korea, Dem. People's Rep."/>
        <s v="Paraguay"/>
        <s v="State of Palestine/WB &amp; Gaza"/>
        <s v="Romania"/>
        <s v="Russian Federation"/>
        <s v="Rwanda"/>
        <s v="Sudan"/>
        <s v="Senegal"/>
        <s v="Solomon Islands"/>
        <s v="Sierra Leone"/>
        <s v="El Salvador"/>
        <s v="Somalia"/>
        <s v="Serbia"/>
        <s v="South Sudan"/>
        <s v="Sao Tome and Principe"/>
        <s v="Suriname"/>
        <s v="Eswatini"/>
        <s v="Seychelles"/>
        <s v="Syrian Arab Republic"/>
        <s v="Chad"/>
        <s v="Togo"/>
        <s v="Thailand"/>
        <s v="Tajikistan"/>
        <s v="Turkmenistan"/>
        <s v="Timor-Leste"/>
        <s v="Tonga"/>
        <s v="Trinidad and Tobago"/>
        <s v="Tunisia"/>
        <s v="Turkey"/>
        <s v="Tuvalu"/>
        <s v="Tanzania"/>
        <s v="Uganda"/>
        <s v="Ukraine"/>
        <s v="Uruguay"/>
        <s v="Uzbekistan"/>
        <s v="St. Vincent and the Grenadines"/>
        <s v="Venezuela"/>
        <s v="Vietnam"/>
        <s v="Vanuatu"/>
        <s v="Samoa"/>
        <s v="Kosovo"/>
        <s v="Yemen"/>
        <s v="South Africa"/>
        <s v="Zambia"/>
        <s v="Zimbabwe"/>
      </sharedItems>
    </cacheField>
    <cacheField name="Region" numFmtId="0">
      <sharedItems count="7">
        <s v="ROSA"/>
        <s v="ESARO"/>
        <s v="ECARO"/>
        <s v="LACRO"/>
        <s v="WCARO"/>
        <s v="EAPRO"/>
        <s v="MENA"/>
      </sharedItems>
    </cacheField>
    <cacheField name="Income Group" numFmtId="0">
      <sharedItems containsBlank="1" count="5">
        <s v="LIC"/>
        <s v="LMIC"/>
        <s v="UMIC"/>
        <s v="HIC"/>
        <m/>
      </sharedItems>
    </cacheField>
    <cacheField name="SIDS" numFmtId="0">
      <sharedItems containsSemiMixedTypes="0" containsString="0" containsNumber="1" containsInteger="1" minValue="0" maxValue="1" count="2">
        <n v="0"/>
        <n v="1"/>
      </sharedItems>
    </cacheField>
    <cacheField name="Self-financing / AMC" numFmtId="0">
      <sharedItems count="2">
        <s v="AMC"/>
        <s v="SFC"/>
      </sharedItems>
    </cacheField>
    <cacheField name="Number of Delivery Funding Sources by Source Type" numFmtId="0">
      <sharedItems containsSemiMixedTypes="0" containsString="0" containsNumber="1" containsInteger="1" minValue="0" maxValue="5"/>
    </cacheField>
    <cacheField name="Total Funding" numFmtId="0">
      <sharedItems containsSemiMixedTypes="0" containsString="0" containsNumber="1" minValue="0" maxValue="1478617136"/>
    </cacheField>
    <cacheField name="Delivery Funding Total" numFmtId="0">
      <sharedItems containsSemiMixedTypes="0" containsString="0" containsNumber="1" minValue="0" maxValue="265486034"/>
    </cacheField>
    <cacheField name="Population" numFmtId="0">
      <sharedItems containsSemiMixedTypes="0" containsString="0" containsNumber="1" minValue="10834" maxValue="1439323774"/>
    </cacheField>
    <cacheField name="30% Population" numFmtId="0">
      <sharedItems containsSemiMixedTypes="0" containsString="0" containsNumber="1" minValue="3250.2" maxValue="431797132.19999999"/>
    </cacheField>
    <cacheField name="Average Delivery Funds per Capita (30% Pop)" numFmtId="0">
      <sharedItems containsSemiMixedTypes="0" containsString="0" containsNumber="1" minValue="0" maxValue="339.03249406630096" count="155">
        <n v="3.5242339909656715"/>
        <n v="5.0491418323897737"/>
        <n v="0.11582922139597378"/>
        <n v="1.6780994826131654"/>
        <n v="1.7998353600604386"/>
        <n v="0"/>
        <n v="0.36163363061261561"/>
        <n v="0.38456543210520266"/>
        <n v="1.8711146459319838"/>
        <n v="0.37787885070784916"/>
        <n v="1.882678253764543"/>
        <n v="0.20320154189329989"/>
        <n v="24.499921617151344"/>
        <n v="0.22360263133073688"/>
        <n v="7.8409451480299652E-3"/>
        <n v="7.7786028902263489"/>
        <n v="2.8349191162139653"/>
        <n v="4.7279231615158057"/>
        <n v="0.31824179214258513"/>
        <n v="21.5360955387278"/>
        <n v="2.1572613625627604"/>
        <n v="0.262039654303662"/>
        <n v="50.782529031713999"/>
        <n v="28.957456755661394"/>
        <n v="5.8858415140644542E-2"/>
        <n v="1.2549670952083094"/>
        <n v="5.7877618961629462"/>
        <n v="0.2002709463505577"/>
        <n v="5.9319797706978143E-2"/>
        <n v="5.6868441944500177"/>
        <n v="0.14917720290018208"/>
        <n v="0.34937981241401561"/>
        <n v="2.8312951357242699"/>
        <n v="1.7680598750916583"/>
        <n v="7.4699402717764594"/>
        <n v="1.086273059801421"/>
        <n v="1.0262848704341778"/>
        <n v="3.3483139000450173"/>
        <n v="3.2424063364483713"/>
        <n v="4.5298013514241378"/>
        <n v="3.7030782949250054"/>
        <n v="0.49212322817729781"/>
        <n v="1.5892005558387863"/>
        <n v="6.1007743668401613"/>
        <n v="0.4705252771467533"/>
        <n v="3.2353821707656709"/>
        <n v="0.18328890068466461"/>
        <n v="5.6705471469731518E-2"/>
        <n v="0.16017020787260969"/>
        <n v="0.89924147533667742"/>
        <n v="9.7638703811767077E-2"/>
        <n v="1.431302076262492"/>
        <n v="2.8920985503541106"/>
        <n v="2.1263956176888317"/>
        <n v="1.3999631632704319"/>
        <n v="4.9827999399633516"/>
        <n v="5.5934770720098914"/>
        <n v="2.7901849208638674"/>
        <n v="1.9458357169820865E-2"/>
        <n v="14.337970960347759"/>
        <n v="10.819498982068092"/>
        <n v="0.233682008636481"/>
        <n v="339.03249406630096"/>
        <n v="3.5945031804956931"/>
        <n v="11.007784778981096"/>
        <n v="7.5525672647002509"/>
        <n v="0.15999641608027981"/>
        <n v="0.81456941477076938"/>
        <n v="0.25866115207126128"/>
        <n v="0.53073316540935978"/>
        <n v="36.491586675825907"/>
        <n v="3.1242755124028827"/>
        <n v="3.7107469650110616"/>
        <n v="1.3469256636167379"/>
        <n v="0.1524284837439587"/>
        <n v="1.3118628610049816"/>
        <n v="0.71986623833233165"/>
        <n v="0.13512948712110628"/>
        <n v="0.38645585297767471"/>
        <n v="2.2033451067575189"/>
        <n v="0.20539554177641414"/>
        <n v="1.3133189702590422"/>
        <n v="0.28306978424360391"/>
        <n v="0.62920268888862829"/>
        <n v="15.738586311035684"/>
        <n v="0.28096744119671874"/>
        <n v="8.6635524314554457E-3"/>
        <n v="2.3543888665374895"/>
        <n v="4.0051171662633651"/>
        <n v="11.642893474431231"/>
        <n v="1.2431610853746955"/>
        <n v="2.7897549429180741"/>
        <n v="24.837343153565548"/>
        <n v="0.68441780527070484"/>
        <n v="3.8150305335968755E-2"/>
        <n v="3.1882133886452557"/>
        <n v="7.0510568334086203"/>
        <n v="17.737150379888821"/>
        <n v="0.53934613235758333"/>
        <n v="0.46298928212318552"/>
        <n v="6.7910040706289712"/>
        <n v="3.5787499340854616E-2"/>
        <n v="1.8732418872505385"/>
        <n v="7.9773272797235935"/>
        <n v="90.034721893715059"/>
        <n v="1.9651192231080206"/>
        <n v="3.5071782589131826"/>
        <n v="259.25260063319769"/>
        <n v="3.5739930966864411E-2"/>
        <n v="0.37137950635097616"/>
        <n v="3.3930284077951467"/>
        <n v="0.3135970558084365"/>
        <n v="2.1793360030199372E-2"/>
        <n v="7.0333521205890731E-2"/>
        <n v="0.49132103488021123"/>
        <n v="17.74377340061859"/>
        <n v="54.41594005678477"/>
        <n v="75.827068298645429"/>
        <n v="2.270766776119387"/>
        <n v="0.1686093555598682"/>
        <n v="2.6322675054270146"/>
        <n v="0.24191264614298383"/>
        <n v="0.6144908815909973" u="1"/>
        <n v="0.18092862363726037" u="1"/>
        <n v="0.19785133229773466" u="1"/>
        <n v="21.803482587064678" u="1"/>
        <n v="226.00965475869629" u="1"/>
        <n v="0.32206587355166771" u="1"/>
        <n v="0.13057247010727729" u="1"/>
        <n v="8.9556778280240446E-2" u="1"/>
        <n v="5.7642306759305022" u="1"/>
        <n v="0.1670826227099754" u="1"/>
        <n v="22.260575558607599" u="1"/>
        <n v="0.58574397214628782" u="1"/>
        <n v="3.6460281655671367" u="1"/>
        <n v="1.733637169554326" u="1"/>
        <n v="3.6326726553040531" u="1"/>
        <n v="215.36095538727798" u="1"/>
        <n v="12.77005702760971" u="1"/>
        <n v="1.6697759531368519" u="1"/>
        <n v="2.2752371535211644" u="1"/>
        <n v="14.948185041193344" u="1"/>
        <n v="0.65784767372137376" u="1"/>
        <n v="2.6780955624726026" u="1"/>
        <n v="16.106083059769464" u="1"/>
        <n v="2.5379296309600976" u="1"/>
        <n v="2.036150659805358" u="1"/>
        <n v="0.13322356802064125" u="1"/>
        <n v="11.648865787980082" u="1"/>
        <n v="1.3272140622887805" u="1"/>
        <n v="24.630581125721925" u="1"/>
        <n v="50.974189134022161" u="1"/>
        <n v="14.559113005183365" u="1"/>
        <n v="1.9614102079184792" u="1"/>
        <n v="0.46701553067200069" u="1"/>
      </sharedItems>
    </cacheField>
    <cacheField name="MDB Delivery Funding" numFmtId="0">
      <sharedItems containsSemiMixedTypes="0" containsString="0" containsNumber="1" containsInteger="1" minValue="0" maxValue="1" count="2">
        <n v="1"/>
        <n v="0"/>
      </sharedItems>
    </cacheField>
    <cacheField name="Non-MDB Delivery Funding" numFmtId="0">
      <sharedItems containsSemiMixedTypes="0" containsString="0" containsNumber="1" containsInteger="1" minValue="0" maxValue="1"/>
    </cacheField>
    <cacheField name="World Bank Delivery Funding" numFmtId="0">
      <sharedItems containsSemiMixedTypes="0" containsString="0" containsNumber="1" containsInteger="1" minValue="0" maxValue="1"/>
    </cacheField>
    <cacheField name="World Bank Delivery Funding2" numFmtId="173">
      <sharedItems containsMixedTypes="1" containsNumber="1" containsInteger="1" minValue="0" maxValue="255000000"/>
    </cacheField>
    <cacheField name="IADB" numFmtId="172">
      <sharedItems containsSemiMixedTypes="0" containsString="0" containsNumber="1" containsInteger="1" minValue="0" maxValue="1"/>
    </cacheField>
    <cacheField name="IADB Delivery Total" numFmtId="173">
      <sharedItems containsSemiMixedTypes="0" containsString="0" containsNumber="1" containsInteger="1" minValue="0" maxValue="22752903"/>
    </cacheField>
    <cacheField name="ADB" numFmtId="0">
      <sharedItems containsSemiMixedTypes="0" containsString="0" containsNumber="1" containsInteger="1" minValue="0" maxValue="1"/>
    </cacheField>
    <cacheField name="ADB Delivery Total" numFmtId="174">
      <sharedItems containsSemiMixedTypes="0" containsString="0" containsNumber="1" minValue="0" maxValue="48970000"/>
    </cacheField>
    <cacheField name="IsDB" numFmtId="0">
      <sharedItems containsSemiMixedTypes="0" containsString="0" containsNumber="1" containsInteger="1" minValue="0" maxValue="1"/>
    </cacheField>
    <cacheField name="IsDB Total" numFmtId="174">
      <sharedItems containsSemiMixedTypes="0" containsString="0" containsNumber="1" minValue="0" maxValue="100000000"/>
    </cacheField>
    <cacheField name="Bilateral Donors" numFmtId="0">
      <sharedItems containsSemiMixedTypes="0" containsString="0" containsNumber="1" containsInteger="1" minValue="0" maxValue="1"/>
    </cacheField>
    <cacheField name="Bilateral Donors Total" numFmtId="0">
      <sharedItems containsSemiMixedTypes="0" containsString="0" containsNumber="1" containsInteger="1" minValue="0" maxValue="35840139"/>
    </cacheField>
    <cacheField name="Foundations" numFmtId="0">
      <sharedItems containsSemiMixedTypes="0" containsString="0" containsNumber="1" containsInteger="1" minValue="0" maxValue="0"/>
    </cacheField>
    <cacheField name="GAVI" numFmtId="0">
      <sharedItems containsSemiMixedTypes="0" containsString="0" containsNumber="1" containsInteger="1" minValue="0" maxValue="1"/>
    </cacheField>
    <cacheField name="GAVI Total" numFmtId="0">
      <sharedItems containsSemiMixedTypes="0" containsString="0" containsNumber="1" minValue="0" maxValue="25347251"/>
    </cacheField>
    <cacheField name="UNICEF" numFmtId="0">
      <sharedItems containsSemiMixedTypes="0" containsString="0" containsNumber="1" containsInteger="1" minValue="0" maxValue="1"/>
    </cacheField>
    <cacheField name="UNICEF Total" numFmtId="173">
      <sharedItems containsSemiMixedTypes="0" containsString="0" containsNumber="1" containsInteger="1" minValue="0" maxValue="7694456"/>
    </cacheField>
    <cacheField name="Grant" numFmtId="0">
      <sharedItems containsMixedTypes="1" containsNumber="1" containsInteger="1" minValue="0" maxValue="0"/>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MixedTypes="1" containsNumber="1" containsInteger="1" minValue="0" maxValue="0"/>
    </cacheField>
    <cacheField name="Debt Distress" numFmtId="0">
      <sharedItems containsMixedTypes="1" containsNumber="1" containsInteger="1" minValue="0" maxValue="0"/>
    </cacheField>
    <cacheField name="Use of CVIC" numFmtId="0">
      <sharedItems containsMixedTypes="1" containsNumber="1" containsInteger="1" minValue="0" maxValue="0"/>
    </cacheField>
    <cacheField name="NDVP Budget Quality" numFmtId="0">
      <sharedItems containsSemiMixedTypes="0" containsString="0" containsNumber="1" containsInteger="1" minValue="0" maxValue="0"/>
    </cacheField>
    <cacheField name="Eligibility" numFmtId="0">
      <sharedItems containsMixedTypes="1" containsNumber="1" containsInteger="1" minValue="0" maxValue="0"/>
    </cacheField>
    <cacheField name="Project Status" numFmtId="0">
      <sharedItems containsMixedTypes="1" containsNumber="1" containsInteger="1" minValue="0" maxValue="0"/>
    </cacheField>
    <cacheField name="Total Project Amount" numFmtId="0">
      <sharedItems containsMixedTypes="1" containsNumber="1" containsInteger="1" minValue="3500000" maxValue="525000000"/>
    </cacheField>
    <cacheField name="Loan Amount" numFmtId="0">
      <sharedItems containsMixedTypes="1" containsNumber="1" minValue="0" maxValue="525000000"/>
    </cacheField>
    <cacheField name="Grant Amount" numFmtId="0">
      <sharedItems containsMixedTypes="1" containsNumber="1" minValue="0" maxValue="207000000"/>
    </cacheField>
    <cacheField name="o/w Vaccines Procurement" numFmtId="0">
      <sharedItems containsMixedTypes="1" containsNumber="1" containsInteger="1" minValue="0" maxValue="500000000"/>
    </cacheField>
    <cacheField name="o/w Vaccines Delivery" numFmtId="0">
      <sharedItems containsMixedTypes="1" containsNumber="1" containsInteger="1" minValue="0" maxValue="255000000"/>
    </cacheField>
    <cacheField name="o/w Project Implementation" numFmtId="0">
      <sharedItems containsMixedTypes="1" containsNumber="1" containsInteger="1" minValue="0" maxValue="245000000"/>
    </cacheField>
    <cacheField name="Eligibility2" numFmtId="0">
      <sharedItems containsMixedTypes="1" containsNumber="1" containsInteger="1" minValue="0" maxValue="0"/>
    </cacheField>
    <cacheField name="Project Status3" numFmtId="0">
      <sharedItems containsMixedTypes="1" containsNumber="1" containsInteger="1" minValue="0" maxValue="0"/>
    </cacheField>
    <cacheField name="Financing Source" numFmtId="0">
      <sharedItems containsMixedTypes="1" containsNumber="1" containsInteger="1" minValue="0" maxValue="0"/>
    </cacheField>
    <cacheField name="ADB Amount" numFmtId="0">
      <sharedItems containsMixedTypes="1" containsNumber="1" containsInteger="1" minValue="1500000" maxValue="940000000"/>
    </cacheField>
    <cacheField name="o/w Vaccines Procurement4" numFmtId="0">
      <sharedItems containsMixedTypes="1" containsNumber="1" minValue="0" maxValue="893080000"/>
    </cacheField>
    <cacheField name="o/w Vaccines Delivery5" numFmtId="0">
      <sharedItems containsMixedTypes="1" containsNumber="1" minValue="0" maxValue="48970000"/>
    </cacheField>
    <cacheField name="o/w other costs" numFmtId="0">
      <sharedItems containsMixedTypes="1" containsNumber="1" minValue="0" maxValue="46919999.999999963"/>
    </cacheField>
    <cacheField name="Eligibility6" numFmtId="0">
      <sharedItems containsMixedTypes="1" containsNumber="1" containsInteger="1" minValue="0" maxValue="0"/>
    </cacheField>
    <cacheField name="Project Status7" numFmtId="0">
      <sharedItems containsMixedTypes="1" containsNumber="1" containsInteger="1" minValue="0" maxValue="0"/>
    </cacheField>
    <cacheField name="IsDB Amount8" numFmtId="0">
      <sharedItems containsSemiMixedTypes="0" containsString="0" containsNumber="1" minValue="0" maxValue="100000000"/>
    </cacheField>
    <cacheField name="Eligibility9" numFmtId="0">
      <sharedItems containsMixedTypes="1" containsNumber="1" containsInteger="1" minValue="0" maxValue="0"/>
    </cacheField>
    <cacheField name="Project Status10" numFmtId="0">
      <sharedItems containsSemiMixedTypes="0" containsString="0" containsNumber="1" containsInteger="1" minValue="0" maxValue="0"/>
    </cacheField>
    <cacheField name="AfDB Amount11" numFmtId="0">
      <sharedItems containsSemiMixedTypes="0" containsString="0" containsNumber="1" containsInteger="1" minValue="0" maxValue="0"/>
    </cacheField>
    <cacheField name="Eligibility3" numFmtId="0">
      <sharedItems containsMixedTypes="1" containsNumber="1" containsInteger="1" minValue="0" maxValue="0"/>
    </cacheField>
    <cacheField name="Financing Instrument" numFmtId="0">
      <sharedItems containsMixedTypes="1" containsNumber="1" containsInteger="1" minValue="0" maxValue="0"/>
    </cacheField>
    <cacheField name="Total amount for C19 Vaccination" numFmtId="0">
      <sharedItems containsMixedTypes="1" containsNumber="1" containsInteger="1" minValue="1000000" maxValue="146698886"/>
    </cacheField>
    <cacheField name="o/w Vaccines Procurement5" numFmtId="0">
      <sharedItems containsMixedTypes="1" containsNumber="1" containsInteger="1" minValue="0" maxValue="146698886"/>
    </cacheField>
    <cacheField name="o/w Vaccines Delivery6" numFmtId="0">
      <sharedItems containsMixedTypes="1" containsNumber="1" containsInteger="1" minValue="0" maxValue="22752903"/>
    </cacheField>
    <cacheField name="In preparation stage in country" numFmtId="0">
      <sharedItems containsMixedTypes="1" containsNumber="1" containsInteger="1" minValue="0" maxValue="0"/>
    </cacheField>
    <cacheField name="Gavi Approved" numFmtId="0">
      <sharedItems containsSemiMixedTypes="0" containsString="0" containsNumber="1" containsInteger="1" minValue="0" maxValue="4999000"/>
    </cacheField>
    <cacheField name="ELMA Funding " numFmtId="0">
      <sharedItems containsMixedTypes="1" containsNumber="1" containsInteger="1" minValue="0" maxValue="0"/>
    </cacheField>
    <cacheField name="JICA Funding " numFmtId="0">
      <sharedItems containsMixedTypes="1" containsNumber="1" containsInteger="1" minValue="0" maxValue="0"/>
    </cacheField>
    <cacheField name="USAID Funding" numFmtId="0">
      <sharedItems containsSemiMixedTypes="0" containsString="0" containsNumber="1" containsInteger="1" minValue="0" maxValue="35840139"/>
    </cacheField>
    <cacheField name="Japan MoFA funding (Cold Chain)" numFmtId="0">
      <sharedItems containsMixedTypes="1" containsNumber="1" containsInteger="1" minValue="0" maxValue="18681831"/>
    </cacheField>
    <cacheField name="UNICEF ACT-A HAC Allocation Committee proposal " numFmtId="0">
      <sharedItems containsSemiMixedTypes="0" containsString="0" containsNumber="1" containsInteger="1" minValue="0" maxValue="7694456"/>
    </cacheField>
    <cacheField name="GAVI COVAX TA to UNICEF" numFmtId="0">
      <sharedItems containsSemiMixedTypes="0" containsString="0" containsNumber="1" minValue="0" maxValue="6449393"/>
    </cacheField>
    <cacheField name="GAVI COVAX TA to WHO" numFmtId="0">
      <sharedItems containsSemiMixedTypes="0" containsString="0" containsNumber="1" minValue="0" maxValue="10181364"/>
    </cacheField>
    <cacheField name="Australia" numFmtId="0">
      <sharedItems containsSemiMixedTypes="0" containsString="0" containsNumber="1" containsInteger="1" minValue="0" maxValue="11618900"/>
    </cacheField>
    <cacheField name="New Zealand" numFmtId="0">
      <sharedItems containsSemiMixedTypes="0" containsString="0" containsNumber="1" containsInteger="1" minValue="0" maxValue="729927"/>
    </cacheField>
    <cacheField name="Application" numFmtId="0">
      <sharedItems containsMixedTypes="1" containsNumber="1" containsInteger="1" minValue="0" maxValue="0"/>
    </cacheField>
    <cacheField name="Gavi Disbursement" numFmtId="0">
      <sharedItems containsMixedTypes="1" containsNumber="1" containsInteger="1" minValue="50213" maxValue="8716494"/>
    </cacheField>
    <cacheField name="Funds Administration Modality" numFmtId="0">
      <sharedItems/>
    </cacheField>
    <cacheField name="Approved Amounts" numFmtId="0">
      <sharedItems containsSemiMixedTypes="0" containsString="0" containsNumber="1" containsInteger="1" minValue="0" maxValue="0"/>
    </cacheField>
    <cacheField name="COVID 19 vaccines procurement in the health budget 2020" numFmtId="0">
      <sharedItems containsSemiMixedTypes="0" containsString="0" containsNumber="1" containsInteger="1" minValue="0" maxValue="139000000"/>
    </cacheField>
    <cacheField name="COVID 19 delivery in the health budget 2020" numFmtId="0">
      <sharedItems containsSemiMixedTypes="0" containsString="0" containsNumber="1" containsInteger="1" minValue="0" maxValue="0"/>
    </cacheField>
    <cacheField name="COVID 19 vaccines procurement in the health budget 2021" numFmtId="0">
      <sharedItems containsSemiMixedTypes="0" containsString="0" containsNumber="1" containsInteger="1" minValue="0" maxValue="1247189400"/>
    </cacheField>
    <cacheField name="COVID 19 delivery in the health budget 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6322287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585.474642824076"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587.532552777775" createdVersion="6" refreshedVersion="7" minRefreshableVersion="3" recordCount="5370" xr:uid="{4E8D401E-7998-46AA-9A64-1698B164DB62}">
  <cacheSource type="worksheet">
    <worksheetSource name="DATA"/>
  </cacheSource>
  <cacheFields count="24">
    <cacheField name="Recipient Type" numFmtId="0">
      <sharedItems containsBlank="1" count="3">
        <s v="Country"/>
        <s v="Unallocated"/>
        <m/>
      </sharedItems>
    </cacheField>
    <cacheField name="ISO Code" numFmtId="0">
      <sharedItems containsBlank="1" count="151">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allocated"/>
        <m/>
      </sharedItems>
    </cacheField>
    <cacheField name="Recipient" numFmtId="0">
      <sharedItems containsBlank="1" count="151">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Gavi"/>
        <s v="Bilateral"/>
        <s v="Intl. Org"/>
        <s v="Foundations/Private"/>
        <m/>
        <s v="Bilaterals" u="1"/>
        <s v="UNICEF" u="1"/>
      </sharedItems>
    </cacheField>
    <cacheField name="Funding Source" numFmtId="0">
      <sharedItems containsBlank="1" count="32">
        <s v="WB"/>
        <s v="Asian Development Bank"/>
        <s v="Inter-American Development Bank"/>
        <s v="Islamic Development Bank"/>
        <s v="Gavi CCE"/>
        <s v="Gavi CDS EAW"/>
        <s v="Gavi TA to WHO"/>
        <s v="Gavi TA to UNICEF"/>
        <s v="Gavi Bridge Funding"/>
        <s v="BMZ-Gavi"/>
        <s v="Australia (DFAT)"/>
        <s v="New Zealand"/>
        <s v="Republic of Korea"/>
        <s v="Czech Republic"/>
        <s v="Norway"/>
        <s v="CDC"/>
        <s v="European Commission"/>
        <s v="Japan - Ministry of Foreign Affairs"/>
        <s v="Germany - Federal Foreign Office (AA)"/>
        <s v="USAID"/>
        <s v="Private Donors"/>
        <s v="ELMA"/>
        <s v="Bill and Melinda Gates Foundation"/>
        <s v="JICA"/>
        <s v="UNICEF (Thematic/Flexible Funding) HAC)"/>
        <m/>
        <s v="Government of Ireland"/>
        <s v="Mastercard Foundation"/>
        <s v="U.S. Government"/>
        <s v="Gavi CDS Needs-based"/>
        <s v="Government of France - Gavi"/>
        <s v="Government of France" u="1"/>
      </sharedItems>
    </cacheField>
    <cacheField name="Funding Mechanism" numFmtId="0">
      <sharedItems containsBlank="1" count="14">
        <s v="WB"/>
        <s v="Asian Development Bank"/>
        <s v="Inter-American Development Bank"/>
        <s v="Islamic Development Bank"/>
        <s v="Gavi"/>
        <s v=""/>
        <s v="UNICEF"/>
        <s v="WHO"/>
        <s v="UNICEF HAC"/>
        <s v="USAID"/>
        <s v="Bill and Melinda Gates Foundation"/>
        <m/>
        <s v="Africa CDC"/>
        <s v="USAID &amp; CDC"/>
      </sharedItems>
    </cacheField>
    <cacheField name="Year" numFmtId="0">
      <sharedItems containsBlank="1" containsMixedTypes="1" containsNumber="1" containsInteger="1" minValue="2021" maxValue="2022"/>
    </cacheField>
    <cacheField name="Allocation Type" numFmtId="0">
      <sharedItems containsBlank="1" count="4">
        <s v="Vaccine Procurement"/>
        <s v="Vaccine Delivery"/>
        <s v="Other"/>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Disbursement Amount" numFmtId="0">
      <sharedItems containsBlank="1" containsMixedTypes="1" containsNumber="1" containsInteger="1" minValue="0" maxValue="14685613"/>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6">
        <s v="LIC"/>
        <s v="UMIC"/>
        <s v="LMIC"/>
        <s v="HIC"/>
        <s v="No Income Classification"/>
        <m/>
      </sharedItems>
    </cacheField>
    <cacheField name="AMC/SFC" numFmtId="0">
      <sharedItems containsBlank="1" count="3">
        <s v="AMC"/>
        <s v="SFC"/>
        <m/>
      </sharedItems>
    </cacheField>
    <cacheField name="Total population" numFmtId="0">
      <sharedItems containsString="0" containsBlank="1" containsNumber="1" containsInteger="1" minValue="0" maxValue="1439323774"/>
    </cacheField>
    <cacheField name="IMR Watchlist" numFmtId="0">
      <sharedItems containsString="0" containsBlank="1" containsNumber="1" containsInteger="1" minValue="0" maxValue="3"/>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s>
  <extLst>
    <ext xmlns:x14="http://schemas.microsoft.com/office/spreadsheetml/2009/9/main" uri="{725AE2AE-9491-48be-B2B4-4EB974FC3084}">
      <x14:pivotCacheDefinition pivotCacheId="1362724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587.532553124998" createdVersion="6" refreshedVersion="7" minRefreshableVersion="3" recordCount="151" xr:uid="{5C7C7D79-41CB-43F1-8644-10920DC95247}">
  <cacheSource type="worksheet">
    <worksheetSource ref="A1:CL152" sheet="Matrix Allocations"/>
  </cacheSource>
  <cacheFields count="9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ontainsMixedTypes="1" containsNumber="1" containsInteger="1" minValue="1" maxValue="3"/>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ontainsMixedTypes="1" containsNumber="1" minValue="0" maxValue="500000000"/>
    </cacheField>
    <cacheField name="WB - Project Implementation" numFmtId="0">
      <sharedItems containsBlank="1" containsMixedTypes="1" containsNumber="1" containsInteger="1" minValue="0" maxValue="2516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containsInteger="1" minValue="266162" maxValue="1105023"/>
    </cacheField>
    <cacheField name="JICA Funding " numFmtId="0">
      <sharedItems containsBlank="1" containsMixedTypes="1" containsNumber="1" containsInteger="1" minValue="1114766" maxValue="1114766"/>
    </cacheField>
    <cacheField name="USAID Funding" numFmtId="0">
      <sharedItems containsBlank="1" containsMixedTypes="1" containsNumber="1" minValue="100000" maxValue="36840139"/>
    </cacheField>
    <cacheField name="Japan MoFA funding (Cold Chain)" numFmtId="169">
      <sharedItems containsBlank="1" containsMixedTypes="1" containsNumber="1" containsInteger="1" minValue="92553" maxValue="11111111"/>
    </cacheField>
    <cacheField name="UNICEF ACT-A HAC Allocation Committee proposal " numFmtId="170">
      <sharedItems containsBlank="1" containsMixedTypes="1" containsNumber="1" containsInteger="1" minValue="0" maxValue="12694456"/>
    </cacheField>
    <cacheField name="GAVI COVAX TA to UNICEF" numFmtId="170">
      <sharedItems containsBlank="1" containsMixedTypes="1" containsNumber="1" minValue="0" maxValue="5971660.1851851847"/>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Status" numFmtId="0">
      <sharedItems containsBlank="1"/>
    </cacheField>
    <cacheField name="CDS EAW Amount" numFmtId="0">
      <sharedItems containsBlank="1" containsMixedTypes="1" containsNumber="1" containsInteger="1" minValue="0" maxValue="14685613"/>
    </cacheField>
    <cacheField name="CDS Needs-based status" numFmtId="0">
      <sharedItems containsBlank="1"/>
    </cacheField>
    <cacheField name="CDS Needs-based Amount" numFmtId="0">
      <sharedItems containsBlank="1" containsMixedTypes="1" containsNumber="1" minValue="100000" maxValue="4499999.7"/>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14058" maxValue="24758715"/>
    </cacheField>
    <cacheField name="BMZ-GAVI" numFmtId="170">
      <sharedItems containsBlank="1" containsMixedTypes="1" containsNumber="1" minValue="0" maxValue="3077980"/>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numFmtId="170">
      <sharedItems containsBlank="1" containsMixedTypes="1" containsNumber="1" containsInteger="1" minValue="679123" maxValue="2791137"/>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2172278.56"/>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4700000"/>
    </cacheField>
    <cacheField name="Australia HAC" numFmtId="170">
      <sharedItems containsBlank="1" containsMixedTypes="1" containsNumber="1" containsInteger="1" minValue="0" maxValue="6164384"/>
    </cacheField>
    <cacheField name="CDS-61 (channelled though UNICEF HAC)" numFmtId="170">
      <sharedItems containsBlank="1" containsMixedTypes="1" containsNumber="1" containsInteger="1" minValue="0" maxValue="8507891"/>
    </cacheField>
    <cacheField name="All CDS Funds channelled through UNICEF)" numFmtId="170">
      <sharedItems containsBlank="1" containsMixedTypes="1" containsNumber="1" containsInteger="1" minValue="0" maxValue="8507891"/>
    </cacheField>
    <cacheField name="TP" numFmtId="0">
      <sharedItems containsBlank="1" containsMixedTypes="1" containsNumber="1" containsInteger="1" minValue="10834" maxValue="1439323774"/>
    </cacheField>
    <cacheField name="TP (30%)" numFmtId="0">
      <sharedItems containsBlank="1" containsMixedTypes="1" containsNumber="1" minValue="3250.2" maxValue="431797132.19999999"/>
    </cacheField>
    <cacheField name="Total External Financing for Vaccine Delivery" numFmtId="0">
      <sharedItems containsBlank="1" containsMixedTypes="1" containsNumber="1" minValue="0" maxValue="507941630"/>
    </cacheField>
    <cacheField name="Total External Financing for Vaccine Delivery per capita (30% of Pop.)" numFmtId="0">
      <sharedItems containsBlank="1" containsMixedTypes="1" containsNumber="1" minValue="0" maxValue="119.64547817924739"/>
    </cacheField>
    <cacheField name="Total External Financing for Vaccine Delivery per capita (40% of Pop.)" numFmtId="0">
      <sharedItems containsBlank="1" containsMixedTypes="1" containsNumber="1" minValue="0" maxValue="89.734108634435529"/>
    </cacheField>
    <cacheField name="Total External Financing for Vaccine Delivery per capita (70% of Pop.)" numFmtId="0">
      <sharedItems containsBlank="1" containsMixedTypes="1" containsNumber="1" minValue="0" maxValue="51.276633505391743"/>
    </cacheField>
    <cacheField name="Total External Financing for Vaccine Delivery per capita (100% of Pop.)" numFmtId="0">
      <sharedItems containsBlank="1" containsMixedTypes="1" containsNumber="1" minValue="0" maxValue="35.893643453774217"/>
    </cacheField>
    <cacheField name="Total MDB" numFmtId="0">
      <sharedItems containsBlank="1" containsMixedTypes="1" containsNumber="1" minValue="0" maxValue="50000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HAC" numFmtId="0">
      <sharedItems containsBlank="1" containsMixedTypes="1" containsNumber="1" minValue="0" maxValue="43753171"/>
    </cacheField>
    <cacheField name="Total Gavi" numFmtId="0">
      <sharedItems containsBlank="1" containsMixedTypes="1" containsNumber="1" minValue="0" maxValue="35736518.185185187"/>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
  <r>
    <s v="AFG"/>
    <x v="0"/>
    <x v="0"/>
    <x v="0"/>
    <x v="0"/>
    <x v="0"/>
    <n v="5"/>
    <n v="168538544"/>
    <n v="41157774.769230768"/>
    <n v="38928341"/>
    <n v="11678502.299999999"/>
    <x v="0"/>
    <x v="0"/>
    <n v="1"/>
    <n v="1"/>
    <n v="33600000"/>
    <n v="0"/>
    <n v="0"/>
    <n v="1"/>
    <n v="2019230.7692307692"/>
    <n v="0"/>
    <n v="0"/>
    <n v="1"/>
    <n v="1500000"/>
    <n v="0"/>
    <n v="1"/>
    <n v="2038544"/>
    <n v="1"/>
    <n v="2000000"/>
    <s v="No"/>
    <s v="No"/>
    <s v="No"/>
    <s v="Yes"/>
    <s v="No"/>
    <s v="Yes"/>
    <s v="Yes"/>
    <s v="Yes"/>
    <s v="Yes"/>
    <s v="High"/>
    <n v="0"/>
    <n v="0"/>
    <s v="IDA"/>
    <s v="Approved"/>
    <n v="113000000"/>
    <n v="53110000"/>
    <n v="59890000"/>
    <n v="70800000"/>
    <n v="33600000"/>
    <n v="8600000"/>
    <s v="Yes"/>
    <s v="Approved"/>
    <s v="Grant"/>
    <n v="50000000"/>
    <n v="43173076.92307692"/>
    <n v="2019230.7692307692"/>
    <n v="4807692.3076923136"/>
    <s v="Yes"/>
    <n v="0"/>
    <n v="0"/>
    <n v="0"/>
    <n v="0"/>
    <n v="0"/>
    <n v="0"/>
    <n v="0"/>
    <s v=""/>
    <s v=""/>
    <s v=""/>
    <n v="0"/>
    <n v="0"/>
    <n v="0"/>
    <n v="0"/>
    <n v="1500000"/>
    <n v="0"/>
    <n v="2000000"/>
    <n v="613275"/>
    <n v="502703"/>
    <n v="0"/>
    <n v="0"/>
    <s v="Yes"/>
    <n v="922566"/>
    <s v="GAVI"/>
    <n v="0"/>
    <n v="0"/>
    <n v="0"/>
    <n v="0"/>
    <n v="0"/>
  </r>
  <r>
    <s v="AGO"/>
    <x v="1"/>
    <x v="1"/>
    <x v="1"/>
    <x v="0"/>
    <x v="0"/>
    <n v="4"/>
    <n v="151783934.59"/>
    <n v="49783934.590000004"/>
    <n v="32866267.999999996"/>
    <n v="9859880.3999999985"/>
    <x v="1"/>
    <x v="0"/>
    <n v="1"/>
    <n v="1"/>
    <n v="48000000"/>
    <n v="0"/>
    <n v="0"/>
    <n v="0"/>
    <n v="0"/>
    <n v="0"/>
    <n v="0"/>
    <n v="1"/>
    <n v="1000000"/>
    <n v="0"/>
    <n v="1"/>
    <n v="590934.59"/>
    <n v="1"/>
    <n v="193000"/>
    <s v="Yes"/>
    <s v="Yes"/>
    <s v="No"/>
    <s v="No"/>
    <s v="Yes"/>
    <s v="Yes"/>
    <s v="Yes"/>
    <s v="Yes"/>
    <s v="Yes"/>
    <s v="…"/>
    <n v="0"/>
    <n v="0"/>
    <s v="IBRD"/>
    <s v="Approved"/>
    <n v="150000000"/>
    <n v="150000000"/>
    <n v="0"/>
    <n v="90000000"/>
    <n v="48000000"/>
    <n v="2000000"/>
    <n v="0"/>
    <n v="0"/>
    <s v=""/>
    <s v=""/>
    <s v=""/>
    <s v=""/>
    <s v=""/>
    <n v="0"/>
    <n v="0"/>
    <n v="0"/>
    <s v="Yes"/>
    <n v="0"/>
    <n v="0"/>
    <n v="0"/>
    <n v="0"/>
    <s v=""/>
    <s v=""/>
    <s v=""/>
    <n v="0"/>
    <n v="0"/>
    <n v="0"/>
    <s v="Yes"/>
    <n v="1000000"/>
    <n v="0"/>
    <n v="193000"/>
    <n v="21600"/>
    <n v="29999.59"/>
    <n v="0"/>
    <n v="0"/>
    <s v="Yes"/>
    <n v="539335"/>
    <s v="GAVI"/>
    <n v="0"/>
    <n v="0"/>
    <n v="0"/>
    <n v="0"/>
    <n v="0"/>
  </r>
  <r>
    <s v="ALB"/>
    <x v="2"/>
    <x v="2"/>
    <x v="2"/>
    <x v="0"/>
    <x v="1"/>
    <n v="1"/>
    <n v="100000"/>
    <n v="100000"/>
    <n v="2877800"/>
    <n v="863340"/>
    <x v="2"/>
    <x v="1"/>
    <n v="1"/>
    <n v="0"/>
    <s v=""/>
    <n v="0"/>
    <n v="0"/>
    <n v="0"/>
    <n v="0"/>
    <n v="0"/>
    <n v="0"/>
    <n v="0"/>
    <n v="0"/>
    <n v="0"/>
    <n v="0"/>
    <n v="0"/>
    <n v="1"/>
    <n v="100000"/>
    <s v="Yes"/>
    <s v="Yes"/>
    <s v="No"/>
    <s v="No"/>
    <s v="Yes"/>
    <s v="Yes"/>
    <s v="No"/>
    <s v="No"/>
    <s v="No"/>
    <n v="0"/>
    <n v="0"/>
    <n v="0"/>
    <s v="IBRD"/>
    <n v="0"/>
    <s v=""/>
    <s v=""/>
    <s v=""/>
    <s v=""/>
    <s v=""/>
    <s v=""/>
    <n v="0"/>
    <n v="0"/>
    <s v=""/>
    <s v=""/>
    <s v=""/>
    <s v=""/>
    <s v=""/>
    <s v="Yes"/>
    <n v="0"/>
    <n v="0"/>
    <n v="0"/>
    <n v="0"/>
    <n v="0"/>
    <n v="0"/>
    <n v="0"/>
    <s v=""/>
    <s v=""/>
    <s v=""/>
    <n v="0"/>
    <n v="0"/>
    <n v="0"/>
    <n v="0"/>
    <n v="0"/>
    <n v="0"/>
    <n v="100000"/>
    <n v="0"/>
    <n v="0"/>
    <n v="0"/>
    <n v="0"/>
    <e v="#N/A"/>
    <e v="#N/A"/>
    <s v=""/>
    <n v="0"/>
    <n v="0"/>
    <n v="0"/>
    <n v="0"/>
    <n v="0"/>
  </r>
  <r>
    <s v="ARG"/>
    <x v="3"/>
    <x v="3"/>
    <x v="2"/>
    <x v="0"/>
    <x v="1"/>
    <n v="1"/>
    <n v="115869903"/>
    <n v="22752903"/>
    <n v="45195777"/>
    <n v="13558733.1"/>
    <x v="3"/>
    <x v="0"/>
    <n v="0"/>
    <n v="0"/>
    <s v=""/>
    <n v="1"/>
    <n v="22752903"/>
    <n v="0"/>
    <n v="0"/>
    <n v="0"/>
    <n v="0"/>
    <n v="0"/>
    <n v="0"/>
    <n v="0"/>
    <n v="0"/>
    <n v="0"/>
    <n v="0"/>
    <n v="0"/>
    <s v="Yes"/>
    <s v="Yes"/>
    <s v="No"/>
    <s v="No"/>
    <s v="Yes"/>
    <s v="Yes"/>
    <s v="No"/>
    <s v="No"/>
    <s v="No"/>
    <n v="0"/>
    <n v="0"/>
    <n v="0"/>
    <s v="IBRD"/>
    <n v="0"/>
    <s v=""/>
    <s v=""/>
    <s v=""/>
    <s v=""/>
    <s v=""/>
    <s v=""/>
    <n v="0"/>
    <n v="0"/>
    <s v=""/>
    <s v=""/>
    <s v=""/>
    <s v=""/>
    <s v=""/>
    <n v="0"/>
    <n v="0"/>
    <n v="0"/>
    <n v="0"/>
    <n v="0"/>
    <n v="0"/>
    <s v="Yes"/>
    <s v="Loan"/>
    <n v="115869903"/>
    <n v="93117000"/>
    <n v="22752903"/>
    <n v="0"/>
    <n v="0"/>
    <n v="0"/>
    <n v="0"/>
    <n v="0"/>
    <n v="0"/>
    <n v="0"/>
    <n v="0"/>
    <n v="0"/>
    <n v="0"/>
    <n v="0"/>
    <e v="#N/A"/>
    <e v="#N/A"/>
    <s v=""/>
    <n v="0"/>
    <n v="0"/>
    <n v="0"/>
    <n v="0"/>
    <n v="0"/>
  </r>
  <r>
    <s v="ARM"/>
    <x v="4"/>
    <x v="2"/>
    <x v="2"/>
    <x v="0"/>
    <x v="1"/>
    <n v="2"/>
    <n v="1600000"/>
    <n v="1600000"/>
    <n v="2963234"/>
    <n v="888970.2"/>
    <x v="4"/>
    <x v="1"/>
    <n v="1"/>
    <n v="0"/>
    <s v=""/>
    <n v="0"/>
    <n v="0"/>
    <n v="0"/>
    <n v="0"/>
    <n v="0"/>
    <n v="0"/>
    <n v="1"/>
    <n v="1500000"/>
    <n v="0"/>
    <n v="0"/>
    <n v="0"/>
    <n v="1"/>
    <n v="100000"/>
    <s v="Yes"/>
    <s v="Yes"/>
    <s v="No"/>
    <s v="No"/>
    <s v="Yes"/>
    <s v="Yes"/>
    <s v="No"/>
    <s v="No"/>
    <s v="No"/>
    <n v="0"/>
    <n v="0"/>
    <n v="0"/>
    <s v="IBRD"/>
    <n v="0"/>
    <s v=""/>
    <s v=""/>
    <s v=""/>
    <s v=""/>
    <s v=""/>
    <s v=""/>
    <n v="0"/>
    <n v="0"/>
    <s v=""/>
    <s v=""/>
    <s v=""/>
    <s v=""/>
    <s v=""/>
    <n v="0"/>
    <n v="0"/>
    <n v="0"/>
    <n v="0"/>
    <n v="0"/>
    <n v="0"/>
    <n v="0"/>
    <n v="0"/>
    <s v=""/>
    <s v=""/>
    <s v=""/>
    <n v="0"/>
    <n v="0"/>
    <n v="0"/>
    <n v="0"/>
    <n v="1500000"/>
    <n v="0"/>
    <n v="100000"/>
    <n v="0"/>
    <n v="0"/>
    <n v="0"/>
    <n v="0"/>
    <e v="#N/A"/>
    <e v="#N/A"/>
    <s v=""/>
    <n v="0"/>
    <n v="0"/>
    <n v="0"/>
    <n v="0"/>
    <n v="0"/>
  </r>
  <r>
    <s v="ATG"/>
    <x v="5"/>
    <x v="3"/>
    <x v="3"/>
    <x v="1"/>
    <x v="1"/>
    <n v="0"/>
    <n v="0"/>
    <n v="0"/>
    <n v="97928"/>
    <n v="29378.399999999998"/>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AZE"/>
    <x v="6"/>
    <x v="2"/>
    <x v="2"/>
    <x v="0"/>
    <x v="1"/>
    <n v="2"/>
    <n v="1100000"/>
    <n v="1100000"/>
    <n v="10139175"/>
    <n v="3041752.5"/>
    <x v="6"/>
    <x v="1"/>
    <n v="1"/>
    <n v="0"/>
    <s v=""/>
    <n v="0"/>
    <n v="0"/>
    <n v="0"/>
    <n v="0"/>
    <n v="0"/>
    <n v="0"/>
    <n v="1"/>
    <n v="1000000"/>
    <n v="0"/>
    <n v="0"/>
    <n v="0"/>
    <n v="1"/>
    <n v="100000"/>
    <s v="Yes"/>
    <s v="Yes"/>
    <s v="No"/>
    <s v="No"/>
    <s v="Yes"/>
    <s v="Yes"/>
    <s v="No"/>
    <s v="No"/>
    <s v="No"/>
    <s v="N/A"/>
    <n v="0"/>
    <n v="0"/>
    <s v="IBRD"/>
    <n v="0"/>
    <s v=""/>
    <s v=""/>
    <s v=""/>
    <s v=""/>
    <s v=""/>
    <s v=""/>
    <s v="Yes"/>
    <n v="0"/>
    <s v=""/>
    <s v=""/>
    <s v=""/>
    <s v=""/>
    <s v=""/>
    <s v="Yes"/>
    <n v="0"/>
    <n v="0"/>
    <n v="0"/>
    <n v="0"/>
    <n v="0"/>
    <n v="0"/>
    <n v="0"/>
    <s v=""/>
    <s v=""/>
    <s v=""/>
    <n v="0"/>
    <n v="0"/>
    <n v="0"/>
    <n v="0"/>
    <n v="1000000"/>
    <n v="0"/>
    <n v="100000"/>
    <n v="0"/>
    <n v="0"/>
    <n v="0"/>
    <n v="0"/>
    <e v="#N/A"/>
    <e v="#N/A"/>
    <s v=""/>
    <n v="0"/>
    <n v="0"/>
    <n v="0"/>
    <n v="0"/>
    <n v="0"/>
  </r>
  <r>
    <s v="BDI"/>
    <x v="7"/>
    <x v="1"/>
    <x v="0"/>
    <x v="0"/>
    <x v="0"/>
    <n v="2"/>
    <n v="1371835"/>
    <n v="1371835"/>
    <n v="11890781"/>
    <n v="3567234.3"/>
    <x v="7"/>
    <x v="1"/>
    <n v="1"/>
    <n v="0"/>
    <s v=""/>
    <n v="0"/>
    <n v="0"/>
    <n v="0"/>
    <n v="0"/>
    <n v="0"/>
    <n v="0"/>
    <n v="1"/>
    <n v="1000000"/>
    <n v="0"/>
    <n v="1"/>
    <n v="371835"/>
    <n v="0"/>
    <n v="0"/>
    <s v="No"/>
    <s v="No"/>
    <s v="No"/>
    <s v="Yes"/>
    <s v="No"/>
    <s v="Yes"/>
    <s v="Yes"/>
    <s v="Yes"/>
    <s v="Yes"/>
    <s v="…"/>
    <n v="0"/>
    <n v="0"/>
    <s v="IDA"/>
    <n v="0"/>
    <s v=""/>
    <s v=""/>
    <s v=""/>
    <s v=""/>
    <s v=""/>
    <s v=""/>
    <n v="0"/>
    <n v="0"/>
    <s v=""/>
    <s v=""/>
    <s v=""/>
    <s v=""/>
    <s v=""/>
    <n v="0"/>
    <n v="0"/>
    <n v="0"/>
    <s v="Yes"/>
    <n v="0"/>
    <n v="0"/>
    <n v="0"/>
    <n v="0"/>
    <s v=""/>
    <s v=""/>
    <s v=""/>
    <n v="0"/>
    <n v="0"/>
    <n v="0"/>
    <n v="0"/>
    <n v="1000000"/>
    <n v="0"/>
    <n v="0"/>
    <n v="185976"/>
    <n v="185859"/>
    <n v="0"/>
    <n v="0"/>
    <s v="N/A"/>
    <s v=" $-   "/>
    <s v="GAVI"/>
    <n v="0"/>
    <n v="0"/>
    <n v="0"/>
    <n v="0"/>
    <n v="0"/>
  </r>
  <r>
    <s v="BEN"/>
    <x v="8"/>
    <x v="4"/>
    <x v="1"/>
    <x v="0"/>
    <x v="0"/>
    <n v="4"/>
    <n v="51105168"/>
    <n v="6805168"/>
    <n v="12123198"/>
    <n v="3636959.4"/>
    <x v="8"/>
    <x v="0"/>
    <n v="1"/>
    <n v="1"/>
    <n v="5000000"/>
    <n v="0"/>
    <n v="0"/>
    <n v="0"/>
    <n v="0"/>
    <n v="1"/>
    <n v="19300000"/>
    <n v="1"/>
    <n v="1000000"/>
    <n v="0"/>
    <n v="1"/>
    <n v="240933"/>
    <n v="1"/>
    <n v="564235"/>
    <s v="No"/>
    <s v="No"/>
    <s v="No"/>
    <s v="Yes"/>
    <s v="No"/>
    <s v="Yes"/>
    <s v="Yes"/>
    <s v="Yes"/>
    <s v="No"/>
    <s v="Moderate"/>
    <n v="0"/>
    <n v="0"/>
    <s v="IDA"/>
    <s v="Approved"/>
    <n v="30000000"/>
    <n v="15000000"/>
    <n v="15000000"/>
    <n v="25000000"/>
    <n v="5000000"/>
    <n v="0"/>
    <n v="0"/>
    <n v="0"/>
    <s v=""/>
    <s v=""/>
    <s v=""/>
    <s v=""/>
    <s v=""/>
    <s v="Yes"/>
    <s v="Requested"/>
    <n v="19300000"/>
    <s v="Yes"/>
    <n v="0"/>
    <n v="0"/>
    <n v="0"/>
    <n v="0"/>
    <s v=""/>
    <s v=""/>
    <s v=""/>
    <n v="0"/>
    <n v="0"/>
    <n v="0"/>
    <n v="0"/>
    <n v="1000000"/>
    <n v="0"/>
    <n v="564235"/>
    <n v="98496"/>
    <n v="142437"/>
    <n v="0"/>
    <n v="0"/>
    <s v="Yes"/>
    <s v=" $-   "/>
    <s v="GAVI"/>
    <n v="0"/>
    <n v="0"/>
    <n v="0"/>
    <n v="0"/>
    <n v="0"/>
  </r>
  <r>
    <s v="BFA"/>
    <x v="9"/>
    <x v="4"/>
    <x v="0"/>
    <x v="0"/>
    <x v="0"/>
    <n v="2"/>
    <n v="2369672"/>
    <n v="2369672"/>
    <n v="20903278"/>
    <n v="6270983.3999999994"/>
    <x v="9"/>
    <x v="1"/>
    <n v="1"/>
    <n v="0"/>
    <s v=""/>
    <n v="0"/>
    <n v="0"/>
    <n v="0"/>
    <n v="0"/>
    <n v="0"/>
    <n v="0"/>
    <n v="1"/>
    <n v="1000000"/>
    <n v="0"/>
    <n v="1"/>
    <n v="1369672"/>
    <n v="0"/>
    <n v="0"/>
    <s v="No"/>
    <s v="No"/>
    <s v="No"/>
    <s v="Yes"/>
    <s v="No"/>
    <s v="Yes"/>
    <s v="Yes"/>
    <s v="Yes"/>
    <s v="Yes"/>
    <s v="Moderate"/>
    <n v="0"/>
    <n v="0"/>
    <s v="IDA"/>
    <n v="0"/>
    <s v=""/>
    <s v=""/>
    <s v=""/>
    <s v=""/>
    <s v=""/>
    <s v=""/>
    <n v="0"/>
    <n v="0"/>
    <s v=""/>
    <s v=""/>
    <s v=""/>
    <s v=""/>
    <s v=""/>
    <s v="Yes"/>
    <n v="0"/>
    <n v="0"/>
    <n v="0"/>
    <n v="0"/>
    <n v="0"/>
    <n v="0"/>
    <n v="0"/>
    <s v=""/>
    <s v=""/>
    <s v=""/>
    <n v="0"/>
    <n v="0"/>
    <n v="0"/>
    <n v="0"/>
    <n v="1000000"/>
    <n v="0"/>
    <n v="0"/>
    <n v="415800"/>
    <n v="398040"/>
    <n v="0"/>
    <n v="0"/>
    <s v="Yes"/>
    <n v="555832"/>
    <s v="GAVI"/>
    <n v="0"/>
    <n v="0"/>
    <n v="0"/>
    <n v="0"/>
    <n v="0"/>
  </r>
  <r>
    <s v="BGD"/>
    <x v="10"/>
    <x v="0"/>
    <x v="1"/>
    <x v="0"/>
    <x v="0"/>
    <n v="4"/>
    <n v="1478617136"/>
    <n v="93017136"/>
    <n v="164689383"/>
    <n v="49406814.899999999"/>
    <x v="10"/>
    <x v="0"/>
    <n v="1"/>
    <n v="1"/>
    <n v="87700000"/>
    <n v="0"/>
    <n v="0"/>
    <n v="0"/>
    <n v="0"/>
    <n v="1"/>
    <n v="33299999.999999996"/>
    <n v="1"/>
    <n v="1092811"/>
    <n v="0"/>
    <n v="1"/>
    <n v="3224325"/>
    <n v="1"/>
    <n v="1000000"/>
    <s v="No"/>
    <s v="No"/>
    <s v="No"/>
    <s v="Yes"/>
    <s v="No"/>
    <s v="Yes"/>
    <s v="Yes"/>
    <s v="Yes"/>
    <s v="No"/>
    <s v="Low"/>
    <n v="0"/>
    <n v="0"/>
    <s v="IDA"/>
    <s v="Approved"/>
    <n v="500000000"/>
    <n v="500000000"/>
    <n v="0"/>
    <n v="412300000"/>
    <n v="87700000"/>
    <n v="0"/>
    <s v="Yes"/>
    <s v="Approved"/>
    <s v="Loan"/>
    <n v="940000000"/>
    <n v="893080000"/>
    <n v="0"/>
    <n v="46919999.999999963"/>
    <s v="Yes"/>
    <s v="Requested"/>
    <n v="33299999.999999996"/>
    <n v="0"/>
    <n v="0"/>
    <n v="0"/>
    <n v="0"/>
    <n v="0"/>
    <s v=""/>
    <s v=""/>
    <s v=""/>
    <n v="0"/>
    <n v="0"/>
    <n v="0"/>
    <n v="0"/>
    <n v="1092811"/>
    <n v="0"/>
    <n v="1000000"/>
    <n v="352620"/>
    <n v="389427"/>
    <n v="0"/>
    <n v="0"/>
    <s v="Yes"/>
    <n v="2482278"/>
    <s v="GAVI"/>
    <n v="0"/>
    <n v="0"/>
    <n v="0"/>
    <n v="0"/>
    <n v="0"/>
  </r>
  <r>
    <s v="BGR"/>
    <x v="11"/>
    <x v="2"/>
    <x v="2"/>
    <x v="0"/>
    <x v="1"/>
    <n v="0"/>
    <n v="0"/>
    <n v="0"/>
    <n v="6948445"/>
    <n v="2084533.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BIH"/>
    <x v="12"/>
    <x v="2"/>
    <x v="2"/>
    <x v="0"/>
    <x v="1"/>
    <n v="1"/>
    <n v="200000"/>
    <n v="200000"/>
    <n v="3280815"/>
    <n v="984244.5"/>
    <x v="11"/>
    <x v="1"/>
    <n v="1"/>
    <n v="0"/>
    <s v=""/>
    <n v="0"/>
    <n v="0"/>
    <n v="0"/>
    <n v="0"/>
    <n v="0"/>
    <n v="0"/>
    <n v="0"/>
    <n v="0"/>
    <n v="0"/>
    <n v="0"/>
    <n v="0"/>
    <n v="1"/>
    <n v="200000"/>
    <s v="Yes"/>
    <s v="Yes"/>
    <s v="No"/>
    <s v="No"/>
    <s v="Yes"/>
    <s v="Yes"/>
    <s v="No"/>
    <s v="No"/>
    <s v="No"/>
    <s v="N/A"/>
    <n v="0"/>
    <n v="0"/>
    <s v="IBRD"/>
    <n v="0"/>
    <s v=""/>
    <s v=""/>
    <s v=""/>
    <s v=""/>
    <s v=""/>
    <s v=""/>
    <n v="0"/>
    <n v="0"/>
    <s v=""/>
    <s v=""/>
    <s v=""/>
    <s v=""/>
    <s v=""/>
    <n v="0"/>
    <n v="0"/>
    <n v="0"/>
    <n v="0"/>
    <n v="0"/>
    <n v="0"/>
    <n v="0"/>
    <n v="0"/>
    <s v=""/>
    <s v=""/>
    <s v=""/>
    <n v="0"/>
    <n v="0"/>
    <n v="0"/>
    <n v="0"/>
    <n v="0"/>
    <n v="0"/>
    <n v="200000"/>
    <n v="0"/>
    <n v="0"/>
    <n v="0"/>
    <n v="0"/>
    <e v="#N/A"/>
    <e v="#N/A"/>
    <s v=""/>
    <n v="0"/>
    <n v="0"/>
    <n v="0"/>
    <n v="0"/>
    <n v="0"/>
  </r>
  <r>
    <s v="BLR"/>
    <x v="13"/>
    <x v="2"/>
    <x v="2"/>
    <x v="0"/>
    <x v="1"/>
    <n v="0"/>
    <n v="0"/>
    <n v="0"/>
    <n v="9449321"/>
    <n v="2834796.3"/>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BLZ"/>
    <x v="14"/>
    <x v="3"/>
    <x v="1"/>
    <x v="1"/>
    <x v="1"/>
    <n v="1"/>
    <n v="5507510"/>
    <n v="2922505"/>
    <n v="397621"/>
    <n v="119286.29999999999"/>
    <x v="12"/>
    <x v="0"/>
    <n v="0"/>
    <n v="0"/>
    <s v=""/>
    <n v="1"/>
    <n v="2922505"/>
    <n v="0"/>
    <n v="0"/>
    <n v="0"/>
    <n v="0"/>
    <n v="0"/>
    <n v="0"/>
    <n v="0"/>
    <n v="0"/>
    <n v="0"/>
    <n v="0"/>
    <n v="0"/>
    <s v="Yes"/>
    <s v="Yes"/>
    <s v="No"/>
    <s v="No"/>
    <s v="Yes"/>
    <s v="Yes"/>
    <s v="No"/>
    <s v="No"/>
    <s v="No"/>
    <s v="N/A"/>
    <s v="Yes"/>
    <n v="0"/>
    <s v="IBRD"/>
    <n v="0"/>
    <s v=""/>
    <s v=""/>
    <s v=""/>
    <s v=""/>
    <s v=""/>
    <s v=""/>
    <n v="0"/>
    <n v="0"/>
    <s v=""/>
    <s v=""/>
    <s v=""/>
    <s v=""/>
    <s v=""/>
    <n v="0"/>
    <n v="0"/>
    <n v="0"/>
    <n v="0"/>
    <n v="0"/>
    <n v="0"/>
    <s v="Yes"/>
    <s v="Blend"/>
    <n v="5507510"/>
    <n v="2585005"/>
    <n v="2922505"/>
    <n v="0"/>
    <n v="0"/>
    <n v="0"/>
    <n v="0"/>
    <n v="0"/>
    <n v="0"/>
    <n v="0"/>
    <n v="0"/>
    <n v="0"/>
    <n v="0"/>
    <n v="0"/>
    <e v="#N/A"/>
    <e v="#N/A"/>
    <s v=""/>
    <n v="0"/>
    <n v="0"/>
    <n v="0"/>
    <n v="0"/>
    <n v="0"/>
  </r>
  <r>
    <s v="BOL"/>
    <x v="15"/>
    <x v="3"/>
    <x v="1"/>
    <x v="0"/>
    <x v="0"/>
    <n v="2"/>
    <n v="783036"/>
    <n v="783036"/>
    <n v="11673029"/>
    <n v="3501908.6999999997"/>
    <x v="13"/>
    <x v="1"/>
    <n v="1"/>
    <n v="0"/>
    <s v=""/>
    <n v="0"/>
    <n v="0"/>
    <n v="0"/>
    <n v="0"/>
    <n v="0"/>
    <n v="0"/>
    <n v="0"/>
    <n v="0"/>
    <n v="0"/>
    <n v="1"/>
    <n v="383036"/>
    <n v="1"/>
    <n v="400000"/>
    <s v="Yes"/>
    <s v="Yes"/>
    <s v="No"/>
    <s v="No"/>
    <s v="Yes"/>
    <s v="Yes"/>
    <s v="Yes"/>
    <s v="No"/>
    <s v="No"/>
    <s v="N/A"/>
    <s v="Yes"/>
    <n v="0"/>
    <s v="IBRD"/>
    <n v="0"/>
    <s v=""/>
    <s v=""/>
    <s v=""/>
    <s v=""/>
    <s v=""/>
    <s v=""/>
    <n v="0"/>
    <n v="0"/>
    <s v=""/>
    <s v=""/>
    <s v=""/>
    <s v=""/>
    <s v=""/>
    <n v="0"/>
    <n v="0"/>
    <n v="0"/>
    <n v="0"/>
    <n v="0"/>
    <n v="0"/>
    <s v="Yes"/>
    <n v="0"/>
    <s v=""/>
    <s v=""/>
    <s v=""/>
    <n v="0"/>
    <n v="0"/>
    <n v="0"/>
    <n v="0"/>
    <n v="0"/>
    <n v="0"/>
    <n v="400000"/>
    <n v="0"/>
    <n v="100000"/>
    <n v="0"/>
    <n v="0"/>
    <s v="Yes"/>
    <n v="283036"/>
    <s v="UNICEF"/>
    <n v="0"/>
    <n v="0"/>
    <n v="0"/>
    <n v="0"/>
    <n v="0"/>
  </r>
  <r>
    <s v="BRA"/>
    <x v="16"/>
    <x v="3"/>
    <x v="2"/>
    <x v="0"/>
    <x v="1"/>
    <n v="1"/>
    <n v="500000"/>
    <n v="500000"/>
    <n v="212559409"/>
    <n v="63767822.699999996"/>
    <x v="14"/>
    <x v="1"/>
    <n v="1"/>
    <n v="0"/>
    <s v=""/>
    <n v="0"/>
    <n v="0"/>
    <n v="0"/>
    <n v="0"/>
    <n v="0"/>
    <n v="0"/>
    <n v="0"/>
    <n v="0"/>
    <n v="0"/>
    <n v="0"/>
    <n v="0"/>
    <n v="1"/>
    <n v="500000"/>
    <s v="Yes"/>
    <s v="Yes"/>
    <s v="No"/>
    <s v="No"/>
    <s v="Yes"/>
    <s v="Yes"/>
    <s v="No"/>
    <s v="No"/>
    <s v="No"/>
    <s v="N/A"/>
    <n v="0"/>
    <n v="0"/>
    <s v="IBRD"/>
    <n v="0"/>
    <s v=""/>
    <s v=""/>
    <s v=""/>
    <s v=""/>
    <s v=""/>
    <s v=""/>
    <n v="0"/>
    <n v="0"/>
    <s v=""/>
    <s v=""/>
    <s v=""/>
    <s v=""/>
    <s v=""/>
    <n v="0"/>
    <n v="0"/>
    <n v="0"/>
    <n v="0"/>
    <n v="0"/>
    <n v="0"/>
    <s v="Yes"/>
    <n v="0"/>
    <s v=""/>
    <s v=""/>
    <s v=""/>
    <n v="0"/>
    <n v="0"/>
    <n v="0"/>
    <n v="0"/>
    <n v="0"/>
    <n v="0"/>
    <n v="500000"/>
    <n v="0"/>
    <n v="0"/>
    <n v="0"/>
    <n v="0"/>
    <e v="#N/A"/>
    <e v="#N/A"/>
    <s v=""/>
    <n v="0"/>
    <n v="0"/>
    <n v="0"/>
    <n v="0"/>
    <n v="0"/>
  </r>
  <r>
    <s v="BTN"/>
    <x v="17"/>
    <x v="0"/>
    <x v="1"/>
    <x v="0"/>
    <x v="0"/>
    <n v="3"/>
    <n v="1800619"/>
    <n v="1800619"/>
    <n v="771612"/>
    <n v="231483.6"/>
    <x v="15"/>
    <x v="1"/>
    <n v="1"/>
    <n v="0"/>
    <s v=""/>
    <n v="0"/>
    <n v="0"/>
    <n v="0"/>
    <n v="0"/>
    <n v="0"/>
    <n v="0"/>
    <n v="1"/>
    <n v="1617269"/>
    <n v="0"/>
    <n v="1"/>
    <n v="72400"/>
    <n v="1"/>
    <n v="110950"/>
    <s v="No"/>
    <s v="No"/>
    <s v="No"/>
    <s v="Yes"/>
    <s v="No"/>
    <s v="Yes"/>
    <s v="Yes"/>
    <s v="Yes"/>
    <s v="No"/>
    <s v="…"/>
    <n v="0"/>
    <n v="0"/>
    <s v="IDA"/>
    <n v="0"/>
    <s v=""/>
    <s v=""/>
    <s v=""/>
    <s v=""/>
    <s v=""/>
    <s v=""/>
    <s v="Yes"/>
    <s v="Under Preparation"/>
    <n v="0"/>
    <s v=""/>
    <s v=""/>
    <s v=""/>
    <s v=""/>
    <n v="0"/>
    <n v="0"/>
    <n v="0"/>
    <n v="0"/>
    <n v="0"/>
    <n v="0"/>
    <n v="0"/>
    <n v="0"/>
    <s v=""/>
    <s v=""/>
    <s v=""/>
    <n v="0"/>
    <n v="0"/>
    <n v="0"/>
    <n v="0"/>
    <n v="0"/>
    <n v="1617269"/>
    <n v="110950"/>
    <n v="32400"/>
    <n v="40000"/>
    <n v="0"/>
    <n v="0"/>
    <s v="Yes"/>
    <s v=" $-   "/>
    <s v="UNICEF"/>
    <n v="0"/>
    <n v="0"/>
    <n v="0"/>
    <n v="0"/>
    <n v="0"/>
  </r>
  <r>
    <s v="BWA"/>
    <x v="18"/>
    <x v="1"/>
    <x v="2"/>
    <x v="0"/>
    <x v="1"/>
    <n v="1"/>
    <n v="2000000"/>
    <n v="2000000"/>
    <n v="2351625"/>
    <n v="705487.5"/>
    <x v="16"/>
    <x v="1"/>
    <n v="1"/>
    <n v="0"/>
    <s v=""/>
    <n v="0"/>
    <n v="0"/>
    <n v="0"/>
    <n v="0"/>
    <n v="0"/>
    <n v="0"/>
    <n v="1"/>
    <n v="2000000"/>
    <n v="0"/>
    <n v="0"/>
    <n v="0"/>
    <n v="0"/>
    <n v="0"/>
    <s v="Yes"/>
    <s v="Yes"/>
    <s v="No"/>
    <s v="No"/>
    <s v="Yes"/>
    <s v="Yes"/>
    <s v="No"/>
    <s v="No"/>
    <s v="No"/>
    <n v="0"/>
    <n v="0"/>
    <n v="0"/>
    <s v="IBRD"/>
    <n v="0"/>
    <s v=""/>
    <s v=""/>
    <s v=""/>
    <s v=""/>
    <s v=""/>
    <s v=""/>
    <n v="0"/>
    <n v="0"/>
    <s v=""/>
    <s v=""/>
    <s v=""/>
    <s v=""/>
    <s v=""/>
    <n v="0"/>
    <n v="0"/>
    <n v="0"/>
    <s v="Yes"/>
    <n v="0"/>
    <n v="0"/>
    <n v="0"/>
    <n v="0"/>
    <s v=""/>
    <s v=""/>
    <s v=""/>
    <n v="0"/>
    <n v="0"/>
    <s v="Under Preparation"/>
    <n v="0"/>
    <n v="2000000"/>
    <n v="0"/>
    <n v="0"/>
    <n v="0"/>
    <n v="0"/>
    <n v="0"/>
    <n v="0"/>
    <e v="#N/A"/>
    <e v="#N/A"/>
    <s v=""/>
    <n v="0"/>
    <n v="0"/>
    <n v="0"/>
    <n v="0"/>
    <n v="0"/>
  </r>
  <r>
    <s v="CAF"/>
    <x v="19"/>
    <x v="4"/>
    <x v="0"/>
    <x v="0"/>
    <x v="0"/>
    <n v="0"/>
    <n v="0"/>
    <n v="0"/>
    <n v="37742157"/>
    <n v="11322647.1"/>
    <x v="5"/>
    <x v="1"/>
    <n v="0"/>
    <n v="0"/>
    <s v=""/>
    <n v="0"/>
    <n v="0"/>
    <n v="0"/>
    <n v="0"/>
    <n v="0"/>
    <n v="0"/>
    <n v="0"/>
    <n v="0"/>
    <n v="0"/>
    <n v="0"/>
    <n v="0"/>
    <n v="0"/>
    <n v="0"/>
    <s v="No"/>
    <s v="No"/>
    <s v="No"/>
    <s v="Yes"/>
    <s v="No"/>
    <s v="Yes"/>
    <s v="Yes"/>
    <s v="Yes"/>
    <s v="Yes"/>
    <s v="High"/>
    <n v="0"/>
    <n v="0"/>
    <s v="IDA"/>
    <n v="0"/>
    <s v=""/>
    <s v=""/>
    <s v=""/>
    <s v=""/>
    <s v=""/>
    <s v=""/>
    <n v="0"/>
    <n v="0"/>
    <s v=""/>
    <s v=""/>
    <s v=""/>
    <s v=""/>
    <s v=""/>
    <n v="0"/>
    <n v="0"/>
    <n v="0"/>
    <s v="Yes"/>
    <n v="0"/>
    <n v="0"/>
    <n v="0"/>
    <n v="0"/>
    <s v=""/>
    <s v=""/>
    <s v=""/>
    <s v="Yes"/>
    <n v="500000"/>
    <n v="0"/>
    <n v="0"/>
    <n v="0"/>
    <n v="0"/>
    <n v="0"/>
    <n v="421384"/>
    <n v="557042"/>
    <n v="0"/>
    <n v="0"/>
    <e v="#N/A"/>
    <e v="#N/A"/>
    <s v="GAVI"/>
    <n v="0"/>
    <n v="0"/>
    <n v="0"/>
    <n v="0"/>
    <n v="0"/>
  </r>
  <r>
    <s v="CHL"/>
    <x v="20"/>
    <x v="3"/>
    <x v="3"/>
    <x v="0"/>
    <x v="1"/>
    <n v="0"/>
    <n v="0"/>
    <n v="0"/>
    <n v="19116209"/>
    <n v="5734862.7000000002"/>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n v="0"/>
    <n v="0"/>
    <n v="0"/>
    <n v="0"/>
    <n v="0"/>
    <n v="0"/>
    <n v="0"/>
    <n v="0"/>
    <e v="#N/A"/>
    <e v="#N/A"/>
    <s v=""/>
    <n v="0"/>
    <n v="0"/>
    <n v="0"/>
    <n v="200000000"/>
    <n v="0"/>
  </r>
  <r>
    <s v="CHN"/>
    <x v="21"/>
    <x v="5"/>
    <x v="2"/>
    <x v="0"/>
    <x v="1"/>
    <n v="0"/>
    <n v="0"/>
    <n v="0"/>
    <n v="1439323774"/>
    <n v="431797132.19999999"/>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CIV"/>
    <x v="22"/>
    <x v="4"/>
    <x v="1"/>
    <x v="0"/>
    <x v="0"/>
    <n v="4"/>
    <n v="105514337.2"/>
    <n v="37414337.200000003"/>
    <n v="26378275"/>
    <n v="7913482.5"/>
    <x v="17"/>
    <x v="0"/>
    <n v="1"/>
    <n v="1"/>
    <n v="31900000"/>
    <n v="0"/>
    <n v="0"/>
    <n v="0"/>
    <n v="0"/>
    <n v="0"/>
    <n v="0"/>
    <n v="1"/>
    <n v="2000000"/>
    <n v="0"/>
    <n v="1"/>
    <n v="1837282.2"/>
    <n v="1"/>
    <n v="1677055"/>
    <s v="No"/>
    <s v="No"/>
    <s v="No"/>
    <s v="Yes"/>
    <s v="No"/>
    <s v="Yes"/>
    <s v="Yes"/>
    <s v="Yes"/>
    <s v="Yes"/>
    <s v="Moderate"/>
    <s v="Yes"/>
    <n v="0"/>
    <s v="IDA"/>
    <s v="Approved"/>
    <n v="100000000"/>
    <n v="100000000"/>
    <n v="0"/>
    <n v="63000000"/>
    <n v="31900000"/>
    <n v="5100000"/>
    <n v="0"/>
    <n v="0"/>
    <s v=""/>
    <s v=""/>
    <s v=""/>
    <s v=""/>
    <s v=""/>
    <s v="Yes"/>
    <n v="0"/>
    <n v="0"/>
    <s v="Yes"/>
    <n v="0"/>
    <n v="0"/>
    <n v="0"/>
    <n v="0"/>
    <s v=""/>
    <s v=""/>
    <s v=""/>
    <n v="0"/>
    <n v="1000526"/>
    <s v="Under Preparation"/>
    <s v="Yes"/>
    <n v="2000000"/>
    <n v="0"/>
    <n v="1677055"/>
    <n v="80000"/>
    <n v="92436.2"/>
    <n v="0"/>
    <n v="0"/>
    <s v="Yes"/>
    <n v="664320"/>
    <s v="GAVI"/>
    <n v="0"/>
    <n v="0"/>
    <n v="0"/>
    <n v="0"/>
    <n v="0"/>
  </r>
  <r>
    <s v="CMR"/>
    <x v="23"/>
    <x v="4"/>
    <x v="1"/>
    <x v="0"/>
    <x v="0"/>
    <n v="2"/>
    <n v="32534401"/>
    <n v="2534401"/>
    <n v="26545864"/>
    <n v="7963759.1999999993"/>
    <x v="18"/>
    <x v="1"/>
    <n v="1"/>
    <n v="0"/>
    <s v=""/>
    <n v="0"/>
    <n v="0"/>
    <n v="0"/>
    <n v="0"/>
    <n v="1"/>
    <n v="30000000"/>
    <n v="1"/>
    <n v="1000000"/>
    <n v="0"/>
    <n v="1"/>
    <n v="1534401"/>
    <n v="0"/>
    <n v="0"/>
    <s v="No"/>
    <s v="No"/>
    <s v="Yes"/>
    <s v="Yes"/>
    <s v="No"/>
    <s v="Yes"/>
    <s v="Yes"/>
    <s v="Yes"/>
    <s v="Yes"/>
    <s v="High"/>
    <s v="Yes"/>
    <n v="0"/>
    <s v="Blend"/>
    <n v="0"/>
    <s v=""/>
    <s v=""/>
    <s v=""/>
    <s v=""/>
    <s v=""/>
    <s v=""/>
    <n v="0"/>
    <n v="0"/>
    <s v=""/>
    <s v=""/>
    <s v=""/>
    <s v=""/>
    <s v=""/>
    <s v="Yes"/>
    <s v="Requested"/>
    <n v="30000000"/>
    <s v="Yes"/>
    <n v="0"/>
    <n v="0"/>
    <n v="0"/>
    <n v="0"/>
    <s v=""/>
    <s v=""/>
    <s v=""/>
    <n v="0"/>
    <n v="380000"/>
    <n v="0"/>
    <s v="Yes"/>
    <n v="1000000"/>
    <n v="0"/>
    <n v="0"/>
    <n v="134941"/>
    <n v="328692"/>
    <n v="0"/>
    <n v="0"/>
    <s v="Yes"/>
    <n v="690768"/>
    <s v="GAVI"/>
    <n v="0"/>
    <n v="0"/>
    <n v="0"/>
    <n v="0"/>
    <n v="0"/>
  </r>
  <r>
    <s v="COD"/>
    <x v="24"/>
    <x v="4"/>
    <x v="0"/>
    <x v="0"/>
    <x v="0"/>
    <n v="3"/>
    <n v="206183043"/>
    <n v="56183043"/>
    <n v="8695950"/>
    <n v="2608785"/>
    <x v="19"/>
    <x v="0"/>
    <n v="1"/>
    <n v="1"/>
    <n v="50000000"/>
    <n v="0"/>
    <n v="0"/>
    <n v="0"/>
    <n v="0"/>
    <n v="0"/>
    <n v="0"/>
    <n v="0"/>
    <n v="0"/>
    <n v="0"/>
    <n v="1"/>
    <n v="5183043"/>
    <n v="1"/>
    <n v="1000000"/>
    <s v="No"/>
    <s v="No"/>
    <s v="No"/>
    <s v="Yes"/>
    <s v="No"/>
    <s v="Yes"/>
    <s v="Yes"/>
    <s v="Yes"/>
    <s v="Yes"/>
    <s v="Moderate"/>
    <n v="0"/>
    <n v="0"/>
    <s v="IDA"/>
    <s v="Approved"/>
    <n v="200000000"/>
    <n v="100000000"/>
    <n v="100000000"/>
    <n v="85000000"/>
    <n v="50000000"/>
    <n v="65000000"/>
    <n v="0"/>
    <n v="0"/>
    <s v=""/>
    <s v=""/>
    <s v=""/>
    <s v=""/>
    <s v=""/>
    <n v="0"/>
    <n v="0"/>
    <n v="0"/>
    <s v="Yes"/>
    <n v="0"/>
    <n v="0"/>
    <n v="0"/>
    <n v="0"/>
    <s v=""/>
    <s v=""/>
    <s v=""/>
    <n v="0"/>
    <n v="2438852"/>
    <n v="0"/>
    <s v="Yes"/>
    <n v="0"/>
    <n v="0"/>
    <n v="1000000"/>
    <n v="494316"/>
    <n v="512667"/>
    <n v="0"/>
    <n v="0"/>
    <s v="Yes"/>
    <n v="1737208"/>
    <s v="GAVI"/>
    <n v="0"/>
    <n v="0"/>
    <n v="0"/>
    <n v="0"/>
    <n v="0"/>
  </r>
  <r>
    <s v="COG"/>
    <x v="25"/>
    <x v="4"/>
    <x v="1"/>
    <x v="0"/>
    <x v="0"/>
    <n v="2"/>
    <n v="12551190"/>
    <n v="3571190"/>
    <n v="5518092"/>
    <n v="1655427.5999999999"/>
    <x v="20"/>
    <x v="0"/>
    <n v="1"/>
    <n v="1"/>
    <n v="3020000"/>
    <n v="0"/>
    <n v="0"/>
    <n v="0"/>
    <n v="0"/>
    <n v="0"/>
    <n v="0"/>
    <n v="0"/>
    <n v="0"/>
    <n v="0"/>
    <n v="1"/>
    <n v="551190"/>
    <n v="0"/>
    <n v="0"/>
    <s v="No"/>
    <s v="No"/>
    <s v="Yes"/>
    <s v="Yes"/>
    <s v="No"/>
    <s v="Yes"/>
    <s v="Yes"/>
    <s v="Yes"/>
    <s v="Yes"/>
    <s v="In distress"/>
    <n v="0"/>
    <n v="0"/>
    <s v="Blend"/>
    <s v="Approved"/>
    <n v="12000000"/>
    <n v="12000000"/>
    <n v="0"/>
    <n v="7060000"/>
    <n v="3020000"/>
    <n v="1920000"/>
    <n v="0"/>
    <n v="0"/>
    <s v=""/>
    <s v=""/>
    <s v=""/>
    <s v=""/>
    <s v=""/>
    <n v="0"/>
    <n v="0"/>
    <n v="0"/>
    <n v="0"/>
    <n v="0"/>
    <n v="0"/>
    <n v="0"/>
    <n v="0"/>
    <s v=""/>
    <s v=""/>
    <s v=""/>
    <n v="0"/>
    <n v="0"/>
    <n v="0"/>
    <s v="Yes"/>
    <n v="0"/>
    <n v="0"/>
    <n v="0"/>
    <n v="167400"/>
    <n v="203300"/>
    <n v="0"/>
    <n v="0"/>
    <s v="Yes"/>
    <n v="180490"/>
    <s v="GAVI"/>
    <n v="0"/>
    <n v="0"/>
    <n v="0"/>
    <n v="0"/>
    <n v="0"/>
  </r>
  <r>
    <s v="COK"/>
    <x v="26"/>
    <x v="5"/>
    <x v="4"/>
    <x v="1"/>
    <x v="1"/>
    <n v="0"/>
    <n v="0"/>
    <n v="0"/>
    <n v="17564"/>
    <n v="5269.2"/>
    <x v="5"/>
    <x v="1"/>
    <n v="0"/>
    <n v="0"/>
    <s v=""/>
    <n v="0"/>
    <n v="0"/>
    <n v="0"/>
    <n v="0"/>
    <n v="0"/>
    <n v="0"/>
    <n v="0"/>
    <n v="0"/>
    <n v="0"/>
    <n v="0"/>
    <n v="0"/>
    <n v="0"/>
    <n v="0"/>
    <s v="No"/>
    <s v="No"/>
    <s v="No"/>
    <s v="No"/>
    <s v="No"/>
    <s v="Yes"/>
    <s v="No"/>
    <s v="No"/>
    <s v="No"/>
    <s v="N/A"/>
    <s v="Yes"/>
    <n v="0"/>
    <n v="0"/>
    <n v="0"/>
    <s v=""/>
    <s v=""/>
    <s v=""/>
    <s v=""/>
    <s v=""/>
    <s v=""/>
    <s v="Yes"/>
    <n v="0"/>
    <s v=""/>
    <s v=""/>
    <s v=""/>
    <s v=""/>
    <s v=""/>
    <n v="0"/>
    <n v="0"/>
    <n v="0"/>
    <n v="0"/>
    <n v="0"/>
    <n v="0"/>
    <n v="0"/>
    <n v="0"/>
    <s v=""/>
    <s v=""/>
    <s v=""/>
    <n v="0"/>
    <n v="0"/>
    <n v="0"/>
    <n v="0"/>
    <n v="0"/>
    <s v="Yes"/>
    <n v="0"/>
    <n v="0"/>
    <n v="0"/>
    <n v="0"/>
    <n v="0"/>
    <e v="#N/A"/>
    <e v="#N/A"/>
    <s v=""/>
    <n v="0"/>
    <n v="0"/>
    <n v="0"/>
    <n v="0"/>
    <n v="0"/>
  </r>
  <r>
    <s v="COL"/>
    <x v="27"/>
    <x v="3"/>
    <x v="2"/>
    <x v="0"/>
    <x v="1"/>
    <n v="1"/>
    <n v="4000000"/>
    <n v="4000000"/>
    <n v="50882884"/>
    <n v="15264865.199999999"/>
    <x v="21"/>
    <x v="1"/>
    <n v="1"/>
    <n v="0"/>
    <s v=""/>
    <n v="0"/>
    <n v="0"/>
    <n v="0"/>
    <n v="0"/>
    <n v="0"/>
    <n v="0"/>
    <n v="1"/>
    <n v="4000000"/>
    <n v="0"/>
    <n v="0"/>
    <n v="0"/>
    <n v="0"/>
    <n v="0"/>
    <s v="Yes"/>
    <s v="Yes"/>
    <s v="No"/>
    <s v="No"/>
    <s v="Yes"/>
    <s v="Yes"/>
    <s v="No"/>
    <s v="No"/>
    <s v="No"/>
    <n v="0"/>
    <n v="0"/>
    <n v="0"/>
    <s v="IBRD"/>
    <n v="0"/>
    <s v=""/>
    <s v=""/>
    <s v=""/>
    <s v=""/>
    <s v=""/>
    <s v=""/>
    <n v="0"/>
    <n v="0"/>
    <s v=""/>
    <s v=""/>
    <s v=""/>
    <s v=""/>
    <s v=""/>
    <n v="0"/>
    <n v="0"/>
    <n v="0"/>
    <n v="0"/>
    <n v="0"/>
    <n v="0"/>
    <s v="Yes"/>
    <n v="0"/>
    <s v=""/>
    <s v=""/>
    <s v=""/>
    <n v="0"/>
    <n v="0"/>
    <n v="0"/>
    <n v="0"/>
    <n v="4000000"/>
    <n v="0"/>
    <n v="0"/>
    <n v="0"/>
    <n v="0"/>
    <n v="0"/>
    <n v="0"/>
    <e v="#N/A"/>
    <e v="#N/A"/>
    <s v=""/>
    <n v="0"/>
    <n v="0"/>
    <n v="0"/>
    <n v="0"/>
    <n v="0"/>
  </r>
  <r>
    <s v="COM"/>
    <x v="28"/>
    <x v="1"/>
    <x v="1"/>
    <x v="1"/>
    <x v="0"/>
    <n v="3"/>
    <n v="21498070"/>
    <n v="13248070"/>
    <n v="869595"/>
    <n v="260878.5"/>
    <x v="22"/>
    <x v="0"/>
    <n v="1"/>
    <n v="1"/>
    <n v="12750000"/>
    <n v="0"/>
    <n v="0"/>
    <n v="0"/>
    <n v="0"/>
    <n v="0"/>
    <n v="0"/>
    <n v="0"/>
    <n v="0"/>
    <n v="0"/>
    <n v="1"/>
    <n v="354570"/>
    <n v="1"/>
    <n v="143500"/>
    <s v="No"/>
    <s v="No"/>
    <s v="No"/>
    <s v="Yes"/>
    <s v="No"/>
    <s v="Yes"/>
    <s v="Yes"/>
    <s v="Yes"/>
    <s v="Yes"/>
    <s v="Moderate"/>
    <n v="0"/>
    <n v="0"/>
    <s v="IDA"/>
    <s v="Approved"/>
    <n v="21000000"/>
    <n v="10000000"/>
    <n v="11000000"/>
    <n v="5600000"/>
    <n v="12750000"/>
    <n v="2700000"/>
    <n v="0"/>
    <n v="0"/>
    <s v=""/>
    <s v=""/>
    <s v=""/>
    <s v=""/>
    <s v=""/>
    <n v="0"/>
    <n v="0"/>
    <n v="0"/>
    <s v="Yes"/>
    <n v="0"/>
    <n v="0"/>
    <n v="0"/>
    <n v="0"/>
    <s v=""/>
    <s v=""/>
    <s v=""/>
    <n v="0"/>
    <n v="0"/>
    <n v="0"/>
    <n v="0"/>
    <n v="0"/>
    <n v="0"/>
    <n v="143500"/>
    <n v="127980"/>
    <n v="146590"/>
    <n v="0"/>
    <n v="0"/>
    <s v="Yes"/>
    <n v="80000"/>
    <s v="GAVI"/>
    <n v="0"/>
    <n v="0"/>
    <n v="0"/>
    <n v="0"/>
    <n v="0"/>
  </r>
  <r>
    <s v="CPV"/>
    <x v="29"/>
    <x v="4"/>
    <x v="1"/>
    <x v="1"/>
    <x v="0"/>
    <n v="2"/>
    <n v="15129999.539999999"/>
    <n v="4829999.54"/>
    <n v="555988"/>
    <n v="166796.4"/>
    <x v="23"/>
    <x v="0"/>
    <n v="1"/>
    <n v="1"/>
    <n v="4700000"/>
    <n v="0"/>
    <n v="0"/>
    <n v="0"/>
    <n v="0"/>
    <n v="0"/>
    <n v="0"/>
    <n v="0"/>
    <n v="0"/>
    <n v="0"/>
    <n v="1"/>
    <n v="129999.54000000001"/>
    <n v="0"/>
    <n v="0"/>
    <s v="No"/>
    <s v="No"/>
    <s v="Yes"/>
    <s v="Yes"/>
    <s v="No"/>
    <s v="Yes"/>
    <s v="No"/>
    <s v="Yes"/>
    <s v="Yes"/>
    <s v="High"/>
    <n v="0"/>
    <n v="0"/>
    <s v="Blend"/>
    <s v="Approved"/>
    <n v="15000000"/>
    <n v="15000000"/>
    <n v="0"/>
    <n v="8600000"/>
    <n v="4700000"/>
    <n v="1700000"/>
    <n v="0"/>
    <n v="0"/>
    <s v=""/>
    <s v=""/>
    <s v=""/>
    <s v=""/>
    <s v=""/>
    <n v="0"/>
    <n v="0"/>
    <n v="0"/>
    <s v="Yes"/>
    <n v="0"/>
    <n v="0"/>
    <n v="0"/>
    <n v="0"/>
    <s v=""/>
    <s v=""/>
    <s v=""/>
    <n v="0"/>
    <n v="0"/>
    <n v="0"/>
    <n v="0"/>
    <n v="0"/>
    <n v="0"/>
    <n v="0"/>
    <n v="25000"/>
    <n v="104999.54000000001"/>
    <n v="0"/>
    <n v="0"/>
    <n v="0"/>
    <s v=" $-   "/>
    <s v="UNICEF"/>
    <n v="0"/>
    <n v="0"/>
    <n v="0"/>
    <n v="0"/>
    <n v="0"/>
  </r>
  <r>
    <s v="CRI"/>
    <x v="30"/>
    <x v="3"/>
    <x v="2"/>
    <x v="0"/>
    <x v="1"/>
    <n v="0"/>
    <n v="0"/>
    <n v="0"/>
    <n v="5094114"/>
    <n v="1528234.2"/>
    <x v="5"/>
    <x v="1"/>
    <n v="0"/>
    <n v="0"/>
    <s v=""/>
    <n v="0"/>
    <n v="0"/>
    <n v="0"/>
    <n v="0"/>
    <n v="0"/>
    <n v="0"/>
    <n v="0"/>
    <n v="0"/>
    <n v="0"/>
    <n v="0"/>
    <n v="0"/>
    <n v="0"/>
    <n v="0"/>
    <s v="Yes"/>
    <s v="Yes"/>
    <s v="No"/>
    <s v="No"/>
    <s v="Yes"/>
    <s v="Yes"/>
    <s v="No"/>
    <s v="No"/>
    <s v="No"/>
    <s v="N/A"/>
    <s v="Yes"/>
    <n v="0"/>
    <s v="IBRD"/>
    <n v="0"/>
    <s v=""/>
    <s v=""/>
    <s v=""/>
    <s v=""/>
    <s v=""/>
    <s v=""/>
    <n v="0"/>
    <n v="0"/>
    <s v=""/>
    <s v=""/>
    <s v=""/>
    <s v=""/>
    <s v=""/>
    <n v="0"/>
    <n v="0"/>
    <n v="0"/>
    <n v="0"/>
    <n v="0"/>
    <n v="0"/>
    <s v="Yes"/>
    <n v="0"/>
    <s v=""/>
    <s v=""/>
    <s v=""/>
    <n v="0"/>
    <n v="0"/>
    <n v="0"/>
    <n v="0"/>
    <n v="0"/>
    <n v="0"/>
    <n v="0"/>
    <n v="0"/>
    <n v="0"/>
    <n v="0"/>
    <n v="0"/>
    <e v="#N/A"/>
    <e v="#N/A"/>
    <s v=""/>
    <n v="0"/>
    <n v="0"/>
    <n v="0"/>
    <n v="0"/>
    <n v="0"/>
  </r>
  <r>
    <s v="CUB"/>
    <x v="31"/>
    <x v="3"/>
    <x v="2"/>
    <x v="1"/>
    <x v="1"/>
    <n v="1"/>
    <n v="200000"/>
    <n v="200000"/>
    <n v="11326616"/>
    <n v="3397984.8"/>
    <x v="24"/>
    <x v="1"/>
    <n v="1"/>
    <n v="0"/>
    <s v=""/>
    <n v="0"/>
    <n v="0"/>
    <n v="0"/>
    <n v="0"/>
    <n v="0"/>
    <n v="0"/>
    <n v="0"/>
    <n v="0"/>
    <n v="0"/>
    <n v="0"/>
    <n v="0"/>
    <n v="1"/>
    <n v="200000"/>
    <n v="0"/>
    <m/>
    <m/>
    <m/>
    <m/>
    <m/>
    <m/>
    <m/>
    <n v="0"/>
    <n v="0"/>
    <n v="0"/>
    <n v="0"/>
    <n v="0"/>
    <n v="0"/>
    <s v=""/>
    <s v=""/>
    <s v=""/>
    <s v=""/>
    <s v=""/>
    <s v=""/>
    <n v="0"/>
    <n v="0"/>
    <s v=""/>
    <s v=""/>
    <s v=""/>
    <s v=""/>
    <s v=""/>
    <n v="0"/>
    <n v="0"/>
    <n v="0"/>
    <n v="0"/>
    <n v="0"/>
    <n v="0"/>
    <n v="0"/>
    <n v="0"/>
    <s v=""/>
    <s v=""/>
    <s v=""/>
    <n v="0"/>
    <n v="0"/>
    <n v="0"/>
    <n v="0"/>
    <n v="0"/>
    <n v="0"/>
    <n v="200000"/>
    <n v="0"/>
    <n v="0"/>
    <n v="0"/>
    <n v="0"/>
    <e v="#N/A"/>
    <e v="#N/A"/>
    <s v=""/>
    <n v="0"/>
    <n v="0"/>
    <n v="0"/>
    <n v="0"/>
    <n v="0"/>
  </r>
  <r>
    <s v="DJI"/>
    <x v="32"/>
    <x v="6"/>
    <x v="1"/>
    <x v="0"/>
    <x v="0"/>
    <n v="1"/>
    <n v="371973"/>
    <n v="371973"/>
    <n v="988002"/>
    <n v="296400.59999999998"/>
    <x v="25"/>
    <x v="1"/>
    <n v="1"/>
    <n v="0"/>
    <s v=""/>
    <n v="0"/>
    <n v="0"/>
    <n v="0"/>
    <n v="0"/>
    <n v="0"/>
    <n v="0"/>
    <n v="0"/>
    <n v="0"/>
    <n v="0"/>
    <n v="1"/>
    <n v="371973"/>
    <n v="0"/>
    <n v="0"/>
    <s v="No"/>
    <s v="No"/>
    <s v="Yes"/>
    <s v="Yes"/>
    <s v="No"/>
    <s v="Yes"/>
    <s v="Yes"/>
    <s v="Yes"/>
    <s v="Yes"/>
    <s v="High"/>
    <s v="Yes"/>
    <n v="0"/>
    <s v="Blend"/>
    <n v="0"/>
    <s v=""/>
    <s v=""/>
    <s v=""/>
    <s v=""/>
    <s v=""/>
    <s v=""/>
    <s v="Yes"/>
    <n v="0"/>
    <s v=""/>
    <s v=""/>
    <s v=""/>
    <s v=""/>
    <s v=""/>
    <n v="0"/>
    <n v="0"/>
    <n v="0"/>
    <n v="0"/>
    <n v="0"/>
    <n v="0"/>
    <n v="0"/>
    <n v="0"/>
    <s v=""/>
    <s v=""/>
    <s v=""/>
    <n v="0"/>
    <n v="0"/>
    <n v="0"/>
    <s v="Yes"/>
    <n v="0"/>
    <n v="0"/>
    <n v="0"/>
    <n v="182500"/>
    <n v="189473"/>
    <n v="0"/>
    <n v="0"/>
    <n v="0"/>
    <s v=" $-   "/>
    <s v="GAVI"/>
    <n v="0"/>
    <n v="0"/>
    <n v="0"/>
    <n v="0"/>
    <n v="0"/>
  </r>
  <r>
    <s v="DMA"/>
    <x v="33"/>
    <x v="3"/>
    <x v="2"/>
    <x v="1"/>
    <x v="0"/>
    <n v="2"/>
    <n v="125000.03"/>
    <n v="125000.03"/>
    <n v="71991"/>
    <n v="21597.3"/>
    <x v="26"/>
    <x v="1"/>
    <n v="1"/>
    <n v="0"/>
    <s v=""/>
    <n v="0"/>
    <n v="0"/>
    <n v="0"/>
    <n v="0"/>
    <n v="0"/>
    <n v="0"/>
    <n v="0"/>
    <n v="0"/>
    <n v="0"/>
    <n v="1"/>
    <n v="50000.030000000006"/>
    <n v="1"/>
    <n v="75000"/>
    <s v="No"/>
    <s v="No"/>
    <s v="No"/>
    <s v="Yes"/>
    <s v="No"/>
    <s v="Yes"/>
    <s v="No"/>
    <s v="Yes"/>
    <s v="Yes"/>
    <s v="…"/>
    <n v="0"/>
    <n v="0"/>
    <s v="IDA"/>
    <n v="0"/>
    <s v=""/>
    <s v=""/>
    <s v=""/>
    <s v=""/>
    <s v=""/>
    <s v=""/>
    <s v="Yes"/>
    <n v="0"/>
    <s v=""/>
    <s v=""/>
    <s v=""/>
    <s v=""/>
    <s v=""/>
    <n v="0"/>
    <n v="0"/>
    <n v="0"/>
    <n v="0"/>
    <n v="0"/>
    <n v="0"/>
    <n v="0"/>
    <n v="0"/>
    <s v=""/>
    <s v=""/>
    <s v=""/>
    <n v="0"/>
    <n v="0"/>
    <n v="0"/>
    <n v="0"/>
    <n v="0"/>
    <n v="0"/>
    <n v="75000"/>
    <n v="0"/>
    <n v="50000.030000000006"/>
    <n v="0"/>
    <n v="0"/>
    <s v="N/A"/>
    <s v=" $-   "/>
    <s v="UNICEF"/>
    <n v="0"/>
    <n v="0"/>
    <n v="0"/>
    <n v="0"/>
    <n v="0"/>
  </r>
  <r>
    <s v="DOM"/>
    <x v="34"/>
    <x v="3"/>
    <x v="2"/>
    <x v="1"/>
    <x v="1"/>
    <n v="3"/>
    <n v="23541036"/>
    <n v="651756"/>
    <n v="10847904"/>
    <n v="3254371.1999999997"/>
    <x v="27"/>
    <x v="0"/>
    <n v="1"/>
    <n v="0"/>
    <s v=""/>
    <n v="1"/>
    <n v="360305"/>
    <n v="0"/>
    <n v="0"/>
    <n v="0"/>
    <n v="0"/>
    <n v="1"/>
    <n v="91451"/>
    <n v="0"/>
    <n v="0"/>
    <n v="0"/>
    <n v="1"/>
    <n v="200000"/>
    <s v="Yes"/>
    <s v="Yes"/>
    <s v="No"/>
    <s v="No"/>
    <s v="Yes"/>
    <s v="Yes"/>
    <s v="No"/>
    <s v="No"/>
    <s v="No"/>
    <n v="0"/>
    <n v="0"/>
    <n v="0"/>
    <s v="IBRD"/>
    <n v="0"/>
    <s v=""/>
    <s v=""/>
    <s v=""/>
    <s v=""/>
    <s v=""/>
    <s v=""/>
    <s v="Yes"/>
    <n v="0"/>
    <s v=""/>
    <s v=""/>
    <s v=""/>
    <s v=""/>
    <s v=""/>
    <s v="Yes"/>
    <n v="0"/>
    <n v="0"/>
    <n v="0"/>
    <n v="0"/>
    <n v="0"/>
    <s v="Yes"/>
    <s v="Loan"/>
    <n v="23249585"/>
    <n v="22889280"/>
    <n v="360305"/>
    <n v="0"/>
    <n v="0"/>
    <n v="0"/>
    <n v="0"/>
    <n v="91451"/>
    <n v="0"/>
    <n v="200000"/>
    <n v="0"/>
    <n v="0"/>
    <n v="0"/>
    <n v="0"/>
    <e v="#N/A"/>
    <e v="#N/A"/>
    <s v=""/>
    <n v="0"/>
    <n v="0"/>
    <n v="0"/>
    <n v="0"/>
    <n v="0"/>
  </r>
  <r>
    <s v="DZA"/>
    <x v="35"/>
    <x v="6"/>
    <x v="1"/>
    <x v="0"/>
    <x v="0"/>
    <n v="1"/>
    <n v="780370.5"/>
    <n v="780370.5"/>
    <n v="43851043"/>
    <n v="13155312.9"/>
    <x v="28"/>
    <x v="1"/>
    <n v="1"/>
    <n v="0"/>
    <s v=""/>
    <n v="0"/>
    <n v="0"/>
    <n v="0"/>
    <n v="0"/>
    <n v="0"/>
    <n v="0"/>
    <n v="0"/>
    <n v="0"/>
    <n v="0"/>
    <n v="1"/>
    <n v="780370.5"/>
    <n v="0"/>
    <n v="0"/>
    <s v="Yes"/>
    <s v="Yes"/>
    <s v="No"/>
    <s v="No"/>
    <s v="Yes"/>
    <s v="Yes"/>
    <s v="No"/>
    <s v="No"/>
    <s v="No"/>
    <s v="N/A"/>
    <n v="0"/>
    <n v="0"/>
    <s v="IBRD"/>
    <n v="0"/>
    <s v=""/>
    <s v=""/>
    <s v=""/>
    <s v=""/>
    <s v=""/>
    <s v=""/>
    <s v="Yes"/>
    <n v="0"/>
    <s v=""/>
    <s v=""/>
    <s v=""/>
    <s v=""/>
    <s v=""/>
    <n v="0"/>
    <n v="0"/>
    <n v="0"/>
    <n v="0"/>
    <n v="0"/>
    <n v="0"/>
    <n v="0"/>
    <n v="0"/>
    <s v=""/>
    <s v=""/>
    <s v=""/>
    <n v="0"/>
    <n v="0"/>
    <n v="0"/>
    <s v="Yes"/>
    <n v="0"/>
    <n v="0"/>
    <n v="0"/>
    <n v="64800"/>
    <n v="33499.5"/>
    <n v="0"/>
    <n v="0"/>
    <s v="Yes"/>
    <n v="682071"/>
    <s v="UNICEF"/>
    <n v="0"/>
    <n v="0"/>
    <n v="0"/>
    <n v="0"/>
    <n v="0"/>
  </r>
  <r>
    <s v="ECU"/>
    <x v="36"/>
    <x v="3"/>
    <x v="2"/>
    <x v="0"/>
    <x v="1"/>
    <n v="1"/>
    <n v="296698886"/>
    <n v="30100000"/>
    <n v="17643060"/>
    <n v="5292918"/>
    <x v="29"/>
    <x v="0"/>
    <n v="0"/>
    <n v="1"/>
    <n v="30100000"/>
    <n v="0"/>
    <n v="0"/>
    <n v="0"/>
    <n v="0"/>
    <n v="0"/>
    <n v="0"/>
    <n v="0"/>
    <n v="0"/>
    <n v="0"/>
    <n v="0"/>
    <n v="0"/>
    <n v="0"/>
    <n v="0"/>
    <s v="No"/>
    <s v="No"/>
    <s v="No"/>
    <s v="Yes"/>
    <s v="No"/>
    <s v="Yes"/>
    <s v="No"/>
    <s v="No"/>
    <s v="No"/>
    <s v="N/A"/>
    <n v="0"/>
    <n v="0"/>
    <s v="IDA"/>
    <s v="Approved"/>
    <n v="150000000"/>
    <n v="150000000"/>
    <n v="0"/>
    <n v="92200000"/>
    <n v="30100000"/>
    <n v="27700000"/>
    <s v="Yes"/>
    <n v="0"/>
    <s v=""/>
    <s v=""/>
    <s v=""/>
    <s v=""/>
    <s v=""/>
    <s v="Yes"/>
    <n v="0"/>
    <n v="0"/>
    <n v="0"/>
    <n v="0"/>
    <n v="0"/>
    <s v="Yes"/>
    <s v="Blend"/>
    <n v="146698886"/>
    <n v="146698886"/>
    <n v="0"/>
    <n v="0"/>
    <n v="0"/>
    <n v="0"/>
    <n v="0"/>
    <n v="0"/>
    <n v="0"/>
    <n v="0"/>
    <n v="0"/>
    <n v="0"/>
    <n v="0"/>
    <n v="0"/>
    <e v="#N/A"/>
    <e v="#N/A"/>
    <s v=""/>
    <n v="0"/>
    <n v="0"/>
    <n v="0"/>
    <n v="0"/>
    <n v="0"/>
  </r>
  <r>
    <s v="EGY"/>
    <x v="37"/>
    <x v="6"/>
    <x v="1"/>
    <x v="0"/>
    <x v="0"/>
    <n v="3"/>
    <n v="4579788"/>
    <n v="4579788"/>
    <n v="102334403"/>
    <n v="30700320.899999999"/>
    <x v="30"/>
    <x v="1"/>
    <n v="1"/>
    <n v="0"/>
    <s v=""/>
    <n v="0"/>
    <n v="0"/>
    <n v="0"/>
    <n v="0"/>
    <n v="0"/>
    <n v="0"/>
    <n v="1"/>
    <n v="3000000"/>
    <n v="0"/>
    <n v="1"/>
    <n v="121486"/>
    <n v="1"/>
    <n v="1458302"/>
    <s v="No"/>
    <s v="No"/>
    <s v="No"/>
    <s v="Yes"/>
    <s v="No"/>
    <s v="Yes"/>
    <s v="Yes"/>
    <s v="No"/>
    <s v="No"/>
    <s v="N/A"/>
    <s v="Yes"/>
    <n v="0"/>
    <s v="IDA"/>
    <n v="0"/>
    <s v=""/>
    <s v=""/>
    <s v=""/>
    <s v=""/>
    <s v=""/>
    <s v=""/>
    <s v="Yes"/>
    <n v="0"/>
    <s v=""/>
    <s v=""/>
    <s v=""/>
    <s v=""/>
    <s v=""/>
    <n v="0"/>
    <n v="0"/>
    <n v="0"/>
    <n v="0"/>
    <n v="0"/>
    <n v="0"/>
    <n v="0"/>
    <n v="0"/>
    <s v=""/>
    <s v=""/>
    <s v=""/>
    <n v="0"/>
    <n v="0"/>
    <n v="0"/>
    <s v="Yes"/>
    <n v="3000000"/>
    <n v="0"/>
    <n v="1458302"/>
    <n v="76486"/>
    <n v="45000"/>
    <n v="0"/>
    <n v="0"/>
    <s v="Yes"/>
    <s v=" $-   "/>
    <s v="UNICEF"/>
    <n v="0"/>
    <n v="0"/>
    <n v="0"/>
    <n v="0"/>
    <n v="0"/>
  </r>
  <r>
    <s v="ERI"/>
    <x v="38"/>
    <x v="1"/>
    <x v="0"/>
    <x v="0"/>
    <x v="0"/>
    <n v="1"/>
    <n v="371715"/>
    <n v="371715"/>
    <n v="3546427"/>
    <n v="1063928.0999999999"/>
    <x v="31"/>
    <x v="1"/>
    <n v="1"/>
    <n v="0"/>
    <s v=""/>
    <n v="0"/>
    <n v="0"/>
    <n v="0"/>
    <n v="0"/>
    <n v="0"/>
    <n v="0"/>
    <n v="0"/>
    <n v="0"/>
    <n v="0"/>
    <n v="1"/>
    <n v="371715"/>
    <n v="0"/>
    <n v="0"/>
    <s v="No"/>
    <s v="No"/>
    <s v="No"/>
    <s v="Yes"/>
    <s v="No"/>
    <s v="Yes"/>
    <s v="Yes"/>
    <s v="No"/>
    <s v="No"/>
    <s v="N/A"/>
    <n v="0"/>
    <n v="0"/>
    <s v="IDA"/>
    <n v="0"/>
    <s v=""/>
    <s v=""/>
    <s v=""/>
    <s v=""/>
    <s v=""/>
    <s v=""/>
    <s v="Yes"/>
    <n v="0"/>
    <s v=""/>
    <s v=""/>
    <s v=""/>
    <s v=""/>
    <s v=""/>
    <n v="0"/>
    <n v="0"/>
    <n v="0"/>
    <n v="0"/>
    <n v="0"/>
    <n v="0"/>
    <n v="0"/>
    <n v="0"/>
    <s v=""/>
    <s v=""/>
    <s v=""/>
    <n v="0"/>
    <n v="0"/>
    <n v="0"/>
    <n v="0"/>
    <n v="0"/>
    <n v="0"/>
    <n v="0"/>
    <n v="188060"/>
    <n v="183655"/>
    <n v="0"/>
    <n v="0"/>
    <s v="N/A"/>
    <s v=" $-   "/>
    <s v="GAVI"/>
    <n v="0"/>
    <n v="0"/>
    <n v="0"/>
    <n v="0"/>
    <n v="0"/>
  </r>
  <r>
    <s v="ETH"/>
    <x v="39"/>
    <x v="1"/>
    <x v="0"/>
    <x v="0"/>
    <x v="0"/>
    <n v="4"/>
    <n v="212948750"/>
    <n v="97648750"/>
    <n v="114963583"/>
    <n v="34489074.899999999"/>
    <x v="32"/>
    <x v="0"/>
    <n v="1"/>
    <n v="1"/>
    <n v="91700000"/>
    <n v="0"/>
    <n v="0"/>
    <n v="0"/>
    <n v="0"/>
    <n v="0"/>
    <n v="0"/>
    <n v="1"/>
    <n v="2000000"/>
    <n v="0"/>
    <n v="1"/>
    <n v="2943750"/>
    <n v="1"/>
    <n v="1005000"/>
    <s v="No"/>
    <s v="No"/>
    <s v="No"/>
    <s v="Yes"/>
    <s v="No"/>
    <s v="Yes"/>
    <s v="Yes"/>
    <s v="Yes"/>
    <s v="Yes"/>
    <s v="High"/>
    <s v="Yes"/>
    <n v="0"/>
    <s v="IDA"/>
    <s v="Approved"/>
    <n v="207000000"/>
    <n v="0"/>
    <n v="207000000"/>
    <n v="71700000"/>
    <n v="91700000"/>
    <n v="43600000"/>
    <s v="Yes"/>
    <n v="0"/>
    <s v=""/>
    <s v=""/>
    <s v=""/>
    <s v=""/>
    <s v=""/>
    <n v="0"/>
    <n v="0"/>
    <n v="0"/>
    <n v="0"/>
    <n v="0"/>
    <n v="0"/>
    <n v="0"/>
    <n v="0"/>
    <s v=""/>
    <s v=""/>
    <s v=""/>
    <n v="0"/>
    <n v="0"/>
    <s v="Under Preparation"/>
    <s v="Yes"/>
    <n v="2000000"/>
    <n v="0"/>
    <n v="1005000"/>
    <n v="289767"/>
    <n v="534413"/>
    <n v="0"/>
    <n v="0"/>
    <s v="Yes"/>
    <n v="2119570"/>
    <s v="GAVI"/>
    <n v="0"/>
    <n v="0"/>
    <n v="0"/>
    <n v="0"/>
    <n v="0"/>
  </r>
  <r>
    <s v="FJI"/>
    <x v="40"/>
    <x v="5"/>
    <x v="2"/>
    <x v="1"/>
    <x v="0"/>
    <n v="2"/>
    <n v="475490"/>
    <n v="475490"/>
    <n v="896444"/>
    <n v="268933.2"/>
    <x v="33"/>
    <x v="1"/>
    <n v="1"/>
    <n v="0"/>
    <s v=""/>
    <n v="0"/>
    <n v="0"/>
    <n v="0"/>
    <n v="0"/>
    <n v="0"/>
    <n v="0"/>
    <n v="0"/>
    <n v="0"/>
    <n v="0"/>
    <n v="1"/>
    <n v="75490"/>
    <n v="1"/>
    <n v="400000"/>
    <s v="No"/>
    <s v="No"/>
    <s v="No"/>
    <s v="Yes"/>
    <s v="No"/>
    <s v="Yes"/>
    <s v="No"/>
    <s v="Yes"/>
    <s v="Yes"/>
    <s v="…"/>
    <n v="0"/>
    <n v="0"/>
    <s v="IDA"/>
    <n v="0"/>
    <s v=""/>
    <s v=""/>
    <s v=""/>
    <s v=""/>
    <s v=""/>
    <s v=""/>
    <s v="Yes"/>
    <n v="0"/>
    <s v=""/>
    <s v=""/>
    <s v=""/>
    <s v=""/>
    <s v=""/>
    <s v="Yes"/>
    <n v="0"/>
    <n v="0"/>
    <n v="0"/>
    <n v="0"/>
    <n v="0"/>
    <n v="0"/>
    <n v="0"/>
    <s v=""/>
    <s v=""/>
    <s v=""/>
    <n v="0"/>
    <n v="0"/>
    <n v="0"/>
    <n v="0"/>
    <n v="0"/>
    <s v="Yes"/>
    <n v="400000"/>
    <n v="50490"/>
    <n v="25000"/>
    <n v="0"/>
    <n v="0"/>
    <s v="N/A"/>
    <s v=" $-   "/>
    <s v="UNICEF"/>
    <n v="0"/>
    <n v="0"/>
    <n v="0"/>
    <n v="0"/>
    <n v="0"/>
  </r>
  <r>
    <s v="FSM"/>
    <x v="41"/>
    <x v="5"/>
    <x v="1"/>
    <x v="1"/>
    <x v="0"/>
    <n v="1"/>
    <n v="257760"/>
    <n v="257760"/>
    <n v="115021"/>
    <n v="34506.299999999996"/>
    <x v="34"/>
    <x v="1"/>
    <n v="1"/>
    <n v="0"/>
    <s v=""/>
    <n v="0"/>
    <n v="0"/>
    <n v="0"/>
    <n v="0"/>
    <n v="0"/>
    <n v="0"/>
    <n v="0"/>
    <n v="0"/>
    <n v="0"/>
    <n v="1"/>
    <n v="257760"/>
    <n v="0"/>
    <n v="0"/>
    <s v="No"/>
    <s v="No"/>
    <s v="No"/>
    <s v="Yes"/>
    <s v="No"/>
    <s v="Yes"/>
    <s v="No"/>
    <s v="Yes"/>
    <s v="No"/>
    <s v="High"/>
    <n v="0"/>
    <n v="0"/>
    <s v="IDA"/>
    <n v="0"/>
    <s v=""/>
    <s v=""/>
    <s v=""/>
    <s v=""/>
    <s v=""/>
    <s v=""/>
    <s v="Yes"/>
    <n v="0"/>
    <s v=""/>
    <s v=""/>
    <s v=""/>
    <s v=""/>
    <s v=""/>
    <n v="0"/>
    <n v="0"/>
    <n v="0"/>
    <n v="0"/>
    <n v="0"/>
    <n v="0"/>
    <n v="0"/>
    <n v="0"/>
    <s v=""/>
    <s v=""/>
    <s v=""/>
    <n v="0"/>
    <n v="0"/>
    <n v="0"/>
    <n v="0"/>
    <n v="0"/>
    <s v="Yes"/>
    <n v="0"/>
    <n v="77760"/>
    <n v="180000"/>
    <n v="0"/>
    <n v="0"/>
    <s v="N/A"/>
    <s v=" $-   "/>
    <s v="UNICEF"/>
    <n v="0"/>
    <n v="0"/>
    <n v="0"/>
    <n v="0"/>
    <n v="0"/>
  </r>
  <r>
    <s v="GAB"/>
    <x v="42"/>
    <x v="4"/>
    <x v="2"/>
    <x v="0"/>
    <x v="1"/>
    <n v="0"/>
    <n v="0"/>
    <n v="0"/>
    <n v="2225728"/>
    <n v="667718.40000000002"/>
    <x v="5"/>
    <x v="1"/>
    <n v="0"/>
    <n v="0"/>
    <s v=""/>
    <n v="0"/>
    <n v="0"/>
    <n v="0"/>
    <n v="0"/>
    <n v="0"/>
    <n v="0"/>
    <n v="0"/>
    <n v="0"/>
    <n v="0"/>
    <n v="0"/>
    <n v="0"/>
    <n v="0"/>
    <n v="0"/>
    <s v="No"/>
    <s v="No"/>
    <s v="No"/>
    <s v="Yes"/>
    <s v="No"/>
    <s v="Yes"/>
    <s v="No"/>
    <s v="No"/>
    <s v="No"/>
    <s v="N/A"/>
    <n v="0"/>
    <n v="0"/>
    <s v="IDA"/>
    <s v="Under Preparation"/>
    <s v=""/>
    <s v=""/>
    <s v=""/>
    <s v=""/>
    <s v=""/>
    <s v=""/>
    <s v="Yes"/>
    <n v="0"/>
    <s v=""/>
    <s v=""/>
    <s v=""/>
    <s v=""/>
    <s v=""/>
    <n v="0"/>
    <n v="0"/>
    <n v="0"/>
    <n v="0"/>
    <n v="0"/>
    <n v="0"/>
    <n v="0"/>
    <n v="0"/>
    <s v=""/>
    <s v=""/>
    <s v=""/>
    <n v="0"/>
    <n v="0"/>
    <n v="0"/>
    <n v="0"/>
    <n v="0"/>
    <n v="0"/>
    <n v="0"/>
    <n v="0"/>
    <n v="0"/>
    <n v="0"/>
    <n v="0"/>
    <e v="#N/A"/>
    <e v="#N/A"/>
    <s v=""/>
    <n v="0"/>
    <n v="0"/>
    <n v="0"/>
    <n v="0"/>
    <n v="0"/>
  </r>
  <r>
    <s v="GEO"/>
    <x v="43"/>
    <x v="2"/>
    <x v="2"/>
    <x v="0"/>
    <x v="1"/>
    <n v="2"/>
    <n v="34700000"/>
    <n v="1300000"/>
    <n v="3989175"/>
    <n v="1196752.5"/>
    <x v="35"/>
    <x v="0"/>
    <n v="1"/>
    <n v="1"/>
    <n v="1100000"/>
    <n v="0"/>
    <n v="0"/>
    <n v="0"/>
    <n v="0"/>
    <n v="0"/>
    <n v="0"/>
    <n v="0"/>
    <n v="0"/>
    <n v="0"/>
    <n v="0"/>
    <n v="0"/>
    <n v="1"/>
    <n v="200000"/>
    <s v="Yes"/>
    <s v="Yes"/>
    <s v="No"/>
    <s v="No"/>
    <s v="Yes"/>
    <s v="Yes"/>
    <s v="No"/>
    <s v="No"/>
    <s v="No"/>
    <s v="N/A"/>
    <n v="0"/>
    <n v="0"/>
    <s v="IBRD"/>
    <s v="Approved"/>
    <n v="34500000"/>
    <n v="34500000"/>
    <n v="0"/>
    <n v="32900000"/>
    <n v="1100000"/>
    <n v="500000"/>
    <s v="Yes"/>
    <n v="0"/>
    <s v=""/>
    <s v=""/>
    <s v=""/>
    <s v=""/>
    <s v=""/>
    <n v="0"/>
    <n v="0"/>
    <n v="0"/>
    <n v="0"/>
    <n v="0"/>
    <n v="0"/>
    <n v="0"/>
    <n v="0"/>
    <s v=""/>
    <s v=""/>
    <s v=""/>
    <n v="0"/>
    <n v="0"/>
    <n v="0"/>
    <n v="0"/>
    <n v="0"/>
    <n v="0"/>
    <n v="200000"/>
    <n v="0"/>
    <n v="0"/>
    <n v="0"/>
    <n v="0"/>
    <e v="#N/A"/>
    <e v="#N/A"/>
    <s v=""/>
    <n v="0"/>
    <n v="0"/>
    <n v="0"/>
    <n v="0"/>
    <n v="0"/>
  </r>
  <r>
    <s v="GHA"/>
    <x v="44"/>
    <x v="4"/>
    <x v="1"/>
    <x v="0"/>
    <x v="0"/>
    <n v="3"/>
    <n v="202556908"/>
    <n v="9566908"/>
    <n v="31072945"/>
    <n v="9321883.5"/>
    <x v="36"/>
    <x v="0"/>
    <n v="1"/>
    <n v="1"/>
    <n v="7010000"/>
    <n v="0"/>
    <n v="0"/>
    <n v="0"/>
    <n v="0"/>
    <n v="0"/>
    <n v="0"/>
    <n v="1"/>
    <n v="1350000"/>
    <n v="0"/>
    <n v="1"/>
    <n v="1206908"/>
    <n v="0"/>
    <n v="0"/>
    <s v="Yes"/>
    <s v="Yes"/>
    <s v="No"/>
    <s v="No"/>
    <s v="Yes"/>
    <s v="Yes"/>
    <s v="Yes"/>
    <s v="Yes"/>
    <s v="No"/>
    <s v="High"/>
    <s v="Yes"/>
    <n v="0"/>
    <s v="IBRD"/>
    <s v="Approved"/>
    <n v="200000000"/>
    <n v="200000000"/>
    <n v="0"/>
    <n v="137150000"/>
    <n v="7010000"/>
    <n v="55840000"/>
    <s v="Yes"/>
    <n v="0"/>
    <s v=""/>
    <s v=""/>
    <s v=""/>
    <s v=""/>
    <s v=""/>
    <s v="Yes"/>
    <n v="0"/>
    <n v="0"/>
    <n v="0"/>
    <n v="0"/>
    <n v="0"/>
    <n v="0"/>
    <n v="0"/>
    <s v=""/>
    <s v=""/>
    <s v=""/>
    <n v="0"/>
    <n v="0"/>
    <s v="Under Preparation"/>
    <n v="0"/>
    <n v="1350000"/>
    <n v="0"/>
    <n v="0"/>
    <n v="208899"/>
    <n v="204263"/>
    <n v="0"/>
    <n v="0"/>
    <s v="Yes"/>
    <n v="793746"/>
    <s v="GAVI"/>
    <n v="0"/>
    <n v="0"/>
    <n v="0"/>
    <n v="0"/>
    <n v="0"/>
  </r>
  <r>
    <s v="GIN"/>
    <x v="45"/>
    <x v="4"/>
    <x v="0"/>
    <x v="0"/>
    <x v="0"/>
    <n v="4"/>
    <n v="30791813"/>
    <n v="13191813"/>
    <n v="13132792"/>
    <n v="3939837.5999999996"/>
    <x v="37"/>
    <x v="0"/>
    <n v="1"/>
    <n v="1"/>
    <n v="10600000"/>
    <n v="0"/>
    <n v="0"/>
    <n v="0"/>
    <n v="0"/>
    <n v="0"/>
    <n v="0"/>
    <n v="1"/>
    <n v="1500000"/>
    <n v="0"/>
    <n v="1"/>
    <n v="713703"/>
    <n v="1"/>
    <n v="378110"/>
    <s v="Yes"/>
    <s v="Yes"/>
    <s v="No"/>
    <s v="No"/>
    <s v="Yes"/>
    <s v="Yes"/>
    <s v="Yes"/>
    <s v="Yes"/>
    <s v="Yes"/>
    <s v="Moderate"/>
    <n v="0"/>
    <n v="0"/>
    <s v="IBRD"/>
    <s v="Approved"/>
    <n v="28200000"/>
    <n v="14100000"/>
    <n v="14100000"/>
    <n v="17600000"/>
    <n v="10600000"/>
    <n v="0"/>
    <s v="Yes"/>
    <n v="0"/>
    <s v=""/>
    <s v=""/>
    <s v=""/>
    <s v=""/>
    <s v=""/>
    <n v="0"/>
    <n v="0"/>
    <n v="0"/>
    <n v="0"/>
    <n v="0"/>
    <n v="0"/>
    <n v="0"/>
    <n v="0"/>
    <s v=""/>
    <s v=""/>
    <s v=""/>
    <s v="Yes"/>
    <n v="0"/>
    <n v="0"/>
    <n v="0"/>
    <n v="1500000"/>
    <n v="0"/>
    <n v="378110"/>
    <n v="272916"/>
    <n v="440787"/>
    <n v="0"/>
    <n v="0"/>
    <s v="Yes"/>
    <s v=" $-   "/>
    <s v="GAVI"/>
    <n v="0"/>
    <n v="0"/>
    <n v="0"/>
    <n v="0"/>
    <n v="0"/>
  </r>
  <r>
    <s v="GMB"/>
    <x v="46"/>
    <x v="4"/>
    <x v="0"/>
    <x v="0"/>
    <x v="0"/>
    <n v="3"/>
    <n v="8750742"/>
    <n v="2350742"/>
    <n v="2416664"/>
    <n v="724999.2"/>
    <x v="38"/>
    <x v="0"/>
    <n v="1"/>
    <n v="1"/>
    <n v="1600000"/>
    <n v="0"/>
    <n v="0"/>
    <n v="0"/>
    <n v="0"/>
    <n v="0"/>
    <n v="0"/>
    <n v="0"/>
    <n v="0"/>
    <n v="0"/>
    <n v="1"/>
    <n v="198455"/>
    <n v="1"/>
    <n v="552287"/>
    <s v="No"/>
    <s v="No"/>
    <s v="Yes"/>
    <s v="Yes"/>
    <s v="No"/>
    <s v="Yes"/>
    <s v="Yes"/>
    <s v="Yes"/>
    <s v="Yes"/>
    <s v="High"/>
    <n v="0"/>
    <n v="0"/>
    <s v="Blend"/>
    <s v="Approved"/>
    <n v="8000000"/>
    <n v="0"/>
    <n v="8000000"/>
    <n v="6400000"/>
    <n v="1600000"/>
    <n v="0"/>
    <s v="Yes"/>
    <n v="0"/>
    <s v=""/>
    <s v=""/>
    <s v=""/>
    <s v=""/>
    <s v=""/>
    <s v="Yes"/>
    <n v="0"/>
    <n v="0"/>
    <n v="0"/>
    <n v="0"/>
    <n v="0"/>
    <n v="0"/>
    <n v="0"/>
    <s v=""/>
    <s v=""/>
    <s v=""/>
    <n v="0"/>
    <n v="0"/>
    <n v="0"/>
    <n v="0"/>
    <n v="0"/>
    <n v="0"/>
    <n v="552287"/>
    <n v="112320"/>
    <n v="86135"/>
    <n v="0"/>
    <n v="0"/>
    <s v="Yes"/>
    <s v=" $-   "/>
    <s v="GAVI"/>
    <n v="0"/>
    <n v="0"/>
    <n v="0"/>
    <n v="0"/>
    <n v="0"/>
  </r>
  <r>
    <s v="GNB"/>
    <x v="47"/>
    <x v="4"/>
    <x v="0"/>
    <x v="1"/>
    <x v="0"/>
    <n v="3"/>
    <n v="5594392"/>
    <n v="2674392"/>
    <n v="1967998"/>
    <n v="590399.4"/>
    <x v="39"/>
    <x v="0"/>
    <n v="1"/>
    <n v="1"/>
    <n v="2080000"/>
    <n v="0"/>
    <n v="0"/>
    <n v="0"/>
    <n v="0"/>
    <n v="0"/>
    <n v="0"/>
    <n v="0"/>
    <n v="0"/>
    <n v="0"/>
    <n v="1"/>
    <n v="368545"/>
    <n v="1"/>
    <n v="225847"/>
    <s v="Yes"/>
    <s v="Yes"/>
    <s v="No"/>
    <s v="No"/>
    <s v="Yes"/>
    <s v="Yes"/>
    <s v="Yes"/>
    <s v="Yes"/>
    <s v="Yes"/>
    <s v="High"/>
    <n v="0"/>
    <n v="0"/>
    <s v="IBRD"/>
    <s v="Approved"/>
    <n v="5000000"/>
    <n v="0"/>
    <n v="5000000"/>
    <n v="2620000"/>
    <n v="2080000"/>
    <n v="300000"/>
    <s v="Yes"/>
    <n v="0"/>
    <s v=""/>
    <s v=""/>
    <s v=""/>
    <s v=""/>
    <s v=""/>
    <n v="0"/>
    <n v="0"/>
    <n v="0"/>
    <n v="0"/>
    <n v="0"/>
    <n v="0"/>
    <n v="0"/>
    <n v="0"/>
    <s v=""/>
    <s v=""/>
    <s v=""/>
    <s v="Yes"/>
    <n v="0"/>
    <n v="0"/>
    <n v="0"/>
    <n v="0"/>
    <n v="0"/>
    <n v="225847"/>
    <n v="187553"/>
    <n v="180992"/>
    <n v="0"/>
    <n v="0"/>
    <s v="Yes"/>
    <s v=" $-   "/>
    <s v="GAVI"/>
    <n v="0"/>
    <n v="0"/>
    <n v="0"/>
    <n v="0"/>
    <n v="0"/>
  </r>
  <r>
    <s v="GNQ"/>
    <x v="48"/>
    <x v="3"/>
    <x v="2"/>
    <x v="0"/>
    <x v="1"/>
    <n v="0"/>
    <n v="0"/>
    <n v="0"/>
    <n v="1402985"/>
    <n v="420895.5"/>
    <x v="5"/>
    <x v="1"/>
    <n v="0"/>
    <n v="0"/>
    <s v=""/>
    <n v="0"/>
    <n v="0"/>
    <n v="0"/>
    <n v="0"/>
    <n v="0"/>
    <n v="0"/>
    <n v="0"/>
    <n v="0"/>
    <n v="0"/>
    <n v="0"/>
    <n v="0"/>
    <n v="0"/>
    <n v="0"/>
    <s v="Yes"/>
    <s v="Yes"/>
    <s v="No"/>
    <s v="No"/>
    <s v="Yes"/>
    <s v="Yes"/>
    <s v="No"/>
    <s v="No"/>
    <s v="No"/>
    <n v="0"/>
    <n v="0"/>
    <n v="0"/>
    <s v="IBRD"/>
    <n v="0"/>
    <s v=""/>
    <s v=""/>
    <s v=""/>
    <s v=""/>
    <s v=""/>
    <s v=""/>
    <s v="Yes"/>
    <n v="0"/>
    <s v=""/>
    <s v=""/>
    <s v=""/>
    <s v=""/>
    <s v=""/>
    <n v="0"/>
    <n v="0"/>
    <n v="0"/>
    <n v="0"/>
    <n v="0"/>
    <n v="0"/>
    <n v="0"/>
    <n v="0"/>
    <s v=""/>
    <s v=""/>
    <s v=""/>
    <n v="0"/>
    <n v="0"/>
    <n v="0"/>
    <n v="0"/>
    <n v="0"/>
    <n v="0"/>
    <n v="0"/>
    <n v="0"/>
    <n v="0"/>
    <n v="0"/>
    <n v="0"/>
    <e v="#N/A"/>
    <e v="#N/A"/>
    <s v=""/>
    <n v="0"/>
    <n v="0"/>
    <n v="0"/>
    <n v="0"/>
    <n v="0"/>
  </r>
  <r>
    <s v="GRD"/>
    <x v="49"/>
    <x v="3"/>
    <x v="2"/>
    <x v="1"/>
    <x v="0"/>
    <n v="2"/>
    <n v="125000"/>
    <n v="125000"/>
    <n v="112519"/>
    <n v="33755.699999999997"/>
    <x v="40"/>
    <x v="1"/>
    <n v="1"/>
    <n v="0"/>
    <s v=""/>
    <n v="0"/>
    <n v="0"/>
    <n v="0"/>
    <n v="0"/>
    <n v="0"/>
    <n v="0"/>
    <n v="0"/>
    <n v="0"/>
    <n v="0"/>
    <n v="1"/>
    <n v="50000"/>
    <n v="1"/>
    <n v="75000"/>
    <s v="No"/>
    <s v="No"/>
    <s v="Yes"/>
    <s v="Yes"/>
    <s v="No"/>
    <s v="Yes"/>
    <s v="No"/>
    <s v="Yes"/>
    <s v="Yes"/>
    <s v="In distress"/>
    <n v="0"/>
    <n v="0"/>
    <s v="Blend"/>
    <n v="0"/>
    <s v=""/>
    <s v=""/>
    <s v=""/>
    <s v=""/>
    <s v=""/>
    <s v=""/>
    <s v="Yes"/>
    <n v="0"/>
    <s v=""/>
    <s v=""/>
    <s v=""/>
    <s v=""/>
    <s v=""/>
    <n v="0"/>
    <n v="0"/>
    <n v="0"/>
    <n v="0"/>
    <n v="0"/>
    <n v="0"/>
    <n v="0"/>
    <n v="0"/>
    <s v=""/>
    <s v=""/>
    <s v=""/>
    <n v="0"/>
    <n v="0"/>
    <n v="0"/>
    <n v="0"/>
    <n v="0"/>
    <n v="0"/>
    <n v="75000"/>
    <n v="0"/>
    <n v="50000"/>
    <n v="0"/>
    <n v="0"/>
    <s v="N/A"/>
    <s v=" $-   "/>
    <s v="UNICEF"/>
    <n v="0"/>
    <n v="0"/>
    <n v="0"/>
    <n v="0"/>
    <n v="0"/>
  </r>
  <r>
    <s v="GTM"/>
    <x v="50"/>
    <x v="3"/>
    <x v="2"/>
    <x v="0"/>
    <x v="1"/>
    <n v="1"/>
    <n v="2645000"/>
    <n v="2645000"/>
    <n v="17915567"/>
    <n v="5374670.0999999996"/>
    <x v="41"/>
    <x v="1"/>
    <n v="1"/>
    <n v="0"/>
    <s v=""/>
    <n v="0"/>
    <n v="0"/>
    <n v="0"/>
    <n v="0"/>
    <n v="0"/>
    <n v="0"/>
    <n v="1"/>
    <n v="2645000"/>
    <n v="0"/>
    <n v="0"/>
    <n v="0"/>
    <n v="0"/>
    <n v="0"/>
    <s v="No"/>
    <s v="No"/>
    <s v="No"/>
    <s v="Yes"/>
    <s v="No"/>
    <s v="Yes"/>
    <s v="Yes"/>
    <s v="No"/>
    <s v="No"/>
    <n v="0"/>
    <n v="0"/>
    <n v="0"/>
    <s v="IDA"/>
    <n v="0"/>
    <s v=""/>
    <s v=""/>
    <s v=""/>
    <s v=""/>
    <s v=""/>
    <s v=""/>
    <n v="0"/>
    <n v="0"/>
    <s v=""/>
    <s v=""/>
    <s v=""/>
    <s v=""/>
    <s v=""/>
    <s v="Yes"/>
    <n v="0"/>
    <n v="0"/>
    <s v="Yes"/>
    <n v="0"/>
    <n v="0"/>
    <s v="Yes"/>
    <n v="0"/>
    <s v=""/>
    <s v=""/>
    <s v=""/>
    <n v="0"/>
    <n v="0"/>
    <n v="0"/>
    <s v="Yes"/>
    <n v="2645000"/>
    <n v="0"/>
    <n v="0"/>
    <n v="0"/>
    <n v="0"/>
    <n v="0"/>
    <n v="0"/>
    <e v="#N/A"/>
    <e v="#N/A"/>
    <s v=""/>
    <n v="0"/>
    <n v="0"/>
    <n v="0"/>
    <n v="0"/>
    <n v="0"/>
  </r>
  <r>
    <s v="GUY"/>
    <x v="51"/>
    <x v="3"/>
    <x v="2"/>
    <x v="1"/>
    <x v="0"/>
    <n v="3"/>
    <n v="5145000"/>
    <n v="374999.99999999994"/>
    <n v="786559"/>
    <n v="235967.69999999998"/>
    <x v="42"/>
    <x v="0"/>
    <n v="1"/>
    <n v="1"/>
    <n v="230000"/>
    <n v="0"/>
    <n v="0"/>
    <n v="0"/>
    <n v="0"/>
    <n v="0"/>
    <n v="0"/>
    <n v="0"/>
    <n v="0"/>
    <n v="0"/>
    <n v="1"/>
    <n v="44999.999999999964"/>
    <n v="1"/>
    <n v="100000"/>
    <s v="No"/>
    <s v="No"/>
    <s v="Yes"/>
    <s v="Yes"/>
    <s v="No"/>
    <s v="Yes"/>
    <s v="No"/>
    <s v="Yes"/>
    <s v="No"/>
    <s v="Moderate"/>
    <n v="0"/>
    <n v="0"/>
    <s v="Blend"/>
    <s v="Approved"/>
    <n v="5000000"/>
    <n v="5000000"/>
    <n v="0"/>
    <n v="3300000"/>
    <n v="230000"/>
    <n v="1500000"/>
    <n v="0"/>
    <n v="0"/>
    <s v=""/>
    <s v=""/>
    <s v=""/>
    <s v=""/>
    <s v=""/>
    <n v="0"/>
    <n v="0"/>
    <n v="0"/>
    <n v="0"/>
    <n v="0"/>
    <n v="0"/>
    <s v="Yes"/>
    <n v="0"/>
    <s v=""/>
    <s v=""/>
    <s v=""/>
    <n v="0"/>
    <n v="0"/>
    <n v="0"/>
    <n v="0"/>
    <n v="0"/>
    <n v="0"/>
    <n v="100000"/>
    <n v="0"/>
    <n v="44999.999999999964"/>
    <n v="0"/>
    <n v="0"/>
    <s v="Yes"/>
    <s v=" $-   "/>
    <s v="UNICEF"/>
    <n v="0"/>
    <n v="0"/>
    <n v="0"/>
    <n v="0"/>
    <n v="0"/>
  </r>
  <r>
    <s v="HND"/>
    <x v="52"/>
    <x v="3"/>
    <x v="1"/>
    <x v="0"/>
    <x v="0"/>
    <n v="5"/>
    <n v="24377733.579999998"/>
    <n v="18127733.579999998"/>
    <n v="9904608"/>
    <n v="2971382.4"/>
    <x v="43"/>
    <x v="0"/>
    <n v="1"/>
    <n v="1"/>
    <n v="13750000"/>
    <n v="1"/>
    <n v="1000000"/>
    <n v="0"/>
    <n v="0"/>
    <n v="0"/>
    <n v="0"/>
    <n v="1"/>
    <n v="2600000"/>
    <n v="0"/>
    <n v="1"/>
    <n v="477733.57999999996"/>
    <n v="1"/>
    <n v="300000"/>
    <s v="Yes"/>
    <s v="Yes"/>
    <s v="No"/>
    <s v="No"/>
    <s v="Yes"/>
    <s v="Yes"/>
    <s v="Yes"/>
    <s v="Yes"/>
    <s v="No"/>
    <s v="Low"/>
    <n v="0"/>
    <n v="0"/>
    <s v="IBRD"/>
    <s v="Approved"/>
    <n v="20000000"/>
    <n v="20000000"/>
    <n v="0"/>
    <n v="5750000"/>
    <n v="13750000"/>
    <n v="500000"/>
    <n v="0"/>
    <n v="0"/>
    <s v=""/>
    <s v=""/>
    <s v=""/>
    <s v=""/>
    <s v=""/>
    <n v="0"/>
    <n v="0"/>
    <n v="0"/>
    <n v="0"/>
    <n v="0"/>
    <n v="0"/>
    <s v="Yes"/>
    <s v="Loan"/>
    <n v="1000000"/>
    <n v="0"/>
    <n v="1000000"/>
    <n v="0"/>
    <n v="0"/>
    <n v="0"/>
    <n v="0"/>
    <n v="2600000"/>
    <n v="0"/>
    <n v="300000"/>
    <n v="26200"/>
    <n v="232501.58"/>
    <n v="0"/>
    <n v="0"/>
    <s v="Yes"/>
    <n v="219032"/>
    <s v="UNICEF"/>
    <n v="0"/>
    <n v="0"/>
    <n v="0"/>
    <n v="0"/>
    <n v="0"/>
  </r>
  <r>
    <s v="HRV"/>
    <x v="53"/>
    <x v="2"/>
    <x v="3"/>
    <x v="0"/>
    <x v="1"/>
    <n v="0"/>
    <n v="0"/>
    <n v="0"/>
    <n v="4105268"/>
    <n v="1231580.3999999999"/>
    <x v="5"/>
    <x v="1"/>
    <n v="0"/>
    <n v="0"/>
    <s v=""/>
    <n v="0"/>
    <n v="0"/>
    <n v="0"/>
    <n v="0"/>
    <n v="0"/>
    <n v="0"/>
    <n v="0"/>
    <n v="0"/>
    <n v="0"/>
    <n v="0"/>
    <n v="0"/>
    <n v="0"/>
    <n v="0"/>
    <s v="Yes"/>
    <s v="Yes"/>
    <s v="No"/>
    <s v="No"/>
    <s v="Yes"/>
    <s v="Yes"/>
    <s v="No"/>
    <s v="No"/>
    <s v="No"/>
    <n v="0"/>
    <n v="0"/>
    <n v="0"/>
    <s v="IBRD"/>
    <n v="0"/>
    <s v=""/>
    <s v=""/>
    <s v=""/>
    <s v=""/>
    <s v=""/>
    <s v=""/>
    <n v="0"/>
    <n v="0"/>
    <s v=""/>
    <s v=""/>
    <s v=""/>
    <s v=""/>
    <s v=""/>
    <n v="0"/>
    <n v="0"/>
    <n v="0"/>
    <s v="Yes"/>
    <n v="0"/>
    <n v="0"/>
    <n v="0"/>
    <n v="0"/>
    <s v=""/>
    <s v=""/>
    <s v=""/>
    <n v="0"/>
    <n v="0"/>
    <n v="0"/>
    <n v="0"/>
    <n v="0"/>
    <n v="0"/>
    <n v="0"/>
    <n v="0"/>
    <n v="0"/>
    <n v="0"/>
    <n v="0"/>
    <e v="#N/A"/>
    <e v="#N/A"/>
    <s v=""/>
    <n v="0"/>
    <n v="0"/>
    <n v="0"/>
    <n v="0"/>
    <n v="0"/>
  </r>
  <r>
    <s v="HTI"/>
    <x v="54"/>
    <x v="3"/>
    <x v="1"/>
    <x v="1"/>
    <x v="0"/>
    <n v="2"/>
    <n v="1609554"/>
    <n v="1609554"/>
    <n v="11402533"/>
    <n v="3420759.9"/>
    <x v="44"/>
    <x v="1"/>
    <n v="1"/>
    <n v="0"/>
    <s v=""/>
    <n v="0"/>
    <n v="0"/>
    <n v="0"/>
    <n v="0"/>
    <n v="0"/>
    <n v="0"/>
    <n v="0"/>
    <n v="0"/>
    <n v="0"/>
    <n v="1"/>
    <n v="1109554"/>
    <n v="1"/>
    <n v="500000"/>
    <s v="Yes"/>
    <s v="Yes"/>
    <s v="No"/>
    <s v="No"/>
    <s v="Yes"/>
    <s v="Yes"/>
    <s v="Yes"/>
    <s v="Yes"/>
    <s v="No"/>
    <s v="High"/>
    <s v="Yes"/>
    <n v="0"/>
    <s v="IBRD"/>
    <n v="0"/>
    <s v=""/>
    <s v=""/>
    <s v=""/>
    <s v=""/>
    <s v=""/>
    <s v=""/>
    <n v="0"/>
    <n v="0"/>
    <s v=""/>
    <s v=""/>
    <s v=""/>
    <s v=""/>
    <s v=""/>
    <n v="0"/>
    <n v="0"/>
    <n v="0"/>
    <n v="0"/>
    <n v="0"/>
    <n v="0"/>
    <s v="Yes"/>
    <n v="0"/>
    <s v=""/>
    <s v=""/>
    <s v=""/>
    <n v="0"/>
    <n v="0"/>
    <n v="0"/>
    <s v="Yes"/>
    <n v="0"/>
    <n v="0"/>
    <n v="500000"/>
    <n v="340476"/>
    <n v="403390"/>
    <n v="0"/>
    <n v="0"/>
    <s v="Yes"/>
    <n v="365688"/>
    <s v="GAVI"/>
    <n v="0"/>
    <n v="0"/>
    <n v="0"/>
    <n v="0"/>
    <n v="0"/>
  </r>
  <r>
    <s v="IDN"/>
    <x v="55"/>
    <x v="5"/>
    <x v="1"/>
    <x v="0"/>
    <x v="0"/>
    <n v="3"/>
    <n v="1060486034"/>
    <n v="265486034"/>
    <n v="273523621"/>
    <n v="82057086.299999997"/>
    <x v="45"/>
    <x v="0"/>
    <n v="1"/>
    <n v="1"/>
    <n v="255000000"/>
    <n v="0"/>
    <n v="0"/>
    <n v="0"/>
    <n v="0"/>
    <n v="1"/>
    <n v="100000000"/>
    <n v="1"/>
    <n v="10263034"/>
    <n v="0"/>
    <n v="1"/>
    <n v="223000"/>
    <n v="0"/>
    <n v="0"/>
    <s v="Yes"/>
    <s v="Yes"/>
    <s v="No"/>
    <s v="No"/>
    <s v="Yes"/>
    <s v="Yes"/>
    <s v="Yes"/>
    <s v="No"/>
    <s v="No"/>
    <s v="N/A"/>
    <n v="0"/>
    <n v="0"/>
    <s v="IBRD"/>
    <s v="Approved"/>
    <n v="500000000"/>
    <n v="500000000"/>
    <n v="0"/>
    <n v="0"/>
    <n v="255000000"/>
    <n v="245000000"/>
    <n v="0"/>
    <s v="Approved"/>
    <s v="Loan"/>
    <n v="450000000"/>
    <n v="445270000"/>
    <n v="0"/>
    <n v="4730000.0000000186"/>
    <s v="Yes"/>
    <s v="Requested"/>
    <n v="100000000"/>
    <n v="0"/>
    <n v="0"/>
    <n v="0"/>
    <n v="0"/>
    <n v="0"/>
    <s v=""/>
    <s v=""/>
    <s v=""/>
    <n v="0"/>
    <n v="0"/>
    <n v="0"/>
    <n v="0"/>
    <n v="3500000"/>
    <n v="4051958"/>
    <n v="0"/>
    <n v="108000"/>
    <n v="115000"/>
    <n v="2711076"/>
    <n v="0"/>
    <s v="Yes"/>
    <s v=" $-   "/>
    <s v="GAVI"/>
    <n v="0"/>
    <n v="0"/>
    <n v="0"/>
    <n v="1247189400"/>
    <n v="0"/>
  </r>
  <r>
    <s v="IND"/>
    <x v="56"/>
    <x v="0"/>
    <x v="1"/>
    <x v="0"/>
    <x v="0"/>
    <n v="4"/>
    <n v="75881846"/>
    <n v="75881846"/>
    <n v="1380004385"/>
    <n v="414001315.5"/>
    <x v="46"/>
    <x v="0"/>
    <n v="1"/>
    <n v="0"/>
    <s v=""/>
    <n v="0"/>
    <n v="0"/>
    <n v="1"/>
    <n v="7000000"/>
    <n v="0"/>
    <n v="0"/>
    <n v="1"/>
    <n v="35840139"/>
    <n v="0"/>
    <n v="1"/>
    <n v="25347251"/>
    <n v="1"/>
    <n v="7694456"/>
    <s v="No"/>
    <s v="No"/>
    <s v="No"/>
    <s v="Yes"/>
    <s v="No"/>
    <s v="Yes"/>
    <s v="Yes"/>
    <s v="No"/>
    <s v="No"/>
    <s v="N/A"/>
    <n v="0"/>
    <n v="0"/>
    <s v="IDA"/>
    <n v="0"/>
    <s v=""/>
    <s v=""/>
    <s v=""/>
    <s v=""/>
    <s v=""/>
    <s v=""/>
    <n v="0"/>
    <s v="Approved"/>
    <s v="Grant"/>
    <n v="7000000"/>
    <n v="0"/>
    <n v="7000000"/>
    <n v="0"/>
    <n v="0"/>
    <n v="0"/>
    <n v="0"/>
    <s v="Yes"/>
    <n v="0"/>
    <n v="0"/>
    <n v="0"/>
    <n v="0"/>
    <s v=""/>
    <s v=""/>
    <s v=""/>
    <n v="0"/>
    <n v="0"/>
    <n v="0"/>
    <n v="0"/>
    <n v="35840139"/>
    <s v="Yes"/>
    <n v="7694456"/>
    <n v="6449393"/>
    <n v="10181364"/>
    <n v="0"/>
    <n v="0"/>
    <s v="Yes"/>
    <n v="8716494"/>
    <s v="GAVI"/>
    <n v="0"/>
    <n v="0"/>
    <n v="0"/>
    <n v="0"/>
    <n v="0"/>
  </r>
  <r>
    <s v="IRN"/>
    <x v="57"/>
    <x v="6"/>
    <x v="1"/>
    <x v="0"/>
    <x v="1"/>
    <n v="1"/>
    <n v="1428858"/>
    <n v="1428858"/>
    <n v="83992953"/>
    <n v="25197885.899999999"/>
    <x v="47"/>
    <x v="1"/>
    <n v="1"/>
    <n v="0"/>
    <s v=""/>
    <n v="0"/>
    <n v="0"/>
    <n v="0"/>
    <n v="0"/>
    <n v="0"/>
    <n v="0"/>
    <n v="0"/>
    <n v="0"/>
    <n v="0"/>
    <n v="0"/>
    <n v="0"/>
    <n v="1"/>
    <n v="1428858"/>
    <s v="No"/>
    <s v="No"/>
    <s v="No"/>
    <s v="Yes"/>
    <s v="No"/>
    <s v="Yes"/>
    <s v="No"/>
    <s v="No"/>
    <s v="No"/>
    <s v="N/A"/>
    <n v="0"/>
    <n v="0"/>
    <s v="IDA"/>
    <n v="0"/>
    <s v=""/>
    <s v=""/>
    <s v=""/>
    <s v=""/>
    <s v=""/>
    <s v=""/>
    <n v="0"/>
    <n v="0"/>
    <s v=""/>
    <s v=""/>
    <s v=""/>
    <s v=""/>
    <s v=""/>
    <n v="0"/>
    <n v="0"/>
    <n v="0"/>
    <s v="Yes"/>
    <n v="0"/>
    <n v="0"/>
    <n v="0"/>
    <n v="0"/>
    <s v=""/>
    <s v=""/>
    <s v=""/>
    <n v="0"/>
    <n v="0"/>
    <n v="0"/>
    <n v="0"/>
    <n v="0"/>
    <n v="0"/>
    <n v="1428858"/>
    <n v="0"/>
    <n v="0"/>
    <n v="0"/>
    <n v="0"/>
    <e v="#N/A"/>
    <e v="#N/A"/>
    <s v=""/>
    <n v="0"/>
    <n v="0"/>
    <n v="0"/>
    <n v="0"/>
    <n v="0"/>
  </r>
  <r>
    <s v="IRQ"/>
    <x v="58"/>
    <x v="6"/>
    <x v="2"/>
    <x v="0"/>
    <x v="1"/>
    <n v="1"/>
    <n v="1932734"/>
    <n v="1932734"/>
    <n v="40222503"/>
    <n v="12066750.9"/>
    <x v="48"/>
    <x v="1"/>
    <n v="1"/>
    <n v="0"/>
    <s v=""/>
    <n v="0"/>
    <n v="0"/>
    <n v="0"/>
    <n v="0"/>
    <n v="0"/>
    <n v="0"/>
    <n v="0"/>
    <n v="0"/>
    <n v="0"/>
    <n v="0"/>
    <n v="0"/>
    <n v="1"/>
    <n v="1932734"/>
    <s v="Yes"/>
    <s v="Yes"/>
    <s v="No"/>
    <s v="No"/>
    <s v="Yes"/>
    <s v="Yes"/>
    <s v="No"/>
    <s v="No"/>
    <s v="No"/>
    <s v="N/A"/>
    <n v="0"/>
    <n v="0"/>
    <s v="IBRD"/>
    <n v="0"/>
    <s v=""/>
    <s v=""/>
    <s v=""/>
    <s v=""/>
    <s v=""/>
    <s v=""/>
    <n v="0"/>
    <n v="0"/>
    <s v=""/>
    <s v=""/>
    <s v=""/>
    <s v=""/>
    <s v=""/>
    <s v="Yes"/>
    <n v="0"/>
    <n v="0"/>
    <s v="Yes"/>
    <n v="0"/>
    <n v="0"/>
    <n v="0"/>
    <n v="0"/>
    <s v=""/>
    <s v=""/>
    <s v=""/>
    <n v="0"/>
    <n v="0"/>
    <n v="0"/>
    <n v="0"/>
    <n v="0"/>
    <n v="0"/>
    <n v="1932734"/>
    <n v="0"/>
    <n v="0"/>
    <n v="0"/>
    <n v="0"/>
    <e v="#N/A"/>
    <e v="#N/A"/>
    <s v=""/>
    <n v="0"/>
    <n v="0"/>
    <n v="0"/>
    <n v="0"/>
    <n v="0"/>
  </r>
  <r>
    <s v="JAM"/>
    <x v="59"/>
    <x v="3"/>
    <x v="2"/>
    <x v="1"/>
    <x v="1"/>
    <n v="0"/>
    <n v="0"/>
    <n v="0"/>
    <n v="2961161"/>
    <n v="888348.29999999993"/>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s v="Yes"/>
    <n v="0"/>
    <n v="0"/>
    <n v="0"/>
    <n v="0"/>
    <n v="0"/>
    <n v="0"/>
    <n v="0"/>
    <e v="#N/A"/>
    <e v="#N/A"/>
    <s v=""/>
    <n v="0"/>
    <n v="0"/>
    <n v="0"/>
    <n v="0"/>
    <n v="0"/>
  </r>
  <r>
    <s v="JOR"/>
    <x v="60"/>
    <x v="6"/>
    <x v="2"/>
    <x v="0"/>
    <x v="1"/>
    <n v="2"/>
    <n v="52752526"/>
    <n v="2752526"/>
    <n v="10203140"/>
    <n v="3060942"/>
    <x v="49"/>
    <x v="1"/>
    <n v="1"/>
    <n v="0"/>
    <s v=""/>
    <n v="0"/>
    <n v="0"/>
    <n v="0"/>
    <n v="0"/>
    <n v="0"/>
    <n v="0"/>
    <n v="1"/>
    <n v="2179126"/>
    <n v="0"/>
    <n v="0"/>
    <n v="0"/>
    <n v="1"/>
    <n v="573400"/>
    <s v="No"/>
    <s v="No"/>
    <s v="No"/>
    <s v="Yes"/>
    <s v="No"/>
    <s v="Yes"/>
    <s v="No"/>
    <s v="No"/>
    <s v="No"/>
    <s v="N/A"/>
    <n v="0"/>
    <n v="0"/>
    <s v="IDA"/>
    <s v="Approved"/>
    <n v="50000000"/>
    <n v="39150000"/>
    <n v="10800000"/>
    <s v=""/>
    <s v=""/>
    <s v=""/>
    <n v="0"/>
    <n v="0"/>
    <s v=""/>
    <s v=""/>
    <s v=""/>
    <s v=""/>
    <s v=""/>
    <n v="0"/>
    <n v="0"/>
    <n v="0"/>
    <s v="Yes"/>
    <n v="0"/>
    <n v="0"/>
    <n v="0"/>
    <n v="0"/>
    <s v=""/>
    <s v=""/>
    <s v=""/>
    <n v="0"/>
    <n v="0"/>
    <n v="0"/>
    <n v="0"/>
    <n v="2179126"/>
    <n v="0"/>
    <n v="573400"/>
    <n v="0"/>
    <n v="0"/>
    <n v="0"/>
    <n v="0"/>
    <e v="#N/A"/>
    <e v="#N/A"/>
    <s v=""/>
    <n v="0"/>
    <n v="0"/>
    <n v="0"/>
    <n v="0"/>
    <n v="0"/>
  </r>
  <r>
    <s v="KAZ"/>
    <x v="61"/>
    <x v="2"/>
    <x v="2"/>
    <x v="0"/>
    <x v="1"/>
    <n v="2"/>
    <n v="550000"/>
    <n v="550000"/>
    <n v="18776707"/>
    <n v="5633012.0999999996"/>
    <x v="50"/>
    <x v="1"/>
    <n v="1"/>
    <n v="0"/>
    <s v=""/>
    <n v="0"/>
    <n v="0"/>
    <n v="0"/>
    <n v="0"/>
    <n v="0"/>
    <n v="0"/>
    <n v="1"/>
    <n v="500000"/>
    <n v="0"/>
    <n v="0"/>
    <n v="0"/>
    <n v="1"/>
    <n v="50000"/>
    <s v="No"/>
    <s v="No"/>
    <s v="No"/>
    <s v="Yes"/>
    <s v="No"/>
    <s v="Yes"/>
    <s v="No"/>
    <s v="No"/>
    <s v="No"/>
    <n v="0"/>
    <n v="0"/>
    <n v="0"/>
    <s v="IDA"/>
    <n v="0"/>
    <s v=""/>
    <s v=""/>
    <s v=""/>
    <s v=""/>
    <s v=""/>
    <s v=""/>
    <n v="0"/>
    <n v="0"/>
    <s v=""/>
    <s v=""/>
    <s v=""/>
    <s v=""/>
    <s v=""/>
    <s v="Yes"/>
    <n v="0"/>
    <n v="0"/>
    <s v="Yes"/>
    <n v="0"/>
    <n v="0"/>
    <n v="0"/>
    <n v="0"/>
    <s v=""/>
    <s v=""/>
    <s v=""/>
    <n v="0"/>
    <n v="0"/>
    <n v="0"/>
    <n v="0"/>
    <n v="500000"/>
    <n v="0"/>
    <n v="50000"/>
    <n v="0"/>
    <n v="0"/>
    <n v="0"/>
    <n v="0"/>
    <e v="#N/A"/>
    <e v="#N/A"/>
    <s v=""/>
    <n v="0"/>
    <n v="0"/>
    <n v="0"/>
    <n v="0"/>
    <n v="0"/>
  </r>
  <r>
    <s v="KEN"/>
    <x v="62"/>
    <x v="1"/>
    <x v="1"/>
    <x v="0"/>
    <x v="0"/>
    <n v="4"/>
    <n v="134428892"/>
    <n v="23088892"/>
    <n v="53771300"/>
    <n v="16131390"/>
    <x v="51"/>
    <x v="0"/>
    <n v="1"/>
    <n v="1"/>
    <n v="18660000"/>
    <n v="0"/>
    <n v="0"/>
    <n v="0"/>
    <n v="0"/>
    <n v="0"/>
    <n v="0"/>
    <n v="1"/>
    <n v="2250000"/>
    <n v="0"/>
    <n v="1"/>
    <n v="1678892"/>
    <n v="1"/>
    <n v="500000"/>
    <s v="No"/>
    <s v="No"/>
    <s v="No"/>
    <s v="Yes"/>
    <s v="No"/>
    <s v="Yes"/>
    <s v="Yes"/>
    <s v="Yes"/>
    <s v="Yes"/>
    <s v="High"/>
    <n v="0"/>
    <n v="0"/>
    <s v="IDA"/>
    <s v="Approved"/>
    <n v="130000000"/>
    <n v="130000000"/>
    <n v="0"/>
    <n v="108360000"/>
    <n v="18660000"/>
    <n v="2980000"/>
    <n v="0"/>
    <n v="0"/>
    <s v=""/>
    <s v=""/>
    <s v=""/>
    <s v=""/>
    <s v=""/>
    <s v="Yes"/>
    <n v="0"/>
    <n v="0"/>
    <s v="Yes"/>
    <n v="0"/>
    <n v="0"/>
    <n v="0"/>
    <n v="0"/>
    <s v=""/>
    <s v=""/>
    <s v=""/>
    <n v="0"/>
    <n v="0"/>
    <n v="0"/>
    <s v="Yes"/>
    <n v="2250000"/>
    <n v="0"/>
    <n v="500000"/>
    <n v="301320"/>
    <n v="196345"/>
    <n v="0"/>
    <n v="0"/>
    <s v="Yes"/>
    <n v="1181227"/>
    <s v="GAVI"/>
    <n v="0"/>
    <n v="0"/>
    <n v="0"/>
    <n v="0"/>
    <n v="0"/>
  </r>
  <r>
    <s v="KGZ"/>
    <x v="63"/>
    <x v="2"/>
    <x v="1"/>
    <x v="0"/>
    <x v="0"/>
    <n v="4"/>
    <n v="45680581"/>
    <n v="5660581"/>
    <n v="6524191"/>
    <n v="1957257.2999999998"/>
    <x v="52"/>
    <x v="0"/>
    <n v="1"/>
    <n v="1"/>
    <n v="2980000"/>
    <n v="0"/>
    <n v="0"/>
    <n v="0"/>
    <n v="0"/>
    <n v="1"/>
    <n v="23000000"/>
    <n v="1"/>
    <n v="1000000"/>
    <n v="0"/>
    <n v="1"/>
    <n v="460581"/>
    <n v="1"/>
    <n v="1220000"/>
    <s v="No"/>
    <s v="No"/>
    <s v="No"/>
    <s v="Yes"/>
    <s v="No"/>
    <s v="Yes"/>
    <s v="Yes"/>
    <s v="Yes"/>
    <s v="No"/>
    <s v="Moderate"/>
    <s v="Yes"/>
    <n v="0"/>
    <s v="IDA"/>
    <s v="Approved"/>
    <n v="20000000"/>
    <n v="10000000"/>
    <n v="10000000"/>
    <n v="16500000"/>
    <n v="2980000"/>
    <n v="500000"/>
    <n v="0"/>
    <n v="0"/>
    <s v=""/>
    <s v=""/>
    <s v=""/>
    <s v=""/>
    <s v=""/>
    <s v="Yes"/>
    <s v="Requested"/>
    <n v="23000000"/>
    <s v="Yes"/>
    <n v="0"/>
    <n v="0"/>
    <n v="0"/>
    <n v="0"/>
    <s v=""/>
    <s v=""/>
    <s v=""/>
    <n v="0"/>
    <n v="0"/>
    <n v="0"/>
    <n v="0"/>
    <n v="1000000"/>
    <n v="0"/>
    <n v="1220000"/>
    <n v="87264"/>
    <n v="161891"/>
    <n v="0"/>
    <n v="0"/>
    <s v="Yes"/>
    <n v="211426"/>
    <s v="GAVI"/>
    <n v="0"/>
    <n v="0"/>
    <n v="0"/>
    <n v="0"/>
    <n v="0"/>
  </r>
  <r>
    <s v="KHM"/>
    <x v="64"/>
    <x v="5"/>
    <x v="1"/>
    <x v="0"/>
    <x v="0"/>
    <n v="3"/>
    <n v="10665344"/>
    <n v="10665344"/>
    <n v="16718971.000000002"/>
    <n v="5015691.3000000007"/>
    <x v="53"/>
    <x v="0"/>
    <n v="1"/>
    <n v="1"/>
    <n v="3500000"/>
    <n v="0"/>
    <n v="0"/>
    <n v="0"/>
    <n v="0"/>
    <n v="0"/>
    <n v="0"/>
    <n v="1"/>
    <n v="6457549"/>
    <n v="0"/>
    <n v="1"/>
    <n v="707795"/>
    <n v="0"/>
    <n v="0"/>
    <s v="Yes"/>
    <s v="Yes"/>
    <s v="No"/>
    <s v="No"/>
    <s v="Yes"/>
    <s v="Yes"/>
    <s v="Yes"/>
    <s v="Yes"/>
    <s v="No"/>
    <s v="Low"/>
    <n v="0"/>
    <n v="0"/>
    <s v="IBRD"/>
    <s v="Approved"/>
    <n v="3500000"/>
    <n v="0"/>
    <n v="3500000"/>
    <n v="0"/>
    <n v="3500000"/>
    <n v="0"/>
    <n v="0"/>
    <s v="Under Preparation"/>
    <n v="0"/>
    <s v=""/>
    <s v=""/>
    <s v=""/>
    <s v=""/>
    <n v="0"/>
    <n v="0"/>
    <n v="0"/>
    <s v="Yes"/>
    <n v="0"/>
    <n v="0"/>
    <n v="0"/>
    <n v="0"/>
    <s v=""/>
    <s v=""/>
    <s v=""/>
    <n v="0"/>
    <n v="0"/>
    <n v="0"/>
    <n v="0"/>
    <n v="0"/>
    <n v="907588"/>
    <n v="0"/>
    <n v="110970"/>
    <n v="136826"/>
    <n v="5549961"/>
    <n v="0"/>
    <s v="Yes"/>
    <n v="459999"/>
    <s v="GAVI"/>
    <n v="0"/>
    <n v="0"/>
    <n v="0"/>
    <n v="0"/>
    <n v="0"/>
  </r>
  <r>
    <s v="KIR"/>
    <x v="65"/>
    <x v="5"/>
    <x v="1"/>
    <x v="1"/>
    <x v="0"/>
    <n v="1"/>
    <n v="50166"/>
    <n v="50166"/>
    <n v="119446"/>
    <n v="35833.799999999996"/>
    <x v="54"/>
    <x v="1"/>
    <n v="1"/>
    <n v="0"/>
    <s v=""/>
    <n v="0"/>
    <n v="0"/>
    <n v="0"/>
    <n v="0"/>
    <n v="0"/>
    <n v="0"/>
    <n v="0"/>
    <n v="0"/>
    <n v="0"/>
    <n v="1"/>
    <n v="50166"/>
    <n v="0"/>
    <n v="0"/>
    <s v="No"/>
    <s v="No"/>
    <s v="Yes"/>
    <s v="Yes"/>
    <s v="No"/>
    <s v="Yes"/>
    <s v="No"/>
    <s v="Yes"/>
    <s v="No"/>
    <s v="High"/>
    <n v="0"/>
    <n v="0"/>
    <s v="Blend"/>
    <n v="0"/>
    <s v=""/>
    <s v=""/>
    <s v=""/>
    <s v=""/>
    <s v=""/>
    <s v=""/>
    <n v="0"/>
    <n v="0"/>
    <s v=""/>
    <s v=""/>
    <s v=""/>
    <s v=""/>
    <s v=""/>
    <n v="0"/>
    <n v="0"/>
    <n v="0"/>
    <n v="0"/>
    <n v="0"/>
    <n v="0"/>
    <n v="0"/>
    <n v="0"/>
    <s v=""/>
    <s v=""/>
    <s v=""/>
    <n v="0"/>
    <n v="0"/>
    <n v="0"/>
    <n v="0"/>
    <n v="0"/>
    <n v="0"/>
    <n v="0"/>
    <n v="50166"/>
    <n v="0"/>
    <n v="0"/>
    <n v="0"/>
    <s v="N/A"/>
    <s v=" $-   "/>
    <s v="UNICEF"/>
    <n v="0"/>
    <n v="0"/>
    <n v="0"/>
    <n v="0"/>
    <n v="0"/>
  </r>
  <r>
    <s v="KNA"/>
    <x v="66"/>
    <x v="3"/>
    <x v="3"/>
    <x v="1"/>
    <x v="1"/>
    <n v="0"/>
    <n v="0"/>
    <n v="0"/>
    <n v="21413250"/>
    <n v="642397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LAO"/>
    <x v="67"/>
    <x v="5"/>
    <x v="1"/>
    <x v="0"/>
    <x v="0"/>
    <n v="4"/>
    <n v="20275792"/>
    <n v="10875792"/>
    <n v="7275556"/>
    <n v="2182666.7999999998"/>
    <x v="55"/>
    <x v="0"/>
    <n v="1"/>
    <n v="1"/>
    <n v="5600000"/>
    <n v="0"/>
    <n v="0"/>
    <n v="0"/>
    <n v="0"/>
    <n v="0"/>
    <n v="0"/>
    <n v="1"/>
    <n v="4610555"/>
    <n v="0"/>
    <n v="1"/>
    <n v="315237"/>
    <n v="1"/>
    <n v="350000"/>
    <s v="No"/>
    <s v="No"/>
    <s v="No"/>
    <s v="Yes"/>
    <s v="No"/>
    <s v="Yes"/>
    <s v="Yes"/>
    <s v="Yes"/>
    <s v="No"/>
    <s v="High"/>
    <s v="Yes"/>
    <n v="0"/>
    <s v="IDA"/>
    <s v="Approved"/>
    <n v="15000000"/>
    <n v="10000000"/>
    <n v="4950000"/>
    <n v="9000000"/>
    <n v="5600000"/>
    <n v="400000"/>
    <n v="0"/>
    <n v="0"/>
    <s v=""/>
    <s v=""/>
    <s v=""/>
    <s v=""/>
    <s v=""/>
    <n v="0"/>
    <n v="0"/>
    <n v="0"/>
    <n v="0"/>
    <n v="0"/>
    <n v="0"/>
    <n v="0"/>
    <n v="0"/>
    <s v=""/>
    <s v=""/>
    <s v=""/>
    <s v="Yes"/>
    <n v="66000"/>
    <n v="0"/>
    <n v="0"/>
    <n v="500000"/>
    <n v="1163677"/>
    <n v="350000"/>
    <n v="71667"/>
    <n v="177570"/>
    <n v="2946878"/>
    <n v="0"/>
    <s v="Yes"/>
    <s v=" $-   "/>
    <s v="GAVI"/>
    <n v="0"/>
    <n v="0"/>
    <n v="0"/>
    <n v="0"/>
    <n v="0"/>
  </r>
  <r>
    <s v="LBN"/>
    <x v="68"/>
    <x v="6"/>
    <x v="2"/>
    <x v="0"/>
    <x v="1"/>
    <n v="2"/>
    <n v="36453386"/>
    <n v="11453386"/>
    <n v="6825442"/>
    <n v="2047632.5999999999"/>
    <x v="56"/>
    <x v="0"/>
    <n v="1"/>
    <n v="1"/>
    <n v="9000000"/>
    <n v="0"/>
    <n v="0"/>
    <n v="0"/>
    <n v="0"/>
    <n v="0"/>
    <n v="0"/>
    <n v="0"/>
    <n v="0"/>
    <n v="0"/>
    <n v="0"/>
    <n v="0"/>
    <n v="1"/>
    <n v="2453386"/>
    <s v="No"/>
    <s v="No"/>
    <s v="No"/>
    <s v="Yes"/>
    <s v="No"/>
    <s v="Yes"/>
    <s v="No"/>
    <s v="No"/>
    <s v="No"/>
    <s v="N/A"/>
    <n v="0"/>
    <n v="0"/>
    <s v="IDA"/>
    <s v="Approved"/>
    <n v="34000000"/>
    <n v="34000000"/>
    <n v="0"/>
    <n v="25000000"/>
    <n v="9000000"/>
    <n v="0"/>
    <n v="0"/>
    <n v="0"/>
    <s v=""/>
    <s v=""/>
    <s v=""/>
    <s v=""/>
    <s v=""/>
    <n v="0"/>
    <n v="0"/>
    <n v="0"/>
    <n v="0"/>
    <n v="0"/>
    <n v="0"/>
    <n v="0"/>
    <n v="0"/>
    <s v=""/>
    <s v=""/>
    <s v=""/>
    <n v="0"/>
    <n v="0"/>
    <n v="0"/>
    <n v="0"/>
    <n v="0"/>
    <n v="0"/>
    <n v="2453386"/>
    <n v="0"/>
    <n v="0"/>
    <n v="0"/>
    <n v="0"/>
    <e v="#N/A"/>
    <e v="#N/A"/>
    <s v=""/>
    <n v="0"/>
    <n v="0"/>
    <n v="0"/>
    <n v="0"/>
    <n v="0"/>
  </r>
  <r>
    <s v="LBR"/>
    <x v="69"/>
    <x v="4"/>
    <x v="0"/>
    <x v="0"/>
    <x v="0"/>
    <n v="4"/>
    <n v="10533556.23"/>
    <n v="4233556.2300000004"/>
    <n v="5057677"/>
    <n v="1517303.0999999999"/>
    <x v="57"/>
    <x v="0"/>
    <n v="1"/>
    <n v="1"/>
    <n v="1700000"/>
    <n v="0"/>
    <n v="0"/>
    <n v="0"/>
    <n v="0"/>
    <n v="0"/>
    <n v="0"/>
    <n v="1"/>
    <n v="1500000"/>
    <n v="0"/>
    <n v="1"/>
    <n v="446684.23"/>
    <n v="1"/>
    <n v="586872"/>
    <s v="Yes"/>
    <s v="Yes"/>
    <s v="No"/>
    <s v="No"/>
    <s v="Yes"/>
    <s v="Yes"/>
    <s v="Yes"/>
    <s v="Yes"/>
    <s v="No"/>
    <s v="High"/>
    <n v="0"/>
    <n v="0"/>
    <s v="IBRD"/>
    <s v="Approved"/>
    <n v="8000000"/>
    <n v="0"/>
    <n v="8000000"/>
    <n v="4520000"/>
    <n v="1700000"/>
    <n v="1780000"/>
    <n v="0"/>
    <n v="0"/>
    <s v=""/>
    <s v=""/>
    <s v=""/>
    <s v=""/>
    <s v=""/>
    <n v="0"/>
    <n v="0"/>
    <n v="0"/>
    <n v="0"/>
    <n v="0"/>
    <n v="0"/>
    <n v="0"/>
    <n v="0"/>
    <s v=""/>
    <s v=""/>
    <s v=""/>
    <n v="0"/>
    <n v="0"/>
    <n v="0"/>
    <n v="0"/>
    <n v="1500000"/>
    <n v="0"/>
    <n v="586872"/>
    <n v="137535"/>
    <n v="147123.23000000001"/>
    <n v="0"/>
    <n v="0"/>
    <s v="Yes"/>
    <n v="162026"/>
    <s v="GAVI"/>
    <n v="0"/>
    <n v="0"/>
    <n v="0"/>
    <n v="0"/>
    <n v="0"/>
  </r>
  <r>
    <s v="LBY"/>
    <x v="70"/>
    <x v="6"/>
    <x v="2"/>
    <x v="0"/>
    <x v="1"/>
    <n v="0"/>
    <n v="0"/>
    <n v="0"/>
    <n v="6871287"/>
    <n v="2061386.0999999999"/>
    <x v="5"/>
    <x v="1"/>
    <n v="0"/>
    <n v="0"/>
    <s v=""/>
    <n v="0"/>
    <n v="0"/>
    <n v="0"/>
    <n v="0"/>
    <n v="0"/>
    <n v="0"/>
    <n v="0"/>
    <n v="0"/>
    <n v="0"/>
    <n v="0"/>
    <n v="0"/>
    <n v="0"/>
    <n v="0"/>
    <s v="No"/>
    <s v="No"/>
    <s v="No"/>
    <s v="Yes"/>
    <s v="No"/>
    <s v="Yes"/>
    <s v="No"/>
    <s v="No"/>
    <s v="No"/>
    <s v="N/A"/>
    <n v="0"/>
    <n v="0"/>
    <s v="IDA"/>
    <n v="0"/>
    <s v=""/>
    <s v=""/>
    <s v=""/>
    <s v=""/>
    <s v=""/>
    <s v=""/>
    <n v="0"/>
    <n v="0"/>
    <s v=""/>
    <s v=""/>
    <s v=""/>
    <s v=""/>
    <s v=""/>
    <n v="0"/>
    <n v="0"/>
    <n v="0"/>
    <n v="0"/>
    <n v="0"/>
    <n v="0"/>
    <n v="0"/>
    <n v="0"/>
    <s v=""/>
    <s v=""/>
    <s v=""/>
    <n v="0"/>
    <n v="0"/>
    <n v="0"/>
    <n v="0"/>
    <n v="0"/>
    <n v="0"/>
    <n v="0"/>
    <n v="0"/>
    <n v="0"/>
    <n v="0"/>
    <n v="0"/>
    <e v="#N/A"/>
    <e v="#N/A"/>
    <s v=""/>
    <n v="0"/>
    <n v="0"/>
    <n v="0"/>
    <n v="0"/>
    <n v="0"/>
  </r>
  <r>
    <s v="LCA"/>
    <x v="71"/>
    <x v="3"/>
    <x v="2"/>
    <x v="1"/>
    <x v="0"/>
    <n v="2"/>
    <n v="125000"/>
    <n v="125000"/>
    <n v="21413250"/>
    <n v="6423975"/>
    <x v="58"/>
    <x v="1"/>
    <n v="1"/>
    <n v="0"/>
    <s v=""/>
    <n v="0"/>
    <n v="0"/>
    <n v="0"/>
    <n v="0"/>
    <n v="0"/>
    <n v="0"/>
    <n v="0"/>
    <n v="0"/>
    <n v="0"/>
    <n v="1"/>
    <n v="50000"/>
    <n v="1"/>
    <n v="75000"/>
    <s v="Yes"/>
    <s v="Yes"/>
    <s v="No"/>
    <s v="No"/>
    <s v="Yes"/>
    <s v="Yes"/>
    <s v="No"/>
    <s v="Yes"/>
    <s v="Yes"/>
    <s v="…"/>
    <n v="0"/>
    <n v="0"/>
    <s v="IBRD"/>
    <n v="0"/>
    <s v=""/>
    <s v=""/>
    <s v=""/>
    <s v=""/>
    <s v=""/>
    <s v=""/>
    <n v="0"/>
    <n v="0"/>
    <s v=""/>
    <s v=""/>
    <s v=""/>
    <s v=""/>
    <s v=""/>
    <s v="Yes"/>
    <n v="0"/>
    <n v="0"/>
    <n v="0"/>
    <n v="0"/>
    <n v="0"/>
    <n v="0"/>
    <n v="0"/>
    <s v=""/>
    <s v=""/>
    <s v=""/>
    <n v="0"/>
    <n v="0"/>
    <n v="0"/>
    <n v="0"/>
    <n v="0"/>
    <n v="0"/>
    <n v="75000"/>
    <n v="0"/>
    <n v="50000"/>
    <n v="0"/>
    <n v="0"/>
    <s v="N/A"/>
    <s v=" $-   "/>
    <s v="UNICEF"/>
    <n v="0"/>
    <n v="0"/>
    <n v="0"/>
    <n v="0"/>
    <n v="0"/>
  </r>
  <r>
    <s v="LKA"/>
    <x v="72"/>
    <x v="0"/>
    <x v="1"/>
    <x v="0"/>
    <x v="0"/>
    <n v="5"/>
    <n v="234536767"/>
    <n v="92106767"/>
    <n v="21413250"/>
    <n v="6423975"/>
    <x v="59"/>
    <x v="0"/>
    <n v="1"/>
    <n v="1"/>
    <n v="39100000"/>
    <n v="0"/>
    <n v="0"/>
    <n v="1"/>
    <n v="48970000"/>
    <n v="0"/>
    <n v="0"/>
    <n v="1"/>
    <n v="2952994"/>
    <n v="0"/>
    <n v="1"/>
    <n v="583773"/>
    <n v="1"/>
    <n v="500000"/>
    <s v="Yes"/>
    <s v="Yes"/>
    <s v="No"/>
    <s v="No"/>
    <s v="Yes"/>
    <s v="Yes"/>
    <s v="No"/>
    <s v="No"/>
    <s v="No"/>
    <s v="N/A"/>
    <n v="0"/>
    <n v="0"/>
    <s v="IBRD"/>
    <s v="Approved"/>
    <n v="80500000"/>
    <n v="80500000"/>
    <n v="0"/>
    <n v="41400000"/>
    <n v="39100000"/>
    <n v="0"/>
    <n v="0"/>
    <s v="Approved"/>
    <s v="Loan"/>
    <n v="150000000"/>
    <n v="84000000"/>
    <n v="48970000"/>
    <n v="17030000"/>
    <s v="Yes"/>
    <n v="0"/>
    <n v="0"/>
    <n v="0"/>
    <n v="0"/>
    <n v="0"/>
    <n v="0"/>
    <n v="0"/>
    <s v=""/>
    <s v=""/>
    <s v=""/>
    <n v="0"/>
    <n v="0"/>
    <n v="0"/>
    <n v="0"/>
    <n v="0"/>
    <n v="2952994"/>
    <n v="500000"/>
    <n v="49680"/>
    <n v="160000"/>
    <n v="0"/>
    <n v="0"/>
    <s v="Yes"/>
    <n v="374093"/>
    <s v="UNICEF"/>
    <n v="0"/>
    <n v="0"/>
    <n v="0"/>
    <n v="0"/>
    <n v="0"/>
  </r>
  <r>
    <s v="LSO"/>
    <x v="73"/>
    <x v="1"/>
    <x v="1"/>
    <x v="0"/>
    <x v="0"/>
    <n v="4"/>
    <n v="26953428"/>
    <n v="6953428"/>
    <n v="2142252"/>
    <n v="642675.6"/>
    <x v="60"/>
    <x v="0"/>
    <n v="1"/>
    <n v="1"/>
    <n v="5500000"/>
    <n v="0"/>
    <n v="0"/>
    <n v="0"/>
    <n v="0"/>
    <n v="0"/>
    <n v="0"/>
    <n v="1"/>
    <n v="1000000"/>
    <n v="0"/>
    <n v="1"/>
    <n v="333428"/>
    <n v="1"/>
    <n v="120000"/>
    <s v="Yes"/>
    <s v="Yes"/>
    <s v="No"/>
    <s v="No"/>
    <s v="Yes"/>
    <s v="Yes"/>
    <s v="Yes"/>
    <s v="Yes"/>
    <s v="Yes"/>
    <s v="Moderate"/>
    <s v="Yes"/>
    <n v="0"/>
    <s v="IBRD"/>
    <s v="Approved"/>
    <n v="25500000"/>
    <n v="25500000"/>
    <n v="0"/>
    <n v="14000000"/>
    <n v="5500000"/>
    <n v="6000000"/>
    <n v="0"/>
    <n v="0"/>
    <s v=""/>
    <s v=""/>
    <s v=""/>
    <s v=""/>
    <s v=""/>
    <n v="0"/>
    <n v="0"/>
    <n v="0"/>
    <n v="0"/>
    <n v="0"/>
    <n v="0"/>
    <n v="0"/>
    <n v="0"/>
    <s v=""/>
    <s v=""/>
    <s v=""/>
    <n v="0"/>
    <n v="0"/>
    <n v="0"/>
    <n v="0"/>
    <n v="1000000"/>
    <n v="0"/>
    <n v="120000"/>
    <n v="129384"/>
    <n v="117165"/>
    <n v="0"/>
    <n v="0"/>
    <s v="Yes"/>
    <n v="86879"/>
    <s v="GAVI"/>
    <n v="0"/>
    <n v="0"/>
    <n v="0"/>
    <n v="0"/>
    <n v="0"/>
  </r>
  <r>
    <s v="MAR"/>
    <x v="74"/>
    <x v="6"/>
    <x v="1"/>
    <x v="0"/>
    <x v="0"/>
    <n v="2"/>
    <n v="2587600"/>
    <n v="2587600"/>
    <n v="36910558"/>
    <n v="11073167.4"/>
    <x v="61"/>
    <x v="1"/>
    <n v="1"/>
    <n v="0"/>
    <s v=""/>
    <n v="0"/>
    <n v="0"/>
    <n v="0"/>
    <n v="0"/>
    <n v="0"/>
    <n v="0"/>
    <n v="1"/>
    <n v="2500000"/>
    <n v="0"/>
    <n v="1"/>
    <n v="87600"/>
    <n v="0"/>
    <n v="0"/>
    <s v="Yes"/>
    <s v="Yes"/>
    <s v="No"/>
    <s v="No"/>
    <s v="Yes"/>
    <s v="Yes"/>
    <s v="No"/>
    <s v="No"/>
    <s v="No"/>
    <s v="N/A"/>
    <n v="0"/>
    <n v="0"/>
    <s v="IBRD"/>
    <n v="0"/>
    <s v=""/>
    <s v=""/>
    <s v=""/>
    <s v=""/>
    <s v=""/>
    <s v=""/>
    <n v="0"/>
    <n v="0"/>
    <s v=""/>
    <s v=""/>
    <s v=""/>
    <s v=""/>
    <s v=""/>
    <s v="Yes"/>
    <n v="0"/>
    <n v="0"/>
    <n v="0"/>
    <n v="0"/>
    <n v="0"/>
    <n v="0"/>
    <n v="0"/>
    <s v=""/>
    <s v=""/>
    <s v=""/>
    <n v="0"/>
    <n v="0"/>
    <n v="0"/>
    <n v="0"/>
    <n v="2500000"/>
    <n v="0"/>
    <n v="0"/>
    <n v="21600"/>
    <n v="66000"/>
    <n v="0"/>
    <n v="0"/>
    <n v="0"/>
    <s v=" $-   "/>
    <s v="UNICEF"/>
    <n v="0"/>
    <n v="0"/>
    <n v="0"/>
    <n v="0"/>
    <n v="0"/>
  </r>
  <r>
    <s v="MDA"/>
    <x v="75"/>
    <x v="2"/>
    <x v="2"/>
    <x v="0"/>
    <x v="0"/>
    <n v="4"/>
    <n v="31898756.949999999"/>
    <n v="11698756.949999999"/>
    <n v="115021"/>
    <n v="34506.299999999996"/>
    <x v="62"/>
    <x v="0"/>
    <n v="1"/>
    <n v="1"/>
    <n v="9800000"/>
    <n v="0"/>
    <n v="0"/>
    <n v="0"/>
    <n v="0"/>
    <n v="0"/>
    <n v="0"/>
    <n v="1"/>
    <n v="1000000"/>
    <n v="0"/>
    <n v="1"/>
    <n v="226256.95"/>
    <n v="1"/>
    <n v="672500"/>
    <s v="Yes"/>
    <s v="Yes"/>
    <s v="No"/>
    <s v="No"/>
    <s v="Yes"/>
    <s v="Yes"/>
    <s v="No"/>
    <s v="Yes"/>
    <s v="No"/>
    <s v="Low"/>
    <n v="0"/>
    <n v="0"/>
    <s v="IBRD"/>
    <s v="Approved"/>
    <n v="30000000"/>
    <n v="30000000"/>
    <n v="0"/>
    <n v="20100000"/>
    <n v="9800000"/>
    <n v="0"/>
    <n v="0"/>
    <n v="0"/>
    <s v=""/>
    <s v=""/>
    <s v=""/>
    <s v=""/>
    <s v=""/>
    <n v="0"/>
    <n v="0"/>
    <n v="0"/>
    <n v="0"/>
    <n v="0"/>
    <n v="0"/>
    <n v="0"/>
    <n v="0"/>
    <s v=""/>
    <s v=""/>
    <s v=""/>
    <n v="0"/>
    <n v="0"/>
    <n v="0"/>
    <n v="0"/>
    <n v="1000000"/>
    <n v="0"/>
    <n v="672500"/>
    <n v="40608"/>
    <n v="94999.950000000012"/>
    <n v="0"/>
    <n v="0"/>
    <s v="Yes"/>
    <n v="90649"/>
    <s v="UNICEF"/>
    <n v="0"/>
    <n v="0"/>
    <n v="0"/>
    <n v="0"/>
    <n v="0"/>
  </r>
  <r>
    <s v="MDG"/>
    <x v="76"/>
    <x v="1"/>
    <x v="0"/>
    <x v="0"/>
    <x v="0"/>
    <n v="3"/>
    <n v="103360636.76000001"/>
    <n v="29860636.759999998"/>
    <n v="27691019"/>
    <n v="8307305.6999999993"/>
    <x v="63"/>
    <x v="0"/>
    <n v="1"/>
    <n v="1"/>
    <n v="26500000"/>
    <n v="0"/>
    <n v="0"/>
    <n v="0"/>
    <n v="0"/>
    <n v="0"/>
    <n v="0"/>
    <n v="0"/>
    <n v="0"/>
    <n v="0"/>
    <n v="1"/>
    <n v="2260636.7599999998"/>
    <n v="1"/>
    <n v="1100000"/>
    <s v="No"/>
    <s v="No"/>
    <s v="Yes"/>
    <s v="Yes"/>
    <s v="No"/>
    <s v="Yes"/>
    <s v="No"/>
    <s v="Yes"/>
    <s v="Yes"/>
    <s v="Moderate"/>
    <s v="Yes"/>
    <n v="0"/>
    <s v="Blend"/>
    <s v="Approved"/>
    <n v="100000000"/>
    <n v="0"/>
    <n v="100000000"/>
    <n v="71000000"/>
    <n v="26500000"/>
    <n v="2500000"/>
    <n v="0"/>
    <n v="0"/>
    <s v=""/>
    <s v=""/>
    <s v=""/>
    <s v=""/>
    <s v=""/>
    <n v="0"/>
    <n v="0"/>
    <n v="0"/>
    <s v="Yes"/>
    <n v="0"/>
    <n v="0"/>
    <n v="0"/>
    <n v="0"/>
    <s v=""/>
    <s v=""/>
    <s v=""/>
    <s v="Yes"/>
    <n v="533106"/>
    <n v="0"/>
    <n v="0"/>
    <n v="0"/>
    <n v="0"/>
    <n v="1100000"/>
    <n v="545358.96"/>
    <n v="487213.8"/>
    <n v="0"/>
    <n v="0"/>
    <s v="Yes"/>
    <n v="694958"/>
    <s v="GAVI"/>
    <n v="0"/>
    <n v="0"/>
    <n v="0"/>
    <n v="0"/>
    <n v="0"/>
  </r>
  <r>
    <s v="MDV"/>
    <x v="77"/>
    <x v="0"/>
    <x v="2"/>
    <x v="1"/>
    <x v="0"/>
    <n v="3"/>
    <n v="9785051"/>
    <n v="1785051"/>
    <n v="540542"/>
    <n v="162162.6"/>
    <x v="64"/>
    <x v="1"/>
    <n v="1"/>
    <n v="0"/>
    <s v=""/>
    <n v="0"/>
    <n v="0"/>
    <n v="0"/>
    <n v="0"/>
    <n v="1"/>
    <n v="8000000"/>
    <n v="1"/>
    <n v="1032719"/>
    <n v="0"/>
    <n v="1"/>
    <n v="674991"/>
    <n v="1"/>
    <n v="77341"/>
    <s v="Yes"/>
    <s v="Yes"/>
    <s v="No"/>
    <s v="No"/>
    <s v="Yes"/>
    <s v="Yes"/>
    <s v="No"/>
    <s v="Yes"/>
    <s v="Yes"/>
    <s v="High"/>
    <n v="0"/>
    <n v="0"/>
    <s v="IBRD"/>
    <n v="0"/>
    <s v=""/>
    <s v=""/>
    <s v=""/>
    <s v=""/>
    <s v=""/>
    <s v=""/>
    <n v="0"/>
    <s v="Under Preparation"/>
    <n v="0"/>
    <s v=""/>
    <s v=""/>
    <s v=""/>
    <s v=""/>
    <n v="0"/>
    <s v="Requested"/>
    <n v="8000000"/>
    <n v="0"/>
    <n v="0"/>
    <n v="0"/>
    <n v="0"/>
    <n v="0"/>
    <s v=""/>
    <s v=""/>
    <s v=""/>
    <n v="0"/>
    <n v="0"/>
    <n v="0"/>
    <n v="0"/>
    <n v="0"/>
    <n v="1032719"/>
    <n v="77341"/>
    <n v="124965"/>
    <n v="490000.00000000006"/>
    <n v="0"/>
    <n v="0"/>
    <s v="Yes"/>
    <n v="60026"/>
    <s v="UNICEF"/>
    <n v="0"/>
    <n v="0"/>
    <n v="0"/>
    <n v="0"/>
    <n v="0"/>
  </r>
  <r>
    <s v="MEX"/>
    <x v="78"/>
    <x v="3"/>
    <x v="2"/>
    <x v="0"/>
    <x v="1"/>
    <n v="0"/>
    <n v="0"/>
    <n v="0"/>
    <n v="128932753"/>
    <n v="38679825.899999999"/>
    <x v="5"/>
    <x v="1"/>
    <n v="0"/>
    <n v="0"/>
    <s v=""/>
    <n v="0"/>
    <n v="0"/>
    <n v="0"/>
    <n v="0"/>
    <n v="0"/>
    <n v="0"/>
    <n v="0"/>
    <n v="0"/>
    <n v="0"/>
    <n v="0"/>
    <n v="0"/>
    <n v="0"/>
    <n v="0"/>
    <s v="Yes"/>
    <s v="Yes"/>
    <s v="No"/>
    <s v="No"/>
    <s v="Yes"/>
    <s v="Yes"/>
    <s v="No"/>
    <s v="No"/>
    <s v="No"/>
    <n v="0"/>
    <n v="0"/>
    <n v="0"/>
    <s v="IBRD"/>
    <n v="0"/>
    <s v=""/>
    <s v=""/>
    <s v=""/>
    <s v=""/>
    <s v=""/>
    <s v=""/>
    <n v="0"/>
    <n v="0"/>
    <s v=""/>
    <s v=""/>
    <s v=""/>
    <s v=""/>
    <s v=""/>
    <s v="Yes"/>
    <n v="0"/>
    <n v="0"/>
    <n v="0"/>
    <n v="0"/>
    <n v="0"/>
    <s v="Yes"/>
    <n v="0"/>
    <s v=""/>
    <s v=""/>
    <s v=""/>
    <n v="0"/>
    <n v="0"/>
    <n v="0"/>
    <n v="0"/>
    <n v="0"/>
    <n v="0"/>
    <n v="0"/>
    <n v="0"/>
    <n v="0"/>
    <n v="0"/>
    <n v="0"/>
    <e v="#N/A"/>
    <e v="#N/A"/>
    <s v=""/>
    <n v="0"/>
    <n v="0"/>
    <n v="0"/>
    <n v="0"/>
    <n v="0"/>
  </r>
  <r>
    <s v="MHL"/>
    <x v="79"/>
    <x v="5"/>
    <x v="2"/>
    <x v="1"/>
    <x v="1"/>
    <n v="1"/>
    <n v="134120"/>
    <n v="134120"/>
    <n v="59194"/>
    <n v="17758.2"/>
    <x v="65"/>
    <x v="1"/>
    <n v="1"/>
    <n v="0"/>
    <s v=""/>
    <n v="0"/>
    <n v="0"/>
    <n v="0"/>
    <n v="0"/>
    <n v="0"/>
    <n v="0"/>
    <n v="0"/>
    <n v="0"/>
    <n v="0"/>
    <n v="1"/>
    <n v="134120"/>
    <n v="0"/>
    <n v="0"/>
    <s v="No"/>
    <s v="No"/>
    <s v="No"/>
    <s v="Yes"/>
    <s v="No"/>
    <s v="Yes"/>
    <s v="No"/>
    <s v="No"/>
    <s v="No"/>
    <n v="0"/>
    <n v="0"/>
    <n v="0"/>
    <s v="IDA"/>
    <n v="0"/>
    <s v=""/>
    <s v=""/>
    <s v=""/>
    <s v=""/>
    <s v=""/>
    <s v=""/>
    <n v="0"/>
    <n v="0"/>
    <s v=""/>
    <s v=""/>
    <s v=""/>
    <s v=""/>
    <s v=""/>
    <n v="0"/>
    <n v="0"/>
    <n v="0"/>
    <s v="Yes"/>
    <n v="0"/>
    <n v="0"/>
    <n v="0"/>
    <n v="0"/>
    <s v=""/>
    <s v=""/>
    <s v=""/>
    <n v="0"/>
    <n v="0"/>
    <n v="0"/>
    <n v="0"/>
    <n v="0"/>
    <n v="0"/>
    <n v="0"/>
    <n v="69120"/>
    <n v="65000"/>
    <n v="0"/>
    <n v="0"/>
    <s v="N/A"/>
    <s v=" $-   "/>
    <s v=""/>
    <n v="0"/>
    <n v="0"/>
    <n v="0"/>
    <n v="0"/>
    <n v="0"/>
  </r>
  <r>
    <s v="MKD"/>
    <x v="80"/>
    <x v="2"/>
    <x v="2"/>
    <x v="0"/>
    <x v="1"/>
    <n v="1"/>
    <n v="100000"/>
    <n v="100000"/>
    <n v="2083380"/>
    <n v="625014"/>
    <x v="66"/>
    <x v="1"/>
    <n v="1"/>
    <n v="0"/>
    <s v=""/>
    <n v="0"/>
    <n v="0"/>
    <n v="0"/>
    <n v="0"/>
    <n v="0"/>
    <n v="0"/>
    <n v="0"/>
    <n v="0"/>
    <n v="0"/>
    <n v="0"/>
    <n v="0"/>
    <n v="1"/>
    <n v="100000"/>
    <s v="Yes"/>
    <s v="Yes"/>
    <s v="No"/>
    <s v="No"/>
    <s v="Yes"/>
    <s v="Yes"/>
    <s v="No"/>
    <s v="No"/>
    <s v="No"/>
    <n v="0"/>
    <n v="0"/>
    <n v="0"/>
    <s v="IBRD"/>
    <n v="0"/>
    <s v=""/>
    <s v=""/>
    <s v=""/>
    <s v=""/>
    <s v=""/>
    <s v=""/>
    <n v="0"/>
    <n v="0"/>
    <s v=""/>
    <s v=""/>
    <s v=""/>
    <s v=""/>
    <s v=""/>
    <s v="Yes"/>
    <n v="0"/>
    <n v="0"/>
    <s v="Yes"/>
    <n v="0"/>
    <n v="0"/>
    <n v="0"/>
    <n v="0"/>
    <s v=""/>
    <s v=""/>
    <s v=""/>
    <n v="0"/>
    <n v="0"/>
    <n v="0"/>
    <n v="0"/>
    <n v="0"/>
    <n v="0"/>
    <n v="100000"/>
    <n v="0"/>
    <n v="0"/>
    <n v="0"/>
    <n v="0"/>
    <e v="#N/A"/>
    <e v="#N/A"/>
    <s v=""/>
    <n v="0"/>
    <n v="0"/>
    <n v="0"/>
    <n v="0"/>
    <n v="0"/>
  </r>
  <r>
    <s v="MLI"/>
    <x v="81"/>
    <x v="4"/>
    <x v="0"/>
    <x v="0"/>
    <x v="0"/>
    <n v="3"/>
    <n v="4948713"/>
    <n v="4948713"/>
    <n v="20250834"/>
    <n v="6075250.2000000002"/>
    <x v="67"/>
    <x v="1"/>
    <n v="1"/>
    <n v="0"/>
    <s v=""/>
    <n v="0"/>
    <n v="0"/>
    <n v="0"/>
    <n v="0"/>
    <n v="0"/>
    <n v="0"/>
    <n v="1"/>
    <n v="1000000"/>
    <n v="0"/>
    <n v="1"/>
    <n v="2145924"/>
    <n v="1"/>
    <n v="1802789"/>
    <s v="No"/>
    <s v="No"/>
    <s v="Yes"/>
    <s v="Yes"/>
    <s v="No"/>
    <s v="Yes"/>
    <s v="No"/>
    <s v="Yes"/>
    <s v="Yes"/>
    <s v="Moderate"/>
    <n v="0"/>
    <n v="0"/>
    <s v="Blend"/>
    <s v="Under Preparation"/>
    <s v=""/>
    <s v=""/>
    <s v=""/>
    <s v=""/>
    <s v=""/>
    <s v=""/>
    <n v="0"/>
    <n v="0"/>
    <s v=""/>
    <s v=""/>
    <s v=""/>
    <s v=""/>
    <s v=""/>
    <n v="0"/>
    <n v="0"/>
    <n v="0"/>
    <n v="0"/>
    <n v="0"/>
    <n v="0"/>
    <n v="0"/>
    <n v="0"/>
    <s v=""/>
    <s v=""/>
    <s v=""/>
    <s v="Yes"/>
    <n v="700000"/>
    <n v="0"/>
    <s v="Yes"/>
    <n v="1000000"/>
    <n v="0"/>
    <n v="1802789"/>
    <n v="428004"/>
    <n v="487920"/>
    <n v="0"/>
    <n v="0"/>
    <s v="Yes"/>
    <n v="530000"/>
    <s v="GAVI"/>
    <n v="0"/>
    <n v="0"/>
    <n v="0"/>
    <n v="0"/>
    <n v="0"/>
  </r>
  <r>
    <s v="MMR"/>
    <x v="82"/>
    <x v="5"/>
    <x v="1"/>
    <x v="0"/>
    <x v="0"/>
    <n v="3"/>
    <n v="4222110"/>
    <n v="4222110"/>
    <n v="54409794"/>
    <n v="16322938.199999999"/>
    <x v="68"/>
    <x v="1"/>
    <n v="1"/>
    <n v="0"/>
    <s v=""/>
    <n v="0"/>
    <n v="0"/>
    <n v="0"/>
    <n v="0"/>
    <n v="0"/>
    <n v="0"/>
    <n v="1"/>
    <n v="2645132"/>
    <n v="0"/>
    <n v="1"/>
    <n v="1176978"/>
    <n v="1"/>
    <n v="400000"/>
    <s v="Yes"/>
    <s v="Yes"/>
    <s v="No"/>
    <s v="No"/>
    <s v="Yes"/>
    <s v="Yes"/>
    <s v="No"/>
    <s v="Yes"/>
    <s v="Yes"/>
    <s v="Low"/>
    <n v="0"/>
    <n v="0"/>
    <s v="IBRD"/>
    <n v="0"/>
    <s v=""/>
    <s v=""/>
    <s v=""/>
    <s v=""/>
    <s v=""/>
    <s v=""/>
    <n v="0"/>
    <n v="0"/>
    <s v=""/>
    <s v=""/>
    <s v=""/>
    <s v=""/>
    <s v=""/>
    <n v="0"/>
    <n v="0"/>
    <n v="0"/>
    <n v="0"/>
    <n v="0"/>
    <n v="0"/>
    <n v="0"/>
    <n v="0"/>
    <s v=""/>
    <s v=""/>
    <s v=""/>
    <n v="0"/>
    <n v="0"/>
    <n v="0"/>
    <n v="0"/>
    <n v="550000"/>
    <n v="2095132"/>
    <n v="400000"/>
    <n v="546480"/>
    <n v="630498"/>
    <n v="0"/>
    <n v="0"/>
    <s v="N/A"/>
    <s v=" $-   "/>
    <s v="GAVI"/>
    <n v="0"/>
    <n v="0"/>
    <n v="0"/>
    <n v="0"/>
    <n v="0"/>
  </r>
  <r>
    <s v="MNE"/>
    <x v="83"/>
    <x v="2"/>
    <x v="2"/>
    <x v="0"/>
    <x v="1"/>
    <n v="1"/>
    <n v="100000"/>
    <n v="100000"/>
    <n v="628062"/>
    <n v="188418.6"/>
    <x v="69"/>
    <x v="1"/>
    <n v="1"/>
    <n v="0"/>
    <s v=""/>
    <n v="0"/>
    <n v="0"/>
    <n v="0"/>
    <n v="0"/>
    <n v="0"/>
    <n v="0"/>
    <n v="0"/>
    <n v="0"/>
    <n v="0"/>
    <n v="0"/>
    <n v="0"/>
    <n v="1"/>
    <n v="100000"/>
    <s v="No"/>
    <s v="No"/>
    <s v="No"/>
    <s v="Yes"/>
    <s v="No"/>
    <s v="Yes"/>
    <s v="No"/>
    <s v="No"/>
    <s v="No"/>
    <s v="N/A"/>
    <n v="0"/>
    <n v="0"/>
    <s v="IDA"/>
    <n v="0"/>
    <s v=""/>
    <s v=""/>
    <s v=""/>
    <s v=""/>
    <s v=""/>
    <s v=""/>
    <n v="0"/>
    <n v="0"/>
    <s v=""/>
    <s v=""/>
    <s v=""/>
    <s v=""/>
    <s v=""/>
    <n v="0"/>
    <n v="0"/>
    <n v="0"/>
    <n v="0"/>
    <n v="0"/>
    <n v="0"/>
    <n v="0"/>
    <n v="0"/>
    <s v=""/>
    <s v=""/>
    <s v=""/>
    <n v="0"/>
    <n v="0"/>
    <n v="0"/>
    <n v="0"/>
    <n v="0"/>
    <n v="0"/>
    <n v="100000"/>
    <n v="0"/>
    <n v="0"/>
    <n v="0"/>
    <n v="0"/>
    <e v="#N/A"/>
    <e v="#N/A"/>
    <s v=""/>
    <n v="0"/>
    <n v="0"/>
    <n v="0"/>
    <n v="0"/>
    <n v="0"/>
  </r>
  <r>
    <s v="MNG"/>
    <x v="84"/>
    <x v="5"/>
    <x v="1"/>
    <x v="0"/>
    <x v="0"/>
    <n v="3"/>
    <n v="101089023"/>
    <n v="35889023"/>
    <n v="3278292"/>
    <n v="983487.6"/>
    <x v="70"/>
    <x v="0"/>
    <n v="1"/>
    <n v="1"/>
    <n v="25500000"/>
    <n v="0"/>
    <n v="0"/>
    <n v="0"/>
    <n v="0"/>
    <n v="0"/>
    <n v="0"/>
    <n v="1"/>
    <n v="10159036"/>
    <n v="0"/>
    <n v="1"/>
    <n v="229987"/>
    <n v="0"/>
    <n v="0"/>
    <s v="Yes"/>
    <s v="Yes"/>
    <s v="No"/>
    <s v="No"/>
    <s v="Yes"/>
    <s v="Yes"/>
    <s v="No"/>
    <s v="Yes"/>
    <s v="No"/>
    <s v="…"/>
    <n v="0"/>
    <n v="0"/>
    <s v="IBRD"/>
    <s v="Approved"/>
    <n v="50700000"/>
    <n v="50700000"/>
    <n v="0"/>
    <n v="18700000"/>
    <n v="25500000"/>
    <n v="6500000"/>
    <n v="0"/>
    <s v="Approved"/>
    <s v="Loan"/>
    <n v="40000000"/>
    <n v="38300000"/>
    <n v="0"/>
    <n v="1700000"/>
    <s v="Yes"/>
    <n v="0"/>
    <n v="0"/>
    <n v="0"/>
    <n v="0"/>
    <n v="0"/>
    <n v="0"/>
    <n v="0"/>
    <s v=""/>
    <s v=""/>
    <s v=""/>
    <n v="0"/>
    <n v="0"/>
    <n v="0"/>
    <n v="0"/>
    <n v="500000"/>
    <n v="9659036"/>
    <n v="0"/>
    <n v="133920"/>
    <n v="25000"/>
    <n v="0"/>
    <n v="0"/>
    <s v="Yes"/>
    <n v="71067"/>
    <s v="UNICEF"/>
    <n v="0"/>
    <n v="0"/>
    <n v="0"/>
    <n v="0"/>
    <n v="0"/>
  </r>
  <r>
    <s v="MOZ"/>
    <x v="85"/>
    <x v="1"/>
    <x v="0"/>
    <x v="0"/>
    <x v="0"/>
    <n v="4"/>
    <n v="119295177.06"/>
    <n v="29295177.059999999"/>
    <n v="31255435"/>
    <n v="9376630.5"/>
    <x v="71"/>
    <x v="0"/>
    <n v="1"/>
    <n v="1"/>
    <n v="25000000"/>
    <n v="0"/>
    <n v="0"/>
    <n v="0"/>
    <n v="0"/>
    <n v="0"/>
    <n v="0"/>
    <n v="1"/>
    <n v="2050000"/>
    <n v="0"/>
    <n v="1"/>
    <n v="1884708.06"/>
    <n v="1"/>
    <n v="360469"/>
    <s v="Yes"/>
    <s v="Yes"/>
    <s v="No"/>
    <s v="No"/>
    <s v="Yes"/>
    <s v="Yes"/>
    <s v="No"/>
    <s v="Yes"/>
    <s v="Yes"/>
    <s v="In distress"/>
    <s v="Yes"/>
    <n v="0"/>
    <s v="IBRD"/>
    <s v="Approved"/>
    <n v="115000000"/>
    <n v="0"/>
    <n v="115000000"/>
    <n v="70000000"/>
    <n v="25000000"/>
    <n v="20000000"/>
    <n v="0"/>
    <n v="0"/>
    <s v=""/>
    <s v=""/>
    <s v=""/>
    <s v=""/>
    <s v=""/>
    <n v="0"/>
    <n v="0"/>
    <n v="0"/>
    <n v="0"/>
    <n v="0"/>
    <n v="0"/>
    <n v="0"/>
    <n v="0"/>
    <s v=""/>
    <s v=""/>
    <s v=""/>
    <n v="0"/>
    <n v="741350"/>
    <n v="0"/>
    <n v="0"/>
    <n v="2050000"/>
    <n v="0"/>
    <n v="360469"/>
    <n v="247658"/>
    <n v="572794.06000000006"/>
    <n v="0"/>
    <n v="0"/>
    <s v="Yes"/>
    <n v="322906"/>
    <s v="GAVI"/>
    <n v="0"/>
    <n v="0"/>
    <n v="0"/>
    <n v="0"/>
    <n v="0"/>
  </r>
  <r>
    <s v="MRT"/>
    <x v="86"/>
    <x v="4"/>
    <x v="1"/>
    <x v="0"/>
    <x v="0"/>
    <n v="3"/>
    <n v="15876113.52"/>
    <n v="5176113.5199999996"/>
    <n v="4649660"/>
    <n v="1394898"/>
    <x v="72"/>
    <x v="0"/>
    <n v="1"/>
    <n v="1"/>
    <n v="4300000"/>
    <n v="0"/>
    <n v="0"/>
    <n v="0"/>
    <n v="0"/>
    <n v="0"/>
    <n v="0"/>
    <n v="0"/>
    <n v="0"/>
    <n v="0"/>
    <n v="1"/>
    <n v="341037.52"/>
    <n v="1"/>
    <n v="535076"/>
    <s v="No"/>
    <s v="No"/>
    <s v="No"/>
    <s v="Yes"/>
    <s v="No"/>
    <s v="Yes"/>
    <s v="No"/>
    <s v="Yes"/>
    <s v="Yes"/>
    <s v="High"/>
    <n v="0"/>
    <n v="0"/>
    <s v="IDA"/>
    <s v="Approved"/>
    <n v="15000000"/>
    <n v="0"/>
    <n v="15000000"/>
    <n v="6000000"/>
    <n v="4300000"/>
    <n v="4700000"/>
    <n v="0"/>
    <n v="0"/>
    <s v=""/>
    <s v=""/>
    <s v=""/>
    <s v=""/>
    <s v=""/>
    <n v="0"/>
    <n v="0"/>
    <n v="0"/>
    <s v="Yes"/>
    <n v="0"/>
    <n v="0"/>
    <n v="0"/>
    <n v="0"/>
    <s v=""/>
    <s v=""/>
    <s v=""/>
    <n v="0"/>
    <n v="0"/>
    <n v="0"/>
    <s v="Yes"/>
    <n v="0"/>
    <n v="0"/>
    <n v="535076"/>
    <n v="146124"/>
    <n v="194913.52"/>
    <n v="0"/>
    <n v="0"/>
    <s v="Yes"/>
    <s v=" $-   "/>
    <s v="GAVI"/>
    <n v="0"/>
    <n v="0"/>
    <n v="0"/>
    <n v="0"/>
    <n v="0"/>
  </r>
  <r>
    <s v="MUS"/>
    <x v="87"/>
    <x v="1"/>
    <x v="2"/>
    <x v="1"/>
    <x v="1"/>
    <n v="0"/>
    <n v="0"/>
    <n v="0"/>
    <n v="1271767"/>
    <n v="381530.1"/>
    <x v="5"/>
    <x v="1"/>
    <n v="0"/>
    <n v="0"/>
    <s v=""/>
    <n v="0"/>
    <n v="0"/>
    <n v="0"/>
    <n v="0"/>
    <n v="0"/>
    <n v="0"/>
    <n v="0"/>
    <n v="0"/>
    <n v="0"/>
    <n v="0"/>
    <n v="0"/>
    <n v="0"/>
    <n v="0"/>
    <s v="Yes"/>
    <s v="Yes"/>
    <s v="No"/>
    <s v="No"/>
    <s v="Yes"/>
    <s v="Yes"/>
    <s v="No"/>
    <s v="No"/>
    <s v="No"/>
    <s v="N/A"/>
    <n v="0"/>
    <n v="0"/>
    <s v="IBRD"/>
    <n v="0"/>
    <s v=""/>
    <s v=""/>
    <s v=""/>
    <s v=""/>
    <s v=""/>
    <s v=""/>
    <n v="0"/>
    <n v="0"/>
    <s v=""/>
    <s v=""/>
    <s v=""/>
    <s v=""/>
    <s v=""/>
    <n v="0"/>
    <n v="0"/>
    <n v="0"/>
    <n v="0"/>
    <n v="0"/>
    <n v="0"/>
    <n v="0"/>
    <n v="0"/>
    <s v=""/>
    <s v=""/>
    <s v=""/>
    <n v="0"/>
    <n v="0"/>
    <n v="0"/>
    <n v="0"/>
    <n v="0"/>
    <n v="0"/>
    <n v="0"/>
    <n v="0"/>
    <n v="0"/>
    <n v="0"/>
    <n v="0"/>
    <e v="#N/A"/>
    <e v="#N/A"/>
    <s v=""/>
    <n v="0"/>
    <n v="0"/>
    <n v="0"/>
    <n v="0"/>
    <n v="0"/>
  </r>
  <r>
    <s v="MWI"/>
    <x v="88"/>
    <x v="1"/>
    <x v="0"/>
    <x v="0"/>
    <x v="0"/>
    <n v="4"/>
    <n v="33029988.199999999"/>
    <n v="7729988.2000000002"/>
    <n v="19129955"/>
    <n v="5738986.5"/>
    <x v="73"/>
    <x v="0"/>
    <n v="1"/>
    <n v="1"/>
    <n v="4700000"/>
    <n v="0"/>
    <n v="0"/>
    <n v="0"/>
    <n v="0"/>
    <n v="0"/>
    <n v="0"/>
    <n v="1"/>
    <n v="2000000"/>
    <n v="0"/>
    <n v="1"/>
    <n v="654988.19999999995"/>
    <n v="1"/>
    <n v="375000"/>
    <s v="Yes"/>
    <s v="Yes"/>
    <s v="No"/>
    <s v="No"/>
    <s v="Yes"/>
    <s v="Yes"/>
    <s v="No"/>
    <s v="Yes"/>
    <s v="Yes"/>
    <s v="High"/>
    <s v="Yes"/>
    <n v="0"/>
    <s v="IBRD"/>
    <s v="Approved"/>
    <n v="30000000"/>
    <n v="30000000"/>
    <n v="0"/>
    <n v="21300000"/>
    <n v="4700000"/>
    <n v="4000000"/>
    <n v="0"/>
    <n v="0"/>
    <s v=""/>
    <s v=""/>
    <s v=""/>
    <s v=""/>
    <s v=""/>
    <n v="0"/>
    <n v="0"/>
    <n v="0"/>
    <n v="0"/>
    <n v="0"/>
    <n v="0"/>
    <n v="0"/>
    <n v="0"/>
    <s v=""/>
    <s v=""/>
    <s v=""/>
    <n v="0"/>
    <n v="0"/>
    <n v="0"/>
    <s v="Yes"/>
    <n v="2000000"/>
    <n v="0"/>
    <n v="375000"/>
    <n v="146410.20000000001"/>
    <n v="121579"/>
    <n v="0"/>
    <n v="0"/>
    <s v="Yes"/>
    <n v="386999"/>
    <s v="GAVI"/>
    <n v="0"/>
    <n v="0"/>
    <n v="0"/>
    <n v="0"/>
    <n v="0"/>
  </r>
  <r>
    <s v="MYS"/>
    <x v="89"/>
    <x v="5"/>
    <x v="2"/>
    <x v="0"/>
    <x v="1"/>
    <n v="1"/>
    <n v="1480050"/>
    <n v="1480050"/>
    <n v="32365998"/>
    <n v="9709799.4000000004"/>
    <x v="74"/>
    <x v="1"/>
    <n v="1"/>
    <n v="0"/>
    <s v=""/>
    <n v="0"/>
    <n v="0"/>
    <n v="0"/>
    <n v="0"/>
    <n v="0"/>
    <n v="0"/>
    <n v="1"/>
    <n v="1480050"/>
    <n v="0"/>
    <n v="0"/>
    <n v="0"/>
    <n v="0"/>
    <n v="0"/>
    <s v="No"/>
    <s v="No"/>
    <s v="No"/>
    <s v="Yes"/>
    <s v="No"/>
    <s v="Yes"/>
    <s v="No"/>
    <s v="No"/>
    <s v="No"/>
    <n v="0"/>
    <n v="0"/>
    <n v="0"/>
    <s v="IDA"/>
    <n v="0"/>
    <s v=""/>
    <s v=""/>
    <s v=""/>
    <s v=""/>
    <s v=""/>
    <s v=""/>
    <n v="0"/>
    <n v="0"/>
    <s v=""/>
    <s v=""/>
    <s v=""/>
    <s v=""/>
    <s v=""/>
    <n v="0"/>
    <n v="0"/>
    <n v="0"/>
    <s v="Yes"/>
    <n v="0"/>
    <n v="0"/>
    <n v="0"/>
    <n v="0"/>
    <s v=""/>
    <s v=""/>
    <s v=""/>
    <n v="0"/>
    <n v="0"/>
    <n v="0"/>
    <n v="0"/>
    <n v="0"/>
    <n v="1340093"/>
    <n v="0"/>
    <n v="0"/>
    <n v="0"/>
    <n v="139957"/>
    <n v="0"/>
    <e v="#N/A"/>
    <e v="#N/A"/>
    <s v=""/>
    <n v="0"/>
    <n v="0"/>
    <n v="0"/>
    <n v="0"/>
    <n v="0"/>
  </r>
  <r>
    <s v="NAM"/>
    <x v="90"/>
    <x v="1"/>
    <x v="2"/>
    <x v="0"/>
    <x v="1"/>
    <n v="1"/>
    <n v="1000000"/>
    <n v="1000000"/>
    <n v="2540916"/>
    <n v="762274.79999999993"/>
    <x v="75"/>
    <x v="1"/>
    <n v="1"/>
    <n v="0"/>
    <s v=""/>
    <n v="0"/>
    <n v="0"/>
    <n v="0"/>
    <n v="0"/>
    <n v="0"/>
    <n v="0"/>
    <n v="1"/>
    <n v="1000000"/>
    <n v="0"/>
    <n v="0"/>
    <n v="0"/>
    <n v="0"/>
    <n v="0"/>
    <s v="Yes"/>
    <s v="Yes"/>
    <s v="No"/>
    <s v="No"/>
    <s v="Yes"/>
    <s v="Yes"/>
    <s v="No"/>
    <s v="No"/>
    <s v="No"/>
    <n v="0"/>
    <n v="0"/>
    <n v="0"/>
    <s v="IBRD"/>
    <n v="0"/>
    <s v=""/>
    <s v=""/>
    <s v=""/>
    <s v=""/>
    <s v=""/>
    <s v=""/>
    <n v="0"/>
    <n v="0"/>
    <s v=""/>
    <s v=""/>
    <s v=""/>
    <s v=""/>
    <s v=""/>
    <n v="0"/>
    <n v="0"/>
    <n v="0"/>
    <n v="0"/>
    <n v="0"/>
    <n v="0"/>
    <n v="0"/>
    <n v="0"/>
    <s v=""/>
    <s v=""/>
    <s v=""/>
    <n v="0"/>
    <n v="0"/>
    <n v="0"/>
    <n v="0"/>
    <n v="1000000"/>
    <n v="0"/>
    <n v="0"/>
    <n v="0"/>
    <n v="0"/>
    <n v="0"/>
    <n v="0"/>
    <e v="#N/A"/>
    <e v="#N/A"/>
    <s v=""/>
    <n v="0"/>
    <n v="0"/>
    <n v="0"/>
    <n v="0"/>
    <n v="0"/>
  </r>
  <r>
    <s v="NER"/>
    <x v="91"/>
    <x v="4"/>
    <x v="0"/>
    <x v="0"/>
    <x v="0"/>
    <n v="3"/>
    <n v="34427662"/>
    <n v="5227662"/>
    <n v="24206636"/>
    <n v="7261990.7999999998"/>
    <x v="76"/>
    <x v="1"/>
    <n v="1"/>
    <n v="0"/>
    <s v=""/>
    <n v="0"/>
    <n v="0"/>
    <n v="0"/>
    <n v="0"/>
    <n v="0"/>
    <n v="0"/>
    <n v="1"/>
    <n v="1500000"/>
    <n v="0"/>
    <n v="1"/>
    <n v="2381741"/>
    <n v="1"/>
    <n v="1345921"/>
    <s v="No"/>
    <s v="No"/>
    <s v="No"/>
    <s v="Yes"/>
    <s v="No"/>
    <s v="Yes"/>
    <s v="No"/>
    <s v="Yes"/>
    <s v="Yes"/>
    <s v="Moderate"/>
    <n v="0"/>
    <n v="0"/>
    <s v="IDA"/>
    <s v="Approved"/>
    <n v="29200000"/>
    <n v="14000000"/>
    <n v="15200000"/>
    <s v=""/>
    <s v=""/>
    <s v=""/>
    <n v="0"/>
    <n v="0"/>
    <s v=""/>
    <s v=""/>
    <s v=""/>
    <s v=""/>
    <s v=""/>
    <s v="Yes"/>
    <n v="0"/>
    <n v="0"/>
    <s v="Yes"/>
    <n v="0"/>
    <n v="0"/>
    <n v="0"/>
    <n v="0"/>
    <s v=""/>
    <s v=""/>
    <s v=""/>
    <s v="Yes"/>
    <n v="750000"/>
    <n v="0"/>
    <s v="Yes"/>
    <n v="1500000"/>
    <n v="0"/>
    <n v="1345921"/>
    <n v="513189"/>
    <n v="478851"/>
    <n v="0"/>
    <n v="0"/>
    <s v="Yes"/>
    <n v="639701"/>
    <s v="GAVI"/>
    <n v="0"/>
    <n v="0"/>
    <n v="0"/>
    <n v="0"/>
    <n v="0"/>
  </r>
  <r>
    <s v="NGA"/>
    <x v="92"/>
    <x v="4"/>
    <x v="1"/>
    <x v="0"/>
    <x v="0"/>
    <n v="2"/>
    <n v="8356661"/>
    <n v="8356661"/>
    <n v="206139587"/>
    <n v="61841876.099999994"/>
    <x v="77"/>
    <x v="1"/>
    <n v="1"/>
    <n v="0"/>
    <s v=""/>
    <n v="0"/>
    <n v="0"/>
    <n v="0"/>
    <n v="0"/>
    <n v="0"/>
    <n v="0"/>
    <n v="1"/>
    <n v="200863"/>
    <n v="0"/>
    <n v="1"/>
    <n v="8155798"/>
    <n v="0"/>
    <n v="0"/>
    <s v="No"/>
    <s v="No"/>
    <s v="No"/>
    <s v="Yes"/>
    <s v="No"/>
    <s v="Yes"/>
    <s v="No"/>
    <s v="Yes"/>
    <s v="No"/>
    <s v="…"/>
    <n v="0"/>
    <n v="0"/>
    <s v="IDA"/>
    <n v="0"/>
    <s v=""/>
    <s v=""/>
    <s v=""/>
    <s v=""/>
    <s v=""/>
    <s v=""/>
    <n v="0"/>
    <n v="0"/>
    <s v=""/>
    <s v=""/>
    <s v=""/>
    <s v=""/>
    <s v=""/>
    <s v="Yes"/>
    <n v="0"/>
    <n v="0"/>
    <s v="Yes"/>
    <n v="0"/>
    <n v="0"/>
    <n v="0"/>
    <n v="0"/>
    <s v=""/>
    <s v=""/>
    <s v=""/>
    <n v="0"/>
    <n v="4999000"/>
    <n v="0"/>
    <n v="0"/>
    <n v="200863"/>
    <n v="0"/>
    <n v="0"/>
    <n v="205848"/>
    <n v="396163"/>
    <n v="0"/>
    <n v="0"/>
    <s v="Yes"/>
    <n v="2554787"/>
    <s v="GAVI"/>
    <n v="0"/>
    <n v="0"/>
    <n v="0"/>
    <n v="0"/>
    <n v="0"/>
  </r>
  <r>
    <s v="NIC"/>
    <x v="93"/>
    <x v="3"/>
    <x v="1"/>
    <x v="0"/>
    <x v="0"/>
    <n v="2"/>
    <n v="768029.3"/>
    <n v="768029.3"/>
    <n v="6624554"/>
    <n v="1987366.2"/>
    <x v="78"/>
    <x v="1"/>
    <n v="1"/>
    <n v="0"/>
    <s v=""/>
    <n v="0"/>
    <n v="0"/>
    <n v="0"/>
    <n v="0"/>
    <n v="0"/>
    <n v="0"/>
    <n v="0"/>
    <n v="0"/>
    <n v="0"/>
    <n v="1"/>
    <n v="468029.3"/>
    <n v="1"/>
    <n v="300000"/>
    <s v="Yes"/>
    <s v="Yes"/>
    <s v="No"/>
    <s v="No"/>
    <s v="Yes"/>
    <s v="Yes"/>
    <s v="No"/>
    <s v="Yes"/>
    <s v="No"/>
    <s v="Moderate"/>
    <s v="Yes"/>
    <n v="0"/>
    <s v="IBRD"/>
    <n v="0"/>
    <s v=""/>
    <s v=""/>
    <s v=""/>
    <s v=""/>
    <s v=""/>
    <s v=""/>
    <n v="0"/>
    <n v="0"/>
    <s v=""/>
    <s v=""/>
    <s v=""/>
    <s v=""/>
    <s v=""/>
    <s v="Yes"/>
    <n v="0"/>
    <n v="0"/>
    <s v="Yes"/>
    <n v="0"/>
    <n v="0"/>
    <s v="Yes"/>
    <n v="0"/>
    <s v=""/>
    <s v=""/>
    <s v=""/>
    <n v="0"/>
    <n v="0"/>
    <n v="0"/>
    <s v="Yes"/>
    <n v="0"/>
    <n v="0"/>
    <n v="300000"/>
    <n v="50004"/>
    <n v="199223.3"/>
    <n v="0"/>
    <n v="0"/>
    <s v="Yes"/>
    <n v="218802"/>
    <s v="GAVI"/>
    <n v="0"/>
    <n v="0"/>
    <n v="0"/>
    <n v="0"/>
    <n v="0"/>
  </r>
  <r>
    <s v="NPL"/>
    <x v="94"/>
    <x v="0"/>
    <x v="1"/>
    <x v="0"/>
    <x v="0"/>
    <n v="4"/>
    <n v="248359533"/>
    <n v="19259533"/>
    <n v="29136808"/>
    <n v="8741042.4000000004"/>
    <x v="79"/>
    <x v="0"/>
    <n v="1"/>
    <n v="1"/>
    <n v="10900000"/>
    <n v="0"/>
    <n v="0"/>
    <n v="0"/>
    <n v="0"/>
    <n v="0"/>
    <n v="0"/>
    <n v="1"/>
    <n v="5873371"/>
    <n v="0"/>
    <n v="1"/>
    <n v="1486162"/>
    <n v="1"/>
    <n v="1000000"/>
    <s v="No"/>
    <s v="No"/>
    <s v="No"/>
    <s v="Yes"/>
    <s v="No"/>
    <s v="Yes"/>
    <s v="No"/>
    <s v="Yes"/>
    <s v="Yes"/>
    <s v="Low"/>
    <n v="0"/>
    <n v="0"/>
    <s v="IDA"/>
    <s v="Approved"/>
    <n v="75000000"/>
    <n v="75000000"/>
    <n v="0"/>
    <n v="62600000"/>
    <n v="10900000"/>
    <n v="1500000"/>
    <n v="0"/>
    <s v="Approved"/>
    <s v="Loan"/>
    <n v="165000000"/>
    <n v="159000000"/>
    <n v="0"/>
    <n v="6000000"/>
    <n v="0"/>
    <n v="0"/>
    <n v="0"/>
    <s v="Yes"/>
    <n v="0"/>
    <n v="0"/>
    <n v="0"/>
    <n v="0"/>
    <s v=""/>
    <s v=""/>
    <s v=""/>
    <n v="0"/>
    <n v="0"/>
    <n v="0"/>
    <n v="0"/>
    <n v="3900000"/>
    <n v="1243444"/>
    <n v="1000000"/>
    <n v="374555"/>
    <n v="374143"/>
    <n v="0"/>
    <n v="729927"/>
    <s v="Yes"/>
    <n v="737464"/>
    <s v="GAVI"/>
    <n v="0"/>
    <n v="0"/>
    <n v="0"/>
    <n v="0"/>
    <n v="0"/>
  </r>
  <r>
    <s v="NRU"/>
    <x v="95"/>
    <x v="5"/>
    <x v="3"/>
    <x v="1"/>
    <x v="1"/>
    <n v="0"/>
    <n v="0"/>
    <n v="0"/>
    <n v="10834"/>
    <n v="3250.2"/>
    <x v="5"/>
    <x v="1"/>
    <n v="0"/>
    <n v="0"/>
    <s v=""/>
    <n v="0"/>
    <n v="0"/>
    <n v="0"/>
    <n v="0"/>
    <n v="0"/>
    <n v="0"/>
    <n v="0"/>
    <n v="0"/>
    <n v="0"/>
    <n v="0"/>
    <n v="0"/>
    <n v="0"/>
    <n v="0"/>
    <s v="Yes"/>
    <s v="Yes"/>
    <s v="No"/>
    <s v="No"/>
    <s v="Yes"/>
    <s v="Yes"/>
    <s v="No"/>
    <s v="No"/>
    <s v="No"/>
    <n v="0"/>
    <n v="0"/>
    <n v="0"/>
    <s v="IBRD"/>
    <n v="0"/>
    <s v=""/>
    <s v=""/>
    <s v=""/>
    <s v=""/>
    <s v=""/>
    <s v=""/>
    <n v="0"/>
    <n v="0"/>
    <s v=""/>
    <s v=""/>
    <s v=""/>
    <s v=""/>
    <s v=""/>
    <n v="0"/>
    <n v="0"/>
    <n v="0"/>
    <s v="Yes"/>
    <n v="0"/>
    <n v="0"/>
    <n v="0"/>
    <n v="0"/>
    <s v=""/>
    <s v=""/>
    <s v=""/>
    <n v="0"/>
    <n v="0"/>
    <n v="0"/>
    <n v="0"/>
    <n v="0"/>
    <n v="0"/>
    <n v="0"/>
    <n v="0"/>
    <n v="0"/>
    <n v="0"/>
    <n v="0"/>
    <e v="#N/A"/>
    <e v="#N/A"/>
    <s v=""/>
    <n v="0"/>
    <n v="0"/>
    <n v="0"/>
    <n v="0"/>
    <n v="0"/>
  </r>
  <r>
    <s v="PAK"/>
    <x v="96"/>
    <x v="0"/>
    <x v="1"/>
    <x v="0"/>
    <x v="0"/>
    <n v="3"/>
    <n v="236611090"/>
    <n v="13611090"/>
    <n v="220892331"/>
    <n v="66267699.299999997"/>
    <x v="80"/>
    <x v="1"/>
    <n v="1"/>
    <n v="0"/>
    <s v=""/>
    <n v="0"/>
    <n v="0"/>
    <n v="0"/>
    <n v="0"/>
    <n v="1"/>
    <n v="70000000"/>
    <n v="1"/>
    <n v="9095537"/>
    <n v="0"/>
    <n v="1"/>
    <n v="3515553"/>
    <n v="1"/>
    <n v="1000000"/>
    <s v="No"/>
    <s v="No"/>
    <s v="No"/>
    <s v="Yes"/>
    <s v="No"/>
    <s v="Yes"/>
    <s v="No"/>
    <s v="Yes"/>
    <s v="Yes"/>
    <s v="…"/>
    <n v="0"/>
    <n v="0"/>
    <s v="IDA"/>
    <s v="Approved"/>
    <n v="153000000"/>
    <n v="0"/>
    <n v="153000000"/>
    <s v=""/>
    <s v=""/>
    <s v=""/>
    <n v="0"/>
    <s v="Under Preparation"/>
    <n v="0"/>
    <s v=""/>
    <s v=""/>
    <s v=""/>
    <s v=""/>
    <s v="Yes"/>
    <s v="Requested"/>
    <n v="70000000"/>
    <s v="Yes"/>
    <n v="0"/>
    <n v="0"/>
    <n v="0"/>
    <n v="0"/>
    <s v=""/>
    <s v=""/>
    <s v=""/>
    <n v="0"/>
    <n v="0"/>
    <n v="0"/>
    <n v="0"/>
    <n v="2500000"/>
    <n v="6595537"/>
    <n v="1000000"/>
    <n v="283284"/>
    <n v="693360"/>
    <n v="0"/>
    <n v="0"/>
    <s v="Yes"/>
    <n v="2538909"/>
    <s v="GAVI"/>
    <n v="0"/>
    <n v="0"/>
    <n v="0"/>
    <n v="0"/>
    <n v="0"/>
  </r>
  <r>
    <s v="PAN"/>
    <x v="97"/>
    <x v="3"/>
    <x v="2"/>
    <x v="0"/>
    <x v="1"/>
    <n v="1"/>
    <n v="22400000"/>
    <n v="1700000"/>
    <n v="4314768"/>
    <n v="1294430.3999999999"/>
    <x v="81"/>
    <x v="0"/>
    <n v="0"/>
    <n v="0"/>
    <s v=""/>
    <n v="1"/>
    <n v="1700000"/>
    <n v="0"/>
    <n v="0"/>
    <n v="0"/>
    <n v="0"/>
    <n v="0"/>
    <n v="0"/>
    <n v="0"/>
    <n v="0"/>
    <n v="0"/>
    <n v="0"/>
    <n v="0"/>
    <s v="No"/>
    <s v="No"/>
    <s v="Yes"/>
    <s v="Yes"/>
    <s v="No"/>
    <s v="Yes"/>
    <s v="No"/>
    <s v="No"/>
    <s v="No"/>
    <s v="N/A"/>
    <n v="0"/>
    <n v="0"/>
    <s v="Blend"/>
    <n v="0"/>
    <s v=""/>
    <s v=""/>
    <s v=""/>
    <s v=""/>
    <s v=""/>
    <s v=""/>
    <n v="0"/>
    <n v="0"/>
    <s v=""/>
    <s v=""/>
    <s v=""/>
    <s v=""/>
    <s v=""/>
    <s v="Yes"/>
    <n v="0"/>
    <n v="0"/>
    <s v="Yes"/>
    <n v="0"/>
    <n v="0"/>
    <s v="Yes"/>
    <s v="Loan"/>
    <n v="22400000"/>
    <n v="20700000"/>
    <n v="1700000"/>
    <n v="0"/>
    <n v="0"/>
    <n v="0"/>
    <n v="0"/>
    <n v="0"/>
    <n v="0"/>
    <n v="0"/>
    <n v="0"/>
    <n v="0"/>
    <n v="0"/>
    <n v="0"/>
    <e v="#N/A"/>
    <e v="#N/A"/>
    <s v=""/>
    <n v="0"/>
    <n v="0"/>
    <n v="0"/>
    <n v="0"/>
    <n v="0"/>
  </r>
  <r>
    <s v="PER"/>
    <x v="98"/>
    <x v="3"/>
    <x v="2"/>
    <x v="0"/>
    <x v="1"/>
    <n v="2"/>
    <n v="2800000"/>
    <n v="2800000"/>
    <n v="32971845.999999996"/>
    <n v="9891553.7999999989"/>
    <x v="82"/>
    <x v="1"/>
    <n v="1"/>
    <n v="0"/>
    <s v=""/>
    <n v="0"/>
    <n v="0"/>
    <n v="0"/>
    <n v="0"/>
    <n v="0"/>
    <n v="0"/>
    <n v="1"/>
    <n v="2500000"/>
    <n v="0"/>
    <n v="0"/>
    <n v="0"/>
    <n v="1"/>
    <n v="300000"/>
    <s v="No"/>
    <s v="No"/>
    <s v="No"/>
    <s v="Yes"/>
    <s v="No"/>
    <s v="Yes"/>
    <s v="No"/>
    <s v="No"/>
    <s v="No"/>
    <n v="0"/>
    <n v="0"/>
    <n v="0"/>
    <s v="IDA"/>
    <n v="0"/>
    <s v=""/>
    <s v=""/>
    <s v=""/>
    <s v=""/>
    <s v=""/>
    <s v=""/>
    <n v="0"/>
    <n v="0"/>
    <s v=""/>
    <s v=""/>
    <s v=""/>
    <s v=""/>
    <s v=""/>
    <n v="0"/>
    <n v="0"/>
    <n v="0"/>
    <n v="0"/>
    <n v="0"/>
    <n v="0"/>
    <s v="Yes"/>
    <n v="0"/>
    <s v=""/>
    <s v=""/>
    <s v=""/>
    <n v="0"/>
    <n v="0"/>
    <n v="0"/>
    <n v="0"/>
    <n v="2500000"/>
    <n v="0"/>
    <n v="300000"/>
    <n v="0"/>
    <n v="0"/>
    <n v="0"/>
    <n v="0"/>
    <e v="#N/A"/>
    <e v="#N/A"/>
    <s v=""/>
    <n v="0"/>
    <n v="0"/>
    <n v="0"/>
    <n v="0"/>
    <n v="0"/>
  </r>
  <r>
    <s v="PHL"/>
    <x v="99"/>
    <x v="5"/>
    <x v="1"/>
    <x v="0"/>
    <x v="0"/>
    <n v="4"/>
    <n v="1245684614"/>
    <n v="20684614"/>
    <n v="109581085"/>
    <n v="32874325.5"/>
    <x v="83"/>
    <x v="0"/>
    <n v="1"/>
    <n v="1"/>
    <n v="0"/>
    <n v="0"/>
    <n v="0"/>
    <n v="0"/>
    <n v="0"/>
    <n v="0"/>
    <n v="0"/>
    <n v="1"/>
    <n v="19055338"/>
    <n v="0"/>
    <n v="1"/>
    <n v="1529276"/>
    <n v="1"/>
    <n v="100000"/>
    <s v="No"/>
    <s v="No"/>
    <s v="No"/>
    <s v="Yes"/>
    <s v="No"/>
    <s v="Yes"/>
    <s v="No"/>
    <s v="No"/>
    <s v="No"/>
    <s v="N/A"/>
    <n v="0"/>
    <n v="0"/>
    <s v="IDA"/>
    <s v="Approved"/>
    <n v="525000000"/>
    <n v="525000000"/>
    <n v="0"/>
    <n v="500000000"/>
    <n v="0"/>
    <n v="25000000"/>
    <n v="0"/>
    <s v="Approved"/>
    <s v="Loan"/>
    <n v="700000000"/>
    <n v="662500000"/>
    <n v="0"/>
    <n v="37500000"/>
    <n v="0"/>
    <n v="0"/>
    <n v="0"/>
    <n v="0"/>
    <n v="0"/>
    <n v="0"/>
    <n v="0"/>
    <n v="0"/>
    <s v=""/>
    <s v=""/>
    <s v=""/>
    <n v="0"/>
    <n v="0"/>
    <n v="0"/>
    <n v="0"/>
    <n v="3500000"/>
    <n v="3936438"/>
    <n v="100000"/>
    <n v="75600"/>
    <n v="25000"/>
    <n v="11618900"/>
    <n v="0"/>
    <s v="Yes"/>
    <n v="1428676"/>
    <s v="UNICEF"/>
    <n v="0"/>
    <n v="0"/>
    <n v="0"/>
    <n v="51723958"/>
    <n v="0"/>
  </r>
  <r>
    <s v="PLW"/>
    <x v="100"/>
    <x v="3"/>
    <x v="3"/>
    <x v="1"/>
    <x v="1"/>
    <n v="0"/>
    <n v="0"/>
    <n v="0"/>
    <n v="18092"/>
    <n v="5427.599999999999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PNG"/>
    <x v="101"/>
    <x v="5"/>
    <x v="1"/>
    <x v="1"/>
    <x v="0"/>
    <n v="3"/>
    <n v="62244067"/>
    <n v="42244067"/>
    <n v="8947027"/>
    <n v="2684108.1"/>
    <x v="84"/>
    <x v="0"/>
    <n v="1"/>
    <n v="1"/>
    <n v="10000000"/>
    <n v="0"/>
    <n v="0"/>
    <n v="0"/>
    <n v="0"/>
    <n v="0"/>
    <n v="0"/>
    <n v="1"/>
    <n v="31300731"/>
    <n v="0"/>
    <n v="1"/>
    <n v="943336"/>
    <n v="0"/>
    <n v="0"/>
    <s v="Yes"/>
    <s v="Yes"/>
    <s v="No"/>
    <s v="No"/>
    <s v="Yes"/>
    <s v="Yes"/>
    <s v="No"/>
    <s v="Yes"/>
    <s v="Yes"/>
    <s v="High"/>
    <s v="Yes"/>
    <n v="0"/>
    <s v="IBRD"/>
    <s v="Approved"/>
    <n v="30000000"/>
    <n v="30000000"/>
    <n v="0"/>
    <n v="0"/>
    <n v="10000000"/>
    <n v="20000000"/>
    <n v="0"/>
    <n v="0"/>
    <s v=""/>
    <s v=""/>
    <s v=""/>
    <s v=""/>
    <s v=""/>
    <n v="0"/>
    <n v="0"/>
    <n v="0"/>
    <n v="0"/>
    <n v="0"/>
    <n v="0"/>
    <n v="0"/>
    <n v="0"/>
    <s v=""/>
    <s v=""/>
    <s v=""/>
    <n v="0"/>
    <n v="0"/>
    <n v="0"/>
    <n v="0"/>
    <n v="1000000"/>
    <n v="18681831"/>
    <n v="0"/>
    <n v="279072"/>
    <n v="464915"/>
    <n v="11618900"/>
    <n v="0"/>
    <s v="Yes"/>
    <n v="199349"/>
    <s v="GAVI"/>
    <n v="0"/>
    <n v="0"/>
    <n v="0"/>
    <n v="0"/>
    <n v="0"/>
  </r>
  <r>
    <s v="POL"/>
    <x v="102"/>
    <x v="2"/>
    <x v="3"/>
    <x v="0"/>
    <x v="1"/>
    <n v="0"/>
    <n v="0"/>
    <n v="0"/>
    <n v="37846605"/>
    <n v="11353981.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PRK"/>
    <x v="103"/>
    <x v="5"/>
    <x v="0"/>
    <x v="0"/>
    <x v="0"/>
    <n v="0"/>
    <n v="0"/>
    <n v="0"/>
    <n v="119446"/>
    <n v="35833.799999999996"/>
    <x v="5"/>
    <x v="1"/>
    <n v="0"/>
    <n v="0"/>
    <s v=""/>
    <n v="0"/>
    <n v="0"/>
    <n v="0"/>
    <n v="0"/>
    <n v="0"/>
    <n v="0"/>
    <n v="0"/>
    <n v="0"/>
    <n v="0"/>
    <n v="0"/>
    <n v="0"/>
    <n v="0"/>
    <n v="0"/>
    <s v="No"/>
    <s v="No"/>
    <s v="No"/>
    <s v="No"/>
    <s v="No"/>
    <s v="Yes"/>
    <s v="No"/>
    <s v="No"/>
    <s v="No"/>
    <s v="N/A"/>
    <n v="0"/>
    <n v="0"/>
    <n v="0"/>
    <n v="0"/>
    <s v=""/>
    <s v=""/>
    <s v=""/>
    <s v=""/>
    <s v=""/>
    <s v=""/>
    <n v="0"/>
    <n v="0"/>
    <s v=""/>
    <s v=""/>
    <s v=""/>
    <s v=""/>
    <s v=""/>
    <n v="0"/>
    <n v="0"/>
    <n v="0"/>
    <n v="0"/>
    <n v="0"/>
    <n v="0"/>
    <n v="0"/>
    <n v="0"/>
    <s v=""/>
    <s v=""/>
    <s v=""/>
    <n v="0"/>
    <n v="0"/>
    <n v="0"/>
    <n v="0"/>
    <n v="0"/>
    <n v="0"/>
    <n v="0"/>
    <n v="0"/>
    <n v="0"/>
    <n v="0"/>
    <n v="0"/>
    <s v="Yes"/>
    <s v=" $-   "/>
    <s v="GAVI"/>
    <n v="0"/>
    <n v="0"/>
    <n v="0"/>
    <n v="0"/>
    <n v="0"/>
  </r>
  <r>
    <s v="PRY"/>
    <x v="104"/>
    <x v="3"/>
    <x v="2"/>
    <x v="0"/>
    <x v="1"/>
    <n v="0"/>
    <n v="0"/>
    <n v="0"/>
    <n v="7132530"/>
    <n v="2139759"/>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s v="Yes"/>
    <n v="0"/>
    <n v="0"/>
    <n v="0"/>
    <n v="0"/>
    <n v="0"/>
    <n v="0"/>
    <n v="0"/>
    <e v="#N/A"/>
    <e v="#N/A"/>
    <s v=""/>
    <n v="0"/>
    <n v="0"/>
    <n v="0"/>
    <n v="0"/>
    <n v="0"/>
  </r>
  <r>
    <s v="PSE"/>
    <x v="105"/>
    <x v="6"/>
    <x v="1"/>
    <x v="0"/>
    <x v="0"/>
    <n v="1"/>
    <n v="429999.54000000004"/>
    <n v="429999.54000000004"/>
    <n v="5101416"/>
    <n v="1530424.8"/>
    <x v="85"/>
    <x v="1"/>
    <n v="1"/>
    <n v="0"/>
    <s v=""/>
    <n v="0"/>
    <n v="0"/>
    <n v="0"/>
    <n v="0"/>
    <n v="0"/>
    <n v="0"/>
    <n v="0"/>
    <n v="0"/>
    <n v="0"/>
    <n v="1"/>
    <n v="429999.54000000004"/>
    <n v="0"/>
    <n v="0"/>
    <s v="No"/>
    <s v="No"/>
    <s v="No"/>
    <s v="No"/>
    <s v="No"/>
    <s v="Yes"/>
    <s v="No"/>
    <s v="No"/>
    <s v="No"/>
    <s v="N/A"/>
    <n v="0"/>
    <n v="0"/>
    <n v="0"/>
    <s v="Under Preparation"/>
    <s v=""/>
    <s v=""/>
    <s v=""/>
    <s v=""/>
    <s v=""/>
    <s v=""/>
    <n v="0"/>
    <n v="0"/>
    <s v=""/>
    <s v=""/>
    <s v=""/>
    <s v=""/>
    <s v=""/>
    <s v="Yes"/>
    <n v="0"/>
    <n v="0"/>
    <n v="0"/>
    <n v="0"/>
    <n v="0"/>
    <n v="0"/>
    <n v="0"/>
    <s v=""/>
    <s v=""/>
    <s v=""/>
    <n v="0"/>
    <n v="0"/>
    <n v="0"/>
    <n v="0"/>
    <n v="0"/>
    <n v="0"/>
    <n v="0"/>
    <n v="27000"/>
    <n v="402999.54000000004"/>
    <n v="0"/>
    <n v="0"/>
    <s v="N/A"/>
    <s v=" $-   "/>
    <s v="UNICEF"/>
    <n v="0"/>
    <n v="0"/>
    <n v="0"/>
    <n v="0"/>
    <n v="0"/>
  </r>
  <r>
    <s v="ROU"/>
    <x v="106"/>
    <x v="2"/>
    <x v="2"/>
    <x v="0"/>
    <x v="1"/>
    <n v="1"/>
    <n v="50000"/>
    <n v="50000"/>
    <n v="19237682"/>
    <n v="5771304.5999999996"/>
    <x v="86"/>
    <x v="1"/>
    <n v="1"/>
    <n v="0"/>
    <s v=""/>
    <n v="0"/>
    <n v="0"/>
    <n v="0"/>
    <n v="0"/>
    <n v="0"/>
    <n v="0"/>
    <n v="0"/>
    <n v="0"/>
    <n v="0"/>
    <n v="0"/>
    <n v="0"/>
    <n v="1"/>
    <n v="50000"/>
    <s v="Yes"/>
    <s v="Yes"/>
    <s v="No"/>
    <s v="No"/>
    <s v="Yes"/>
    <s v="Yes"/>
    <s v="No"/>
    <s v="No"/>
    <s v="No"/>
    <n v="0"/>
    <n v="0"/>
    <n v="0"/>
    <s v="IBRD"/>
    <n v="0"/>
    <s v=""/>
    <s v=""/>
    <s v=""/>
    <s v=""/>
    <s v=""/>
    <s v=""/>
    <n v="0"/>
    <n v="0"/>
    <s v=""/>
    <s v=""/>
    <s v=""/>
    <s v=""/>
    <s v=""/>
    <n v="0"/>
    <n v="0"/>
    <n v="0"/>
    <n v="0"/>
    <n v="0"/>
    <n v="0"/>
    <n v="0"/>
    <n v="0"/>
    <s v=""/>
    <s v=""/>
    <s v=""/>
    <n v="0"/>
    <n v="0"/>
    <n v="0"/>
    <n v="0"/>
    <n v="0"/>
    <n v="0"/>
    <n v="50000"/>
    <n v="0"/>
    <n v="0"/>
    <n v="0"/>
    <n v="0"/>
    <e v="#N/A"/>
    <e v="#N/A"/>
    <s v=""/>
    <n v="0"/>
    <n v="0"/>
    <n v="0"/>
    <n v="0"/>
    <n v="0"/>
  </r>
  <r>
    <s v="RUS"/>
    <x v="107"/>
    <x v="2"/>
    <x v="2"/>
    <x v="0"/>
    <x v="1"/>
    <n v="0"/>
    <n v="0"/>
    <n v="0"/>
    <n v="145934460"/>
    <n v="43780338"/>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RWA"/>
    <x v="108"/>
    <x v="1"/>
    <x v="0"/>
    <x v="0"/>
    <x v="0"/>
    <n v="4"/>
    <n v="46778361"/>
    <n v="9148361"/>
    <n v="12952209"/>
    <n v="3885662.6999999997"/>
    <x v="87"/>
    <x v="0"/>
    <n v="1"/>
    <n v="1"/>
    <n v="7370000"/>
    <n v="0"/>
    <n v="0"/>
    <n v="0"/>
    <n v="0"/>
    <n v="0"/>
    <n v="0"/>
    <n v="1"/>
    <n v="1000000"/>
    <n v="0"/>
    <n v="1"/>
    <n v="628361"/>
    <n v="1"/>
    <n v="150000"/>
    <s v="No"/>
    <s v="No"/>
    <s v="No"/>
    <s v="Yes"/>
    <s v="No"/>
    <s v="Yes"/>
    <s v="No"/>
    <s v="Yes"/>
    <s v="No"/>
    <s v="Moderate"/>
    <s v="Yes"/>
    <n v="0"/>
    <s v="IDA"/>
    <s v="Approved"/>
    <n v="45000000"/>
    <n v="14850000.000000002"/>
    <n v="30150000.000000004"/>
    <n v="18660000"/>
    <n v="7370000"/>
    <n v="18970000"/>
    <n v="0"/>
    <n v="0"/>
    <s v=""/>
    <s v=""/>
    <s v=""/>
    <s v=""/>
    <s v=""/>
    <n v="0"/>
    <n v="0"/>
    <n v="0"/>
    <s v="Yes"/>
    <n v="0"/>
    <n v="0"/>
    <n v="0"/>
    <n v="0"/>
    <s v=""/>
    <s v=""/>
    <s v=""/>
    <n v="0"/>
    <n v="0"/>
    <n v="0"/>
    <n v="0"/>
    <n v="1000000"/>
    <n v="0"/>
    <n v="150000"/>
    <n v="146058"/>
    <n v="100309"/>
    <n v="0"/>
    <n v="0"/>
    <s v="Yes"/>
    <n v="381994"/>
    <s v="GAVI"/>
    <n v="0"/>
    <n v="0"/>
    <n v="0"/>
    <n v="0"/>
    <n v="0"/>
  </r>
  <r>
    <s v="SDN"/>
    <x v="109"/>
    <x v="6"/>
    <x v="0"/>
    <x v="0"/>
    <x v="0"/>
    <n v="3"/>
    <n v="103986438"/>
    <n v="52686438"/>
    <n v="43849269"/>
    <n v="13154780.699999999"/>
    <x v="88"/>
    <x v="0"/>
    <n v="1"/>
    <n v="1"/>
    <n v="49600000"/>
    <n v="0"/>
    <n v="0"/>
    <n v="0"/>
    <n v="0"/>
    <n v="0"/>
    <n v="0"/>
    <n v="0"/>
    <n v="0"/>
    <n v="0"/>
    <n v="1"/>
    <n v="2036438"/>
    <n v="1"/>
    <n v="1050000"/>
    <s v="No"/>
    <s v="No"/>
    <s v="No"/>
    <s v="Yes"/>
    <s v="No"/>
    <s v="Yes"/>
    <s v="No"/>
    <s v="No"/>
    <s v="No"/>
    <s v="N/A"/>
    <s v="Yes"/>
    <n v="0"/>
    <s v="IDA"/>
    <s v="Approved"/>
    <n v="100900000"/>
    <n v="0"/>
    <n v="100000000"/>
    <n v="30400000"/>
    <n v="49600000"/>
    <n v="20900000"/>
    <n v="0"/>
    <n v="0"/>
    <s v=""/>
    <s v=""/>
    <s v=""/>
    <s v=""/>
    <s v=""/>
    <s v="Yes"/>
    <n v="0"/>
    <n v="0"/>
    <s v="Yes"/>
    <n v="0"/>
    <n v="0"/>
    <n v="0"/>
    <n v="0"/>
    <s v=""/>
    <s v=""/>
    <s v=""/>
    <n v="0"/>
    <n v="0"/>
    <n v="0"/>
    <n v="0"/>
    <n v="0"/>
    <n v="0"/>
    <n v="1050000"/>
    <n v="414806"/>
    <n v="685003"/>
    <n v="0"/>
    <n v="0"/>
    <s v="Yes"/>
    <n v="936629"/>
    <s v="GAVI"/>
    <n v="0"/>
    <n v="0"/>
    <n v="0"/>
    <n v="0"/>
    <n v="0"/>
  </r>
  <r>
    <s v="SEN"/>
    <x v="110"/>
    <x v="4"/>
    <x v="1"/>
    <x v="0"/>
    <x v="0"/>
    <n v="4"/>
    <n v="137614338"/>
    <n v="58484338"/>
    <n v="16743930"/>
    <n v="5023179"/>
    <x v="89"/>
    <x v="0"/>
    <n v="1"/>
    <n v="1"/>
    <n v="54870000"/>
    <n v="0"/>
    <n v="0"/>
    <n v="0"/>
    <n v="0"/>
    <n v="0"/>
    <n v="0"/>
    <n v="1"/>
    <n v="2000000"/>
    <n v="0"/>
    <n v="1"/>
    <n v="835063"/>
    <n v="1"/>
    <n v="779275"/>
    <s v="No"/>
    <s v="No"/>
    <s v="No"/>
    <s v="Yes"/>
    <s v="No"/>
    <s v="Yes"/>
    <s v="No"/>
    <s v="Yes"/>
    <s v="Yes"/>
    <s v="Moderate"/>
    <n v="0"/>
    <n v="0"/>
    <s v="IDA"/>
    <s v="Approved"/>
    <n v="134000000"/>
    <n v="67000000"/>
    <n v="67000000"/>
    <n v="76130000"/>
    <n v="54870000"/>
    <n v="3000000"/>
    <n v="0"/>
    <n v="0"/>
    <s v=""/>
    <s v=""/>
    <s v=""/>
    <s v=""/>
    <s v=""/>
    <s v="Yes"/>
    <n v="0"/>
    <n v="0"/>
    <s v="Yes"/>
    <n v="0"/>
    <n v="0"/>
    <n v="0"/>
    <n v="0"/>
    <s v=""/>
    <s v=""/>
    <s v=""/>
    <n v="0"/>
    <n v="0"/>
    <n v="0"/>
    <n v="0"/>
    <n v="2000000"/>
    <n v="0"/>
    <n v="779275"/>
    <n v="185000"/>
    <n v="186993"/>
    <n v="0"/>
    <n v="0"/>
    <s v="Yes"/>
    <n v="463070"/>
    <s v="GAVI"/>
    <n v="0"/>
    <n v="0"/>
    <n v="0"/>
    <n v="0"/>
    <n v="0"/>
  </r>
  <r>
    <s v="SLB"/>
    <x v="111"/>
    <x v="5"/>
    <x v="1"/>
    <x v="1"/>
    <x v="0"/>
    <n v="1"/>
    <n v="256170"/>
    <n v="256170"/>
    <n v="686878"/>
    <n v="206063.4"/>
    <x v="90"/>
    <x v="1"/>
    <n v="1"/>
    <n v="0"/>
    <s v=""/>
    <n v="0"/>
    <n v="0"/>
    <n v="0"/>
    <n v="0"/>
    <n v="0"/>
    <n v="0"/>
    <n v="0"/>
    <n v="0"/>
    <n v="0"/>
    <n v="1"/>
    <n v="256170"/>
    <n v="0"/>
    <n v="0"/>
    <s v="No"/>
    <s v="No"/>
    <s v="No"/>
    <s v="Yes"/>
    <s v="No"/>
    <s v="Yes"/>
    <s v="No"/>
    <s v="Yes"/>
    <s v="No"/>
    <s v="Moderate"/>
    <s v="Yes"/>
    <n v="0"/>
    <s v="IDA"/>
    <n v="0"/>
    <s v=""/>
    <s v=""/>
    <s v=""/>
    <s v=""/>
    <s v=""/>
    <s v=""/>
    <s v="Yes"/>
    <n v="0"/>
    <s v=""/>
    <s v=""/>
    <s v=""/>
    <s v=""/>
    <s v=""/>
    <n v="0"/>
    <n v="0"/>
    <n v="0"/>
    <n v="0"/>
    <n v="0"/>
    <n v="0"/>
    <n v="0"/>
    <n v="0"/>
    <s v=""/>
    <s v=""/>
    <s v=""/>
    <n v="0"/>
    <n v="0"/>
    <n v="0"/>
    <n v="0"/>
    <n v="0"/>
    <s v="Yes"/>
    <n v="0"/>
    <n v="163080"/>
    <n v="93090"/>
    <n v="0"/>
    <n v="0"/>
    <s v="N/A"/>
    <s v=" $-   "/>
    <s v="GAVI"/>
    <n v="0"/>
    <n v="0"/>
    <n v="0"/>
    <n v="0"/>
    <n v="0"/>
  </r>
  <r>
    <s v="SLE"/>
    <x v="112"/>
    <x v="4"/>
    <x v="0"/>
    <x v="0"/>
    <x v="0"/>
    <n v="4"/>
    <n v="10676150"/>
    <n v="6676150"/>
    <n v="7976985"/>
    <n v="2393095.5"/>
    <x v="91"/>
    <x v="0"/>
    <n v="1"/>
    <n v="1"/>
    <n v="4500000"/>
    <n v="0"/>
    <n v="0"/>
    <n v="0"/>
    <n v="0"/>
    <n v="0"/>
    <n v="0"/>
    <n v="1"/>
    <n v="1000000"/>
    <n v="0"/>
    <n v="1"/>
    <n v="703617"/>
    <n v="1"/>
    <n v="472533"/>
    <s v="No"/>
    <s v="No"/>
    <s v="No"/>
    <s v="Yes"/>
    <s v="No"/>
    <s v="Yes"/>
    <s v="No"/>
    <s v="Yes"/>
    <s v="Yes"/>
    <s v="High"/>
    <n v="0"/>
    <n v="0"/>
    <s v="IDA"/>
    <s v="Approved"/>
    <n v="8500000"/>
    <n v="0"/>
    <n v="8500000"/>
    <n v="4000000"/>
    <n v="4500000"/>
    <n v="0"/>
    <n v="0"/>
    <n v="0"/>
    <s v=""/>
    <s v=""/>
    <s v=""/>
    <s v=""/>
    <s v=""/>
    <n v="0"/>
    <n v="0"/>
    <n v="0"/>
    <s v="Yes"/>
    <n v="0"/>
    <n v="0"/>
    <n v="0"/>
    <n v="0"/>
    <s v=""/>
    <s v=""/>
    <s v=""/>
    <n v="0"/>
    <n v="173000"/>
    <n v="0"/>
    <n v="0"/>
    <n v="1000000"/>
    <n v="0"/>
    <n v="472533"/>
    <n v="102060"/>
    <n v="148730"/>
    <n v="0"/>
    <n v="0"/>
    <s v="Yes"/>
    <n v="279827"/>
    <s v="GAVI"/>
    <n v="0"/>
    <n v="0"/>
    <n v="0"/>
    <n v="0"/>
    <n v="0"/>
  </r>
  <r>
    <s v="SLV"/>
    <x v="113"/>
    <x v="3"/>
    <x v="1"/>
    <x v="0"/>
    <x v="0"/>
    <n v="5"/>
    <n v="92330000"/>
    <n v="48330000"/>
    <n v="6486201"/>
    <n v="1945860.2999999998"/>
    <x v="92"/>
    <x v="0"/>
    <n v="1"/>
    <n v="1"/>
    <n v="26000000"/>
    <n v="1"/>
    <n v="20000000"/>
    <n v="0"/>
    <n v="0"/>
    <n v="0"/>
    <n v="0"/>
    <n v="1"/>
    <n v="2000000"/>
    <n v="0"/>
    <n v="1"/>
    <n v="30000.000000000007"/>
    <n v="1"/>
    <n v="300000"/>
    <s v="Yes"/>
    <s v="Yes"/>
    <s v="No"/>
    <s v="No"/>
    <s v="Yes"/>
    <s v="Yes"/>
    <s v="No"/>
    <s v="No"/>
    <s v="No"/>
    <s v="N/A"/>
    <n v="0"/>
    <n v="0"/>
    <s v="IBRD"/>
    <s v="Approved"/>
    <n v="50000000"/>
    <n v="50000000"/>
    <n v="0"/>
    <n v="10000000"/>
    <n v="26000000"/>
    <n v="14000000"/>
    <n v="0"/>
    <n v="0"/>
    <s v=""/>
    <s v=""/>
    <s v=""/>
    <s v=""/>
    <s v=""/>
    <n v="0"/>
    <n v="0"/>
    <n v="0"/>
    <n v="0"/>
    <n v="0"/>
    <n v="0"/>
    <s v="Yes"/>
    <s v="Loan"/>
    <n v="40000000"/>
    <n v="20000000"/>
    <n v="20000000"/>
    <n v="0"/>
    <n v="0"/>
    <n v="0"/>
    <n v="0"/>
    <n v="2000000"/>
    <n v="0"/>
    <n v="300000"/>
    <n v="0"/>
    <n v="30000.000000000007"/>
    <n v="0"/>
    <n v="0"/>
    <s v="Yes"/>
    <s v=" $-   "/>
    <s v="UNICEF"/>
    <n v="0"/>
    <n v="0"/>
    <n v="0"/>
    <n v="0"/>
    <n v="0"/>
  </r>
  <r>
    <s v="SOM"/>
    <x v="114"/>
    <x v="1"/>
    <x v="0"/>
    <x v="0"/>
    <x v="0"/>
    <n v="2"/>
    <n v="3263280.62"/>
    <n v="3263280.62"/>
    <n v="15893219"/>
    <n v="4767965.7"/>
    <x v="93"/>
    <x v="1"/>
    <n v="1"/>
    <n v="0"/>
    <s v=""/>
    <n v="0"/>
    <n v="0"/>
    <n v="0"/>
    <n v="0"/>
    <n v="0"/>
    <n v="0"/>
    <n v="0"/>
    <n v="0"/>
    <n v="0"/>
    <n v="1"/>
    <n v="2548266.62"/>
    <n v="1"/>
    <n v="715014"/>
    <s v="No"/>
    <s v="No"/>
    <s v="No"/>
    <s v="Yes"/>
    <s v="No"/>
    <s v="Yes"/>
    <s v="No"/>
    <s v="Yes"/>
    <s v="No"/>
    <s v="In distress"/>
    <s v="Yes"/>
    <n v="0"/>
    <s v="IDA"/>
    <n v="0"/>
    <s v=""/>
    <s v=""/>
    <s v=""/>
    <s v=""/>
    <s v=""/>
    <s v=""/>
    <n v="0"/>
    <n v="0"/>
    <s v=""/>
    <s v=""/>
    <s v=""/>
    <s v=""/>
    <s v=""/>
    <n v="0"/>
    <n v="0"/>
    <n v="0"/>
    <s v="Yes"/>
    <n v="0"/>
    <n v="0"/>
    <n v="0"/>
    <n v="0"/>
    <s v=""/>
    <s v=""/>
    <s v=""/>
    <n v="0"/>
    <n v="995840"/>
    <n v="0"/>
    <s v="Yes"/>
    <n v="0"/>
    <n v="0"/>
    <n v="715014"/>
    <n v="538987.4"/>
    <n v="557990.22"/>
    <n v="0"/>
    <n v="0"/>
    <s v="Yes"/>
    <n v="455449"/>
    <s v="GAVI"/>
    <n v="0"/>
    <n v="0"/>
    <n v="0"/>
    <n v="0"/>
    <n v="0"/>
  </r>
  <r>
    <s v="SRB"/>
    <x v="115"/>
    <x v="2"/>
    <x v="2"/>
    <x v="0"/>
    <x v="1"/>
    <n v="1"/>
    <n v="100000"/>
    <n v="100000"/>
    <n v="8737370"/>
    <n v="2621211"/>
    <x v="94"/>
    <x v="1"/>
    <n v="1"/>
    <n v="0"/>
    <s v=""/>
    <n v="0"/>
    <n v="0"/>
    <n v="0"/>
    <n v="0"/>
    <n v="0"/>
    <n v="0"/>
    <n v="0"/>
    <n v="0"/>
    <n v="0"/>
    <n v="0"/>
    <n v="0"/>
    <n v="1"/>
    <n v="100000"/>
    <s v="Yes"/>
    <s v="Yes"/>
    <s v="No"/>
    <s v="No"/>
    <s v="Yes"/>
    <s v="Yes"/>
    <s v="No"/>
    <s v="No"/>
    <s v="No"/>
    <n v="0"/>
    <n v="0"/>
    <n v="0"/>
    <s v="IBRD"/>
    <n v="0"/>
    <s v=""/>
    <s v=""/>
    <s v=""/>
    <s v=""/>
    <s v=""/>
    <s v=""/>
    <n v="0"/>
    <n v="0"/>
    <s v=""/>
    <s v=""/>
    <s v=""/>
    <s v=""/>
    <s v=""/>
    <n v="0"/>
    <n v="0"/>
    <n v="0"/>
    <n v="0"/>
    <n v="0"/>
    <n v="0"/>
    <n v="0"/>
    <n v="0"/>
    <s v=""/>
    <s v=""/>
    <s v=""/>
    <n v="0"/>
    <n v="0"/>
    <n v="0"/>
    <n v="0"/>
    <n v="0"/>
    <n v="0"/>
    <n v="100000"/>
    <n v="0"/>
    <n v="0"/>
    <n v="0"/>
    <n v="0"/>
    <e v="#N/A"/>
    <e v="#N/A"/>
    <s v=""/>
    <n v="0"/>
    <n v="0"/>
    <n v="0"/>
    <n v="0"/>
    <n v="0"/>
  </r>
  <r>
    <s v="SSD"/>
    <x v="116"/>
    <x v="1"/>
    <x v="0"/>
    <x v="0"/>
    <x v="0"/>
    <n v="4"/>
    <n v="67136399"/>
    <n v="10706399"/>
    <n v="11193729"/>
    <n v="3358118.6999999997"/>
    <x v="95"/>
    <x v="0"/>
    <n v="1"/>
    <n v="1"/>
    <n v="7500000"/>
    <n v="0"/>
    <n v="0"/>
    <n v="0"/>
    <n v="0"/>
    <n v="0"/>
    <n v="0"/>
    <n v="1"/>
    <n v="1000000"/>
    <n v="0"/>
    <n v="1"/>
    <n v="1525799"/>
    <n v="1"/>
    <n v="680600"/>
    <s v="No"/>
    <s v="No"/>
    <s v="No"/>
    <s v="Yes"/>
    <s v="No"/>
    <s v="Yes"/>
    <s v="No"/>
    <s v="Yes"/>
    <s v="No"/>
    <s v="High"/>
    <s v="Yes"/>
    <n v="0"/>
    <s v="IDA"/>
    <s v="Approved"/>
    <n v="63930000"/>
    <n v="0"/>
    <n v="63900000"/>
    <n v="0"/>
    <n v="7500000"/>
    <n v="56430000"/>
    <n v="0"/>
    <n v="0"/>
    <s v=""/>
    <s v=""/>
    <s v=""/>
    <s v=""/>
    <s v=""/>
    <n v="0"/>
    <n v="0"/>
    <n v="0"/>
    <s v="Yes"/>
    <n v="0"/>
    <n v="0"/>
    <n v="0"/>
    <n v="0"/>
    <s v=""/>
    <s v=""/>
    <s v=""/>
    <n v="0"/>
    <n v="500000"/>
    <n v="0"/>
    <s v="Yes"/>
    <n v="1000000"/>
    <n v="0"/>
    <n v="680600"/>
    <n v="330272"/>
    <n v="351367"/>
    <n v="0"/>
    <n v="0"/>
    <s v="Yes"/>
    <n v="344160"/>
    <s v="GAVI"/>
    <n v="0"/>
    <n v="0"/>
    <n v="0"/>
    <n v="0"/>
    <n v="0"/>
  </r>
  <r>
    <s v="STP"/>
    <x v="117"/>
    <x v="4"/>
    <x v="1"/>
    <x v="1"/>
    <x v="0"/>
    <n v="1"/>
    <n v="6963595"/>
    <n v="463595"/>
    <n v="219161"/>
    <n v="65748.3"/>
    <x v="96"/>
    <x v="1"/>
    <n v="1"/>
    <n v="0"/>
    <s v=""/>
    <n v="0"/>
    <n v="0"/>
    <n v="0"/>
    <n v="0"/>
    <n v="0"/>
    <n v="0"/>
    <n v="0"/>
    <n v="0"/>
    <n v="0"/>
    <n v="1"/>
    <n v="463595"/>
    <n v="0"/>
    <n v="0"/>
    <s v="No"/>
    <s v="No"/>
    <s v="No"/>
    <s v="Yes"/>
    <s v="No"/>
    <s v="Yes"/>
    <s v="No"/>
    <s v="Yes"/>
    <s v="Yes"/>
    <s v="In distress"/>
    <n v="0"/>
    <n v="0"/>
    <s v="IDA"/>
    <s v="Approved"/>
    <n v="6500000"/>
    <n v="0"/>
    <n v="6500000"/>
    <s v=""/>
    <s v=""/>
    <s v=""/>
    <n v="0"/>
    <n v="0"/>
    <s v=""/>
    <s v=""/>
    <s v=""/>
    <s v=""/>
    <s v=""/>
    <n v="0"/>
    <n v="0"/>
    <n v="0"/>
    <s v="Yes"/>
    <n v="0"/>
    <n v="0"/>
    <n v="0"/>
    <n v="0"/>
    <s v=""/>
    <s v=""/>
    <s v=""/>
    <n v="0"/>
    <n v="0"/>
    <n v="0"/>
    <n v="0"/>
    <n v="0"/>
    <n v="0"/>
    <n v="0"/>
    <n v="50004"/>
    <n v="321989"/>
    <n v="0"/>
    <n v="0"/>
    <s v="Yes"/>
    <n v="91602"/>
    <s v="GAVI"/>
    <n v="0"/>
    <n v="0"/>
    <n v="0"/>
    <n v="0"/>
    <n v="0"/>
  </r>
  <r>
    <s v="SUR"/>
    <x v="118"/>
    <x v="5"/>
    <x v="2"/>
    <x v="1"/>
    <x v="1"/>
    <n v="0"/>
    <n v="0"/>
    <n v="0"/>
    <n v="586634"/>
    <n v="175990.19999999998"/>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n v="0"/>
    <n v="0"/>
    <n v="0"/>
    <n v="0"/>
    <n v="0"/>
    <n v="0"/>
    <n v="0"/>
    <n v="0"/>
    <e v="#N/A"/>
    <e v="#N/A"/>
    <s v=""/>
    <n v="0"/>
    <n v="0"/>
    <n v="0"/>
    <n v="0"/>
    <n v="0"/>
  </r>
  <r>
    <s v="SWZ"/>
    <x v="119"/>
    <x v="1"/>
    <x v="1"/>
    <x v="0"/>
    <x v="0"/>
    <n v="4"/>
    <n v="10473401"/>
    <n v="6173401"/>
    <n v="1160164"/>
    <n v="348049.2"/>
    <x v="97"/>
    <x v="0"/>
    <n v="1"/>
    <n v="1"/>
    <n v="3700000"/>
    <n v="0"/>
    <n v="0"/>
    <n v="0"/>
    <n v="0"/>
    <n v="0"/>
    <n v="0"/>
    <n v="1"/>
    <n v="2000000"/>
    <n v="0"/>
    <n v="1"/>
    <n v="103401"/>
    <n v="1"/>
    <n v="370000"/>
    <s v="Yes"/>
    <s v="Yes"/>
    <s v="No"/>
    <s v="No"/>
    <s v="Yes"/>
    <s v="Yes"/>
    <s v="No"/>
    <s v="No"/>
    <s v="No"/>
    <s v="N/A"/>
    <s v="Yes"/>
    <n v="0"/>
    <s v="IBRD"/>
    <s v="Approved"/>
    <n v="8000000"/>
    <n v="5040000"/>
    <n v="3040000"/>
    <n v="800000"/>
    <n v="3700000"/>
    <n v="3500000"/>
    <n v="0"/>
    <n v="0"/>
    <s v=""/>
    <s v=""/>
    <s v=""/>
    <s v=""/>
    <s v=""/>
    <n v="0"/>
    <n v="0"/>
    <n v="0"/>
    <s v="Yes"/>
    <n v="0"/>
    <n v="0"/>
    <n v="0"/>
    <n v="0"/>
    <s v=""/>
    <s v=""/>
    <s v=""/>
    <n v="0"/>
    <n v="0"/>
    <s v="Under Preparation"/>
    <s v="Yes"/>
    <n v="2000000"/>
    <n v="0"/>
    <n v="370000"/>
    <n v="28188"/>
    <n v="25000"/>
    <n v="0"/>
    <n v="0"/>
    <s v="Yes"/>
    <n v="50213"/>
    <s v="UNICEF"/>
    <n v="0"/>
    <n v="0"/>
    <n v="0"/>
    <n v="0"/>
    <n v="0"/>
  </r>
  <r>
    <s v="SYC"/>
    <x v="120"/>
    <x v="1"/>
    <x v="3"/>
    <x v="1"/>
    <x v="1"/>
    <n v="0"/>
    <n v="0"/>
    <n v="0"/>
    <n v="98340"/>
    <n v="29502"/>
    <x v="5"/>
    <x v="1"/>
    <n v="0"/>
    <n v="0"/>
    <s v=""/>
    <n v="0"/>
    <n v="0"/>
    <n v="0"/>
    <n v="0"/>
    <n v="0"/>
    <n v="0"/>
    <n v="0"/>
    <n v="0"/>
    <n v="0"/>
    <n v="0"/>
    <n v="0"/>
    <n v="0"/>
    <n v="0"/>
    <s v="Yes"/>
    <s v="Yes"/>
    <s v="No"/>
    <s v="No"/>
    <s v="Yes"/>
    <s v="Yes"/>
    <s v="No"/>
    <s v="No"/>
    <s v="No"/>
    <s v="N/A"/>
    <n v="0"/>
    <n v="0"/>
    <s v="IBRD"/>
    <s v="Under Preparation"/>
    <s v=""/>
    <s v=""/>
    <s v=""/>
    <s v=""/>
    <s v=""/>
    <s v=""/>
    <n v="0"/>
    <n v="0"/>
    <s v=""/>
    <s v=""/>
    <s v=""/>
    <s v=""/>
    <s v=""/>
    <n v="0"/>
    <n v="0"/>
    <n v="0"/>
    <n v="0"/>
    <n v="0"/>
    <n v="0"/>
    <n v="0"/>
    <n v="0"/>
    <s v=""/>
    <s v=""/>
    <s v=""/>
    <n v="0"/>
    <n v="0"/>
    <n v="0"/>
    <n v="0"/>
    <n v="0"/>
    <n v="0"/>
    <n v="0"/>
    <n v="0"/>
    <n v="0"/>
    <n v="0"/>
    <n v="0"/>
    <e v="#N/A"/>
    <e v="#N/A"/>
    <s v=""/>
    <n v="0"/>
    <n v="0"/>
    <n v="0"/>
    <n v="0"/>
    <n v="0"/>
  </r>
  <r>
    <s v="SYR"/>
    <x v="121"/>
    <x v="6"/>
    <x v="0"/>
    <x v="0"/>
    <x v="0"/>
    <n v="2"/>
    <n v="2831673.5"/>
    <n v="2831673.5"/>
    <n v="17500657"/>
    <n v="5250197.0999999996"/>
    <x v="98"/>
    <x v="1"/>
    <n v="1"/>
    <n v="0"/>
    <s v=""/>
    <n v="0"/>
    <n v="0"/>
    <n v="0"/>
    <n v="0"/>
    <n v="0"/>
    <n v="0"/>
    <n v="0"/>
    <n v="0"/>
    <n v="0"/>
    <n v="1"/>
    <n v="1297412.5"/>
    <n v="1"/>
    <n v="1534261"/>
    <s v="No"/>
    <s v="No"/>
    <s v="No"/>
    <s v="Yes"/>
    <s v="No"/>
    <s v="Yes"/>
    <s v="No"/>
    <s v="No"/>
    <s v="No"/>
    <s v="N/A"/>
    <s v="Yes"/>
    <n v="0"/>
    <s v="IDA"/>
    <n v="0"/>
    <s v=""/>
    <s v=""/>
    <s v=""/>
    <s v=""/>
    <s v=""/>
    <s v=""/>
    <n v="0"/>
    <n v="0"/>
    <s v=""/>
    <s v=""/>
    <s v=""/>
    <s v=""/>
    <s v=""/>
    <s v="Yes"/>
    <n v="0"/>
    <n v="0"/>
    <n v="0"/>
    <n v="0"/>
    <n v="0"/>
    <n v="0"/>
    <n v="0"/>
    <s v=""/>
    <s v=""/>
    <s v=""/>
    <n v="0"/>
    <n v="0"/>
    <n v="0"/>
    <n v="0"/>
    <n v="0"/>
    <n v="0"/>
    <n v="1534261"/>
    <n v="497634"/>
    <n v="458787.5"/>
    <n v="0"/>
    <n v="0"/>
    <s v="Yes"/>
    <n v="340991"/>
    <s v="GAVI"/>
    <n v="0"/>
    <n v="0"/>
    <n v="0"/>
    <n v="0"/>
    <n v="0"/>
  </r>
  <r>
    <s v="TCD"/>
    <x v="122"/>
    <x v="4"/>
    <x v="0"/>
    <x v="0"/>
    <x v="0"/>
    <n v="1"/>
    <n v="22281499"/>
    <n v="2281499"/>
    <n v="16425859"/>
    <n v="4927757.7"/>
    <x v="99"/>
    <x v="1"/>
    <n v="1"/>
    <n v="0"/>
    <s v=""/>
    <n v="0"/>
    <n v="0"/>
    <n v="0"/>
    <n v="0"/>
    <n v="1"/>
    <n v="20000000"/>
    <n v="0"/>
    <n v="0"/>
    <n v="0"/>
    <n v="1"/>
    <n v="2281499"/>
    <n v="0"/>
    <n v="0"/>
    <s v="No"/>
    <s v="No"/>
    <s v="No"/>
    <s v="Yes"/>
    <s v="No"/>
    <s v="Yes"/>
    <s v="Yes"/>
    <s v="Yes"/>
    <s v="Yes"/>
    <s v="High"/>
    <n v="0"/>
    <n v="0"/>
    <s v="IDA"/>
    <s v="Under Preparation"/>
    <s v=""/>
    <s v=""/>
    <s v=""/>
    <s v=""/>
    <s v=""/>
    <s v=""/>
    <n v="0"/>
    <n v="0"/>
    <s v=""/>
    <s v=""/>
    <s v=""/>
    <s v=""/>
    <s v=""/>
    <s v="Yes"/>
    <s v="Requested"/>
    <n v="20000000"/>
    <s v="Yes"/>
    <n v="0"/>
    <n v="0"/>
    <n v="0"/>
    <n v="0"/>
    <s v=""/>
    <s v=""/>
    <s v=""/>
    <s v="Yes"/>
    <n v="1582483"/>
    <n v="0"/>
    <n v="0"/>
    <n v="0"/>
    <n v="0"/>
    <n v="0"/>
    <n v="243389"/>
    <n v="455627"/>
    <n v="0"/>
    <n v="0"/>
    <s v="Yes"/>
    <s v=" $-   "/>
    <s v="GAVI"/>
    <n v="0"/>
    <n v="0"/>
    <n v="0"/>
    <n v="0"/>
    <n v="0"/>
  </r>
  <r>
    <s v="TGO"/>
    <x v="123"/>
    <x v="4"/>
    <x v="0"/>
    <x v="0"/>
    <x v="0"/>
    <n v="4"/>
    <n v="30866281"/>
    <n v="16866281"/>
    <n v="8278736.9999999991"/>
    <n v="2483621.0999999996"/>
    <x v="100"/>
    <x v="0"/>
    <n v="1"/>
    <n v="1"/>
    <n v="15500000"/>
    <n v="0"/>
    <n v="0"/>
    <n v="0"/>
    <n v="0"/>
    <n v="0"/>
    <n v="0"/>
    <n v="1"/>
    <n v="500000"/>
    <n v="0"/>
    <n v="1"/>
    <n v="366281"/>
    <n v="1"/>
    <n v="500000"/>
    <s v="No"/>
    <s v="No"/>
    <s v="No"/>
    <s v="Yes"/>
    <s v="No"/>
    <s v="Yes"/>
    <s v="No"/>
    <s v="Yes"/>
    <s v="Yes"/>
    <s v="High"/>
    <s v="Yes"/>
    <n v="0"/>
    <s v="IDA"/>
    <s v="Approved"/>
    <n v="29500000"/>
    <n v="12389999.999999998"/>
    <n v="17110000"/>
    <n v="14000000"/>
    <n v="15500000"/>
    <n v="0"/>
    <n v="0"/>
    <n v="0"/>
    <s v=""/>
    <s v=""/>
    <s v=""/>
    <s v=""/>
    <s v=""/>
    <s v="Yes"/>
    <n v="0"/>
    <n v="0"/>
    <s v="Yes"/>
    <n v="0"/>
    <n v="0"/>
    <n v="0"/>
    <n v="0"/>
    <s v=""/>
    <s v=""/>
    <s v=""/>
    <n v="0"/>
    <n v="0"/>
    <n v="0"/>
    <n v="0"/>
    <n v="500000"/>
    <n v="0"/>
    <n v="500000"/>
    <n v="152330"/>
    <n v="213951"/>
    <n v="0"/>
    <n v="0"/>
    <s v="Yes"/>
    <s v=" $-   "/>
    <s v="GAVI"/>
    <n v="0"/>
    <n v="0"/>
    <n v="0"/>
    <n v="0"/>
    <n v="0"/>
  </r>
  <r>
    <s v="THA"/>
    <x v="124"/>
    <x v="5"/>
    <x v="2"/>
    <x v="0"/>
    <x v="1"/>
    <n v="1"/>
    <n v="749390"/>
    <n v="749390"/>
    <n v="69799978"/>
    <n v="20939993.399999999"/>
    <x v="101"/>
    <x v="1"/>
    <n v="1"/>
    <n v="0"/>
    <s v=""/>
    <n v="0"/>
    <n v="0"/>
    <n v="0"/>
    <n v="0"/>
    <n v="0"/>
    <n v="0"/>
    <n v="1"/>
    <n v="749390"/>
    <n v="0"/>
    <n v="0"/>
    <n v="0"/>
    <n v="0"/>
    <n v="0"/>
    <s v="Yes"/>
    <s v="Yes"/>
    <s v="No"/>
    <s v="No"/>
    <s v="Yes"/>
    <s v="Yes"/>
    <s v="No"/>
    <s v="No"/>
    <s v="No"/>
    <n v="0"/>
    <n v="0"/>
    <n v="0"/>
    <s v="IBRD"/>
    <n v="0"/>
    <s v=""/>
    <s v=""/>
    <s v=""/>
    <s v=""/>
    <s v=""/>
    <s v=""/>
    <n v="0"/>
    <n v="0"/>
    <s v=""/>
    <s v=""/>
    <s v=""/>
    <s v=""/>
    <s v=""/>
    <n v="0"/>
    <n v="0"/>
    <n v="0"/>
    <n v="0"/>
    <n v="0"/>
    <n v="0"/>
    <n v="0"/>
    <n v="0"/>
    <s v=""/>
    <s v=""/>
    <s v=""/>
    <n v="0"/>
    <n v="0"/>
    <n v="0"/>
    <n v="0"/>
    <n v="0"/>
    <n v="749390"/>
    <n v="0"/>
    <n v="0"/>
    <n v="0"/>
    <n v="0"/>
    <n v="0"/>
    <e v="#N/A"/>
    <e v="#N/A"/>
    <s v=""/>
    <n v="0"/>
    <n v="0"/>
    <n v="0"/>
    <n v="0"/>
    <n v="0"/>
  </r>
  <r>
    <s v="TJK"/>
    <x v="125"/>
    <x v="2"/>
    <x v="1"/>
    <x v="0"/>
    <x v="0"/>
    <n v="4"/>
    <n v="35809893.149999999"/>
    <n v="5359893.1500000004"/>
    <n v="9537642"/>
    <n v="2861292.6"/>
    <x v="102"/>
    <x v="0"/>
    <n v="1"/>
    <n v="1"/>
    <n v="2380000"/>
    <n v="0"/>
    <n v="0"/>
    <n v="1"/>
    <n v="770000"/>
    <n v="0"/>
    <n v="0"/>
    <n v="1"/>
    <n v="1100000"/>
    <n v="0"/>
    <n v="1"/>
    <n v="1109893.1499999999"/>
    <n v="0"/>
    <n v="0"/>
    <s v="No"/>
    <s v="No"/>
    <s v="No"/>
    <s v="Yes"/>
    <s v="No"/>
    <s v="Yes"/>
    <s v="No"/>
    <s v="Yes"/>
    <s v="Yes"/>
    <s v="High"/>
    <s v="Yes"/>
    <n v="0"/>
    <s v="IDA"/>
    <s v="Approved"/>
    <n v="8600000"/>
    <n v="0"/>
    <n v="8600000"/>
    <n v="5800000"/>
    <n v="2380000"/>
    <n v="450000"/>
    <n v="0"/>
    <s v="Approved"/>
    <s v="Loan"/>
    <n v="25000000"/>
    <n v="21800000"/>
    <n v="770000"/>
    <n v="2429999.9999999995"/>
    <s v="Yes"/>
    <n v="0"/>
    <n v="0"/>
    <n v="0"/>
    <n v="0"/>
    <n v="0"/>
    <n v="0"/>
    <n v="0"/>
    <s v=""/>
    <s v=""/>
    <s v=""/>
    <n v="0"/>
    <n v="0"/>
    <n v="0"/>
    <n v="0"/>
    <n v="1100000"/>
    <n v="0"/>
    <n v="0"/>
    <n v="113702"/>
    <n v="630278.15"/>
    <n v="0"/>
    <n v="0"/>
    <s v="Yes"/>
    <n v="365913"/>
    <s v="GAVI"/>
    <n v="0"/>
    <n v="0"/>
    <n v="0"/>
    <n v="0"/>
    <n v="0"/>
  </r>
  <r>
    <s v="TKM"/>
    <x v="126"/>
    <x v="2"/>
    <x v="2"/>
    <x v="0"/>
    <x v="1"/>
    <n v="0"/>
    <n v="0"/>
    <n v="0"/>
    <n v="6031187"/>
    <n v="1809356.0999999999"/>
    <x v="5"/>
    <x v="1"/>
    <n v="0"/>
    <n v="0"/>
    <s v=""/>
    <n v="0"/>
    <n v="0"/>
    <n v="0"/>
    <n v="0"/>
    <n v="0"/>
    <n v="0"/>
    <n v="0"/>
    <n v="0"/>
    <n v="0"/>
    <n v="0"/>
    <n v="0"/>
    <n v="0"/>
    <n v="0"/>
    <s v="Yes"/>
    <s v="Yes"/>
    <s v="No"/>
    <s v="No"/>
    <s v="Yes"/>
    <s v="Yes"/>
    <s v="No"/>
    <s v="No"/>
    <s v="No"/>
    <s v="N/A"/>
    <n v="0"/>
    <n v="0"/>
    <s v="IBRD"/>
    <s v="Ineligible"/>
    <s v=""/>
    <s v=""/>
    <s v=""/>
    <s v=""/>
    <s v=""/>
    <s v=""/>
    <s v="Yes"/>
    <n v="0"/>
    <s v=""/>
    <s v=""/>
    <s v=""/>
    <s v=""/>
    <s v=""/>
    <s v="Yes"/>
    <n v="0"/>
    <n v="0"/>
    <n v="0"/>
    <n v="0"/>
    <n v="0"/>
    <n v="0"/>
    <n v="0"/>
    <s v=""/>
    <s v=""/>
    <s v=""/>
    <n v="0"/>
    <n v="0"/>
    <n v="0"/>
    <n v="0"/>
    <n v="0"/>
    <n v="0"/>
    <n v="0"/>
    <n v="0"/>
    <n v="0"/>
    <n v="0"/>
    <n v="0"/>
    <e v="#N/A"/>
    <e v="#N/A"/>
    <s v=""/>
    <n v="0"/>
    <n v="0"/>
    <n v="0"/>
    <n v="0"/>
    <n v="0"/>
  </r>
  <r>
    <s v="TLS"/>
    <x v="127"/>
    <x v="5"/>
    <x v="1"/>
    <x v="1"/>
    <x v="0"/>
    <n v="2"/>
    <n v="3155293"/>
    <n v="3155293"/>
    <n v="1318442"/>
    <n v="395532.6"/>
    <x v="103"/>
    <x v="1"/>
    <n v="1"/>
    <n v="0"/>
    <s v=""/>
    <n v="0"/>
    <n v="0"/>
    <n v="0"/>
    <n v="0"/>
    <n v="0"/>
    <n v="0"/>
    <n v="1"/>
    <n v="2939532"/>
    <n v="0"/>
    <n v="1"/>
    <n v="215761"/>
    <n v="0"/>
    <n v="0"/>
    <s v="No"/>
    <s v="No"/>
    <s v="Yes"/>
    <s v="Yes"/>
    <s v="No"/>
    <s v="Yes"/>
    <s v="No"/>
    <s v="Yes"/>
    <s v="No"/>
    <s v="Low"/>
    <n v="0"/>
    <n v="0"/>
    <s v="Blend"/>
    <n v="0"/>
    <s v=""/>
    <s v=""/>
    <s v=""/>
    <s v=""/>
    <s v=""/>
    <s v=""/>
    <s v="Yes"/>
    <n v="0"/>
    <s v=""/>
    <s v=""/>
    <s v=""/>
    <s v=""/>
    <s v=""/>
    <n v="0"/>
    <n v="0"/>
    <n v="0"/>
    <n v="0"/>
    <n v="0"/>
    <n v="0"/>
    <n v="0"/>
    <n v="0"/>
    <s v=""/>
    <s v=""/>
    <s v=""/>
    <n v="0"/>
    <n v="0"/>
    <n v="0"/>
    <n v="0"/>
    <n v="0"/>
    <n v="1226362"/>
    <n v="0"/>
    <n v="140400"/>
    <n v="25000"/>
    <n v="1713170"/>
    <n v="0"/>
    <s v="Yes"/>
    <n v="50361"/>
    <s v="GAVI"/>
    <n v="0"/>
    <n v="0"/>
    <n v="0"/>
    <n v="0"/>
    <n v="0"/>
  </r>
  <r>
    <s v="TON"/>
    <x v="128"/>
    <x v="5"/>
    <x v="2"/>
    <x v="1"/>
    <x v="0"/>
    <n v="2"/>
    <n v="5584920"/>
    <n v="2854920"/>
    <n v="105697"/>
    <n v="31709.1"/>
    <x v="104"/>
    <x v="0"/>
    <n v="1"/>
    <n v="0"/>
    <s v=""/>
    <n v="0"/>
    <n v="0"/>
    <n v="1"/>
    <n v="2770000"/>
    <n v="0"/>
    <n v="0"/>
    <n v="0"/>
    <n v="0"/>
    <n v="0"/>
    <n v="1"/>
    <n v="84920"/>
    <n v="0"/>
    <n v="0"/>
    <s v="No"/>
    <s v="No"/>
    <s v="No"/>
    <s v="Yes"/>
    <s v="No"/>
    <s v="Yes"/>
    <s v="No"/>
    <s v="Yes"/>
    <s v="Yes"/>
    <s v="High"/>
    <n v="0"/>
    <n v="0"/>
    <s v="IDA"/>
    <n v="0"/>
    <s v=""/>
    <s v=""/>
    <s v=""/>
    <s v=""/>
    <s v=""/>
    <s v=""/>
    <s v="Yes"/>
    <s v="Approved"/>
    <s v="Grant"/>
    <n v="5500000"/>
    <n v="1230000"/>
    <n v="2770000"/>
    <n v="1500000"/>
    <n v="0"/>
    <n v="0"/>
    <n v="0"/>
    <n v="0"/>
    <n v="0"/>
    <n v="0"/>
    <n v="0"/>
    <n v="0"/>
    <s v=""/>
    <s v=""/>
    <s v=""/>
    <n v="0"/>
    <n v="0"/>
    <n v="0"/>
    <n v="0"/>
    <n v="0"/>
    <n v="0"/>
    <n v="0"/>
    <n v="59920"/>
    <n v="25000"/>
    <n v="0"/>
    <n v="0"/>
    <s v="N/A"/>
    <s v=" $-   "/>
    <s v="UNICEF"/>
    <n v="0"/>
    <n v="0"/>
    <n v="0"/>
    <n v="0"/>
    <n v="0"/>
  </r>
  <r>
    <s v="TTO"/>
    <x v="129"/>
    <x v="3"/>
    <x v="3"/>
    <x v="1"/>
    <x v="1"/>
    <n v="1"/>
    <n v="5762077"/>
    <n v="825050"/>
    <n v="1399491"/>
    <n v="419847.3"/>
    <x v="105"/>
    <x v="0"/>
    <n v="0"/>
    <n v="0"/>
    <s v=""/>
    <n v="1"/>
    <n v="825050"/>
    <n v="0"/>
    <n v="0"/>
    <n v="0"/>
    <n v="0"/>
    <n v="0"/>
    <n v="0"/>
    <n v="0"/>
    <n v="0"/>
    <n v="0"/>
    <n v="0"/>
    <n v="0"/>
    <s v="Yes"/>
    <s v="Yes"/>
    <s v="No"/>
    <s v="No"/>
    <s v="Yes"/>
    <s v="Yes"/>
    <s v="No"/>
    <s v="No"/>
    <s v="No"/>
    <s v="N/A"/>
    <n v="0"/>
    <n v="0"/>
    <s v="IBRD"/>
    <n v="0"/>
    <s v=""/>
    <s v=""/>
    <s v=""/>
    <s v=""/>
    <s v=""/>
    <s v=""/>
    <n v="0"/>
    <n v="0"/>
    <s v=""/>
    <s v=""/>
    <s v=""/>
    <s v=""/>
    <s v=""/>
    <n v="0"/>
    <n v="0"/>
    <n v="0"/>
    <n v="0"/>
    <n v="0"/>
    <n v="0"/>
    <s v="Yes"/>
    <s v="Loan"/>
    <n v="5762077"/>
    <n v="4937027"/>
    <n v="825050"/>
    <n v="0"/>
    <n v="0"/>
    <n v="0"/>
    <n v="0"/>
    <n v="0"/>
    <n v="0"/>
    <n v="0"/>
    <n v="0"/>
    <n v="0"/>
    <n v="0"/>
    <n v="0"/>
    <e v="#N/A"/>
    <e v="#N/A"/>
    <s v=""/>
    <n v="0"/>
    <n v="0"/>
    <n v="0"/>
    <n v="0"/>
    <n v="0"/>
  </r>
  <r>
    <s v="TUN"/>
    <x v="130"/>
    <x v="6"/>
    <x v="1"/>
    <x v="0"/>
    <x v="0"/>
    <n v="3"/>
    <n v="105385000.03"/>
    <n v="12435000.029999999"/>
    <n v="11818618"/>
    <n v="3545585.4"/>
    <x v="106"/>
    <x v="0"/>
    <n v="1"/>
    <n v="1"/>
    <n v="9250000"/>
    <n v="0"/>
    <n v="0"/>
    <n v="0"/>
    <n v="0"/>
    <n v="1"/>
    <n v="2200000"/>
    <n v="1"/>
    <n v="3000000"/>
    <n v="0"/>
    <n v="1"/>
    <n v="185000.03"/>
    <n v="0"/>
    <n v="0"/>
    <s v="Yes"/>
    <s v="Yes"/>
    <s v="No"/>
    <s v="No"/>
    <s v="Yes"/>
    <s v="Yes"/>
    <s v="No"/>
    <s v="No"/>
    <s v="No"/>
    <s v="N/A"/>
    <n v="0"/>
    <n v="0"/>
    <s v="IBRD"/>
    <s v="Approved"/>
    <n v="100000000"/>
    <n v="100000000"/>
    <n v="0"/>
    <n v="83000000"/>
    <n v="9250000"/>
    <n v="7750000"/>
    <n v="0"/>
    <n v="0"/>
    <s v=""/>
    <s v=""/>
    <s v=""/>
    <s v=""/>
    <s v=""/>
    <s v="Yes"/>
    <s v="Requested"/>
    <n v="2200000"/>
    <s v="Yes"/>
    <n v="0"/>
    <n v="0"/>
    <n v="0"/>
    <n v="0"/>
    <s v=""/>
    <s v=""/>
    <s v=""/>
    <n v="0"/>
    <n v="0"/>
    <n v="0"/>
    <s v="Yes"/>
    <n v="3000000"/>
    <n v="0"/>
    <n v="0"/>
    <n v="135000"/>
    <n v="50000.03"/>
    <n v="0"/>
    <n v="0"/>
    <s v="Yes"/>
    <s v=" $-   "/>
    <s v="UNICEF"/>
    <n v="0"/>
    <n v="0"/>
    <n v="0"/>
    <n v="0"/>
    <n v="0"/>
  </r>
  <r>
    <s v="TUR"/>
    <x v="131"/>
    <x v="2"/>
    <x v="2"/>
    <x v="0"/>
    <x v="1"/>
    <n v="0"/>
    <n v="0"/>
    <n v="0"/>
    <n v="84339067"/>
    <n v="25301720.099999998"/>
    <x v="5"/>
    <x v="1"/>
    <n v="0"/>
    <n v="0"/>
    <s v=""/>
    <n v="0"/>
    <n v="0"/>
    <n v="0"/>
    <n v="0"/>
    <n v="0"/>
    <n v="0"/>
    <n v="0"/>
    <n v="0"/>
    <n v="0"/>
    <n v="0"/>
    <n v="0"/>
    <n v="0"/>
    <n v="0"/>
    <s v="Yes"/>
    <s v="Yes"/>
    <s v="No"/>
    <s v="No"/>
    <s v="Yes"/>
    <s v="Yes"/>
    <s v="No"/>
    <s v="No"/>
    <s v="No"/>
    <n v="0"/>
    <n v="0"/>
    <n v="0"/>
    <s v="IBRD"/>
    <n v="0"/>
    <s v=""/>
    <s v=""/>
    <s v=""/>
    <s v=""/>
    <s v=""/>
    <s v=""/>
    <n v="0"/>
    <n v="0"/>
    <s v=""/>
    <s v=""/>
    <s v=""/>
    <s v=""/>
    <s v=""/>
    <s v="Yes"/>
    <n v="0"/>
    <n v="0"/>
    <n v="0"/>
    <n v="0"/>
    <n v="0"/>
    <n v="0"/>
    <n v="0"/>
    <s v=""/>
    <s v=""/>
    <s v=""/>
    <n v="0"/>
    <n v="0"/>
    <n v="0"/>
    <n v="0"/>
    <n v="0"/>
    <n v="0"/>
    <n v="0"/>
    <n v="0"/>
    <n v="0"/>
    <n v="0"/>
    <n v="0"/>
    <e v="#N/A"/>
    <e v="#N/A"/>
    <s v=""/>
    <n v="0"/>
    <n v="0"/>
    <n v="0"/>
    <n v="0"/>
    <n v="0"/>
  </r>
  <r>
    <s v="TUV"/>
    <x v="132"/>
    <x v="5"/>
    <x v="2"/>
    <x v="1"/>
    <x v="0"/>
    <n v="2"/>
    <n v="1577132"/>
    <n v="917132.00000000012"/>
    <n v="11792"/>
    <n v="3537.6"/>
    <x v="107"/>
    <x v="0"/>
    <n v="1"/>
    <n v="0"/>
    <s v=""/>
    <n v="0"/>
    <n v="0"/>
    <n v="1"/>
    <n v="840000.00000000012"/>
    <n v="0"/>
    <n v="0"/>
    <n v="0"/>
    <n v="0"/>
    <n v="0"/>
    <n v="1"/>
    <n v="77132"/>
    <n v="0"/>
    <n v="0"/>
    <s v="No"/>
    <s v="No"/>
    <s v="No"/>
    <s v="Yes"/>
    <s v="No"/>
    <s v="Yes"/>
    <s v="No"/>
    <s v="Yes"/>
    <s v="No"/>
    <s v="…"/>
    <n v="0"/>
    <n v="0"/>
    <s v="IDA"/>
    <n v="0"/>
    <s v=""/>
    <s v=""/>
    <s v=""/>
    <s v=""/>
    <s v=""/>
    <s v=""/>
    <s v="Yes"/>
    <s v="Approved"/>
    <s v="Grant"/>
    <n v="1500000"/>
    <n v="150000"/>
    <n v="840000.00000000012"/>
    <n v="509999.99999999988"/>
    <n v="0"/>
    <n v="0"/>
    <n v="0"/>
    <n v="0"/>
    <n v="0"/>
    <n v="0"/>
    <n v="0"/>
    <n v="0"/>
    <s v=""/>
    <s v=""/>
    <s v=""/>
    <n v="0"/>
    <n v="0"/>
    <n v="0"/>
    <n v="0"/>
    <n v="0"/>
    <s v="Yes"/>
    <n v="0"/>
    <n v="52132"/>
    <n v="25000"/>
    <n v="0"/>
    <n v="0"/>
    <s v="N/A"/>
    <s v=" $-   "/>
    <s v="UNICEF"/>
    <n v="0"/>
    <n v="0"/>
    <n v="0"/>
    <n v="0"/>
    <n v="0"/>
  </r>
  <r>
    <s v="TZA"/>
    <x v="133"/>
    <x v="1"/>
    <x v="1"/>
    <x v="0"/>
    <x v="0"/>
    <n v="1"/>
    <n v="102262.39999999999"/>
    <n v="102262.39999999999"/>
    <n v="9537642"/>
    <n v="2861292.6"/>
    <x v="108"/>
    <x v="1"/>
    <n v="1"/>
    <n v="0"/>
    <s v=""/>
    <n v="0"/>
    <n v="0"/>
    <n v="0"/>
    <n v="0"/>
    <n v="0"/>
    <n v="0"/>
    <n v="0"/>
    <n v="0"/>
    <n v="0"/>
    <n v="1"/>
    <n v="102262.39999999999"/>
    <n v="0"/>
    <n v="0"/>
    <s v="No"/>
    <s v="No"/>
    <s v="No"/>
    <s v="Yes"/>
    <s v="No"/>
    <s v="Yes"/>
    <s v="No"/>
    <s v="Yes"/>
    <s v="Yes"/>
    <s v="…"/>
    <n v="0"/>
    <n v="0"/>
    <s v="IDA"/>
    <n v="0"/>
    <s v=""/>
    <s v=""/>
    <s v=""/>
    <s v=""/>
    <s v=""/>
    <s v=""/>
    <n v="0"/>
    <n v="0"/>
    <s v=""/>
    <s v=""/>
    <s v=""/>
    <s v=""/>
    <s v=""/>
    <n v="0"/>
    <n v="0"/>
    <n v="0"/>
    <s v="Yes"/>
    <n v="0"/>
    <n v="0"/>
    <n v="0"/>
    <n v="0"/>
    <s v=""/>
    <s v=""/>
    <s v=""/>
    <n v="0"/>
    <n v="0"/>
    <n v="0"/>
    <n v="0"/>
    <n v="0"/>
    <n v="0"/>
    <n v="0"/>
    <n v="52272"/>
    <n v="49990.400000000001"/>
    <n v="0"/>
    <n v="0"/>
    <s v="Yes"/>
    <s v=" $-   "/>
    <s v="GAVI"/>
    <n v="0"/>
    <n v="0"/>
    <n v="0"/>
    <n v="0"/>
    <n v="0"/>
  </r>
  <r>
    <s v="UGA"/>
    <x v="134"/>
    <x v="1"/>
    <x v="0"/>
    <x v="0"/>
    <x v="0"/>
    <n v="3"/>
    <n v="5096181"/>
    <n v="5096181"/>
    <n v="45741000"/>
    <n v="13722300"/>
    <x v="109"/>
    <x v="1"/>
    <n v="1"/>
    <n v="0"/>
    <s v=""/>
    <n v="0"/>
    <n v="0"/>
    <n v="0"/>
    <n v="0"/>
    <n v="0"/>
    <n v="0"/>
    <n v="1"/>
    <n v="3200000"/>
    <n v="0"/>
    <n v="1"/>
    <n v="1603962"/>
    <n v="1"/>
    <n v="292219"/>
    <s v="No"/>
    <s v="No"/>
    <s v="No"/>
    <s v="Yes"/>
    <s v="No"/>
    <s v="Yes"/>
    <s v="No"/>
    <s v="Yes"/>
    <s v="Yes"/>
    <s v="Low"/>
    <s v="Yes"/>
    <n v="0"/>
    <s v="IDA"/>
    <n v="0"/>
    <s v=""/>
    <s v=""/>
    <s v=""/>
    <s v=""/>
    <s v=""/>
    <s v=""/>
    <n v="0"/>
    <n v="0"/>
    <s v=""/>
    <s v=""/>
    <s v=""/>
    <s v=""/>
    <s v=""/>
    <s v="Yes"/>
    <n v="0"/>
    <n v="0"/>
    <s v="Yes"/>
    <n v="0"/>
    <n v="0"/>
    <n v="0"/>
    <n v="0"/>
    <s v=""/>
    <s v=""/>
    <s v=""/>
    <s v="Yes"/>
    <n v="0"/>
    <s v="Under Preparation"/>
    <s v="Yes"/>
    <n v="3200000"/>
    <n v="0"/>
    <n v="292219"/>
    <n v="342393"/>
    <n v="216660"/>
    <n v="0"/>
    <n v="0"/>
    <s v="Yes"/>
    <n v="1044909"/>
    <s v="GAVI"/>
    <n v="0"/>
    <n v="139000000"/>
    <n v="0"/>
    <n v="0"/>
    <n v="0"/>
  </r>
  <r>
    <s v="UKR"/>
    <x v="135"/>
    <x v="2"/>
    <x v="1"/>
    <x v="0"/>
    <x v="0"/>
    <n v="4"/>
    <n v="94516966"/>
    <n v="44516966"/>
    <n v="43733759"/>
    <n v="13120127.699999999"/>
    <x v="110"/>
    <x v="0"/>
    <n v="1"/>
    <n v="1"/>
    <n v="40000000"/>
    <n v="0"/>
    <n v="0"/>
    <n v="0"/>
    <n v="0"/>
    <n v="0"/>
    <n v="0"/>
    <n v="1"/>
    <n v="2750000"/>
    <n v="0"/>
    <n v="1"/>
    <n v="816966"/>
    <n v="1"/>
    <n v="950000"/>
    <s v="Yes"/>
    <s v="Yes"/>
    <s v="No"/>
    <s v="No"/>
    <s v="Yes"/>
    <s v="Yes"/>
    <s v="No"/>
    <s v="No"/>
    <s v="No"/>
    <s v="N/A"/>
    <n v="0"/>
    <n v="0"/>
    <s v="IBRD"/>
    <s v="Approved"/>
    <n v="90000000"/>
    <n v="90000000"/>
    <n v="0"/>
    <n v="30000000"/>
    <n v="40000000"/>
    <n v="20000000"/>
    <n v="0"/>
    <n v="0"/>
    <s v=""/>
    <s v=""/>
    <s v=""/>
    <s v=""/>
    <s v=""/>
    <n v="0"/>
    <n v="0"/>
    <n v="0"/>
    <n v="0"/>
    <n v="0"/>
    <n v="0"/>
    <n v="0"/>
    <n v="0"/>
    <s v=""/>
    <s v=""/>
    <s v=""/>
    <n v="0"/>
    <n v="0"/>
    <n v="0"/>
    <n v="0"/>
    <n v="2750000"/>
    <n v="0"/>
    <n v="950000"/>
    <n v="54963"/>
    <n v="81000"/>
    <n v="0"/>
    <n v="0"/>
    <s v="Yes"/>
    <n v="681003"/>
    <s v="UNICEF"/>
    <n v="0"/>
    <n v="0"/>
    <n v="0"/>
    <n v="0"/>
    <n v="0"/>
  </r>
  <r>
    <s v="URY"/>
    <x v="136"/>
    <x v="3"/>
    <x v="3"/>
    <x v="0"/>
    <x v="1"/>
    <n v="0"/>
    <n v="0"/>
    <n v="0"/>
    <n v="3473727"/>
    <n v="1042118.1"/>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n v="0"/>
    <n v="0"/>
    <n v="0"/>
    <n v="0"/>
    <n v="0"/>
    <n v="0"/>
    <n v="0"/>
    <n v="0"/>
    <e v="#N/A"/>
    <e v="#N/A"/>
    <s v=""/>
    <n v="0"/>
    <n v="0"/>
    <n v="0"/>
    <n v="0"/>
    <n v="0"/>
  </r>
  <r>
    <s v="UZB"/>
    <x v="137"/>
    <x v="2"/>
    <x v="1"/>
    <x v="0"/>
    <x v="0"/>
    <n v="3"/>
    <n v="3148752.6799999997"/>
    <n v="3148752.6799999997"/>
    <n v="33469199"/>
    <n v="10040759.699999999"/>
    <x v="111"/>
    <x v="1"/>
    <n v="1"/>
    <n v="0"/>
    <s v=""/>
    <n v="0"/>
    <n v="0"/>
    <n v="0"/>
    <n v="0"/>
    <n v="0"/>
    <n v="0"/>
    <n v="1"/>
    <n v="1000000"/>
    <n v="0"/>
    <n v="1"/>
    <n v="1198752.68"/>
    <n v="1"/>
    <n v="950000"/>
    <s v="No"/>
    <s v="No"/>
    <s v="Yes"/>
    <s v="Yes"/>
    <s v="No"/>
    <s v="Yes"/>
    <s v="No"/>
    <s v="Yes"/>
    <s v="No"/>
    <s v="Low"/>
    <s v="Yes"/>
    <n v="0"/>
    <s v="Blend"/>
    <n v="0"/>
    <s v=""/>
    <s v=""/>
    <s v=""/>
    <s v=""/>
    <s v=""/>
    <s v=""/>
    <s v="Yes"/>
    <n v="0"/>
    <s v=""/>
    <s v=""/>
    <s v=""/>
    <s v=""/>
    <s v=""/>
    <s v="Yes"/>
    <n v="0"/>
    <n v="0"/>
    <n v="0"/>
    <n v="0"/>
    <n v="0"/>
    <n v="0"/>
    <n v="0"/>
    <s v=""/>
    <s v=""/>
    <s v=""/>
    <n v="0"/>
    <n v="0"/>
    <n v="0"/>
    <n v="0"/>
    <n v="1000000"/>
    <n v="0"/>
    <n v="950000"/>
    <n v="113719.67999999999"/>
    <n v="135034"/>
    <n v="0"/>
    <n v="0"/>
    <s v="Yes"/>
    <n v="949999"/>
    <s v="GAVI"/>
    <n v="0"/>
    <n v="0"/>
    <n v="0"/>
    <n v="0"/>
    <n v="0"/>
  </r>
  <r>
    <s v="VCT"/>
    <x v="138"/>
    <x v="3"/>
    <x v="2"/>
    <x v="1"/>
    <x v="0"/>
    <n v="2"/>
    <n v="140000"/>
    <n v="140000"/>
    <n v="21413250"/>
    <n v="6423975"/>
    <x v="112"/>
    <x v="1"/>
    <n v="1"/>
    <n v="0"/>
    <s v=""/>
    <n v="0"/>
    <n v="0"/>
    <n v="0"/>
    <n v="0"/>
    <n v="0"/>
    <n v="0"/>
    <n v="0"/>
    <n v="0"/>
    <n v="0"/>
    <n v="1"/>
    <n v="65000"/>
    <n v="1"/>
    <n v="75000"/>
    <s v="No"/>
    <s v="No"/>
    <s v="Yes"/>
    <s v="Yes"/>
    <s v="No"/>
    <s v="Yes"/>
    <s v="No"/>
    <s v="Yes"/>
    <s v="Yes"/>
    <s v="High"/>
    <n v="0"/>
    <n v="0"/>
    <s v="Blend"/>
    <n v="0"/>
    <s v=""/>
    <s v=""/>
    <s v=""/>
    <s v=""/>
    <s v=""/>
    <s v=""/>
    <n v="0"/>
    <n v="0"/>
    <s v=""/>
    <s v=""/>
    <s v=""/>
    <s v=""/>
    <s v=""/>
    <n v="0"/>
    <n v="0"/>
    <n v="0"/>
    <n v="0"/>
    <n v="0"/>
    <n v="0"/>
    <n v="0"/>
    <n v="0"/>
    <s v=""/>
    <s v=""/>
    <s v=""/>
    <n v="0"/>
    <n v="0"/>
    <n v="0"/>
    <n v="0"/>
    <n v="0"/>
    <n v="0"/>
    <n v="75000"/>
    <n v="0"/>
    <n v="65000"/>
    <n v="0"/>
    <n v="0"/>
    <s v="N/A"/>
    <s v=" $-   "/>
    <s v="UNICEF"/>
    <n v="0"/>
    <n v="0"/>
    <n v="0"/>
    <n v="0"/>
    <n v="0"/>
  </r>
  <r>
    <s v="VEN"/>
    <x v="139"/>
    <x v="3"/>
    <x v="4"/>
    <x v="0"/>
    <x v="1"/>
    <n v="1"/>
    <n v="600000"/>
    <n v="600000"/>
    <n v="28435943"/>
    <n v="8530782.9000000004"/>
    <x v="113"/>
    <x v="1"/>
    <n v="1"/>
    <n v="0"/>
    <s v=""/>
    <n v="0"/>
    <n v="0"/>
    <n v="0"/>
    <n v="0"/>
    <n v="0"/>
    <n v="0"/>
    <n v="0"/>
    <n v="0"/>
    <n v="0"/>
    <n v="0"/>
    <n v="0"/>
    <n v="1"/>
    <n v="600000"/>
    <s v="Yes"/>
    <s v="Yes"/>
    <s v="No"/>
    <s v="No"/>
    <s v="Yes"/>
    <s v="Yes"/>
    <s v="No"/>
    <s v="No"/>
    <s v="No"/>
    <s v="N/A"/>
    <n v="0"/>
    <n v="0"/>
    <s v="IBRD"/>
    <n v="0"/>
    <s v=""/>
    <s v=""/>
    <s v=""/>
    <s v=""/>
    <s v=""/>
    <s v=""/>
    <n v="0"/>
    <n v="0"/>
    <s v=""/>
    <s v=""/>
    <s v=""/>
    <s v=""/>
    <s v=""/>
    <n v="0"/>
    <n v="0"/>
    <n v="0"/>
    <n v="0"/>
    <n v="0"/>
    <n v="0"/>
    <s v="Yes"/>
    <n v="0"/>
    <s v=""/>
    <s v=""/>
    <s v=""/>
    <n v="0"/>
    <n v="0"/>
    <n v="0"/>
    <s v="Yes"/>
    <n v="0"/>
    <n v="0"/>
    <n v="600000"/>
    <n v="0"/>
    <n v="0"/>
    <n v="0"/>
    <n v="0"/>
    <e v="#N/A"/>
    <e v="#N/A"/>
    <s v=""/>
    <n v="0"/>
    <n v="0"/>
    <n v="0"/>
    <n v="0"/>
    <n v="0"/>
  </r>
  <r>
    <s v="VNM"/>
    <x v="140"/>
    <x v="5"/>
    <x v="1"/>
    <x v="0"/>
    <x v="0"/>
    <n v="2"/>
    <n v="14347348"/>
    <n v="14347348"/>
    <n v="97338583"/>
    <n v="29201574.899999999"/>
    <x v="114"/>
    <x v="1"/>
    <n v="1"/>
    <n v="0"/>
    <s v=""/>
    <n v="0"/>
    <n v="0"/>
    <n v="0"/>
    <n v="0"/>
    <n v="0"/>
    <n v="0"/>
    <n v="1"/>
    <n v="12413953"/>
    <n v="0"/>
    <n v="1"/>
    <n v="1933395"/>
    <n v="0"/>
    <n v="0"/>
    <s v="Yes"/>
    <s v="Yes"/>
    <s v="No"/>
    <s v="No"/>
    <s v="Yes"/>
    <s v="Yes"/>
    <s v="No"/>
    <s v="No"/>
    <s v="No"/>
    <s v="N/A"/>
    <s v="Yes"/>
    <n v="0"/>
    <s v="IBRD"/>
    <n v="0"/>
    <s v=""/>
    <s v=""/>
    <s v=""/>
    <s v=""/>
    <s v=""/>
    <s v=""/>
    <s v="Yes"/>
    <n v="0"/>
    <s v=""/>
    <s v=""/>
    <s v=""/>
    <s v=""/>
    <s v=""/>
    <n v="0"/>
    <n v="0"/>
    <n v="0"/>
    <n v="0"/>
    <n v="0"/>
    <n v="0"/>
    <n v="0"/>
    <n v="0"/>
    <s v=""/>
    <s v=""/>
    <s v=""/>
    <s v="Yes"/>
    <n v="500000"/>
    <n v="0"/>
    <n v="0"/>
    <n v="37000"/>
    <n v="1919943"/>
    <n v="0"/>
    <n v="108000"/>
    <n v="95000"/>
    <n v="10457010"/>
    <n v="0"/>
    <s v="Yes"/>
    <n v="1230395"/>
    <s v="GAVI"/>
    <n v="0"/>
    <n v="0"/>
    <n v="0"/>
    <n v="0"/>
    <n v="0"/>
  </r>
  <r>
    <s v="VUT"/>
    <x v="141"/>
    <x v="5"/>
    <x v="1"/>
    <x v="1"/>
    <x v="0"/>
    <n v="2"/>
    <n v="3905000"/>
    <n v="1635000"/>
    <n v="307150"/>
    <n v="92145"/>
    <x v="115"/>
    <x v="0"/>
    <n v="1"/>
    <n v="0"/>
    <s v=""/>
    <n v="0"/>
    <n v="0"/>
    <n v="1"/>
    <n v="1610000"/>
    <n v="0"/>
    <n v="0"/>
    <n v="0"/>
    <n v="0"/>
    <n v="0"/>
    <n v="1"/>
    <n v="25000"/>
    <n v="0"/>
    <n v="0"/>
    <s v="No"/>
    <s v="No"/>
    <s v="No"/>
    <s v="Yes"/>
    <s v="No"/>
    <s v="Yes"/>
    <s v="No"/>
    <s v="Yes"/>
    <s v="No"/>
    <s v="Moderate"/>
    <n v="0"/>
    <n v="0"/>
    <s v="IDA"/>
    <n v="0"/>
    <s v=""/>
    <s v=""/>
    <s v=""/>
    <s v=""/>
    <s v=""/>
    <s v=""/>
    <s v="Yes"/>
    <s v="Approved"/>
    <s v="Grant"/>
    <n v="3880000"/>
    <n v="720000"/>
    <n v="1610000"/>
    <n v="1549999.9999999998"/>
    <n v="0"/>
    <n v="0"/>
    <n v="0"/>
    <n v="0"/>
    <n v="0"/>
    <n v="0"/>
    <n v="0"/>
    <n v="0"/>
    <s v=""/>
    <s v=""/>
    <s v=""/>
    <n v="0"/>
    <n v="0"/>
    <n v="0"/>
    <n v="0"/>
    <n v="0"/>
    <n v="0"/>
    <n v="0"/>
    <n v="0"/>
    <n v="25000"/>
    <n v="0"/>
    <n v="0"/>
    <s v="N/A"/>
    <s v=" $-   "/>
    <s v="UNICEF"/>
    <n v="0"/>
    <n v="0"/>
    <n v="0"/>
    <n v="0"/>
    <n v="0"/>
  </r>
  <r>
    <s v="WSM"/>
    <x v="142"/>
    <x v="5"/>
    <x v="1"/>
    <x v="1"/>
    <x v="0"/>
    <n v="2"/>
    <n v="8079000"/>
    <n v="3239000"/>
    <n v="198410"/>
    <n v="59523"/>
    <x v="116"/>
    <x v="0"/>
    <n v="1"/>
    <n v="0"/>
    <s v=""/>
    <n v="0"/>
    <n v="0"/>
    <n v="1"/>
    <n v="3160000"/>
    <n v="0"/>
    <n v="0"/>
    <n v="0"/>
    <n v="0"/>
    <n v="0"/>
    <n v="1"/>
    <n v="79000"/>
    <n v="0"/>
    <n v="0"/>
    <s v="No"/>
    <s v="No"/>
    <s v="No"/>
    <s v="Yes"/>
    <s v="No"/>
    <s v="Yes"/>
    <s v="No"/>
    <s v="Yes"/>
    <s v="Yes"/>
    <s v="High"/>
    <n v="0"/>
    <n v="0"/>
    <s v="IDA"/>
    <n v="0"/>
    <s v=""/>
    <s v=""/>
    <s v=""/>
    <s v=""/>
    <s v=""/>
    <s v=""/>
    <s v="Yes"/>
    <s v="Approved"/>
    <s v="Grant"/>
    <n v="8000000"/>
    <n v="2290000"/>
    <n v="3160000"/>
    <n v="2550000"/>
    <n v="0"/>
    <n v="0"/>
    <n v="0"/>
    <n v="0"/>
    <n v="0"/>
    <n v="0"/>
    <n v="0"/>
    <n v="0"/>
    <s v=""/>
    <s v=""/>
    <s v=""/>
    <n v="0"/>
    <n v="0"/>
    <n v="0"/>
    <n v="0"/>
    <n v="0"/>
    <n v="0"/>
    <n v="0"/>
    <n v="54000"/>
    <n v="25000"/>
    <n v="0"/>
    <n v="0"/>
    <s v="N/A"/>
    <s v=" $-   "/>
    <s v="UNICEF"/>
    <n v="0"/>
    <n v="0"/>
    <n v="0"/>
    <n v="0"/>
    <n v="0"/>
  </r>
  <r>
    <s v="XKX"/>
    <x v="143"/>
    <x v="2"/>
    <x v="2"/>
    <x v="0"/>
    <x v="0"/>
    <n v="3"/>
    <n v="18897172"/>
    <n v="2717172"/>
    <n v="119446"/>
    <n v="35833.799999999996"/>
    <x v="117"/>
    <x v="0"/>
    <n v="1"/>
    <n v="1"/>
    <n v="2020000"/>
    <n v="0"/>
    <n v="0"/>
    <n v="0"/>
    <n v="0"/>
    <n v="0"/>
    <n v="0"/>
    <n v="0"/>
    <n v="0"/>
    <n v="0"/>
    <n v="1"/>
    <n v="197172"/>
    <n v="1"/>
    <n v="500000"/>
    <s v="No"/>
    <s v="No"/>
    <s v="No"/>
    <s v="Yes"/>
    <s v="No"/>
    <s v="Yes"/>
    <s v="No"/>
    <s v="Yes"/>
    <s v="No"/>
    <s v="…"/>
    <s v="Yes"/>
    <n v="0"/>
    <s v="IDA"/>
    <s v="Approved"/>
    <n v="18200000"/>
    <n v="18200000"/>
    <n v="0"/>
    <n v="2500000"/>
    <n v="2020000"/>
    <n v="13700000"/>
    <n v="0"/>
    <n v="0"/>
    <s v=""/>
    <s v=""/>
    <s v=""/>
    <s v=""/>
    <s v=""/>
    <n v="0"/>
    <n v="0"/>
    <n v="0"/>
    <n v="0"/>
    <n v="0"/>
    <n v="0"/>
    <n v="0"/>
    <n v="0"/>
    <s v=""/>
    <s v=""/>
    <s v=""/>
    <n v="0"/>
    <n v="0"/>
    <n v="0"/>
    <n v="0"/>
    <n v="0"/>
    <n v="0"/>
    <n v="500000"/>
    <n v="109836"/>
    <n v="27000"/>
    <n v="0"/>
    <n v="0"/>
    <s v="Yes"/>
    <n v="60336"/>
    <s v="UNICEF"/>
    <n v="0"/>
    <n v="0"/>
    <n v="0"/>
    <n v="33064700"/>
    <n v="0"/>
  </r>
  <r>
    <s v="YEM"/>
    <x v="144"/>
    <x v="6"/>
    <x v="0"/>
    <x v="0"/>
    <x v="0"/>
    <n v="3"/>
    <n v="22568345.16"/>
    <n v="20318345.16"/>
    <n v="29825968"/>
    <n v="8947790.4000000004"/>
    <x v="118"/>
    <x v="0"/>
    <n v="1"/>
    <n v="1"/>
    <n v="17760000"/>
    <n v="0"/>
    <n v="0"/>
    <n v="0"/>
    <n v="0"/>
    <n v="0"/>
    <n v="0"/>
    <n v="0"/>
    <n v="0"/>
    <n v="0"/>
    <n v="1"/>
    <n v="1788999.16"/>
    <n v="1"/>
    <n v="769346"/>
    <s v="No"/>
    <s v="No"/>
    <s v="No"/>
    <s v="Yes"/>
    <s v="No"/>
    <s v="Yes"/>
    <s v="No"/>
    <s v="Yes"/>
    <s v="Yes"/>
    <s v="…"/>
    <n v="0"/>
    <n v="0"/>
    <s v="IDA"/>
    <s v="Approved"/>
    <n v="20010000"/>
    <n v="0"/>
    <n v="20010000"/>
    <n v="0"/>
    <n v="17760000"/>
    <n v="2250000"/>
    <n v="0"/>
    <n v="0"/>
    <s v=""/>
    <s v=""/>
    <s v=""/>
    <s v=""/>
    <s v=""/>
    <s v="Yes"/>
    <n v="0"/>
    <n v="0"/>
    <n v="0"/>
    <n v="0"/>
    <n v="0"/>
    <n v="0"/>
    <n v="0"/>
    <s v=""/>
    <s v=""/>
    <s v=""/>
    <n v="0"/>
    <n v="0"/>
    <n v="0"/>
    <n v="0"/>
    <n v="0"/>
    <n v="0"/>
    <n v="769346"/>
    <n v="557496"/>
    <n v="493313.16"/>
    <n v="0"/>
    <n v="0"/>
    <s v="Yes"/>
    <n v="738190"/>
    <s v="GAVI"/>
    <n v="0"/>
    <n v="0"/>
    <n v="0"/>
    <n v="0"/>
    <n v="0"/>
  </r>
  <r>
    <s v="ZAF"/>
    <x v="145"/>
    <x v="1"/>
    <x v="2"/>
    <x v="0"/>
    <x v="1"/>
    <n v="1"/>
    <n v="3000000"/>
    <n v="3000000"/>
    <n v="59308690"/>
    <n v="17792607"/>
    <x v="119"/>
    <x v="1"/>
    <n v="1"/>
    <n v="0"/>
    <s v=""/>
    <n v="0"/>
    <n v="0"/>
    <n v="0"/>
    <n v="0"/>
    <n v="0"/>
    <n v="0"/>
    <n v="1"/>
    <n v="3000000"/>
    <n v="0"/>
    <n v="0"/>
    <n v="0"/>
    <n v="0"/>
    <n v="0"/>
    <s v="Yes"/>
    <s v="Yes"/>
    <s v="No"/>
    <s v="No"/>
    <s v="Yes"/>
    <s v="Yes"/>
    <s v="No"/>
    <s v="No"/>
    <s v="No"/>
    <s v="N/A"/>
    <n v="0"/>
    <n v="0"/>
    <s v="IBRD"/>
    <n v="0"/>
    <s v=""/>
    <s v=""/>
    <s v=""/>
    <s v=""/>
    <s v=""/>
    <s v=""/>
    <n v="0"/>
    <n v="0"/>
    <s v=""/>
    <s v=""/>
    <s v=""/>
    <s v=""/>
    <s v=""/>
    <n v="0"/>
    <n v="0"/>
    <n v="0"/>
    <s v="Yes"/>
    <n v="0"/>
    <n v="0"/>
    <n v="0"/>
    <n v="0"/>
    <s v=""/>
    <s v=""/>
    <s v=""/>
    <n v="0"/>
    <n v="0"/>
    <n v="0"/>
    <n v="0"/>
    <n v="3000000"/>
    <n v="0"/>
    <n v="0"/>
    <n v="0"/>
    <n v="0"/>
    <n v="0"/>
    <n v="0"/>
    <e v="#N/A"/>
    <e v="#N/A"/>
    <s v=""/>
    <n v="0"/>
    <n v="0"/>
    <n v="0"/>
    <n v="0"/>
    <n v="0"/>
  </r>
  <r>
    <s v="ZMB"/>
    <x v="146"/>
    <x v="1"/>
    <x v="1"/>
    <x v="0"/>
    <x v="0"/>
    <n v="4"/>
    <n v="26717447"/>
    <n v="14517447"/>
    <n v="18383956"/>
    <n v="5515186.7999999998"/>
    <x v="120"/>
    <x v="0"/>
    <n v="1"/>
    <n v="1"/>
    <n v="11800000"/>
    <n v="0"/>
    <n v="0"/>
    <n v="0"/>
    <n v="0"/>
    <n v="0"/>
    <n v="0"/>
    <n v="1"/>
    <n v="1500000"/>
    <n v="0"/>
    <n v="1"/>
    <n v="717447"/>
    <n v="1"/>
    <n v="500000"/>
    <s v="No"/>
    <s v="No"/>
    <s v="No"/>
    <s v="Yes"/>
    <s v="No"/>
    <s v="Yes"/>
    <s v="No"/>
    <s v="Yes"/>
    <s v="Yes"/>
    <s v="High"/>
    <s v="Yes"/>
    <n v="0"/>
    <s v="IDA"/>
    <s v="Approved"/>
    <n v="24000000"/>
    <n v="10000000"/>
    <n v="14000000"/>
    <n v="9200000"/>
    <n v="11800000"/>
    <n v="3000000"/>
    <n v="0"/>
    <n v="0"/>
    <s v=""/>
    <s v=""/>
    <s v=""/>
    <s v=""/>
    <s v=""/>
    <n v="0"/>
    <n v="0"/>
    <n v="0"/>
    <s v="Yes"/>
    <n v="0"/>
    <n v="0"/>
    <n v="0"/>
    <n v="0"/>
    <s v=""/>
    <s v=""/>
    <s v=""/>
    <n v="0"/>
    <n v="0"/>
    <n v="0"/>
    <s v="Yes"/>
    <n v="1500000"/>
    <n v="0"/>
    <n v="500000"/>
    <n v="122256"/>
    <n v="74900"/>
    <n v="0"/>
    <n v="0"/>
    <s v="Yes"/>
    <n v="520291"/>
    <s v="GAVI"/>
    <n v="0"/>
    <n v="0"/>
    <n v="0"/>
    <n v="0"/>
    <n v="0"/>
  </r>
  <r>
    <s v="ZWE"/>
    <x v="147"/>
    <x v="1"/>
    <x v="1"/>
    <x v="0"/>
    <x v="0"/>
    <n v="2"/>
    <n v="1078659"/>
    <n v="1078659"/>
    <n v="14862927"/>
    <n v="4458878.0999999996"/>
    <x v="121"/>
    <x v="1"/>
    <n v="1"/>
    <n v="0"/>
    <s v=""/>
    <n v="0"/>
    <n v="0"/>
    <n v="0"/>
    <n v="0"/>
    <n v="0"/>
    <n v="0"/>
    <n v="0"/>
    <n v="0"/>
    <n v="0"/>
    <n v="1"/>
    <n v="763433"/>
    <n v="1"/>
    <n v="315226"/>
    <s v="No"/>
    <s v="No"/>
    <s v="Yes"/>
    <s v="Yes"/>
    <s v="No"/>
    <s v="Yes"/>
    <s v="No"/>
    <s v="No"/>
    <s v="No"/>
    <s v="N/A"/>
    <n v="0"/>
    <n v="0"/>
    <s v="Blend"/>
    <s v="Under Preparation"/>
    <s v=""/>
    <s v=""/>
    <s v=""/>
    <s v=""/>
    <s v=""/>
    <s v=""/>
    <n v="0"/>
    <n v="0"/>
    <s v=""/>
    <s v=""/>
    <s v=""/>
    <s v=""/>
    <s v=""/>
    <n v="0"/>
    <n v="0"/>
    <n v="0"/>
    <s v="Yes"/>
    <n v="0"/>
    <n v="0"/>
    <n v="0"/>
    <n v="0"/>
    <s v=""/>
    <s v=""/>
    <s v=""/>
    <n v="0"/>
    <n v="0"/>
    <n v="0"/>
    <s v="Yes"/>
    <n v="0"/>
    <n v="0"/>
    <n v="315226"/>
    <n v="418230"/>
    <n v="345203"/>
    <n v="0"/>
    <n v="0"/>
    <n v="0"/>
    <s v=" $-   "/>
    <s v="GAVI"/>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70">
  <r>
    <x v="0"/>
    <x v="0"/>
    <x v="0"/>
    <x v="0"/>
    <x v="0"/>
    <x v="0"/>
    <x v="0"/>
    <x v="0"/>
    <s v="Multi-Year"/>
    <x v="0"/>
    <s v="N/A"/>
    <n v="70800000"/>
    <s v="Confirmed"/>
    <m/>
    <x v="0"/>
    <x v="0"/>
    <s v="Approved"/>
    <x v="0"/>
    <x v="0"/>
    <m/>
    <n v="1"/>
    <x v="0"/>
    <s v="High"/>
    <n v="95829480.719269618"/>
  </r>
  <r>
    <x v="0"/>
    <x v="1"/>
    <x v="1"/>
    <x v="1"/>
    <x v="0"/>
    <x v="0"/>
    <x v="0"/>
    <x v="0"/>
    <s v="Multi-Year"/>
    <x v="0"/>
    <s v="N/A"/>
    <s v=""/>
    <s v="Confirmed"/>
    <m/>
    <x v="0"/>
    <x v="0"/>
    <s v=""/>
    <x v="1"/>
    <x v="1"/>
    <m/>
    <n v="0"/>
    <x v="0"/>
    <s v=""/>
    <n v="427904035.52443534"/>
  </r>
  <r>
    <x v="0"/>
    <x v="2"/>
    <x v="2"/>
    <x v="2"/>
    <x v="0"/>
    <x v="0"/>
    <x v="0"/>
    <x v="0"/>
    <s v="Multi-Year"/>
    <x v="0"/>
    <s v="N/A"/>
    <s v=""/>
    <s v="Confirmed"/>
    <m/>
    <x v="0"/>
    <x v="0"/>
    <s v=""/>
    <x v="2"/>
    <x v="0"/>
    <m/>
    <n v="0"/>
    <x v="0"/>
    <s v="N/A"/>
    <n v="7113361022.7267885"/>
  </r>
  <r>
    <x v="0"/>
    <x v="3"/>
    <x v="3"/>
    <x v="3"/>
    <x v="0"/>
    <x v="0"/>
    <x v="0"/>
    <x v="0"/>
    <s v="Multi-Year"/>
    <x v="0"/>
    <s v="N/A"/>
    <n v="90000000"/>
    <s v="Confirmed"/>
    <m/>
    <x v="0"/>
    <x v="0"/>
    <s v="Approved"/>
    <x v="2"/>
    <x v="0"/>
    <m/>
    <n v="0"/>
    <x v="0"/>
    <s v="…"/>
    <n v="1131865946.5875781"/>
  </r>
  <r>
    <x v="0"/>
    <x v="4"/>
    <x v="4"/>
    <x v="4"/>
    <x v="0"/>
    <x v="0"/>
    <x v="0"/>
    <x v="0"/>
    <s v="Multi-Year"/>
    <x v="0"/>
    <s v="N/A"/>
    <s v=""/>
    <s v="Confirmed"/>
    <m/>
    <x v="0"/>
    <x v="0"/>
    <s v=""/>
    <x v="3"/>
    <x v="1"/>
    <m/>
    <n v="0"/>
    <x v="1"/>
    <s v=""/>
    <n v="46777779.823447868"/>
  </r>
  <r>
    <x v="0"/>
    <x v="5"/>
    <x v="5"/>
    <x v="4"/>
    <x v="0"/>
    <x v="0"/>
    <x v="0"/>
    <x v="0"/>
    <s v="Multi-Year"/>
    <x v="0"/>
    <s v="N/A"/>
    <n v="498000000"/>
    <s v="Confirmed"/>
    <m/>
    <x v="0"/>
    <x v="0"/>
    <s v="Approved"/>
    <x v="1"/>
    <x v="1"/>
    <m/>
    <n v="0"/>
    <x v="0"/>
    <s v=""/>
    <n v="30725305777.596794"/>
  </r>
  <r>
    <x v="0"/>
    <x v="6"/>
    <x v="6"/>
    <x v="1"/>
    <x v="0"/>
    <x v="0"/>
    <x v="0"/>
    <x v="0"/>
    <s v="Multi-Year"/>
    <x v="0"/>
    <s v="N/A"/>
    <s v=""/>
    <s v="Confirmed"/>
    <m/>
    <x v="0"/>
    <x v="0"/>
    <s v=""/>
    <x v="1"/>
    <x v="1"/>
    <m/>
    <n v="0"/>
    <x v="0"/>
    <s v=""/>
    <n v="153815827.8380394"/>
  </r>
  <r>
    <x v="0"/>
    <x v="7"/>
    <x v="7"/>
    <x v="1"/>
    <x v="0"/>
    <x v="0"/>
    <x v="0"/>
    <x v="0"/>
    <s v="Multi-Year"/>
    <x v="0"/>
    <s v="N/A"/>
    <n v="0"/>
    <s v="Confirmed"/>
    <m/>
    <x v="0"/>
    <x v="0"/>
    <s v=""/>
    <x v="1"/>
    <x v="1"/>
    <m/>
    <n v="0"/>
    <x v="0"/>
    <s v="N/A"/>
    <n v="437525105.31216973"/>
  </r>
  <r>
    <x v="0"/>
    <x v="8"/>
    <x v="8"/>
    <x v="4"/>
    <x v="0"/>
    <x v="0"/>
    <x v="0"/>
    <x v="0"/>
    <s v="Multi-Year"/>
    <x v="0"/>
    <s v="N/A"/>
    <s v=""/>
    <s v="Confirmed"/>
    <m/>
    <x v="0"/>
    <x v="0"/>
    <s v=""/>
    <x v="3"/>
    <x v="1"/>
    <m/>
    <n v="0"/>
    <x v="1"/>
    <s v=""/>
    <n v="149463302.00602186"/>
  </r>
  <r>
    <x v="0"/>
    <x v="9"/>
    <x v="9"/>
    <x v="0"/>
    <x v="0"/>
    <x v="0"/>
    <x v="0"/>
    <x v="0"/>
    <s v="Multi-Year"/>
    <x v="0"/>
    <s v="N/A"/>
    <n v="412300000"/>
    <s v="Confirmed"/>
    <m/>
    <x v="0"/>
    <x v="0"/>
    <s v="Approved"/>
    <x v="2"/>
    <x v="0"/>
    <m/>
    <n v="0"/>
    <x v="0"/>
    <s v="Low"/>
    <n v="1148322593.9600098"/>
  </r>
  <r>
    <x v="0"/>
    <x v="10"/>
    <x v="10"/>
    <x v="1"/>
    <x v="0"/>
    <x v="0"/>
    <x v="0"/>
    <x v="0"/>
    <s v="Multi-Year"/>
    <x v="0"/>
    <s v="N/A"/>
    <s v=""/>
    <s v="Confirmed"/>
    <m/>
    <x v="0"/>
    <x v="0"/>
    <s v=""/>
    <x v="1"/>
    <x v="1"/>
    <m/>
    <n v="0"/>
    <x v="0"/>
    <s v=""/>
    <n v="2371102058.1093163"/>
  </r>
  <r>
    <x v="0"/>
    <x v="11"/>
    <x v="11"/>
    <x v="4"/>
    <x v="0"/>
    <x v="0"/>
    <x v="0"/>
    <x v="0"/>
    <s v="Multi-Year"/>
    <x v="0"/>
    <s v="N/A"/>
    <s v=""/>
    <s v="Confirmed"/>
    <m/>
    <x v="0"/>
    <x v="0"/>
    <s v=""/>
    <x v="2"/>
    <x v="1"/>
    <m/>
    <n v="0"/>
    <x v="1"/>
    <s v="N/A"/>
    <n v="75151620.005215243"/>
  </r>
  <r>
    <x v="0"/>
    <x v="12"/>
    <x v="12"/>
    <x v="5"/>
    <x v="0"/>
    <x v="0"/>
    <x v="0"/>
    <x v="0"/>
    <s v="Multi-Year"/>
    <x v="0"/>
    <s v="N/A"/>
    <n v="25000000"/>
    <s v="Confirmed"/>
    <m/>
    <x v="0"/>
    <x v="0"/>
    <s v="Approved"/>
    <x v="2"/>
    <x v="0"/>
    <m/>
    <n v="0"/>
    <x v="0"/>
    <s v="Moderate"/>
    <n v="69958487.197715744"/>
  </r>
  <r>
    <x v="0"/>
    <x v="13"/>
    <x v="13"/>
    <x v="0"/>
    <x v="0"/>
    <x v="0"/>
    <x v="0"/>
    <x v="0"/>
    <s v="Multi-Year"/>
    <x v="0"/>
    <s v="N/A"/>
    <n v="0"/>
    <s v="Confirmed"/>
    <m/>
    <x v="0"/>
    <x v="0"/>
    <s v="Approved"/>
    <x v="2"/>
    <x v="0"/>
    <m/>
    <n v="0"/>
    <x v="0"/>
    <s v="…"/>
    <n v="61654608.560629159"/>
  </r>
  <r>
    <x v="0"/>
    <x v="14"/>
    <x v="14"/>
    <x v="4"/>
    <x v="0"/>
    <x v="0"/>
    <x v="0"/>
    <x v="0"/>
    <s v="Multi-Year"/>
    <x v="0"/>
    <s v="N/A"/>
    <n v="0"/>
    <s v="Confirmed"/>
    <m/>
    <x v="0"/>
    <x v="0"/>
    <s v=""/>
    <x v="2"/>
    <x v="0"/>
    <m/>
    <n v="0"/>
    <x v="0"/>
    <s v="N/A"/>
    <n v="1806638707.7615163"/>
  </r>
  <r>
    <x v="0"/>
    <x v="15"/>
    <x v="15"/>
    <x v="1"/>
    <x v="0"/>
    <x v="0"/>
    <x v="0"/>
    <x v="0"/>
    <s v="Multi-Year"/>
    <x v="0"/>
    <s v="N/A"/>
    <s v=""/>
    <s v="Confirmed"/>
    <m/>
    <x v="0"/>
    <x v="0"/>
    <s v=""/>
    <x v="1"/>
    <x v="1"/>
    <m/>
    <n v="0"/>
    <x v="0"/>
    <s v="N/A"/>
    <n v="1252696525.0627904"/>
  </r>
  <r>
    <x v="0"/>
    <x v="16"/>
    <x v="16"/>
    <x v="3"/>
    <x v="0"/>
    <x v="0"/>
    <x v="0"/>
    <x v="0"/>
    <s v="Multi-Year"/>
    <x v="0"/>
    <s v="N/A"/>
    <s v=""/>
    <s v="Confirmed"/>
    <m/>
    <x v="0"/>
    <x v="0"/>
    <s v=""/>
    <x v="1"/>
    <x v="1"/>
    <m/>
    <n v="0"/>
    <x v="0"/>
    <s v=""/>
    <n v="843425084.07334602"/>
  </r>
  <r>
    <x v="0"/>
    <x v="17"/>
    <x v="17"/>
    <x v="4"/>
    <x v="0"/>
    <x v="0"/>
    <x v="0"/>
    <x v="0"/>
    <s v="Multi-Year"/>
    <x v="0"/>
    <s v="N/A"/>
    <s v=""/>
    <s v="Confirmed"/>
    <m/>
    <x v="0"/>
    <x v="0"/>
    <s v=""/>
    <x v="1"/>
    <x v="1"/>
    <m/>
    <n v="0"/>
    <x v="0"/>
    <s v="N/A"/>
    <n v="74055620038.853683"/>
  </r>
  <r>
    <x v="0"/>
    <x v="18"/>
    <x v="18"/>
    <x v="1"/>
    <x v="0"/>
    <x v="0"/>
    <x v="0"/>
    <x v="0"/>
    <s v="Multi-Year"/>
    <x v="0"/>
    <s v="N/A"/>
    <s v=""/>
    <s v="Confirmed"/>
    <m/>
    <x v="0"/>
    <x v="0"/>
    <s v=""/>
    <x v="1"/>
    <x v="1"/>
    <m/>
    <n v="0"/>
    <x v="0"/>
    <s v=""/>
    <n v="2803357765.5888777"/>
  </r>
  <r>
    <x v="0"/>
    <x v="19"/>
    <x v="19"/>
    <x v="5"/>
    <x v="0"/>
    <x v="0"/>
    <x v="0"/>
    <x v="0"/>
    <s v="Multi-Year"/>
    <x v="0"/>
    <s v="N/A"/>
    <s v=""/>
    <s v="Confirmed"/>
    <m/>
    <x v="0"/>
    <x v="0"/>
    <s v=""/>
    <x v="0"/>
    <x v="0"/>
    <m/>
    <n v="2"/>
    <x v="0"/>
    <s v="Moderate"/>
    <n v="337927779.25510043"/>
  </r>
  <r>
    <x v="0"/>
    <x v="20"/>
    <x v="20"/>
    <x v="3"/>
    <x v="0"/>
    <x v="0"/>
    <x v="0"/>
    <x v="0"/>
    <s v="Multi-Year"/>
    <x v="0"/>
    <s v="N/A"/>
    <n v="21300000"/>
    <s v="Confirmed"/>
    <m/>
    <x v="0"/>
    <x v="0"/>
    <s v="Approved"/>
    <x v="0"/>
    <x v="0"/>
    <m/>
    <n v="2"/>
    <x v="0"/>
    <s v="…"/>
    <n v="65979512.47399316"/>
  </r>
  <r>
    <x v="0"/>
    <x v="21"/>
    <x v="21"/>
    <x v="5"/>
    <x v="0"/>
    <x v="0"/>
    <x v="0"/>
    <x v="0"/>
    <s v="Multi-Year"/>
    <x v="0"/>
    <s v="N/A"/>
    <n v="8600000"/>
    <s v="Confirmed"/>
    <m/>
    <x v="0"/>
    <x v="0"/>
    <s v="Approved"/>
    <x v="2"/>
    <x v="0"/>
    <m/>
    <n v="0"/>
    <x v="1"/>
    <s v="High"/>
    <n v="63748362.778827004"/>
  </r>
  <r>
    <x v="0"/>
    <x v="22"/>
    <x v="22"/>
    <x v="6"/>
    <x v="0"/>
    <x v="0"/>
    <x v="0"/>
    <x v="0"/>
    <s v="Multi-Year"/>
    <x v="0"/>
    <s v="N/A"/>
    <n v="0"/>
    <s v="Confirmed"/>
    <m/>
    <x v="0"/>
    <x v="0"/>
    <s v="Approved"/>
    <x v="2"/>
    <x v="0"/>
    <m/>
    <n v="0"/>
    <x v="0"/>
    <s v="Low"/>
    <n v="313039649.45369786"/>
  </r>
  <r>
    <x v="0"/>
    <x v="23"/>
    <x v="23"/>
    <x v="5"/>
    <x v="0"/>
    <x v="0"/>
    <x v="0"/>
    <x v="0"/>
    <s v="Multi-Year"/>
    <x v="0"/>
    <s v="N/A"/>
    <n v="29600000"/>
    <s v="Confirmed"/>
    <m/>
    <x v="0"/>
    <x v="0"/>
    <s v="Approved"/>
    <x v="2"/>
    <x v="0"/>
    <m/>
    <n v="2"/>
    <x v="0"/>
    <s v="High"/>
    <n v="81361801.477472037"/>
  </r>
  <r>
    <x v="0"/>
    <x v="24"/>
    <x v="24"/>
    <x v="5"/>
    <x v="0"/>
    <x v="0"/>
    <x v="0"/>
    <x v="0"/>
    <s v="Multi-Year"/>
    <x v="0"/>
    <s v="N/A"/>
    <s v=""/>
    <s v="Confirmed"/>
    <m/>
    <x v="0"/>
    <x v="0"/>
    <s v=""/>
    <x v="0"/>
    <x v="0"/>
    <m/>
    <n v="1"/>
    <x v="0"/>
    <s v="High"/>
    <s v=""/>
  </r>
  <r>
    <x v="0"/>
    <x v="25"/>
    <x v="25"/>
    <x v="5"/>
    <x v="0"/>
    <x v="0"/>
    <x v="0"/>
    <x v="0"/>
    <s v="Multi-Year"/>
    <x v="0"/>
    <s v="N/A"/>
    <n v="26200000"/>
    <s v="Confirmed"/>
    <m/>
    <x v="0"/>
    <x v="0"/>
    <s v="Approved"/>
    <x v="0"/>
    <x v="0"/>
    <m/>
    <n v="1"/>
    <x v="0"/>
    <s v="High"/>
    <n v="76939306.715636879"/>
  </r>
  <r>
    <x v="0"/>
    <x v="26"/>
    <x v="26"/>
    <x v="4"/>
    <x v="0"/>
    <x v="0"/>
    <x v="0"/>
    <x v="0"/>
    <s v="Multi-Year"/>
    <x v="0"/>
    <s v="N/A"/>
    <s v=""/>
    <s v="Confirmed"/>
    <m/>
    <x v="0"/>
    <x v="0"/>
    <s v=""/>
    <x v="3"/>
    <x v="1"/>
    <m/>
    <n v="0"/>
    <x v="0"/>
    <s v=""/>
    <n v="13859708717.682571"/>
  </r>
  <r>
    <x v="0"/>
    <x v="27"/>
    <x v="27"/>
    <x v="6"/>
    <x v="0"/>
    <x v="0"/>
    <x v="0"/>
    <x v="0"/>
    <s v="Multi-Year"/>
    <x v="0"/>
    <s v="N/A"/>
    <s v=""/>
    <s v="Confirmed"/>
    <m/>
    <x v="0"/>
    <x v="0"/>
    <s v=""/>
    <x v="1"/>
    <x v="1"/>
    <m/>
    <n v="0"/>
    <x v="0"/>
    <s v=""/>
    <n v="403567160707.7016"/>
  </r>
  <r>
    <x v="0"/>
    <x v="28"/>
    <x v="28"/>
    <x v="4"/>
    <x v="0"/>
    <x v="0"/>
    <x v="0"/>
    <x v="0"/>
    <s v="Multi-Year"/>
    <x v="0"/>
    <s v="N/A"/>
    <s v=""/>
    <s v="Confirmed"/>
    <m/>
    <x v="0"/>
    <x v="0"/>
    <s v=""/>
    <x v="1"/>
    <x v="1"/>
    <m/>
    <n v="0"/>
    <x v="0"/>
    <s v=""/>
    <n v="18250225995.972618"/>
  </r>
  <r>
    <x v="0"/>
    <x v="29"/>
    <x v="29"/>
    <x v="3"/>
    <x v="0"/>
    <x v="0"/>
    <x v="0"/>
    <x v="0"/>
    <s v="Multi-Year"/>
    <x v="0"/>
    <s v="N/A"/>
    <n v="5600000"/>
    <s v="Confirmed"/>
    <m/>
    <x v="0"/>
    <x v="0"/>
    <s v="Approved"/>
    <x v="2"/>
    <x v="0"/>
    <m/>
    <n v="0"/>
    <x v="1"/>
    <s v="Moderate"/>
    <n v="5027591.1682657599"/>
  </r>
  <r>
    <x v="0"/>
    <x v="30"/>
    <x v="30"/>
    <x v="5"/>
    <x v="0"/>
    <x v="0"/>
    <x v="0"/>
    <x v="0"/>
    <s v="Multi-Year"/>
    <x v="0"/>
    <s v="N/A"/>
    <n v="85000000"/>
    <s v="Confirmed"/>
    <m/>
    <x v="0"/>
    <x v="0"/>
    <s v="Approved"/>
    <x v="0"/>
    <x v="0"/>
    <m/>
    <n v="3"/>
    <x v="0"/>
    <s v="Moderate"/>
    <n v="234645958.63289919"/>
  </r>
  <r>
    <x v="0"/>
    <x v="31"/>
    <x v="31"/>
    <x v="5"/>
    <x v="0"/>
    <x v="0"/>
    <x v="0"/>
    <x v="0"/>
    <s v="Multi-Year"/>
    <x v="0"/>
    <s v="N/A"/>
    <n v="7100000"/>
    <s v="Confirmed"/>
    <m/>
    <x v="0"/>
    <x v="0"/>
    <s v="Approved"/>
    <x v="2"/>
    <x v="0"/>
    <m/>
    <n v="2"/>
    <x v="0"/>
    <s v="In distress"/>
    <n v="91590910.247314155"/>
  </r>
  <r>
    <x v="0"/>
    <x v="32"/>
    <x v="32"/>
    <x v="6"/>
    <x v="0"/>
    <x v="0"/>
    <x v="0"/>
    <x v="0"/>
    <s v="Multi-Year"/>
    <x v="0"/>
    <s v="N/A"/>
    <s v=""/>
    <s v="Confirmed"/>
    <m/>
    <x v="0"/>
    <x v="0"/>
    <s v=""/>
    <x v="4"/>
    <x v="1"/>
    <m/>
    <n v="0"/>
    <x v="1"/>
    <s v="N/A"/>
    <n v="8560012.8840167802"/>
  </r>
  <r>
    <x v="0"/>
    <x v="33"/>
    <x v="33"/>
    <x v="4"/>
    <x v="0"/>
    <x v="0"/>
    <x v="0"/>
    <x v="0"/>
    <s v="Multi-Year"/>
    <x v="0"/>
    <s v="N/A"/>
    <s v=""/>
    <s v="Confirmed"/>
    <m/>
    <x v="0"/>
    <x v="0"/>
    <s v=""/>
    <x v="1"/>
    <x v="1"/>
    <m/>
    <n v="0"/>
    <x v="0"/>
    <s v="N/A"/>
    <n v="3292372960.3962669"/>
  </r>
  <r>
    <x v="0"/>
    <x v="34"/>
    <x v="34"/>
    <x v="5"/>
    <x v="0"/>
    <x v="0"/>
    <x v="0"/>
    <x v="0"/>
    <s v="Multi-Year"/>
    <x v="0"/>
    <s v="N/A"/>
    <n v="63000000"/>
    <s v="Confirmed"/>
    <m/>
    <x v="0"/>
    <x v="0"/>
    <s v="Approved"/>
    <x v="2"/>
    <x v="0"/>
    <m/>
    <n v="0"/>
    <x v="0"/>
    <s v="Moderate"/>
    <n v="519209981.22981054"/>
  </r>
  <r>
    <x v="0"/>
    <x v="35"/>
    <x v="35"/>
    <x v="1"/>
    <x v="0"/>
    <x v="0"/>
    <x v="0"/>
    <x v="0"/>
    <s v="Multi-Year"/>
    <x v="0"/>
    <s v="N/A"/>
    <s v=""/>
    <s v="Confirmed"/>
    <m/>
    <x v="0"/>
    <x v="0"/>
    <s v=""/>
    <x v="3"/>
    <x v="1"/>
    <m/>
    <n v="0"/>
    <x v="0"/>
    <s v=""/>
    <n v="3464739907.1604805"/>
  </r>
  <r>
    <x v="0"/>
    <x v="36"/>
    <x v="36"/>
    <x v="4"/>
    <x v="0"/>
    <x v="0"/>
    <x v="0"/>
    <x v="0"/>
    <s v="Multi-Year"/>
    <x v="0"/>
    <s v="N/A"/>
    <s v=""/>
    <s v="Confirmed"/>
    <m/>
    <x v="0"/>
    <x v="0"/>
    <s v=""/>
    <x v="1"/>
    <x v="1"/>
    <m/>
    <n v="0"/>
    <x v="1"/>
    <s v=""/>
    <n v="9948521252.2569065"/>
  </r>
  <r>
    <x v="0"/>
    <x v="37"/>
    <x v="37"/>
    <x v="2"/>
    <x v="0"/>
    <x v="0"/>
    <x v="0"/>
    <x v="0"/>
    <s v="Multi-Year"/>
    <x v="0"/>
    <s v="N/A"/>
    <s v=""/>
    <s v="Confirmed"/>
    <m/>
    <x v="0"/>
    <x v="0"/>
    <s v=""/>
    <x v="2"/>
    <x v="0"/>
    <m/>
    <n v="1"/>
    <x v="0"/>
    <s v="High"/>
    <n v="33679192.765657313"/>
  </r>
  <r>
    <x v="0"/>
    <x v="38"/>
    <x v="38"/>
    <x v="4"/>
    <x v="0"/>
    <x v="0"/>
    <x v="0"/>
    <x v="0"/>
    <s v="Multi-Year"/>
    <x v="0"/>
    <s v="N/A"/>
    <s v=""/>
    <s v="Confirmed"/>
    <m/>
    <x v="0"/>
    <x v="0"/>
    <s v=""/>
    <x v="1"/>
    <x v="0"/>
    <m/>
    <n v="0"/>
    <x v="1"/>
    <s v="…"/>
    <n v="22784494.365742501"/>
  </r>
  <r>
    <x v="0"/>
    <x v="39"/>
    <x v="39"/>
    <x v="4"/>
    <x v="0"/>
    <x v="0"/>
    <x v="0"/>
    <x v="0"/>
    <s v="Multi-Year"/>
    <x v="0"/>
    <s v="N/A"/>
    <s v=""/>
    <s v="Confirmed"/>
    <m/>
    <x v="0"/>
    <x v="0"/>
    <s v=""/>
    <x v="1"/>
    <x v="1"/>
    <m/>
    <n v="0"/>
    <x v="1"/>
    <s v=""/>
    <n v="2173208011.4858823"/>
  </r>
  <r>
    <x v="0"/>
    <x v="40"/>
    <x v="40"/>
    <x v="4"/>
    <x v="0"/>
    <x v="0"/>
    <x v="0"/>
    <x v="0"/>
    <s v="Multi-Year"/>
    <x v="0"/>
    <s v="N/A"/>
    <n v="92200000"/>
    <s v="Confirmed"/>
    <m/>
    <x v="0"/>
    <x v="0"/>
    <s v="Approved"/>
    <x v="1"/>
    <x v="1"/>
    <m/>
    <n v="0"/>
    <x v="0"/>
    <s v="N/A"/>
    <n v="4585736158.8323269"/>
  </r>
  <r>
    <x v="0"/>
    <x v="41"/>
    <x v="41"/>
    <x v="2"/>
    <x v="0"/>
    <x v="0"/>
    <x v="0"/>
    <x v="0"/>
    <s v="Multi-Year"/>
    <x v="0"/>
    <s v="N/A"/>
    <n v="0"/>
    <s v="Confirmed"/>
    <m/>
    <x v="0"/>
    <x v="0"/>
    <s v=""/>
    <x v="2"/>
    <x v="0"/>
    <m/>
    <n v="0"/>
    <x v="0"/>
    <s v="N/A"/>
    <n v="3550291584.8645592"/>
  </r>
  <r>
    <x v="0"/>
    <x v="42"/>
    <x v="42"/>
    <x v="4"/>
    <x v="0"/>
    <x v="0"/>
    <x v="0"/>
    <x v="0"/>
    <s v="Multi-Year"/>
    <x v="0"/>
    <s v="N/A"/>
    <n v="10000000"/>
    <s v="Confirmed"/>
    <m/>
    <x v="0"/>
    <x v="0"/>
    <s v="Approved"/>
    <x v="2"/>
    <x v="0"/>
    <m/>
    <n v="0"/>
    <x v="0"/>
    <s v="N/A"/>
    <n v="1182840319.0410969"/>
  </r>
  <r>
    <x v="0"/>
    <x v="43"/>
    <x v="43"/>
    <x v="4"/>
    <x v="0"/>
    <x v="0"/>
    <x v="0"/>
    <x v="0"/>
    <s v="Multi-Year"/>
    <x v="0"/>
    <s v="N/A"/>
    <s v=""/>
    <s v="Confirmed"/>
    <m/>
    <x v="0"/>
    <x v="0"/>
    <s v=""/>
    <x v="1"/>
    <x v="1"/>
    <m/>
    <n v="0"/>
    <x v="0"/>
    <s v=""/>
    <n v="81728347.604567245"/>
  </r>
  <r>
    <x v="0"/>
    <x v="44"/>
    <x v="44"/>
    <x v="3"/>
    <x v="0"/>
    <x v="0"/>
    <x v="0"/>
    <x v="0"/>
    <s v="Multi-Year"/>
    <x v="0"/>
    <s v="N/A"/>
    <s v=""/>
    <s v="Confirmed"/>
    <m/>
    <x v="0"/>
    <x v="0"/>
    <s v=""/>
    <x v="0"/>
    <x v="0"/>
    <m/>
    <n v="2"/>
    <x v="0"/>
    <s v="N/A"/>
    <n v="12787914.977715338"/>
  </r>
  <r>
    <x v="0"/>
    <x v="45"/>
    <x v="45"/>
    <x v="3"/>
    <x v="0"/>
    <x v="0"/>
    <x v="0"/>
    <x v="0"/>
    <s v="Multi-Year"/>
    <x v="0"/>
    <s v="N/A"/>
    <n v="800000"/>
    <s v="Confirmed"/>
    <m/>
    <x v="0"/>
    <x v="0"/>
    <s v="Approved"/>
    <x v="2"/>
    <x v="0"/>
    <m/>
    <n v="2"/>
    <x v="0"/>
    <s v="N/A"/>
    <n v="101271737.65410839"/>
  </r>
  <r>
    <x v="0"/>
    <x v="46"/>
    <x v="46"/>
    <x v="3"/>
    <x v="0"/>
    <x v="0"/>
    <x v="0"/>
    <x v="0"/>
    <s v="Multi-Year"/>
    <x v="0"/>
    <s v="N/A"/>
    <n v="197200000"/>
    <s v="Confirmed"/>
    <m/>
    <x v="0"/>
    <x v="0"/>
    <s v="Approved"/>
    <x v="0"/>
    <x v="0"/>
    <m/>
    <n v="3"/>
    <x v="0"/>
    <s v="High"/>
    <n v="618344226.71759331"/>
  </r>
  <r>
    <x v="0"/>
    <x v="47"/>
    <x v="47"/>
    <x v="6"/>
    <x v="0"/>
    <x v="0"/>
    <x v="0"/>
    <x v="0"/>
    <s v="Multi-Year"/>
    <x v="0"/>
    <s v="N/A"/>
    <s v=""/>
    <s v="Confirmed"/>
    <m/>
    <x v="0"/>
    <x v="0"/>
    <s v=""/>
    <x v="1"/>
    <x v="0"/>
    <m/>
    <n v="0"/>
    <x v="1"/>
    <s v="…"/>
    <n v="129483872.95906857"/>
  </r>
  <r>
    <x v="0"/>
    <x v="48"/>
    <x v="48"/>
    <x v="5"/>
    <x v="0"/>
    <x v="0"/>
    <x v="0"/>
    <x v="0"/>
    <s v="Multi-Year"/>
    <x v="0"/>
    <s v="N/A"/>
    <n v="8100000"/>
    <s v="Confirmed"/>
    <m/>
    <x v="0"/>
    <x v="0"/>
    <s v="Approved"/>
    <x v="1"/>
    <x v="1"/>
    <m/>
    <n v="0"/>
    <x v="0"/>
    <s v="N/A"/>
    <n v="271184658.35014349"/>
  </r>
  <r>
    <x v="0"/>
    <x v="49"/>
    <x v="49"/>
    <x v="5"/>
    <x v="0"/>
    <x v="0"/>
    <x v="0"/>
    <x v="0"/>
    <s v="Multi-Year"/>
    <x v="0"/>
    <s v="N/A"/>
    <n v="6400000"/>
    <s v="Confirmed"/>
    <m/>
    <x v="0"/>
    <x v="0"/>
    <s v="Approved"/>
    <x v="0"/>
    <x v="0"/>
    <m/>
    <n v="0"/>
    <x v="0"/>
    <s v="High"/>
    <n v="15455265.086884515"/>
  </r>
  <r>
    <x v="0"/>
    <x v="50"/>
    <x v="50"/>
    <x v="1"/>
    <x v="0"/>
    <x v="0"/>
    <x v="0"/>
    <x v="0"/>
    <s v="Multi-Year"/>
    <x v="0"/>
    <s v="N/A"/>
    <n v="32900000"/>
    <s v="Confirmed"/>
    <m/>
    <x v="0"/>
    <x v="0"/>
    <s v="Approved"/>
    <x v="1"/>
    <x v="1"/>
    <m/>
    <n v="0"/>
    <x v="0"/>
    <s v="N/A"/>
    <n v="494021502.525527"/>
  </r>
  <r>
    <x v="0"/>
    <x v="51"/>
    <x v="51"/>
    <x v="5"/>
    <x v="0"/>
    <x v="0"/>
    <x v="0"/>
    <x v="0"/>
    <s v="Multi-Year"/>
    <x v="0"/>
    <s v="N/A"/>
    <n v="137200000"/>
    <s v="Confirmed"/>
    <m/>
    <x v="0"/>
    <x v="0"/>
    <s v="Approved"/>
    <x v="2"/>
    <x v="0"/>
    <m/>
    <n v="0"/>
    <x v="0"/>
    <s v="High"/>
    <n v="902005621.73836684"/>
  </r>
  <r>
    <x v="0"/>
    <x v="52"/>
    <x v="52"/>
    <x v="4"/>
    <x v="0"/>
    <x v="0"/>
    <x v="0"/>
    <x v="0"/>
    <s v="Multi-Year"/>
    <x v="0"/>
    <s v="N/A"/>
    <s v=""/>
    <s v="Confirmed"/>
    <m/>
    <x v="0"/>
    <x v="0"/>
    <s v=""/>
    <x v="1"/>
    <x v="0"/>
    <m/>
    <n v="0"/>
    <x v="1"/>
    <s v="In distress"/>
    <n v="20201670.142996579"/>
  </r>
  <r>
    <x v="0"/>
    <x v="53"/>
    <x v="53"/>
    <x v="4"/>
    <x v="0"/>
    <x v="0"/>
    <x v="0"/>
    <x v="0"/>
    <s v="Multi-Year"/>
    <x v="0"/>
    <s v="N/A"/>
    <s v=""/>
    <s v="Confirmed"/>
    <m/>
    <x v="0"/>
    <x v="0"/>
    <s v=""/>
    <x v="1"/>
    <x v="1"/>
    <m/>
    <n v="0"/>
    <x v="0"/>
    <s v=""/>
    <n v="1612434649.6948864"/>
  </r>
  <r>
    <x v="0"/>
    <x v="54"/>
    <x v="54"/>
    <x v="5"/>
    <x v="0"/>
    <x v="0"/>
    <x v="0"/>
    <x v="0"/>
    <s v="Multi-Year"/>
    <x v="0"/>
    <s v="N/A"/>
    <n v="17600000"/>
    <s v="Confirmed"/>
    <m/>
    <x v="0"/>
    <x v="0"/>
    <s v="Approved"/>
    <x v="0"/>
    <x v="0"/>
    <m/>
    <n v="0"/>
    <x v="0"/>
    <s v="Moderate"/>
    <n v="78203134.118229344"/>
  </r>
  <r>
    <x v="0"/>
    <x v="55"/>
    <x v="55"/>
    <x v="5"/>
    <x v="0"/>
    <x v="0"/>
    <x v="0"/>
    <x v="0"/>
    <s v="Multi-Year"/>
    <x v="0"/>
    <s v="N/A"/>
    <n v="4800000.0000000009"/>
    <s v="Confirmed"/>
    <m/>
    <x v="0"/>
    <x v="0"/>
    <s v="Approved"/>
    <x v="0"/>
    <x v="0"/>
    <m/>
    <n v="2"/>
    <x v="1"/>
    <s v="High"/>
    <n v="9151637.7411015611"/>
  </r>
  <r>
    <x v="0"/>
    <x v="56"/>
    <x v="56"/>
    <x v="4"/>
    <x v="0"/>
    <x v="0"/>
    <x v="0"/>
    <x v="0"/>
    <s v="Multi-Year"/>
    <x v="0"/>
    <s v="N/A"/>
    <n v="3300000"/>
    <s v="Confirmed"/>
    <m/>
    <x v="0"/>
    <x v="0"/>
    <s v="Approved"/>
    <x v="1"/>
    <x v="0"/>
    <m/>
    <n v="0"/>
    <x v="1"/>
    <s v="Moderate"/>
    <n v="142455920.02856269"/>
  </r>
  <r>
    <x v="0"/>
    <x v="57"/>
    <x v="57"/>
    <x v="4"/>
    <x v="0"/>
    <x v="0"/>
    <x v="0"/>
    <x v="0"/>
    <s v="Multi-Year"/>
    <x v="0"/>
    <s v="N/A"/>
    <s v=""/>
    <s v="Confirmed"/>
    <m/>
    <x v="0"/>
    <x v="0"/>
    <s v=""/>
    <x v="2"/>
    <x v="0"/>
    <m/>
    <n v="1"/>
    <x v="1"/>
    <s v="High"/>
    <n v="85611818.171245083"/>
  </r>
  <r>
    <x v="0"/>
    <x v="58"/>
    <x v="58"/>
    <x v="4"/>
    <x v="0"/>
    <x v="0"/>
    <x v="0"/>
    <x v="0"/>
    <s v="Multi-Year"/>
    <x v="0"/>
    <s v="N/A"/>
    <n v="5750000"/>
    <s v="Confirmed"/>
    <m/>
    <x v="0"/>
    <x v="0"/>
    <s v="Approved"/>
    <x v="2"/>
    <x v="0"/>
    <m/>
    <n v="0"/>
    <x v="0"/>
    <s v="Low"/>
    <n v="680289736.30082119"/>
  </r>
  <r>
    <x v="0"/>
    <x v="59"/>
    <x v="59"/>
    <x v="0"/>
    <x v="0"/>
    <x v="0"/>
    <x v="0"/>
    <x v="0"/>
    <s v="Multi-Year"/>
    <x v="0"/>
    <s v="N/A"/>
    <s v=""/>
    <s v="Confirmed"/>
    <m/>
    <x v="0"/>
    <x v="0"/>
    <s v=""/>
    <x v="2"/>
    <x v="0"/>
    <m/>
    <n v="0"/>
    <x v="0"/>
    <s v="N/A"/>
    <n v="26554332750.47023"/>
  </r>
  <r>
    <x v="0"/>
    <x v="60"/>
    <x v="60"/>
    <x v="6"/>
    <x v="0"/>
    <x v="0"/>
    <x v="0"/>
    <x v="0"/>
    <s v="Multi-Year"/>
    <x v="0"/>
    <s v="N/A"/>
    <n v="0"/>
    <s v="Confirmed"/>
    <m/>
    <x v="0"/>
    <x v="0"/>
    <s v="Approved"/>
    <x v="2"/>
    <x v="0"/>
    <m/>
    <n v="0"/>
    <x v="0"/>
    <s v="N/A"/>
    <n v="14745961064.890842"/>
  </r>
  <r>
    <x v="0"/>
    <x v="61"/>
    <x v="61"/>
    <x v="2"/>
    <x v="0"/>
    <x v="0"/>
    <x v="0"/>
    <x v="0"/>
    <s v="Multi-Year"/>
    <x v="0"/>
    <s v="N/A"/>
    <s v=""/>
    <s v="Confirmed"/>
    <m/>
    <x v="0"/>
    <x v="0"/>
    <s v=""/>
    <x v="2"/>
    <x v="1"/>
    <m/>
    <n v="0"/>
    <x v="0"/>
    <s v="N/A"/>
    <n v="18194076299.786381"/>
  </r>
  <r>
    <x v="0"/>
    <x v="62"/>
    <x v="62"/>
    <x v="2"/>
    <x v="0"/>
    <x v="0"/>
    <x v="0"/>
    <x v="0"/>
    <s v="Multi-Year"/>
    <x v="0"/>
    <s v="N/A"/>
    <n v="72000000"/>
    <s v="Confirmed"/>
    <m/>
    <x v="0"/>
    <x v="0"/>
    <s v="Approved"/>
    <x v="1"/>
    <x v="1"/>
    <m/>
    <n v="0"/>
    <x v="0"/>
    <s v="N/A"/>
    <n v="4428819387.769825"/>
  </r>
  <r>
    <x v="0"/>
    <x v="63"/>
    <x v="63"/>
    <x v="4"/>
    <x v="0"/>
    <x v="0"/>
    <x v="0"/>
    <x v="0"/>
    <s v="Multi-Year"/>
    <x v="0"/>
    <s v="N/A"/>
    <s v=""/>
    <s v="Confirmed"/>
    <m/>
    <x v="0"/>
    <x v="0"/>
    <s v=""/>
    <x v="1"/>
    <x v="1"/>
    <m/>
    <n v="0"/>
    <x v="1"/>
    <s v=""/>
    <n v="611739560.62679195"/>
  </r>
  <r>
    <x v="0"/>
    <x v="64"/>
    <x v="64"/>
    <x v="2"/>
    <x v="0"/>
    <x v="0"/>
    <x v="0"/>
    <x v="0"/>
    <s v="Multi-Year"/>
    <x v="0"/>
    <s v="N/A"/>
    <n v="60300000"/>
    <s v="Confirmed"/>
    <m/>
    <x v="0"/>
    <x v="0"/>
    <s v="Approved"/>
    <x v="1"/>
    <x v="1"/>
    <m/>
    <n v="0"/>
    <x v="0"/>
    <s v="N/A"/>
    <n v="1617913383.0481031"/>
  </r>
  <r>
    <x v="0"/>
    <x v="65"/>
    <x v="65"/>
    <x v="1"/>
    <x v="0"/>
    <x v="0"/>
    <x v="0"/>
    <x v="0"/>
    <s v="Multi-Year"/>
    <x v="0"/>
    <s v="N/A"/>
    <s v=""/>
    <s v="Confirmed"/>
    <m/>
    <x v="0"/>
    <x v="0"/>
    <s v=""/>
    <x v="1"/>
    <x v="1"/>
    <m/>
    <n v="0"/>
    <x v="0"/>
    <s v=""/>
    <n v="3074419112.4562683"/>
  </r>
  <r>
    <x v="0"/>
    <x v="66"/>
    <x v="66"/>
    <x v="3"/>
    <x v="0"/>
    <x v="0"/>
    <x v="0"/>
    <x v="0"/>
    <s v="Multi-Year"/>
    <x v="0"/>
    <s v="N/A"/>
    <n v="108400000"/>
    <s v="Confirmed"/>
    <m/>
    <x v="0"/>
    <x v="0"/>
    <s v="Approved"/>
    <x v="2"/>
    <x v="0"/>
    <m/>
    <n v="0"/>
    <x v="0"/>
    <s v="High"/>
    <n v="1914014279.8929913"/>
  </r>
  <r>
    <x v="0"/>
    <x v="67"/>
    <x v="67"/>
    <x v="6"/>
    <x v="0"/>
    <x v="0"/>
    <x v="0"/>
    <x v="0"/>
    <s v="Multi-Year"/>
    <x v="0"/>
    <s v="N/A"/>
    <s v=""/>
    <s v="Confirmed"/>
    <m/>
    <x v="0"/>
    <x v="0"/>
    <s v=""/>
    <x v="2"/>
    <x v="0"/>
    <m/>
    <n v="0"/>
    <x v="1"/>
    <s v="High"/>
    <n v="17422005.762907442"/>
  </r>
  <r>
    <x v="0"/>
    <x v="68"/>
    <x v="68"/>
    <x v="6"/>
    <x v="0"/>
    <x v="0"/>
    <x v="0"/>
    <x v="0"/>
    <s v="Multi-Year"/>
    <x v="0"/>
    <s v="N/A"/>
    <s v=""/>
    <s v="Confirmed"/>
    <m/>
    <x v="0"/>
    <x v="0"/>
    <s v=""/>
    <x v="0"/>
    <x v="0"/>
    <m/>
    <n v="0"/>
    <x v="0"/>
    <s v="N/A"/>
    <s v=""/>
  </r>
  <r>
    <x v="0"/>
    <x v="69"/>
    <x v="69"/>
    <x v="1"/>
    <x v="0"/>
    <x v="0"/>
    <x v="0"/>
    <x v="0"/>
    <s v="Multi-Year"/>
    <x v="0"/>
    <s v="N/A"/>
    <n v="2500000"/>
    <s v="Confirmed"/>
    <m/>
    <x v="0"/>
    <x v="0"/>
    <s v="Approved"/>
    <x v="1"/>
    <x v="0"/>
    <m/>
    <n v="0"/>
    <x v="0"/>
    <s v="…"/>
    <s v=""/>
  </r>
  <r>
    <x v="0"/>
    <x v="70"/>
    <x v="70"/>
    <x v="1"/>
    <x v="0"/>
    <x v="0"/>
    <x v="0"/>
    <x v="0"/>
    <s v="Multi-Year"/>
    <x v="0"/>
    <s v="N/A"/>
    <n v="16500000"/>
    <s v="Confirmed"/>
    <m/>
    <x v="0"/>
    <x v="0"/>
    <s v="Approved"/>
    <x v="2"/>
    <x v="0"/>
    <m/>
    <n v="2"/>
    <x v="0"/>
    <s v="Moderate"/>
    <n v="231506834.84347546"/>
  </r>
  <r>
    <x v="0"/>
    <x v="71"/>
    <x v="71"/>
    <x v="6"/>
    <x v="0"/>
    <x v="0"/>
    <x v="0"/>
    <x v="0"/>
    <s v="Multi-Year"/>
    <x v="0"/>
    <s v="N/A"/>
    <n v="9000000"/>
    <s v="Confirmed"/>
    <m/>
    <x v="0"/>
    <x v="0"/>
    <s v="Approved"/>
    <x v="2"/>
    <x v="0"/>
    <m/>
    <n v="0"/>
    <x v="0"/>
    <s v="High"/>
    <n v="156059428.62944782"/>
  </r>
  <r>
    <x v="0"/>
    <x v="72"/>
    <x v="72"/>
    <x v="2"/>
    <x v="0"/>
    <x v="0"/>
    <x v="0"/>
    <x v="0"/>
    <s v="Multi-Year"/>
    <x v="0"/>
    <s v="N/A"/>
    <n v="25000000"/>
    <s v="Confirmed"/>
    <m/>
    <x v="0"/>
    <x v="0"/>
    <s v="Approved"/>
    <x v="1"/>
    <x v="1"/>
    <m/>
    <n v="0"/>
    <x v="0"/>
    <s v="N/A"/>
    <n v="2355391507.1635861"/>
  </r>
  <r>
    <x v="0"/>
    <x v="73"/>
    <x v="73"/>
    <x v="3"/>
    <x v="0"/>
    <x v="0"/>
    <x v="0"/>
    <x v="0"/>
    <s v="Multi-Year"/>
    <x v="0"/>
    <s v="N/A"/>
    <n v="14000000"/>
    <s v="Confirmed"/>
    <m/>
    <x v="0"/>
    <x v="0"/>
    <s v="Approved"/>
    <x v="2"/>
    <x v="0"/>
    <m/>
    <n v="0"/>
    <x v="0"/>
    <s v="Moderate"/>
    <n v="152760919.7684873"/>
  </r>
  <r>
    <x v="0"/>
    <x v="74"/>
    <x v="74"/>
    <x v="5"/>
    <x v="0"/>
    <x v="0"/>
    <x v="0"/>
    <x v="0"/>
    <s v="Multi-Year"/>
    <x v="0"/>
    <s v="N/A"/>
    <n v="4500000"/>
    <s v="Confirmed"/>
    <m/>
    <x v="0"/>
    <x v="0"/>
    <s v="Approved"/>
    <x v="0"/>
    <x v="0"/>
    <m/>
    <n v="0"/>
    <x v="0"/>
    <s v="High"/>
    <n v="55072006.864440605"/>
  </r>
  <r>
    <x v="0"/>
    <x v="75"/>
    <x v="75"/>
    <x v="2"/>
    <x v="0"/>
    <x v="0"/>
    <x v="0"/>
    <x v="0"/>
    <s v="Multi-Year"/>
    <x v="0"/>
    <s v="N/A"/>
    <s v=""/>
    <s v="Confirmed"/>
    <m/>
    <x v="0"/>
    <x v="0"/>
    <s v=""/>
    <x v="1"/>
    <x v="1"/>
    <m/>
    <n v="0"/>
    <x v="0"/>
    <s v="N/A"/>
    <s v=""/>
  </r>
  <r>
    <x v="0"/>
    <x v="76"/>
    <x v="76"/>
    <x v="3"/>
    <x v="0"/>
    <x v="0"/>
    <x v="0"/>
    <x v="0"/>
    <s v="Multi-Year"/>
    <x v="0"/>
    <s v="N/A"/>
    <n v="80000000"/>
    <s v="Confirmed"/>
    <m/>
    <x v="0"/>
    <x v="0"/>
    <s v="Approved"/>
    <x v="0"/>
    <x v="0"/>
    <m/>
    <n v="2"/>
    <x v="0"/>
    <s v="Moderate"/>
    <n v="206914157.05429548"/>
  </r>
  <r>
    <x v="0"/>
    <x v="77"/>
    <x v="77"/>
    <x v="3"/>
    <x v="0"/>
    <x v="0"/>
    <x v="0"/>
    <x v="0"/>
    <s v="Multi-Year"/>
    <x v="0"/>
    <s v="N/A"/>
    <n v="21300000"/>
    <s v="Confirmed"/>
    <m/>
    <x v="0"/>
    <x v="0"/>
    <s v="Approved"/>
    <x v="0"/>
    <x v="0"/>
    <m/>
    <n v="2"/>
    <x v="0"/>
    <s v="High"/>
    <n v="185999915.02066413"/>
  </r>
  <r>
    <x v="0"/>
    <x v="78"/>
    <x v="78"/>
    <x v="6"/>
    <x v="0"/>
    <x v="0"/>
    <x v="0"/>
    <x v="0"/>
    <s v="Multi-Year"/>
    <x v="0"/>
    <s v="N/A"/>
    <s v=""/>
    <s v="Confirmed"/>
    <m/>
    <x v="0"/>
    <x v="0"/>
    <s v=""/>
    <x v="1"/>
    <x v="1"/>
    <m/>
    <n v="0"/>
    <x v="0"/>
    <s v=""/>
    <n v="6893755763.2501726"/>
  </r>
  <r>
    <x v="0"/>
    <x v="79"/>
    <x v="79"/>
    <x v="0"/>
    <x v="0"/>
    <x v="0"/>
    <x v="0"/>
    <x v="0"/>
    <s v="Multi-Year"/>
    <x v="0"/>
    <s v="N/A"/>
    <s v=""/>
    <s v="Confirmed"/>
    <m/>
    <x v="0"/>
    <x v="0"/>
    <s v=""/>
    <x v="1"/>
    <x v="0"/>
    <m/>
    <n v="0"/>
    <x v="1"/>
    <s v="High"/>
    <n v="354560231.58276606"/>
  </r>
  <r>
    <x v="0"/>
    <x v="80"/>
    <x v="80"/>
    <x v="5"/>
    <x v="0"/>
    <x v="0"/>
    <x v="0"/>
    <x v="0"/>
    <s v="Multi-Year"/>
    <x v="0"/>
    <s v="N/A"/>
    <n v="44500000"/>
    <s v="Confirmed"/>
    <m/>
    <x v="0"/>
    <x v="0"/>
    <s v="Approved"/>
    <x v="0"/>
    <x v="0"/>
    <m/>
    <n v="1"/>
    <x v="0"/>
    <s v="Moderate"/>
    <n v="188169167.56540567"/>
  </r>
  <r>
    <x v="0"/>
    <x v="81"/>
    <x v="81"/>
    <x v="6"/>
    <x v="0"/>
    <x v="0"/>
    <x v="0"/>
    <x v="0"/>
    <s v="Multi-Year"/>
    <x v="0"/>
    <s v="N/A"/>
    <s v=""/>
    <s v="Confirmed"/>
    <m/>
    <x v="0"/>
    <x v="0"/>
    <s v=""/>
    <x v="1"/>
    <x v="0"/>
    <m/>
    <n v="0"/>
    <x v="1"/>
    <s v=""/>
    <n v="16312106.556340856"/>
  </r>
  <r>
    <x v="0"/>
    <x v="82"/>
    <x v="82"/>
    <x v="5"/>
    <x v="0"/>
    <x v="0"/>
    <x v="0"/>
    <x v="0"/>
    <s v="Multi-Year"/>
    <x v="0"/>
    <s v="N/A"/>
    <n v="11200000"/>
    <s v="Confirmed"/>
    <m/>
    <x v="0"/>
    <x v="0"/>
    <s v="Approved"/>
    <x v="2"/>
    <x v="0"/>
    <m/>
    <n v="2"/>
    <x v="0"/>
    <s v="High"/>
    <n v="86083833.534053758"/>
  </r>
  <r>
    <x v="0"/>
    <x v="83"/>
    <x v="83"/>
    <x v="3"/>
    <x v="0"/>
    <x v="0"/>
    <x v="0"/>
    <x v="0"/>
    <s v="Multi-Year"/>
    <x v="0"/>
    <s v="N/A"/>
    <n v="0"/>
    <s v="Confirmed"/>
    <m/>
    <x v="0"/>
    <x v="0"/>
    <s v=""/>
    <x v="1"/>
    <x v="1"/>
    <m/>
    <n v="0"/>
    <x v="1"/>
    <s v="N/A"/>
    <n v="357220835.93762809"/>
  </r>
  <r>
    <x v="0"/>
    <x v="84"/>
    <x v="84"/>
    <x v="4"/>
    <x v="0"/>
    <x v="0"/>
    <x v="0"/>
    <x v="0"/>
    <s v="Multi-Year"/>
    <x v="0"/>
    <s v="N/A"/>
    <s v=""/>
    <s v="Confirmed"/>
    <m/>
    <x v="0"/>
    <x v="0"/>
    <s v=""/>
    <x v="1"/>
    <x v="1"/>
    <m/>
    <n v="0"/>
    <x v="0"/>
    <s v=""/>
    <n v="32831598153.796387"/>
  </r>
  <r>
    <x v="0"/>
    <x v="85"/>
    <x v="85"/>
    <x v="6"/>
    <x v="0"/>
    <x v="0"/>
    <x v="0"/>
    <x v="0"/>
    <s v="Multi-Year"/>
    <x v="0"/>
    <s v="N/A"/>
    <s v=""/>
    <s v="Confirmed"/>
    <m/>
    <x v="0"/>
    <x v="0"/>
    <s v=""/>
    <x v="2"/>
    <x v="0"/>
    <m/>
    <n v="0"/>
    <x v="1"/>
    <s v="High"/>
    <n v="12329056.093798399"/>
  </r>
  <r>
    <x v="0"/>
    <x v="86"/>
    <x v="86"/>
    <x v="1"/>
    <x v="0"/>
    <x v="0"/>
    <x v="0"/>
    <x v="0"/>
    <s v="Multi-Year"/>
    <x v="0"/>
    <s v="N/A"/>
    <n v="20100000"/>
    <s v="Confirmed"/>
    <m/>
    <x v="0"/>
    <x v="0"/>
    <s v="Approved"/>
    <x v="1"/>
    <x v="0"/>
    <m/>
    <n v="0"/>
    <x v="0"/>
    <s v="Low"/>
    <n v="426639742.85328001"/>
  </r>
  <r>
    <x v="0"/>
    <x v="87"/>
    <x v="87"/>
    <x v="6"/>
    <x v="0"/>
    <x v="0"/>
    <x v="0"/>
    <x v="0"/>
    <s v="Multi-Year"/>
    <x v="0"/>
    <s v="N/A"/>
    <n v="18700000"/>
    <s v="Confirmed"/>
    <m/>
    <x v="0"/>
    <x v="0"/>
    <s v="Approved"/>
    <x v="2"/>
    <x v="0"/>
    <m/>
    <n v="0"/>
    <x v="0"/>
    <s v="…"/>
    <n v="288519671.85870522"/>
  </r>
  <r>
    <x v="0"/>
    <x v="88"/>
    <x v="88"/>
    <x v="1"/>
    <x v="0"/>
    <x v="0"/>
    <x v="0"/>
    <x v="0"/>
    <s v="Multi-Year"/>
    <x v="0"/>
    <s v="N/A"/>
    <n v="0"/>
    <s v="Confirmed"/>
    <m/>
    <x v="0"/>
    <x v="0"/>
    <s v=""/>
    <x v="1"/>
    <x v="1"/>
    <m/>
    <n v="0"/>
    <x v="0"/>
    <s v="N/A"/>
    <n v="275606560.78491527"/>
  </r>
  <r>
    <x v="0"/>
    <x v="89"/>
    <x v="89"/>
    <x v="2"/>
    <x v="0"/>
    <x v="0"/>
    <x v="0"/>
    <x v="0"/>
    <s v="Multi-Year"/>
    <x v="0"/>
    <s v="N/A"/>
    <s v=""/>
    <s v="Confirmed"/>
    <m/>
    <x v="0"/>
    <x v="0"/>
    <s v=""/>
    <x v="2"/>
    <x v="0"/>
    <m/>
    <n v="0"/>
    <x v="0"/>
    <s v="N/A"/>
    <n v="2530937679.3725696"/>
  </r>
  <r>
    <x v="0"/>
    <x v="90"/>
    <x v="90"/>
    <x v="3"/>
    <x v="0"/>
    <x v="0"/>
    <x v="0"/>
    <x v="0"/>
    <s v="Multi-Year"/>
    <x v="0"/>
    <s v="N/A"/>
    <n v="70000000"/>
    <s v="Confirmed"/>
    <m/>
    <x v="0"/>
    <x v="0"/>
    <s v="Approved"/>
    <x v="0"/>
    <x v="0"/>
    <m/>
    <n v="0"/>
    <x v="0"/>
    <s v="In distress"/>
    <n v="251432156.86255455"/>
  </r>
  <r>
    <x v="0"/>
    <x v="91"/>
    <x v="91"/>
    <x v="6"/>
    <x v="0"/>
    <x v="0"/>
    <x v="0"/>
    <x v="0"/>
    <s v="Multi-Year"/>
    <x v="0"/>
    <s v="N/A"/>
    <n v="0"/>
    <s v="Confirmed"/>
    <m/>
    <x v="0"/>
    <x v="0"/>
    <s v=""/>
    <x v="2"/>
    <x v="0"/>
    <m/>
    <n v="0"/>
    <x v="0"/>
    <s v="Low"/>
    <n v="471534500.60109437"/>
  </r>
  <r>
    <x v="0"/>
    <x v="92"/>
    <x v="92"/>
    <x v="3"/>
    <x v="0"/>
    <x v="0"/>
    <x v="0"/>
    <x v="0"/>
    <s v="Multi-Year"/>
    <x v="0"/>
    <s v="N/A"/>
    <s v=""/>
    <s v="Confirmed"/>
    <m/>
    <x v="0"/>
    <x v="0"/>
    <s v=""/>
    <x v="1"/>
    <x v="1"/>
    <m/>
    <n v="0"/>
    <x v="0"/>
    <s v=""/>
    <n v="531677611.80447447"/>
  </r>
  <r>
    <x v="0"/>
    <x v="93"/>
    <x v="93"/>
    <x v="6"/>
    <x v="0"/>
    <x v="0"/>
    <x v="0"/>
    <x v="0"/>
    <s v="Multi-Year"/>
    <x v="0"/>
    <s v="N/A"/>
    <s v=""/>
    <s v="Confirmed"/>
    <m/>
    <x v="0"/>
    <x v="0"/>
    <s v=""/>
    <x v="3"/>
    <x v="1"/>
    <m/>
    <n v="0"/>
    <x v="1"/>
    <s v=""/>
    <n v="8528751.6418357007"/>
  </r>
  <r>
    <x v="0"/>
    <x v="94"/>
    <x v="94"/>
    <x v="0"/>
    <x v="0"/>
    <x v="0"/>
    <x v="0"/>
    <x v="0"/>
    <s v="Multi-Year"/>
    <x v="0"/>
    <s v="N/A"/>
    <n v="62600000"/>
    <s v="Confirmed"/>
    <m/>
    <x v="0"/>
    <x v="0"/>
    <s v="Approved"/>
    <x v="2"/>
    <x v="0"/>
    <m/>
    <n v="0"/>
    <x v="0"/>
    <s v="Low"/>
    <n v="407084543.19089872"/>
  </r>
  <r>
    <x v="0"/>
    <x v="95"/>
    <x v="95"/>
    <x v="4"/>
    <x v="0"/>
    <x v="0"/>
    <x v="0"/>
    <x v="0"/>
    <s v="Multi-Year"/>
    <x v="0"/>
    <s v="N/A"/>
    <s v=""/>
    <s v="Confirmed"/>
    <m/>
    <x v="0"/>
    <x v="0"/>
    <s v=""/>
    <x v="2"/>
    <x v="0"/>
    <m/>
    <n v="0"/>
    <x v="0"/>
    <s v="Moderate"/>
    <n v="671998341.93592453"/>
  </r>
  <r>
    <x v="0"/>
    <x v="96"/>
    <x v="96"/>
    <x v="5"/>
    <x v="0"/>
    <x v="0"/>
    <x v="0"/>
    <x v="0"/>
    <s v="Multi-Year"/>
    <x v="0"/>
    <s v="N/A"/>
    <n v="19800000"/>
    <s v="Confirmed"/>
    <m/>
    <x v="0"/>
    <x v="0"/>
    <s v="Approved"/>
    <x v="0"/>
    <x v="0"/>
    <m/>
    <n v="1"/>
    <x v="0"/>
    <s v="Moderate"/>
    <n v="226203289.67158964"/>
  </r>
  <r>
    <x v="0"/>
    <x v="97"/>
    <x v="97"/>
    <x v="5"/>
    <x v="0"/>
    <x v="0"/>
    <x v="0"/>
    <x v="0"/>
    <s v="Multi-Year"/>
    <x v="0"/>
    <s v="N/A"/>
    <n v="357500000"/>
    <s v="Confirmed"/>
    <m/>
    <x v="0"/>
    <x v="0"/>
    <s v="Approved"/>
    <x v="2"/>
    <x v="0"/>
    <m/>
    <n v="3"/>
    <x v="0"/>
    <s v="…"/>
    <n v="2438881113.1244688"/>
  </r>
  <r>
    <x v="0"/>
    <x v="98"/>
    <x v="98"/>
    <x v="1"/>
    <x v="0"/>
    <x v="0"/>
    <x v="0"/>
    <x v="0"/>
    <s v="Multi-Year"/>
    <x v="0"/>
    <s v="N/A"/>
    <n v="9000000"/>
    <s v="Confirmed"/>
    <m/>
    <x v="0"/>
    <x v="0"/>
    <s v="Approved"/>
    <x v="1"/>
    <x v="1"/>
    <m/>
    <n v="0"/>
    <x v="0"/>
    <s v=""/>
    <n v="476517795.73174149"/>
  </r>
  <r>
    <x v="0"/>
    <x v="99"/>
    <x v="99"/>
    <x v="0"/>
    <x v="0"/>
    <x v="0"/>
    <x v="0"/>
    <x v="0"/>
    <s v="Multi-Year"/>
    <x v="0"/>
    <s v="N/A"/>
    <n v="0"/>
    <s v="Confirmed"/>
    <m/>
    <x v="0"/>
    <x v="0"/>
    <s v="Approved"/>
    <x v="2"/>
    <x v="0"/>
    <m/>
    <n v="0"/>
    <x v="0"/>
    <s v="…"/>
    <n v="3233351297.7679496"/>
  </r>
  <r>
    <x v="0"/>
    <x v="100"/>
    <x v="100"/>
    <x v="4"/>
    <x v="0"/>
    <x v="0"/>
    <x v="0"/>
    <x v="0"/>
    <s v="Multi-Year"/>
    <x v="0"/>
    <s v="N/A"/>
    <s v=""/>
    <s v="Confirmed"/>
    <m/>
    <x v="0"/>
    <x v="0"/>
    <s v=""/>
    <x v="3"/>
    <x v="1"/>
    <m/>
    <n v="0"/>
    <x v="1"/>
    <s v=""/>
    <n v="18180646.808608256"/>
  </r>
  <r>
    <x v="0"/>
    <x v="101"/>
    <x v="101"/>
    <x v="4"/>
    <x v="0"/>
    <x v="0"/>
    <x v="0"/>
    <x v="0"/>
    <s v="Multi-Year"/>
    <x v="0"/>
    <s v="N/A"/>
    <n v="0"/>
    <s v="Confirmed"/>
    <m/>
    <x v="0"/>
    <x v="0"/>
    <s v=""/>
    <x v="1"/>
    <x v="1"/>
    <m/>
    <n v="0"/>
    <x v="0"/>
    <s v="N/A"/>
    <n v="3020530707.3485303"/>
  </r>
  <r>
    <x v="0"/>
    <x v="102"/>
    <x v="102"/>
    <x v="6"/>
    <x v="0"/>
    <x v="0"/>
    <x v="0"/>
    <x v="0"/>
    <s v="Multi-Year"/>
    <x v="0"/>
    <s v="N/A"/>
    <n v="0"/>
    <s v="Confirmed"/>
    <m/>
    <x v="0"/>
    <x v="0"/>
    <s v="Approved"/>
    <x v="2"/>
    <x v="0"/>
    <m/>
    <n v="1"/>
    <x v="1"/>
    <s v="High"/>
    <n v="384406316.46074712"/>
  </r>
  <r>
    <x v="0"/>
    <x v="103"/>
    <x v="103"/>
    <x v="4"/>
    <x v="0"/>
    <x v="0"/>
    <x v="0"/>
    <x v="0"/>
    <s v="Multi-Year"/>
    <x v="0"/>
    <s v="N/A"/>
    <s v=""/>
    <s v="Confirmed"/>
    <m/>
    <x v="0"/>
    <x v="0"/>
    <s v=""/>
    <x v="1"/>
    <x v="1"/>
    <m/>
    <n v="0"/>
    <x v="0"/>
    <s v=""/>
    <n v="1218747108.9554784"/>
  </r>
  <r>
    <x v="0"/>
    <x v="104"/>
    <x v="104"/>
    <x v="4"/>
    <x v="0"/>
    <x v="0"/>
    <x v="0"/>
    <x v="0"/>
    <s v="Multi-Year"/>
    <x v="0"/>
    <s v="N/A"/>
    <n v="0"/>
    <s v="Confirmed"/>
    <m/>
    <x v="0"/>
    <x v="0"/>
    <s v="Approved"/>
    <x v="1"/>
    <x v="1"/>
    <m/>
    <n v="0"/>
    <x v="0"/>
    <s v=""/>
    <n v="7392665952.5895758"/>
  </r>
  <r>
    <x v="0"/>
    <x v="105"/>
    <x v="105"/>
    <x v="6"/>
    <x v="0"/>
    <x v="0"/>
    <x v="0"/>
    <x v="0"/>
    <s v="Multi-Year"/>
    <x v="0"/>
    <s v="N/A"/>
    <n v="748000000"/>
    <s v="Confirmed"/>
    <m/>
    <x v="0"/>
    <x v="0"/>
    <s v="Approved"/>
    <x v="2"/>
    <x v="0"/>
    <m/>
    <n v="0"/>
    <x v="0"/>
    <s v="N/A"/>
    <n v="4754985988.6004429"/>
  </r>
  <r>
    <x v="0"/>
    <x v="106"/>
    <x v="106"/>
    <x v="1"/>
    <x v="0"/>
    <x v="0"/>
    <x v="0"/>
    <x v="0"/>
    <s v="Multi-Year"/>
    <x v="0"/>
    <s v="N/A"/>
    <s v=""/>
    <s v="Confirmed"/>
    <m/>
    <x v="0"/>
    <x v="0"/>
    <s v=""/>
    <x v="3"/>
    <x v="1"/>
    <m/>
    <n v="0"/>
    <x v="0"/>
    <s v=""/>
    <n v="26422210443.037273"/>
  </r>
  <r>
    <x v="0"/>
    <x v="107"/>
    <x v="107"/>
    <x v="1"/>
    <x v="0"/>
    <x v="0"/>
    <x v="0"/>
    <x v="0"/>
    <s v="Multi-Year"/>
    <x v="0"/>
    <s v="N/A"/>
    <s v=""/>
    <s v="Confirmed"/>
    <m/>
    <x v="0"/>
    <x v="0"/>
    <s v=""/>
    <x v="1"/>
    <x v="1"/>
    <m/>
    <n v="0"/>
    <x v="0"/>
    <s v=""/>
    <n v="10696495313.15033"/>
  </r>
  <r>
    <x v="0"/>
    <x v="108"/>
    <x v="108"/>
    <x v="1"/>
    <x v="0"/>
    <x v="0"/>
    <x v="0"/>
    <x v="0"/>
    <s v="Multi-Year"/>
    <x v="0"/>
    <s v="N/A"/>
    <s v=""/>
    <s v="Confirmed"/>
    <m/>
    <x v="0"/>
    <x v="0"/>
    <s v=""/>
    <x v="1"/>
    <x v="1"/>
    <m/>
    <n v="0"/>
    <x v="0"/>
    <s v=""/>
    <n v="52769713433.240509"/>
  </r>
  <r>
    <x v="0"/>
    <x v="109"/>
    <x v="109"/>
    <x v="3"/>
    <x v="0"/>
    <x v="0"/>
    <x v="0"/>
    <x v="0"/>
    <s v="Multi-Year"/>
    <x v="0"/>
    <s v="N/A"/>
    <n v="18700000"/>
    <s v="Confirmed"/>
    <m/>
    <x v="0"/>
    <x v="0"/>
    <s v="Approved"/>
    <x v="0"/>
    <x v="0"/>
    <m/>
    <n v="0"/>
    <x v="0"/>
    <s v="Moderate"/>
    <n v="225799814.51943746"/>
  </r>
  <r>
    <x v="0"/>
    <x v="110"/>
    <x v="110"/>
    <x v="6"/>
    <x v="0"/>
    <x v="0"/>
    <x v="0"/>
    <x v="0"/>
    <s v="Multi-Year"/>
    <x v="0"/>
    <s v="N/A"/>
    <s v=""/>
    <s v="Confirmed"/>
    <m/>
    <x v="0"/>
    <x v="0"/>
    <s v=""/>
    <x v="2"/>
    <x v="0"/>
    <m/>
    <n v="0"/>
    <x v="1"/>
    <s v="High"/>
    <n v="32192988.027009469"/>
  </r>
  <r>
    <x v="0"/>
    <x v="111"/>
    <x v="111"/>
    <x v="5"/>
    <x v="0"/>
    <x v="0"/>
    <x v="0"/>
    <x v="0"/>
    <s v="Multi-Year"/>
    <x v="0"/>
    <s v="N/A"/>
    <n v="1800000"/>
    <s v="Confirmed"/>
    <m/>
    <x v="0"/>
    <x v="0"/>
    <s v="Approved"/>
    <x v="2"/>
    <x v="0"/>
    <m/>
    <n v="0"/>
    <x v="1"/>
    <s v="In distress"/>
    <n v="11633535.136477679"/>
  </r>
  <r>
    <x v="0"/>
    <x v="112"/>
    <x v="112"/>
    <x v="5"/>
    <x v="0"/>
    <x v="0"/>
    <x v="0"/>
    <x v="0"/>
    <s v="Multi-Year"/>
    <x v="0"/>
    <s v="N/A"/>
    <n v="76100000"/>
    <s v="Confirmed"/>
    <m/>
    <x v="0"/>
    <x v="0"/>
    <s v="Approved"/>
    <x v="2"/>
    <x v="0"/>
    <m/>
    <n v="2"/>
    <x v="0"/>
    <s v="Moderate"/>
    <n v="222008693.93354639"/>
  </r>
  <r>
    <x v="0"/>
    <x v="113"/>
    <x v="113"/>
    <x v="1"/>
    <x v="0"/>
    <x v="0"/>
    <x v="0"/>
    <x v="0"/>
    <s v="Multi-Year"/>
    <x v="0"/>
    <s v="N/A"/>
    <s v=""/>
    <s v="Confirmed"/>
    <m/>
    <x v="0"/>
    <x v="0"/>
    <s v=""/>
    <x v="1"/>
    <x v="1"/>
    <m/>
    <n v="0"/>
    <x v="0"/>
    <s v=""/>
    <n v="2564993795.1894679"/>
  </r>
  <r>
    <x v="0"/>
    <x v="114"/>
    <x v="114"/>
    <x v="3"/>
    <x v="0"/>
    <x v="0"/>
    <x v="0"/>
    <x v="0"/>
    <s v="Multi-Year"/>
    <x v="0"/>
    <s v="N/A"/>
    <n v="0"/>
    <s v="Confirmed"/>
    <m/>
    <x v="0"/>
    <x v="0"/>
    <s v="Under Preparation"/>
    <x v="3"/>
    <x v="1"/>
    <m/>
    <n v="0"/>
    <x v="1"/>
    <s v="N/A"/>
    <n v="60237542.945069775"/>
  </r>
  <r>
    <x v="0"/>
    <x v="115"/>
    <x v="115"/>
    <x v="5"/>
    <x v="0"/>
    <x v="0"/>
    <x v="0"/>
    <x v="0"/>
    <s v="Multi-Year"/>
    <x v="0"/>
    <s v="N/A"/>
    <n v="16399999.999999998"/>
    <s v="Confirmed"/>
    <m/>
    <x v="0"/>
    <x v="0"/>
    <s v="Approved"/>
    <x v="0"/>
    <x v="0"/>
    <m/>
    <n v="0"/>
    <x v="0"/>
    <s v="High"/>
    <n v="63738640.538260505"/>
  </r>
  <r>
    <x v="0"/>
    <x v="116"/>
    <x v="116"/>
    <x v="6"/>
    <x v="0"/>
    <x v="0"/>
    <x v="0"/>
    <x v="0"/>
    <s v="Multi-Year"/>
    <x v="0"/>
    <s v="N/A"/>
    <s v=""/>
    <s v="Confirmed"/>
    <m/>
    <x v="0"/>
    <x v="0"/>
    <s v=""/>
    <x v="2"/>
    <x v="0"/>
    <m/>
    <n v="0"/>
    <x v="1"/>
    <s v="Moderate"/>
    <n v="49012774.055630356"/>
  </r>
  <r>
    <x v="0"/>
    <x v="117"/>
    <x v="117"/>
    <x v="3"/>
    <x v="0"/>
    <x v="0"/>
    <x v="0"/>
    <x v="0"/>
    <s v="Multi-Year"/>
    <x v="0"/>
    <s v="N/A"/>
    <n v="13000000"/>
    <s v="Confirmed"/>
    <m/>
    <x v="0"/>
    <x v="0"/>
    <s v="Approved"/>
    <x v="0"/>
    <x v="0"/>
    <m/>
    <n v="1"/>
    <x v="0"/>
    <s v="In distress"/>
    <s v=""/>
  </r>
  <r>
    <x v="0"/>
    <x v="118"/>
    <x v="118"/>
    <x v="3"/>
    <x v="0"/>
    <x v="0"/>
    <x v="0"/>
    <x v="0"/>
    <s v="Multi-Year"/>
    <x v="0"/>
    <s v="N/A"/>
    <n v="0"/>
    <s v="Confirmed"/>
    <m/>
    <x v="0"/>
    <x v="0"/>
    <s v=""/>
    <x v="1"/>
    <x v="1"/>
    <m/>
    <n v="0"/>
    <x v="0"/>
    <s v="N/A"/>
    <n v="16429121142.784708"/>
  </r>
  <r>
    <x v="0"/>
    <x v="119"/>
    <x v="119"/>
    <x v="3"/>
    <x v="0"/>
    <x v="0"/>
    <x v="0"/>
    <x v="0"/>
    <s v="Multi-Year"/>
    <x v="0"/>
    <s v="N/A"/>
    <n v="0"/>
    <s v="Confirmed"/>
    <m/>
    <x v="0"/>
    <x v="0"/>
    <s v="Approved"/>
    <x v="0"/>
    <x v="0"/>
    <m/>
    <n v="1"/>
    <x v="0"/>
    <s v="High"/>
    <n v="31684581.76217727"/>
  </r>
  <r>
    <x v="0"/>
    <x v="120"/>
    <x v="120"/>
    <x v="0"/>
    <x v="0"/>
    <x v="0"/>
    <x v="0"/>
    <x v="0"/>
    <s v="Multi-Year"/>
    <x v="0"/>
    <s v="N/A"/>
    <n v="41400000"/>
    <s v="Confirmed"/>
    <m/>
    <x v="0"/>
    <x v="0"/>
    <s v="Approved"/>
    <x v="2"/>
    <x v="0"/>
    <m/>
    <n v="0"/>
    <x v="0"/>
    <s v="N/A"/>
    <n v="1373621563.5182886"/>
  </r>
  <r>
    <x v="0"/>
    <x v="121"/>
    <x v="121"/>
    <x v="4"/>
    <x v="0"/>
    <x v="0"/>
    <x v="0"/>
    <x v="0"/>
    <s v="Multi-Year"/>
    <x v="0"/>
    <s v="N/A"/>
    <s v=""/>
    <s v="Confirmed"/>
    <m/>
    <x v="0"/>
    <x v="0"/>
    <s v=""/>
    <x v="3"/>
    <x v="1"/>
    <m/>
    <n v="0"/>
    <x v="1"/>
    <s v=""/>
    <n v="24214370.889062837"/>
  </r>
  <r>
    <x v="0"/>
    <x v="122"/>
    <x v="122"/>
    <x v="4"/>
    <x v="0"/>
    <x v="0"/>
    <x v="0"/>
    <x v="0"/>
    <s v="Multi-Year"/>
    <x v="0"/>
    <s v="N/A"/>
    <s v=""/>
    <s v="Confirmed"/>
    <m/>
    <x v="0"/>
    <x v="0"/>
    <s v=""/>
    <x v="1"/>
    <x v="0"/>
    <m/>
    <n v="0"/>
    <x v="1"/>
    <s v="…"/>
    <n v="39941279.609447442"/>
  </r>
  <r>
    <x v="0"/>
    <x v="123"/>
    <x v="123"/>
    <x v="4"/>
    <x v="0"/>
    <x v="0"/>
    <x v="0"/>
    <x v="0"/>
    <s v="Multi-Year"/>
    <x v="0"/>
    <s v="N/A"/>
    <s v=""/>
    <s v="Confirmed"/>
    <m/>
    <x v="0"/>
    <x v="0"/>
    <s v=""/>
    <x v="1"/>
    <x v="0"/>
    <m/>
    <n v="0"/>
    <x v="1"/>
    <s v="High"/>
    <n v="24761675.260059897"/>
  </r>
  <r>
    <x v="0"/>
    <x v="124"/>
    <x v="124"/>
    <x v="2"/>
    <x v="0"/>
    <x v="0"/>
    <x v="0"/>
    <x v="0"/>
    <s v="Multi-Year"/>
    <x v="0"/>
    <s v="N/A"/>
    <n v="0"/>
    <s v="Confirmed"/>
    <m/>
    <x v="0"/>
    <x v="0"/>
    <s v="Under Preparation"/>
    <x v="2"/>
    <x v="0"/>
    <m/>
    <n v="0"/>
    <x v="0"/>
    <s v="N/A"/>
    <s v=""/>
  </r>
  <r>
    <x v="0"/>
    <x v="125"/>
    <x v="125"/>
    <x v="2"/>
    <x v="0"/>
    <x v="0"/>
    <x v="0"/>
    <x v="0"/>
    <s v="Multi-Year"/>
    <x v="0"/>
    <s v="N/A"/>
    <n v="30400000"/>
    <s v="Confirmed"/>
    <m/>
    <x v="0"/>
    <x v="0"/>
    <s v="Approved"/>
    <x v="0"/>
    <x v="0"/>
    <m/>
    <n v="1"/>
    <x v="0"/>
    <s v="N/A"/>
    <n v="577156172.71229994"/>
  </r>
  <r>
    <x v="0"/>
    <x v="126"/>
    <x v="126"/>
    <x v="6"/>
    <x v="0"/>
    <x v="0"/>
    <x v="0"/>
    <x v="0"/>
    <s v="Multi-Year"/>
    <x v="0"/>
    <s v="N/A"/>
    <s v=""/>
    <s v="Confirmed"/>
    <m/>
    <x v="0"/>
    <x v="0"/>
    <s v=""/>
    <x v="1"/>
    <x v="1"/>
    <m/>
    <n v="0"/>
    <x v="1"/>
    <s v=""/>
    <n v="180052034.19851837"/>
  </r>
  <r>
    <x v="0"/>
    <x v="127"/>
    <x v="127"/>
    <x v="2"/>
    <x v="0"/>
    <x v="0"/>
    <x v="0"/>
    <x v="0"/>
    <s v="Multi-Year"/>
    <x v="0"/>
    <s v="N/A"/>
    <s v=""/>
    <s v="Confirmed"/>
    <m/>
    <x v="0"/>
    <x v="0"/>
    <s v=""/>
    <x v="0"/>
    <x v="0"/>
    <m/>
    <n v="1"/>
    <x v="0"/>
    <s v="N/A"/>
    <s v=""/>
  </r>
  <r>
    <x v="0"/>
    <x v="128"/>
    <x v="128"/>
    <x v="1"/>
    <x v="0"/>
    <x v="0"/>
    <x v="0"/>
    <x v="0"/>
    <s v="Multi-Year"/>
    <x v="0"/>
    <s v="N/A"/>
    <n v="5800000"/>
    <s v="Confirmed"/>
    <m/>
    <x v="0"/>
    <x v="0"/>
    <s v="Approved"/>
    <x v="2"/>
    <x v="0"/>
    <m/>
    <n v="0"/>
    <x v="0"/>
    <s v="High"/>
    <n v="147296124.32232863"/>
  </r>
  <r>
    <x v="0"/>
    <x v="129"/>
    <x v="129"/>
    <x v="3"/>
    <x v="0"/>
    <x v="0"/>
    <x v="0"/>
    <x v="0"/>
    <s v="Multi-Year"/>
    <x v="0"/>
    <s v="N/A"/>
    <s v=""/>
    <s v="Confirmed"/>
    <m/>
    <x v="0"/>
    <x v="0"/>
    <s v=""/>
    <x v="2"/>
    <x v="0"/>
    <m/>
    <n v="0"/>
    <x v="0"/>
    <s v="…"/>
    <n v="890576536.83065879"/>
  </r>
  <r>
    <x v="0"/>
    <x v="130"/>
    <x v="130"/>
    <x v="6"/>
    <x v="0"/>
    <x v="0"/>
    <x v="0"/>
    <x v="0"/>
    <s v="Multi-Year"/>
    <x v="0"/>
    <s v="N/A"/>
    <s v=""/>
    <s v="Confirmed"/>
    <m/>
    <x v="0"/>
    <x v="0"/>
    <s v=""/>
    <x v="1"/>
    <x v="1"/>
    <m/>
    <n v="0"/>
    <x v="0"/>
    <s v=""/>
    <n v="14611129792.346064"/>
  </r>
  <r>
    <x v="0"/>
    <x v="131"/>
    <x v="131"/>
    <x v="6"/>
    <x v="0"/>
    <x v="0"/>
    <x v="0"/>
    <x v="0"/>
    <s v="Multi-Year"/>
    <x v="0"/>
    <s v="N/A"/>
    <s v=""/>
    <s v="Confirmed"/>
    <m/>
    <x v="0"/>
    <x v="0"/>
    <s v=""/>
    <x v="2"/>
    <x v="0"/>
    <m/>
    <n v="0"/>
    <x v="1"/>
    <s v="Low"/>
    <n v="72046877.233008593"/>
  </r>
  <r>
    <x v="0"/>
    <x v="132"/>
    <x v="132"/>
    <x v="5"/>
    <x v="0"/>
    <x v="0"/>
    <x v="0"/>
    <x v="0"/>
    <s v="Multi-Year"/>
    <x v="0"/>
    <s v="N/A"/>
    <n v="32500000"/>
    <s v="Confirmed"/>
    <m/>
    <x v="0"/>
    <x v="0"/>
    <s v="Approved"/>
    <x v="0"/>
    <x v="0"/>
    <m/>
    <n v="0"/>
    <x v="0"/>
    <s v="High"/>
    <n v="56248139.267255567"/>
  </r>
  <r>
    <x v="0"/>
    <x v="133"/>
    <x v="133"/>
    <x v="6"/>
    <x v="0"/>
    <x v="0"/>
    <x v="0"/>
    <x v="0"/>
    <s v="Multi-Year"/>
    <x v="0"/>
    <s v="N/A"/>
    <s v=""/>
    <s v="Confirmed"/>
    <m/>
    <x v="0"/>
    <x v="0"/>
    <s v=""/>
    <x v="1"/>
    <x v="0"/>
    <m/>
    <n v="0"/>
    <x v="1"/>
    <s v="High"/>
    <n v="15464031.712942109"/>
  </r>
  <r>
    <x v="0"/>
    <x v="134"/>
    <x v="134"/>
    <x v="4"/>
    <x v="0"/>
    <x v="0"/>
    <x v="0"/>
    <x v="0"/>
    <s v="Multi-Year"/>
    <x v="0"/>
    <s v="N/A"/>
    <s v=""/>
    <s v="Confirmed"/>
    <m/>
    <x v="0"/>
    <x v="0"/>
    <s v=""/>
    <x v="3"/>
    <x v="1"/>
    <m/>
    <n v="0"/>
    <x v="1"/>
    <s v="N/A"/>
    <n v="769564399.33249676"/>
  </r>
  <r>
    <x v="0"/>
    <x v="135"/>
    <x v="135"/>
    <x v="2"/>
    <x v="0"/>
    <x v="0"/>
    <x v="0"/>
    <x v="0"/>
    <s v="Multi-Year"/>
    <x v="0"/>
    <s v="N/A"/>
    <n v="83000000"/>
    <s v="Confirmed"/>
    <m/>
    <x v="0"/>
    <x v="0"/>
    <s v="Approved"/>
    <x v="2"/>
    <x v="0"/>
    <m/>
    <n v="0"/>
    <x v="0"/>
    <s v="N/A"/>
    <n v="1668954539.7630196"/>
  </r>
  <r>
    <x v="0"/>
    <x v="136"/>
    <x v="136"/>
    <x v="1"/>
    <x v="0"/>
    <x v="0"/>
    <x v="0"/>
    <x v="0"/>
    <s v="Multi-Year"/>
    <x v="0"/>
    <s v="N/A"/>
    <s v=""/>
    <s v="Confirmed"/>
    <m/>
    <x v="0"/>
    <x v="0"/>
    <s v=""/>
    <x v="1"/>
    <x v="1"/>
    <m/>
    <n v="0"/>
    <x v="0"/>
    <s v=""/>
    <n v="24840920016.18832"/>
  </r>
  <r>
    <x v="0"/>
    <x v="137"/>
    <x v="137"/>
    <x v="1"/>
    <x v="0"/>
    <x v="0"/>
    <x v="0"/>
    <x v="0"/>
    <s v="Multi-Year"/>
    <x v="0"/>
    <s v="N/A"/>
    <n v="0"/>
    <s v="Confirmed"/>
    <m/>
    <x v="0"/>
    <x v="0"/>
    <s v="Ineligible"/>
    <x v="1"/>
    <x v="1"/>
    <m/>
    <n v="0"/>
    <x v="0"/>
    <s v="N/A"/>
    <n v="487888462.83720118"/>
  </r>
  <r>
    <x v="0"/>
    <x v="138"/>
    <x v="138"/>
    <x v="6"/>
    <x v="0"/>
    <x v="0"/>
    <x v="0"/>
    <x v="0"/>
    <s v="Multi-Year"/>
    <x v="0"/>
    <s v="N/A"/>
    <s v=""/>
    <s v="Confirmed"/>
    <m/>
    <x v="0"/>
    <x v="0"/>
    <s v=""/>
    <x v="1"/>
    <x v="0"/>
    <m/>
    <n v="0"/>
    <x v="1"/>
    <s v="…"/>
    <n v="6365061.1736073596"/>
  </r>
  <r>
    <x v="0"/>
    <x v="139"/>
    <x v="139"/>
    <x v="3"/>
    <x v="0"/>
    <x v="0"/>
    <x v="0"/>
    <x v="0"/>
    <s v="Multi-Year"/>
    <x v="0"/>
    <s v="N/A"/>
    <n v="117000000"/>
    <s v="Confirmed"/>
    <m/>
    <x v="0"/>
    <x v="0"/>
    <s v="Approved"/>
    <x v="0"/>
    <x v="0"/>
    <m/>
    <n v="2"/>
    <x v="0"/>
    <s v="Low"/>
    <n v="291799092.90196139"/>
  </r>
  <r>
    <x v="0"/>
    <x v="140"/>
    <x v="140"/>
    <x v="1"/>
    <x v="0"/>
    <x v="0"/>
    <x v="0"/>
    <x v="0"/>
    <s v="Multi-Year"/>
    <x v="0"/>
    <s v="N/A"/>
    <n v="150000000"/>
    <s v="Confirmed"/>
    <m/>
    <x v="0"/>
    <x v="0"/>
    <s v="Approved"/>
    <x v="2"/>
    <x v="0"/>
    <m/>
    <n v="0"/>
    <x v="0"/>
    <s v="N/A"/>
    <n v="4844815340.2135534"/>
  </r>
  <r>
    <x v="0"/>
    <x v="141"/>
    <x v="141"/>
    <x v="4"/>
    <x v="0"/>
    <x v="0"/>
    <x v="0"/>
    <x v="0"/>
    <s v="Multi-Year"/>
    <x v="0"/>
    <s v="N/A"/>
    <s v=""/>
    <s v="Confirmed"/>
    <m/>
    <x v="0"/>
    <x v="0"/>
    <s v=""/>
    <x v="3"/>
    <x v="1"/>
    <m/>
    <n v="0"/>
    <x v="0"/>
    <s v=""/>
    <n v="4001891446.6871672"/>
  </r>
  <r>
    <x v="0"/>
    <x v="142"/>
    <x v="142"/>
    <x v="1"/>
    <x v="0"/>
    <x v="0"/>
    <x v="0"/>
    <x v="0"/>
    <s v="Multi-Year"/>
    <x v="0"/>
    <s v="N/A"/>
    <s v=""/>
    <s v="Confirmed"/>
    <m/>
    <x v="0"/>
    <x v="0"/>
    <s v=""/>
    <x v="2"/>
    <x v="0"/>
    <m/>
    <n v="0"/>
    <x v="0"/>
    <s v="Low"/>
    <n v="1019800630.5853213"/>
  </r>
  <r>
    <x v="0"/>
    <x v="143"/>
    <x v="143"/>
    <x v="6"/>
    <x v="0"/>
    <x v="0"/>
    <x v="0"/>
    <x v="0"/>
    <s v="Multi-Year"/>
    <x v="0"/>
    <s v="N/A"/>
    <s v=""/>
    <s v="Confirmed"/>
    <m/>
    <x v="0"/>
    <x v="0"/>
    <s v=""/>
    <x v="2"/>
    <x v="0"/>
    <m/>
    <n v="0"/>
    <x v="1"/>
    <s v="Moderate"/>
    <n v="19578671.310841195"/>
  </r>
  <r>
    <x v="0"/>
    <x v="144"/>
    <x v="144"/>
    <x v="4"/>
    <x v="0"/>
    <x v="0"/>
    <x v="0"/>
    <x v="0"/>
    <s v="Multi-Year"/>
    <x v="0"/>
    <s v="N/A"/>
    <s v=""/>
    <s v="Confirmed"/>
    <m/>
    <x v="0"/>
    <x v="0"/>
    <s v=""/>
    <x v="4"/>
    <x v="1"/>
    <m/>
    <n v="0"/>
    <x v="0"/>
    <s v="N/A"/>
    <n v="3551452001.0684834"/>
  </r>
  <r>
    <x v="0"/>
    <x v="145"/>
    <x v="145"/>
    <x v="6"/>
    <x v="0"/>
    <x v="0"/>
    <x v="0"/>
    <x v="0"/>
    <s v="Multi-Year"/>
    <x v="0"/>
    <s v="N/A"/>
    <s v=""/>
    <s v="Confirmed"/>
    <m/>
    <x v="0"/>
    <x v="0"/>
    <s v=""/>
    <x v="2"/>
    <x v="0"/>
    <m/>
    <n v="0"/>
    <x v="0"/>
    <s v="N/A"/>
    <n v="6603048821.7575006"/>
  </r>
  <r>
    <x v="0"/>
    <x v="146"/>
    <x v="146"/>
    <x v="2"/>
    <x v="0"/>
    <x v="0"/>
    <x v="0"/>
    <x v="0"/>
    <s v="Multi-Year"/>
    <x v="0"/>
    <s v="N/A"/>
    <n v="0"/>
    <s v="Confirmed"/>
    <m/>
    <x v="0"/>
    <x v="0"/>
    <s v="Approved"/>
    <x v="0"/>
    <x v="0"/>
    <m/>
    <n v="1"/>
    <x v="0"/>
    <s v="…"/>
    <s v=""/>
  </r>
  <r>
    <x v="0"/>
    <x v="147"/>
    <x v="147"/>
    <x v="3"/>
    <x v="0"/>
    <x v="0"/>
    <x v="0"/>
    <x v="0"/>
    <s v="Multi-Year"/>
    <x v="0"/>
    <s v="N/A"/>
    <n v="9200000"/>
    <s v="Confirmed"/>
    <m/>
    <x v="0"/>
    <x v="0"/>
    <s v="Approved"/>
    <x v="2"/>
    <x v="0"/>
    <m/>
    <n v="0"/>
    <x v="0"/>
    <s v="High"/>
    <n v="515352723.9821828"/>
  </r>
  <r>
    <x v="0"/>
    <x v="148"/>
    <x v="148"/>
    <x v="3"/>
    <x v="0"/>
    <x v="0"/>
    <x v="0"/>
    <x v="0"/>
    <s v="Multi-Year"/>
    <x v="0"/>
    <s v="N/A"/>
    <n v="0"/>
    <s v="Confirmed"/>
    <m/>
    <x v="0"/>
    <x v="0"/>
    <s v="Under Preparation"/>
    <x v="2"/>
    <x v="0"/>
    <m/>
    <n v="0"/>
    <x v="0"/>
    <s v="N/A"/>
    <n v="566711742.22428358"/>
  </r>
  <r>
    <x v="0"/>
    <x v="0"/>
    <x v="0"/>
    <x v="0"/>
    <x v="0"/>
    <x v="0"/>
    <x v="0"/>
    <x v="0"/>
    <s v="Multi-Year"/>
    <x v="1"/>
    <s v="N/A"/>
    <n v="33600000"/>
    <s v="Confirmed"/>
    <m/>
    <x v="0"/>
    <x v="0"/>
    <s v="Approved"/>
    <x v="0"/>
    <x v="0"/>
    <m/>
    <n v="1"/>
    <x v="0"/>
    <s v="High"/>
    <n v="95829480.719269618"/>
  </r>
  <r>
    <x v="0"/>
    <x v="1"/>
    <x v="1"/>
    <x v="1"/>
    <x v="0"/>
    <x v="0"/>
    <x v="0"/>
    <x v="0"/>
    <s v="Multi-Year"/>
    <x v="1"/>
    <s v="N/A"/>
    <s v=""/>
    <s v="Confirmed"/>
    <m/>
    <x v="0"/>
    <x v="0"/>
    <s v=""/>
    <x v="1"/>
    <x v="1"/>
    <m/>
    <n v="0"/>
    <x v="0"/>
    <s v=""/>
    <n v="427904035.52443534"/>
  </r>
  <r>
    <x v="0"/>
    <x v="2"/>
    <x v="2"/>
    <x v="2"/>
    <x v="0"/>
    <x v="0"/>
    <x v="0"/>
    <x v="0"/>
    <s v="Multi-Year"/>
    <x v="1"/>
    <s v="N/A"/>
    <s v=""/>
    <s v="Confirmed"/>
    <m/>
    <x v="0"/>
    <x v="0"/>
    <s v=""/>
    <x v="2"/>
    <x v="0"/>
    <m/>
    <n v="0"/>
    <x v="0"/>
    <s v="N/A"/>
    <n v="7113361022.7267885"/>
  </r>
  <r>
    <x v="0"/>
    <x v="3"/>
    <x v="3"/>
    <x v="3"/>
    <x v="0"/>
    <x v="0"/>
    <x v="0"/>
    <x v="0"/>
    <s v="Multi-Year"/>
    <x v="1"/>
    <s v="N/A"/>
    <n v="43000000"/>
    <s v="Confirmed"/>
    <m/>
    <x v="0"/>
    <x v="0"/>
    <s v="Approved"/>
    <x v="2"/>
    <x v="0"/>
    <m/>
    <n v="0"/>
    <x v="0"/>
    <s v="…"/>
    <n v="1131865946.5875781"/>
  </r>
  <r>
    <x v="0"/>
    <x v="4"/>
    <x v="4"/>
    <x v="4"/>
    <x v="0"/>
    <x v="0"/>
    <x v="0"/>
    <x v="0"/>
    <s v="Multi-Year"/>
    <x v="1"/>
    <s v="N/A"/>
    <s v=""/>
    <s v="Confirmed"/>
    <m/>
    <x v="0"/>
    <x v="0"/>
    <s v=""/>
    <x v="3"/>
    <x v="1"/>
    <m/>
    <n v="0"/>
    <x v="1"/>
    <s v=""/>
    <n v="46777779.823447868"/>
  </r>
  <r>
    <x v="0"/>
    <x v="5"/>
    <x v="5"/>
    <x v="4"/>
    <x v="0"/>
    <x v="0"/>
    <x v="0"/>
    <x v="0"/>
    <s v="Multi-Year"/>
    <x v="1"/>
    <s v="N/A"/>
    <n v="1000000"/>
    <s v="Confirmed"/>
    <m/>
    <x v="0"/>
    <x v="0"/>
    <s v="Approved"/>
    <x v="1"/>
    <x v="1"/>
    <m/>
    <n v="0"/>
    <x v="0"/>
    <s v=""/>
    <n v="30725305777.596794"/>
  </r>
  <r>
    <x v="0"/>
    <x v="6"/>
    <x v="6"/>
    <x v="1"/>
    <x v="0"/>
    <x v="0"/>
    <x v="0"/>
    <x v="0"/>
    <s v="Multi-Year"/>
    <x v="1"/>
    <s v="N/A"/>
    <s v=""/>
    <s v="Confirmed"/>
    <m/>
    <x v="0"/>
    <x v="0"/>
    <s v=""/>
    <x v="1"/>
    <x v="1"/>
    <m/>
    <n v="0"/>
    <x v="0"/>
    <s v=""/>
    <n v="153815827.8380394"/>
  </r>
  <r>
    <x v="0"/>
    <x v="7"/>
    <x v="7"/>
    <x v="1"/>
    <x v="0"/>
    <x v="0"/>
    <x v="0"/>
    <x v="0"/>
    <s v="Multi-Year"/>
    <x v="1"/>
    <s v="N/A"/>
    <n v="0"/>
    <s v="Confirmed"/>
    <m/>
    <x v="0"/>
    <x v="0"/>
    <s v=""/>
    <x v="1"/>
    <x v="1"/>
    <m/>
    <n v="0"/>
    <x v="0"/>
    <s v="N/A"/>
    <n v="437525105.31216973"/>
  </r>
  <r>
    <x v="0"/>
    <x v="8"/>
    <x v="8"/>
    <x v="4"/>
    <x v="0"/>
    <x v="0"/>
    <x v="0"/>
    <x v="0"/>
    <s v="Multi-Year"/>
    <x v="1"/>
    <s v="N/A"/>
    <s v=""/>
    <s v="Confirmed"/>
    <m/>
    <x v="0"/>
    <x v="0"/>
    <s v=""/>
    <x v="3"/>
    <x v="1"/>
    <m/>
    <n v="0"/>
    <x v="1"/>
    <s v=""/>
    <n v="149463302.00602186"/>
  </r>
  <r>
    <x v="0"/>
    <x v="9"/>
    <x v="9"/>
    <x v="0"/>
    <x v="0"/>
    <x v="0"/>
    <x v="0"/>
    <x v="0"/>
    <s v="Multi-Year"/>
    <x v="1"/>
    <s v="N/A"/>
    <n v="87700000"/>
    <s v="Confirmed"/>
    <m/>
    <x v="0"/>
    <x v="0"/>
    <s v="Approved"/>
    <x v="2"/>
    <x v="0"/>
    <m/>
    <n v="0"/>
    <x v="0"/>
    <s v="Low"/>
    <n v="1148322593.9600098"/>
  </r>
  <r>
    <x v="0"/>
    <x v="10"/>
    <x v="10"/>
    <x v="1"/>
    <x v="0"/>
    <x v="0"/>
    <x v="0"/>
    <x v="0"/>
    <s v="Multi-Year"/>
    <x v="1"/>
    <s v="N/A"/>
    <s v=""/>
    <s v="Confirmed"/>
    <m/>
    <x v="0"/>
    <x v="0"/>
    <s v=""/>
    <x v="1"/>
    <x v="1"/>
    <m/>
    <n v="0"/>
    <x v="0"/>
    <s v=""/>
    <n v="2371102058.1093163"/>
  </r>
  <r>
    <x v="0"/>
    <x v="11"/>
    <x v="11"/>
    <x v="4"/>
    <x v="0"/>
    <x v="0"/>
    <x v="0"/>
    <x v="0"/>
    <s v="Multi-Year"/>
    <x v="1"/>
    <s v="N/A"/>
    <s v=""/>
    <s v="Confirmed"/>
    <m/>
    <x v="0"/>
    <x v="0"/>
    <s v=""/>
    <x v="2"/>
    <x v="1"/>
    <m/>
    <n v="0"/>
    <x v="1"/>
    <s v="N/A"/>
    <n v="75151620.005215243"/>
  </r>
  <r>
    <x v="0"/>
    <x v="12"/>
    <x v="12"/>
    <x v="5"/>
    <x v="0"/>
    <x v="0"/>
    <x v="0"/>
    <x v="0"/>
    <s v="Multi-Year"/>
    <x v="1"/>
    <s v="N/A"/>
    <n v="5000000"/>
    <s v="Confirmed"/>
    <m/>
    <x v="0"/>
    <x v="0"/>
    <s v="Approved"/>
    <x v="2"/>
    <x v="0"/>
    <m/>
    <n v="0"/>
    <x v="0"/>
    <s v="Moderate"/>
    <n v="69958487.197715744"/>
  </r>
  <r>
    <x v="0"/>
    <x v="13"/>
    <x v="13"/>
    <x v="0"/>
    <x v="0"/>
    <x v="0"/>
    <x v="0"/>
    <x v="0"/>
    <s v="Multi-Year"/>
    <x v="1"/>
    <s v="N/A"/>
    <n v="0"/>
    <s v="Confirmed"/>
    <m/>
    <x v="0"/>
    <x v="0"/>
    <s v="Approved"/>
    <x v="2"/>
    <x v="0"/>
    <m/>
    <n v="0"/>
    <x v="0"/>
    <s v="…"/>
    <n v="61654608.560629159"/>
  </r>
  <r>
    <x v="0"/>
    <x v="14"/>
    <x v="14"/>
    <x v="4"/>
    <x v="0"/>
    <x v="0"/>
    <x v="0"/>
    <x v="0"/>
    <s v="Multi-Year"/>
    <x v="1"/>
    <s v="N/A"/>
    <n v="0"/>
    <s v="Confirmed"/>
    <m/>
    <x v="0"/>
    <x v="0"/>
    <s v=""/>
    <x v="2"/>
    <x v="0"/>
    <m/>
    <n v="0"/>
    <x v="0"/>
    <s v="N/A"/>
    <n v="1806638707.7615163"/>
  </r>
  <r>
    <x v="0"/>
    <x v="15"/>
    <x v="15"/>
    <x v="1"/>
    <x v="0"/>
    <x v="0"/>
    <x v="0"/>
    <x v="0"/>
    <s v="Multi-Year"/>
    <x v="1"/>
    <s v="N/A"/>
    <s v=""/>
    <s v="Confirmed"/>
    <m/>
    <x v="0"/>
    <x v="0"/>
    <s v=""/>
    <x v="1"/>
    <x v="1"/>
    <m/>
    <n v="0"/>
    <x v="0"/>
    <s v="N/A"/>
    <n v="1252696525.0627904"/>
  </r>
  <r>
    <x v="0"/>
    <x v="16"/>
    <x v="16"/>
    <x v="3"/>
    <x v="0"/>
    <x v="0"/>
    <x v="0"/>
    <x v="0"/>
    <s v="Multi-Year"/>
    <x v="1"/>
    <s v="N/A"/>
    <s v=""/>
    <s v="Confirmed"/>
    <m/>
    <x v="0"/>
    <x v="0"/>
    <s v=""/>
    <x v="1"/>
    <x v="1"/>
    <m/>
    <n v="0"/>
    <x v="0"/>
    <s v=""/>
    <n v="843425084.07334602"/>
  </r>
  <r>
    <x v="0"/>
    <x v="17"/>
    <x v="17"/>
    <x v="4"/>
    <x v="0"/>
    <x v="0"/>
    <x v="0"/>
    <x v="0"/>
    <s v="Multi-Year"/>
    <x v="1"/>
    <s v="N/A"/>
    <s v=""/>
    <s v="Confirmed"/>
    <m/>
    <x v="0"/>
    <x v="0"/>
    <s v=""/>
    <x v="1"/>
    <x v="1"/>
    <m/>
    <n v="0"/>
    <x v="0"/>
    <s v="N/A"/>
    <n v="74055620038.853683"/>
  </r>
  <r>
    <x v="0"/>
    <x v="18"/>
    <x v="18"/>
    <x v="1"/>
    <x v="0"/>
    <x v="0"/>
    <x v="0"/>
    <x v="0"/>
    <s v="Multi-Year"/>
    <x v="1"/>
    <s v="N/A"/>
    <s v=""/>
    <s v="Confirmed"/>
    <m/>
    <x v="0"/>
    <x v="0"/>
    <s v=""/>
    <x v="1"/>
    <x v="1"/>
    <m/>
    <n v="0"/>
    <x v="0"/>
    <s v=""/>
    <n v="2803357765.5888777"/>
  </r>
  <r>
    <x v="0"/>
    <x v="19"/>
    <x v="19"/>
    <x v="5"/>
    <x v="0"/>
    <x v="0"/>
    <x v="0"/>
    <x v="0"/>
    <s v="Multi-Year"/>
    <x v="1"/>
    <s v="N/A"/>
    <s v=""/>
    <s v="Confirmed"/>
    <m/>
    <x v="0"/>
    <x v="0"/>
    <s v=""/>
    <x v="0"/>
    <x v="0"/>
    <m/>
    <n v="2"/>
    <x v="0"/>
    <s v="Moderate"/>
    <n v="337927779.25510043"/>
  </r>
  <r>
    <x v="0"/>
    <x v="20"/>
    <x v="20"/>
    <x v="3"/>
    <x v="0"/>
    <x v="0"/>
    <x v="0"/>
    <x v="0"/>
    <s v="Multi-Year"/>
    <x v="1"/>
    <s v="N/A"/>
    <n v="17800000"/>
    <s v="Confirmed"/>
    <m/>
    <x v="0"/>
    <x v="0"/>
    <s v="Approved"/>
    <x v="0"/>
    <x v="0"/>
    <m/>
    <n v="2"/>
    <x v="0"/>
    <s v="…"/>
    <n v="65979512.47399316"/>
  </r>
  <r>
    <x v="0"/>
    <x v="21"/>
    <x v="21"/>
    <x v="5"/>
    <x v="0"/>
    <x v="0"/>
    <x v="0"/>
    <x v="0"/>
    <s v="Multi-Year"/>
    <x v="1"/>
    <s v="N/A"/>
    <n v="4700000"/>
    <s v="Confirmed"/>
    <m/>
    <x v="0"/>
    <x v="0"/>
    <s v="Approved"/>
    <x v="2"/>
    <x v="0"/>
    <m/>
    <n v="0"/>
    <x v="1"/>
    <s v="High"/>
    <n v="63748362.778827004"/>
  </r>
  <r>
    <x v="0"/>
    <x v="22"/>
    <x v="22"/>
    <x v="6"/>
    <x v="0"/>
    <x v="0"/>
    <x v="0"/>
    <x v="0"/>
    <s v="Multi-Year"/>
    <x v="1"/>
    <s v="N/A"/>
    <n v="3500000"/>
    <s v="Confirmed"/>
    <m/>
    <x v="0"/>
    <x v="0"/>
    <s v="Approved"/>
    <x v="2"/>
    <x v="0"/>
    <m/>
    <n v="0"/>
    <x v="0"/>
    <s v="Low"/>
    <n v="313039649.45369786"/>
  </r>
  <r>
    <x v="0"/>
    <x v="23"/>
    <x v="23"/>
    <x v="5"/>
    <x v="0"/>
    <x v="0"/>
    <x v="0"/>
    <x v="0"/>
    <s v="Multi-Year"/>
    <x v="1"/>
    <s v="N/A"/>
    <n v="18000000"/>
    <s v="Confirmed"/>
    <m/>
    <x v="0"/>
    <x v="0"/>
    <s v="Approved"/>
    <x v="2"/>
    <x v="0"/>
    <m/>
    <n v="2"/>
    <x v="0"/>
    <s v="High"/>
    <n v="81361801.477472037"/>
  </r>
  <r>
    <x v="0"/>
    <x v="24"/>
    <x v="24"/>
    <x v="5"/>
    <x v="0"/>
    <x v="0"/>
    <x v="0"/>
    <x v="0"/>
    <s v="Multi-Year"/>
    <x v="1"/>
    <s v="N/A"/>
    <s v=""/>
    <s v="Confirmed"/>
    <m/>
    <x v="0"/>
    <x v="0"/>
    <s v=""/>
    <x v="0"/>
    <x v="0"/>
    <m/>
    <n v="1"/>
    <x v="0"/>
    <s v="High"/>
    <s v=""/>
  </r>
  <r>
    <x v="0"/>
    <x v="25"/>
    <x v="25"/>
    <x v="5"/>
    <x v="0"/>
    <x v="0"/>
    <x v="0"/>
    <x v="0"/>
    <s v="Multi-Year"/>
    <x v="1"/>
    <s v="N/A"/>
    <n v="9000000"/>
    <s v="Confirmed"/>
    <m/>
    <x v="0"/>
    <x v="0"/>
    <s v="Approved"/>
    <x v="0"/>
    <x v="0"/>
    <m/>
    <n v="1"/>
    <x v="0"/>
    <s v="High"/>
    <n v="76939306.715636879"/>
  </r>
  <r>
    <x v="0"/>
    <x v="26"/>
    <x v="26"/>
    <x v="4"/>
    <x v="0"/>
    <x v="0"/>
    <x v="0"/>
    <x v="0"/>
    <s v="Multi-Year"/>
    <x v="1"/>
    <s v="N/A"/>
    <s v=""/>
    <s v="Confirmed"/>
    <m/>
    <x v="0"/>
    <x v="0"/>
    <s v=""/>
    <x v="3"/>
    <x v="1"/>
    <m/>
    <n v="0"/>
    <x v="0"/>
    <s v=""/>
    <n v="13859708717.682571"/>
  </r>
  <r>
    <x v="0"/>
    <x v="27"/>
    <x v="27"/>
    <x v="6"/>
    <x v="0"/>
    <x v="0"/>
    <x v="0"/>
    <x v="0"/>
    <s v="Multi-Year"/>
    <x v="1"/>
    <s v="N/A"/>
    <s v=""/>
    <s v="Confirmed"/>
    <m/>
    <x v="0"/>
    <x v="0"/>
    <s v=""/>
    <x v="1"/>
    <x v="1"/>
    <m/>
    <n v="0"/>
    <x v="0"/>
    <s v=""/>
    <n v="403567160707.7016"/>
  </r>
  <r>
    <x v="0"/>
    <x v="28"/>
    <x v="28"/>
    <x v="4"/>
    <x v="0"/>
    <x v="0"/>
    <x v="0"/>
    <x v="0"/>
    <s v="Multi-Year"/>
    <x v="1"/>
    <s v="N/A"/>
    <s v=""/>
    <s v="Confirmed"/>
    <m/>
    <x v="0"/>
    <x v="0"/>
    <s v=""/>
    <x v="1"/>
    <x v="1"/>
    <m/>
    <n v="0"/>
    <x v="0"/>
    <s v=""/>
    <n v="18250225995.972618"/>
  </r>
  <r>
    <x v="0"/>
    <x v="29"/>
    <x v="29"/>
    <x v="3"/>
    <x v="0"/>
    <x v="0"/>
    <x v="0"/>
    <x v="0"/>
    <s v="Multi-Year"/>
    <x v="1"/>
    <s v="N/A"/>
    <n v="12800000"/>
    <s v="Confirmed"/>
    <m/>
    <x v="0"/>
    <x v="0"/>
    <s v="Approved"/>
    <x v="2"/>
    <x v="0"/>
    <m/>
    <n v="0"/>
    <x v="1"/>
    <s v="Moderate"/>
    <n v="5027591.1682657599"/>
  </r>
  <r>
    <x v="0"/>
    <x v="30"/>
    <x v="30"/>
    <x v="5"/>
    <x v="0"/>
    <x v="0"/>
    <x v="0"/>
    <x v="0"/>
    <s v="Multi-Year"/>
    <x v="1"/>
    <s v="N/A"/>
    <n v="50000000"/>
    <s v="Confirmed"/>
    <m/>
    <x v="0"/>
    <x v="0"/>
    <s v="Approved"/>
    <x v="0"/>
    <x v="0"/>
    <m/>
    <n v="3"/>
    <x v="0"/>
    <s v="Moderate"/>
    <n v="234645958.63289919"/>
  </r>
  <r>
    <x v="0"/>
    <x v="31"/>
    <x v="31"/>
    <x v="5"/>
    <x v="0"/>
    <x v="0"/>
    <x v="0"/>
    <x v="0"/>
    <s v="Multi-Year"/>
    <x v="1"/>
    <s v="N/A"/>
    <n v="3000000"/>
    <s v="Confirmed"/>
    <m/>
    <x v="0"/>
    <x v="0"/>
    <s v="Approved"/>
    <x v="2"/>
    <x v="0"/>
    <m/>
    <n v="2"/>
    <x v="0"/>
    <s v="In distress"/>
    <n v="91590910.247314155"/>
  </r>
  <r>
    <x v="0"/>
    <x v="32"/>
    <x v="32"/>
    <x v="6"/>
    <x v="0"/>
    <x v="0"/>
    <x v="0"/>
    <x v="0"/>
    <s v="Multi-Year"/>
    <x v="1"/>
    <s v="N/A"/>
    <s v=""/>
    <s v="Confirmed"/>
    <m/>
    <x v="0"/>
    <x v="0"/>
    <s v=""/>
    <x v="4"/>
    <x v="1"/>
    <m/>
    <n v="0"/>
    <x v="1"/>
    <s v="N/A"/>
    <n v="8560012.8840167802"/>
  </r>
  <r>
    <x v="0"/>
    <x v="33"/>
    <x v="33"/>
    <x v="4"/>
    <x v="0"/>
    <x v="0"/>
    <x v="0"/>
    <x v="0"/>
    <s v="Multi-Year"/>
    <x v="1"/>
    <s v="N/A"/>
    <s v=""/>
    <s v="Confirmed"/>
    <m/>
    <x v="0"/>
    <x v="0"/>
    <s v=""/>
    <x v="1"/>
    <x v="1"/>
    <m/>
    <n v="0"/>
    <x v="0"/>
    <s v="N/A"/>
    <n v="3292372960.3962669"/>
  </r>
  <r>
    <x v="0"/>
    <x v="34"/>
    <x v="34"/>
    <x v="5"/>
    <x v="0"/>
    <x v="0"/>
    <x v="0"/>
    <x v="0"/>
    <s v="Multi-Year"/>
    <x v="1"/>
    <s v="N/A"/>
    <n v="31900000"/>
    <s v="Confirmed"/>
    <m/>
    <x v="0"/>
    <x v="0"/>
    <s v="Approved"/>
    <x v="2"/>
    <x v="0"/>
    <m/>
    <n v="0"/>
    <x v="0"/>
    <s v="Moderate"/>
    <n v="519209981.22981054"/>
  </r>
  <r>
    <x v="0"/>
    <x v="35"/>
    <x v="35"/>
    <x v="1"/>
    <x v="0"/>
    <x v="0"/>
    <x v="0"/>
    <x v="0"/>
    <s v="Multi-Year"/>
    <x v="1"/>
    <s v="N/A"/>
    <s v=""/>
    <s v="Confirmed"/>
    <m/>
    <x v="0"/>
    <x v="0"/>
    <s v=""/>
    <x v="3"/>
    <x v="1"/>
    <m/>
    <n v="0"/>
    <x v="0"/>
    <s v=""/>
    <n v="3464739907.1604805"/>
  </r>
  <r>
    <x v="0"/>
    <x v="36"/>
    <x v="36"/>
    <x v="4"/>
    <x v="0"/>
    <x v="0"/>
    <x v="0"/>
    <x v="0"/>
    <s v="Multi-Year"/>
    <x v="1"/>
    <s v="N/A"/>
    <s v=""/>
    <s v="Confirmed"/>
    <m/>
    <x v="0"/>
    <x v="0"/>
    <s v=""/>
    <x v="1"/>
    <x v="1"/>
    <m/>
    <n v="0"/>
    <x v="1"/>
    <s v=""/>
    <n v="9948521252.2569065"/>
  </r>
  <r>
    <x v="0"/>
    <x v="37"/>
    <x v="37"/>
    <x v="2"/>
    <x v="0"/>
    <x v="0"/>
    <x v="0"/>
    <x v="0"/>
    <s v="Multi-Year"/>
    <x v="1"/>
    <s v="N/A"/>
    <s v=""/>
    <s v="Confirmed"/>
    <m/>
    <x v="0"/>
    <x v="0"/>
    <s v=""/>
    <x v="2"/>
    <x v="0"/>
    <m/>
    <n v="1"/>
    <x v="0"/>
    <s v="High"/>
    <n v="33679192.765657313"/>
  </r>
  <r>
    <x v="0"/>
    <x v="38"/>
    <x v="38"/>
    <x v="4"/>
    <x v="0"/>
    <x v="0"/>
    <x v="0"/>
    <x v="0"/>
    <s v="Multi-Year"/>
    <x v="1"/>
    <s v="N/A"/>
    <s v=""/>
    <s v="Confirmed"/>
    <m/>
    <x v="0"/>
    <x v="0"/>
    <s v=""/>
    <x v="1"/>
    <x v="0"/>
    <m/>
    <n v="0"/>
    <x v="1"/>
    <s v="…"/>
    <n v="22784494.365742501"/>
  </r>
  <r>
    <x v="0"/>
    <x v="39"/>
    <x v="39"/>
    <x v="4"/>
    <x v="0"/>
    <x v="0"/>
    <x v="0"/>
    <x v="0"/>
    <s v="Multi-Year"/>
    <x v="1"/>
    <s v="N/A"/>
    <s v=""/>
    <s v="Confirmed"/>
    <m/>
    <x v="0"/>
    <x v="0"/>
    <s v=""/>
    <x v="1"/>
    <x v="1"/>
    <m/>
    <n v="0"/>
    <x v="1"/>
    <s v=""/>
    <n v="2173208011.4858823"/>
  </r>
  <r>
    <x v="0"/>
    <x v="40"/>
    <x v="40"/>
    <x v="4"/>
    <x v="0"/>
    <x v="0"/>
    <x v="0"/>
    <x v="0"/>
    <s v="Multi-Year"/>
    <x v="1"/>
    <s v="N/A"/>
    <n v="30100000"/>
    <s v="Confirmed"/>
    <m/>
    <x v="0"/>
    <x v="0"/>
    <s v="Approved"/>
    <x v="1"/>
    <x v="1"/>
    <m/>
    <n v="0"/>
    <x v="0"/>
    <s v="N/A"/>
    <n v="4585736158.8323269"/>
  </r>
  <r>
    <x v="0"/>
    <x v="41"/>
    <x v="41"/>
    <x v="2"/>
    <x v="0"/>
    <x v="0"/>
    <x v="0"/>
    <x v="0"/>
    <s v="Multi-Year"/>
    <x v="1"/>
    <s v="N/A"/>
    <n v="0"/>
    <s v="Confirmed"/>
    <m/>
    <x v="0"/>
    <x v="0"/>
    <s v=""/>
    <x v="2"/>
    <x v="0"/>
    <m/>
    <n v="0"/>
    <x v="0"/>
    <s v="N/A"/>
    <n v="3550291584.8645592"/>
  </r>
  <r>
    <x v="0"/>
    <x v="42"/>
    <x v="42"/>
    <x v="4"/>
    <x v="0"/>
    <x v="0"/>
    <x v="0"/>
    <x v="0"/>
    <s v="Multi-Year"/>
    <x v="1"/>
    <s v="N/A"/>
    <n v="26000000"/>
    <s v="Confirmed"/>
    <m/>
    <x v="0"/>
    <x v="0"/>
    <s v="Approved"/>
    <x v="2"/>
    <x v="0"/>
    <m/>
    <n v="0"/>
    <x v="0"/>
    <s v="N/A"/>
    <n v="1182840319.0410969"/>
  </r>
  <r>
    <x v="0"/>
    <x v="43"/>
    <x v="43"/>
    <x v="4"/>
    <x v="0"/>
    <x v="0"/>
    <x v="0"/>
    <x v="0"/>
    <s v="Multi-Year"/>
    <x v="1"/>
    <s v="N/A"/>
    <s v=""/>
    <s v="Confirmed"/>
    <m/>
    <x v="0"/>
    <x v="0"/>
    <s v=""/>
    <x v="1"/>
    <x v="1"/>
    <m/>
    <n v="0"/>
    <x v="0"/>
    <s v=""/>
    <n v="81728347.604567245"/>
  </r>
  <r>
    <x v="0"/>
    <x v="44"/>
    <x v="44"/>
    <x v="3"/>
    <x v="0"/>
    <x v="0"/>
    <x v="0"/>
    <x v="0"/>
    <s v="Multi-Year"/>
    <x v="1"/>
    <s v="N/A"/>
    <s v=""/>
    <s v="Confirmed"/>
    <m/>
    <x v="0"/>
    <x v="0"/>
    <s v=""/>
    <x v="0"/>
    <x v="0"/>
    <m/>
    <n v="2"/>
    <x v="0"/>
    <s v="N/A"/>
    <n v="12787914.977715338"/>
  </r>
  <r>
    <x v="0"/>
    <x v="45"/>
    <x v="45"/>
    <x v="3"/>
    <x v="0"/>
    <x v="0"/>
    <x v="0"/>
    <x v="0"/>
    <s v="Multi-Year"/>
    <x v="1"/>
    <s v="N/A"/>
    <n v="3700000"/>
    <s v="Confirmed"/>
    <m/>
    <x v="0"/>
    <x v="0"/>
    <s v="Approved"/>
    <x v="2"/>
    <x v="0"/>
    <m/>
    <n v="2"/>
    <x v="0"/>
    <s v="N/A"/>
    <n v="101271737.65410839"/>
  </r>
  <r>
    <x v="0"/>
    <x v="46"/>
    <x v="46"/>
    <x v="3"/>
    <x v="0"/>
    <x v="0"/>
    <x v="0"/>
    <x v="0"/>
    <s v="Multi-Year"/>
    <x v="1"/>
    <s v="N/A"/>
    <n v="167200000"/>
    <s v="Confirmed"/>
    <m/>
    <x v="0"/>
    <x v="0"/>
    <s v="Approved"/>
    <x v="0"/>
    <x v="0"/>
    <m/>
    <n v="3"/>
    <x v="0"/>
    <s v="High"/>
    <n v="618344226.71759331"/>
  </r>
  <r>
    <x v="0"/>
    <x v="47"/>
    <x v="47"/>
    <x v="6"/>
    <x v="0"/>
    <x v="0"/>
    <x v="0"/>
    <x v="0"/>
    <s v="Multi-Year"/>
    <x v="1"/>
    <s v="N/A"/>
    <s v=""/>
    <s v="Confirmed"/>
    <m/>
    <x v="0"/>
    <x v="0"/>
    <s v=""/>
    <x v="1"/>
    <x v="0"/>
    <m/>
    <n v="0"/>
    <x v="1"/>
    <s v="…"/>
    <n v="129483872.95906857"/>
  </r>
  <r>
    <x v="0"/>
    <x v="48"/>
    <x v="48"/>
    <x v="5"/>
    <x v="0"/>
    <x v="0"/>
    <x v="0"/>
    <x v="0"/>
    <s v="Multi-Year"/>
    <x v="1"/>
    <s v="N/A"/>
    <n v="2900000"/>
    <s v="Confirmed"/>
    <m/>
    <x v="0"/>
    <x v="0"/>
    <s v="Approved"/>
    <x v="1"/>
    <x v="1"/>
    <m/>
    <n v="0"/>
    <x v="0"/>
    <s v="N/A"/>
    <n v="271184658.35014349"/>
  </r>
  <r>
    <x v="0"/>
    <x v="49"/>
    <x v="49"/>
    <x v="5"/>
    <x v="0"/>
    <x v="0"/>
    <x v="0"/>
    <x v="0"/>
    <s v="Multi-Year"/>
    <x v="1"/>
    <s v="N/A"/>
    <n v="1600000"/>
    <s v="Confirmed"/>
    <m/>
    <x v="0"/>
    <x v="0"/>
    <s v="Approved"/>
    <x v="0"/>
    <x v="0"/>
    <m/>
    <n v="0"/>
    <x v="0"/>
    <s v="High"/>
    <n v="15455265.086884515"/>
  </r>
  <r>
    <x v="0"/>
    <x v="50"/>
    <x v="50"/>
    <x v="1"/>
    <x v="0"/>
    <x v="0"/>
    <x v="0"/>
    <x v="0"/>
    <s v="Multi-Year"/>
    <x v="1"/>
    <s v="N/A"/>
    <n v="1100000"/>
    <s v="Confirmed"/>
    <m/>
    <x v="0"/>
    <x v="0"/>
    <s v="Approved"/>
    <x v="1"/>
    <x v="1"/>
    <m/>
    <n v="0"/>
    <x v="0"/>
    <s v="N/A"/>
    <n v="494021502.525527"/>
  </r>
  <r>
    <x v="0"/>
    <x v="51"/>
    <x v="51"/>
    <x v="5"/>
    <x v="0"/>
    <x v="0"/>
    <x v="0"/>
    <x v="0"/>
    <s v="Multi-Year"/>
    <x v="1"/>
    <s v="N/A"/>
    <n v="7000000"/>
    <s v="Confirmed"/>
    <m/>
    <x v="0"/>
    <x v="0"/>
    <s v="Approved"/>
    <x v="2"/>
    <x v="0"/>
    <m/>
    <n v="0"/>
    <x v="0"/>
    <s v="High"/>
    <n v="902005621.73836684"/>
  </r>
  <r>
    <x v="0"/>
    <x v="52"/>
    <x v="52"/>
    <x v="4"/>
    <x v="0"/>
    <x v="0"/>
    <x v="0"/>
    <x v="0"/>
    <s v="Multi-Year"/>
    <x v="1"/>
    <s v="N/A"/>
    <s v=""/>
    <s v="Confirmed"/>
    <m/>
    <x v="0"/>
    <x v="0"/>
    <s v=""/>
    <x v="1"/>
    <x v="0"/>
    <m/>
    <n v="0"/>
    <x v="1"/>
    <s v="In distress"/>
    <n v="20201670.142996579"/>
  </r>
  <r>
    <x v="0"/>
    <x v="53"/>
    <x v="53"/>
    <x v="4"/>
    <x v="0"/>
    <x v="0"/>
    <x v="0"/>
    <x v="0"/>
    <s v="Multi-Year"/>
    <x v="1"/>
    <s v="N/A"/>
    <s v=""/>
    <s v="Confirmed"/>
    <m/>
    <x v="0"/>
    <x v="0"/>
    <s v=""/>
    <x v="1"/>
    <x v="1"/>
    <m/>
    <n v="0"/>
    <x v="0"/>
    <s v=""/>
    <n v="1612434649.6948864"/>
  </r>
  <r>
    <x v="0"/>
    <x v="54"/>
    <x v="54"/>
    <x v="5"/>
    <x v="0"/>
    <x v="0"/>
    <x v="0"/>
    <x v="0"/>
    <s v="Multi-Year"/>
    <x v="1"/>
    <s v="N/A"/>
    <n v="10600000"/>
    <s v="Confirmed"/>
    <m/>
    <x v="0"/>
    <x v="0"/>
    <s v="Approved"/>
    <x v="0"/>
    <x v="0"/>
    <m/>
    <n v="0"/>
    <x v="0"/>
    <s v="Moderate"/>
    <n v="78203134.118229344"/>
  </r>
  <r>
    <x v="0"/>
    <x v="55"/>
    <x v="55"/>
    <x v="5"/>
    <x v="0"/>
    <x v="0"/>
    <x v="0"/>
    <x v="0"/>
    <s v="Multi-Year"/>
    <x v="1"/>
    <s v="N/A"/>
    <n v="2100000"/>
    <s v="Confirmed"/>
    <m/>
    <x v="0"/>
    <x v="0"/>
    <s v="Approved"/>
    <x v="0"/>
    <x v="0"/>
    <m/>
    <n v="2"/>
    <x v="1"/>
    <s v="High"/>
    <n v="9151637.7411015611"/>
  </r>
  <r>
    <x v="0"/>
    <x v="56"/>
    <x v="56"/>
    <x v="4"/>
    <x v="0"/>
    <x v="0"/>
    <x v="0"/>
    <x v="0"/>
    <s v="Multi-Year"/>
    <x v="1"/>
    <s v="N/A"/>
    <n v="200000"/>
    <s v="Confirmed"/>
    <m/>
    <x v="0"/>
    <x v="0"/>
    <s v="Approved"/>
    <x v="1"/>
    <x v="0"/>
    <m/>
    <n v="0"/>
    <x v="1"/>
    <s v="Moderate"/>
    <n v="142455920.02856269"/>
  </r>
  <r>
    <x v="0"/>
    <x v="57"/>
    <x v="57"/>
    <x v="4"/>
    <x v="0"/>
    <x v="0"/>
    <x v="0"/>
    <x v="0"/>
    <s v="Multi-Year"/>
    <x v="1"/>
    <s v="N/A"/>
    <s v=""/>
    <s v="Confirmed"/>
    <m/>
    <x v="0"/>
    <x v="0"/>
    <s v=""/>
    <x v="2"/>
    <x v="0"/>
    <m/>
    <n v="1"/>
    <x v="1"/>
    <s v="High"/>
    <n v="85611818.171245083"/>
  </r>
  <r>
    <x v="0"/>
    <x v="58"/>
    <x v="58"/>
    <x v="4"/>
    <x v="0"/>
    <x v="0"/>
    <x v="0"/>
    <x v="0"/>
    <s v="Multi-Year"/>
    <x v="1"/>
    <s v="N/A"/>
    <n v="13800000"/>
    <s v="Confirmed"/>
    <m/>
    <x v="0"/>
    <x v="0"/>
    <s v="Approved"/>
    <x v="2"/>
    <x v="0"/>
    <m/>
    <n v="0"/>
    <x v="0"/>
    <s v="Low"/>
    <n v="680289736.30082119"/>
  </r>
  <r>
    <x v="0"/>
    <x v="59"/>
    <x v="59"/>
    <x v="0"/>
    <x v="0"/>
    <x v="0"/>
    <x v="0"/>
    <x v="0"/>
    <s v="Multi-Year"/>
    <x v="1"/>
    <s v="N/A"/>
    <s v=""/>
    <s v="Confirmed"/>
    <m/>
    <x v="0"/>
    <x v="0"/>
    <s v=""/>
    <x v="2"/>
    <x v="0"/>
    <m/>
    <n v="0"/>
    <x v="0"/>
    <s v="N/A"/>
    <n v="26554332750.47023"/>
  </r>
  <r>
    <x v="0"/>
    <x v="60"/>
    <x v="60"/>
    <x v="6"/>
    <x v="0"/>
    <x v="0"/>
    <x v="0"/>
    <x v="0"/>
    <s v="Multi-Year"/>
    <x v="1"/>
    <s v="N/A"/>
    <n v="258300000"/>
    <s v="Confirmed"/>
    <m/>
    <x v="0"/>
    <x v="0"/>
    <s v="Approved"/>
    <x v="2"/>
    <x v="0"/>
    <m/>
    <n v="0"/>
    <x v="0"/>
    <s v="N/A"/>
    <n v="14745961064.890842"/>
  </r>
  <r>
    <x v="0"/>
    <x v="61"/>
    <x v="61"/>
    <x v="2"/>
    <x v="0"/>
    <x v="0"/>
    <x v="0"/>
    <x v="0"/>
    <s v="Multi-Year"/>
    <x v="1"/>
    <s v="N/A"/>
    <s v=""/>
    <s v="Confirmed"/>
    <m/>
    <x v="0"/>
    <x v="0"/>
    <s v=""/>
    <x v="2"/>
    <x v="1"/>
    <m/>
    <n v="0"/>
    <x v="0"/>
    <s v="N/A"/>
    <n v="18194076299.786381"/>
  </r>
  <r>
    <x v="0"/>
    <x v="62"/>
    <x v="62"/>
    <x v="2"/>
    <x v="0"/>
    <x v="0"/>
    <x v="0"/>
    <x v="0"/>
    <s v="Multi-Year"/>
    <x v="1"/>
    <s v="N/A"/>
    <n v="25000000"/>
    <s v="Confirmed"/>
    <m/>
    <x v="0"/>
    <x v="0"/>
    <s v="Approved"/>
    <x v="1"/>
    <x v="1"/>
    <m/>
    <n v="0"/>
    <x v="0"/>
    <s v="N/A"/>
    <n v="4428819387.769825"/>
  </r>
  <r>
    <x v="0"/>
    <x v="63"/>
    <x v="63"/>
    <x v="4"/>
    <x v="0"/>
    <x v="0"/>
    <x v="0"/>
    <x v="0"/>
    <s v="Multi-Year"/>
    <x v="1"/>
    <s v="N/A"/>
    <s v=""/>
    <s v="Confirmed"/>
    <m/>
    <x v="0"/>
    <x v="0"/>
    <s v=""/>
    <x v="1"/>
    <x v="1"/>
    <m/>
    <n v="0"/>
    <x v="1"/>
    <s v=""/>
    <n v="611739560.62679195"/>
  </r>
  <r>
    <x v="0"/>
    <x v="64"/>
    <x v="64"/>
    <x v="2"/>
    <x v="0"/>
    <x v="0"/>
    <x v="0"/>
    <x v="0"/>
    <s v="Multi-Year"/>
    <x v="1"/>
    <s v="N/A"/>
    <n v="1300000"/>
    <s v="Confirmed"/>
    <m/>
    <x v="0"/>
    <x v="0"/>
    <s v="Approved"/>
    <x v="1"/>
    <x v="1"/>
    <m/>
    <n v="0"/>
    <x v="0"/>
    <s v="N/A"/>
    <n v="1617913383.0481031"/>
  </r>
  <r>
    <x v="0"/>
    <x v="65"/>
    <x v="65"/>
    <x v="1"/>
    <x v="0"/>
    <x v="0"/>
    <x v="0"/>
    <x v="0"/>
    <s v="Multi-Year"/>
    <x v="1"/>
    <s v="N/A"/>
    <s v=""/>
    <s v="Confirmed"/>
    <m/>
    <x v="0"/>
    <x v="0"/>
    <s v=""/>
    <x v="1"/>
    <x v="1"/>
    <m/>
    <n v="0"/>
    <x v="0"/>
    <s v=""/>
    <n v="3074419112.4562683"/>
  </r>
  <r>
    <x v="0"/>
    <x v="66"/>
    <x v="66"/>
    <x v="3"/>
    <x v="0"/>
    <x v="0"/>
    <x v="0"/>
    <x v="0"/>
    <s v="Multi-Year"/>
    <x v="1"/>
    <s v="N/A"/>
    <n v="18700000"/>
    <s v="Confirmed"/>
    <m/>
    <x v="0"/>
    <x v="0"/>
    <s v="Approved"/>
    <x v="2"/>
    <x v="0"/>
    <m/>
    <n v="0"/>
    <x v="0"/>
    <s v="High"/>
    <n v="1914014279.8929913"/>
  </r>
  <r>
    <x v="0"/>
    <x v="67"/>
    <x v="67"/>
    <x v="6"/>
    <x v="0"/>
    <x v="0"/>
    <x v="0"/>
    <x v="0"/>
    <s v="Multi-Year"/>
    <x v="1"/>
    <s v="N/A"/>
    <s v=""/>
    <s v="Confirmed"/>
    <m/>
    <x v="0"/>
    <x v="0"/>
    <s v=""/>
    <x v="2"/>
    <x v="0"/>
    <m/>
    <n v="0"/>
    <x v="1"/>
    <s v="High"/>
    <n v="17422005.762907442"/>
  </r>
  <r>
    <x v="0"/>
    <x v="68"/>
    <x v="68"/>
    <x v="6"/>
    <x v="0"/>
    <x v="0"/>
    <x v="0"/>
    <x v="0"/>
    <s v="Multi-Year"/>
    <x v="1"/>
    <s v="N/A"/>
    <s v=""/>
    <s v="Confirmed"/>
    <m/>
    <x v="0"/>
    <x v="0"/>
    <s v=""/>
    <x v="0"/>
    <x v="0"/>
    <m/>
    <n v="0"/>
    <x v="0"/>
    <s v="N/A"/>
    <s v=""/>
  </r>
  <r>
    <x v="0"/>
    <x v="69"/>
    <x v="69"/>
    <x v="1"/>
    <x v="0"/>
    <x v="0"/>
    <x v="0"/>
    <x v="0"/>
    <s v="Multi-Year"/>
    <x v="1"/>
    <s v="N/A"/>
    <n v="2000000"/>
    <s v="Confirmed"/>
    <m/>
    <x v="0"/>
    <x v="0"/>
    <s v="Approved"/>
    <x v="1"/>
    <x v="0"/>
    <m/>
    <n v="0"/>
    <x v="0"/>
    <s v="…"/>
    <s v=""/>
  </r>
  <r>
    <x v="0"/>
    <x v="70"/>
    <x v="70"/>
    <x v="1"/>
    <x v="0"/>
    <x v="0"/>
    <x v="0"/>
    <x v="0"/>
    <s v="Multi-Year"/>
    <x v="1"/>
    <s v="N/A"/>
    <n v="3000000"/>
    <s v="Confirmed"/>
    <m/>
    <x v="0"/>
    <x v="0"/>
    <s v="Approved"/>
    <x v="2"/>
    <x v="0"/>
    <m/>
    <n v="2"/>
    <x v="0"/>
    <s v="Moderate"/>
    <n v="231506834.84347546"/>
  </r>
  <r>
    <x v="0"/>
    <x v="71"/>
    <x v="71"/>
    <x v="6"/>
    <x v="0"/>
    <x v="0"/>
    <x v="0"/>
    <x v="0"/>
    <s v="Multi-Year"/>
    <x v="1"/>
    <s v="N/A"/>
    <n v="5600000"/>
    <s v="Confirmed"/>
    <m/>
    <x v="0"/>
    <x v="0"/>
    <s v="Approved"/>
    <x v="2"/>
    <x v="0"/>
    <m/>
    <n v="0"/>
    <x v="0"/>
    <s v="High"/>
    <n v="156059428.62944782"/>
  </r>
  <r>
    <x v="0"/>
    <x v="72"/>
    <x v="72"/>
    <x v="2"/>
    <x v="0"/>
    <x v="0"/>
    <x v="0"/>
    <x v="0"/>
    <s v="Multi-Year"/>
    <x v="1"/>
    <s v="N/A"/>
    <n v="9000000"/>
    <s v="Confirmed"/>
    <m/>
    <x v="0"/>
    <x v="0"/>
    <s v="Approved"/>
    <x v="1"/>
    <x v="1"/>
    <m/>
    <n v="0"/>
    <x v="0"/>
    <s v="N/A"/>
    <n v="2355391507.1635861"/>
  </r>
  <r>
    <x v="0"/>
    <x v="73"/>
    <x v="73"/>
    <x v="3"/>
    <x v="0"/>
    <x v="0"/>
    <x v="0"/>
    <x v="0"/>
    <s v="Multi-Year"/>
    <x v="1"/>
    <s v="N/A"/>
    <n v="5500000"/>
    <s v="Confirmed"/>
    <m/>
    <x v="0"/>
    <x v="0"/>
    <s v="Approved"/>
    <x v="2"/>
    <x v="0"/>
    <m/>
    <n v="0"/>
    <x v="0"/>
    <s v="Moderate"/>
    <n v="152760919.7684873"/>
  </r>
  <r>
    <x v="0"/>
    <x v="74"/>
    <x v="74"/>
    <x v="5"/>
    <x v="0"/>
    <x v="0"/>
    <x v="0"/>
    <x v="0"/>
    <s v="Multi-Year"/>
    <x v="1"/>
    <s v="N/A"/>
    <n v="1700000"/>
    <s v="Confirmed"/>
    <m/>
    <x v="0"/>
    <x v="0"/>
    <s v="Approved"/>
    <x v="0"/>
    <x v="0"/>
    <m/>
    <n v="0"/>
    <x v="0"/>
    <s v="High"/>
    <n v="55072006.864440605"/>
  </r>
  <r>
    <x v="0"/>
    <x v="75"/>
    <x v="75"/>
    <x v="2"/>
    <x v="0"/>
    <x v="0"/>
    <x v="0"/>
    <x v="0"/>
    <s v="Multi-Year"/>
    <x v="1"/>
    <s v="N/A"/>
    <s v=""/>
    <s v="Confirmed"/>
    <m/>
    <x v="0"/>
    <x v="0"/>
    <s v=""/>
    <x v="1"/>
    <x v="1"/>
    <m/>
    <n v="0"/>
    <x v="0"/>
    <s v="N/A"/>
    <s v=""/>
  </r>
  <r>
    <x v="0"/>
    <x v="76"/>
    <x v="76"/>
    <x v="3"/>
    <x v="0"/>
    <x v="0"/>
    <x v="0"/>
    <x v="0"/>
    <s v="Multi-Year"/>
    <x v="1"/>
    <s v="N/A"/>
    <n v="58500000"/>
    <s v="Confirmed"/>
    <m/>
    <x v="0"/>
    <x v="0"/>
    <s v="Approved"/>
    <x v="0"/>
    <x v="0"/>
    <m/>
    <n v="2"/>
    <x v="0"/>
    <s v="Moderate"/>
    <n v="206914157.05429548"/>
  </r>
  <r>
    <x v="0"/>
    <x v="77"/>
    <x v="77"/>
    <x v="3"/>
    <x v="0"/>
    <x v="0"/>
    <x v="0"/>
    <x v="0"/>
    <s v="Multi-Year"/>
    <x v="1"/>
    <s v="N/A"/>
    <n v="4700000"/>
    <s v="Confirmed"/>
    <m/>
    <x v="0"/>
    <x v="0"/>
    <s v="Approved"/>
    <x v="0"/>
    <x v="0"/>
    <m/>
    <n v="2"/>
    <x v="0"/>
    <s v="High"/>
    <n v="185999915.02066413"/>
  </r>
  <r>
    <x v="0"/>
    <x v="78"/>
    <x v="78"/>
    <x v="6"/>
    <x v="0"/>
    <x v="0"/>
    <x v="0"/>
    <x v="0"/>
    <s v="Multi-Year"/>
    <x v="1"/>
    <s v="N/A"/>
    <s v=""/>
    <s v="Confirmed"/>
    <m/>
    <x v="0"/>
    <x v="0"/>
    <s v=""/>
    <x v="1"/>
    <x v="1"/>
    <m/>
    <n v="0"/>
    <x v="0"/>
    <s v=""/>
    <n v="6893755763.2501726"/>
  </r>
  <r>
    <x v="0"/>
    <x v="79"/>
    <x v="79"/>
    <x v="0"/>
    <x v="0"/>
    <x v="0"/>
    <x v="0"/>
    <x v="0"/>
    <s v="Multi-Year"/>
    <x v="1"/>
    <s v="N/A"/>
    <s v=""/>
    <s v="Confirmed"/>
    <m/>
    <x v="0"/>
    <x v="0"/>
    <s v=""/>
    <x v="1"/>
    <x v="0"/>
    <m/>
    <n v="0"/>
    <x v="1"/>
    <s v="High"/>
    <n v="354560231.58276606"/>
  </r>
  <r>
    <x v="0"/>
    <x v="80"/>
    <x v="80"/>
    <x v="5"/>
    <x v="0"/>
    <x v="0"/>
    <x v="0"/>
    <x v="0"/>
    <s v="Multi-Year"/>
    <x v="1"/>
    <s v="N/A"/>
    <n v="8000000"/>
    <s v="Confirmed"/>
    <m/>
    <x v="0"/>
    <x v="0"/>
    <s v="Approved"/>
    <x v="0"/>
    <x v="0"/>
    <m/>
    <n v="1"/>
    <x v="0"/>
    <s v="Moderate"/>
    <n v="188169167.56540567"/>
  </r>
  <r>
    <x v="0"/>
    <x v="81"/>
    <x v="81"/>
    <x v="6"/>
    <x v="0"/>
    <x v="0"/>
    <x v="0"/>
    <x v="0"/>
    <s v="Multi-Year"/>
    <x v="1"/>
    <s v="N/A"/>
    <s v=""/>
    <s v="Confirmed"/>
    <m/>
    <x v="0"/>
    <x v="0"/>
    <s v=""/>
    <x v="1"/>
    <x v="0"/>
    <m/>
    <n v="0"/>
    <x v="1"/>
    <s v=""/>
    <n v="16312106.556340856"/>
  </r>
  <r>
    <x v="0"/>
    <x v="82"/>
    <x v="82"/>
    <x v="5"/>
    <x v="0"/>
    <x v="0"/>
    <x v="0"/>
    <x v="0"/>
    <s v="Multi-Year"/>
    <x v="1"/>
    <s v="N/A"/>
    <n v="16399999.999999998"/>
    <s v="Confirmed"/>
    <m/>
    <x v="0"/>
    <x v="0"/>
    <s v="Approved"/>
    <x v="2"/>
    <x v="0"/>
    <m/>
    <n v="2"/>
    <x v="0"/>
    <s v="High"/>
    <n v="86083833.534053758"/>
  </r>
  <r>
    <x v="0"/>
    <x v="83"/>
    <x v="83"/>
    <x v="3"/>
    <x v="0"/>
    <x v="0"/>
    <x v="0"/>
    <x v="0"/>
    <s v="Multi-Year"/>
    <x v="1"/>
    <s v="N/A"/>
    <n v="0"/>
    <s v="Confirmed"/>
    <m/>
    <x v="0"/>
    <x v="0"/>
    <s v=""/>
    <x v="1"/>
    <x v="1"/>
    <m/>
    <n v="0"/>
    <x v="1"/>
    <s v="N/A"/>
    <n v="357220835.93762809"/>
  </r>
  <r>
    <x v="0"/>
    <x v="84"/>
    <x v="84"/>
    <x v="4"/>
    <x v="0"/>
    <x v="0"/>
    <x v="0"/>
    <x v="0"/>
    <s v="Multi-Year"/>
    <x v="1"/>
    <s v="N/A"/>
    <s v=""/>
    <s v="Confirmed"/>
    <m/>
    <x v="0"/>
    <x v="0"/>
    <s v=""/>
    <x v="1"/>
    <x v="1"/>
    <m/>
    <n v="0"/>
    <x v="0"/>
    <s v=""/>
    <n v="32831598153.796387"/>
  </r>
  <r>
    <x v="0"/>
    <x v="85"/>
    <x v="85"/>
    <x v="6"/>
    <x v="0"/>
    <x v="0"/>
    <x v="0"/>
    <x v="0"/>
    <s v="Multi-Year"/>
    <x v="1"/>
    <s v="N/A"/>
    <s v=""/>
    <s v="Confirmed"/>
    <m/>
    <x v="0"/>
    <x v="0"/>
    <s v=""/>
    <x v="2"/>
    <x v="0"/>
    <m/>
    <n v="0"/>
    <x v="1"/>
    <s v="High"/>
    <n v="12329056.093798399"/>
  </r>
  <r>
    <x v="0"/>
    <x v="86"/>
    <x v="86"/>
    <x v="1"/>
    <x v="0"/>
    <x v="0"/>
    <x v="0"/>
    <x v="0"/>
    <s v="Multi-Year"/>
    <x v="1"/>
    <s v="N/A"/>
    <n v="9800000"/>
    <s v="Confirmed"/>
    <m/>
    <x v="0"/>
    <x v="0"/>
    <s v="Approved"/>
    <x v="1"/>
    <x v="0"/>
    <m/>
    <n v="0"/>
    <x v="0"/>
    <s v="Low"/>
    <n v="426639742.85328001"/>
  </r>
  <r>
    <x v="0"/>
    <x v="87"/>
    <x v="87"/>
    <x v="6"/>
    <x v="0"/>
    <x v="0"/>
    <x v="0"/>
    <x v="0"/>
    <s v="Multi-Year"/>
    <x v="1"/>
    <s v="N/A"/>
    <n v="25500000"/>
    <s v="Confirmed"/>
    <m/>
    <x v="0"/>
    <x v="0"/>
    <s v="Approved"/>
    <x v="2"/>
    <x v="0"/>
    <m/>
    <n v="0"/>
    <x v="0"/>
    <s v="…"/>
    <n v="288519671.85870522"/>
  </r>
  <r>
    <x v="0"/>
    <x v="88"/>
    <x v="88"/>
    <x v="1"/>
    <x v="0"/>
    <x v="0"/>
    <x v="0"/>
    <x v="0"/>
    <s v="Multi-Year"/>
    <x v="1"/>
    <s v="N/A"/>
    <n v="0"/>
    <s v="Confirmed"/>
    <m/>
    <x v="0"/>
    <x v="0"/>
    <s v=""/>
    <x v="1"/>
    <x v="1"/>
    <m/>
    <n v="0"/>
    <x v="0"/>
    <s v="N/A"/>
    <n v="275606560.78491527"/>
  </r>
  <r>
    <x v="0"/>
    <x v="89"/>
    <x v="89"/>
    <x v="2"/>
    <x v="0"/>
    <x v="0"/>
    <x v="0"/>
    <x v="0"/>
    <s v="Multi-Year"/>
    <x v="1"/>
    <s v="N/A"/>
    <s v=""/>
    <s v="Confirmed"/>
    <m/>
    <x v="0"/>
    <x v="0"/>
    <s v=""/>
    <x v="2"/>
    <x v="0"/>
    <m/>
    <n v="0"/>
    <x v="0"/>
    <s v="N/A"/>
    <n v="2530937679.3725696"/>
  </r>
  <r>
    <x v="0"/>
    <x v="90"/>
    <x v="90"/>
    <x v="3"/>
    <x v="0"/>
    <x v="0"/>
    <x v="0"/>
    <x v="0"/>
    <s v="Multi-Year"/>
    <x v="1"/>
    <s v="N/A"/>
    <n v="25000000"/>
    <s v="Confirmed"/>
    <m/>
    <x v="0"/>
    <x v="0"/>
    <s v="Approved"/>
    <x v="0"/>
    <x v="0"/>
    <m/>
    <n v="0"/>
    <x v="0"/>
    <s v="In distress"/>
    <n v="251432156.86255455"/>
  </r>
  <r>
    <x v="0"/>
    <x v="91"/>
    <x v="91"/>
    <x v="6"/>
    <x v="0"/>
    <x v="0"/>
    <x v="0"/>
    <x v="0"/>
    <s v="Multi-Year"/>
    <x v="1"/>
    <s v="N/A"/>
    <n v="0"/>
    <s v="Confirmed"/>
    <m/>
    <x v="0"/>
    <x v="0"/>
    <s v=""/>
    <x v="2"/>
    <x v="0"/>
    <m/>
    <n v="0"/>
    <x v="0"/>
    <s v="Low"/>
    <n v="471534500.60109437"/>
  </r>
  <r>
    <x v="0"/>
    <x v="92"/>
    <x v="92"/>
    <x v="3"/>
    <x v="0"/>
    <x v="0"/>
    <x v="0"/>
    <x v="0"/>
    <s v="Multi-Year"/>
    <x v="1"/>
    <s v="N/A"/>
    <s v=""/>
    <s v="Confirmed"/>
    <m/>
    <x v="0"/>
    <x v="0"/>
    <s v=""/>
    <x v="1"/>
    <x v="1"/>
    <m/>
    <n v="0"/>
    <x v="0"/>
    <s v=""/>
    <n v="531677611.80447447"/>
  </r>
  <r>
    <x v="0"/>
    <x v="93"/>
    <x v="93"/>
    <x v="6"/>
    <x v="0"/>
    <x v="0"/>
    <x v="0"/>
    <x v="0"/>
    <s v="Multi-Year"/>
    <x v="1"/>
    <s v="N/A"/>
    <s v=""/>
    <s v="Confirmed"/>
    <m/>
    <x v="0"/>
    <x v="0"/>
    <s v=""/>
    <x v="3"/>
    <x v="1"/>
    <m/>
    <n v="0"/>
    <x v="1"/>
    <s v=""/>
    <n v="8528751.6418357007"/>
  </r>
  <r>
    <x v="0"/>
    <x v="94"/>
    <x v="94"/>
    <x v="0"/>
    <x v="0"/>
    <x v="0"/>
    <x v="0"/>
    <x v="0"/>
    <s v="Multi-Year"/>
    <x v="1"/>
    <s v="N/A"/>
    <n v="10900000"/>
    <s v="Confirmed"/>
    <m/>
    <x v="0"/>
    <x v="0"/>
    <s v="Approved"/>
    <x v="2"/>
    <x v="0"/>
    <m/>
    <n v="0"/>
    <x v="0"/>
    <s v="Low"/>
    <n v="407084543.19089872"/>
  </r>
  <r>
    <x v="0"/>
    <x v="95"/>
    <x v="95"/>
    <x v="4"/>
    <x v="0"/>
    <x v="0"/>
    <x v="0"/>
    <x v="0"/>
    <s v="Multi-Year"/>
    <x v="1"/>
    <s v="N/A"/>
    <s v=""/>
    <s v="Confirmed"/>
    <m/>
    <x v="0"/>
    <x v="0"/>
    <s v=""/>
    <x v="2"/>
    <x v="0"/>
    <m/>
    <n v="0"/>
    <x v="0"/>
    <s v="Moderate"/>
    <n v="671998341.93592453"/>
  </r>
  <r>
    <x v="0"/>
    <x v="96"/>
    <x v="96"/>
    <x v="5"/>
    <x v="0"/>
    <x v="0"/>
    <x v="0"/>
    <x v="0"/>
    <s v="Multi-Year"/>
    <x v="1"/>
    <s v="N/A"/>
    <n v="9400000"/>
    <s v="Confirmed"/>
    <m/>
    <x v="0"/>
    <x v="0"/>
    <s v="Approved"/>
    <x v="0"/>
    <x v="0"/>
    <m/>
    <n v="1"/>
    <x v="0"/>
    <s v="Moderate"/>
    <n v="226203289.67158964"/>
  </r>
  <r>
    <x v="0"/>
    <x v="97"/>
    <x v="97"/>
    <x v="5"/>
    <x v="0"/>
    <x v="0"/>
    <x v="0"/>
    <x v="0"/>
    <s v="Multi-Year"/>
    <x v="1"/>
    <s v="N/A"/>
    <n v="76000000"/>
    <s v="Confirmed"/>
    <m/>
    <x v="0"/>
    <x v="0"/>
    <s v="Approved"/>
    <x v="2"/>
    <x v="0"/>
    <m/>
    <n v="3"/>
    <x v="0"/>
    <s v="…"/>
    <n v="2438881113.1244688"/>
  </r>
  <r>
    <x v="0"/>
    <x v="98"/>
    <x v="98"/>
    <x v="1"/>
    <x v="0"/>
    <x v="0"/>
    <x v="0"/>
    <x v="0"/>
    <s v="Multi-Year"/>
    <x v="1"/>
    <s v="N/A"/>
    <n v="500000"/>
    <s v="Confirmed"/>
    <m/>
    <x v="0"/>
    <x v="0"/>
    <s v="Approved"/>
    <x v="1"/>
    <x v="1"/>
    <m/>
    <n v="0"/>
    <x v="0"/>
    <s v=""/>
    <n v="476517795.73174149"/>
  </r>
  <r>
    <x v="0"/>
    <x v="99"/>
    <x v="99"/>
    <x v="0"/>
    <x v="0"/>
    <x v="0"/>
    <x v="0"/>
    <x v="0"/>
    <s v="Multi-Year"/>
    <x v="1"/>
    <s v="N/A"/>
    <n v="0"/>
    <s v="Confirmed"/>
    <m/>
    <x v="0"/>
    <x v="0"/>
    <s v="Approved"/>
    <x v="2"/>
    <x v="0"/>
    <m/>
    <n v="0"/>
    <x v="0"/>
    <s v="…"/>
    <n v="3233351297.7679496"/>
  </r>
  <r>
    <x v="0"/>
    <x v="100"/>
    <x v="100"/>
    <x v="4"/>
    <x v="0"/>
    <x v="0"/>
    <x v="0"/>
    <x v="0"/>
    <s v="Multi-Year"/>
    <x v="1"/>
    <s v="N/A"/>
    <s v=""/>
    <s v="Confirmed"/>
    <m/>
    <x v="0"/>
    <x v="0"/>
    <s v=""/>
    <x v="3"/>
    <x v="1"/>
    <m/>
    <n v="0"/>
    <x v="1"/>
    <s v=""/>
    <n v="18180646.808608256"/>
  </r>
  <r>
    <x v="0"/>
    <x v="101"/>
    <x v="101"/>
    <x v="4"/>
    <x v="0"/>
    <x v="0"/>
    <x v="0"/>
    <x v="0"/>
    <s v="Multi-Year"/>
    <x v="1"/>
    <s v="N/A"/>
    <n v="0"/>
    <s v="Confirmed"/>
    <m/>
    <x v="0"/>
    <x v="0"/>
    <s v=""/>
    <x v="1"/>
    <x v="1"/>
    <m/>
    <n v="0"/>
    <x v="0"/>
    <s v="N/A"/>
    <n v="3020530707.3485303"/>
  </r>
  <r>
    <x v="0"/>
    <x v="102"/>
    <x v="102"/>
    <x v="6"/>
    <x v="0"/>
    <x v="0"/>
    <x v="0"/>
    <x v="0"/>
    <s v="Multi-Year"/>
    <x v="1"/>
    <s v="N/A"/>
    <n v="10000000"/>
    <s v="Confirmed"/>
    <m/>
    <x v="0"/>
    <x v="0"/>
    <s v="Approved"/>
    <x v="2"/>
    <x v="0"/>
    <m/>
    <n v="1"/>
    <x v="1"/>
    <s v="High"/>
    <n v="384406316.46074712"/>
  </r>
  <r>
    <x v="0"/>
    <x v="103"/>
    <x v="103"/>
    <x v="4"/>
    <x v="0"/>
    <x v="0"/>
    <x v="0"/>
    <x v="0"/>
    <s v="Multi-Year"/>
    <x v="1"/>
    <s v="N/A"/>
    <s v=""/>
    <s v="Confirmed"/>
    <m/>
    <x v="0"/>
    <x v="0"/>
    <s v=""/>
    <x v="1"/>
    <x v="1"/>
    <m/>
    <n v="0"/>
    <x v="0"/>
    <s v=""/>
    <n v="1218747108.9554784"/>
  </r>
  <r>
    <x v="0"/>
    <x v="104"/>
    <x v="104"/>
    <x v="4"/>
    <x v="0"/>
    <x v="0"/>
    <x v="0"/>
    <x v="0"/>
    <s v="Multi-Year"/>
    <x v="1"/>
    <s v="N/A"/>
    <n v="500000000"/>
    <s v="Confirmed"/>
    <m/>
    <x v="0"/>
    <x v="0"/>
    <s v="Approved"/>
    <x v="1"/>
    <x v="1"/>
    <m/>
    <n v="0"/>
    <x v="0"/>
    <s v=""/>
    <n v="7392665952.5895758"/>
  </r>
  <r>
    <x v="0"/>
    <x v="105"/>
    <x v="105"/>
    <x v="6"/>
    <x v="0"/>
    <x v="0"/>
    <x v="0"/>
    <x v="0"/>
    <s v="Multi-Year"/>
    <x v="1"/>
    <s v="N/A"/>
    <n v="27000000"/>
    <s v="Confirmed"/>
    <m/>
    <x v="0"/>
    <x v="0"/>
    <s v="Approved"/>
    <x v="2"/>
    <x v="0"/>
    <m/>
    <n v="0"/>
    <x v="0"/>
    <s v="N/A"/>
    <n v="4754985988.6004429"/>
  </r>
  <r>
    <x v="0"/>
    <x v="106"/>
    <x v="106"/>
    <x v="1"/>
    <x v="0"/>
    <x v="0"/>
    <x v="0"/>
    <x v="0"/>
    <s v="Multi-Year"/>
    <x v="1"/>
    <s v="N/A"/>
    <s v=""/>
    <s v="Confirmed"/>
    <m/>
    <x v="0"/>
    <x v="0"/>
    <s v=""/>
    <x v="3"/>
    <x v="1"/>
    <m/>
    <n v="0"/>
    <x v="0"/>
    <s v=""/>
    <n v="26422210443.037273"/>
  </r>
  <r>
    <x v="0"/>
    <x v="107"/>
    <x v="107"/>
    <x v="1"/>
    <x v="0"/>
    <x v="0"/>
    <x v="0"/>
    <x v="0"/>
    <s v="Multi-Year"/>
    <x v="1"/>
    <s v="N/A"/>
    <s v=""/>
    <s v="Confirmed"/>
    <m/>
    <x v="0"/>
    <x v="0"/>
    <s v=""/>
    <x v="1"/>
    <x v="1"/>
    <m/>
    <n v="0"/>
    <x v="0"/>
    <s v=""/>
    <n v="10696495313.15033"/>
  </r>
  <r>
    <x v="0"/>
    <x v="108"/>
    <x v="108"/>
    <x v="1"/>
    <x v="0"/>
    <x v="0"/>
    <x v="0"/>
    <x v="0"/>
    <s v="Multi-Year"/>
    <x v="1"/>
    <s v="N/A"/>
    <s v=""/>
    <s v="Confirmed"/>
    <m/>
    <x v="0"/>
    <x v="0"/>
    <s v=""/>
    <x v="1"/>
    <x v="1"/>
    <m/>
    <n v="0"/>
    <x v="0"/>
    <s v=""/>
    <n v="52769713433.240509"/>
  </r>
  <r>
    <x v="0"/>
    <x v="109"/>
    <x v="109"/>
    <x v="3"/>
    <x v="0"/>
    <x v="0"/>
    <x v="0"/>
    <x v="0"/>
    <s v="Multi-Year"/>
    <x v="1"/>
    <s v="N/A"/>
    <n v="7400000"/>
    <s v="Confirmed"/>
    <m/>
    <x v="0"/>
    <x v="0"/>
    <s v="Approved"/>
    <x v="0"/>
    <x v="0"/>
    <m/>
    <n v="0"/>
    <x v="0"/>
    <s v="Moderate"/>
    <n v="225799814.51943746"/>
  </r>
  <r>
    <x v="0"/>
    <x v="110"/>
    <x v="110"/>
    <x v="6"/>
    <x v="0"/>
    <x v="0"/>
    <x v="0"/>
    <x v="0"/>
    <s v="Multi-Year"/>
    <x v="1"/>
    <s v="N/A"/>
    <s v=""/>
    <s v="Confirmed"/>
    <m/>
    <x v="0"/>
    <x v="0"/>
    <s v=""/>
    <x v="2"/>
    <x v="0"/>
    <m/>
    <n v="0"/>
    <x v="1"/>
    <s v="High"/>
    <n v="32192988.027009469"/>
  </r>
  <r>
    <x v="0"/>
    <x v="111"/>
    <x v="111"/>
    <x v="5"/>
    <x v="0"/>
    <x v="0"/>
    <x v="0"/>
    <x v="0"/>
    <s v="Multi-Year"/>
    <x v="1"/>
    <s v="N/A"/>
    <n v="1800000"/>
    <s v="Confirmed"/>
    <m/>
    <x v="0"/>
    <x v="0"/>
    <s v="Approved"/>
    <x v="2"/>
    <x v="0"/>
    <m/>
    <n v="0"/>
    <x v="1"/>
    <s v="In distress"/>
    <n v="11633535.136477679"/>
  </r>
  <r>
    <x v="0"/>
    <x v="112"/>
    <x v="112"/>
    <x v="5"/>
    <x v="0"/>
    <x v="0"/>
    <x v="0"/>
    <x v="0"/>
    <s v="Multi-Year"/>
    <x v="1"/>
    <s v="N/A"/>
    <n v="54900000"/>
    <s v="Confirmed"/>
    <m/>
    <x v="0"/>
    <x v="0"/>
    <s v="Approved"/>
    <x v="2"/>
    <x v="0"/>
    <m/>
    <n v="2"/>
    <x v="0"/>
    <s v="Moderate"/>
    <n v="222008693.93354639"/>
  </r>
  <r>
    <x v="0"/>
    <x v="113"/>
    <x v="113"/>
    <x v="1"/>
    <x v="0"/>
    <x v="0"/>
    <x v="0"/>
    <x v="0"/>
    <s v="Multi-Year"/>
    <x v="1"/>
    <s v="N/A"/>
    <s v=""/>
    <s v="Confirmed"/>
    <m/>
    <x v="0"/>
    <x v="0"/>
    <s v=""/>
    <x v="1"/>
    <x v="1"/>
    <m/>
    <n v="0"/>
    <x v="0"/>
    <s v=""/>
    <n v="2564993795.1894679"/>
  </r>
  <r>
    <x v="0"/>
    <x v="114"/>
    <x v="114"/>
    <x v="3"/>
    <x v="0"/>
    <x v="0"/>
    <x v="0"/>
    <x v="0"/>
    <s v="Multi-Year"/>
    <x v="1"/>
    <s v="N/A"/>
    <n v="0"/>
    <s v="Confirmed"/>
    <m/>
    <x v="0"/>
    <x v="0"/>
    <s v="Under Preparation"/>
    <x v="3"/>
    <x v="1"/>
    <m/>
    <n v="0"/>
    <x v="1"/>
    <s v="N/A"/>
    <n v="60237542.945069775"/>
  </r>
  <r>
    <x v="0"/>
    <x v="115"/>
    <x v="115"/>
    <x v="5"/>
    <x v="0"/>
    <x v="0"/>
    <x v="0"/>
    <x v="0"/>
    <s v="Multi-Year"/>
    <x v="1"/>
    <s v="N/A"/>
    <n v="8500000"/>
    <s v="Confirmed"/>
    <m/>
    <x v="0"/>
    <x v="0"/>
    <s v="Approved"/>
    <x v="0"/>
    <x v="0"/>
    <m/>
    <n v="0"/>
    <x v="0"/>
    <s v="High"/>
    <n v="63738640.538260505"/>
  </r>
  <r>
    <x v="0"/>
    <x v="116"/>
    <x v="116"/>
    <x v="6"/>
    <x v="0"/>
    <x v="0"/>
    <x v="0"/>
    <x v="0"/>
    <s v="Multi-Year"/>
    <x v="1"/>
    <s v="N/A"/>
    <s v=""/>
    <s v="Confirmed"/>
    <m/>
    <x v="0"/>
    <x v="0"/>
    <s v=""/>
    <x v="2"/>
    <x v="0"/>
    <m/>
    <n v="0"/>
    <x v="1"/>
    <s v="Moderate"/>
    <n v="49012774.055630356"/>
  </r>
  <r>
    <x v="0"/>
    <x v="117"/>
    <x v="117"/>
    <x v="3"/>
    <x v="0"/>
    <x v="0"/>
    <x v="0"/>
    <x v="0"/>
    <s v="Multi-Year"/>
    <x v="1"/>
    <s v="N/A"/>
    <n v="18000000"/>
    <s v="Confirmed"/>
    <m/>
    <x v="0"/>
    <x v="0"/>
    <s v="Approved"/>
    <x v="0"/>
    <x v="0"/>
    <m/>
    <n v="1"/>
    <x v="0"/>
    <s v="In distress"/>
    <s v=""/>
  </r>
  <r>
    <x v="0"/>
    <x v="118"/>
    <x v="118"/>
    <x v="3"/>
    <x v="0"/>
    <x v="0"/>
    <x v="0"/>
    <x v="0"/>
    <s v="Multi-Year"/>
    <x v="1"/>
    <s v="N/A"/>
    <n v="0"/>
    <s v="Confirmed"/>
    <m/>
    <x v="0"/>
    <x v="0"/>
    <s v=""/>
    <x v="1"/>
    <x v="1"/>
    <m/>
    <n v="0"/>
    <x v="0"/>
    <s v="N/A"/>
    <n v="16429121142.784708"/>
  </r>
  <r>
    <x v="0"/>
    <x v="119"/>
    <x v="119"/>
    <x v="3"/>
    <x v="0"/>
    <x v="0"/>
    <x v="0"/>
    <x v="0"/>
    <s v="Multi-Year"/>
    <x v="1"/>
    <s v="N/A"/>
    <n v="7500000"/>
    <s v="Confirmed"/>
    <m/>
    <x v="0"/>
    <x v="0"/>
    <s v="Approved"/>
    <x v="0"/>
    <x v="0"/>
    <m/>
    <n v="1"/>
    <x v="0"/>
    <s v="High"/>
    <n v="31684581.76217727"/>
  </r>
  <r>
    <x v="0"/>
    <x v="120"/>
    <x v="120"/>
    <x v="0"/>
    <x v="0"/>
    <x v="0"/>
    <x v="0"/>
    <x v="0"/>
    <s v="Multi-Year"/>
    <x v="1"/>
    <s v="N/A"/>
    <n v="39100000"/>
    <s v="Confirmed"/>
    <m/>
    <x v="0"/>
    <x v="0"/>
    <s v="Approved"/>
    <x v="2"/>
    <x v="0"/>
    <m/>
    <n v="0"/>
    <x v="0"/>
    <s v="N/A"/>
    <n v="1373621563.5182886"/>
  </r>
  <r>
    <x v="0"/>
    <x v="121"/>
    <x v="121"/>
    <x v="4"/>
    <x v="0"/>
    <x v="0"/>
    <x v="0"/>
    <x v="0"/>
    <s v="Multi-Year"/>
    <x v="1"/>
    <s v="N/A"/>
    <s v=""/>
    <s v="Confirmed"/>
    <m/>
    <x v="0"/>
    <x v="0"/>
    <s v=""/>
    <x v="3"/>
    <x v="1"/>
    <m/>
    <n v="0"/>
    <x v="1"/>
    <s v=""/>
    <n v="24214370.889062837"/>
  </r>
  <r>
    <x v="0"/>
    <x v="122"/>
    <x v="122"/>
    <x v="4"/>
    <x v="0"/>
    <x v="0"/>
    <x v="0"/>
    <x v="0"/>
    <s v="Multi-Year"/>
    <x v="1"/>
    <s v="N/A"/>
    <s v=""/>
    <s v="Confirmed"/>
    <m/>
    <x v="0"/>
    <x v="0"/>
    <s v=""/>
    <x v="1"/>
    <x v="0"/>
    <m/>
    <n v="0"/>
    <x v="1"/>
    <s v="…"/>
    <n v="39941279.609447442"/>
  </r>
  <r>
    <x v="0"/>
    <x v="123"/>
    <x v="123"/>
    <x v="4"/>
    <x v="0"/>
    <x v="0"/>
    <x v="0"/>
    <x v="0"/>
    <s v="Multi-Year"/>
    <x v="1"/>
    <s v="N/A"/>
    <s v=""/>
    <s v="Confirmed"/>
    <m/>
    <x v="0"/>
    <x v="0"/>
    <s v=""/>
    <x v="1"/>
    <x v="0"/>
    <m/>
    <n v="0"/>
    <x v="1"/>
    <s v="High"/>
    <n v="24761675.260059897"/>
  </r>
  <r>
    <x v="0"/>
    <x v="124"/>
    <x v="124"/>
    <x v="2"/>
    <x v="0"/>
    <x v="0"/>
    <x v="0"/>
    <x v="0"/>
    <s v="Multi-Year"/>
    <x v="1"/>
    <s v="N/A"/>
    <n v="0"/>
    <s v="Confirmed"/>
    <m/>
    <x v="0"/>
    <x v="0"/>
    <s v="Under Preparation"/>
    <x v="2"/>
    <x v="0"/>
    <m/>
    <n v="0"/>
    <x v="0"/>
    <s v="N/A"/>
    <s v=""/>
  </r>
  <r>
    <x v="0"/>
    <x v="125"/>
    <x v="125"/>
    <x v="2"/>
    <x v="0"/>
    <x v="0"/>
    <x v="0"/>
    <x v="0"/>
    <s v="Multi-Year"/>
    <x v="1"/>
    <s v="N/A"/>
    <n v="49600000"/>
    <s v="Confirmed"/>
    <m/>
    <x v="0"/>
    <x v="0"/>
    <s v="Approved"/>
    <x v="0"/>
    <x v="0"/>
    <m/>
    <n v="1"/>
    <x v="0"/>
    <s v="N/A"/>
    <n v="577156172.71229994"/>
  </r>
  <r>
    <x v="0"/>
    <x v="126"/>
    <x v="126"/>
    <x v="6"/>
    <x v="0"/>
    <x v="0"/>
    <x v="0"/>
    <x v="0"/>
    <s v="Multi-Year"/>
    <x v="1"/>
    <s v="N/A"/>
    <s v=""/>
    <s v="Confirmed"/>
    <m/>
    <x v="0"/>
    <x v="0"/>
    <s v=""/>
    <x v="1"/>
    <x v="1"/>
    <m/>
    <n v="0"/>
    <x v="1"/>
    <s v=""/>
    <n v="180052034.19851837"/>
  </r>
  <r>
    <x v="0"/>
    <x v="127"/>
    <x v="127"/>
    <x v="2"/>
    <x v="0"/>
    <x v="0"/>
    <x v="0"/>
    <x v="0"/>
    <s v="Multi-Year"/>
    <x v="1"/>
    <s v="N/A"/>
    <s v=""/>
    <s v="Confirmed"/>
    <m/>
    <x v="0"/>
    <x v="0"/>
    <s v=""/>
    <x v="0"/>
    <x v="0"/>
    <m/>
    <n v="1"/>
    <x v="0"/>
    <s v="N/A"/>
    <s v=""/>
  </r>
  <r>
    <x v="0"/>
    <x v="128"/>
    <x v="128"/>
    <x v="1"/>
    <x v="0"/>
    <x v="0"/>
    <x v="0"/>
    <x v="0"/>
    <s v="Multi-Year"/>
    <x v="1"/>
    <s v="N/A"/>
    <n v="2400000"/>
    <s v="Confirmed"/>
    <m/>
    <x v="0"/>
    <x v="0"/>
    <s v="Approved"/>
    <x v="2"/>
    <x v="0"/>
    <m/>
    <n v="0"/>
    <x v="0"/>
    <s v="High"/>
    <n v="147296124.32232863"/>
  </r>
  <r>
    <x v="0"/>
    <x v="129"/>
    <x v="129"/>
    <x v="3"/>
    <x v="0"/>
    <x v="0"/>
    <x v="0"/>
    <x v="0"/>
    <s v="Multi-Year"/>
    <x v="1"/>
    <s v="N/A"/>
    <s v=""/>
    <s v="Confirmed"/>
    <m/>
    <x v="0"/>
    <x v="0"/>
    <s v=""/>
    <x v="2"/>
    <x v="0"/>
    <m/>
    <n v="0"/>
    <x v="0"/>
    <s v="…"/>
    <n v="890576536.83065879"/>
  </r>
  <r>
    <x v="0"/>
    <x v="130"/>
    <x v="130"/>
    <x v="6"/>
    <x v="0"/>
    <x v="0"/>
    <x v="0"/>
    <x v="0"/>
    <s v="Multi-Year"/>
    <x v="1"/>
    <s v="N/A"/>
    <s v=""/>
    <s v="Confirmed"/>
    <m/>
    <x v="0"/>
    <x v="0"/>
    <s v=""/>
    <x v="1"/>
    <x v="1"/>
    <m/>
    <n v="0"/>
    <x v="0"/>
    <s v=""/>
    <n v="14611129792.346064"/>
  </r>
  <r>
    <x v="0"/>
    <x v="131"/>
    <x v="131"/>
    <x v="6"/>
    <x v="0"/>
    <x v="0"/>
    <x v="0"/>
    <x v="0"/>
    <s v="Multi-Year"/>
    <x v="1"/>
    <s v="N/A"/>
    <s v=""/>
    <s v="Confirmed"/>
    <m/>
    <x v="0"/>
    <x v="0"/>
    <s v=""/>
    <x v="2"/>
    <x v="0"/>
    <m/>
    <n v="0"/>
    <x v="1"/>
    <s v="Low"/>
    <n v="72046877.233008593"/>
  </r>
  <r>
    <x v="0"/>
    <x v="132"/>
    <x v="132"/>
    <x v="5"/>
    <x v="0"/>
    <x v="0"/>
    <x v="0"/>
    <x v="0"/>
    <s v="Multi-Year"/>
    <x v="1"/>
    <s v="N/A"/>
    <n v="21600000"/>
    <s v="Confirmed"/>
    <m/>
    <x v="0"/>
    <x v="0"/>
    <s v="Approved"/>
    <x v="0"/>
    <x v="0"/>
    <m/>
    <n v="0"/>
    <x v="0"/>
    <s v="High"/>
    <n v="56248139.267255567"/>
  </r>
  <r>
    <x v="0"/>
    <x v="133"/>
    <x v="133"/>
    <x v="6"/>
    <x v="0"/>
    <x v="0"/>
    <x v="0"/>
    <x v="0"/>
    <s v="Multi-Year"/>
    <x v="1"/>
    <s v="N/A"/>
    <s v=""/>
    <s v="Confirmed"/>
    <m/>
    <x v="0"/>
    <x v="0"/>
    <s v=""/>
    <x v="1"/>
    <x v="0"/>
    <m/>
    <n v="0"/>
    <x v="1"/>
    <s v="High"/>
    <n v="15464031.712942109"/>
  </r>
  <r>
    <x v="0"/>
    <x v="134"/>
    <x v="134"/>
    <x v="4"/>
    <x v="0"/>
    <x v="0"/>
    <x v="0"/>
    <x v="0"/>
    <s v="Multi-Year"/>
    <x v="1"/>
    <s v="N/A"/>
    <s v=""/>
    <s v="Confirmed"/>
    <m/>
    <x v="0"/>
    <x v="0"/>
    <s v=""/>
    <x v="3"/>
    <x v="1"/>
    <m/>
    <n v="0"/>
    <x v="1"/>
    <s v="N/A"/>
    <n v="769564399.33249676"/>
  </r>
  <r>
    <x v="0"/>
    <x v="135"/>
    <x v="135"/>
    <x v="2"/>
    <x v="0"/>
    <x v="0"/>
    <x v="0"/>
    <x v="0"/>
    <s v="Multi-Year"/>
    <x v="1"/>
    <s v="N/A"/>
    <n v="9300000"/>
    <s v="Confirmed"/>
    <m/>
    <x v="0"/>
    <x v="0"/>
    <s v="Approved"/>
    <x v="2"/>
    <x v="0"/>
    <m/>
    <n v="0"/>
    <x v="0"/>
    <s v="N/A"/>
    <n v="1668954539.7630196"/>
  </r>
  <r>
    <x v="0"/>
    <x v="136"/>
    <x v="136"/>
    <x v="1"/>
    <x v="0"/>
    <x v="0"/>
    <x v="0"/>
    <x v="0"/>
    <s v="Multi-Year"/>
    <x v="1"/>
    <s v="N/A"/>
    <s v=""/>
    <s v="Confirmed"/>
    <m/>
    <x v="0"/>
    <x v="0"/>
    <s v=""/>
    <x v="1"/>
    <x v="1"/>
    <m/>
    <n v="0"/>
    <x v="0"/>
    <s v=""/>
    <n v="24840920016.18832"/>
  </r>
  <r>
    <x v="0"/>
    <x v="137"/>
    <x v="137"/>
    <x v="1"/>
    <x v="0"/>
    <x v="0"/>
    <x v="0"/>
    <x v="0"/>
    <s v="Multi-Year"/>
    <x v="1"/>
    <s v="N/A"/>
    <n v="0"/>
    <s v="Confirmed"/>
    <m/>
    <x v="0"/>
    <x v="0"/>
    <s v="Ineligible"/>
    <x v="1"/>
    <x v="1"/>
    <m/>
    <n v="0"/>
    <x v="0"/>
    <s v="N/A"/>
    <n v="487888462.83720118"/>
  </r>
  <r>
    <x v="0"/>
    <x v="138"/>
    <x v="138"/>
    <x v="6"/>
    <x v="0"/>
    <x v="0"/>
    <x v="0"/>
    <x v="0"/>
    <s v="Multi-Year"/>
    <x v="1"/>
    <s v="N/A"/>
    <s v=""/>
    <s v="Confirmed"/>
    <m/>
    <x v="0"/>
    <x v="0"/>
    <s v=""/>
    <x v="1"/>
    <x v="0"/>
    <m/>
    <n v="0"/>
    <x v="1"/>
    <s v="…"/>
    <n v="6365061.1736073596"/>
  </r>
  <r>
    <x v="0"/>
    <x v="139"/>
    <x v="139"/>
    <x v="3"/>
    <x v="0"/>
    <x v="0"/>
    <x v="0"/>
    <x v="0"/>
    <s v="Multi-Year"/>
    <x v="1"/>
    <s v="N/A"/>
    <n v="20150000"/>
    <s v="Confirmed"/>
    <m/>
    <x v="0"/>
    <x v="0"/>
    <s v="Approved"/>
    <x v="0"/>
    <x v="0"/>
    <m/>
    <n v="2"/>
    <x v="0"/>
    <s v="Low"/>
    <n v="291799092.90196139"/>
  </r>
  <r>
    <x v="0"/>
    <x v="140"/>
    <x v="140"/>
    <x v="1"/>
    <x v="0"/>
    <x v="0"/>
    <x v="0"/>
    <x v="0"/>
    <s v="Multi-Year"/>
    <x v="1"/>
    <s v="N/A"/>
    <n v="70000000"/>
    <s v="Confirmed"/>
    <m/>
    <x v="0"/>
    <x v="0"/>
    <s v="Approved"/>
    <x v="2"/>
    <x v="0"/>
    <m/>
    <n v="0"/>
    <x v="0"/>
    <s v="N/A"/>
    <n v="4844815340.2135534"/>
  </r>
  <r>
    <x v="0"/>
    <x v="141"/>
    <x v="141"/>
    <x v="4"/>
    <x v="0"/>
    <x v="0"/>
    <x v="0"/>
    <x v="0"/>
    <s v="Multi-Year"/>
    <x v="1"/>
    <s v="N/A"/>
    <s v=""/>
    <s v="Confirmed"/>
    <m/>
    <x v="0"/>
    <x v="0"/>
    <s v=""/>
    <x v="3"/>
    <x v="1"/>
    <m/>
    <n v="0"/>
    <x v="0"/>
    <s v=""/>
    <n v="4001891446.6871672"/>
  </r>
  <r>
    <x v="0"/>
    <x v="142"/>
    <x v="142"/>
    <x v="1"/>
    <x v="0"/>
    <x v="0"/>
    <x v="0"/>
    <x v="0"/>
    <s v="Multi-Year"/>
    <x v="1"/>
    <s v="N/A"/>
    <s v=""/>
    <s v="Confirmed"/>
    <m/>
    <x v="0"/>
    <x v="0"/>
    <s v=""/>
    <x v="2"/>
    <x v="0"/>
    <m/>
    <n v="0"/>
    <x v="0"/>
    <s v="Low"/>
    <n v="1019800630.5853213"/>
  </r>
  <r>
    <x v="0"/>
    <x v="143"/>
    <x v="143"/>
    <x v="6"/>
    <x v="0"/>
    <x v="0"/>
    <x v="0"/>
    <x v="0"/>
    <s v="Multi-Year"/>
    <x v="1"/>
    <s v="N/A"/>
    <s v=""/>
    <s v="Confirmed"/>
    <m/>
    <x v="0"/>
    <x v="0"/>
    <s v=""/>
    <x v="2"/>
    <x v="0"/>
    <m/>
    <n v="0"/>
    <x v="1"/>
    <s v="Moderate"/>
    <n v="19578671.310841195"/>
  </r>
  <r>
    <x v="0"/>
    <x v="144"/>
    <x v="144"/>
    <x v="4"/>
    <x v="0"/>
    <x v="0"/>
    <x v="0"/>
    <x v="0"/>
    <s v="Multi-Year"/>
    <x v="1"/>
    <s v="N/A"/>
    <s v=""/>
    <s v="Confirmed"/>
    <m/>
    <x v="0"/>
    <x v="0"/>
    <s v=""/>
    <x v="4"/>
    <x v="1"/>
    <m/>
    <n v="0"/>
    <x v="0"/>
    <s v="N/A"/>
    <n v="3551452001.0684834"/>
  </r>
  <r>
    <x v="0"/>
    <x v="145"/>
    <x v="145"/>
    <x v="6"/>
    <x v="0"/>
    <x v="0"/>
    <x v="0"/>
    <x v="0"/>
    <s v="Multi-Year"/>
    <x v="1"/>
    <s v="N/A"/>
    <s v=""/>
    <s v="Confirmed"/>
    <m/>
    <x v="0"/>
    <x v="0"/>
    <s v=""/>
    <x v="2"/>
    <x v="0"/>
    <m/>
    <n v="0"/>
    <x v="0"/>
    <s v="N/A"/>
    <n v="6603048821.7575006"/>
  </r>
  <r>
    <x v="0"/>
    <x v="146"/>
    <x v="146"/>
    <x v="2"/>
    <x v="0"/>
    <x v="0"/>
    <x v="0"/>
    <x v="0"/>
    <s v="Multi-Year"/>
    <x v="1"/>
    <s v="N/A"/>
    <n v="17800000"/>
    <s v="Confirmed"/>
    <m/>
    <x v="0"/>
    <x v="0"/>
    <s v="Approved"/>
    <x v="0"/>
    <x v="0"/>
    <m/>
    <n v="1"/>
    <x v="0"/>
    <s v="…"/>
    <s v=""/>
  </r>
  <r>
    <x v="0"/>
    <x v="147"/>
    <x v="147"/>
    <x v="3"/>
    <x v="0"/>
    <x v="0"/>
    <x v="0"/>
    <x v="0"/>
    <s v="Multi-Year"/>
    <x v="1"/>
    <s v="N/A"/>
    <n v="11800000"/>
    <s v="Confirmed"/>
    <m/>
    <x v="0"/>
    <x v="0"/>
    <s v="Approved"/>
    <x v="2"/>
    <x v="0"/>
    <m/>
    <n v="0"/>
    <x v="0"/>
    <s v="High"/>
    <n v="515352723.9821828"/>
  </r>
  <r>
    <x v="0"/>
    <x v="148"/>
    <x v="148"/>
    <x v="3"/>
    <x v="0"/>
    <x v="0"/>
    <x v="0"/>
    <x v="0"/>
    <s v="Multi-Year"/>
    <x v="1"/>
    <s v="N/A"/>
    <n v="0"/>
    <s v="Confirmed"/>
    <m/>
    <x v="0"/>
    <x v="0"/>
    <s v="Under Preparation"/>
    <x v="2"/>
    <x v="0"/>
    <m/>
    <n v="0"/>
    <x v="0"/>
    <s v="N/A"/>
    <n v="566711742.22428358"/>
  </r>
  <r>
    <x v="0"/>
    <x v="0"/>
    <x v="0"/>
    <x v="0"/>
    <x v="0"/>
    <x v="0"/>
    <x v="0"/>
    <x v="0"/>
    <s v="Multi-Year"/>
    <x v="2"/>
    <s v="N/A"/>
    <n v="8600000"/>
    <s v="Confirmed"/>
    <m/>
    <x v="0"/>
    <x v="0"/>
    <s v="Approved"/>
    <x v="0"/>
    <x v="0"/>
    <m/>
    <n v="1"/>
    <x v="0"/>
    <s v="High"/>
    <n v="95829480.719269618"/>
  </r>
  <r>
    <x v="0"/>
    <x v="1"/>
    <x v="1"/>
    <x v="1"/>
    <x v="0"/>
    <x v="0"/>
    <x v="0"/>
    <x v="0"/>
    <s v="Multi-Year"/>
    <x v="2"/>
    <s v="N/A"/>
    <s v=""/>
    <s v="Confirmed"/>
    <m/>
    <x v="0"/>
    <x v="0"/>
    <s v=""/>
    <x v="1"/>
    <x v="1"/>
    <m/>
    <n v="0"/>
    <x v="0"/>
    <s v=""/>
    <n v="427904035.52443534"/>
  </r>
  <r>
    <x v="0"/>
    <x v="2"/>
    <x v="2"/>
    <x v="2"/>
    <x v="0"/>
    <x v="0"/>
    <x v="0"/>
    <x v="0"/>
    <s v="Multi-Year"/>
    <x v="2"/>
    <s v="N/A"/>
    <s v=""/>
    <s v="Confirmed"/>
    <m/>
    <x v="0"/>
    <x v="0"/>
    <s v=""/>
    <x v="2"/>
    <x v="0"/>
    <m/>
    <n v="0"/>
    <x v="0"/>
    <s v="N/A"/>
    <n v="7113361022.7267885"/>
  </r>
  <r>
    <x v="0"/>
    <x v="3"/>
    <x v="3"/>
    <x v="3"/>
    <x v="0"/>
    <x v="0"/>
    <x v="0"/>
    <x v="0"/>
    <s v="Multi-Year"/>
    <x v="2"/>
    <s v="N/A"/>
    <n v="17000000"/>
    <s v="Confirmed"/>
    <m/>
    <x v="0"/>
    <x v="0"/>
    <s v="Approved"/>
    <x v="2"/>
    <x v="0"/>
    <m/>
    <n v="0"/>
    <x v="0"/>
    <s v="…"/>
    <n v="1131865946.5875781"/>
  </r>
  <r>
    <x v="0"/>
    <x v="4"/>
    <x v="4"/>
    <x v="4"/>
    <x v="0"/>
    <x v="0"/>
    <x v="0"/>
    <x v="0"/>
    <s v="Multi-Year"/>
    <x v="2"/>
    <s v="N/A"/>
    <s v=""/>
    <s v="Confirmed"/>
    <m/>
    <x v="0"/>
    <x v="0"/>
    <s v=""/>
    <x v="3"/>
    <x v="1"/>
    <m/>
    <n v="0"/>
    <x v="1"/>
    <s v=""/>
    <n v="46777779.823447868"/>
  </r>
  <r>
    <x v="0"/>
    <x v="5"/>
    <x v="5"/>
    <x v="4"/>
    <x v="0"/>
    <x v="0"/>
    <x v="0"/>
    <x v="0"/>
    <s v="Multi-Year"/>
    <x v="2"/>
    <s v="N/A"/>
    <n v="1000000"/>
    <s v="Confirmed"/>
    <m/>
    <x v="0"/>
    <x v="0"/>
    <s v="Approved"/>
    <x v="1"/>
    <x v="1"/>
    <m/>
    <n v="0"/>
    <x v="0"/>
    <s v=""/>
    <n v="30725305777.596794"/>
  </r>
  <r>
    <x v="0"/>
    <x v="6"/>
    <x v="6"/>
    <x v="1"/>
    <x v="0"/>
    <x v="0"/>
    <x v="0"/>
    <x v="0"/>
    <s v="Multi-Year"/>
    <x v="2"/>
    <s v="N/A"/>
    <s v=""/>
    <s v="Confirmed"/>
    <m/>
    <x v="0"/>
    <x v="0"/>
    <s v=""/>
    <x v="1"/>
    <x v="1"/>
    <m/>
    <n v="0"/>
    <x v="0"/>
    <s v=""/>
    <n v="153815827.8380394"/>
  </r>
  <r>
    <x v="0"/>
    <x v="7"/>
    <x v="7"/>
    <x v="1"/>
    <x v="0"/>
    <x v="0"/>
    <x v="0"/>
    <x v="0"/>
    <s v="Multi-Year"/>
    <x v="2"/>
    <s v="N/A"/>
    <n v="0"/>
    <s v="Confirmed"/>
    <m/>
    <x v="0"/>
    <x v="0"/>
    <s v=""/>
    <x v="1"/>
    <x v="1"/>
    <m/>
    <n v="0"/>
    <x v="0"/>
    <s v="N/A"/>
    <n v="437525105.31216973"/>
  </r>
  <r>
    <x v="0"/>
    <x v="8"/>
    <x v="8"/>
    <x v="4"/>
    <x v="0"/>
    <x v="0"/>
    <x v="0"/>
    <x v="0"/>
    <s v="Multi-Year"/>
    <x v="2"/>
    <s v="N/A"/>
    <s v=""/>
    <s v="Confirmed"/>
    <m/>
    <x v="0"/>
    <x v="0"/>
    <s v=""/>
    <x v="3"/>
    <x v="1"/>
    <m/>
    <n v="0"/>
    <x v="1"/>
    <s v=""/>
    <n v="149463302.00602186"/>
  </r>
  <r>
    <x v="0"/>
    <x v="9"/>
    <x v="9"/>
    <x v="0"/>
    <x v="0"/>
    <x v="0"/>
    <x v="0"/>
    <x v="0"/>
    <s v="Multi-Year"/>
    <x v="2"/>
    <s v="N/A"/>
    <n v="0"/>
    <s v="Confirmed"/>
    <m/>
    <x v="0"/>
    <x v="0"/>
    <s v="Approved"/>
    <x v="2"/>
    <x v="0"/>
    <m/>
    <n v="0"/>
    <x v="0"/>
    <s v="Low"/>
    <n v="1148322593.9600098"/>
  </r>
  <r>
    <x v="0"/>
    <x v="10"/>
    <x v="10"/>
    <x v="1"/>
    <x v="0"/>
    <x v="0"/>
    <x v="0"/>
    <x v="0"/>
    <s v="Multi-Year"/>
    <x v="2"/>
    <s v="N/A"/>
    <s v=""/>
    <s v="Confirmed"/>
    <m/>
    <x v="0"/>
    <x v="0"/>
    <s v=""/>
    <x v="1"/>
    <x v="1"/>
    <m/>
    <n v="0"/>
    <x v="0"/>
    <s v=""/>
    <n v="2371102058.1093163"/>
  </r>
  <r>
    <x v="0"/>
    <x v="11"/>
    <x v="11"/>
    <x v="4"/>
    <x v="0"/>
    <x v="0"/>
    <x v="0"/>
    <x v="0"/>
    <s v="Multi-Year"/>
    <x v="2"/>
    <s v="N/A"/>
    <s v=""/>
    <s v="Confirmed"/>
    <m/>
    <x v="0"/>
    <x v="0"/>
    <s v=""/>
    <x v="2"/>
    <x v="1"/>
    <m/>
    <n v="0"/>
    <x v="1"/>
    <s v="N/A"/>
    <n v="75151620.005215243"/>
  </r>
  <r>
    <x v="0"/>
    <x v="12"/>
    <x v="12"/>
    <x v="5"/>
    <x v="0"/>
    <x v="0"/>
    <x v="0"/>
    <x v="0"/>
    <s v="Multi-Year"/>
    <x v="2"/>
    <s v="N/A"/>
    <n v="0"/>
    <s v="Confirmed"/>
    <m/>
    <x v="0"/>
    <x v="0"/>
    <s v="Approved"/>
    <x v="2"/>
    <x v="0"/>
    <m/>
    <n v="0"/>
    <x v="0"/>
    <s v="Moderate"/>
    <n v="69958487.197715744"/>
  </r>
  <r>
    <x v="0"/>
    <x v="13"/>
    <x v="13"/>
    <x v="0"/>
    <x v="0"/>
    <x v="0"/>
    <x v="0"/>
    <x v="0"/>
    <s v="Multi-Year"/>
    <x v="2"/>
    <s v="N/A"/>
    <n v="0"/>
    <s v="Confirmed"/>
    <m/>
    <x v="0"/>
    <x v="0"/>
    <s v="Approved"/>
    <x v="2"/>
    <x v="0"/>
    <m/>
    <n v="0"/>
    <x v="0"/>
    <s v="…"/>
    <n v="61654608.560629159"/>
  </r>
  <r>
    <x v="0"/>
    <x v="14"/>
    <x v="14"/>
    <x v="4"/>
    <x v="0"/>
    <x v="0"/>
    <x v="0"/>
    <x v="0"/>
    <s v="Multi-Year"/>
    <x v="2"/>
    <s v="N/A"/>
    <n v="0"/>
    <s v="Confirmed"/>
    <m/>
    <x v="0"/>
    <x v="0"/>
    <s v=""/>
    <x v="2"/>
    <x v="0"/>
    <m/>
    <n v="0"/>
    <x v="0"/>
    <s v="N/A"/>
    <n v="1806638707.7615163"/>
  </r>
  <r>
    <x v="0"/>
    <x v="15"/>
    <x v="15"/>
    <x v="1"/>
    <x v="0"/>
    <x v="0"/>
    <x v="0"/>
    <x v="0"/>
    <s v="Multi-Year"/>
    <x v="2"/>
    <s v="N/A"/>
    <s v=""/>
    <s v="Confirmed"/>
    <m/>
    <x v="0"/>
    <x v="0"/>
    <s v=""/>
    <x v="1"/>
    <x v="1"/>
    <m/>
    <n v="0"/>
    <x v="0"/>
    <s v="N/A"/>
    <n v="1252696525.0627904"/>
  </r>
  <r>
    <x v="0"/>
    <x v="16"/>
    <x v="16"/>
    <x v="3"/>
    <x v="0"/>
    <x v="0"/>
    <x v="0"/>
    <x v="0"/>
    <s v="Multi-Year"/>
    <x v="2"/>
    <s v="N/A"/>
    <s v=""/>
    <s v="Confirmed"/>
    <m/>
    <x v="0"/>
    <x v="0"/>
    <s v=""/>
    <x v="1"/>
    <x v="1"/>
    <m/>
    <n v="0"/>
    <x v="0"/>
    <s v=""/>
    <n v="843425084.07334602"/>
  </r>
  <r>
    <x v="0"/>
    <x v="17"/>
    <x v="17"/>
    <x v="4"/>
    <x v="0"/>
    <x v="0"/>
    <x v="0"/>
    <x v="0"/>
    <s v="Multi-Year"/>
    <x v="2"/>
    <s v="N/A"/>
    <s v=""/>
    <s v="Confirmed"/>
    <m/>
    <x v="0"/>
    <x v="0"/>
    <s v=""/>
    <x v="1"/>
    <x v="1"/>
    <m/>
    <n v="0"/>
    <x v="0"/>
    <s v="N/A"/>
    <n v="74055620038.853683"/>
  </r>
  <r>
    <x v="0"/>
    <x v="18"/>
    <x v="18"/>
    <x v="1"/>
    <x v="0"/>
    <x v="0"/>
    <x v="0"/>
    <x v="0"/>
    <s v="Multi-Year"/>
    <x v="2"/>
    <s v="N/A"/>
    <s v=""/>
    <s v="Confirmed"/>
    <m/>
    <x v="0"/>
    <x v="0"/>
    <s v=""/>
    <x v="1"/>
    <x v="1"/>
    <m/>
    <n v="0"/>
    <x v="0"/>
    <s v=""/>
    <n v="2803357765.5888777"/>
  </r>
  <r>
    <x v="0"/>
    <x v="19"/>
    <x v="19"/>
    <x v="5"/>
    <x v="0"/>
    <x v="0"/>
    <x v="0"/>
    <x v="0"/>
    <s v="Multi-Year"/>
    <x v="2"/>
    <s v="N/A"/>
    <s v=""/>
    <s v="Confirmed"/>
    <m/>
    <x v="0"/>
    <x v="0"/>
    <s v=""/>
    <x v="0"/>
    <x v="0"/>
    <m/>
    <n v="2"/>
    <x v="0"/>
    <s v="Moderate"/>
    <n v="337927779.25510043"/>
  </r>
  <r>
    <x v="0"/>
    <x v="20"/>
    <x v="20"/>
    <x v="3"/>
    <x v="0"/>
    <x v="0"/>
    <x v="0"/>
    <x v="0"/>
    <s v="Multi-Year"/>
    <x v="2"/>
    <s v="N/A"/>
    <n v="20900000"/>
    <s v="Confirmed"/>
    <m/>
    <x v="0"/>
    <x v="0"/>
    <s v="Approved"/>
    <x v="0"/>
    <x v="0"/>
    <m/>
    <n v="2"/>
    <x v="0"/>
    <s v="…"/>
    <n v="65979512.47399316"/>
  </r>
  <r>
    <x v="0"/>
    <x v="21"/>
    <x v="21"/>
    <x v="5"/>
    <x v="0"/>
    <x v="0"/>
    <x v="0"/>
    <x v="0"/>
    <s v="Multi-Year"/>
    <x v="2"/>
    <s v="N/A"/>
    <n v="1700000"/>
    <s v="Confirmed"/>
    <m/>
    <x v="0"/>
    <x v="0"/>
    <s v="Approved"/>
    <x v="2"/>
    <x v="0"/>
    <m/>
    <n v="0"/>
    <x v="1"/>
    <s v="High"/>
    <n v="63748362.778827004"/>
  </r>
  <r>
    <x v="0"/>
    <x v="22"/>
    <x v="22"/>
    <x v="6"/>
    <x v="0"/>
    <x v="0"/>
    <x v="0"/>
    <x v="0"/>
    <s v="Multi-Year"/>
    <x v="2"/>
    <s v="N/A"/>
    <n v="0"/>
    <s v="Confirmed"/>
    <m/>
    <x v="0"/>
    <x v="0"/>
    <s v="Approved"/>
    <x v="2"/>
    <x v="0"/>
    <m/>
    <n v="0"/>
    <x v="0"/>
    <s v="Low"/>
    <n v="313039649.45369786"/>
  </r>
  <r>
    <x v="0"/>
    <x v="23"/>
    <x v="23"/>
    <x v="5"/>
    <x v="0"/>
    <x v="0"/>
    <x v="0"/>
    <x v="0"/>
    <s v="Multi-Year"/>
    <x v="2"/>
    <s v="N/A"/>
    <n v="11000000"/>
    <s v="Confirmed"/>
    <m/>
    <x v="0"/>
    <x v="0"/>
    <s v="Approved"/>
    <x v="2"/>
    <x v="0"/>
    <m/>
    <n v="2"/>
    <x v="0"/>
    <s v="High"/>
    <n v="81361801.477472037"/>
  </r>
  <r>
    <x v="0"/>
    <x v="24"/>
    <x v="24"/>
    <x v="5"/>
    <x v="0"/>
    <x v="0"/>
    <x v="0"/>
    <x v="0"/>
    <s v="Multi-Year"/>
    <x v="2"/>
    <s v="N/A"/>
    <s v=""/>
    <s v="Confirmed"/>
    <m/>
    <x v="0"/>
    <x v="0"/>
    <s v=""/>
    <x v="0"/>
    <x v="0"/>
    <m/>
    <n v="1"/>
    <x v="0"/>
    <s v="High"/>
    <s v=""/>
  </r>
  <r>
    <x v="0"/>
    <x v="25"/>
    <x v="25"/>
    <x v="5"/>
    <x v="0"/>
    <x v="0"/>
    <x v="0"/>
    <x v="0"/>
    <s v="Multi-Year"/>
    <x v="2"/>
    <s v="N/A"/>
    <n v="3000000"/>
    <s v="Confirmed"/>
    <m/>
    <x v="0"/>
    <x v="0"/>
    <s v="Approved"/>
    <x v="0"/>
    <x v="0"/>
    <m/>
    <n v="1"/>
    <x v="0"/>
    <s v="High"/>
    <n v="76939306.715636879"/>
  </r>
  <r>
    <x v="0"/>
    <x v="26"/>
    <x v="26"/>
    <x v="4"/>
    <x v="0"/>
    <x v="0"/>
    <x v="0"/>
    <x v="0"/>
    <s v="Multi-Year"/>
    <x v="2"/>
    <s v="N/A"/>
    <s v=""/>
    <s v="Confirmed"/>
    <m/>
    <x v="0"/>
    <x v="0"/>
    <s v=""/>
    <x v="3"/>
    <x v="1"/>
    <m/>
    <n v="0"/>
    <x v="0"/>
    <s v=""/>
    <n v="13859708717.682571"/>
  </r>
  <r>
    <x v="0"/>
    <x v="27"/>
    <x v="27"/>
    <x v="6"/>
    <x v="0"/>
    <x v="0"/>
    <x v="0"/>
    <x v="0"/>
    <s v="Multi-Year"/>
    <x v="2"/>
    <s v="N/A"/>
    <s v=""/>
    <s v="Confirmed"/>
    <m/>
    <x v="0"/>
    <x v="0"/>
    <s v=""/>
    <x v="1"/>
    <x v="1"/>
    <m/>
    <n v="0"/>
    <x v="0"/>
    <s v=""/>
    <n v="403567160707.7016"/>
  </r>
  <r>
    <x v="0"/>
    <x v="28"/>
    <x v="28"/>
    <x v="4"/>
    <x v="0"/>
    <x v="0"/>
    <x v="0"/>
    <x v="0"/>
    <s v="Multi-Year"/>
    <x v="2"/>
    <s v="N/A"/>
    <s v=""/>
    <s v="Confirmed"/>
    <m/>
    <x v="0"/>
    <x v="0"/>
    <s v=""/>
    <x v="1"/>
    <x v="1"/>
    <m/>
    <n v="0"/>
    <x v="0"/>
    <s v=""/>
    <n v="18250225995.972618"/>
  </r>
  <r>
    <x v="0"/>
    <x v="29"/>
    <x v="29"/>
    <x v="3"/>
    <x v="0"/>
    <x v="0"/>
    <x v="0"/>
    <x v="0"/>
    <s v="Multi-Year"/>
    <x v="2"/>
    <s v="N/A"/>
    <n v="2700000"/>
    <s v="Confirmed"/>
    <m/>
    <x v="0"/>
    <x v="0"/>
    <s v="Approved"/>
    <x v="2"/>
    <x v="0"/>
    <m/>
    <n v="0"/>
    <x v="1"/>
    <s v="Moderate"/>
    <n v="5027591.1682657599"/>
  </r>
  <r>
    <x v="0"/>
    <x v="30"/>
    <x v="30"/>
    <x v="5"/>
    <x v="0"/>
    <x v="0"/>
    <x v="0"/>
    <x v="0"/>
    <s v="Multi-Year"/>
    <x v="2"/>
    <s v="N/A"/>
    <n v="65000000"/>
    <s v="Confirmed"/>
    <m/>
    <x v="0"/>
    <x v="0"/>
    <s v="Approved"/>
    <x v="0"/>
    <x v="0"/>
    <m/>
    <n v="3"/>
    <x v="0"/>
    <s v="Moderate"/>
    <n v="234645958.63289919"/>
  </r>
  <r>
    <x v="0"/>
    <x v="31"/>
    <x v="31"/>
    <x v="5"/>
    <x v="0"/>
    <x v="0"/>
    <x v="0"/>
    <x v="0"/>
    <s v="Multi-Year"/>
    <x v="2"/>
    <s v="N/A"/>
    <n v="1900000"/>
    <s v="Confirmed"/>
    <m/>
    <x v="0"/>
    <x v="0"/>
    <s v="Approved"/>
    <x v="2"/>
    <x v="0"/>
    <m/>
    <n v="2"/>
    <x v="0"/>
    <s v="In distress"/>
    <n v="91590910.247314155"/>
  </r>
  <r>
    <x v="0"/>
    <x v="32"/>
    <x v="32"/>
    <x v="6"/>
    <x v="0"/>
    <x v="0"/>
    <x v="0"/>
    <x v="0"/>
    <s v="Multi-Year"/>
    <x v="2"/>
    <s v="N/A"/>
    <s v=""/>
    <s v="Confirmed"/>
    <m/>
    <x v="0"/>
    <x v="0"/>
    <s v=""/>
    <x v="4"/>
    <x v="1"/>
    <m/>
    <n v="0"/>
    <x v="1"/>
    <s v="N/A"/>
    <n v="8560012.8840167802"/>
  </r>
  <r>
    <x v="0"/>
    <x v="33"/>
    <x v="33"/>
    <x v="4"/>
    <x v="0"/>
    <x v="0"/>
    <x v="0"/>
    <x v="0"/>
    <s v="Multi-Year"/>
    <x v="2"/>
    <s v="N/A"/>
    <s v=""/>
    <s v="Confirmed"/>
    <m/>
    <x v="0"/>
    <x v="0"/>
    <s v=""/>
    <x v="1"/>
    <x v="1"/>
    <m/>
    <n v="0"/>
    <x v="0"/>
    <s v="N/A"/>
    <n v="3292372960.3962669"/>
  </r>
  <r>
    <x v="0"/>
    <x v="34"/>
    <x v="34"/>
    <x v="5"/>
    <x v="0"/>
    <x v="0"/>
    <x v="0"/>
    <x v="0"/>
    <s v="Multi-Year"/>
    <x v="2"/>
    <s v="N/A"/>
    <n v="5100000"/>
    <s v="Confirmed"/>
    <m/>
    <x v="0"/>
    <x v="0"/>
    <s v="Approved"/>
    <x v="2"/>
    <x v="0"/>
    <m/>
    <n v="0"/>
    <x v="0"/>
    <s v="Moderate"/>
    <n v="519209981.22981054"/>
  </r>
  <r>
    <x v="0"/>
    <x v="35"/>
    <x v="35"/>
    <x v="1"/>
    <x v="0"/>
    <x v="0"/>
    <x v="0"/>
    <x v="0"/>
    <s v="Multi-Year"/>
    <x v="2"/>
    <s v="N/A"/>
    <s v=""/>
    <s v="Confirmed"/>
    <m/>
    <x v="0"/>
    <x v="0"/>
    <s v=""/>
    <x v="3"/>
    <x v="1"/>
    <m/>
    <n v="0"/>
    <x v="0"/>
    <s v=""/>
    <n v="3464739907.1604805"/>
  </r>
  <r>
    <x v="0"/>
    <x v="36"/>
    <x v="36"/>
    <x v="4"/>
    <x v="0"/>
    <x v="0"/>
    <x v="0"/>
    <x v="0"/>
    <s v="Multi-Year"/>
    <x v="2"/>
    <s v="N/A"/>
    <s v=""/>
    <s v="Confirmed"/>
    <m/>
    <x v="0"/>
    <x v="0"/>
    <s v=""/>
    <x v="1"/>
    <x v="1"/>
    <m/>
    <n v="0"/>
    <x v="1"/>
    <s v=""/>
    <n v="9948521252.2569065"/>
  </r>
  <r>
    <x v="0"/>
    <x v="37"/>
    <x v="37"/>
    <x v="2"/>
    <x v="0"/>
    <x v="0"/>
    <x v="0"/>
    <x v="0"/>
    <s v="Multi-Year"/>
    <x v="2"/>
    <s v="N/A"/>
    <s v=""/>
    <s v="Confirmed"/>
    <m/>
    <x v="0"/>
    <x v="0"/>
    <s v=""/>
    <x v="2"/>
    <x v="0"/>
    <m/>
    <n v="1"/>
    <x v="0"/>
    <s v="High"/>
    <n v="33679192.765657313"/>
  </r>
  <r>
    <x v="0"/>
    <x v="38"/>
    <x v="38"/>
    <x v="4"/>
    <x v="0"/>
    <x v="0"/>
    <x v="0"/>
    <x v="0"/>
    <s v="Multi-Year"/>
    <x v="2"/>
    <s v="N/A"/>
    <s v=""/>
    <s v="Confirmed"/>
    <m/>
    <x v="0"/>
    <x v="0"/>
    <s v=""/>
    <x v="1"/>
    <x v="0"/>
    <m/>
    <n v="0"/>
    <x v="1"/>
    <s v="…"/>
    <n v="22784494.365742501"/>
  </r>
  <r>
    <x v="0"/>
    <x v="39"/>
    <x v="39"/>
    <x v="4"/>
    <x v="0"/>
    <x v="0"/>
    <x v="0"/>
    <x v="0"/>
    <s v="Multi-Year"/>
    <x v="2"/>
    <s v="N/A"/>
    <s v=""/>
    <s v="Confirmed"/>
    <m/>
    <x v="0"/>
    <x v="0"/>
    <s v=""/>
    <x v="1"/>
    <x v="1"/>
    <m/>
    <n v="0"/>
    <x v="1"/>
    <s v=""/>
    <n v="2173208011.4858823"/>
  </r>
  <r>
    <x v="0"/>
    <x v="40"/>
    <x v="40"/>
    <x v="4"/>
    <x v="0"/>
    <x v="0"/>
    <x v="0"/>
    <x v="0"/>
    <s v="Multi-Year"/>
    <x v="2"/>
    <s v="N/A"/>
    <n v="27700000"/>
    <s v="Confirmed"/>
    <m/>
    <x v="0"/>
    <x v="0"/>
    <s v="Approved"/>
    <x v="1"/>
    <x v="1"/>
    <m/>
    <n v="0"/>
    <x v="0"/>
    <s v="N/A"/>
    <n v="4585736158.8323269"/>
  </r>
  <r>
    <x v="0"/>
    <x v="41"/>
    <x v="41"/>
    <x v="2"/>
    <x v="0"/>
    <x v="0"/>
    <x v="0"/>
    <x v="0"/>
    <s v="Multi-Year"/>
    <x v="2"/>
    <s v="N/A"/>
    <n v="0"/>
    <s v="Confirmed"/>
    <m/>
    <x v="0"/>
    <x v="0"/>
    <s v=""/>
    <x v="2"/>
    <x v="0"/>
    <m/>
    <n v="0"/>
    <x v="0"/>
    <s v="N/A"/>
    <n v="3550291584.8645592"/>
  </r>
  <r>
    <x v="0"/>
    <x v="42"/>
    <x v="42"/>
    <x v="4"/>
    <x v="0"/>
    <x v="0"/>
    <x v="0"/>
    <x v="0"/>
    <s v="Multi-Year"/>
    <x v="2"/>
    <s v="N/A"/>
    <n v="14000000"/>
    <s v="Confirmed"/>
    <m/>
    <x v="0"/>
    <x v="0"/>
    <s v="Approved"/>
    <x v="2"/>
    <x v="0"/>
    <m/>
    <n v="0"/>
    <x v="0"/>
    <s v="N/A"/>
    <n v="1182840319.0410969"/>
  </r>
  <r>
    <x v="0"/>
    <x v="43"/>
    <x v="43"/>
    <x v="4"/>
    <x v="0"/>
    <x v="0"/>
    <x v="0"/>
    <x v="0"/>
    <s v="Multi-Year"/>
    <x v="2"/>
    <s v="N/A"/>
    <s v=""/>
    <s v="Confirmed"/>
    <m/>
    <x v="0"/>
    <x v="0"/>
    <s v=""/>
    <x v="1"/>
    <x v="1"/>
    <m/>
    <n v="0"/>
    <x v="0"/>
    <s v=""/>
    <n v="81728347.604567245"/>
  </r>
  <r>
    <x v="0"/>
    <x v="44"/>
    <x v="44"/>
    <x v="3"/>
    <x v="0"/>
    <x v="0"/>
    <x v="0"/>
    <x v="0"/>
    <s v="Multi-Year"/>
    <x v="2"/>
    <s v="N/A"/>
    <s v=""/>
    <s v="Confirmed"/>
    <m/>
    <x v="0"/>
    <x v="0"/>
    <s v=""/>
    <x v="0"/>
    <x v="0"/>
    <m/>
    <n v="2"/>
    <x v="0"/>
    <s v="N/A"/>
    <n v="12787914.977715338"/>
  </r>
  <r>
    <x v="0"/>
    <x v="45"/>
    <x v="45"/>
    <x v="3"/>
    <x v="0"/>
    <x v="0"/>
    <x v="0"/>
    <x v="0"/>
    <s v="Multi-Year"/>
    <x v="2"/>
    <s v="N/A"/>
    <n v="3500000"/>
    <s v="Confirmed"/>
    <m/>
    <x v="0"/>
    <x v="0"/>
    <s v="Approved"/>
    <x v="2"/>
    <x v="0"/>
    <m/>
    <n v="2"/>
    <x v="0"/>
    <s v="N/A"/>
    <n v="101271737.65410839"/>
  </r>
  <r>
    <x v="0"/>
    <x v="46"/>
    <x v="46"/>
    <x v="3"/>
    <x v="0"/>
    <x v="0"/>
    <x v="0"/>
    <x v="0"/>
    <s v="Multi-Year"/>
    <x v="2"/>
    <s v="N/A"/>
    <n v="48600000"/>
    <s v="Confirmed"/>
    <m/>
    <x v="0"/>
    <x v="0"/>
    <s v="Approved"/>
    <x v="0"/>
    <x v="0"/>
    <m/>
    <n v="3"/>
    <x v="0"/>
    <s v="High"/>
    <n v="618344226.71759331"/>
  </r>
  <r>
    <x v="0"/>
    <x v="47"/>
    <x v="47"/>
    <x v="6"/>
    <x v="0"/>
    <x v="0"/>
    <x v="0"/>
    <x v="0"/>
    <s v="Multi-Year"/>
    <x v="2"/>
    <s v="N/A"/>
    <s v=""/>
    <s v="Confirmed"/>
    <m/>
    <x v="0"/>
    <x v="0"/>
    <s v=""/>
    <x v="1"/>
    <x v="0"/>
    <m/>
    <n v="0"/>
    <x v="1"/>
    <s v="…"/>
    <n v="129483872.95906857"/>
  </r>
  <r>
    <x v="0"/>
    <x v="48"/>
    <x v="48"/>
    <x v="5"/>
    <x v="0"/>
    <x v="0"/>
    <x v="0"/>
    <x v="0"/>
    <s v="Multi-Year"/>
    <x v="2"/>
    <s v="N/A"/>
    <n v="1000000"/>
    <s v="Confirmed"/>
    <m/>
    <x v="0"/>
    <x v="0"/>
    <s v="Approved"/>
    <x v="1"/>
    <x v="1"/>
    <m/>
    <n v="0"/>
    <x v="0"/>
    <s v="N/A"/>
    <n v="271184658.35014349"/>
  </r>
  <r>
    <x v="0"/>
    <x v="49"/>
    <x v="49"/>
    <x v="5"/>
    <x v="0"/>
    <x v="0"/>
    <x v="0"/>
    <x v="0"/>
    <s v="Multi-Year"/>
    <x v="2"/>
    <s v="N/A"/>
    <n v="0"/>
    <s v="Confirmed"/>
    <m/>
    <x v="0"/>
    <x v="0"/>
    <s v="Approved"/>
    <x v="0"/>
    <x v="0"/>
    <m/>
    <n v="0"/>
    <x v="0"/>
    <s v="High"/>
    <n v="15455265.086884515"/>
  </r>
  <r>
    <x v="0"/>
    <x v="50"/>
    <x v="50"/>
    <x v="1"/>
    <x v="0"/>
    <x v="0"/>
    <x v="0"/>
    <x v="0"/>
    <s v="Multi-Year"/>
    <x v="2"/>
    <s v="N/A"/>
    <n v="500000"/>
    <s v="Confirmed"/>
    <m/>
    <x v="0"/>
    <x v="0"/>
    <s v="Approved"/>
    <x v="1"/>
    <x v="1"/>
    <m/>
    <n v="0"/>
    <x v="0"/>
    <s v="N/A"/>
    <n v="494021502.525527"/>
  </r>
  <r>
    <x v="0"/>
    <x v="51"/>
    <x v="51"/>
    <x v="5"/>
    <x v="0"/>
    <x v="0"/>
    <x v="0"/>
    <x v="0"/>
    <s v="Multi-Year"/>
    <x v="2"/>
    <s v="N/A"/>
    <n v="55800000"/>
    <s v="Confirmed"/>
    <m/>
    <x v="0"/>
    <x v="0"/>
    <s v="Approved"/>
    <x v="2"/>
    <x v="0"/>
    <m/>
    <n v="0"/>
    <x v="0"/>
    <s v="High"/>
    <n v="902005621.73836684"/>
  </r>
  <r>
    <x v="0"/>
    <x v="52"/>
    <x v="52"/>
    <x v="4"/>
    <x v="0"/>
    <x v="0"/>
    <x v="0"/>
    <x v="0"/>
    <s v="Multi-Year"/>
    <x v="2"/>
    <s v="N/A"/>
    <s v=""/>
    <s v="Confirmed"/>
    <m/>
    <x v="0"/>
    <x v="0"/>
    <s v=""/>
    <x v="1"/>
    <x v="0"/>
    <m/>
    <n v="0"/>
    <x v="1"/>
    <s v="In distress"/>
    <n v="20201670.142996579"/>
  </r>
  <r>
    <x v="0"/>
    <x v="53"/>
    <x v="53"/>
    <x v="4"/>
    <x v="0"/>
    <x v="0"/>
    <x v="0"/>
    <x v="0"/>
    <s v="Multi-Year"/>
    <x v="2"/>
    <s v="N/A"/>
    <s v=""/>
    <s v="Confirmed"/>
    <m/>
    <x v="0"/>
    <x v="0"/>
    <s v=""/>
    <x v="1"/>
    <x v="1"/>
    <m/>
    <n v="0"/>
    <x v="0"/>
    <s v=""/>
    <n v="1612434649.6948864"/>
  </r>
  <r>
    <x v="0"/>
    <x v="54"/>
    <x v="54"/>
    <x v="5"/>
    <x v="0"/>
    <x v="0"/>
    <x v="0"/>
    <x v="0"/>
    <s v="Multi-Year"/>
    <x v="2"/>
    <s v="N/A"/>
    <n v="0"/>
    <s v="Confirmed"/>
    <m/>
    <x v="0"/>
    <x v="0"/>
    <s v="Approved"/>
    <x v="0"/>
    <x v="0"/>
    <m/>
    <n v="0"/>
    <x v="0"/>
    <s v="Moderate"/>
    <n v="78203134.118229344"/>
  </r>
  <r>
    <x v="0"/>
    <x v="55"/>
    <x v="55"/>
    <x v="5"/>
    <x v="0"/>
    <x v="0"/>
    <x v="0"/>
    <x v="0"/>
    <s v="Multi-Year"/>
    <x v="2"/>
    <s v="N/A"/>
    <n v="300000"/>
    <s v="Confirmed"/>
    <m/>
    <x v="0"/>
    <x v="0"/>
    <s v="Approved"/>
    <x v="0"/>
    <x v="0"/>
    <m/>
    <n v="2"/>
    <x v="1"/>
    <s v="High"/>
    <n v="9151637.7411015611"/>
  </r>
  <r>
    <x v="0"/>
    <x v="56"/>
    <x v="56"/>
    <x v="4"/>
    <x v="0"/>
    <x v="0"/>
    <x v="0"/>
    <x v="0"/>
    <s v="Multi-Year"/>
    <x v="2"/>
    <s v="N/A"/>
    <n v="1500000"/>
    <s v="Confirmed"/>
    <m/>
    <x v="0"/>
    <x v="0"/>
    <s v="Approved"/>
    <x v="1"/>
    <x v="0"/>
    <m/>
    <n v="0"/>
    <x v="1"/>
    <s v="Moderate"/>
    <n v="142455920.02856269"/>
  </r>
  <r>
    <x v="0"/>
    <x v="57"/>
    <x v="57"/>
    <x v="4"/>
    <x v="0"/>
    <x v="0"/>
    <x v="0"/>
    <x v="0"/>
    <s v="Multi-Year"/>
    <x v="2"/>
    <s v="N/A"/>
    <s v=""/>
    <s v="Confirmed"/>
    <m/>
    <x v="0"/>
    <x v="0"/>
    <s v=""/>
    <x v="2"/>
    <x v="0"/>
    <m/>
    <n v="1"/>
    <x v="1"/>
    <s v="High"/>
    <n v="85611818.171245083"/>
  </r>
  <r>
    <x v="0"/>
    <x v="58"/>
    <x v="58"/>
    <x v="4"/>
    <x v="0"/>
    <x v="0"/>
    <x v="0"/>
    <x v="0"/>
    <s v="Multi-Year"/>
    <x v="2"/>
    <s v="N/A"/>
    <n v="500000"/>
    <s v="Confirmed"/>
    <m/>
    <x v="0"/>
    <x v="0"/>
    <s v="Approved"/>
    <x v="2"/>
    <x v="0"/>
    <m/>
    <n v="0"/>
    <x v="0"/>
    <s v="Low"/>
    <n v="680289736.30082119"/>
  </r>
  <r>
    <x v="0"/>
    <x v="59"/>
    <x v="59"/>
    <x v="0"/>
    <x v="0"/>
    <x v="0"/>
    <x v="0"/>
    <x v="0"/>
    <s v="Multi-Year"/>
    <x v="2"/>
    <s v="N/A"/>
    <s v=""/>
    <s v="Confirmed"/>
    <m/>
    <x v="0"/>
    <x v="0"/>
    <s v=""/>
    <x v="2"/>
    <x v="0"/>
    <m/>
    <n v="0"/>
    <x v="0"/>
    <s v="N/A"/>
    <n v="26554332750.47023"/>
  </r>
  <r>
    <x v="0"/>
    <x v="60"/>
    <x v="60"/>
    <x v="6"/>
    <x v="0"/>
    <x v="0"/>
    <x v="0"/>
    <x v="0"/>
    <s v="Multi-Year"/>
    <x v="2"/>
    <s v="N/A"/>
    <n v="251600000"/>
    <s v="Confirmed"/>
    <m/>
    <x v="0"/>
    <x v="0"/>
    <s v="Approved"/>
    <x v="2"/>
    <x v="0"/>
    <m/>
    <n v="0"/>
    <x v="0"/>
    <s v="N/A"/>
    <n v="14745961064.890842"/>
  </r>
  <r>
    <x v="0"/>
    <x v="61"/>
    <x v="61"/>
    <x v="2"/>
    <x v="0"/>
    <x v="0"/>
    <x v="0"/>
    <x v="0"/>
    <s v="Multi-Year"/>
    <x v="2"/>
    <s v="N/A"/>
    <s v=""/>
    <s v="Confirmed"/>
    <m/>
    <x v="0"/>
    <x v="0"/>
    <s v=""/>
    <x v="2"/>
    <x v="1"/>
    <m/>
    <n v="0"/>
    <x v="0"/>
    <s v="N/A"/>
    <n v="18194076299.786381"/>
  </r>
  <r>
    <x v="0"/>
    <x v="62"/>
    <x v="62"/>
    <x v="2"/>
    <x v="0"/>
    <x v="0"/>
    <x v="0"/>
    <x v="0"/>
    <s v="Multi-Year"/>
    <x v="2"/>
    <s v="N/A"/>
    <n v="3000000"/>
    <s v="Confirmed"/>
    <m/>
    <x v="0"/>
    <x v="0"/>
    <s v="Approved"/>
    <x v="1"/>
    <x v="1"/>
    <m/>
    <n v="0"/>
    <x v="0"/>
    <s v="N/A"/>
    <n v="4428819387.769825"/>
  </r>
  <r>
    <x v="0"/>
    <x v="63"/>
    <x v="63"/>
    <x v="4"/>
    <x v="0"/>
    <x v="0"/>
    <x v="0"/>
    <x v="0"/>
    <s v="Multi-Year"/>
    <x v="2"/>
    <s v="N/A"/>
    <s v=""/>
    <s v="Confirmed"/>
    <m/>
    <x v="0"/>
    <x v="0"/>
    <s v=""/>
    <x v="1"/>
    <x v="1"/>
    <m/>
    <n v="0"/>
    <x v="1"/>
    <s v=""/>
    <n v="611739560.62679195"/>
  </r>
  <r>
    <x v="0"/>
    <x v="64"/>
    <x v="64"/>
    <x v="2"/>
    <x v="0"/>
    <x v="0"/>
    <x v="0"/>
    <x v="0"/>
    <s v="Multi-Year"/>
    <x v="2"/>
    <s v="N/A"/>
    <n v="2300000"/>
    <s v="Confirmed"/>
    <m/>
    <x v="0"/>
    <x v="0"/>
    <s v="Approved"/>
    <x v="1"/>
    <x v="1"/>
    <m/>
    <n v="0"/>
    <x v="0"/>
    <s v="N/A"/>
    <n v="1617913383.0481031"/>
  </r>
  <r>
    <x v="0"/>
    <x v="65"/>
    <x v="65"/>
    <x v="1"/>
    <x v="0"/>
    <x v="0"/>
    <x v="0"/>
    <x v="0"/>
    <s v="Multi-Year"/>
    <x v="2"/>
    <s v="N/A"/>
    <s v=""/>
    <s v="Confirmed"/>
    <m/>
    <x v="0"/>
    <x v="0"/>
    <s v=""/>
    <x v="1"/>
    <x v="1"/>
    <m/>
    <n v="0"/>
    <x v="0"/>
    <s v=""/>
    <n v="3074419112.4562683"/>
  </r>
  <r>
    <x v="0"/>
    <x v="66"/>
    <x v="66"/>
    <x v="3"/>
    <x v="0"/>
    <x v="0"/>
    <x v="0"/>
    <x v="0"/>
    <s v="Multi-Year"/>
    <x v="2"/>
    <s v="N/A"/>
    <n v="3000000"/>
    <s v="Confirmed"/>
    <m/>
    <x v="0"/>
    <x v="0"/>
    <s v="Approved"/>
    <x v="2"/>
    <x v="0"/>
    <m/>
    <n v="0"/>
    <x v="0"/>
    <s v="High"/>
    <n v="1914014279.8929913"/>
  </r>
  <r>
    <x v="0"/>
    <x v="67"/>
    <x v="67"/>
    <x v="6"/>
    <x v="0"/>
    <x v="0"/>
    <x v="0"/>
    <x v="0"/>
    <s v="Multi-Year"/>
    <x v="2"/>
    <s v="N/A"/>
    <s v=""/>
    <s v="Confirmed"/>
    <m/>
    <x v="0"/>
    <x v="0"/>
    <s v=""/>
    <x v="2"/>
    <x v="0"/>
    <m/>
    <n v="0"/>
    <x v="1"/>
    <s v="High"/>
    <n v="17422005.762907442"/>
  </r>
  <r>
    <x v="0"/>
    <x v="68"/>
    <x v="68"/>
    <x v="6"/>
    <x v="0"/>
    <x v="0"/>
    <x v="0"/>
    <x v="0"/>
    <s v="Multi-Year"/>
    <x v="2"/>
    <s v="N/A"/>
    <s v=""/>
    <s v="Confirmed"/>
    <m/>
    <x v="0"/>
    <x v="0"/>
    <s v=""/>
    <x v="0"/>
    <x v="0"/>
    <m/>
    <n v="0"/>
    <x v="0"/>
    <s v="N/A"/>
    <s v=""/>
  </r>
  <r>
    <x v="0"/>
    <x v="69"/>
    <x v="69"/>
    <x v="1"/>
    <x v="0"/>
    <x v="0"/>
    <x v="0"/>
    <x v="0"/>
    <s v="Multi-Year"/>
    <x v="2"/>
    <s v="N/A"/>
    <n v="13700000"/>
    <s v="Confirmed"/>
    <m/>
    <x v="0"/>
    <x v="0"/>
    <s v="Approved"/>
    <x v="1"/>
    <x v="0"/>
    <m/>
    <n v="0"/>
    <x v="0"/>
    <s v="…"/>
    <s v=""/>
  </r>
  <r>
    <x v="0"/>
    <x v="70"/>
    <x v="70"/>
    <x v="1"/>
    <x v="0"/>
    <x v="0"/>
    <x v="0"/>
    <x v="0"/>
    <s v="Multi-Year"/>
    <x v="2"/>
    <s v="N/A"/>
    <n v="500000"/>
    <s v="Confirmed"/>
    <m/>
    <x v="0"/>
    <x v="0"/>
    <s v="Approved"/>
    <x v="2"/>
    <x v="0"/>
    <m/>
    <n v="2"/>
    <x v="0"/>
    <s v="Moderate"/>
    <n v="231506834.84347546"/>
  </r>
  <r>
    <x v="0"/>
    <x v="71"/>
    <x v="71"/>
    <x v="6"/>
    <x v="0"/>
    <x v="0"/>
    <x v="0"/>
    <x v="0"/>
    <s v="Multi-Year"/>
    <x v="2"/>
    <s v="N/A"/>
    <n v="400000"/>
    <s v="Confirmed"/>
    <m/>
    <x v="0"/>
    <x v="0"/>
    <s v="Approved"/>
    <x v="2"/>
    <x v="0"/>
    <m/>
    <n v="0"/>
    <x v="0"/>
    <s v="High"/>
    <n v="156059428.62944782"/>
  </r>
  <r>
    <x v="0"/>
    <x v="72"/>
    <x v="72"/>
    <x v="2"/>
    <x v="0"/>
    <x v="0"/>
    <x v="0"/>
    <x v="0"/>
    <s v="Multi-Year"/>
    <x v="2"/>
    <s v="N/A"/>
    <n v="0"/>
    <s v="Confirmed"/>
    <m/>
    <x v="0"/>
    <x v="0"/>
    <s v="Approved"/>
    <x v="1"/>
    <x v="1"/>
    <m/>
    <n v="0"/>
    <x v="0"/>
    <s v="N/A"/>
    <n v="2355391507.1635861"/>
  </r>
  <r>
    <x v="0"/>
    <x v="73"/>
    <x v="73"/>
    <x v="3"/>
    <x v="0"/>
    <x v="0"/>
    <x v="0"/>
    <x v="0"/>
    <s v="Multi-Year"/>
    <x v="2"/>
    <s v="N/A"/>
    <n v="6000000"/>
    <s v="Confirmed"/>
    <m/>
    <x v="0"/>
    <x v="0"/>
    <s v="Approved"/>
    <x v="2"/>
    <x v="0"/>
    <m/>
    <n v="0"/>
    <x v="0"/>
    <s v="Moderate"/>
    <n v="152760919.7684873"/>
  </r>
  <r>
    <x v="0"/>
    <x v="74"/>
    <x v="74"/>
    <x v="5"/>
    <x v="0"/>
    <x v="0"/>
    <x v="0"/>
    <x v="0"/>
    <s v="Multi-Year"/>
    <x v="2"/>
    <s v="N/A"/>
    <n v="1800000"/>
    <s v="Confirmed"/>
    <m/>
    <x v="0"/>
    <x v="0"/>
    <s v="Approved"/>
    <x v="0"/>
    <x v="0"/>
    <m/>
    <n v="0"/>
    <x v="0"/>
    <s v="High"/>
    <n v="55072006.864440605"/>
  </r>
  <r>
    <x v="0"/>
    <x v="75"/>
    <x v="75"/>
    <x v="2"/>
    <x v="0"/>
    <x v="0"/>
    <x v="0"/>
    <x v="0"/>
    <s v="Multi-Year"/>
    <x v="2"/>
    <s v="N/A"/>
    <s v=""/>
    <s v="Confirmed"/>
    <m/>
    <x v="0"/>
    <x v="0"/>
    <s v=""/>
    <x v="1"/>
    <x v="1"/>
    <m/>
    <n v="0"/>
    <x v="0"/>
    <s v="N/A"/>
    <s v=""/>
  </r>
  <r>
    <x v="0"/>
    <x v="76"/>
    <x v="76"/>
    <x v="3"/>
    <x v="0"/>
    <x v="0"/>
    <x v="0"/>
    <x v="0"/>
    <s v="Multi-Year"/>
    <x v="2"/>
    <s v="N/A"/>
    <n v="2500000"/>
    <s v="Confirmed"/>
    <m/>
    <x v="0"/>
    <x v="0"/>
    <s v="Approved"/>
    <x v="0"/>
    <x v="0"/>
    <m/>
    <n v="2"/>
    <x v="0"/>
    <s v="Moderate"/>
    <n v="206914157.05429548"/>
  </r>
  <r>
    <x v="0"/>
    <x v="77"/>
    <x v="77"/>
    <x v="3"/>
    <x v="0"/>
    <x v="0"/>
    <x v="0"/>
    <x v="0"/>
    <s v="Multi-Year"/>
    <x v="2"/>
    <s v="N/A"/>
    <n v="4000000"/>
    <s v="Confirmed"/>
    <m/>
    <x v="0"/>
    <x v="0"/>
    <s v="Approved"/>
    <x v="0"/>
    <x v="0"/>
    <m/>
    <n v="2"/>
    <x v="0"/>
    <s v="High"/>
    <n v="185999915.02066413"/>
  </r>
  <r>
    <x v="0"/>
    <x v="78"/>
    <x v="78"/>
    <x v="6"/>
    <x v="0"/>
    <x v="0"/>
    <x v="0"/>
    <x v="0"/>
    <s v="Multi-Year"/>
    <x v="2"/>
    <s v="N/A"/>
    <s v=""/>
    <s v="Confirmed"/>
    <m/>
    <x v="0"/>
    <x v="0"/>
    <s v=""/>
    <x v="1"/>
    <x v="1"/>
    <m/>
    <n v="0"/>
    <x v="0"/>
    <s v=""/>
    <n v="6893755763.2501726"/>
  </r>
  <r>
    <x v="0"/>
    <x v="79"/>
    <x v="79"/>
    <x v="0"/>
    <x v="0"/>
    <x v="0"/>
    <x v="0"/>
    <x v="0"/>
    <s v="Multi-Year"/>
    <x v="2"/>
    <s v="N/A"/>
    <s v=""/>
    <s v="Confirmed"/>
    <m/>
    <x v="0"/>
    <x v="0"/>
    <s v=""/>
    <x v="1"/>
    <x v="0"/>
    <m/>
    <n v="0"/>
    <x v="1"/>
    <s v="High"/>
    <n v="354560231.58276606"/>
  </r>
  <r>
    <x v="0"/>
    <x v="80"/>
    <x v="80"/>
    <x v="5"/>
    <x v="0"/>
    <x v="0"/>
    <x v="0"/>
    <x v="0"/>
    <s v="Multi-Year"/>
    <x v="2"/>
    <s v="N/A"/>
    <n v="0"/>
    <s v="Confirmed"/>
    <m/>
    <x v="0"/>
    <x v="0"/>
    <s v="Approved"/>
    <x v="0"/>
    <x v="0"/>
    <m/>
    <n v="1"/>
    <x v="0"/>
    <s v="Moderate"/>
    <n v="188169167.56540567"/>
  </r>
  <r>
    <x v="0"/>
    <x v="81"/>
    <x v="81"/>
    <x v="6"/>
    <x v="0"/>
    <x v="0"/>
    <x v="0"/>
    <x v="0"/>
    <s v="Multi-Year"/>
    <x v="2"/>
    <s v="N/A"/>
    <s v=""/>
    <s v="Confirmed"/>
    <m/>
    <x v="0"/>
    <x v="0"/>
    <s v=""/>
    <x v="1"/>
    <x v="0"/>
    <m/>
    <n v="0"/>
    <x v="1"/>
    <s v=""/>
    <n v="16312106.556340856"/>
  </r>
  <r>
    <x v="0"/>
    <x v="82"/>
    <x v="82"/>
    <x v="5"/>
    <x v="0"/>
    <x v="0"/>
    <x v="0"/>
    <x v="0"/>
    <s v="Multi-Year"/>
    <x v="2"/>
    <s v="N/A"/>
    <n v="6900000"/>
    <s v="Confirmed"/>
    <m/>
    <x v="0"/>
    <x v="0"/>
    <s v="Approved"/>
    <x v="2"/>
    <x v="0"/>
    <m/>
    <n v="2"/>
    <x v="0"/>
    <s v="High"/>
    <n v="86083833.534053758"/>
  </r>
  <r>
    <x v="0"/>
    <x v="83"/>
    <x v="83"/>
    <x v="3"/>
    <x v="0"/>
    <x v="0"/>
    <x v="0"/>
    <x v="0"/>
    <s v="Multi-Year"/>
    <x v="2"/>
    <s v="N/A"/>
    <n v="0"/>
    <s v="Confirmed"/>
    <m/>
    <x v="0"/>
    <x v="0"/>
    <s v=""/>
    <x v="1"/>
    <x v="1"/>
    <m/>
    <n v="0"/>
    <x v="1"/>
    <s v="N/A"/>
    <n v="357220835.93762809"/>
  </r>
  <r>
    <x v="0"/>
    <x v="84"/>
    <x v="84"/>
    <x v="4"/>
    <x v="0"/>
    <x v="0"/>
    <x v="0"/>
    <x v="0"/>
    <s v="Multi-Year"/>
    <x v="2"/>
    <s v="N/A"/>
    <s v=""/>
    <s v="Confirmed"/>
    <m/>
    <x v="0"/>
    <x v="0"/>
    <s v=""/>
    <x v="1"/>
    <x v="1"/>
    <m/>
    <n v="0"/>
    <x v="0"/>
    <s v=""/>
    <n v="32831598153.796387"/>
  </r>
  <r>
    <x v="0"/>
    <x v="85"/>
    <x v="85"/>
    <x v="6"/>
    <x v="0"/>
    <x v="0"/>
    <x v="0"/>
    <x v="0"/>
    <s v="Multi-Year"/>
    <x v="2"/>
    <s v="N/A"/>
    <s v=""/>
    <s v="Confirmed"/>
    <m/>
    <x v="0"/>
    <x v="0"/>
    <s v=""/>
    <x v="2"/>
    <x v="0"/>
    <m/>
    <n v="0"/>
    <x v="1"/>
    <s v="High"/>
    <n v="12329056.093798399"/>
  </r>
  <r>
    <x v="0"/>
    <x v="86"/>
    <x v="86"/>
    <x v="1"/>
    <x v="0"/>
    <x v="0"/>
    <x v="0"/>
    <x v="0"/>
    <s v="Multi-Year"/>
    <x v="2"/>
    <s v="N/A"/>
    <n v="0"/>
    <s v="Confirmed"/>
    <m/>
    <x v="0"/>
    <x v="0"/>
    <s v="Approved"/>
    <x v="1"/>
    <x v="0"/>
    <m/>
    <n v="0"/>
    <x v="0"/>
    <s v="Low"/>
    <n v="426639742.85328001"/>
  </r>
  <r>
    <x v="0"/>
    <x v="87"/>
    <x v="87"/>
    <x v="6"/>
    <x v="0"/>
    <x v="0"/>
    <x v="0"/>
    <x v="0"/>
    <s v="Multi-Year"/>
    <x v="2"/>
    <s v="N/A"/>
    <n v="6500000"/>
    <s v="Confirmed"/>
    <m/>
    <x v="0"/>
    <x v="0"/>
    <s v="Approved"/>
    <x v="2"/>
    <x v="0"/>
    <m/>
    <n v="0"/>
    <x v="0"/>
    <s v="…"/>
    <n v="288519671.85870522"/>
  </r>
  <r>
    <x v="0"/>
    <x v="88"/>
    <x v="88"/>
    <x v="1"/>
    <x v="0"/>
    <x v="0"/>
    <x v="0"/>
    <x v="0"/>
    <s v="Multi-Year"/>
    <x v="2"/>
    <s v="N/A"/>
    <n v="0"/>
    <s v="Confirmed"/>
    <m/>
    <x v="0"/>
    <x v="0"/>
    <s v=""/>
    <x v="1"/>
    <x v="1"/>
    <m/>
    <n v="0"/>
    <x v="0"/>
    <s v="N/A"/>
    <n v="275606560.78491527"/>
  </r>
  <r>
    <x v="0"/>
    <x v="89"/>
    <x v="89"/>
    <x v="2"/>
    <x v="0"/>
    <x v="0"/>
    <x v="0"/>
    <x v="0"/>
    <s v="Multi-Year"/>
    <x v="2"/>
    <s v="N/A"/>
    <s v=""/>
    <s v="Confirmed"/>
    <m/>
    <x v="0"/>
    <x v="0"/>
    <s v=""/>
    <x v="2"/>
    <x v="0"/>
    <m/>
    <n v="0"/>
    <x v="0"/>
    <s v="N/A"/>
    <n v="2530937679.3725696"/>
  </r>
  <r>
    <x v="0"/>
    <x v="90"/>
    <x v="90"/>
    <x v="3"/>
    <x v="0"/>
    <x v="0"/>
    <x v="0"/>
    <x v="0"/>
    <s v="Multi-Year"/>
    <x v="2"/>
    <s v="N/A"/>
    <n v="20000000"/>
    <s v="Confirmed"/>
    <m/>
    <x v="0"/>
    <x v="0"/>
    <s v="Approved"/>
    <x v="0"/>
    <x v="0"/>
    <m/>
    <n v="0"/>
    <x v="0"/>
    <s v="In distress"/>
    <n v="251432156.86255455"/>
  </r>
  <r>
    <x v="0"/>
    <x v="91"/>
    <x v="91"/>
    <x v="6"/>
    <x v="0"/>
    <x v="0"/>
    <x v="0"/>
    <x v="0"/>
    <s v="Multi-Year"/>
    <x v="2"/>
    <s v="N/A"/>
    <n v="0"/>
    <s v="Confirmed"/>
    <m/>
    <x v="0"/>
    <x v="0"/>
    <s v=""/>
    <x v="2"/>
    <x v="0"/>
    <m/>
    <n v="0"/>
    <x v="0"/>
    <s v="Low"/>
    <n v="471534500.60109437"/>
  </r>
  <r>
    <x v="0"/>
    <x v="92"/>
    <x v="92"/>
    <x v="3"/>
    <x v="0"/>
    <x v="0"/>
    <x v="0"/>
    <x v="0"/>
    <s v="Multi-Year"/>
    <x v="2"/>
    <s v="N/A"/>
    <s v=""/>
    <s v="Confirmed"/>
    <m/>
    <x v="0"/>
    <x v="0"/>
    <s v=""/>
    <x v="1"/>
    <x v="1"/>
    <m/>
    <n v="0"/>
    <x v="0"/>
    <s v=""/>
    <n v="531677611.80447447"/>
  </r>
  <r>
    <x v="0"/>
    <x v="93"/>
    <x v="93"/>
    <x v="6"/>
    <x v="0"/>
    <x v="0"/>
    <x v="0"/>
    <x v="0"/>
    <s v="Multi-Year"/>
    <x v="2"/>
    <s v="N/A"/>
    <s v=""/>
    <s v="Confirmed"/>
    <m/>
    <x v="0"/>
    <x v="0"/>
    <s v=""/>
    <x v="3"/>
    <x v="1"/>
    <m/>
    <n v="0"/>
    <x v="1"/>
    <s v=""/>
    <n v="8528751.6418357007"/>
  </r>
  <r>
    <x v="0"/>
    <x v="94"/>
    <x v="94"/>
    <x v="0"/>
    <x v="0"/>
    <x v="0"/>
    <x v="0"/>
    <x v="0"/>
    <s v="Multi-Year"/>
    <x v="2"/>
    <s v="N/A"/>
    <n v="1500000"/>
    <s v="Confirmed"/>
    <m/>
    <x v="0"/>
    <x v="0"/>
    <s v="Approved"/>
    <x v="2"/>
    <x v="0"/>
    <m/>
    <n v="0"/>
    <x v="0"/>
    <s v="Low"/>
    <n v="407084543.19089872"/>
  </r>
  <r>
    <x v="0"/>
    <x v="95"/>
    <x v="95"/>
    <x v="4"/>
    <x v="0"/>
    <x v="0"/>
    <x v="0"/>
    <x v="0"/>
    <s v="Multi-Year"/>
    <x v="2"/>
    <s v="N/A"/>
    <s v=""/>
    <s v="Confirmed"/>
    <m/>
    <x v="0"/>
    <x v="0"/>
    <s v=""/>
    <x v="2"/>
    <x v="0"/>
    <m/>
    <n v="0"/>
    <x v="0"/>
    <s v="Moderate"/>
    <n v="671998341.93592453"/>
  </r>
  <r>
    <x v="0"/>
    <x v="96"/>
    <x v="96"/>
    <x v="5"/>
    <x v="0"/>
    <x v="0"/>
    <x v="0"/>
    <x v="0"/>
    <s v="Multi-Year"/>
    <x v="2"/>
    <s v="N/A"/>
    <n v="0"/>
    <s v="Confirmed"/>
    <m/>
    <x v="0"/>
    <x v="0"/>
    <s v="Approved"/>
    <x v="0"/>
    <x v="0"/>
    <m/>
    <n v="1"/>
    <x v="0"/>
    <s v="Moderate"/>
    <n v="226203289.67158964"/>
  </r>
  <r>
    <x v="0"/>
    <x v="97"/>
    <x v="97"/>
    <x v="5"/>
    <x v="0"/>
    <x v="0"/>
    <x v="0"/>
    <x v="0"/>
    <s v="Multi-Year"/>
    <x v="2"/>
    <s v="N/A"/>
    <n v="80800000"/>
    <s v="Confirmed"/>
    <m/>
    <x v="0"/>
    <x v="0"/>
    <s v="Approved"/>
    <x v="2"/>
    <x v="0"/>
    <m/>
    <n v="3"/>
    <x v="0"/>
    <s v="…"/>
    <n v="2438881113.1244688"/>
  </r>
  <r>
    <x v="0"/>
    <x v="98"/>
    <x v="98"/>
    <x v="1"/>
    <x v="0"/>
    <x v="0"/>
    <x v="0"/>
    <x v="0"/>
    <s v="Multi-Year"/>
    <x v="2"/>
    <s v="N/A"/>
    <n v="1500000"/>
    <s v="Confirmed"/>
    <m/>
    <x v="0"/>
    <x v="0"/>
    <s v="Approved"/>
    <x v="1"/>
    <x v="1"/>
    <m/>
    <n v="0"/>
    <x v="0"/>
    <s v=""/>
    <n v="476517795.73174149"/>
  </r>
  <r>
    <x v="0"/>
    <x v="99"/>
    <x v="99"/>
    <x v="0"/>
    <x v="0"/>
    <x v="0"/>
    <x v="0"/>
    <x v="0"/>
    <s v="Multi-Year"/>
    <x v="2"/>
    <s v="N/A"/>
    <n v="0"/>
    <s v="Confirmed"/>
    <m/>
    <x v="0"/>
    <x v="0"/>
    <s v="Approved"/>
    <x v="2"/>
    <x v="0"/>
    <m/>
    <n v="0"/>
    <x v="0"/>
    <s v="…"/>
    <n v="3233351297.7679496"/>
  </r>
  <r>
    <x v="0"/>
    <x v="100"/>
    <x v="100"/>
    <x v="4"/>
    <x v="0"/>
    <x v="0"/>
    <x v="0"/>
    <x v="0"/>
    <s v="Multi-Year"/>
    <x v="2"/>
    <s v="N/A"/>
    <s v=""/>
    <s v="Confirmed"/>
    <m/>
    <x v="0"/>
    <x v="0"/>
    <s v=""/>
    <x v="3"/>
    <x v="1"/>
    <m/>
    <n v="0"/>
    <x v="1"/>
    <s v=""/>
    <n v="18180646.808608256"/>
  </r>
  <r>
    <x v="0"/>
    <x v="101"/>
    <x v="101"/>
    <x v="4"/>
    <x v="0"/>
    <x v="0"/>
    <x v="0"/>
    <x v="0"/>
    <s v="Multi-Year"/>
    <x v="2"/>
    <s v="N/A"/>
    <n v="0"/>
    <s v="Confirmed"/>
    <m/>
    <x v="0"/>
    <x v="0"/>
    <s v=""/>
    <x v="1"/>
    <x v="1"/>
    <m/>
    <n v="0"/>
    <x v="0"/>
    <s v="N/A"/>
    <n v="3020530707.3485303"/>
  </r>
  <r>
    <x v="0"/>
    <x v="102"/>
    <x v="102"/>
    <x v="6"/>
    <x v="0"/>
    <x v="0"/>
    <x v="0"/>
    <x v="0"/>
    <s v="Multi-Year"/>
    <x v="2"/>
    <s v="N/A"/>
    <n v="20000000"/>
    <s v="Confirmed"/>
    <m/>
    <x v="0"/>
    <x v="0"/>
    <s v="Approved"/>
    <x v="2"/>
    <x v="0"/>
    <m/>
    <n v="1"/>
    <x v="1"/>
    <s v="High"/>
    <n v="384406316.46074712"/>
  </r>
  <r>
    <x v="0"/>
    <x v="103"/>
    <x v="103"/>
    <x v="4"/>
    <x v="0"/>
    <x v="0"/>
    <x v="0"/>
    <x v="0"/>
    <s v="Multi-Year"/>
    <x v="2"/>
    <s v="N/A"/>
    <s v=""/>
    <s v="Confirmed"/>
    <m/>
    <x v="0"/>
    <x v="0"/>
    <s v=""/>
    <x v="1"/>
    <x v="1"/>
    <m/>
    <n v="0"/>
    <x v="0"/>
    <s v=""/>
    <n v="1218747108.9554784"/>
  </r>
  <r>
    <x v="0"/>
    <x v="104"/>
    <x v="104"/>
    <x v="4"/>
    <x v="0"/>
    <x v="0"/>
    <x v="0"/>
    <x v="0"/>
    <s v="Multi-Year"/>
    <x v="2"/>
    <s v="N/A"/>
    <n v="0"/>
    <s v="Confirmed"/>
    <m/>
    <x v="0"/>
    <x v="0"/>
    <s v="Approved"/>
    <x v="1"/>
    <x v="1"/>
    <m/>
    <n v="0"/>
    <x v="0"/>
    <s v=""/>
    <n v="7392665952.5895758"/>
  </r>
  <r>
    <x v="0"/>
    <x v="105"/>
    <x v="105"/>
    <x v="6"/>
    <x v="0"/>
    <x v="0"/>
    <x v="0"/>
    <x v="0"/>
    <s v="Multi-Year"/>
    <x v="2"/>
    <s v="N/A"/>
    <n v="25000000"/>
    <s v="Confirmed"/>
    <m/>
    <x v="0"/>
    <x v="0"/>
    <s v="Approved"/>
    <x v="2"/>
    <x v="0"/>
    <m/>
    <n v="0"/>
    <x v="0"/>
    <s v="N/A"/>
    <n v="4754985988.6004429"/>
  </r>
  <r>
    <x v="0"/>
    <x v="106"/>
    <x v="106"/>
    <x v="1"/>
    <x v="0"/>
    <x v="0"/>
    <x v="0"/>
    <x v="0"/>
    <s v="Multi-Year"/>
    <x v="2"/>
    <s v="N/A"/>
    <s v=""/>
    <s v="Confirmed"/>
    <m/>
    <x v="0"/>
    <x v="0"/>
    <s v=""/>
    <x v="3"/>
    <x v="1"/>
    <m/>
    <n v="0"/>
    <x v="0"/>
    <s v=""/>
    <n v="26422210443.037273"/>
  </r>
  <r>
    <x v="0"/>
    <x v="107"/>
    <x v="107"/>
    <x v="1"/>
    <x v="0"/>
    <x v="0"/>
    <x v="0"/>
    <x v="0"/>
    <s v="Multi-Year"/>
    <x v="2"/>
    <s v="N/A"/>
    <s v=""/>
    <s v="Confirmed"/>
    <m/>
    <x v="0"/>
    <x v="0"/>
    <s v=""/>
    <x v="1"/>
    <x v="1"/>
    <m/>
    <n v="0"/>
    <x v="0"/>
    <s v=""/>
    <n v="10696495313.15033"/>
  </r>
  <r>
    <x v="0"/>
    <x v="108"/>
    <x v="108"/>
    <x v="1"/>
    <x v="0"/>
    <x v="0"/>
    <x v="0"/>
    <x v="0"/>
    <s v="Multi-Year"/>
    <x v="2"/>
    <s v="N/A"/>
    <s v=""/>
    <s v="Confirmed"/>
    <m/>
    <x v="0"/>
    <x v="0"/>
    <s v=""/>
    <x v="1"/>
    <x v="1"/>
    <m/>
    <n v="0"/>
    <x v="0"/>
    <s v=""/>
    <n v="52769713433.240509"/>
  </r>
  <r>
    <x v="0"/>
    <x v="109"/>
    <x v="109"/>
    <x v="3"/>
    <x v="0"/>
    <x v="0"/>
    <x v="0"/>
    <x v="0"/>
    <s v="Multi-Year"/>
    <x v="2"/>
    <s v="N/A"/>
    <n v="19000000"/>
    <s v="Confirmed"/>
    <m/>
    <x v="0"/>
    <x v="0"/>
    <s v="Approved"/>
    <x v="0"/>
    <x v="0"/>
    <m/>
    <n v="0"/>
    <x v="0"/>
    <s v="Moderate"/>
    <n v="225799814.51943746"/>
  </r>
  <r>
    <x v="0"/>
    <x v="110"/>
    <x v="110"/>
    <x v="6"/>
    <x v="0"/>
    <x v="0"/>
    <x v="0"/>
    <x v="0"/>
    <s v="Multi-Year"/>
    <x v="2"/>
    <s v="N/A"/>
    <s v=""/>
    <s v="Confirmed"/>
    <m/>
    <x v="0"/>
    <x v="0"/>
    <s v=""/>
    <x v="2"/>
    <x v="0"/>
    <m/>
    <n v="0"/>
    <x v="1"/>
    <s v="High"/>
    <n v="32192988.027009469"/>
  </r>
  <r>
    <x v="0"/>
    <x v="111"/>
    <x v="111"/>
    <x v="5"/>
    <x v="0"/>
    <x v="0"/>
    <x v="0"/>
    <x v="0"/>
    <s v="Multi-Year"/>
    <x v="2"/>
    <s v="N/A"/>
    <n v="3000000"/>
    <s v="Confirmed"/>
    <m/>
    <x v="0"/>
    <x v="0"/>
    <s v="Approved"/>
    <x v="2"/>
    <x v="0"/>
    <m/>
    <n v="0"/>
    <x v="1"/>
    <s v="In distress"/>
    <n v="11633535.136477679"/>
  </r>
  <r>
    <x v="0"/>
    <x v="112"/>
    <x v="112"/>
    <x v="5"/>
    <x v="0"/>
    <x v="0"/>
    <x v="0"/>
    <x v="0"/>
    <s v="Multi-Year"/>
    <x v="2"/>
    <s v="N/A"/>
    <n v="3000000"/>
    <s v="Confirmed"/>
    <m/>
    <x v="0"/>
    <x v="0"/>
    <s v="Approved"/>
    <x v="2"/>
    <x v="0"/>
    <m/>
    <n v="2"/>
    <x v="0"/>
    <s v="Moderate"/>
    <n v="222008693.93354639"/>
  </r>
  <r>
    <x v="0"/>
    <x v="113"/>
    <x v="113"/>
    <x v="1"/>
    <x v="0"/>
    <x v="0"/>
    <x v="0"/>
    <x v="0"/>
    <s v="Multi-Year"/>
    <x v="2"/>
    <s v="N/A"/>
    <s v=""/>
    <s v="Confirmed"/>
    <m/>
    <x v="0"/>
    <x v="0"/>
    <s v=""/>
    <x v="1"/>
    <x v="1"/>
    <m/>
    <n v="0"/>
    <x v="0"/>
    <s v=""/>
    <n v="2564993795.1894679"/>
  </r>
  <r>
    <x v="0"/>
    <x v="114"/>
    <x v="114"/>
    <x v="3"/>
    <x v="0"/>
    <x v="0"/>
    <x v="0"/>
    <x v="0"/>
    <s v="Multi-Year"/>
    <x v="2"/>
    <s v="N/A"/>
    <n v="0"/>
    <s v="Confirmed"/>
    <m/>
    <x v="0"/>
    <x v="0"/>
    <s v="Under Preparation"/>
    <x v="3"/>
    <x v="1"/>
    <m/>
    <n v="0"/>
    <x v="1"/>
    <s v="N/A"/>
    <n v="60237542.945069775"/>
  </r>
  <r>
    <x v="0"/>
    <x v="115"/>
    <x v="115"/>
    <x v="5"/>
    <x v="0"/>
    <x v="0"/>
    <x v="0"/>
    <x v="0"/>
    <s v="Multi-Year"/>
    <x v="2"/>
    <s v="N/A"/>
    <n v="1700000"/>
    <s v="Confirmed"/>
    <m/>
    <x v="0"/>
    <x v="0"/>
    <s v="Approved"/>
    <x v="0"/>
    <x v="0"/>
    <m/>
    <n v="0"/>
    <x v="0"/>
    <s v="High"/>
    <n v="63738640.538260505"/>
  </r>
  <r>
    <x v="0"/>
    <x v="116"/>
    <x v="116"/>
    <x v="6"/>
    <x v="0"/>
    <x v="0"/>
    <x v="0"/>
    <x v="0"/>
    <s v="Multi-Year"/>
    <x v="2"/>
    <s v="N/A"/>
    <s v=""/>
    <s v="Confirmed"/>
    <m/>
    <x v="0"/>
    <x v="0"/>
    <s v=""/>
    <x v="2"/>
    <x v="0"/>
    <m/>
    <n v="0"/>
    <x v="1"/>
    <s v="Moderate"/>
    <n v="49012774.055630356"/>
  </r>
  <r>
    <x v="0"/>
    <x v="117"/>
    <x v="117"/>
    <x v="3"/>
    <x v="0"/>
    <x v="0"/>
    <x v="0"/>
    <x v="0"/>
    <s v="Multi-Year"/>
    <x v="2"/>
    <s v="N/A"/>
    <n v="14000000"/>
    <s v="Confirmed"/>
    <m/>
    <x v="0"/>
    <x v="0"/>
    <s v="Approved"/>
    <x v="0"/>
    <x v="0"/>
    <m/>
    <n v="1"/>
    <x v="0"/>
    <s v="In distress"/>
    <s v=""/>
  </r>
  <r>
    <x v="0"/>
    <x v="118"/>
    <x v="118"/>
    <x v="3"/>
    <x v="0"/>
    <x v="0"/>
    <x v="0"/>
    <x v="0"/>
    <s v="Multi-Year"/>
    <x v="2"/>
    <s v="N/A"/>
    <n v="0"/>
    <s v="Confirmed"/>
    <m/>
    <x v="0"/>
    <x v="0"/>
    <s v=""/>
    <x v="1"/>
    <x v="1"/>
    <m/>
    <n v="0"/>
    <x v="0"/>
    <s v="N/A"/>
    <n v="16429121142.784708"/>
  </r>
  <r>
    <x v="0"/>
    <x v="119"/>
    <x v="119"/>
    <x v="3"/>
    <x v="0"/>
    <x v="0"/>
    <x v="0"/>
    <x v="0"/>
    <s v="Multi-Year"/>
    <x v="2"/>
    <s v="N/A"/>
    <n v="56400000"/>
    <s v="Confirmed"/>
    <m/>
    <x v="0"/>
    <x v="0"/>
    <s v="Approved"/>
    <x v="0"/>
    <x v="0"/>
    <m/>
    <n v="1"/>
    <x v="0"/>
    <s v="High"/>
    <n v="31684581.76217727"/>
  </r>
  <r>
    <x v="0"/>
    <x v="120"/>
    <x v="120"/>
    <x v="0"/>
    <x v="0"/>
    <x v="0"/>
    <x v="0"/>
    <x v="0"/>
    <s v="Multi-Year"/>
    <x v="2"/>
    <s v="N/A"/>
    <n v="0"/>
    <s v="Confirmed"/>
    <m/>
    <x v="0"/>
    <x v="0"/>
    <s v="Approved"/>
    <x v="2"/>
    <x v="0"/>
    <m/>
    <n v="0"/>
    <x v="0"/>
    <s v="N/A"/>
    <n v="1373621563.5182886"/>
  </r>
  <r>
    <x v="0"/>
    <x v="121"/>
    <x v="121"/>
    <x v="4"/>
    <x v="0"/>
    <x v="0"/>
    <x v="0"/>
    <x v="0"/>
    <s v="Multi-Year"/>
    <x v="2"/>
    <s v="N/A"/>
    <s v=""/>
    <s v="Confirmed"/>
    <m/>
    <x v="0"/>
    <x v="0"/>
    <s v=""/>
    <x v="3"/>
    <x v="1"/>
    <m/>
    <n v="0"/>
    <x v="1"/>
    <s v=""/>
    <n v="24214370.889062837"/>
  </r>
  <r>
    <x v="0"/>
    <x v="122"/>
    <x v="122"/>
    <x v="4"/>
    <x v="0"/>
    <x v="0"/>
    <x v="0"/>
    <x v="0"/>
    <s v="Multi-Year"/>
    <x v="2"/>
    <s v="N/A"/>
    <s v=""/>
    <s v="Confirmed"/>
    <m/>
    <x v="0"/>
    <x v="0"/>
    <s v=""/>
    <x v="1"/>
    <x v="0"/>
    <m/>
    <n v="0"/>
    <x v="1"/>
    <s v="…"/>
    <n v="39941279.609447442"/>
  </r>
  <r>
    <x v="0"/>
    <x v="123"/>
    <x v="123"/>
    <x v="4"/>
    <x v="0"/>
    <x v="0"/>
    <x v="0"/>
    <x v="0"/>
    <s v="Multi-Year"/>
    <x v="2"/>
    <s v="N/A"/>
    <s v=""/>
    <s v="Confirmed"/>
    <m/>
    <x v="0"/>
    <x v="0"/>
    <s v=""/>
    <x v="1"/>
    <x v="0"/>
    <m/>
    <n v="0"/>
    <x v="1"/>
    <s v="High"/>
    <n v="24761675.260059897"/>
  </r>
  <r>
    <x v="0"/>
    <x v="124"/>
    <x v="124"/>
    <x v="2"/>
    <x v="0"/>
    <x v="0"/>
    <x v="0"/>
    <x v="0"/>
    <s v="Multi-Year"/>
    <x v="2"/>
    <s v="N/A"/>
    <n v="0"/>
    <s v="Confirmed"/>
    <m/>
    <x v="0"/>
    <x v="0"/>
    <s v="Under Preparation"/>
    <x v="2"/>
    <x v="0"/>
    <m/>
    <n v="0"/>
    <x v="0"/>
    <s v="N/A"/>
    <s v=""/>
  </r>
  <r>
    <x v="0"/>
    <x v="125"/>
    <x v="125"/>
    <x v="2"/>
    <x v="0"/>
    <x v="0"/>
    <x v="0"/>
    <x v="0"/>
    <s v="Multi-Year"/>
    <x v="2"/>
    <s v="N/A"/>
    <n v="20900000"/>
    <s v="Confirmed"/>
    <m/>
    <x v="0"/>
    <x v="0"/>
    <s v="Approved"/>
    <x v="0"/>
    <x v="0"/>
    <m/>
    <n v="1"/>
    <x v="0"/>
    <s v="N/A"/>
    <n v="577156172.71229994"/>
  </r>
  <r>
    <x v="0"/>
    <x v="126"/>
    <x v="126"/>
    <x v="6"/>
    <x v="0"/>
    <x v="0"/>
    <x v="0"/>
    <x v="0"/>
    <s v="Multi-Year"/>
    <x v="2"/>
    <s v="N/A"/>
    <s v=""/>
    <s v="Confirmed"/>
    <m/>
    <x v="0"/>
    <x v="0"/>
    <s v=""/>
    <x v="1"/>
    <x v="1"/>
    <m/>
    <n v="0"/>
    <x v="1"/>
    <s v=""/>
    <n v="180052034.19851837"/>
  </r>
  <r>
    <x v="0"/>
    <x v="127"/>
    <x v="127"/>
    <x v="2"/>
    <x v="0"/>
    <x v="0"/>
    <x v="0"/>
    <x v="0"/>
    <s v="Multi-Year"/>
    <x v="2"/>
    <s v="N/A"/>
    <s v=""/>
    <s v="Confirmed"/>
    <m/>
    <x v="0"/>
    <x v="0"/>
    <s v=""/>
    <x v="0"/>
    <x v="0"/>
    <m/>
    <n v="1"/>
    <x v="0"/>
    <s v="N/A"/>
    <s v=""/>
  </r>
  <r>
    <x v="0"/>
    <x v="128"/>
    <x v="128"/>
    <x v="1"/>
    <x v="0"/>
    <x v="0"/>
    <x v="0"/>
    <x v="0"/>
    <s v="Multi-Year"/>
    <x v="2"/>
    <s v="N/A"/>
    <n v="500000"/>
    <s v="Confirmed"/>
    <m/>
    <x v="0"/>
    <x v="0"/>
    <s v="Approved"/>
    <x v="2"/>
    <x v="0"/>
    <m/>
    <n v="0"/>
    <x v="0"/>
    <s v="High"/>
    <n v="147296124.32232863"/>
  </r>
  <r>
    <x v="0"/>
    <x v="129"/>
    <x v="129"/>
    <x v="3"/>
    <x v="0"/>
    <x v="0"/>
    <x v="0"/>
    <x v="0"/>
    <s v="Multi-Year"/>
    <x v="2"/>
    <s v="N/A"/>
    <s v=""/>
    <s v="Confirmed"/>
    <m/>
    <x v="0"/>
    <x v="0"/>
    <s v=""/>
    <x v="2"/>
    <x v="0"/>
    <m/>
    <n v="0"/>
    <x v="0"/>
    <s v="…"/>
    <n v="890576536.83065879"/>
  </r>
  <r>
    <x v="0"/>
    <x v="130"/>
    <x v="130"/>
    <x v="6"/>
    <x v="0"/>
    <x v="0"/>
    <x v="0"/>
    <x v="0"/>
    <s v="Multi-Year"/>
    <x v="2"/>
    <s v="N/A"/>
    <s v=""/>
    <s v="Confirmed"/>
    <m/>
    <x v="0"/>
    <x v="0"/>
    <s v=""/>
    <x v="1"/>
    <x v="1"/>
    <m/>
    <n v="0"/>
    <x v="0"/>
    <s v=""/>
    <n v="14611129792.346064"/>
  </r>
  <r>
    <x v="0"/>
    <x v="131"/>
    <x v="131"/>
    <x v="6"/>
    <x v="0"/>
    <x v="0"/>
    <x v="0"/>
    <x v="0"/>
    <s v="Multi-Year"/>
    <x v="2"/>
    <s v="N/A"/>
    <s v=""/>
    <s v="Confirmed"/>
    <m/>
    <x v="0"/>
    <x v="0"/>
    <s v=""/>
    <x v="2"/>
    <x v="0"/>
    <m/>
    <n v="0"/>
    <x v="1"/>
    <s v="Low"/>
    <n v="72046877.233008593"/>
  </r>
  <r>
    <x v="0"/>
    <x v="132"/>
    <x v="132"/>
    <x v="5"/>
    <x v="0"/>
    <x v="0"/>
    <x v="0"/>
    <x v="0"/>
    <s v="Multi-Year"/>
    <x v="2"/>
    <s v="N/A"/>
    <n v="400000"/>
    <s v="Confirmed"/>
    <m/>
    <x v="0"/>
    <x v="0"/>
    <s v="Approved"/>
    <x v="0"/>
    <x v="0"/>
    <m/>
    <n v="0"/>
    <x v="0"/>
    <s v="High"/>
    <n v="56248139.267255567"/>
  </r>
  <r>
    <x v="0"/>
    <x v="133"/>
    <x v="133"/>
    <x v="6"/>
    <x v="0"/>
    <x v="0"/>
    <x v="0"/>
    <x v="0"/>
    <s v="Multi-Year"/>
    <x v="2"/>
    <s v="N/A"/>
    <s v=""/>
    <s v="Confirmed"/>
    <m/>
    <x v="0"/>
    <x v="0"/>
    <s v=""/>
    <x v="1"/>
    <x v="0"/>
    <m/>
    <n v="0"/>
    <x v="1"/>
    <s v="High"/>
    <n v="15464031.712942109"/>
  </r>
  <r>
    <x v="0"/>
    <x v="134"/>
    <x v="134"/>
    <x v="4"/>
    <x v="0"/>
    <x v="0"/>
    <x v="0"/>
    <x v="0"/>
    <s v="Multi-Year"/>
    <x v="2"/>
    <s v="N/A"/>
    <s v=""/>
    <s v="Confirmed"/>
    <m/>
    <x v="0"/>
    <x v="0"/>
    <s v=""/>
    <x v="3"/>
    <x v="1"/>
    <m/>
    <n v="0"/>
    <x v="1"/>
    <s v="N/A"/>
    <n v="769564399.33249676"/>
  </r>
  <r>
    <x v="0"/>
    <x v="135"/>
    <x v="135"/>
    <x v="2"/>
    <x v="0"/>
    <x v="0"/>
    <x v="0"/>
    <x v="0"/>
    <s v="Multi-Year"/>
    <x v="2"/>
    <s v="N/A"/>
    <n v="7800000"/>
    <s v="Confirmed"/>
    <m/>
    <x v="0"/>
    <x v="0"/>
    <s v="Approved"/>
    <x v="2"/>
    <x v="0"/>
    <m/>
    <n v="0"/>
    <x v="0"/>
    <s v="N/A"/>
    <n v="1668954539.7630196"/>
  </r>
  <r>
    <x v="0"/>
    <x v="136"/>
    <x v="136"/>
    <x v="1"/>
    <x v="0"/>
    <x v="0"/>
    <x v="0"/>
    <x v="0"/>
    <s v="Multi-Year"/>
    <x v="2"/>
    <s v="N/A"/>
    <s v=""/>
    <s v="Confirmed"/>
    <m/>
    <x v="0"/>
    <x v="0"/>
    <s v=""/>
    <x v="1"/>
    <x v="1"/>
    <m/>
    <n v="0"/>
    <x v="0"/>
    <s v=""/>
    <n v="24840920016.18832"/>
  </r>
  <r>
    <x v="0"/>
    <x v="137"/>
    <x v="137"/>
    <x v="1"/>
    <x v="0"/>
    <x v="0"/>
    <x v="0"/>
    <x v="0"/>
    <s v="Multi-Year"/>
    <x v="2"/>
    <s v="N/A"/>
    <n v="0"/>
    <s v="Confirmed"/>
    <m/>
    <x v="0"/>
    <x v="0"/>
    <s v="Ineligible"/>
    <x v="1"/>
    <x v="1"/>
    <m/>
    <n v="0"/>
    <x v="0"/>
    <s v="N/A"/>
    <n v="487888462.83720118"/>
  </r>
  <r>
    <x v="0"/>
    <x v="138"/>
    <x v="138"/>
    <x v="6"/>
    <x v="0"/>
    <x v="0"/>
    <x v="0"/>
    <x v="0"/>
    <s v="Multi-Year"/>
    <x v="2"/>
    <s v="N/A"/>
    <s v=""/>
    <s v="Confirmed"/>
    <m/>
    <x v="0"/>
    <x v="0"/>
    <s v=""/>
    <x v="1"/>
    <x v="0"/>
    <m/>
    <n v="0"/>
    <x v="1"/>
    <s v="…"/>
    <n v="6365061.1736073596"/>
  </r>
  <r>
    <x v="0"/>
    <x v="139"/>
    <x v="139"/>
    <x v="3"/>
    <x v="0"/>
    <x v="0"/>
    <x v="0"/>
    <x v="0"/>
    <s v="Multi-Year"/>
    <x v="2"/>
    <s v="N/A"/>
    <n v="43150000"/>
    <s v="Confirmed"/>
    <m/>
    <x v="0"/>
    <x v="0"/>
    <s v="Approved"/>
    <x v="0"/>
    <x v="0"/>
    <m/>
    <n v="2"/>
    <x v="0"/>
    <s v="Low"/>
    <n v="291799092.90196139"/>
  </r>
  <r>
    <x v="0"/>
    <x v="140"/>
    <x v="140"/>
    <x v="1"/>
    <x v="0"/>
    <x v="0"/>
    <x v="0"/>
    <x v="0"/>
    <s v="Multi-Year"/>
    <x v="2"/>
    <s v="N/A"/>
    <n v="20000000"/>
    <s v="Confirmed"/>
    <m/>
    <x v="0"/>
    <x v="0"/>
    <s v="Approved"/>
    <x v="2"/>
    <x v="0"/>
    <m/>
    <n v="0"/>
    <x v="0"/>
    <s v="N/A"/>
    <n v="4844815340.2135534"/>
  </r>
  <r>
    <x v="0"/>
    <x v="141"/>
    <x v="141"/>
    <x v="4"/>
    <x v="0"/>
    <x v="0"/>
    <x v="0"/>
    <x v="0"/>
    <s v="Multi-Year"/>
    <x v="2"/>
    <s v="N/A"/>
    <s v=""/>
    <s v="Confirmed"/>
    <m/>
    <x v="0"/>
    <x v="0"/>
    <s v=""/>
    <x v="3"/>
    <x v="1"/>
    <m/>
    <n v="0"/>
    <x v="0"/>
    <s v=""/>
    <n v="4001891446.6871672"/>
  </r>
  <r>
    <x v="0"/>
    <x v="142"/>
    <x v="142"/>
    <x v="1"/>
    <x v="0"/>
    <x v="0"/>
    <x v="0"/>
    <x v="0"/>
    <s v="Multi-Year"/>
    <x v="2"/>
    <s v="N/A"/>
    <s v=""/>
    <s v="Confirmed"/>
    <m/>
    <x v="0"/>
    <x v="0"/>
    <s v=""/>
    <x v="2"/>
    <x v="0"/>
    <m/>
    <n v="0"/>
    <x v="0"/>
    <s v="Low"/>
    <n v="1019800630.5853213"/>
  </r>
  <r>
    <x v="0"/>
    <x v="143"/>
    <x v="143"/>
    <x v="6"/>
    <x v="0"/>
    <x v="0"/>
    <x v="0"/>
    <x v="0"/>
    <s v="Multi-Year"/>
    <x v="2"/>
    <s v="N/A"/>
    <s v=""/>
    <s v="Confirmed"/>
    <m/>
    <x v="0"/>
    <x v="0"/>
    <s v=""/>
    <x v="2"/>
    <x v="0"/>
    <m/>
    <n v="0"/>
    <x v="1"/>
    <s v="Moderate"/>
    <n v="19578671.310841195"/>
  </r>
  <r>
    <x v="0"/>
    <x v="144"/>
    <x v="144"/>
    <x v="4"/>
    <x v="0"/>
    <x v="0"/>
    <x v="0"/>
    <x v="0"/>
    <s v="Multi-Year"/>
    <x v="2"/>
    <s v="N/A"/>
    <s v=""/>
    <s v="Confirmed"/>
    <m/>
    <x v="0"/>
    <x v="0"/>
    <s v=""/>
    <x v="4"/>
    <x v="1"/>
    <m/>
    <n v="0"/>
    <x v="0"/>
    <s v="N/A"/>
    <n v="3551452001.0684834"/>
  </r>
  <r>
    <x v="0"/>
    <x v="145"/>
    <x v="145"/>
    <x v="6"/>
    <x v="0"/>
    <x v="0"/>
    <x v="0"/>
    <x v="0"/>
    <s v="Multi-Year"/>
    <x v="2"/>
    <s v="N/A"/>
    <s v=""/>
    <s v="Confirmed"/>
    <m/>
    <x v="0"/>
    <x v="0"/>
    <s v=""/>
    <x v="2"/>
    <x v="0"/>
    <m/>
    <n v="0"/>
    <x v="0"/>
    <s v="N/A"/>
    <n v="6603048821.7575006"/>
  </r>
  <r>
    <x v="0"/>
    <x v="146"/>
    <x v="146"/>
    <x v="2"/>
    <x v="0"/>
    <x v="0"/>
    <x v="0"/>
    <x v="0"/>
    <s v="Multi-Year"/>
    <x v="2"/>
    <s v="N/A"/>
    <n v="2300000"/>
    <s v="Confirmed"/>
    <m/>
    <x v="0"/>
    <x v="0"/>
    <s v="Approved"/>
    <x v="0"/>
    <x v="0"/>
    <m/>
    <n v="1"/>
    <x v="0"/>
    <s v="…"/>
    <s v=""/>
  </r>
  <r>
    <x v="0"/>
    <x v="147"/>
    <x v="147"/>
    <x v="3"/>
    <x v="0"/>
    <x v="0"/>
    <x v="0"/>
    <x v="0"/>
    <s v="Multi-Year"/>
    <x v="2"/>
    <s v="N/A"/>
    <n v="3000000"/>
    <s v="Confirmed"/>
    <m/>
    <x v="0"/>
    <x v="0"/>
    <s v="Approved"/>
    <x v="2"/>
    <x v="0"/>
    <m/>
    <n v="0"/>
    <x v="0"/>
    <s v="High"/>
    <n v="515352723.9821828"/>
  </r>
  <r>
    <x v="0"/>
    <x v="148"/>
    <x v="148"/>
    <x v="3"/>
    <x v="0"/>
    <x v="0"/>
    <x v="0"/>
    <x v="0"/>
    <s v="Multi-Year"/>
    <x v="2"/>
    <s v="N/A"/>
    <n v="0"/>
    <s v="Confirmed"/>
    <m/>
    <x v="0"/>
    <x v="0"/>
    <s v="Under Preparation"/>
    <x v="2"/>
    <x v="0"/>
    <m/>
    <n v="0"/>
    <x v="0"/>
    <s v="N/A"/>
    <n v="566711742.22428358"/>
  </r>
  <r>
    <x v="0"/>
    <x v="0"/>
    <x v="0"/>
    <x v="0"/>
    <x v="0"/>
    <x v="0"/>
    <x v="1"/>
    <x v="1"/>
    <s v="Multi-Year"/>
    <x v="0"/>
    <s v="N/A"/>
    <n v="43173076.92307692"/>
    <s v="Confirmed"/>
    <m/>
    <x v="0"/>
    <x v="0"/>
    <s v="Approved"/>
    <x v="0"/>
    <x v="0"/>
    <m/>
    <n v="1"/>
    <x v="0"/>
    <s v="High"/>
    <n v="95829480.719269618"/>
  </r>
  <r>
    <x v="0"/>
    <x v="1"/>
    <x v="1"/>
    <x v="1"/>
    <x v="0"/>
    <x v="0"/>
    <x v="1"/>
    <x v="1"/>
    <s v="Multi-Year"/>
    <x v="0"/>
    <s v="N/A"/>
    <s v=""/>
    <s v="Confirmed"/>
    <m/>
    <x v="0"/>
    <x v="0"/>
    <s v=""/>
    <x v="1"/>
    <x v="1"/>
    <m/>
    <n v="0"/>
    <x v="0"/>
    <s v=""/>
    <n v="427904035.52443534"/>
  </r>
  <r>
    <x v="0"/>
    <x v="2"/>
    <x v="2"/>
    <x v="2"/>
    <x v="0"/>
    <x v="0"/>
    <x v="1"/>
    <x v="1"/>
    <s v="Multi-Year"/>
    <x v="0"/>
    <s v="N/A"/>
    <s v=""/>
    <s v="Confirmed"/>
    <m/>
    <x v="0"/>
    <x v="0"/>
    <s v=""/>
    <x v="2"/>
    <x v="0"/>
    <m/>
    <n v="0"/>
    <x v="0"/>
    <s v="N/A"/>
    <n v="7113361022.7267885"/>
  </r>
  <r>
    <x v="0"/>
    <x v="3"/>
    <x v="3"/>
    <x v="3"/>
    <x v="0"/>
    <x v="0"/>
    <x v="1"/>
    <x v="1"/>
    <s v="Multi-Year"/>
    <x v="0"/>
    <s v="N/A"/>
    <s v=""/>
    <s v="Confirmed"/>
    <m/>
    <x v="0"/>
    <x v="0"/>
    <s v=""/>
    <x v="2"/>
    <x v="0"/>
    <m/>
    <n v="0"/>
    <x v="0"/>
    <s v="…"/>
    <n v="1131865946.5875781"/>
  </r>
  <r>
    <x v="0"/>
    <x v="4"/>
    <x v="4"/>
    <x v="4"/>
    <x v="0"/>
    <x v="0"/>
    <x v="1"/>
    <x v="1"/>
    <s v="Multi-Year"/>
    <x v="0"/>
    <s v="N/A"/>
    <s v=""/>
    <s v="Confirmed"/>
    <m/>
    <x v="0"/>
    <x v="0"/>
    <s v=""/>
    <x v="3"/>
    <x v="1"/>
    <m/>
    <n v="0"/>
    <x v="1"/>
    <s v=""/>
    <n v="46777779.823447868"/>
  </r>
  <r>
    <x v="0"/>
    <x v="5"/>
    <x v="5"/>
    <x v="4"/>
    <x v="0"/>
    <x v="0"/>
    <x v="1"/>
    <x v="1"/>
    <s v="Multi-Year"/>
    <x v="0"/>
    <s v="N/A"/>
    <s v=""/>
    <s v="Confirmed"/>
    <m/>
    <x v="0"/>
    <x v="0"/>
    <s v=""/>
    <x v="1"/>
    <x v="1"/>
    <m/>
    <n v="0"/>
    <x v="0"/>
    <s v=""/>
    <n v="30725305777.596794"/>
  </r>
  <r>
    <x v="0"/>
    <x v="6"/>
    <x v="6"/>
    <x v="1"/>
    <x v="0"/>
    <x v="0"/>
    <x v="1"/>
    <x v="1"/>
    <s v="Multi-Year"/>
    <x v="0"/>
    <s v="N/A"/>
    <s v=""/>
    <s v="Confirmed"/>
    <m/>
    <x v="0"/>
    <x v="0"/>
    <s v=""/>
    <x v="1"/>
    <x v="1"/>
    <m/>
    <n v="0"/>
    <x v="0"/>
    <s v=""/>
    <n v="153815827.8380394"/>
  </r>
  <r>
    <x v="0"/>
    <x v="7"/>
    <x v="7"/>
    <x v="1"/>
    <x v="0"/>
    <x v="0"/>
    <x v="1"/>
    <x v="1"/>
    <s v="Multi-Year"/>
    <x v="0"/>
    <s v="N/A"/>
    <s v=""/>
    <s v="Confirmed"/>
    <m/>
    <x v="0"/>
    <x v="0"/>
    <s v=""/>
    <x v="1"/>
    <x v="1"/>
    <m/>
    <n v="0"/>
    <x v="0"/>
    <s v="N/A"/>
    <n v="437525105.31216973"/>
  </r>
  <r>
    <x v="0"/>
    <x v="8"/>
    <x v="8"/>
    <x v="4"/>
    <x v="0"/>
    <x v="0"/>
    <x v="1"/>
    <x v="1"/>
    <s v="Multi-Year"/>
    <x v="0"/>
    <s v="N/A"/>
    <s v=""/>
    <s v="Confirmed"/>
    <m/>
    <x v="0"/>
    <x v="0"/>
    <s v=""/>
    <x v="3"/>
    <x v="1"/>
    <m/>
    <n v="0"/>
    <x v="1"/>
    <s v=""/>
    <n v="149463302.00602186"/>
  </r>
  <r>
    <x v="0"/>
    <x v="9"/>
    <x v="9"/>
    <x v="0"/>
    <x v="0"/>
    <x v="0"/>
    <x v="1"/>
    <x v="1"/>
    <s v="Multi-Year"/>
    <x v="0"/>
    <s v="N/A"/>
    <n v="893080000"/>
    <s v="Confirmed"/>
    <m/>
    <x v="0"/>
    <x v="0"/>
    <s v="Approved"/>
    <x v="2"/>
    <x v="0"/>
    <m/>
    <n v="0"/>
    <x v="0"/>
    <s v="Low"/>
    <n v="1148322593.9600098"/>
  </r>
  <r>
    <x v="0"/>
    <x v="10"/>
    <x v="10"/>
    <x v="1"/>
    <x v="0"/>
    <x v="0"/>
    <x v="1"/>
    <x v="1"/>
    <s v="Multi-Year"/>
    <x v="0"/>
    <s v="N/A"/>
    <s v=""/>
    <s v="Confirmed"/>
    <m/>
    <x v="0"/>
    <x v="0"/>
    <s v=""/>
    <x v="1"/>
    <x v="1"/>
    <m/>
    <n v="0"/>
    <x v="0"/>
    <s v=""/>
    <n v="2371102058.1093163"/>
  </r>
  <r>
    <x v="0"/>
    <x v="11"/>
    <x v="11"/>
    <x v="4"/>
    <x v="0"/>
    <x v="0"/>
    <x v="1"/>
    <x v="1"/>
    <s v="Multi-Year"/>
    <x v="0"/>
    <s v="N/A"/>
    <s v=""/>
    <s v="Confirmed"/>
    <m/>
    <x v="0"/>
    <x v="0"/>
    <s v=""/>
    <x v="2"/>
    <x v="1"/>
    <m/>
    <n v="0"/>
    <x v="1"/>
    <s v="N/A"/>
    <n v="75151620.005215243"/>
  </r>
  <r>
    <x v="0"/>
    <x v="12"/>
    <x v="12"/>
    <x v="5"/>
    <x v="0"/>
    <x v="0"/>
    <x v="1"/>
    <x v="1"/>
    <s v="Multi-Year"/>
    <x v="0"/>
    <s v="N/A"/>
    <s v=""/>
    <s v="Confirmed"/>
    <m/>
    <x v="0"/>
    <x v="0"/>
    <s v=""/>
    <x v="2"/>
    <x v="0"/>
    <m/>
    <n v="0"/>
    <x v="0"/>
    <s v="Moderate"/>
    <n v="69958487.197715744"/>
  </r>
  <r>
    <x v="0"/>
    <x v="13"/>
    <x v="13"/>
    <x v="0"/>
    <x v="0"/>
    <x v="0"/>
    <x v="1"/>
    <x v="1"/>
    <s v="Multi-Year"/>
    <x v="0"/>
    <s v="N/A"/>
    <n v="0"/>
    <s v="Confirmed"/>
    <m/>
    <x v="0"/>
    <x v="0"/>
    <s v="Under Preparation"/>
    <x v="2"/>
    <x v="0"/>
    <m/>
    <n v="0"/>
    <x v="0"/>
    <s v="…"/>
    <n v="61654608.560629159"/>
  </r>
  <r>
    <x v="0"/>
    <x v="14"/>
    <x v="14"/>
    <x v="4"/>
    <x v="0"/>
    <x v="0"/>
    <x v="1"/>
    <x v="1"/>
    <s v="Multi-Year"/>
    <x v="0"/>
    <s v="N/A"/>
    <s v=""/>
    <s v="Confirmed"/>
    <m/>
    <x v="0"/>
    <x v="0"/>
    <s v=""/>
    <x v="2"/>
    <x v="0"/>
    <m/>
    <n v="0"/>
    <x v="0"/>
    <s v="N/A"/>
    <n v="1806638707.7615163"/>
  </r>
  <r>
    <x v="0"/>
    <x v="15"/>
    <x v="15"/>
    <x v="1"/>
    <x v="0"/>
    <x v="0"/>
    <x v="1"/>
    <x v="1"/>
    <s v="Multi-Year"/>
    <x v="0"/>
    <s v="N/A"/>
    <s v=""/>
    <s v="Confirmed"/>
    <m/>
    <x v="0"/>
    <x v="0"/>
    <s v=""/>
    <x v="1"/>
    <x v="1"/>
    <m/>
    <n v="0"/>
    <x v="0"/>
    <s v="N/A"/>
    <n v="1252696525.0627904"/>
  </r>
  <r>
    <x v="0"/>
    <x v="16"/>
    <x v="16"/>
    <x v="3"/>
    <x v="0"/>
    <x v="0"/>
    <x v="1"/>
    <x v="1"/>
    <s v="Multi-Year"/>
    <x v="0"/>
    <s v="N/A"/>
    <s v=""/>
    <s v="Confirmed"/>
    <m/>
    <x v="0"/>
    <x v="0"/>
    <s v=""/>
    <x v="1"/>
    <x v="1"/>
    <m/>
    <n v="0"/>
    <x v="0"/>
    <s v=""/>
    <n v="843425084.07334602"/>
  </r>
  <r>
    <x v="0"/>
    <x v="17"/>
    <x v="17"/>
    <x v="4"/>
    <x v="0"/>
    <x v="0"/>
    <x v="1"/>
    <x v="1"/>
    <s v="Multi-Year"/>
    <x v="0"/>
    <s v="N/A"/>
    <s v=""/>
    <s v="Confirmed"/>
    <m/>
    <x v="0"/>
    <x v="0"/>
    <s v=""/>
    <x v="1"/>
    <x v="1"/>
    <m/>
    <n v="0"/>
    <x v="0"/>
    <s v="N/A"/>
    <n v="74055620038.853683"/>
  </r>
  <r>
    <x v="0"/>
    <x v="18"/>
    <x v="18"/>
    <x v="1"/>
    <x v="0"/>
    <x v="0"/>
    <x v="1"/>
    <x v="1"/>
    <s v="Multi-Year"/>
    <x v="0"/>
    <s v="N/A"/>
    <s v=""/>
    <s v="Confirmed"/>
    <m/>
    <x v="0"/>
    <x v="0"/>
    <s v=""/>
    <x v="1"/>
    <x v="1"/>
    <m/>
    <n v="0"/>
    <x v="0"/>
    <s v=""/>
    <n v="2803357765.5888777"/>
  </r>
  <r>
    <x v="0"/>
    <x v="19"/>
    <x v="19"/>
    <x v="5"/>
    <x v="0"/>
    <x v="0"/>
    <x v="1"/>
    <x v="1"/>
    <s v="Multi-Year"/>
    <x v="0"/>
    <s v="N/A"/>
    <s v=""/>
    <s v="Confirmed"/>
    <m/>
    <x v="0"/>
    <x v="0"/>
    <s v=""/>
    <x v="0"/>
    <x v="0"/>
    <m/>
    <n v="2"/>
    <x v="0"/>
    <s v="Moderate"/>
    <n v="337927779.25510043"/>
  </r>
  <r>
    <x v="0"/>
    <x v="20"/>
    <x v="20"/>
    <x v="3"/>
    <x v="0"/>
    <x v="0"/>
    <x v="1"/>
    <x v="1"/>
    <s v="Multi-Year"/>
    <x v="0"/>
    <s v="N/A"/>
    <s v=""/>
    <s v="Confirmed"/>
    <m/>
    <x v="0"/>
    <x v="0"/>
    <s v=""/>
    <x v="0"/>
    <x v="0"/>
    <m/>
    <n v="2"/>
    <x v="0"/>
    <s v="…"/>
    <n v="65979512.47399316"/>
  </r>
  <r>
    <x v="0"/>
    <x v="21"/>
    <x v="21"/>
    <x v="5"/>
    <x v="0"/>
    <x v="0"/>
    <x v="1"/>
    <x v="1"/>
    <s v="Multi-Year"/>
    <x v="0"/>
    <s v="N/A"/>
    <s v=""/>
    <s v="Confirmed"/>
    <m/>
    <x v="0"/>
    <x v="0"/>
    <s v=""/>
    <x v="2"/>
    <x v="0"/>
    <m/>
    <n v="0"/>
    <x v="1"/>
    <s v="High"/>
    <n v="63748362.778827004"/>
  </r>
  <r>
    <x v="0"/>
    <x v="22"/>
    <x v="22"/>
    <x v="6"/>
    <x v="0"/>
    <x v="0"/>
    <x v="1"/>
    <x v="1"/>
    <s v="Multi-Year"/>
    <x v="0"/>
    <s v="N/A"/>
    <n v="0"/>
    <s v="Confirmed"/>
    <m/>
    <x v="0"/>
    <x v="0"/>
    <s v="Under Preparation"/>
    <x v="2"/>
    <x v="0"/>
    <m/>
    <n v="0"/>
    <x v="0"/>
    <s v="Low"/>
    <n v="313039649.45369786"/>
  </r>
  <r>
    <x v="0"/>
    <x v="23"/>
    <x v="23"/>
    <x v="5"/>
    <x v="0"/>
    <x v="0"/>
    <x v="1"/>
    <x v="1"/>
    <s v="Multi-Year"/>
    <x v="0"/>
    <s v="N/A"/>
    <s v=""/>
    <s v="Confirmed"/>
    <m/>
    <x v="0"/>
    <x v="0"/>
    <s v=""/>
    <x v="2"/>
    <x v="0"/>
    <m/>
    <n v="2"/>
    <x v="0"/>
    <s v="High"/>
    <n v="81361801.477472037"/>
  </r>
  <r>
    <x v="0"/>
    <x v="24"/>
    <x v="24"/>
    <x v="5"/>
    <x v="0"/>
    <x v="0"/>
    <x v="1"/>
    <x v="1"/>
    <s v="Multi-Year"/>
    <x v="0"/>
    <s v="N/A"/>
    <s v=""/>
    <s v="Confirmed"/>
    <m/>
    <x v="0"/>
    <x v="0"/>
    <s v=""/>
    <x v="0"/>
    <x v="0"/>
    <m/>
    <n v="1"/>
    <x v="0"/>
    <s v="High"/>
    <s v=""/>
  </r>
  <r>
    <x v="0"/>
    <x v="25"/>
    <x v="25"/>
    <x v="5"/>
    <x v="0"/>
    <x v="0"/>
    <x v="1"/>
    <x v="1"/>
    <s v="Multi-Year"/>
    <x v="0"/>
    <s v="N/A"/>
    <s v=""/>
    <s v="Confirmed"/>
    <m/>
    <x v="0"/>
    <x v="0"/>
    <s v=""/>
    <x v="0"/>
    <x v="0"/>
    <m/>
    <n v="1"/>
    <x v="0"/>
    <s v="High"/>
    <n v="76939306.715636879"/>
  </r>
  <r>
    <x v="0"/>
    <x v="26"/>
    <x v="26"/>
    <x v="4"/>
    <x v="0"/>
    <x v="0"/>
    <x v="1"/>
    <x v="1"/>
    <s v="Multi-Year"/>
    <x v="0"/>
    <s v="N/A"/>
    <s v=""/>
    <s v="Confirmed"/>
    <m/>
    <x v="0"/>
    <x v="0"/>
    <s v=""/>
    <x v="3"/>
    <x v="1"/>
    <m/>
    <n v="0"/>
    <x v="0"/>
    <s v=""/>
    <n v="13859708717.682571"/>
  </r>
  <r>
    <x v="0"/>
    <x v="27"/>
    <x v="27"/>
    <x v="6"/>
    <x v="0"/>
    <x v="0"/>
    <x v="1"/>
    <x v="1"/>
    <s v="Multi-Year"/>
    <x v="0"/>
    <s v="N/A"/>
    <s v=""/>
    <s v="Confirmed"/>
    <m/>
    <x v="0"/>
    <x v="0"/>
    <s v=""/>
    <x v="1"/>
    <x v="1"/>
    <m/>
    <n v="0"/>
    <x v="0"/>
    <s v=""/>
    <n v="403567160707.7016"/>
  </r>
  <r>
    <x v="0"/>
    <x v="28"/>
    <x v="28"/>
    <x v="4"/>
    <x v="0"/>
    <x v="0"/>
    <x v="1"/>
    <x v="1"/>
    <s v="Multi-Year"/>
    <x v="0"/>
    <s v="N/A"/>
    <s v=""/>
    <s v="Confirmed"/>
    <m/>
    <x v="0"/>
    <x v="0"/>
    <s v=""/>
    <x v="1"/>
    <x v="1"/>
    <m/>
    <n v="0"/>
    <x v="0"/>
    <s v=""/>
    <n v="18250225995.972618"/>
  </r>
  <r>
    <x v="0"/>
    <x v="29"/>
    <x v="29"/>
    <x v="3"/>
    <x v="0"/>
    <x v="0"/>
    <x v="1"/>
    <x v="1"/>
    <s v="Multi-Year"/>
    <x v="0"/>
    <s v="N/A"/>
    <s v=""/>
    <s v="Confirmed"/>
    <m/>
    <x v="0"/>
    <x v="0"/>
    <s v=""/>
    <x v="2"/>
    <x v="0"/>
    <m/>
    <n v="0"/>
    <x v="1"/>
    <s v="Moderate"/>
    <n v="5027591.1682657599"/>
  </r>
  <r>
    <x v="0"/>
    <x v="30"/>
    <x v="30"/>
    <x v="5"/>
    <x v="0"/>
    <x v="0"/>
    <x v="1"/>
    <x v="1"/>
    <s v="Multi-Year"/>
    <x v="0"/>
    <s v="N/A"/>
    <s v=""/>
    <s v="Confirmed"/>
    <m/>
    <x v="0"/>
    <x v="0"/>
    <s v=""/>
    <x v="0"/>
    <x v="0"/>
    <m/>
    <n v="3"/>
    <x v="0"/>
    <s v="Moderate"/>
    <n v="234645958.63289919"/>
  </r>
  <r>
    <x v="0"/>
    <x v="31"/>
    <x v="31"/>
    <x v="5"/>
    <x v="0"/>
    <x v="0"/>
    <x v="1"/>
    <x v="1"/>
    <s v="Multi-Year"/>
    <x v="0"/>
    <s v="N/A"/>
    <s v=""/>
    <s v="Confirmed"/>
    <m/>
    <x v="0"/>
    <x v="0"/>
    <s v=""/>
    <x v="2"/>
    <x v="0"/>
    <m/>
    <n v="2"/>
    <x v="0"/>
    <s v="In distress"/>
    <n v="91590910.247314155"/>
  </r>
  <r>
    <x v="0"/>
    <x v="32"/>
    <x v="32"/>
    <x v="6"/>
    <x v="0"/>
    <x v="0"/>
    <x v="1"/>
    <x v="1"/>
    <s v="Multi-Year"/>
    <x v="0"/>
    <s v="N/A"/>
    <s v=""/>
    <s v="Confirmed"/>
    <m/>
    <x v="0"/>
    <x v="0"/>
    <s v=""/>
    <x v="4"/>
    <x v="1"/>
    <m/>
    <n v="0"/>
    <x v="1"/>
    <s v="N/A"/>
    <n v="8560012.8840167802"/>
  </r>
  <r>
    <x v="0"/>
    <x v="33"/>
    <x v="33"/>
    <x v="4"/>
    <x v="0"/>
    <x v="0"/>
    <x v="1"/>
    <x v="1"/>
    <s v="Multi-Year"/>
    <x v="0"/>
    <s v="N/A"/>
    <s v=""/>
    <s v="Confirmed"/>
    <m/>
    <x v="0"/>
    <x v="0"/>
    <s v=""/>
    <x v="1"/>
    <x v="1"/>
    <m/>
    <n v="0"/>
    <x v="0"/>
    <s v="N/A"/>
    <n v="3292372960.3962669"/>
  </r>
  <r>
    <x v="0"/>
    <x v="34"/>
    <x v="34"/>
    <x v="5"/>
    <x v="0"/>
    <x v="0"/>
    <x v="1"/>
    <x v="1"/>
    <s v="Multi-Year"/>
    <x v="0"/>
    <s v="N/A"/>
    <s v=""/>
    <s v="Confirmed"/>
    <m/>
    <x v="0"/>
    <x v="0"/>
    <s v=""/>
    <x v="2"/>
    <x v="0"/>
    <m/>
    <n v="0"/>
    <x v="0"/>
    <s v="Moderate"/>
    <n v="519209981.22981054"/>
  </r>
  <r>
    <x v="0"/>
    <x v="35"/>
    <x v="35"/>
    <x v="1"/>
    <x v="0"/>
    <x v="0"/>
    <x v="1"/>
    <x v="1"/>
    <s v="Multi-Year"/>
    <x v="0"/>
    <s v="N/A"/>
    <s v=""/>
    <s v="Confirmed"/>
    <m/>
    <x v="0"/>
    <x v="0"/>
    <s v=""/>
    <x v="3"/>
    <x v="1"/>
    <m/>
    <n v="0"/>
    <x v="0"/>
    <s v=""/>
    <n v="3464739907.1604805"/>
  </r>
  <r>
    <x v="0"/>
    <x v="36"/>
    <x v="36"/>
    <x v="4"/>
    <x v="0"/>
    <x v="0"/>
    <x v="1"/>
    <x v="1"/>
    <s v="Multi-Year"/>
    <x v="0"/>
    <s v="N/A"/>
    <s v=""/>
    <s v="Confirmed"/>
    <m/>
    <x v="0"/>
    <x v="0"/>
    <s v=""/>
    <x v="1"/>
    <x v="1"/>
    <m/>
    <n v="0"/>
    <x v="1"/>
    <s v=""/>
    <n v="9948521252.2569065"/>
  </r>
  <r>
    <x v="0"/>
    <x v="37"/>
    <x v="37"/>
    <x v="2"/>
    <x v="0"/>
    <x v="0"/>
    <x v="1"/>
    <x v="1"/>
    <s v="Multi-Year"/>
    <x v="0"/>
    <s v="N/A"/>
    <s v=""/>
    <s v="Confirmed"/>
    <m/>
    <x v="0"/>
    <x v="0"/>
    <s v=""/>
    <x v="2"/>
    <x v="0"/>
    <m/>
    <n v="1"/>
    <x v="0"/>
    <s v="High"/>
    <n v="33679192.765657313"/>
  </r>
  <r>
    <x v="0"/>
    <x v="38"/>
    <x v="38"/>
    <x v="4"/>
    <x v="0"/>
    <x v="0"/>
    <x v="1"/>
    <x v="1"/>
    <s v="Multi-Year"/>
    <x v="0"/>
    <s v="N/A"/>
    <s v=""/>
    <s v="Confirmed"/>
    <m/>
    <x v="0"/>
    <x v="0"/>
    <s v=""/>
    <x v="1"/>
    <x v="0"/>
    <m/>
    <n v="0"/>
    <x v="1"/>
    <s v="…"/>
    <n v="22784494.365742501"/>
  </r>
  <r>
    <x v="0"/>
    <x v="39"/>
    <x v="39"/>
    <x v="4"/>
    <x v="0"/>
    <x v="0"/>
    <x v="1"/>
    <x v="1"/>
    <s v="Multi-Year"/>
    <x v="0"/>
    <s v="N/A"/>
    <s v=""/>
    <s v="Confirmed"/>
    <m/>
    <x v="0"/>
    <x v="0"/>
    <s v=""/>
    <x v="1"/>
    <x v="1"/>
    <m/>
    <n v="0"/>
    <x v="1"/>
    <s v=""/>
    <n v="2173208011.4858823"/>
  </r>
  <r>
    <x v="0"/>
    <x v="40"/>
    <x v="40"/>
    <x v="4"/>
    <x v="0"/>
    <x v="0"/>
    <x v="1"/>
    <x v="1"/>
    <s v="Multi-Year"/>
    <x v="0"/>
    <s v="N/A"/>
    <s v=""/>
    <s v="Confirmed"/>
    <m/>
    <x v="0"/>
    <x v="0"/>
    <s v=""/>
    <x v="1"/>
    <x v="1"/>
    <m/>
    <n v="0"/>
    <x v="0"/>
    <s v="N/A"/>
    <n v="4585736158.8323269"/>
  </r>
  <r>
    <x v="0"/>
    <x v="41"/>
    <x v="41"/>
    <x v="2"/>
    <x v="0"/>
    <x v="0"/>
    <x v="1"/>
    <x v="1"/>
    <s v="Multi-Year"/>
    <x v="0"/>
    <s v="N/A"/>
    <s v=""/>
    <s v="Confirmed"/>
    <m/>
    <x v="0"/>
    <x v="0"/>
    <s v=""/>
    <x v="2"/>
    <x v="0"/>
    <m/>
    <n v="0"/>
    <x v="0"/>
    <s v="N/A"/>
    <n v="3550291584.8645592"/>
  </r>
  <r>
    <x v="0"/>
    <x v="42"/>
    <x v="42"/>
    <x v="4"/>
    <x v="0"/>
    <x v="0"/>
    <x v="1"/>
    <x v="1"/>
    <s v="Multi-Year"/>
    <x v="0"/>
    <s v="N/A"/>
    <s v=""/>
    <s v="Confirmed"/>
    <m/>
    <x v="0"/>
    <x v="0"/>
    <s v=""/>
    <x v="2"/>
    <x v="0"/>
    <m/>
    <n v="0"/>
    <x v="0"/>
    <s v="N/A"/>
    <n v="1182840319.0410969"/>
  </r>
  <r>
    <x v="0"/>
    <x v="43"/>
    <x v="43"/>
    <x v="4"/>
    <x v="0"/>
    <x v="0"/>
    <x v="1"/>
    <x v="1"/>
    <s v="Multi-Year"/>
    <x v="0"/>
    <s v="N/A"/>
    <s v=""/>
    <s v="Confirmed"/>
    <m/>
    <x v="0"/>
    <x v="0"/>
    <s v=""/>
    <x v="1"/>
    <x v="1"/>
    <m/>
    <n v="0"/>
    <x v="0"/>
    <s v=""/>
    <n v="81728347.604567245"/>
  </r>
  <r>
    <x v="0"/>
    <x v="44"/>
    <x v="44"/>
    <x v="3"/>
    <x v="0"/>
    <x v="0"/>
    <x v="1"/>
    <x v="1"/>
    <s v="Multi-Year"/>
    <x v="0"/>
    <s v="N/A"/>
    <s v=""/>
    <s v="Confirmed"/>
    <m/>
    <x v="0"/>
    <x v="0"/>
    <s v=""/>
    <x v="0"/>
    <x v="0"/>
    <m/>
    <n v="2"/>
    <x v="0"/>
    <s v="N/A"/>
    <n v="12787914.977715338"/>
  </r>
  <r>
    <x v="0"/>
    <x v="45"/>
    <x v="45"/>
    <x v="3"/>
    <x v="0"/>
    <x v="0"/>
    <x v="1"/>
    <x v="1"/>
    <s v="Multi-Year"/>
    <x v="0"/>
    <s v="N/A"/>
    <s v=""/>
    <s v="Confirmed"/>
    <m/>
    <x v="0"/>
    <x v="0"/>
    <s v=""/>
    <x v="2"/>
    <x v="0"/>
    <m/>
    <n v="2"/>
    <x v="0"/>
    <s v="N/A"/>
    <n v="101271737.65410839"/>
  </r>
  <r>
    <x v="0"/>
    <x v="46"/>
    <x v="46"/>
    <x v="3"/>
    <x v="0"/>
    <x v="0"/>
    <x v="1"/>
    <x v="1"/>
    <s v="Multi-Year"/>
    <x v="0"/>
    <s v="N/A"/>
    <s v=""/>
    <s v="Confirmed"/>
    <m/>
    <x v="0"/>
    <x v="0"/>
    <s v=""/>
    <x v="0"/>
    <x v="0"/>
    <m/>
    <n v="3"/>
    <x v="0"/>
    <s v="High"/>
    <n v="618344226.71759331"/>
  </r>
  <r>
    <x v="0"/>
    <x v="47"/>
    <x v="47"/>
    <x v="6"/>
    <x v="0"/>
    <x v="0"/>
    <x v="1"/>
    <x v="1"/>
    <s v="Multi-Year"/>
    <x v="0"/>
    <s v="N/A"/>
    <s v=""/>
    <s v="Confirmed"/>
    <m/>
    <x v="0"/>
    <x v="0"/>
    <s v=""/>
    <x v="1"/>
    <x v="0"/>
    <m/>
    <n v="0"/>
    <x v="1"/>
    <s v="…"/>
    <n v="129483872.95906857"/>
  </r>
  <r>
    <x v="0"/>
    <x v="48"/>
    <x v="48"/>
    <x v="5"/>
    <x v="0"/>
    <x v="0"/>
    <x v="1"/>
    <x v="1"/>
    <s v="Multi-Year"/>
    <x v="0"/>
    <s v="N/A"/>
    <s v=""/>
    <s v="Confirmed"/>
    <m/>
    <x v="0"/>
    <x v="0"/>
    <s v=""/>
    <x v="1"/>
    <x v="1"/>
    <m/>
    <n v="0"/>
    <x v="0"/>
    <s v="N/A"/>
    <n v="271184658.35014349"/>
  </r>
  <r>
    <x v="0"/>
    <x v="49"/>
    <x v="49"/>
    <x v="5"/>
    <x v="0"/>
    <x v="0"/>
    <x v="1"/>
    <x v="1"/>
    <s v="Multi-Year"/>
    <x v="0"/>
    <s v="N/A"/>
    <s v=""/>
    <s v="Confirmed"/>
    <m/>
    <x v="0"/>
    <x v="0"/>
    <s v=""/>
    <x v="0"/>
    <x v="0"/>
    <m/>
    <n v="0"/>
    <x v="0"/>
    <s v="High"/>
    <n v="15455265.086884515"/>
  </r>
  <r>
    <x v="0"/>
    <x v="50"/>
    <x v="50"/>
    <x v="1"/>
    <x v="0"/>
    <x v="0"/>
    <x v="1"/>
    <x v="1"/>
    <s v="Multi-Year"/>
    <x v="0"/>
    <s v="N/A"/>
    <n v="13630000"/>
    <s v="Confirmed"/>
    <m/>
    <x v="0"/>
    <x v="0"/>
    <s v="Approved"/>
    <x v="1"/>
    <x v="1"/>
    <m/>
    <n v="0"/>
    <x v="0"/>
    <s v="N/A"/>
    <n v="494021502.525527"/>
  </r>
  <r>
    <x v="0"/>
    <x v="51"/>
    <x v="51"/>
    <x v="5"/>
    <x v="0"/>
    <x v="0"/>
    <x v="1"/>
    <x v="1"/>
    <s v="Multi-Year"/>
    <x v="0"/>
    <s v="N/A"/>
    <s v=""/>
    <s v="Confirmed"/>
    <m/>
    <x v="0"/>
    <x v="0"/>
    <s v=""/>
    <x v="2"/>
    <x v="0"/>
    <m/>
    <n v="0"/>
    <x v="0"/>
    <s v="High"/>
    <n v="902005621.73836684"/>
  </r>
  <r>
    <x v="0"/>
    <x v="52"/>
    <x v="52"/>
    <x v="4"/>
    <x v="0"/>
    <x v="0"/>
    <x v="1"/>
    <x v="1"/>
    <s v="Multi-Year"/>
    <x v="0"/>
    <s v="N/A"/>
    <s v=""/>
    <s v="Confirmed"/>
    <m/>
    <x v="0"/>
    <x v="0"/>
    <s v=""/>
    <x v="1"/>
    <x v="0"/>
    <m/>
    <n v="0"/>
    <x v="1"/>
    <s v="In distress"/>
    <n v="20201670.142996579"/>
  </r>
  <r>
    <x v="0"/>
    <x v="53"/>
    <x v="53"/>
    <x v="4"/>
    <x v="0"/>
    <x v="0"/>
    <x v="1"/>
    <x v="1"/>
    <s v="Multi-Year"/>
    <x v="0"/>
    <s v="N/A"/>
    <s v=""/>
    <s v="Confirmed"/>
    <m/>
    <x v="0"/>
    <x v="0"/>
    <s v=""/>
    <x v="1"/>
    <x v="1"/>
    <m/>
    <n v="0"/>
    <x v="0"/>
    <s v=""/>
    <n v="1612434649.6948864"/>
  </r>
  <r>
    <x v="0"/>
    <x v="54"/>
    <x v="54"/>
    <x v="5"/>
    <x v="0"/>
    <x v="0"/>
    <x v="1"/>
    <x v="1"/>
    <s v="Multi-Year"/>
    <x v="0"/>
    <s v="N/A"/>
    <s v=""/>
    <s v="Confirmed"/>
    <m/>
    <x v="0"/>
    <x v="0"/>
    <s v=""/>
    <x v="0"/>
    <x v="0"/>
    <m/>
    <n v="0"/>
    <x v="0"/>
    <s v="Moderate"/>
    <n v="78203134.118229344"/>
  </r>
  <r>
    <x v="0"/>
    <x v="55"/>
    <x v="55"/>
    <x v="5"/>
    <x v="0"/>
    <x v="0"/>
    <x v="1"/>
    <x v="1"/>
    <s v="Multi-Year"/>
    <x v="0"/>
    <s v="N/A"/>
    <s v=""/>
    <s v="Confirmed"/>
    <m/>
    <x v="0"/>
    <x v="0"/>
    <s v=""/>
    <x v="0"/>
    <x v="0"/>
    <m/>
    <n v="2"/>
    <x v="1"/>
    <s v="High"/>
    <n v="9151637.7411015611"/>
  </r>
  <r>
    <x v="0"/>
    <x v="56"/>
    <x v="56"/>
    <x v="4"/>
    <x v="0"/>
    <x v="0"/>
    <x v="1"/>
    <x v="1"/>
    <s v="Multi-Year"/>
    <x v="0"/>
    <s v="N/A"/>
    <s v=""/>
    <s v="Confirmed"/>
    <m/>
    <x v="0"/>
    <x v="0"/>
    <s v=""/>
    <x v="1"/>
    <x v="0"/>
    <m/>
    <n v="0"/>
    <x v="1"/>
    <s v="Moderate"/>
    <n v="142455920.02856269"/>
  </r>
  <r>
    <x v="0"/>
    <x v="57"/>
    <x v="57"/>
    <x v="4"/>
    <x v="0"/>
    <x v="0"/>
    <x v="1"/>
    <x v="1"/>
    <s v="Multi-Year"/>
    <x v="0"/>
    <s v="N/A"/>
    <s v=""/>
    <s v="Confirmed"/>
    <m/>
    <x v="0"/>
    <x v="0"/>
    <s v=""/>
    <x v="2"/>
    <x v="0"/>
    <m/>
    <n v="1"/>
    <x v="1"/>
    <s v="High"/>
    <n v="85611818.171245083"/>
  </r>
  <r>
    <x v="0"/>
    <x v="58"/>
    <x v="58"/>
    <x v="4"/>
    <x v="0"/>
    <x v="0"/>
    <x v="1"/>
    <x v="1"/>
    <s v="Multi-Year"/>
    <x v="0"/>
    <s v="N/A"/>
    <s v=""/>
    <s v="Confirmed"/>
    <m/>
    <x v="0"/>
    <x v="0"/>
    <s v=""/>
    <x v="2"/>
    <x v="0"/>
    <m/>
    <n v="0"/>
    <x v="0"/>
    <s v="Low"/>
    <n v="680289736.30082119"/>
  </r>
  <r>
    <x v="0"/>
    <x v="59"/>
    <x v="59"/>
    <x v="0"/>
    <x v="0"/>
    <x v="0"/>
    <x v="1"/>
    <x v="1"/>
    <s v="Multi-Year"/>
    <x v="0"/>
    <s v="N/A"/>
    <n v="0"/>
    <s v="Confirmed"/>
    <m/>
    <x v="0"/>
    <x v="0"/>
    <s v="Approved"/>
    <x v="2"/>
    <x v="0"/>
    <m/>
    <n v="0"/>
    <x v="0"/>
    <s v="N/A"/>
    <n v="26554332750.47023"/>
  </r>
  <r>
    <x v="0"/>
    <x v="60"/>
    <x v="60"/>
    <x v="6"/>
    <x v="0"/>
    <x v="0"/>
    <x v="1"/>
    <x v="1"/>
    <s v="Multi-Year"/>
    <x v="0"/>
    <s v="N/A"/>
    <n v="445270000"/>
    <s v="Confirmed"/>
    <m/>
    <x v="0"/>
    <x v="0"/>
    <s v="Approved"/>
    <x v="2"/>
    <x v="0"/>
    <m/>
    <n v="0"/>
    <x v="0"/>
    <s v="N/A"/>
    <n v="14745961064.890842"/>
  </r>
  <r>
    <x v="0"/>
    <x v="61"/>
    <x v="61"/>
    <x v="2"/>
    <x v="0"/>
    <x v="0"/>
    <x v="1"/>
    <x v="1"/>
    <s v="Multi-Year"/>
    <x v="0"/>
    <s v="N/A"/>
    <s v=""/>
    <s v="Confirmed"/>
    <m/>
    <x v="0"/>
    <x v="0"/>
    <s v=""/>
    <x v="2"/>
    <x v="1"/>
    <m/>
    <n v="0"/>
    <x v="0"/>
    <s v="N/A"/>
    <n v="18194076299.786381"/>
  </r>
  <r>
    <x v="0"/>
    <x v="62"/>
    <x v="62"/>
    <x v="2"/>
    <x v="0"/>
    <x v="0"/>
    <x v="1"/>
    <x v="1"/>
    <s v="Multi-Year"/>
    <x v="0"/>
    <s v="N/A"/>
    <s v=""/>
    <s v="Confirmed"/>
    <m/>
    <x v="0"/>
    <x v="0"/>
    <s v=""/>
    <x v="1"/>
    <x v="1"/>
    <m/>
    <n v="0"/>
    <x v="0"/>
    <s v="N/A"/>
    <n v="4428819387.769825"/>
  </r>
  <r>
    <x v="0"/>
    <x v="63"/>
    <x v="63"/>
    <x v="4"/>
    <x v="0"/>
    <x v="0"/>
    <x v="1"/>
    <x v="1"/>
    <s v="Multi-Year"/>
    <x v="0"/>
    <s v="N/A"/>
    <s v=""/>
    <s v="Confirmed"/>
    <m/>
    <x v="0"/>
    <x v="0"/>
    <s v=""/>
    <x v="1"/>
    <x v="1"/>
    <m/>
    <n v="0"/>
    <x v="1"/>
    <s v=""/>
    <n v="611739560.62679195"/>
  </r>
  <r>
    <x v="0"/>
    <x v="64"/>
    <x v="64"/>
    <x v="2"/>
    <x v="0"/>
    <x v="0"/>
    <x v="1"/>
    <x v="1"/>
    <s v="Multi-Year"/>
    <x v="0"/>
    <s v="N/A"/>
    <s v=""/>
    <s v="Confirmed"/>
    <m/>
    <x v="0"/>
    <x v="0"/>
    <s v=""/>
    <x v="1"/>
    <x v="1"/>
    <m/>
    <n v="0"/>
    <x v="0"/>
    <s v="N/A"/>
    <n v="1617913383.0481031"/>
  </r>
  <r>
    <x v="0"/>
    <x v="65"/>
    <x v="65"/>
    <x v="1"/>
    <x v="0"/>
    <x v="0"/>
    <x v="1"/>
    <x v="1"/>
    <s v="Multi-Year"/>
    <x v="0"/>
    <s v="N/A"/>
    <s v=""/>
    <s v="Confirmed"/>
    <m/>
    <x v="0"/>
    <x v="0"/>
    <s v=""/>
    <x v="1"/>
    <x v="1"/>
    <m/>
    <n v="0"/>
    <x v="0"/>
    <s v=""/>
    <n v="3074419112.4562683"/>
  </r>
  <r>
    <x v="0"/>
    <x v="66"/>
    <x v="66"/>
    <x v="3"/>
    <x v="0"/>
    <x v="0"/>
    <x v="1"/>
    <x v="1"/>
    <s v="Multi-Year"/>
    <x v="0"/>
    <s v="N/A"/>
    <s v=""/>
    <s v="Confirmed"/>
    <m/>
    <x v="0"/>
    <x v="0"/>
    <s v=""/>
    <x v="2"/>
    <x v="0"/>
    <m/>
    <n v="0"/>
    <x v="0"/>
    <s v="High"/>
    <n v="1914014279.8929913"/>
  </r>
  <r>
    <x v="0"/>
    <x v="67"/>
    <x v="67"/>
    <x v="6"/>
    <x v="0"/>
    <x v="0"/>
    <x v="1"/>
    <x v="1"/>
    <s v="Multi-Year"/>
    <x v="0"/>
    <s v="N/A"/>
    <s v=""/>
    <s v="Confirmed"/>
    <m/>
    <x v="0"/>
    <x v="0"/>
    <s v=""/>
    <x v="2"/>
    <x v="0"/>
    <m/>
    <n v="0"/>
    <x v="1"/>
    <s v="High"/>
    <n v="17422005.762907442"/>
  </r>
  <r>
    <x v="0"/>
    <x v="68"/>
    <x v="68"/>
    <x v="6"/>
    <x v="0"/>
    <x v="0"/>
    <x v="1"/>
    <x v="1"/>
    <s v="Multi-Year"/>
    <x v="0"/>
    <s v="N/A"/>
    <s v=""/>
    <s v="Confirmed"/>
    <m/>
    <x v="0"/>
    <x v="0"/>
    <s v=""/>
    <x v="0"/>
    <x v="0"/>
    <m/>
    <n v="0"/>
    <x v="0"/>
    <s v="N/A"/>
    <s v=""/>
  </r>
  <r>
    <x v="0"/>
    <x v="69"/>
    <x v="69"/>
    <x v="1"/>
    <x v="0"/>
    <x v="0"/>
    <x v="1"/>
    <x v="1"/>
    <s v="Multi-Year"/>
    <x v="0"/>
    <s v="N/A"/>
    <s v=""/>
    <s v="Confirmed"/>
    <m/>
    <x v="0"/>
    <x v="0"/>
    <s v=""/>
    <x v="1"/>
    <x v="0"/>
    <m/>
    <n v="0"/>
    <x v="0"/>
    <s v="…"/>
    <s v=""/>
  </r>
  <r>
    <x v="0"/>
    <x v="70"/>
    <x v="70"/>
    <x v="1"/>
    <x v="0"/>
    <x v="0"/>
    <x v="1"/>
    <x v="1"/>
    <s v="Multi-Year"/>
    <x v="0"/>
    <s v="N/A"/>
    <s v=""/>
    <s v="Confirmed"/>
    <m/>
    <x v="0"/>
    <x v="0"/>
    <s v=""/>
    <x v="2"/>
    <x v="0"/>
    <m/>
    <n v="2"/>
    <x v="0"/>
    <s v="Moderate"/>
    <n v="231506834.84347546"/>
  </r>
  <r>
    <x v="0"/>
    <x v="71"/>
    <x v="71"/>
    <x v="6"/>
    <x v="0"/>
    <x v="0"/>
    <x v="1"/>
    <x v="1"/>
    <s v="Multi-Year"/>
    <x v="0"/>
    <s v="N/A"/>
    <s v=""/>
    <s v="Confirmed"/>
    <m/>
    <x v="0"/>
    <x v="0"/>
    <s v=""/>
    <x v="2"/>
    <x v="0"/>
    <m/>
    <n v="0"/>
    <x v="0"/>
    <s v="High"/>
    <n v="156059428.62944782"/>
  </r>
  <r>
    <x v="0"/>
    <x v="72"/>
    <x v="72"/>
    <x v="2"/>
    <x v="0"/>
    <x v="0"/>
    <x v="1"/>
    <x v="1"/>
    <s v="Multi-Year"/>
    <x v="0"/>
    <s v="N/A"/>
    <s v=""/>
    <s v="Confirmed"/>
    <m/>
    <x v="0"/>
    <x v="0"/>
    <s v=""/>
    <x v="1"/>
    <x v="1"/>
    <m/>
    <n v="0"/>
    <x v="0"/>
    <s v="N/A"/>
    <n v="2355391507.1635861"/>
  </r>
  <r>
    <x v="0"/>
    <x v="73"/>
    <x v="73"/>
    <x v="3"/>
    <x v="0"/>
    <x v="0"/>
    <x v="1"/>
    <x v="1"/>
    <s v="Multi-Year"/>
    <x v="0"/>
    <s v="N/A"/>
    <s v=""/>
    <s v="Confirmed"/>
    <m/>
    <x v="0"/>
    <x v="0"/>
    <s v=""/>
    <x v="2"/>
    <x v="0"/>
    <m/>
    <n v="0"/>
    <x v="0"/>
    <s v="Moderate"/>
    <n v="152760919.7684873"/>
  </r>
  <r>
    <x v="0"/>
    <x v="74"/>
    <x v="74"/>
    <x v="5"/>
    <x v="0"/>
    <x v="0"/>
    <x v="1"/>
    <x v="1"/>
    <s v="Multi-Year"/>
    <x v="0"/>
    <s v="N/A"/>
    <s v=""/>
    <s v="Confirmed"/>
    <m/>
    <x v="0"/>
    <x v="0"/>
    <s v=""/>
    <x v="0"/>
    <x v="0"/>
    <m/>
    <n v="0"/>
    <x v="0"/>
    <s v="High"/>
    <n v="55072006.864440605"/>
  </r>
  <r>
    <x v="0"/>
    <x v="75"/>
    <x v="75"/>
    <x v="2"/>
    <x v="0"/>
    <x v="0"/>
    <x v="1"/>
    <x v="1"/>
    <s v="Multi-Year"/>
    <x v="0"/>
    <s v="N/A"/>
    <s v=""/>
    <s v="Confirmed"/>
    <m/>
    <x v="0"/>
    <x v="0"/>
    <s v=""/>
    <x v="1"/>
    <x v="1"/>
    <m/>
    <n v="0"/>
    <x v="0"/>
    <s v="N/A"/>
    <s v=""/>
  </r>
  <r>
    <x v="0"/>
    <x v="76"/>
    <x v="76"/>
    <x v="3"/>
    <x v="0"/>
    <x v="0"/>
    <x v="1"/>
    <x v="1"/>
    <s v="Multi-Year"/>
    <x v="0"/>
    <s v="N/A"/>
    <s v=""/>
    <s v="Confirmed"/>
    <m/>
    <x v="0"/>
    <x v="0"/>
    <s v=""/>
    <x v="0"/>
    <x v="0"/>
    <m/>
    <n v="2"/>
    <x v="0"/>
    <s v="Moderate"/>
    <n v="206914157.05429548"/>
  </r>
  <r>
    <x v="0"/>
    <x v="77"/>
    <x v="77"/>
    <x v="3"/>
    <x v="0"/>
    <x v="0"/>
    <x v="1"/>
    <x v="1"/>
    <s v="Multi-Year"/>
    <x v="0"/>
    <s v="N/A"/>
    <s v=""/>
    <s v="Confirmed"/>
    <m/>
    <x v="0"/>
    <x v="0"/>
    <s v=""/>
    <x v="0"/>
    <x v="0"/>
    <m/>
    <n v="2"/>
    <x v="0"/>
    <s v="High"/>
    <n v="185999915.02066413"/>
  </r>
  <r>
    <x v="0"/>
    <x v="78"/>
    <x v="78"/>
    <x v="6"/>
    <x v="0"/>
    <x v="0"/>
    <x v="1"/>
    <x v="1"/>
    <s v="Multi-Year"/>
    <x v="0"/>
    <s v="N/A"/>
    <s v=""/>
    <s v="Confirmed"/>
    <m/>
    <x v="0"/>
    <x v="0"/>
    <s v=""/>
    <x v="1"/>
    <x v="1"/>
    <m/>
    <n v="0"/>
    <x v="0"/>
    <s v=""/>
    <n v="6893755763.2501726"/>
  </r>
  <r>
    <x v="0"/>
    <x v="79"/>
    <x v="79"/>
    <x v="0"/>
    <x v="0"/>
    <x v="0"/>
    <x v="1"/>
    <x v="1"/>
    <s v="Multi-Year"/>
    <x v="0"/>
    <s v="N/A"/>
    <n v="0"/>
    <s v="Confirmed"/>
    <m/>
    <x v="0"/>
    <x v="0"/>
    <s v="Under Preparation"/>
    <x v="1"/>
    <x v="0"/>
    <m/>
    <n v="0"/>
    <x v="1"/>
    <s v="High"/>
    <n v="354560231.58276606"/>
  </r>
  <r>
    <x v="0"/>
    <x v="80"/>
    <x v="80"/>
    <x v="5"/>
    <x v="0"/>
    <x v="0"/>
    <x v="1"/>
    <x v="1"/>
    <s v="Multi-Year"/>
    <x v="0"/>
    <s v="N/A"/>
    <s v=""/>
    <s v="Confirmed"/>
    <m/>
    <x v="0"/>
    <x v="0"/>
    <s v=""/>
    <x v="0"/>
    <x v="0"/>
    <m/>
    <n v="1"/>
    <x v="0"/>
    <s v="Moderate"/>
    <n v="188169167.56540567"/>
  </r>
  <r>
    <x v="0"/>
    <x v="81"/>
    <x v="81"/>
    <x v="6"/>
    <x v="0"/>
    <x v="0"/>
    <x v="1"/>
    <x v="1"/>
    <s v="Multi-Year"/>
    <x v="0"/>
    <s v="N/A"/>
    <s v=""/>
    <s v="Confirmed"/>
    <m/>
    <x v="0"/>
    <x v="0"/>
    <s v=""/>
    <x v="1"/>
    <x v="0"/>
    <m/>
    <n v="0"/>
    <x v="1"/>
    <s v=""/>
    <n v="16312106.556340856"/>
  </r>
  <r>
    <x v="0"/>
    <x v="82"/>
    <x v="82"/>
    <x v="5"/>
    <x v="0"/>
    <x v="0"/>
    <x v="1"/>
    <x v="1"/>
    <s v="Multi-Year"/>
    <x v="0"/>
    <s v="N/A"/>
    <s v=""/>
    <s v="Confirmed"/>
    <m/>
    <x v="0"/>
    <x v="0"/>
    <s v=""/>
    <x v="2"/>
    <x v="0"/>
    <m/>
    <n v="2"/>
    <x v="0"/>
    <s v="High"/>
    <n v="86083833.534053758"/>
  </r>
  <r>
    <x v="0"/>
    <x v="83"/>
    <x v="83"/>
    <x v="3"/>
    <x v="0"/>
    <x v="0"/>
    <x v="1"/>
    <x v="1"/>
    <s v="Multi-Year"/>
    <x v="0"/>
    <s v="N/A"/>
    <s v=""/>
    <s v="Confirmed"/>
    <m/>
    <x v="0"/>
    <x v="0"/>
    <s v=""/>
    <x v="1"/>
    <x v="1"/>
    <m/>
    <n v="0"/>
    <x v="1"/>
    <s v="N/A"/>
    <n v="357220835.93762809"/>
  </r>
  <r>
    <x v="0"/>
    <x v="84"/>
    <x v="84"/>
    <x v="4"/>
    <x v="0"/>
    <x v="0"/>
    <x v="1"/>
    <x v="1"/>
    <s v="Multi-Year"/>
    <x v="0"/>
    <s v="N/A"/>
    <s v=""/>
    <s v="Confirmed"/>
    <m/>
    <x v="0"/>
    <x v="0"/>
    <s v=""/>
    <x v="1"/>
    <x v="1"/>
    <m/>
    <n v="0"/>
    <x v="0"/>
    <s v=""/>
    <n v="32831598153.796387"/>
  </r>
  <r>
    <x v="0"/>
    <x v="85"/>
    <x v="85"/>
    <x v="6"/>
    <x v="0"/>
    <x v="0"/>
    <x v="1"/>
    <x v="1"/>
    <s v="Multi-Year"/>
    <x v="0"/>
    <s v="N/A"/>
    <s v=""/>
    <s v="Confirmed"/>
    <m/>
    <x v="0"/>
    <x v="0"/>
    <s v=""/>
    <x v="2"/>
    <x v="0"/>
    <m/>
    <n v="0"/>
    <x v="1"/>
    <s v="High"/>
    <n v="12329056.093798399"/>
  </r>
  <r>
    <x v="0"/>
    <x v="86"/>
    <x v="86"/>
    <x v="1"/>
    <x v="0"/>
    <x v="0"/>
    <x v="1"/>
    <x v="1"/>
    <s v="Multi-Year"/>
    <x v="0"/>
    <s v="N/A"/>
    <s v=""/>
    <s v="Confirmed"/>
    <m/>
    <x v="0"/>
    <x v="0"/>
    <s v=""/>
    <x v="1"/>
    <x v="0"/>
    <m/>
    <n v="0"/>
    <x v="0"/>
    <s v="Low"/>
    <n v="426639742.85328001"/>
  </r>
  <r>
    <x v="0"/>
    <x v="87"/>
    <x v="87"/>
    <x v="6"/>
    <x v="0"/>
    <x v="0"/>
    <x v="1"/>
    <x v="1"/>
    <s v="Multi-Year"/>
    <x v="0"/>
    <s v="N/A"/>
    <n v="38300000"/>
    <s v="Confirmed"/>
    <m/>
    <x v="0"/>
    <x v="0"/>
    <s v="Approved"/>
    <x v="2"/>
    <x v="0"/>
    <m/>
    <n v="0"/>
    <x v="0"/>
    <s v="…"/>
    <n v="288519671.85870522"/>
  </r>
  <r>
    <x v="0"/>
    <x v="88"/>
    <x v="88"/>
    <x v="1"/>
    <x v="0"/>
    <x v="0"/>
    <x v="1"/>
    <x v="1"/>
    <s v="Multi-Year"/>
    <x v="0"/>
    <s v="N/A"/>
    <s v=""/>
    <s v="Confirmed"/>
    <m/>
    <x v="0"/>
    <x v="0"/>
    <s v=""/>
    <x v="1"/>
    <x v="1"/>
    <m/>
    <n v="0"/>
    <x v="0"/>
    <s v="N/A"/>
    <n v="275606560.78491527"/>
  </r>
  <r>
    <x v="0"/>
    <x v="89"/>
    <x v="89"/>
    <x v="2"/>
    <x v="0"/>
    <x v="0"/>
    <x v="1"/>
    <x v="1"/>
    <s v="Multi-Year"/>
    <x v="0"/>
    <s v="N/A"/>
    <s v=""/>
    <s v="Confirmed"/>
    <m/>
    <x v="0"/>
    <x v="0"/>
    <s v=""/>
    <x v="2"/>
    <x v="0"/>
    <m/>
    <n v="0"/>
    <x v="0"/>
    <s v="N/A"/>
    <n v="2530937679.3725696"/>
  </r>
  <r>
    <x v="0"/>
    <x v="90"/>
    <x v="90"/>
    <x v="3"/>
    <x v="0"/>
    <x v="0"/>
    <x v="1"/>
    <x v="1"/>
    <s v="Multi-Year"/>
    <x v="0"/>
    <s v="N/A"/>
    <s v=""/>
    <s v="Confirmed"/>
    <m/>
    <x v="0"/>
    <x v="0"/>
    <s v=""/>
    <x v="0"/>
    <x v="0"/>
    <m/>
    <n v="0"/>
    <x v="0"/>
    <s v="In distress"/>
    <n v="251432156.86255455"/>
  </r>
  <r>
    <x v="0"/>
    <x v="91"/>
    <x v="91"/>
    <x v="6"/>
    <x v="0"/>
    <x v="0"/>
    <x v="1"/>
    <x v="1"/>
    <s v="Multi-Year"/>
    <x v="0"/>
    <s v="N/A"/>
    <s v=""/>
    <s v="Confirmed"/>
    <m/>
    <x v="0"/>
    <x v="0"/>
    <s v=""/>
    <x v="2"/>
    <x v="0"/>
    <m/>
    <n v="0"/>
    <x v="0"/>
    <s v="Low"/>
    <n v="471534500.60109437"/>
  </r>
  <r>
    <x v="0"/>
    <x v="92"/>
    <x v="92"/>
    <x v="3"/>
    <x v="0"/>
    <x v="0"/>
    <x v="1"/>
    <x v="1"/>
    <s v="Multi-Year"/>
    <x v="0"/>
    <s v="N/A"/>
    <s v=""/>
    <s v="Confirmed"/>
    <m/>
    <x v="0"/>
    <x v="0"/>
    <s v=""/>
    <x v="1"/>
    <x v="1"/>
    <m/>
    <n v="0"/>
    <x v="0"/>
    <s v=""/>
    <n v="531677611.80447447"/>
  </r>
  <r>
    <x v="0"/>
    <x v="93"/>
    <x v="93"/>
    <x v="6"/>
    <x v="0"/>
    <x v="0"/>
    <x v="1"/>
    <x v="1"/>
    <s v="Multi-Year"/>
    <x v="0"/>
    <s v="N/A"/>
    <s v=""/>
    <s v="Confirmed"/>
    <m/>
    <x v="0"/>
    <x v="0"/>
    <s v=""/>
    <x v="3"/>
    <x v="1"/>
    <m/>
    <n v="0"/>
    <x v="1"/>
    <s v=""/>
    <n v="8528751.6418357007"/>
  </r>
  <r>
    <x v="0"/>
    <x v="94"/>
    <x v="94"/>
    <x v="0"/>
    <x v="0"/>
    <x v="0"/>
    <x v="1"/>
    <x v="1"/>
    <s v="Multi-Year"/>
    <x v="0"/>
    <s v="N/A"/>
    <n v="159000000"/>
    <s v="Confirmed"/>
    <m/>
    <x v="0"/>
    <x v="0"/>
    <s v="Approved"/>
    <x v="2"/>
    <x v="0"/>
    <m/>
    <n v="0"/>
    <x v="0"/>
    <s v="Low"/>
    <n v="407084543.19089872"/>
  </r>
  <r>
    <x v="0"/>
    <x v="95"/>
    <x v="95"/>
    <x v="4"/>
    <x v="0"/>
    <x v="0"/>
    <x v="1"/>
    <x v="1"/>
    <s v="Multi-Year"/>
    <x v="0"/>
    <s v="N/A"/>
    <s v=""/>
    <s v="Confirmed"/>
    <m/>
    <x v="0"/>
    <x v="0"/>
    <s v=""/>
    <x v="2"/>
    <x v="0"/>
    <m/>
    <n v="0"/>
    <x v="0"/>
    <s v="Moderate"/>
    <n v="671998341.93592453"/>
  </r>
  <r>
    <x v="0"/>
    <x v="96"/>
    <x v="96"/>
    <x v="5"/>
    <x v="0"/>
    <x v="0"/>
    <x v="1"/>
    <x v="1"/>
    <s v="Multi-Year"/>
    <x v="0"/>
    <s v="N/A"/>
    <s v=""/>
    <s v="Confirmed"/>
    <m/>
    <x v="0"/>
    <x v="0"/>
    <s v=""/>
    <x v="0"/>
    <x v="0"/>
    <m/>
    <n v="1"/>
    <x v="0"/>
    <s v="Moderate"/>
    <n v="226203289.67158964"/>
  </r>
  <r>
    <x v="0"/>
    <x v="97"/>
    <x v="97"/>
    <x v="5"/>
    <x v="0"/>
    <x v="0"/>
    <x v="1"/>
    <x v="1"/>
    <s v="Multi-Year"/>
    <x v="0"/>
    <s v="N/A"/>
    <s v=""/>
    <s v="Confirmed"/>
    <m/>
    <x v="0"/>
    <x v="0"/>
    <s v=""/>
    <x v="2"/>
    <x v="0"/>
    <m/>
    <n v="3"/>
    <x v="0"/>
    <s v="…"/>
    <n v="2438881113.1244688"/>
  </r>
  <r>
    <x v="0"/>
    <x v="98"/>
    <x v="98"/>
    <x v="1"/>
    <x v="0"/>
    <x v="0"/>
    <x v="1"/>
    <x v="1"/>
    <s v="Multi-Year"/>
    <x v="0"/>
    <s v="N/A"/>
    <s v=""/>
    <s v="Confirmed"/>
    <m/>
    <x v="0"/>
    <x v="0"/>
    <s v=""/>
    <x v="1"/>
    <x v="1"/>
    <m/>
    <n v="0"/>
    <x v="0"/>
    <s v=""/>
    <n v="476517795.73174149"/>
  </r>
  <r>
    <x v="0"/>
    <x v="99"/>
    <x v="99"/>
    <x v="0"/>
    <x v="0"/>
    <x v="0"/>
    <x v="1"/>
    <x v="1"/>
    <s v="Multi-Year"/>
    <x v="0"/>
    <s v="N/A"/>
    <n v="491700000"/>
    <s v="Confirmed"/>
    <m/>
    <x v="0"/>
    <x v="0"/>
    <s v="Approved"/>
    <x v="2"/>
    <x v="0"/>
    <m/>
    <n v="0"/>
    <x v="0"/>
    <s v="…"/>
    <n v="3233351297.7679496"/>
  </r>
  <r>
    <x v="0"/>
    <x v="100"/>
    <x v="100"/>
    <x v="4"/>
    <x v="0"/>
    <x v="0"/>
    <x v="1"/>
    <x v="1"/>
    <s v="Multi-Year"/>
    <x v="0"/>
    <s v="N/A"/>
    <s v=""/>
    <s v="Confirmed"/>
    <m/>
    <x v="0"/>
    <x v="0"/>
    <s v=""/>
    <x v="3"/>
    <x v="1"/>
    <m/>
    <n v="0"/>
    <x v="1"/>
    <s v=""/>
    <n v="18180646.808608256"/>
  </r>
  <r>
    <x v="0"/>
    <x v="101"/>
    <x v="101"/>
    <x v="4"/>
    <x v="0"/>
    <x v="0"/>
    <x v="1"/>
    <x v="1"/>
    <s v="Multi-Year"/>
    <x v="0"/>
    <s v="N/A"/>
    <s v=""/>
    <s v="Confirmed"/>
    <m/>
    <x v="0"/>
    <x v="0"/>
    <s v=""/>
    <x v="1"/>
    <x v="1"/>
    <m/>
    <n v="0"/>
    <x v="0"/>
    <s v="N/A"/>
    <n v="3020530707.3485303"/>
  </r>
  <r>
    <x v="0"/>
    <x v="102"/>
    <x v="102"/>
    <x v="6"/>
    <x v="0"/>
    <x v="0"/>
    <x v="1"/>
    <x v="1"/>
    <s v="Multi-Year"/>
    <x v="0"/>
    <s v="N/A"/>
    <s v=""/>
    <s v="Confirmed"/>
    <m/>
    <x v="0"/>
    <x v="0"/>
    <s v=""/>
    <x v="2"/>
    <x v="0"/>
    <m/>
    <n v="1"/>
    <x v="1"/>
    <s v="High"/>
    <n v="384406316.46074712"/>
  </r>
  <r>
    <x v="0"/>
    <x v="103"/>
    <x v="103"/>
    <x v="4"/>
    <x v="0"/>
    <x v="0"/>
    <x v="1"/>
    <x v="1"/>
    <s v="Multi-Year"/>
    <x v="0"/>
    <s v="N/A"/>
    <s v=""/>
    <s v="Confirmed"/>
    <m/>
    <x v="0"/>
    <x v="0"/>
    <s v=""/>
    <x v="1"/>
    <x v="1"/>
    <m/>
    <n v="0"/>
    <x v="0"/>
    <s v=""/>
    <n v="1218747108.9554784"/>
  </r>
  <r>
    <x v="0"/>
    <x v="104"/>
    <x v="104"/>
    <x v="4"/>
    <x v="0"/>
    <x v="0"/>
    <x v="1"/>
    <x v="1"/>
    <s v="Multi-Year"/>
    <x v="0"/>
    <s v="N/A"/>
    <s v=""/>
    <s v="Confirmed"/>
    <m/>
    <x v="0"/>
    <x v="0"/>
    <s v=""/>
    <x v="1"/>
    <x v="1"/>
    <m/>
    <n v="0"/>
    <x v="0"/>
    <s v=""/>
    <n v="7392665952.5895758"/>
  </r>
  <r>
    <x v="0"/>
    <x v="105"/>
    <x v="105"/>
    <x v="6"/>
    <x v="0"/>
    <x v="0"/>
    <x v="1"/>
    <x v="1"/>
    <s v="Multi-Year"/>
    <x v="0"/>
    <s v="N/A"/>
    <n v="662500000"/>
    <s v="Confirmed"/>
    <m/>
    <x v="0"/>
    <x v="0"/>
    <s v="Approved"/>
    <x v="2"/>
    <x v="0"/>
    <m/>
    <n v="0"/>
    <x v="0"/>
    <s v="N/A"/>
    <n v="4754985988.6004429"/>
  </r>
  <r>
    <x v="0"/>
    <x v="106"/>
    <x v="106"/>
    <x v="1"/>
    <x v="0"/>
    <x v="0"/>
    <x v="1"/>
    <x v="1"/>
    <s v="Multi-Year"/>
    <x v="0"/>
    <s v="N/A"/>
    <s v=""/>
    <s v="Confirmed"/>
    <m/>
    <x v="0"/>
    <x v="0"/>
    <s v=""/>
    <x v="3"/>
    <x v="1"/>
    <m/>
    <n v="0"/>
    <x v="0"/>
    <s v=""/>
    <n v="26422210443.037273"/>
  </r>
  <r>
    <x v="0"/>
    <x v="107"/>
    <x v="107"/>
    <x v="1"/>
    <x v="0"/>
    <x v="0"/>
    <x v="1"/>
    <x v="1"/>
    <s v="Multi-Year"/>
    <x v="0"/>
    <s v="N/A"/>
    <s v=""/>
    <s v="Confirmed"/>
    <m/>
    <x v="0"/>
    <x v="0"/>
    <s v=""/>
    <x v="1"/>
    <x v="1"/>
    <m/>
    <n v="0"/>
    <x v="0"/>
    <s v=""/>
    <n v="10696495313.15033"/>
  </r>
  <r>
    <x v="0"/>
    <x v="108"/>
    <x v="108"/>
    <x v="1"/>
    <x v="0"/>
    <x v="0"/>
    <x v="1"/>
    <x v="1"/>
    <s v="Multi-Year"/>
    <x v="0"/>
    <s v="N/A"/>
    <s v=""/>
    <s v="Confirmed"/>
    <m/>
    <x v="0"/>
    <x v="0"/>
    <s v=""/>
    <x v="1"/>
    <x v="1"/>
    <m/>
    <n v="0"/>
    <x v="0"/>
    <s v=""/>
    <n v="52769713433.240509"/>
  </r>
  <r>
    <x v="0"/>
    <x v="109"/>
    <x v="109"/>
    <x v="3"/>
    <x v="0"/>
    <x v="0"/>
    <x v="1"/>
    <x v="1"/>
    <s v="Multi-Year"/>
    <x v="0"/>
    <s v="N/A"/>
    <s v=""/>
    <s v="Confirmed"/>
    <m/>
    <x v="0"/>
    <x v="0"/>
    <s v=""/>
    <x v="0"/>
    <x v="0"/>
    <m/>
    <n v="0"/>
    <x v="0"/>
    <s v="Moderate"/>
    <n v="225799814.51943746"/>
  </r>
  <r>
    <x v="0"/>
    <x v="110"/>
    <x v="110"/>
    <x v="6"/>
    <x v="0"/>
    <x v="0"/>
    <x v="1"/>
    <x v="1"/>
    <s v="Multi-Year"/>
    <x v="0"/>
    <s v="N/A"/>
    <n v="2290000"/>
    <s v="Confirmed"/>
    <m/>
    <x v="0"/>
    <x v="0"/>
    <s v="Approved"/>
    <x v="2"/>
    <x v="0"/>
    <m/>
    <n v="0"/>
    <x v="1"/>
    <s v="High"/>
    <n v="32192988.027009469"/>
  </r>
  <r>
    <x v="0"/>
    <x v="111"/>
    <x v="111"/>
    <x v="5"/>
    <x v="0"/>
    <x v="0"/>
    <x v="1"/>
    <x v="1"/>
    <s v="Multi-Year"/>
    <x v="0"/>
    <s v="N/A"/>
    <s v=""/>
    <s v="Confirmed"/>
    <m/>
    <x v="0"/>
    <x v="0"/>
    <s v=""/>
    <x v="2"/>
    <x v="0"/>
    <m/>
    <n v="0"/>
    <x v="1"/>
    <s v="In distress"/>
    <n v="11633535.136477679"/>
  </r>
  <r>
    <x v="0"/>
    <x v="112"/>
    <x v="112"/>
    <x v="5"/>
    <x v="0"/>
    <x v="0"/>
    <x v="1"/>
    <x v="1"/>
    <s v="Multi-Year"/>
    <x v="0"/>
    <s v="N/A"/>
    <s v=""/>
    <s v="Confirmed"/>
    <m/>
    <x v="0"/>
    <x v="0"/>
    <s v=""/>
    <x v="2"/>
    <x v="0"/>
    <m/>
    <n v="2"/>
    <x v="0"/>
    <s v="Moderate"/>
    <n v="222008693.93354639"/>
  </r>
  <r>
    <x v="0"/>
    <x v="113"/>
    <x v="113"/>
    <x v="1"/>
    <x v="0"/>
    <x v="0"/>
    <x v="1"/>
    <x v="1"/>
    <s v="Multi-Year"/>
    <x v="0"/>
    <s v="N/A"/>
    <s v=""/>
    <s v="Confirmed"/>
    <m/>
    <x v="0"/>
    <x v="0"/>
    <s v=""/>
    <x v="1"/>
    <x v="1"/>
    <m/>
    <n v="0"/>
    <x v="0"/>
    <s v=""/>
    <n v="2564993795.1894679"/>
  </r>
  <r>
    <x v="0"/>
    <x v="114"/>
    <x v="114"/>
    <x v="3"/>
    <x v="0"/>
    <x v="0"/>
    <x v="1"/>
    <x v="1"/>
    <s v="Multi-Year"/>
    <x v="0"/>
    <s v="N/A"/>
    <s v=""/>
    <s v="Confirmed"/>
    <m/>
    <x v="0"/>
    <x v="0"/>
    <s v=""/>
    <x v="3"/>
    <x v="1"/>
    <m/>
    <n v="0"/>
    <x v="1"/>
    <s v="N/A"/>
    <n v="60237542.945069775"/>
  </r>
  <r>
    <x v="0"/>
    <x v="115"/>
    <x v="115"/>
    <x v="5"/>
    <x v="0"/>
    <x v="0"/>
    <x v="1"/>
    <x v="1"/>
    <s v="Multi-Year"/>
    <x v="0"/>
    <s v="N/A"/>
    <s v=""/>
    <s v="Confirmed"/>
    <m/>
    <x v="0"/>
    <x v="0"/>
    <s v=""/>
    <x v="0"/>
    <x v="0"/>
    <m/>
    <n v="0"/>
    <x v="0"/>
    <s v="High"/>
    <n v="63738640.538260505"/>
  </r>
  <r>
    <x v="0"/>
    <x v="116"/>
    <x v="116"/>
    <x v="6"/>
    <x v="0"/>
    <x v="0"/>
    <x v="1"/>
    <x v="1"/>
    <s v="Multi-Year"/>
    <x v="0"/>
    <s v="N/A"/>
    <s v=""/>
    <s v="Confirmed"/>
    <m/>
    <x v="0"/>
    <x v="0"/>
    <s v=""/>
    <x v="2"/>
    <x v="0"/>
    <m/>
    <n v="0"/>
    <x v="1"/>
    <s v="Moderate"/>
    <n v="49012774.055630356"/>
  </r>
  <r>
    <x v="0"/>
    <x v="117"/>
    <x v="117"/>
    <x v="3"/>
    <x v="0"/>
    <x v="0"/>
    <x v="1"/>
    <x v="1"/>
    <s v="Multi-Year"/>
    <x v="0"/>
    <s v="N/A"/>
    <s v=""/>
    <s v="Confirmed"/>
    <m/>
    <x v="0"/>
    <x v="0"/>
    <s v=""/>
    <x v="0"/>
    <x v="0"/>
    <m/>
    <n v="1"/>
    <x v="0"/>
    <s v="In distress"/>
    <s v=""/>
  </r>
  <r>
    <x v="0"/>
    <x v="118"/>
    <x v="118"/>
    <x v="3"/>
    <x v="0"/>
    <x v="0"/>
    <x v="1"/>
    <x v="1"/>
    <s v="Multi-Year"/>
    <x v="0"/>
    <s v="N/A"/>
    <s v=""/>
    <s v="Confirmed"/>
    <m/>
    <x v="0"/>
    <x v="0"/>
    <s v=""/>
    <x v="1"/>
    <x v="1"/>
    <m/>
    <n v="0"/>
    <x v="0"/>
    <s v="N/A"/>
    <n v="16429121142.784708"/>
  </r>
  <r>
    <x v="0"/>
    <x v="119"/>
    <x v="119"/>
    <x v="3"/>
    <x v="0"/>
    <x v="0"/>
    <x v="1"/>
    <x v="1"/>
    <s v="Multi-Year"/>
    <x v="0"/>
    <s v="N/A"/>
    <s v=""/>
    <s v="Confirmed"/>
    <m/>
    <x v="0"/>
    <x v="0"/>
    <s v=""/>
    <x v="0"/>
    <x v="0"/>
    <m/>
    <n v="1"/>
    <x v="0"/>
    <s v="High"/>
    <n v="31684581.76217727"/>
  </r>
  <r>
    <x v="0"/>
    <x v="120"/>
    <x v="120"/>
    <x v="0"/>
    <x v="0"/>
    <x v="0"/>
    <x v="1"/>
    <x v="1"/>
    <s v="Multi-Year"/>
    <x v="0"/>
    <s v="N/A"/>
    <n v="84000000"/>
    <s v="Confirmed"/>
    <m/>
    <x v="0"/>
    <x v="0"/>
    <s v="Approved"/>
    <x v="2"/>
    <x v="0"/>
    <m/>
    <n v="0"/>
    <x v="0"/>
    <s v="N/A"/>
    <n v="1373621563.5182886"/>
  </r>
  <r>
    <x v="0"/>
    <x v="121"/>
    <x v="121"/>
    <x v="4"/>
    <x v="0"/>
    <x v="0"/>
    <x v="1"/>
    <x v="1"/>
    <s v="Multi-Year"/>
    <x v="0"/>
    <s v="N/A"/>
    <s v=""/>
    <s v="Confirmed"/>
    <m/>
    <x v="0"/>
    <x v="0"/>
    <s v=""/>
    <x v="3"/>
    <x v="1"/>
    <m/>
    <n v="0"/>
    <x v="1"/>
    <s v=""/>
    <n v="24214370.889062837"/>
  </r>
  <r>
    <x v="0"/>
    <x v="122"/>
    <x v="122"/>
    <x v="4"/>
    <x v="0"/>
    <x v="0"/>
    <x v="1"/>
    <x v="1"/>
    <s v="Multi-Year"/>
    <x v="0"/>
    <s v="N/A"/>
    <s v=""/>
    <s v="Confirmed"/>
    <m/>
    <x v="0"/>
    <x v="0"/>
    <s v=""/>
    <x v="1"/>
    <x v="0"/>
    <m/>
    <n v="0"/>
    <x v="1"/>
    <s v="…"/>
    <n v="39941279.609447442"/>
  </r>
  <r>
    <x v="0"/>
    <x v="123"/>
    <x v="123"/>
    <x v="4"/>
    <x v="0"/>
    <x v="0"/>
    <x v="1"/>
    <x v="1"/>
    <s v="Multi-Year"/>
    <x v="0"/>
    <s v="N/A"/>
    <s v=""/>
    <s v="Confirmed"/>
    <m/>
    <x v="0"/>
    <x v="0"/>
    <s v=""/>
    <x v="1"/>
    <x v="0"/>
    <m/>
    <n v="0"/>
    <x v="1"/>
    <s v="High"/>
    <n v="24761675.260059897"/>
  </r>
  <r>
    <x v="0"/>
    <x v="124"/>
    <x v="124"/>
    <x v="2"/>
    <x v="0"/>
    <x v="0"/>
    <x v="1"/>
    <x v="1"/>
    <s v="Multi-Year"/>
    <x v="0"/>
    <s v="N/A"/>
    <s v=""/>
    <s v="Confirmed"/>
    <m/>
    <x v="0"/>
    <x v="0"/>
    <s v=""/>
    <x v="2"/>
    <x v="0"/>
    <m/>
    <n v="0"/>
    <x v="0"/>
    <s v="N/A"/>
    <s v=""/>
  </r>
  <r>
    <x v="0"/>
    <x v="125"/>
    <x v="125"/>
    <x v="2"/>
    <x v="0"/>
    <x v="0"/>
    <x v="1"/>
    <x v="1"/>
    <s v="Multi-Year"/>
    <x v="0"/>
    <s v="N/A"/>
    <s v=""/>
    <s v="Confirmed"/>
    <m/>
    <x v="0"/>
    <x v="0"/>
    <s v=""/>
    <x v="0"/>
    <x v="0"/>
    <m/>
    <n v="1"/>
    <x v="0"/>
    <s v="N/A"/>
    <n v="577156172.71229994"/>
  </r>
  <r>
    <x v="0"/>
    <x v="126"/>
    <x v="126"/>
    <x v="6"/>
    <x v="0"/>
    <x v="0"/>
    <x v="1"/>
    <x v="1"/>
    <s v="Multi-Year"/>
    <x v="0"/>
    <s v="N/A"/>
    <s v=""/>
    <s v="Confirmed"/>
    <m/>
    <x v="0"/>
    <x v="0"/>
    <s v=""/>
    <x v="1"/>
    <x v="1"/>
    <m/>
    <n v="0"/>
    <x v="1"/>
    <s v=""/>
    <n v="180052034.19851837"/>
  </r>
  <r>
    <x v="0"/>
    <x v="127"/>
    <x v="127"/>
    <x v="2"/>
    <x v="0"/>
    <x v="0"/>
    <x v="1"/>
    <x v="1"/>
    <s v="Multi-Year"/>
    <x v="0"/>
    <s v="N/A"/>
    <s v=""/>
    <s v="Confirmed"/>
    <m/>
    <x v="0"/>
    <x v="0"/>
    <s v=""/>
    <x v="0"/>
    <x v="0"/>
    <m/>
    <n v="1"/>
    <x v="0"/>
    <s v="N/A"/>
    <s v=""/>
  </r>
  <r>
    <x v="0"/>
    <x v="128"/>
    <x v="128"/>
    <x v="1"/>
    <x v="0"/>
    <x v="0"/>
    <x v="1"/>
    <x v="1"/>
    <s v="Multi-Year"/>
    <x v="0"/>
    <s v="N/A"/>
    <n v="21800000"/>
    <s v="Confirmed"/>
    <m/>
    <x v="0"/>
    <x v="0"/>
    <s v="Approved"/>
    <x v="2"/>
    <x v="0"/>
    <m/>
    <n v="0"/>
    <x v="0"/>
    <s v="High"/>
    <n v="147296124.32232863"/>
  </r>
  <r>
    <x v="0"/>
    <x v="129"/>
    <x v="129"/>
    <x v="3"/>
    <x v="0"/>
    <x v="0"/>
    <x v="1"/>
    <x v="1"/>
    <s v="Multi-Year"/>
    <x v="0"/>
    <s v="N/A"/>
    <s v=""/>
    <s v="Confirmed"/>
    <m/>
    <x v="0"/>
    <x v="0"/>
    <s v=""/>
    <x v="2"/>
    <x v="0"/>
    <m/>
    <n v="0"/>
    <x v="0"/>
    <s v="…"/>
    <n v="890576536.83065879"/>
  </r>
  <r>
    <x v="0"/>
    <x v="130"/>
    <x v="130"/>
    <x v="6"/>
    <x v="0"/>
    <x v="0"/>
    <x v="1"/>
    <x v="1"/>
    <s v="Multi-Year"/>
    <x v="0"/>
    <s v="N/A"/>
    <s v=""/>
    <s v="Confirmed"/>
    <m/>
    <x v="0"/>
    <x v="0"/>
    <s v=""/>
    <x v="1"/>
    <x v="1"/>
    <m/>
    <n v="0"/>
    <x v="0"/>
    <s v=""/>
    <n v="14611129792.346064"/>
  </r>
  <r>
    <x v="0"/>
    <x v="131"/>
    <x v="131"/>
    <x v="6"/>
    <x v="0"/>
    <x v="0"/>
    <x v="1"/>
    <x v="1"/>
    <s v="Multi-Year"/>
    <x v="0"/>
    <s v="N/A"/>
    <s v=""/>
    <s v="Confirmed"/>
    <m/>
    <x v="0"/>
    <x v="0"/>
    <s v=""/>
    <x v="2"/>
    <x v="0"/>
    <m/>
    <n v="0"/>
    <x v="1"/>
    <s v="Low"/>
    <n v="72046877.233008593"/>
  </r>
  <r>
    <x v="0"/>
    <x v="132"/>
    <x v="132"/>
    <x v="5"/>
    <x v="0"/>
    <x v="0"/>
    <x v="1"/>
    <x v="1"/>
    <s v="Multi-Year"/>
    <x v="0"/>
    <s v="N/A"/>
    <s v=""/>
    <s v="Confirmed"/>
    <m/>
    <x v="0"/>
    <x v="0"/>
    <s v=""/>
    <x v="0"/>
    <x v="0"/>
    <m/>
    <n v="0"/>
    <x v="0"/>
    <s v="High"/>
    <n v="56248139.267255567"/>
  </r>
  <r>
    <x v="0"/>
    <x v="133"/>
    <x v="133"/>
    <x v="6"/>
    <x v="0"/>
    <x v="0"/>
    <x v="1"/>
    <x v="1"/>
    <s v="Multi-Year"/>
    <x v="0"/>
    <s v="N/A"/>
    <n v="1230000"/>
    <s v="Confirmed"/>
    <m/>
    <x v="0"/>
    <x v="0"/>
    <s v="Approved"/>
    <x v="1"/>
    <x v="0"/>
    <m/>
    <n v="0"/>
    <x v="1"/>
    <s v="High"/>
    <n v="15464031.712942109"/>
  </r>
  <r>
    <x v="0"/>
    <x v="134"/>
    <x v="134"/>
    <x v="4"/>
    <x v="0"/>
    <x v="0"/>
    <x v="1"/>
    <x v="1"/>
    <s v="Multi-Year"/>
    <x v="0"/>
    <s v="N/A"/>
    <s v=""/>
    <s v="Confirmed"/>
    <m/>
    <x v="0"/>
    <x v="0"/>
    <s v=""/>
    <x v="3"/>
    <x v="1"/>
    <m/>
    <n v="0"/>
    <x v="1"/>
    <s v="N/A"/>
    <n v="769564399.33249676"/>
  </r>
  <r>
    <x v="0"/>
    <x v="135"/>
    <x v="135"/>
    <x v="2"/>
    <x v="0"/>
    <x v="0"/>
    <x v="1"/>
    <x v="1"/>
    <s v="Multi-Year"/>
    <x v="0"/>
    <s v="N/A"/>
    <s v=""/>
    <s v="Confirmed"/>
    <m/>
    <x v="0"/>
    <x v="0"/>
    <s v=""/>
    <x v="2"/>
    <x v="0"/>
    <m/>
    <n v="0"/>
    <x v="0"/>
    <s v="N/A"/>
    <n v="1668954539.7630196"/>
  </r>
  <r>
    <x v="0"/>
    <x v="136"/>
    <x v="136"/>
    <x v="1"/>
    <x v="0"/>
    <x v="0"/>
    <x v="1"/>
    <x v="1"/>
    <s v="Multi-Year"/>
    <x v="0"/>
    <s v="N/A"/>
    <s v=""/>
    <s v="Confirmed"/>
    <m/>
    <x v="0"/>
    <x v="0"/>
    <s v=""/>
    <x v="1"/>
    <x v="1"/>
    <m/>
    <n v="0"/>
    <x v="0"/>
    <s v=""/>
    <n v="24840920016.18832"/>
  </r>
  <r>
    <x v="0"/>
    <x v="137"/>
    <x v="137"/>
    <x v="1"/>
    <x v="0"/>
    <x v="0"/>
    <x v="1"/>
    <x v="1"/>
    <s v="Multi-Year"/>
    <x v="0"/>
    <s v="N/A"/>
    <s v=""/>
    <s v="Confirmed"/>
    <m/>
    <x v="0"/>
    <x v="0"/>
    <s v=""/>
    <x v="1"/>
    <x v="1"/>
    <m/>
    <n v="0"/>
    <x v="0"/>
    <s v="N/A"/>
    <n v="487888462.83720118"/>
  </r>
  <r>
    <x v="0"/>
    <x v="138"/>
    <x v="138"/>
    <x v="6"/>
    <x v="0"/>
    <x v="0"/>
    <x v="1"/>
    <x v="1"/>
    <s v="Multi-Year"/>
    <x v="0"/>
    <s v="N/A"/>
    <n v="150000"/>
    <s v="Confirmed"/>
    <m/>
    <x v="0"/>
    <x v="0"/>
    <s v="Approved"/>
    <x v="1"/>
    <x v="0"/>
    <m/>
    <n v="0"/>
    <x v="1"/>
    <s v="…"/>
    <n v="6365061.1736073596"/>
  </r>
  <r>
    <x v="0"/>
    <x v="139"/>
    <x v="139"/>
    <x v="3"/>
    <x v="0"/>
    <x v="0"/>
    <x v="1"/>
    <x v="1"/>
    <s v="Multi-Year"/>
    <x v="0"/>
    <s v="N/A"/>
    <s v=""/>
    <s v="Confirmed"/>
    <m/>
    <x v="0"/>
    <x v="0"/>
    <s v=""/>
    <x v="0"/>
    <x v="0"/>
    <m/>
    <n v="2"/>
    <x v="0"/>
    <s v="Low"/>
    <n v="291799092.90196139"/>
  </r>
  <r>
    <x v="0"/>
    <x v="140"/>
    <x v="140"/>
    <x v="1"/>
    <x v="0"/>
    <x v="0"/>
    <x v="1"/>
    <x v="1"/>
    <s v="Multi-Year"/>
    <x v="0"/>
    <s v="N/A"/>
    <s v=""/>
    <s v="Confirmed"/>
    <m/>
    <x v="0"/>
    <x v="0"/>
    <s v=""/>
    <x v="2"/>
    <x v="0"/>
    <m/>
    <n v="0"/>
    <x v="0"/>
    <s v="N/A"/>
    <n v="4844815340.2135534"/>
  </r>
  <r>
    <x v="0"/>
    <x v="141"/>
    <x v="141"/>
    <x v="4"/>
    <x v="0"/>
    <x v="0"/>
    <x v="1"/>
    <x v="1"/>
    <s v="Multi-Year"/>
    <x v="0"/>
    <s v="N/A"/>
    <s v=""/>
    <s v="Confirmed"/>
    <m/>
    <x v="0"/>
    <x v="0"/>
    <s v=""/>
    <x v="3"/>
    <x v="1"/>
    <m/>
    <n v="0"/>
    <x v="0"/>
    <s v=""/>
    <n v="4001891446.6871672"/>
  </r>
  <r>
    <x v="0"/>
    <x v="142"/>
    <x v="142"/>
    <x v="1"/>
    <x v="0"/>
    <x v="0"/>
    <x v="1"/>
    <x v="1"/>
    <s v="Multi-Year"/>
    <x v="0"/>
    <s v="N/A"/>
    <s v=""/>
    <s v="Confirmed"/>
    <m/>
    <x v="0"/>
    <x v="0"/>
    <s v=""/>
    <x v="2"/>
    <x v="0"/>
    <m/>
    <n v="0"/>
    <x v="0"/>
    <s v="Low"/>
    <n v="1019800630.5853213"/>
  </r>
  <r>
    <x v="0"/>
    <x v="143"/>
    <x v="143"/>
    <x v="6"/>
    <x v="0"/>
    <x v="0"/>
    <x v="1"/>
    <x v="1"/>
    <s v="Multi-Year"/>
    <x v="0"/>
    <s v="N/A"/>
    <n v="720000"/>
    <s v="Confirmed"/>
    <m/>
    <x v="0"/>
    <x v="0"/>
    <s v="Approved"/>
    <x v="2"/>
    <x v="0"/>
    <m/>
    <n v="0"/>
    <x v="1"/>
    <s v="Moderate"/>
    <n v="19578671.310841195"/>
  </r>
  <r>
    <x v="0"/>
    <x v="144"/>
    <x v="144"/>
    <x v="4"/>
    <x v="0"/>
    <x v="0"/>
    <x v="1"/>
    <x v="1"/>
    <s v="Multi-Year"/>
    <x v="0"/>
    <s v="N/A"/>
    <s v=""/>
    <s v="Confirmed"/>
    <m/>
    <x v="0"/>
    <x v="0"/>
    <s v=""/>
    <x v="4"/>
    <x v="1"/>
    <m/>
    <n v="0"/>
    <x v="0"/>
    <s v="N/A"/>
    <n v="3551452001.0684834"/>
  </r>
  <r>
    <x v="0"/>
    <x v="145"/>
    <x v="145"/>
    <x v="6"/>
    <x v="0"/>
    <x v="0"/>
    <x v="1"/>
    <x v="1"/>
    <s v="Multi-Year"/>
    <x v="0"/>
    <s v="N/A"/>
    <s v=""/>
    <s v="Confirmed"/>
    <m/>
    <x v="0"/>
    <x v="0"/>
    <s v=""/>
    <x v="2"/>
    <x v="0"/>
    <m/>
    <n v="0"/>
    <x v="0"/>
    <s v="N/A"/>
    <n v="6603048821.7575006"/>
  </r>
  <r>
    <x v="0"/>
    <x v="146"/>
    <x v="146"/>
    <x v="2"/>
    <x v="0"/>
    <x v="0"/>
    <x v="1"/>
    <x v="1"/>
    <s v="Multi-Year"/>
    <x v="0"/>
    <s v="N/A"/>
    <s v=""/>
    <s v="Confirmed"/>
    <m/>
    <x v="0"/>
    <x v="0"/>
    <s v=""/>
    <x v="0"/>
    <x v="0"/>
    <m/>
    <n v="1"/>
    <x v="0"/>
    <s v="…"/>
    <s v=""/>
  </r>
  <r>
    <x v="0"/>
    <x v="147"/>
    <x v="147"/>
    <x v="3"/>
    <x v="0"/>
    <x v="0"/>
    <x v="1"/>
    <x v="1"/>
    <s v="Multi-Year"/>
    <x v="0"/>
    <s v="N/A"/>
    <s v=""/>
    <s v="Confirmed"/>
    <m/>
    <x v="0"/>
    <x v="0"/>
    <s v=""/>
    <x v="2"/>
    <x v="0"/>
    <m/>
    <n v="0"/>
    <x v="0"/>
    <s v="High"/>
    <n v="515352723.9821828"/>
  </r>
  <r>
    <x v="0"/>
    <x v="148"/>
    <x v="148"/>
    <x v="3"/>
    <x v="0"/>
    <x v="0"/>
    <x v="1"/>
    <x v="1"/>
    <s v="Multi-Year"/>
    <x v="0"/>
    <s v="N/A"/>
    <s v=""/>
    <s v="Confirmed"/>
    <m/>
    <x v="0"/>
    <x v="0"/>
    <s v=""/>
    <x v="2"/>
    <x v="0"/>
    <m/>
    <n v="0"/>
    <x v="0"/>
    <s v="N/A"/>
    <n v="566711742.22428358"/>
  </r>
  <r>
    <x v="0"/>
    <x v="0"/>
    <x v="0"/>
    <x v="0"/>
    <x v="0"/>
    <x v="0"/>
    <x v="1"/>
    <x v="1"/>
    <s v="Multi-Year"/>
    <x v="1"/>
    <s v="N/A"/>
    <n v="2019230.7692307692"/>
    <s v="Confirmed"/>
    <m/>
    <x v="0"/>
    <x v="0"/>
    <s v="Approved"/>
    <x v="0"/>
    <x v="0"/>
    <m/>
    <n v="1"/>
    <x v="0"/>
    <s v="High"/>
    <n v="95829480.719269618"/>
  </r>
  <r>
    <x v="0"/>
    <x v="1"/>
    <x v="1"/>
    <x v="1"/>
    <x v="0"/>
    <x v="0"/>
    <x v="1"/>
    <x v="1"/>
    <s v="Multi-Year"/>
    <x v="1"/>
    <s v="N/A"/>
    <s v=""/>
    <s v="Confirmed"/>
    <m/>
    <x v="0"/>
    <x v="0"/>
    <s v=""/>
    <x v="1"/>
    <x v="1"/>
    <m/>
    <n v="0"/>
    <x v="0"/>
    <s v=""/>
    <n v="427904035.52443534"/>
  </r>
  <r>
    <x v="0"/>
    <x v="2"/>
    <x v="2"/>
    <x v="2"/>
    <x v="0"/>
    <x v="0"/>
    <x v="1"/>
    <x v="1"/>
    <s v="Multi-Year"/>
    <x v="1"/>
    <s v="N/A"/>
    <s v=""/>
    <s v="Confirmed"/>
    <m/>
    <x v="0"/>
    <x v="0"/>
    <s v=""/>
    <x v="2"/>
    <x v="0"/>
    <m/>
    <n v="0"/>
    <x v="0"/>
    <s v="N/A"/>
    <n v="7113361022.7267885"/>
  </r>
  <r>
    <x v="0"/>
    <x v="3"/>
    <x v="3"/>
    <x v="3"/>
    <x v="0"/>
    <x v="0"/>
    <x v="1"/>
    <x v="1"/>
    <s v="Multi-Year"/>
    <x v="1"/>
    <s v="N/A"/>
    <s v=""/>
    <s v="Confirmed"/>
    <m/>
    <x v="0"/>
    <x v="0"/>
    <s v=""/>
    <x v="2"/>
    <x v="0"/>
    <m/>
    <n v="0"/>
    <x v="0"/>
    <s v="…"/>
    <n v="1131865946.5875781"/>
  </r>
  <r>
    <x v="0"/>
    <x v="4"/>
    <x v="4"/>
    <x v="4"/>
    <x v="0"/>
    <x v="0"/>
    <x v="1"/>
    <x v="1"/>
    <s v="Multi-Year"/>
    <x v="1"/>
    <s v="N/A"/>
    <s v=""/>
    <s v="Confirmed"/>
    <m/>
    <x v="0"/>
    <x v="0"/>
    <s v=""/>
    <x v="3"/>
    <x v="1"/>
    <m/>
    <n v="0"/>
    <x v="1"/>
    <s v=""/>
    <n v="46777779.823447868"/>
  </r>
  <r>
    <x v="0"/>
    <x v="5"/>
    <x v="5"/>
    <x v="4"/>
    <x v="0"/>
    <x v="0"/>
    <x v="1"/>
    <x v="1"/>
    <s v="Multi-Year"/>
    <x v="1"/>
    <s v="N/A"/>
    <s v=""/>
    <s v="Confirmed"/>
    <m/>
    <x v="0"/>
    <x v="0"/>
    <s v=""/>
    <x v="1"/>
    <x v="1"/>
    <m/>
    <n v="0"/>
    <x v="0"/>
    <s v=""/>
    <n v="30725305777.596794"/>
  </r>
  <r>
    <x v="0"/>
    <x v="6"/>
    <x v="6"/>
    <x v="1"/>
    <x v="0"/>
    <x v="0"/>
    <x v="1"/>
    <x v="1"/>
    <s v="Multi-Year"/>
    <x v="1"/>
    <s v="N/A"/>
    <s v=""/>
    <s v="Confirmed"/>
    <m/>
    <x v="0"/>
    <x v="0"/>
    <s v=""/>
    <x v="1"/>
    <x v="1"/>
    <m/>
    <n v="0"/>
    <x v="0"/>
    <s v=""/>
    <n v="153815827.8380394"/>
  </r>
  <r>
    <x v="0"/>
    <x v="7"/>
    <x v="7"/>
    <x v="1"/>
    <x v="0"/>
    <x v="0"/>
    <x v="1"/>
    <x v="1"/>
    <s v="Multi-Year"/>
    <x v="1"/>
    <s v="N/A"/>
    <s v=""/>
    <s v="Confirmed"/>
    <m/>
    <x v="0"/>
    <x v="0"/>
    <s v=""/>
    <x v="1"/>
    <x v="1"/>
    <m/>
    <n v="0"/>
    <x v="0"/>
    <s v="N/A"/>
    <n v="437525105.31216973"/>
  </r>
  <r>
    <x v="0"/>
    <x v="8"/>
    <x v="8"/>
    <x v="4"/>
    <x v="0"/>
    <x v="0"/>
    <x v="1"/>
    <x v="1"/>
    <s v="Multi-Year"/>
    <x v="1"/>
    <s v="N/A"/>
    <s v=""/>
    <s v="Confirmed"/>
    <m/>
    <x v="0"/>
    <x v="0"/>
    <s v=""/>
    <x v="3"/>
    <x v="1"/>
    <m/>
    <n v="0"/>
    <x v="1"/>
    <s v=""/>
    <n v="149463302.00602186"/>
  </r>
  <r>
    <x v="0"/>
    <x v="9"/>
    <x v="9"/>
    <x v="0"/>
    <x v="0"/>
    <x v="0"/>
    <x v="1"/>
    <x v="1"/>
    <s v="Multi-Year"/>
    <x v="1"/>
    <s v="N/A"/>
    <n v="0"/>
    <s v="Confirmed"/>
    <m/>
    <x v="0"/>
    <x v="0"/>
    <s v="Approved"/>
    <x v="2"/>
    <x v="0"/>
    <m/>
    <n v="0"/>
    <x v="0"/>
    <s v="Low"/>
    <n v="1148322593.9600098"/>
  </r>
  <r>
    <x v="0"/>
    <x v="10"/>
    <x v="10"/>
    <x v="1"/>
    <x v="0"/>
    <x v="0"/>
    <x v="1"/>
    <x v="1"/>
    <s v="Multi-Year"/>
    <x v="1"/>
    <s v="N/A"/>
    <s v=""/>
    <s v="Confirmed"/>
    <m/>
    <x v="0"/>
    <x v="0"/>
    <s v=""/>
    <x v="1"/>
    <x v="1"/>
    <m/>
    <n v="0"/>
    <x v="0"/>
    <s v=""/>
    <n v="2371102058.1093163"/>
  </r>
  <r>
    <x v="0"/>
    <x v="11"/>
    <x v="11"/>
    <x v="4"/>
    <x v="0"/>
    <x v="0"/>
    <x v="1"/>
    <x v="1"/>
    <s v="Multi-Year"/>
    <x v="1"/>
    <s v="N/A"/>
    <s v=""/>
    <s v="Confirmed"/>
    <m/>
    <x v="0"/>
    <x v="0"/>
    <s v=""/>
    <x v="2"/>
    <x v="1"/>
    <m/>
    <n v="0"/>
    <x v="1"/>
    <s v="N/A"/>
    <n v="75151620.005215243"/>
  </r>
  <r>
    <x v="0"/>
    <x v="12"/>
    <x v="12"/>
    <x v="5"/>
    <x v="0"/>
    <x v="0"/>
    <x v="1"/>
    <x v="1"/>
    <s v="Multi-Year"/>
    <x v="1"/>
    <s v="N/A"/>
    <s v=""/>
    <s v="Confirmed"/>
    <m/>
    <x v="0"/>
    <x v="0"/>
    <s v=""/>
    <x v="2"/>
    <x v="0"/>
    <m/>
    <n v="0"/>
    <x v="0"/>
    <s v="Moderate"/>
    <n v="69958487.197715744"/>
  </r>
  <r>
    <x v="0"/>
    <x v="13"/>
    <x v="13"/>
    <x v="0"/>
    <x v="0"/>
    <x v="0"/>
    <x v="1"/>
    <x v="1"/>
    <s v="Multi-Year"/>
    <x v="1"/>
    <s v="N/A"/>
    <n v="0"/>
    <s v="Confirmed"/>
    <m/>
    <x v="0"/>
    <x v="0"/>
    <s v="Under Preparation"/>
    <x v="2"/>
    <x v="0"/>
    <m/>
    <n v="0"/>
    <x v="0"/>
    <s v="…"/>
    <n v="61654608.560629159"/>
  </r>
  <r>
    <x v="0"/>
    <x v="14"/>
    <x v="14"/>
    <x v="4"/>
    <x v="0"/>
    <x v="0"/>
    <x v="1"/>
    <x v="1"/>
    <s v="Multi-Year"/>
    <x v="1"/>
    <s v="N/A"/>
    <s v=""/>
    <s v="Confirmed"/>
    <m/>
    <x v="0"/>
    <x v="0"/>
    <s v=""/>
    <x v="2"/>
    <x v="0"/>
    <m/>
    <n v="0"/>
    <x v="0"/>
    <s v="N/A"/>
    <n v="1806638707.7615163"/>
  </r>
  <r>
    <x v="0"/>
    <x v="15"/>
    <x v="15"/>
    <x v="1"/>
    <x v="0"/>
    <x v="0"/>
    <x v="1"/>
    <x v="1"/>
    <s v="Multi-Year"/>
    <x v="1"/>
    <s v="N/A"/>
    <s v=""/>
    <s v="Confirmed"/>
    <m/>
    <x v="0"/>
    <x v="0"/>
    <s v=""/>
    <x v="1"/>
    <x v="1"/>
    <m/>
    <n v="0"/>
    <x v="0"/>
    <s v="N/A"/>
    <n v="1252696525.0627904"/>
  </r>
  <r>
    <x v="0"/>
    <x v="16"/>
    <x v="16"/>
    <x v="3"/>
    <x v="0"/>
    <x v="0"/>
    <x v="1"/>
    <x v="1"/>
    <s v="Multi-Year"/>
    <x v="1"/>
    <s v="N/A"/>
    <s v=""/>
    <s v="Confirmed"/>
    <m/>
    <x v="0"/>
    <x v="0"/>
    <s v=""/>
    <x v="1"/>
    <x v="1"/>
    <m/>
    <n v="0"/>
    <x v="0"/>
    <s v=""/>
    <n v="843425084.07334602"/>
  </r>
  <r>
    <x v="0"/>
    <x v="17"/>
    <x v="17"/>
    <x v="4"/>
    <x v="0"/>
    <x v="0"/>
    <x v="1"/>
    <x v="1"/>
    <s v="Multi-Year"/>
    <x v="1"/>
    <s v="N/A"/>
    <s v=""/>
    <s v="Confirmed"/>
    <m/>
    <x v="0"/>
    <x v="0"/>
    <s v=""/>
    <x v="1"/>
    <x v="1"/>
    <m/>
    <n v="0"/>
    <x v="0"/>
    <s v="N/A"/>
    <n v="74055620038.853683"/>
  </r>
  <r>
    <x v="0"/>
    <x v="18"/>
    <x v="18"/>
    <x v="1"/>
    <x v="0"/>
    <x v="0"/>
    <x v="1"/>
    <x v="1"/>
    <s v="Multi-Year"/>
    <x v="1"/>
    <s v="N/A"/>
    <s v=""/>
    <s v="Confirmed"/>
    <m/>
    <x v="0"/>
    <x v="0"/>
    <s v=""/>
    <x v="1"/>
    <x v="1"/>
    <m/>
    <n v="0"/>
    <x v="0"/>
    <s v=""/>
    <n v="2803357765.5888777"/>
  </r>
  <r>
    <x v="0"/>
    <x v="19"/>
    <x v="19"/>
    <x v="5"/>
    <x v="0"/>
    <x v="0"/>
    <x v="1"/>
    <x v="1"/>
    <s v="Multi-Year"/>
    <x v="1"/>
    <s v="N/A"/>
    <s v=""/>
    <s v="Confirmed"/>
    <m/>
    <x v="0"/>
    <x v="0"/>
    <s v=""/>
    <x v="0"/>
    <x v="0"/>
    <m/>
    <n v="2"/>
    <x v="0"/>
    <s v="Moderate"/>
    <n v="337927779.25510043"/>
  </r>
  <r>
    <x v="0"/>
    <x v="20"/>
    <x v="20"/>
    <x v="3"/>
    <x v="0"/>
    <x v="0"/>
    <x v="1"/>
    <x v="1"/>
    <s v="Multi-Year"/>
    <x v="1"/>
    <s v="N/A"/>
    <s v=""/>
    <s v="Confirmed"/>
    <m/>
    <x v="0"/>
    <x v="0"/>
    <s v=""/>
    <x v="0"/>
    <x v="0"/>
    <m/>
    <n v="2"/>
    <x v="0"/>
    <s v="…"/>
    <n v="65979512.47399316"/>
  </r>
  <r>
    <x v="0"/>
    <x v="21"/>
    <x v="21"/>
    <x v="5"/>
    <x v="0"/>
    <x v="0"/>
    <x v="1"/>
    <x v="1"/>
    <s v="Multi-Year"/>
    <x v="1"/>
    <s v="N/A"/>
    <s v=""/>
    <s v="Confirmed"/>
    <m/>
    <x v="0"/>
    <x v="0"/>
    <s v=""/>
    <x v="2"/>
    <x v="0"/>
    <m/>
    <n v="0"/>
    <x v="1"/>
    <s v="High"/>
    <n v="63748362.778827004"/>
  </r>
  <r>
    <x v="0"/>
    <x v="22"/>
    <x v="22"/>
    <x v="6"/>
    <x v="0"/>
    <x v="0"/>
    <x v="1"/>
    <x v="1"/>
    <s v="Multi-Year"/>
    <x v="1"/>
    <s v="N/A"/>
    <n v="0"/>
    <s v="Confirmed"/>
    <m/>
    <x v="0"/>
    <x v="0"/>
    <s v="Under Preparation"/>
    <x v="2"/>
    <x v="0"/>
    <m/>
    <n v="0"/>
    <x v="0"/>
    <s v="Low"/>
    <n v="313039649.45369786"/>
  </r>
  <r>
    <x v="0"/>
    <x v="23"/>
    <x v="23"/>
    <x v="5"/>
    <x v="0"/>
    <x v="0"/>
    <x v="1"/>
    <x v="1"/>
    <s v="Multi-Year"/>
    <x v="1"/>
    <s v="N/A"/>
    <s v=""/>
    <s v="Confirmed"/>
    <m/>
    <x v="0"/>
    <x v="0"/>
    <s v=""/>
    <x v="2"/>
    <x v="0"/>
    <m/>
    <n v="2"/>
    <x v="0"/>
    <s v="High"/>
    <n v="81361801.477472037"/>
  </r>
  <r>
    <x v="0"/>
    <x v="24"/>
    <x v="24"/>
    <x v="5"/>
    <x v="0"/>
    <x v="0"/>
    <x v="1"/>
    <x v="1"/>
    <s v="Multi-Year"/>
    <x v="1"/>
    <s v="N/A"/>
    <s v=""/>
    <s v="Confirmed"/>
    <m/>
    <x v="0"/>
    <x v="0"/>
    <s v=""/>
    <x v="0"/>
    <x v="0"/>
    <m/>
    <n v="1"/>
    <x v="0"/>
    <s v="High"/>
    <s v=""/>
  </r>
  <r>
    <x v="0"/>
    <x v="25"/>
    <x v="25"/>
    <x v="5"/>
    <x v="0"/>
    <x v="0"/>
    <x v="1"/>
    <x v="1"/>
    <s v="Multi-Year"/>
    <x v="1"/>
    <s v="N/A"/>
    <s v=""/>
    <s v="Confirmed"/>
    <m/>
    <x v="0"/>
    <x v="0"/>
    <s v=""/>
    <x v="0"/>
    <x v="0"/>
    <m/>
    <n v="1"/>
    <x v="0"/>
    <s v="High"/>
    <n v="76939306.715636879"/>
  </r>
  <r>
    <x v="0"/>
    <x v="26"/>
    <x v="26"/>
    <x v="4"/>
    <x v="0"/>
    <x v="0"/>
    <x v="1"/>
    <x v="1"/>
    <s v="Multi-Year"/>
    <x v="1"/>
    <s v="N/A"/>
    <s v=""/>
    <s v="Confirmed"/>
    <m/>
    <x v="0"/>
    <x v="0"/>
    <s v=""/>
    <x v="3"/>
    <x v="1"/>
    <m/>
    <n v="0"/>
    <x v="0"/>
    <s v=""/>
    <n v="13859708717.682571"/>
  </r>
  <r>
    <x v="0"/>
    <x v="27"/>
    <x v="27"/>
    <x v="6"/>
    <x v="0"/>
    <x v="0"/>
    <x v="1"/>
    <x v="1"/>
    <s v="Multi-Year"/>
    <x v="1"/>
    <s v="N/A"/>
    <s v=""/>
    <s v="Confirmed"/>
    <m/>
    <x v="0"/>
    <x v="0"/>
    <s v=""/>
    <x v="1"/>
    <x v="1"/>
    <m/>
    <n v="0"/>
    <x v="0"/>
    <s v=""/>
    <n v="403567160707.7016"/>
  </r>
  <r>
    <x v="0"/>
    <x v="28"/>
    <x v="28"/>
    <x v="4"/>
    <x v="0"/>
    <x v="0"/>
    <x v="1"/>
    <x v="1"/>
    <s v="Multi-Year"/>
    <x v="1"/>
    <s v="N/A"/>
    <s v=""/>
    <s v="Confirmed"/>
    <m/>
    <x v="0"/>
    <x v="0"/>
    <s v=""/>
    <x v="1"/>
    <x v="1"/>
    <m/>
    <n v="0"/>
    <x v="0"/>
    <s v=""/>
    <n v="18250225995.972618"/>
  </r>
  <r>
    <x v="0"/>
    <x v="29"/>
    <x v="29"/>
    <x v="3"/>
    <x v="0"/>
    <x v="0"/>
    <x v="1"/>
    <x v="1"/>
    <s v="Multi-Year"/>
    <x v="1"/>
    <s v="N/A"/>
    <s v=""/>
    <s v="Confirmed"/>
    <m/>
    <x v="0"/>
    <x v="0"/>
    <s v=""/>
    <x v="2"/>
    <x v="0"/>
    <m/>
    <n v="0"/>
    <x v="1"/>
    <s v="Moderate"/>
    <n v="5027591.1682657599"/>
  </r>
  <r>
    <x v="0"/>
    <x v="30"/>
    <x v="30"/>
    <x v="5"/>
    <x v="0"/>
    <x v="0"/>
    <x v="1"/>
    <x v="1"/>
    <s v="Multi-Year"/>
    <x v="1"/>
    <s v="N/A"/>
    <s v=""/>
    <s v="Confirmed"/>
    <m/>
    <x v="0"/>
    <x v="0"/>
    <s v=""/>
    <x v="0"/>
    <x v="0"/>
    <m/>
    <n v="3"/>
    <x v="0"/>
    <s v="Moderate"/>
    <n v="234645958.63289919"/>
  </r>
  <r>
    <x v="0"/>
    <x v="31"/>
    <x v="31"/>
    <x v="5"/>
    <x v="0"/>
    <x v="0"/>
    <x v="1"/>
    <x v="1"/>
    <s v="Multi-Year"/>
    <x v="1"/>
    <s v="N/A"/>
    <s v=""/>
    <s v="Confirmed"/>
    <m/>
    <x v="0"/>
    <x v="0"/>
    <s v=""/>
    <x v="2"/>
    <x v="0"/>
    <m/>
    <n v="2"/>
    <x v="0"/>
    <s v="In distress"/>
    <n v="91590910.247314155"/>
  </r>
  <r>
    <x v="0"/>
    <x v="32"/>
    <x v="32"/>
    <x v="6"/>
    <x v="0"/>
    <x v="0"/>
    <x v="1"/>
    <x v="1"/>
    <s v="Multi-Year"/>
    <x v="1"/>
    <s v="N/A"/>
    <s v=""/>
    <s v="Confirmed"/>
    <m/>
    <x v="0"/>
    <x v="0"/>
    <s v=""/>
    <x v="4"/>
    <x v="1"/>
    <m/>
    <n v="0"/>
    <x v="1"/>
    <s v="N/A"/>
    <n v="8560012.8840167802"/>
  </r>
  <r>
    <x v="0"/>
    <x v="33"/>
    <x v="33"/>
    <x v="4"/>
    <x v="0"/>
    <x v="0"/>
    <x v="1"/>
    <x v="1"/>
    <s v="Multi-Year"/>
    <x v="1"/>
    <s v="N/A"/>
    <s v=""/>
    <s v="Confirmed"/>
    <m/>
    <x v="0"/>
    <x v="0"/>
    <s v=""/>
    <x v="1"/>
    <x v="1"/>
    <m/>
    <n v="0"/>
    <x v="0"/>
    <s v="N/A"/>
    <n v="3292372960.3962669"/>
  </r>
  <r>
    <x v="0"/>
    <x v="34"/>
    <x v="34"/>
    <x v="5"/>
    <x v="0"/>
    <x v="0"/>
    <x v="1"/>
    <x v="1"/>
    <s v="Multi-Year"/>
    <x v="1"/>
    <s v="N/A"/>
    <s v=""/>
    <s v="Confirmed"/>
    <m/>
    <x v="0"/>
    <x v="0"/>
    <s v=""/>
    <x v="2"/>
    <x v="0"/>
    <m/>
    <n v="0"/>
    <x v="0"/>
    <s v="Moderate"/>
    <n v="519209981.22981054"/>
  </r>
  <r>
    <x v="0"/>
    <x v="35"/>
    <x v="35"/>
    <x v="1"/>
    <x v="0"/>
    <x v="0"/>
    <x v="1"/>
    <x v="1"/>
    <s v="Multi-Year"/>
    <x v="1"/>
    <s v="N/A"/>
    <s v=""/>
    <s v="Confirmed"/>
    <m/>
    <x v="0"/>
    <x v="0"/>
    <s v=""/>
    <x v="3"/>
    <x v="1"/>
    <m/>
    <n v="0"/>
    <x v="0"/>
    <s v=""/>
    <n v="3464739907.1604805"/>
  </r>
  <r>
    <x v="0"/>
    <x v="36"/>
    <x v="36"/>
    <x v="4"/>
    <x v="0"/>
    <x v="0"/>
    <x v="1"/>
    <x v="1"/>
    <s v="Multi-Year"/>
    <x v="1"/>
    <s v="N/A"/>
    <s v=""/>
    <s v="Confirmed"/>
    <m/>
    <x v="0"/>
    <x v="0"/>
    <s v=""/>
    <x v="1"/>
    <x v="1"/>
    <m/>
    <n v="0"/>
    <x v="1"/>
    <s v=""/>
    <n v="9948521252.2569065"/>
  </r>
  <r>
    <x v="0"/>
    <x v="37"/>
    <x v="37"/>
    <x v="2"/>
    <x v="0"/>
    <x v="0"/>
    <x v="1"/>
    <x v="1"/>
    <s v="Multi-Year"/>
    <x v="1"/>
    <s v="N/A"/>
    <s v=""/>
    <s v="Confirmed"/>
    <m/>
    <x v="0"/>
    <x v="0"/>
    <s v=""/>
    <x v="2"/>
    <x v="0"/>
    <m/>
    <n v="1"/>
    <x v="0"/>
    <s v="High"/>
    <n v="33679192.765657313"/>
  </r>
  <r>
    <x v="0"/>
    <x v="38"/>
    <x v="38"/>
    <x v="4"/>
    <x v="0"/>
    <x v="0"/>
    <x v="1"/>
    <x v="1"/>
    <s v="Multi-Year"/>
    <x v="1"/>
    <s v="N/A"/>
    <s v=""/>
    <s v="Confirmed"/>
    <m/>
    <x v="0"/>
    <x v="0"/>
    <s v=""/>
    <x v="1"/>
    <x v="0"/>
    <m/>
    <n v="0"/>
    <x v="1"/>
    <s v="…"/>
    <n v="22784494.365742501"/>
  </r>
  <r>
    <x v="0"/>
    <x v="39"/>
    <x v="39"/>
    <x v="4"/>
    <x v="0"/>
    <x v="0"/>
    <x v="1"/>
    <x v="1"/>
    <s v="Multi-Year"/>
    <x v="1"/>
    <s v="N/A"/>
    <s v=""/>
    <s v="Confirmed"/>
    <m/>
    <x v="0"/>
    <x v="0"/>
    <s v=""/>
    <x v="1"/>
    <x v="1"/>
    <m/>
    <n v="0"/>
    <x v="1"/>
    <s v=""/>
    <n v="2173208011.4858823"/>
  </r>
  <r>
    <x v="0"/>
    <x v="40"/>
    <x v="40"/>
    <x v="4"/>
    <x v="0"/>
    <x v="0"/>
    <x v="1"/>
    <x v="1"/>
    <s v="Multi-Year"/>
    <x v="1"/>
    <s v="N/A"/>
    <s v=""/>
    <s v="Confirmed"/>
    <m/>
    <x v="0"/>
    <x v="0"/>
    <s v=""/>
    <x v="1"/>
    <x v="1"/>
    <m/>
    <n v="0"/>
    <x v="0"/>
    <s v="N/A"/>
    <n v="4585736158.8323269"/>
  </r>
  <r>
    <x v="0"/>
    <x v="41"/>
    <x v="41"/>
    <x v="2"/>
    <x v="0"/>
    <x v="0"/>
    <x v="1"/>
    <x v="1"/>
    <s v="Multi-Year"/>
    <x v="1"/>
    <s v="N/A"/>
    <s v=""/>
    <s v="Confirmed"/>
    <m/>
    <x v="0"/>
    <x v="0"/>
    <s v=""/>
    <x v="2"/>
    <x v="0"/>
    <m/>
    <n v="0"/>
    <x v="0"/>
    <s v="N/A"/>
    <n v="3550291584.8645592"/>
  </r>
  <r>
    <x v="0"/>
    <x v="42"/>
    <x v="42"/>
    <x v="4"/>
    <x v="0"/>
    <x v="0"/>
    <x v="1"/>
    <x v="1"/>
    <s v="Multi-Year"/>
    <x v="1"/>
    <s v="N/A"/>
    <s v=""/>
    <s v="Confirmed"/>
    <m/>
    <x v="0"/>
    <x v="0"/>
    <s v=""/>
    <x v="2"/>
    <x v="0"/>
    <m/>
    <n v="0"/>
    <x v="0"/>
    <s v="N/A"/>
    <n v="1182840319.0410969"/>
  </r>
  <r>
    <x v="0"/>
    <x v="43"/>
    <x v="43"/>
    <x v="4"/>
    <x v="0"/>
    <x v="0"/>
    <x v="1"/>
    <x v="1"/>
    <s v="Multi-Year"/>
    <x v="1"/>
    <s v="N/A"/>
    <s v=""/>
    <s v="Confirmed"/>
    <m/>
    <x v="0"/>
    <x v="0"/>
    <s v=""/>
    <x v="1"/>
    <x v="1"/>
    <m/>
    <n v="0"/>
    <x v="0"/>
    <s v=""/>
    <n v="81728347.604567245"/>
  </r>
  <r>
    <x v="0"/>
    <x v="44"/>
    <x v="44"/>
    <x v="3"/>
    <x v="0"/>
    <x v="0"/>
    <x v="1"/>
    <x v="1"/>
    <s v="Multi-Year"/>
    <x v="1"/>
    <s v="N/A"/>
    <s v=""/>
    <s v="Confirmed"/>
    <m/>
    <x v="0"/>
    <x v="0"/>
    <s v=""/>
    <x v="0"/>
    <x v="0"/>
    <m/>
    <n v="2"/>
    <x v="0"/>
    <s v="N/A"/>
    <n v="12787914.977715338"/>
  </r>
  <r>
    <x v="0"/>
    <x v="45"/>
    <x v="45"/>
    <x v="3"/>
    <x v="0"/>
    <x v="0"/>
    <x v="1"/>
    <x v="1"/>
    <s v="Multi-Year"/>
    <x v="1"/>
    <s v="N/A"/>
    <s v=""/>
    <s v="Confirmed"/>
    <m/>
    <x v="0"/>
    <x v="0"/>
    <s v=""/>
    <x v="2"/>
    <x v="0"/>
    <m/>
    <n v="2"/>
    <x v="0"/>
    <s v="N/A"/>
    <n v="101271737.65410839"/>
  </r>
  <r>
    <x v="0"/>
    <x v="46"/>
    <x v="46"/>
    <x v="3"/>
    <x v="0"/>
    <x v="0"/>
    <x v="1"/>
    <x v="1"/>
    <s v="Multi-Year"/>
    <x v="1"/>
    <s v="N/A"/>
    <s v=""/>
    <s v="Confirmed"/>
    <m/>
    <x v="0"/>
    <x v="0"/>
    <s v=""/>
    <x v="0"/>
    <x v="0"/>
    <m/>
    <n v="3"/>
    <x v="0"/>
    <s v="High"/>
    <n v="618344226.71759331"/>
  </r>
  <r>
    <x v="0"/>
    <x v="47"/>
    <x v="47"/>
    <x v="6"/>
    <x v="0"/>
    <x v="0"/>
    <x v="1"/>
    <x v="1"/>
    <s v="Multi-Year"/>
    <x v="1"/>
    <s v="N/A"/>
    <s v=""/>
    <s v="Confirmed"/>
    <m/>
    <x v="0"/>
    <x v="0"/>
    <s v=""/>
    <x v="1"/>
    <x v="0"/>
    <m/>
    <n v="0"/>
    <x v="1"/>
    <s v="…"/>
    <n v="129483872.95906857"/>
  </r>
  <r>
    <x v="0"/>
    <x v="48"/>
    <x v="48"/>
    <x v="5"/>
    <x v="0"/>
    <x v="0"/>
    <x v="1"/>
    <x v="1"/>
    <s v="Multi-Year"/>
    <x v="1"/>
    <s v="N/A"/>
    <s v=""/>
    <s v="Confirmed"/>
    <m/>
    <x v="0"/>
    <x v="0"/>
    <s v=""/>
    <x v="1"/>
    <x v="1"/>
    <m/>
    <n v="0"/>
    <x v="0"/>
    <s v="N/A"/>
    <n v="271184658.35014349"/>
  </r>
  <r>
    <x v="0"/>
    <x v="49"/>
    <x v="49"/>
    <x v="5"/>
    <x v="0"/>
    <x v="0"/>
    <x v="1"/>
    <x v="1"/>
    <s v="Multi-Year"/>
    <x v="1"/>
    <s v="N/A"/>
    <s v=""/>
    <s v="Confirmed"/>
    <m/>
    <x v="0"/>
    <x v="0"/>
    <s v=""/>
    <x v="0"/>
    <x v="0"/>
    <m/>
    <n v="0"/>
    <x v="0"/>
    <s v="High"/>
    <n v="15455265.086884515"/>
  </r>
  <r>
    <x v="0"/>
    <x v="50"/>
    <x v="50"/>
    <x v="1"/>
    <x v="0"/>
    <x v="0"/>
    <x v="1"/>
    <x v="1"/>
    <s v="Multi-Year"/>
    <x v="1"/>
    <s v="N/A"/>
    <n v="0"/>
    <s v="Confirmed"/>
    <m/>
    <x v="0"/>
    <x v="0"/>
    <s v="Approved"/>
    <x v="1"/>
    <x v="1"/>
    <m/>
    <n v="0"/>
    <x v="0"/>
    <s v="N/A"/>
    <n v="494021502.525527"/>
  </r>
  <r>
    <x v="0"/>
    <x v="51"/>
    <x v="51"/>
    <x v="5"/>
    <x v="0"/>
    <x v="0"/>
    <x v="1"/>
    <x v="1"/>
    <s v="Multi-Year"/>
    <x v="1"/>
    <s v="N/A"/>
    <s v=""/>
    <s v="Confirmed"/>
    <m/>
    <x v="0"/>
    <x v="0"/>
    <s v=""/>
    <x v="2"/>
    <x v="0"/>
    <m/>
    <n v="0"/>
    <x v="0"/>
    <s v="High"/>
    <n v="902005621.73836684"/>
  </r>
  <r>
    <x v="0"/>
    <x v="52"/>
    <x v="52"/>
    <x v="4"/>
    <x v="0"/>
    <x v="0"/>
    <x v="1"/>
    <x v="1"/>
    <s v="Multi-Year"/>
    <x v="1"/>
    <s v="N/A"/>
    <s v=""/>
    <s v="Confirmed"/>
    <m/>
    <x v="0"/>
    <x v="0"/>
    <s v=""/>
    <x v="1"/>
    <x v="0"/>
    <m/>
    <n v="0"/>
    <x v="1"/>
    <s v="In distress"/>
    <n v="20201670.142996579"/>
  </r>
  <r>
    <x v="0"/>
    <x v="53"/>
    <x v="53"/>
    <x v="4"/>
    <x v="0"/>
    <x v="0"/>
    <x v="1"/>
    <x v="1"/>
    <s v="Multi-Year"/>
    <x v="1"/>
    <s v="N/A"/>
    <s v=""/>
    <s v="Confirmed"/>
    <m/>
    <x v="0"/>
    <x v="0"/>
    <s v=""/>
    <x v="1"/>
    <x v="1"/>
    <m/>
    <n v="0"/>
    <x v="0"/>
    <s v=""/>
    <n v="1612434649.6948864"/>
  </r>
  <r>
    <x v="0"/>
    <x v="54"/>
    <x v="54"/>
    <x v="5"/>
    <x v="0"/>
    <x v="0"/>
    <x v="1"/>
    <x v="1"/>
    <s v="Multi-Year"/>
    <x v="1"/>
    <s v="N/A"/>
    <s v=""/>
    <s v="Confirmed"/>
    <m/>
    <x v="0"/>
    <x v="0"/>
    <s v=""/>
    <x v="0"/>
    <x v="0"/>
    <m/>
    <n v="0"/>
    <x v="0"/>
    <s v="Moderate"/>
    <n v="78203134.118229344"/>
  </r>
  <r>
    <x v="0"/>
    <x v="55"/>
    <x v="55"/>
    <x v="5"/>
    <x v="0"/>
    <x v="0"/>
    <x v="1"/>
    <x v="1"/>
    <s v="Multi-Year"/>
    <x v="1"/>
    <s v="N/A"/>
    <s v=""/>
    <s v="Confirmed"/>
    <m/>
    <x v="0"/>
    <x v="0"/>
    <s v=""/>
    <x v="0"/>
    <x v="0"/>
    <m/>
    <n v="2"/>
    <x v="1"/>
    <s v="High"/>
    <n v="9151637.7411015611"/>
  </r>
  <r>
    <x v="0"/>
    <x v="56"/>
    <x v="56"/>
    <x v="4"/>
    <x v="0"/>
    <x v="0"/>
    <x v="1"/>
    <x v="1"/>
    <s v="Multi-Year"/>
    <x v="1"/>
    <s v="N/A"/>
    <s v=""/>
    <s v="Confirmed"/>
    <m/>
    <x v="0"/>
    <x v="0"/>
    <s v=""/>
    <x v="1"/>
    <x v="0"/>
    <m/>
    <n v="0"/>
    <x v="1"/>
    <s v="Moderate"/>
    <n v="142455920.02856269"/>
  </r>
  <r>
    <x v="0"/>
    <x v="57"/>
    <x v="57"/>
    <x v="4"/>
    <x v="0"/>
    <x v="0"/>
    <x v="1"/>
    <x v="1"/>
    <s v="Multi-Year"/>
    <x v="1"/>
    <s v="N/A"/>
    <s v=""/>
    <s v="Confirmed"/>
    <m/>
    <x v="0"/>
    <x v="0"/>
    <s v=""/>
    <x v="2"/>
    <x v="0"/>
    <m/>
    <n v="1"/>
    <x v="1"/>
    <s v="High"/>
    <n v="85611818.171245083"/>
  </r>
  <r>
    <x v="0"/>
    <x v="58"/>
    <x v="58"/>
    <x v="4"/>
    <x v="0"/>
    <x v="0"/>
    <x v="1"/>
    <x v="1"/>
    <s v="Multi-Year"/>
    <x v="1"/>
    <s v="N/A"/>
    <s v=""/>
    <s v="Confirmed"/>
    <m/>
    <x v="0"/>
    <x v="0"/>
    <s v=""/>
    <x v="2"/>
    <x v="0"/>
    <m/>
    <n v="0"/>
    <x v="0"/>
    <s v="Low"/>
    <n v="680289736.30082119"/>
  </r>
  <r>
    <x v="0"/>
    <x v="59"/>
    <x v="59"/>
    <x v="0"/>
    <x v="0"/>
    <x v="0"/>
    <x v="1"/>
    <x v="1"/>
    <s v="Multi-Year"/>
    <x v="1"/>
    <s v="N/A"/>
    <n v="7000000"/>
    <s v="Confirmed"/>
    <m/>
    <x v="0"/>
    <x v="0"/>
    <s v="Approved"/>
    <x v="2"/>
    <x v="0"/>
    <m/>
    <n v="0"/>
    <x v="0"/>
    <s v="N/A"/>
    <n v="26554332750.47023"/>
  </r>
  <r>
    <x v="0"/>
    <x v="60"/>
    <x v="60"/>
    <x v="6"/>
    <x v="0"/>
    <x v="0"/>
    <x v="1"/>
    <x v="1"/>
    <s v="Multi-Year"/>
    <x v="1"/>
    <s v="N/A"/>
    <n v="0"/>
    <s v="Confirmed"/>
    <m/>
    <x v="0"/>
    <x v="0"/>
    <s v="Approved"/>
    <x v="2"/>
    <x v="0"/>
    <m/>
    <n v="0"/>
    <x v="0"/>
    <s v="N/A"/>
    <n v="14745961064.890842"/>
  </r>
  <r>
    <x v="0"/>
    <x v="61"/>
    <x v="61"/>
    <x v="2"/>
    <x v="0"/>
    <x v="0"/>
    <x v="1"/>
    <x v="1"/>
    <s v="Multi-Year"/>
    <x v="1"/>
    <s v="N/A"/>
    <s v=""/>
    <s v="Confirmed"/>
    <m/>
    <x v="0"/>
    <x v="0"/>
    <s v=""/>
    <x v="2"/>
    <x v="1"/>
    <m/>
    <n v="0"/>
    <x v="0"/>
    <s v="N/A"/>
    <n v="18194076299.786381"/>
  </r>
  <r>
    <x v="0"/>
    <x v="62"/>
    <x v="62"/>
    <x v="2"/>
    <x v="0"/>
    <x v="0"/>
    <x v="1"/>
    <x v="1"/>
    <s v="Multi-Year"/>
    <x v="1"/>
    <s v="N/A"/>
    <s v=""/>
    <s v="Confirmed"/>
    <m/>
    <x v="0"/>
    <x v="0"/>
    <s v=""/>
    <x v="1"/>
    <x v="1"/>
    <m/>
    <n v="0"/>
    <x v="0"/>
    <s v="N/A"/>
    <n v="4428819387.769825"/>
  </r>
  <r>
    <x v="0"/>
    <x v="63"/>
    <x v="63"/>
    <x v="4"/>
    <x v="0"/>
    <x v="0"/>
    <x v="1"/>
    <x v="1"/>
    <s v="Multi-Year"/>
    <x v="1"/>
    <s v="N/A"/>
    <s v=""/>
    <s v="Confirmed"/>
    <m/>
    <x v="0"/>
    <x v="0"/>
    <s v=""/>
    <x v="1"/>
    <x v="1"/>
    <m/>
    <n v="0"/>
    <x v="1"/>
    <s v=""/>
    <n v="611739560.62679195"/>
  </r>
  <r>
    <x v="0"/>
    <x v="64"/>
    <x v="64"/>
    <x v="2"/>
    <x v="0"/>
    <x v="0"/>
    <x v="1"/>
    <x v="1"/>
    <s v="Multi-Year"/>
    <x v="1"/>
    <s v="N/A"/>
    <s v=""/>
    <s v="Confirmed"/>
    <m/>
    <x v="0"/>
    <x v="0"/>
    <s v=""/>
    <x v="1"/>
    <x v="1"/>
    <m/>
    <n v="0"/>
    <x v="0"/>
    <s v="N/A"/>
    <n v="1617913383.0481031"/>
  </r>
  <r>
    <x v="0"/>
    <x v="65"/>
    <x v="65"/>
    <x v="1"/>
    <x v="0"/>
    <x v="0"/>
    <x v="1"/>
    <x v="1"/>
    <s v="Multi-Year"/>
    <x v="1"/>
    <s v="N/A"/>
    <s v=""/>
    <s v="Confirmed"/>
    <m/>
    <x v="0"/>
    <x v="0"/>
    <s v=""/>
    <x v="1"/>
    <x v="1"/>
    <m/>
    <n v="0"/>
    <x v="0"/>
    <s v=""/>
    <n v="3074419112.4562683"/>
  </r>
  <r>
    <x v="0"/>
    <x v="66"/>
    <x v="66"/>
    <x v="3"/>
    <x v="0"/>
    <x v="0"/>
    <x v="1"/>
    <x v="1"/>
    <s v="Multi-Year"/>
    <x v="1"/>
    <s v="N/A"/>
    <s v=""/>
    <s v="Confirmed"/>
    <m/>
    <x v="0"/>
    <x v="0"/>
    <s v=""/>
    <x v="2"/>
    <x v="0"/>
    <m/>
    <n v="0"/>
    <x v="0"/>
    <s v="High"/>
    <n v="1914014279.8929913"/>
  </r>
  <r>
    <x v="0"/>
    <x v="67"/>
    <x v="67"/>
    <x v="6"/>
    <x v="0"/>
    <x v="0"/>
    <x v="1"/>
    <x v="1"/>
    <s v="Multi-Year"/>
    <x v="1"/>
    <s v="N/A"/>
    <s v=""/>
    <s v="Confirmed"/>
    <m/>
    <x v="0"/>
    <x v="0"/>
    <s v=""/>
    <x v="2"/>
    <x v="0"/>
    <m/>
    <n v="0"/>
    <x v="1"/>
    <s v="High"/>
    <n v="17422005.762907442"/>
  </r>
  <r>
    <x v="0"/>
    <x v="68"/>
    <x v="68"/>
    <x v="6"/>
    <x v="0"/>
    <x v="0"/>
    <x v="1"/>
    <x v="1"/>
    <s v="Multi-Year"/>
    <x v="1"/>
    <s v="N/A"/>
    <s v=""/>
    <s v="Confirmed"/>
    <m/>
    <x v="0"/>
    <x v="0"/>
    <s v=""/>
    <x v="0"/>
    <x v="0"/>
    <m/>
    <n v="0"/>
    <x v="0"/>
    <s v="N/A"/>
    <s v=""/>
  </r>
  <r>
    <x v="0"/>
    <x v="69"/>
    <x v="69"/>
    <x v="1"/>
    <x v="0"/>
    <x v="0"/>
    <x v="1"/>
    <x v="1"/>
    <s v="Multi-Year"/>
    <x v="1"/>
    <s v="N/A"/>
    <s v=""/>
    <s v="Confirmed"/>
    <m/>
    <x v="0"/>
    <x v="0"/>
    <s v=""/>
    <x v="1"/>
    <x v="0"/>
    <m/>
    <n v="0"/>
    <x v="0"/>
    <s v="…"/>
    <s v=""/>
  </r>
  <r>
    <x v="0"/>
    <x v="70"/>
    <x v="70"/>
    <x v="1"/>
    <x v="0"/>
    <x v="0"/>
    <x v="1"/>
    <x v="1"/>
    <s v="Multi-Year"/>
    <x v="1"/>
    <s v="N/A"/>
    <s v=""/>
    <s v="Confirmed"/>
    <m/>
    <x v="0"/>
    <x v="0"/>
    <s v=""/>
    <x v="2"/>
    <x v="0"/>
    <m/>
    <n v="2"/>
    <x v="0"/>
    <s v="Moderate"/>
    <n v="231506834.84347546"/>
  </r>
  <r>
    <x v="0"/>
    <x v="71"/>
    <x v="71"/>
    <x v="6"/>
    <x v="0"/>
    <x v="0"/>
    <x v="1"/>
    <x v="1"/>
    <s v="Multi-Year"/>
    <x v="1"/>
    <s v="N/A"/>
    <s v=""/>
    <s v="Confirmed"/>
    <m/>
    <x v="0"/>
    <x v="0"/>
    <s v=""/>
    <x v="2"/>
    <x v="0"/>
    <m/>
    <n v="0"/>
    <x v="0"/>
    <s v="High"/>
    <n v="156059428.62944782"/>
  </r>
  <r>
    <x v="0"/>
    <x v="72"/>
    <x v="72"/>
    <x v="2"/>
    <x v="0"/>
    <x v="0"/>
    <x v="1"/>
    <x v="1"/>
    <s v="Multi-Year"/>
    <x v="1"/>
    <s v="N/A"/>
    <s v=""/>
    <s v="Confirmed"/>
    <m/>
    <x v="0"/>
    <x v="0"/>
    <s v=""/>
    <x v="1"/>
    <x v="1"/>
    <m/>
    <n v="0"/>
    <x v="0"/>
    <s v="N/A"/>
    <n v="2355391507.1635861"/>
  </r>
  <r>
    <x v="0"/>
    <x v="73"/>
    <x v="73"/>
    <x v="3"/>
    <x v="0"/>
    <x v="0"/>
    <x v="1"/>
    <x v="1"/>
    <s v="Multi-Year"/>
    <x v="1"/>
    <s v="N/A"/>
    <s v=""/>
    <s v="Confirmed"/>
    <m/>
    <x v="0"/>
    <x v="0"/>
    <s v=""/>
    <x v="2"/>
    <x v="0"/>
    <m/>
    <n v="0"/>
    <x v="0"/>
    <s v="Moderate"/>
    <n v="152760919.7684873"/>
  </r>
  <r>
    <x v="0"/>
    <x v="74"/>
    <x v="74"/>
    <x v="5"/>
    <x v="0"/>
    <x v="0"/>
    <x v="1"/>
    <x v="1"/>
    <s v="Multi-Year"/>
    <x v="1"/>
    <s v="N/A"/>
    <s v=""/>
    <s v="Confirmed"/>
    <m/>
    <x v="0"/>
    <x v="0"/>
    <s v=""/>
    <x v="0"/>
    <x v="0"/>
    <m/>
    <n v="0"/>
    <x v="0"/>
    <s v="High"/>
    <n v="55072006.864440605"/>
  </r>
  <r>
    <x v="0"/>
    <x v="75"/>
    <x v="75"/>
    <x v="2"/>
    <x v="0"/>
    <x v="0"/>
    <x v="1"/>
    <x v="1"/>
    <s v="Multi-Year"/>
    <x v="1"/>
    <s v="N/A"/>
    <s v=""/>
    <s v="Confirmed"/>
    <m/>
    <x v="0"/>
    <x v="0"/>
    <s v=""/>
    <x v="1"/>
    <x v="1"/>
    <m/>
    <n v="0"/>
    <x v="0"/>
    <s v="N/A"/>
    <s v=""/>
  </r>
  <r>
    <x v="0"/>
    <x v="76"/>
    <x v="76"/>
    <x v="3"/>
    <x v="0"/>
    <x v="0"/>
    <x v="1"/>
    <x v="1"/>
    <s v="Multi-Year"/>
    <x v="1"/>
    <s v="N/A"/>
    <s v=""/>
    <s v="Confirmed"/>
    <m/>
    <x v="0"/>
    <x v="0"/>
    <s v=""/>
    <x v="0"/>
    <x v="0"/>
    <m/>
    <n v="2"/>
    <x v="0"/>
    <s v="Moderate"/>
    <n v="206914157.05429548"/>
  </r>
  <r>
    <x v="0"/>
    <x v="77"/>
    <x v="77"/>
    <x v="3"/>
    <x v="0"/>
    <x v="0"/>
    <x v="1"/>
    <x v="1"/>
    <s v="Multi-Year"/>
    <x v="1"/>
    <s v="N/A"/>
    <s v=""/>
    <s v="Confirmed"/>
    <m/>
    <x v="0"/>
    <x v="0"/>
    <s v=""/>
    <x v="0"/>
    <x v="0"/>
    <m/>
    <n v="2"/>
    <x v="0"/>
    <s v="High"/>
    <n v="185999915.02066413"/>
  </r>
  <r>
    <x v="0"/>
    <x v="78"/>
    <x v="78"/>
    <x v="6"/>
    <x v="0"/>
    <x v="0"/>
    <x v="1"/>
    <x v="1"/>
    <s v="Multi-Year"/>
    <x v="1"/>
    <s v="N/A"/>
    <s v=""/>
    <s v="Confirmed"/>
    <m/>
    <x v="0"/>
    <x v="0"/>
    <s v=""/>
    <x v="1"/>
    <x v="1"/>
    <m/>
    <n v="0"/>
    <x v="0"/>
    <s v=""/>
    <n v="6893755763.2501726"/>
  </r>
  <r>
    <x v="0"/>
    <x v="79"/>
    <x v="79"/>
    <x v="0"/>
    <x v="0"/>
    <x v="0"/>
    <x v="1"/>
    <x v="1"/>
    <s v="Multi-Year"/>
    <x v="1"/>
    <s v="N/A"/>
    <n v="0"/>
    <s v="Confirmed"/>
    <m/>
    <x v="0"/>
    <x v="0"/>
    <s v="Under Preparation"/>
    <x v="1"/>
    <x v="0"/>
    <m/>
    <n v="0"/>
    <x v="1"/>
    <s v="High"/>
    <n v="354560231.58276606"/>
  </r>
  <r>
    <x v="0"/>
    <x v="80"/>
    <x v="80"/>
    <x v="5"/>
    <x v="0"/>
    <x v="0"/>
    <x v="1"/>
    <x v="1"/>
    <s v="Multi-Year"/>
    <x v="1"/>
    <s v="N/A"/>
    <s v=""/>
    <s v="Confirmed"/>
    <m/>
    <x v="0"/>
    <x v="0"/>
    <s v=""/>
    <x v="0"/>
    <x v="0"/>
    <m/>
    <n v="1"/>
    <x v="0"/>
    <s v="Moderate"/>
    <n v="188169167.56540567"/>
  </r>
  <r>
    <x v="0"/>
    <x v="81"/>
    <x v="81"/>
    <x v="6"/>
    <x v="0"/>
    <x v="0"/>
    <x v="1"/>
    <x v="1"/>
    <s v="Multi-Year"/>
    <x v="1"/>
    <s v="N/A"/>
    <s v=""/>
    <s v="Confirmed"/>
    <m/>
    <x v="0"/>
    <x v="0"/>
    <s v=""/>
    <x v="1"/>
    <x v="0"/>
    <m/>
    <n v="0"/>
    <x v="1"/>
    <s v=""/>
    <n v="16312106.556340856"/>
  </r>
  <r>
    <x v="0"/>
    <x v="82"/>
    <x v="82"/>
    <x v="5"/>
    <x v="0"/>
    <x v="0"/>
    <x v="1"/>
    <x v="1"/>
    <s v="Multi-Year"/>
    <x v="1"/>
    <s v="N/A"/>
    <s v=""/>
    <s v="Confirmed"/>
    <m/>
    <x v="0"/>
    <x v="0"/>
    <s v=""/>
    <x v="2"/>
    <x v="0"/>
    <m/>
    <n v="2"/>
    <x v="0"/>
    <s v="High"/>
    <n v="86083833.534053758"/>
  </r>
  <r>
    <x v="0"/>
    <x v="83"/>
    <x v="83"/>
    <x v="3"/>
    <x v="0"/>
    <x v="0"/>
    <x v="1"/>
    <x v="1"/>
    <s v="Multi-Year"/>
    <x v="1"/>
    <s v="N/A"/>
    <s v=""/>
    <s v="Confirmed"/>
    <m/>
    <x v="0"/>
    <x v="0"/>
    <s v=""/>
    <x v="1"/>
    <x v="1"/>
    <m/>
    <n v="0"/>
    <x v="1"/>
    <s v="N/A"/>
    <n v="357220835.93762809"/>
  </r>
  <r>
    <x v="0"/>
    <x v="84"/>
    <x v="84"/>
    <x v="4"/>
    <x v="0"/>
    <x v="0"/>
    <x v="1"/>
    <x v="1"/>
    <s v="Multi-Year"/>
    <x v="1"/>
    <s v="N/A"/>
    <s v=""/>
    <s v="Confirmed"/>
    <m/>
    <x v="0"/>
    <x v="0"/>
    <s v=""/>
    <x v="1"/>
    <x v="1"/>
    <m/>
    <n v="0"/>
    <x v="0"/>
    <s v=""/>
    <n v="32831598153.796387"/>
  </r>
  <r>
    <x v="0"/>
    <x v="85"/>
    <x v="85"/>
    <x v="6"/>
    <x v="0"/>
    <x v="0"/>
    <x v="1"/>
    <x v="1"/>
    <s v="Multi-Year"/>
    <x v="1"/>
    <s v="N/A"/>
    <s v=""/>
    <s v="Confirmed"/>
    <m/>
    <x v="0"/>
    <x v="0"/>
    <s v=""/>
    <x v="2"/>
    <x v="0"/>
    <m/>
    <n v="0"/>
    <x v="1"/>
    <s v="High"/>
    <n v="12329056.093798399"/>
  </r>
  <r>
    <x v="0"/>
    <x v="86"/>
    <x v="86"/>
    <x v="1"/>
    <x v="0"/>
    <x v="0"/>
    <x v="1"/>
    <x v="1"/>
    <s v="Multi-Year"/>
    <x v="1"/>
    <s v="N/A"/>
    <s v=""/>
    <s v="Confirmed"/>
    <m/>
    <x v="0"/>
    <x v="0"/>
    <s v=""/>
    <x v="1"/>
    <x v="0"/>
    <m/>
    <n v="0"/>
    <x v="0"/>
    <s v="Low"/>
    <n v="426639742.85328001"/>
  </r>
  <r>
    <x v="0"/>
    <x v="87"/>
    <x v="87"/>
    <x v="6"/>
    <x v="0"/>
    <x v="0"/>
    <x v="1"/>
    <x v="1"/>
    <s v="Multi-Year"/>
    <x v="1"/>
    <s v="N/A"/>
    <n v="0"/>
    <s v="Confirmed"/>
    <m/>
    <x v="0"/>
    <x v="0"/>
    <s v="Approved"/>
    <x v="2"/>
    <x v="0"/>
    <m/>
    <n v="0"/>
    <x v="0"/>
    <s v="…"/>
    <n v="288519671.85870522"/>
  </r>
  <r>
    <x v="0"/>
    <x v="88"/>
    <x v="88"/>
    <x v="1"/>
    <x v="0"/>
    <x v="0"/>
    <x v="1"/>
    <x v="1"/>
    <s v="Multi-Year"/>
    <x v="1"/>
    <s v="N/A"/>
    <s v=""/>
    <s v="Confirmed"/>
    <m/>
    <x v="0"/>
    <x v="0"/>
    <s v=""/>
    <x v="1"/>
    <x v="1"/>
    <m/>
    <n v="0"/>
    <x v="0"/>
    <s v="N/A"/>
    <n v="275606560.78491527"/>
  </r>
  <r>
    <x v="0"/>
    <x v="89"/>
    <x v="89"/>
    <x v="2"/>
    <x v="0"/>
    <x v="0"/>
    <x v="1"/>
    <x v="1"/>
    <s v="Multi-Year"/>
    <x v="1"/>
    <s v="N/A"/>
    <s v=""/>
    <s v="Confirmed"/>
    <m/>
    <x v="0"/>
    <x v="0"/>
    <s v=""/>
    <x v="2"/>
    <x v="0"/>
    <m/>
    <n v="0"/>
    <x v="0"/>
    <s v="N/A"/>
    <n v="2530937679.3725696"/>
  </r>
  <r>
    <x v="0"/>
    <x v="90"/>
    <x v="90"/>
    <x v="3"/>
    <x v="0"/>
    <x v="0"/>
    <x v="1"/>
    <x v="1"/>
    <s v="Multi-Year"/>
    <x v="1"/>
    <s v="N/A"/>
    <s v=""/>
    <s v="Confirmed"/>
    <m/>
    <x v="0"/>
    <x v="0"/>
    <s v=""/>
    <x v="0"/>
    <x v="0"/>
    <m/>
    <n v="0"/>
    <x v="0"/>
    <s v="In distress"/>
    <n v="251432156.86255455"/>
  </r>
  <r>
    <x v="0"/>
    <x v="91"/>
    <x v="91"/>
    <x v="6"/>
    <x v="0"/>
    <x v="0"/>
    <x v="1"/>
    <x v="1"/>
    <s v="Multi-Year"/>
    <x v="1"/>
    <s v="N/A"/>
    <s v=""/>
    <s v="Confirmed"/>
    <m/>
    <x v="0"/>
    <x v="0"/>
    <s v=""/>
    <x v="2"/>
    <x v="0"/>
    <m/>
    <n v="0"/>
    <x v="0"/>
    <s v="Low"/>
    <n v="471534500.60109437"/>
  </r>
  <r>
    <x v="0"/>
    <x v="92"/>
    <x v="92"/>
    <x v="3"/>
    <x v="0"/>
    <x v="0"/>
    <x v="1"/>
    <x v="1"/>
    <s v="Multi-Year"/>
    <x v="1"/>
    <s v="N/A"/>
    <s v=""/>
    <s v="Confirmed"/>
    <m/>
    <x v="0"/>
    <x v="0"/>
    <s v=""/>
    <x v="1"/>
    <x v="1"/>
    <m/>
    <n v="0"/>
    <x v="0"/>
    <s v=""/>
    <n v="531677611.80447447"/>
  </r>
  <r>
    <x v="0"/>
    <x v="93"/>
    <x v="93"/>
    <x v="6"/>
    <x v="0"/>
    <x v="0"/>
    <x v="1"/>
    <x v="1"/>
    <s v="Multi-Year"/>
    <x v="1"/>
    <s v="N/A"/>
    <s v=""/>
    <s v="Confirmed"/>
    <m/>
    <x v="0"/>
    <x v="0"/>
    <s v=""/>
    <x v="3"/>
    <x v="1"/>
    <m/>
    <n v="0"/>
    <x v="1"/>
    <s v=""/>
    <n v="8528751.6418357007"/>
  </r>
  <r>
    <x v="0"/>
    <x v="94"/>
    <x v="94"/>
    <x v="0"/>
    <x v="0"/>
    <x v="0"/>
    <x v="1"/>
    <x v="1"/>
    <s v="Multi-Year"/>
    <x v="1"/>
    <s v="N/A"/>
    <n v="0"/>
    <s v="Confirmed"/>
    <m/>
    <x v="0"/>
    <x v="0"/>
    <s v="Approved"/>
    <x v="2"/>
    <x v="0"/>
    <m/>
    <n v="0"/>
    <x v="0"/>
    <s v="Low"/>
    <n v="407084543.19089872"/>
  </r>
  <r>
    <x v="0"/>
    <x v="95"/>
    <x v="95"/>
    <x v="4"/>
    <x v="0"/>
    <x v="0"/>
    <x v="1"/>
    <x v="1"/>
    <s v="Multi-Year"/>
    <x v="1"/>
    <s v="N/A"/>
    <s v=""/>
    <s v="Confirmed"/>
    <m/>
    <x v="0"/>
    <x v="0"/>
    <s v=""/>
    <x v="2"/>
    <x v="0"/>
    <m/>
    <n v="0"/>
    <x v="0"/>
    <s v="Moderate"/>
    <n v="671998341.93592453"/>
  </r>
  <r>
    <x v="0"/>
    <x v="96"/>
    <x v="96"/>
    <x v="5"/>
    <x v="0"/>
    <x v="0"/>
    <x v="1"/>
    <x v="1"/>
    <s v="Multi-Year"/>
    <x v="1"/>
    <s v="N/A"/>
    <s v=""/>
    <s v="Confirmed"/>
    <m/>
    <x v="0"/>
    <x v="0"/>
    <s v=""/>
    <x v="0"/>
    <x v="0"/>
    <m/>
    <n v="1"/>
    <x v="0"/>
    <s v="Moderate"/>
    <n v="226203289.67158964"/>
  </r>
  <r>
    <x v="0"/>
    <x v="97"/>
    <x v="97"/>
    <x v="5"/>
    <x v="0"/>
    <x v="0"/>
    <x v="1"/>
    <x v="1"/>
    <s v="Multi-Year"/>
    <x v="1"/>
    <s v="N/A"/>
    <s v=""/>
    <s v="Confirmed"/>
    <m/>
    <x v="0"/>
    <x v="0"/>
    <s v=""/>
    <x v="2"/>
    <x v="0"/>
    <m/>
    <n v="3"/>
    <x v="0"/>
    <s v="…"/>
    <n v="2438881113.1244688"/>
  </r>
  <r>
    <x v="0"/>
    <x v="98"/>
    <x v="98"/>
    <x v="1"/>
    <x v="0"/>
    <x v="0"/>
    <x v="1"/>
    <x v="1"/>
    <s v="Multi-Year"/>
    <x v="1"/>
    <s v="N/A"/>
    <s v=""/>
    <s v="Confirmed"/>
    <m/>
    <x v="0"/>
    <x v="0"/>
    <s v=""/>
    <x v="1"/>
    <x v="1"/>
    <m/>
    <n v="0"/>
    <x v="0"/>
    <s v=""/>
    <n v="476517795.73174149"/>
  </r>
  <r>
    <x v="0"/>
    <x v="99"/>
    <x v="99"/>
    <x v="0"/>
    <x v="0"/>
    <x v="0"/>
    <x v="1"/>
    <x v="1"/>
    <s v="Multi-Year"/>
    <x v="1"/>
    <s v="N/A"/>
    <n v="0"/>
    <s v="Confirmed"/>
    <m/>
    <x v="0"/>
    <x v="0"/>
    <s v="Approved"/>
    <x v="2"/>
    <x v="0"/>
    <m/>
    <n v="0"/>
    <x v="0"/>
    <s v="…"/>
    <n v="3233351297.7679496"/>
  </r>
  <r>
    <x v="0"/>
    <x v="100"/>
    <x v="100"/>
    <x v="4"/>
    <x v="0"/>
    <x v="0"/>
    <x v="1"/>
    <x v="1"/>
    <s v="Multi-Year"/>
    <x v="1"/>
    <s v="N/A"/>
    <s v=""/>
    <s v="Confirmed"/>
    <m/>
    <x v="0"/>
    <x v="0"/>
    <s v=""/>
    <x v="3"/>
    <x v="1"/>
    <m/>
    <n v="0"/>
    <x v="1"/>
    <s v=""/>
    <n v="18180646.808608256"/>
  </r>
  <r>
    <x v="0"/>
    <x v="101"/>
    <x v="101"/>
    <x v="4"/>
    <x v="0"/>
    <x v="0"/>
    <x v="1"/>
    <x v="1"/>
    <s v="Multi-Year"/>
    <x v="1"/>
    <s v="N/A"/>
    <s v=""/>
    <s v="Confirmed"/>
    <m/>
    <x v="0"/>
    <x v="0"/>
    <s v=""/>
    <x v="1"/>
    <x v="1"/>
    <m/>
    <n v="0"/>
    <x v="0"/>
    <s v="N/A"/>
    <n v="3020530707.3485303"/>
  </r>
  <r>
    <x v="0"/>
    <x v="102"/>
    <x v="102"/>
    <x v="6"/>
    <x v="0"/>
    <x v="0"/>
    <x v="1"/>
    <x v="1"/>
    <s v="Multi-Year"/>
    <x v="1"/>
    <s v="N/A"/>
    <s v=""/>
    <s v="Confirmed"/>
    <m/>
    <x v="0"/>
    <x v="0"/>
    <s v=""/>
    <x v="2"/>
    <x v="0"/>
    <m/>
    <n v="1"/>
    <x v="1"/>
    <s v="High"/>
    <n v="384406316.46074712"/>
  </r>
  <r>
    <x v="0"/>
    <x v="103"/>
    <x v="103"/>
    <x v="4"/>
    <x v="0"/>
    <x v="0"/>
    <x v="1"/>
    <x v="1"/>
    <s v="Multi-Year"/>
    <x v="1"/>
    <s v="N/A"/>
    <s v=""/>
    <s v="Confirmed"/>
    <m/>
    <x v="0"/>
    <x v="0"/>
    <s v=""/>
    <x v="1"/>
    <x v="1"/>
    <m/>
    <n v="0"/>
    <x v="0"/>
    <s v=""/>
    <n v="1218747108.9554784"/>
  </r>
  <r>
    <x v="0"/>
    <x v="104"/>
    <x v="104"/>
    <x v="4"/>
    <x v="0"/>
    <x v="0"/>
    <x v="1"/>
    <x v="1"/>
    <s v="Multi-Year"/>
    <x v="1"/>
    <s v="N/A"/>
    <s v=""/>
    <s v="Confirmed"/>
    <m/>
    <x v="0"/>
    <x v="0"/>
    <s v=""/>
    <x v="1"/>
    <x v="1"/>
    <m/>
    <n v="0"/>
    <x v="0"/>
    <s v=""/>
    <n v="7392665952.5895758"/>
  </r>
  <r>
    <x v="0"/>
    <x v="105"/>
    <x v="105"/>
    <x v="6"/>
    <x v="0"/>
    <x v="0"/>
    <x v="1"/>
    <x v="1"/>
    <s v="Multi-Year"/>
    <x v="1"/>
    <s v="N/A"/>
    <n v="0"/>
    <s v="Confirmed"/>
    <m/>
    <x v="0"/>
    <x v="0"/>
    <s v="Approved"/>
    <x v="2"/>
    <x v="0"/>
    <m/>
    <n v="0"/>
    <x v="0"/>
    <s v="N/A"/>
    <n v="4754985988.6004429"/>
  </r>
  <r>
    <x v="0"/>
    <x v="106"/>
    <x v="106"/>
    <x v="1"/>
    <x v="0"/>
    <x v="0"/>
    <x v="1"/>
    <x v="1"/>
    <s v="Multi-Year"/>
    <x v="1"/>
    <s v="N/A"/>
    <s v=""/>
    <s v="Confirmed"/>
    <m/>
    <x v="0"/>
    <x v="0"/>
    <s v=""/>
    <x v="3"/>
    <x v="1"/>
    <m/>
    <n v="0"/>
    <x v="0"/>
    <s v=""/>
    <n v="26422210443.037273"/>
  </r>
  <r>
    <x v="0"/>
    <x v="107"/>
    <x v="107"/>
    <x v="1"/>
    <x v="0"/>
    <x v="0"/>
    <x v="1"/>
    <x v="1"/>
    <s v="Multi-Year"/>
    <x v="1"/>
    <s v="N/A"/>
    <s v=""/>
    <s v="Confirmed"/>
    <m/>
    <x v="0"/>
    <x v="0"/>
    <s v=""/>
    <x v="1"/>
    <x v="1"/>
    <m/>
    <n v="0"/>
    <x v="0"/>
    <s v=""/>
    <n v="10696495313.15033"/>
  </r>
  <r>
    <x v="0"/>
    <x v="108"/>
    <x v="108"/>
    <x v="1"/>
    <x v="0"/>
    <x v="0"/>
    <x v="1"/>
    <x v="1"/>
    <s v="Multi-Year"/>
    <x v="1"/>
    <s v="N/A"/>
    <s v=""/>
    <s v="Confirmed"/>
    <m/>
    <x v="0"/>
    <x v="0"/>
    <s v=""/>
    <x v="1"/>
    <x v="1"/>
    <m/>
    <n v="0"/>
    <x v="0"/>
    <s v=""/>
    <n v="52769713433.240509"/>
  </r>
  <r>
    <x v="0"/>
    <x v="109"/>
    <x v="109"/>
    <x v="3"/>
    <x v="0"/>
    <x v="0"/>
    <x v="1"/>
    <x v="1"/>
    <s v="Multi-Year"/>
    <x v="1"/>
    <s v="N/A"/>
    <s v=""/>
    <s v="Confirmed"/>
    <m/>
    <x v="0"/>
    <x v="0"/>
    <s v=""/>
    <x v="0"/>
    <x v="0"/>
    <m/>
    <n v="0"/>
    <x v="0"/>
    <s v="Moderate"/>
    <n v="225799814.51943746"/>
  </r>
  <r>
    <x v="0"/>
    <x v="110"/>
    <x v="110"/>
    <x v="6"/>
    <x v="0"/>
    <x v="0"/>
    <x v="1"/>
    <x v="1"/>
    <s v="Multi-Year"/>
    <x v="1"/>
    <s v="N/A"/>
    <n v="3160000"/>
    <s v="Confirmed"/>
    <m/>
    <x v="0"/>
    <x v="0"/>
    <s v="Approved"/>
    <x v="2"/>
    <x v="0"/>
    <m/>
    <n v="0"/>
    <x v="1"/>
    <s v="High"/>
    <n v="32192988.027009469"/>
  </r>
  <r>
    <x v="0"/>
    <x v="111"/>
    <x v="111"/>
    <x v="5"/>
    <x v="0"/>
    <x v="0"/>
    <x v="1"/>
    <x v="1"/>
    <s v="Multi-Year"/>
    <x v="1"/>
    <s v="N/A"/>
    <s v=""/>
    <s v="Confirmed"/>
    <m/>
    <x v="0"/>
    <x v="0"/>
    <s v=""/>
    <x v="2"/>
    <x v="0"/>
    <m/>
    <n v="0"/>
    <x v="1"/>
    <s v="In distress"/>
    <n v="11633535.136477679"/>
  </r>
  <r>
    <x v="0"/>
    <x v="112"/>
    <x v="112"/>
    <x v="5"/>
    <x v="0"/>
    <x v="0"/>
    <x v="1"/>
    <x v="1"/>
    <s v="Multi-Year"/>
    <x v="1"/>
    <s v="N/A"/>
    <s v=""/>
    <s v="Confirmed"/>
    <m/>
    <x v="0"/>
    <x v="0"/>
    <s v=""/>
    <x v="2"/>
    <x v="0"/>
    <m/>
    <n v="2"/>
    <x v="0"/>
    <s v="Moderate"/>
    <n v="222008693.93354639"/>
  </r>
  <r>
    <x v="0"/>
    <x v="113"/>
    <x v="113"/>
    <x v="1"/>
    <x v="0"/>
    <x v="0"/>
    <x v="1"/>
    <x v="1"/>
    <s v="Multi-Year"/>
    <x v="1"/>
    <s v="N/A"/>
    <s v=""/>
    <s v="Confirmed"/>
    <m/>
    <x v="0"/>
    <x v="0"/>
    <s v=""/>
    <x v="1"/>
    <x v="1"/>
    <m/>
    <n v="0"/>
    <x v="0"/>
    <s v=""/>
    <n v="2564993795.1894679"/>
  </r>
  <r>
    <x v="0"/>
    <x v="114"/>
    <x v="114"/>
    <x v="3"/>
    <x v="0"/>
    <x v="0"/>
    <x v="1"/>
    <x v="1"/>
    <s v="Multi-Year"/>
    <x v="1"/>
    <s v="N/A"/>
    <s v=""/>
    <s v="Confirmed"/>
    <m/>
    <x v="0"/>
    <x v="0"/>
    <s v=""/>
    <x v="3"/>
    <x v="1"/>
    <m/>
    <n v="0"/>
    <x v="1"/>
    <s v="N/A"/>
    <n v="60237542.945069775"/>
  </r>
  <r>
    <x v="0"/>
    <x v="115"/>
    <x v="115"/>
    <x v="5"/>
    <x v="0"/>
    <x v="0"/>
    <x v="1"/>
    <x v="1"/>
    <s v="Multi-Year"/>
    <x v="1"/>
    <s v="N/A"/>
    <s v=""/>
    <s v="Confirmed"/>
    <m/>
    <x v="0"/>
    <x v="0"/>
    <s v=""/>
    <x v="0"/>
    <x v="0"/>
    <m/>
    <n v="0"/>
    <x v="0"/>
    <s v="High"/>
    <n v="63738640.538260505"/>
  </r>
  <r>
    <x v="0"/>
    <x v="116"/>
    <x v="116"/>
    <x v="6"/>
    <x v="0"/>
    <x v="0"/>
    <x v="1"/>
    <x v="1"/>
    <s v="Multi-Year"/>
    <x v="1"/>
    <s v="N/A"/>
    <s v=""/>
    <s v="Confirmed"/>
    <m/>
    <x v="0"/>
    <x v="0"/>
    <s v=""/>
    <x v="2"/>
    <x v="0"/>
    <m/>
    <n v="0"/>
    <x v="1"/>
    <s v="Moderate"/>
    <n v="49012774.055630356"/>
  </r>
  <r>
    <x v="0"/>
    <x v="117"/>
    <x v="117"/>
    <x v="3"/>
    <x v="0"/>
    <x v="0"/>
    <x v="1"/>
    <x v="1"/>
    <s v="Multi-Year"/>
    <x v="1"/>
    <s v="N/A"/>
    <s v=""/>
    <s v="Confirmed"/>
    <m/>
    <x v="0"/>
    <x v="0"/>
    <s v=""/>
    <x v="0"/>
    <x v="0"/>
    <m/>
    <n v="1"/>
    <x v="0"/>
    <s v="In distress"/>
    <s v=""/>
  </r>
  <r>
    <x v="0"/>
    <x v="118"/>
    <x v="118"/>
    <x v="3"/>
    <x v="0"/>
    <x v="0"/>
    <x v="1"/>
    <x v="1"/>
    <s v="Multi-Year"/>
    <x v="1"/>
    <s v="N/A"/>
    <s v=""/>
    <s v="Confirmed"/>
    <m/>
    <x v="0"/>
    <x v="0"/>
    <s v=""/>
    <x v="1"/>
    <x v="1"/>
    <m/>
    <n v="0"/>
    <x v="0"/>
    <s v="N/A"/>
    <n v="16429121142.784708"/>
  </r>
  <r>
    <x v="0"/>
    <x v="119"/>
    <x v="119"/>
    <x v="3"/>
    <x v="0"/>
    <x v="0"/>
    <x v="1"/>
    <x v="1"/>
    <s v="Multi-Year"/>
    <x v="1"/>
    <s v="N/A"/>
    <s v=""/>
    <s v="Confirmed"/>
    <m/>
    <x v="0"/>
    <x v="0"/>
    <s v=""/>
    <x v="0"/>
    <x v="0"/>
    <m/>
    <n v="1"/>
    <x v="0"/>
    <s v="High"/>
    <n v="31684581.76217727"/>
  </r>
  <r>
    <x v="0"/>
    <x v="120"/>
    <x v="120"/>
    <x v="0"/>
    <x v="0"/>
    <x v="0"/>
    <x v="1"/>
    <x v="1"/>
    <s v="Multi-Year"/>
    <x v="1"/>
    <s v="N/A"/>
    <n v="48970000"/>
    <s v="Confirmed"/>
    <m/>
    <x v="0"/>
    <x v="0"/>
    <s v="Approved"/>
    <x v="2"/>
    <x v="0"/>
    <m/>
    <n v="0"/>
    <x v="0"/>
    <s v="N/A"/>
    <n v="1373621563.5182886"/>
  </r>
  <r>
    <x v="0"/>
    <x v="121"/>
    <x v="121"/>
    <x v="4"/>
    <x v="0"/>
    <x v="0"/>
    <x v="1"/>
    <x v="1"/>
    <s v="Multi-Year"/>
    <x v="1"/>
    <s v="N/A"/>
    <s v=""/>
    <s v="Confirmed"/>
    <m/>
    <x v="0"/>
    <x v="0"/>
    <s v=""/>
    <x v="3"/>
    <x v="1"/>
    <m/>
    <n v="0"/>
    <x v="1"/>
    <s v=""/>
    <n v="24214370.889062837"/>
  </r>
  <r>
    <x v="0"/>
    <x v="122"/>
    <x v="122"/>
    <x v="4"/>
    <x v="0"/>
    <x v="0"/>
    <x v="1"/>
    <x v="1"/>
    <s v="Multi-Year"/>
    <x v="1"/>
    <s v="N/A"/>
    <s v=""/>
    <s v="Confirmed"/>
    <m/>
    <x v="0"/>
    <x v="0"/>
    <s v=""/>
    <x v="1"/>
    <x v="0"/>
    <m/>
    <n v="0"/>
    <x v="1"/>
    <s v="…"/>
    <n v="39941279.609447442"/>
  </r>
  <r>
    <x v="0"/>
    <x v="123"/>
    <x v="123"/>
    <x v="4"/>
    <x v="0"/>
    <x v="0"/>
    <x v="1"/>
    <x v="1"/>
    <s v="Multi-Year"/>
    <x v="1"/>
    <s v="N/A"/>
    <s v=""/>
    <s v="Confirmed"/>
    <m/>
    <x v="0"/>
    <x v="0"/>
    <s v=""/>
    <x v="1"/>
    <x v="0"/>
    <m/>
    <n v="0"/>
    <x v="1"/>
    <s v="High"/>
    <n v="24761675.260059897"/>
  </r>
  <r>
    <x v="0"/>
    <x v="124"/>
    <x v="124"/>
    <x v="2"/>
    <x v="0"/>
    <x v="0"/>
    <x v="1"/>
    <x v="1"/>
    <s v="Multi-Year"/>
    <x v="1"/>
    <s v="N/A"/>
    <s v=""/>
    <s v="Confirmed"/>
    <m/>
    <x v="0"/>
    <x v="0"/>
    <s v=""/>
    <x v="2"/>
    <x v="0"/>
    <m/>
    <n v="0"/>
    <x v="0"/>
    <s v="N/A"/>
    <s v=""/>
  </r>
  <r>
    <x v="0"/>
    <x v="125"/>
    <x v="125"/>
    <x v="2"/>
    <x v="0"/>
    <x v="0"/>
    <x v="1"/>
    <x v="1"/>
    <s v="Multi-Year"/>
    <x v="1"/>
    <s v="N/A"/>
    <s v=""/>
    <s v="Confirmed"/>
    <m/>
    <x v="0"/>
    <x v="0"/>
    <s v=""/>
    <x v="0"/>
    <x v="0"/>
    <m/>
    <n v="1"/>
    <x v="0"/>
    <s v="N/A"/>
    <n v="577156172.71229994"/>
  </r>
  <r>
    <x v="0"/>
    <x v="126"/>
    <x v="126"/>
    <x v="6"/>
    <x v="0"/>
    <x v="0"/>
    <x v="1"/>
    <x v="1"/>
    <s v="Multi-Year"/>
    <x v="1"/>
    <s v="N/A"/>
    <s v=""/>
    <s v="Confirmed"/>
    <m/>
    <x v="0"/>
    <x v="0"/>
    <s v=""/>
    <x v="1"/>
    <x v="1"/>
    <m/>
    <n v="0"/>
    <x v="1"/>
    <s v=""/>
    <n v="180052034.19851837"/>
  </r>
  <r>
    <x v="0"/>
    <x v="127"/>
    <x v="127"/>
    <x v="2"/>
    <x v="0"/>
    <x v="0"/>
    <x v="1"/>
    <x v="1"/>
    <s v="Multi-Year"/>
    <x v="1"/>
    <s v="N/A"/>
    <s v=""/>
    <s v="Confirmed"/>
    <m/>
    <x v="0"/>
    <x v="0"/>
    <s v=""/>
    <x v="0"/>
    <x v="0"/>
    <m/>
    <n v="1"/>
    <x v="0"/>
    <s v="N/A"/>
    <s v=""/>
  </r>
  <r>
    <x v="0"/>
    <x v="128"/>
    <x v="128"/>
    <x v="1"/>
    <x v="0"/>
    <x v="0"/>
    <x v="1"/>
    <x v="1"/>
    <s v="Multi-Year"/>
    <x v="1"/>
    <s v="N/A"/>
    <n v="770000"/>
    <s v="Confirmed"/>
    <m/>
    <x v="0"/>
    <x v="0"/>
    <s v="Approved"/>
    <x v="2"/>
    <x v="0"/>
    <m/>
    <n v="0"/>
    <x v="0"/>
    <s v="High"/>
    <n v="147296124.32232863"/>
  </r>
  <r>
    <x v="0"/>
    <x v="129"/>
    <x v="129"/>
    <x v="3"/>
    <x v="0"/>
    <x v="0"/>
    <x v="1"/>
    <x v="1"/>
    <s v="Multi-Year"/>
    <x v="1"/>
    <s v="N/A"/>
    <s v=""/>
    <s v="Confirmed"/>
    <m/>
    <x v="0"/>
    <x v="0"/>
    <s v=""/>
    <x v="2"/>
    <x v="0"/>
    <m/>
    <n v="0"/>
    <x v="0"/>
    <s v="…"/>
    <n v="890576536.83065879"/>
  </r>
  <r>
    <x v="0"/>
    <x v="130"/>
    <x v="130"/>
    <x v="6"/>
    <x v="0"/>
    <x v="0"/>
    <x v="1"/>
    <x v="1"/>
    <s v="Multi-Year"/>
    <x v="1"/>
    <s v="N/A"/>
    <s v=""/>
    <s v="Confirmed"/>
    <m/>
    <x v="0"/>
    <x v="0"/>
    <s v=""/>
    <x v="1"/>
    <x v="1"/>
    <m/>
    <n v="0"/>
    <x v="0"/>
    <s v=""/>
    <n v="14611129792.346064"/>
  </r>
  <r>
    <x v="0"/>
    <x v="131"/>
    <x v="131"/>
    <x v="6"/>
    <x v="0"/>
    <x v="0"/>
    <x v="1"/>
    <x v="1"/>
    <s v="Multi-Year"/>
    <x v="1"/>
    <s v="N/A"/>
    <s v=""/>
    <s v="Confirmed"/>
    <m/>
    <x v="0"/>
    <x v="0"/>
    <s v=""/>
    <x v="2"/>
    <x v="0"/>
    <m/>
    <n v="0"/>
    <x v="1"/>
    <s v="Low"/>
    <n v="72046877.233008593"/>
  </r>
  <r>
    <x v="0"/>
    <x v="132"/>
    <x v="132"/>
    <x v="5"/>
    <x v="0"/>
    <x v="0"/>
    <x v="1"/>
    <x v="1"/>
    <s v="Multi-Year"/>
    <x v="1"/>
    <s v="N/A"/>
    <s v=""/>
    <s v="Confirmed"/>
    <m/>
    <x v="0"/>
    <x v="0"/>
    <s v=""/>
    <x v="0"/>
    <x v="0"/>
    <m/>
    <n v="0"/>
    <x v="0"/>
    <s v="High"/>
    <n v="56248139.267255567"/>
  </r>
  <r>
    <x v="0"/>
    <x v="133"/>
    <x v="133"/>
    <x v="6"/>
    <x v="0"/>
    <x v="0"/>
    <x v="1"/>
    <x v="1"/>
    <s v="Multi-Year"/>
    <x v="1"/>
    <s v="N/A"/>
    <n v="2770000"/>
    <s v="Confirmed"/>
    <m/>
    <x v="0"/>
    <x v="0"/>
    <s v="Approved"/>
    <x v="1"/>
    <x v="0"/>
    <m/>
    <n v="0"/>
    <x v="1"/>
    <s v="High"/>
    <n v="15464031.712942109"/>
  </r>
  <r>
    <x v="0"/>
    <x v="134"/>
    <x v="134"/>
    <x v="4"/>
    <x v="0"/>
    <x v="0"/>
    <x v="1"/>
    <x v="1"/>
    <s v="Multi-Year"/>
    <x v="1"/>
    <s v="N/A"/>
    <s v=""/>
    <s v="Confirmed"/>
    <m/>
    <x v="0"/>
    <x v="0"/>
    <s v=""/>
    <x v="3"/>
    <x v="1"/>
    <m/>
    <n v="0"/>
    <x v="1"/>
    <s v="N/A"/>
    <n v="769564399.33249676"/>
  </r>
  <r>
    <x v="0"/>
    <x v="135"/>
    <x v="135"/>
    <x v="2"/>
    <x v="0"/>
    <x v="0"/>
    <x v="1"/>
    <x v="1"/>
    <s v="Multi-Year"/>
    <x v="1"/>
    <s v="N/A"/>
    <s v=""/>
    <s v="Confirmed"/>
    <m/>
    <x v="0"/>
    <x v="0"/>
    <s v=""/>
    <x v="2"/>
    <x v="0"/>
    <m/>
    <n v="0"/>
    <x v="0"/>
    <s v="N/A"/>
    <n v="1668954539.7630196"/>
  </r>
  <r>
    <x v="0"/>
    <x v="136"/>
    <x v="136"/>
    <x v="1"/>
    <x v="0"/>
    <x v="0"/>
    <x v="1"/>
    <x v="1"/>
    <s v="Multi-Year"/>
    <x v="1"/>
    <s v="N/A"/>
    <s v=""/>
    <s v="Confirmed"/>
    <m/>
    <x v="0"/>
    <x v="0"/>
    <s v=""/>
    <x v="1"/>
    <x v="1"/>
    <m/>
    <n v="0"/>
    <x v="0"/>
    <s v=""/>
    <n v="24840920016.18832"/>
  </r>
  <r>
    <x v="0"/>
    <x v="137"/>
    <x v="137"/>
    <x v="1"/>
    <x v="0"/>
    <x v="0"/>
    <x v="1"/>
    <x v="1"/>
    <s v="Multi-Year"/>
    <x v="1"/>
    <s v="N/A"/>
    <s v=""/>
    <s v="Confirmed"/>
    <m/>
    <x v="0"/>
    <x v="0"/>
    <s v=""/>
    <x v="1"/>
    <x v="1"/>
    <m/>
    <n v="0"/>
    <x v="0"/>
    <s v="N/A"/>
    <n v="487888462.83720118"/>
  </r>
  <r>
    <x v="0"/>
    <x v="138"/>
    <x v="138"/>
    <x v="6"/>
    <x v="0"/>
    <x v="0"/>
    <x v="1"/>
    <x v="1"/>
    <s v="Multi-Year"/>
    <x v="1"/>
    <s v="N/A"/>
    <n v="840000.00000000012"/>
    <s v="Confirmed"/>
    <m/>
    <x v="0"/>
    <x v="0"/>
    <s v="Approved"/>
    <x v="1"/>
    <x v="0"/>
    <m/>
    <n v="0"/>
    <x v="1"/>
    <s v="…"/>
    <n v="6365061.1736073596"/>
  </r>
  <r>
    <x v="0"/>
    <x v="139"/>
    <x v="139"/>
    <x v="3"/>
    <x v="0"/>
    <x v="0"/>
    <x v="1"/>
    <x v="1"/>
    <s v="Multi-Year"/>
    <x v="1"/>
    <s v="N/A"/>
    <s v=""/>
    <s v="Confirmed"/>
    <m/>
    <x v="0"/>
    <x v="0"/>
    <s v=""/>
    <x v="0"/>
    <x v="0"/>
    <m/>
    <n v="2"/>
    <x v="0"/>
    <s v="Low"/>
    <n v="291799092.90196139"/>
  </r>
  <r>
    <x v="0"/>
    <x v="140"/>
    <x v="140"/>
    <x v="1"/>
    <x v="0"/>
    <x v="0"/>
    <x v="1"/>
    <x v="1"/>
    <s v="Multi-Year"/>
    <x v="1"/>
    <s v="N/A"/>
    <s v=""/>
    <s v="Confirmed"/>
    <m/>
    <x v="0"/>
    <x v="0"/>
    <s v=""/>
    <x v="2"/>
    <x v="0"/>
    <m/>
    <n v="0"/>
    <x v="0"/>
    <s v="N/A"/>
    <n v="4844815340.2135534"/>
  </r>
  <r>
    <x v="0"/>
    <x v="141"/>
    <x v="141"/>
    <x v="4"/>
    <x v="0"/>
    <x v="0"/>
    <x v="1"/>
    <x v="1"/>
    <s v="Multi-Year"/>
    <x v="1"/>
    <s v="N/A"/>
    <s v=""/>
    <s v="Confirmed"/>
    <m/>
    <x v="0"/>
    <x v="0"/>
    <s v=""/>
    <x v="3"/>
    <x v="1"/>
    <m/>
    <n v="0"/>
    <x v="0"/>
    <s v=""/>
    <n v="4001891446.6871672"/>
  </r>
  <r>
    <x v="0"/>
    <x v="142"/>
    <x v="142"/>
    <x v="1"/>
    <x v="0"/>
    <x v="0"/>
    <x v="1"/>
    <x v="1"/>
    <s v="Multi-Year"/>
    <x v="1"/>
    <s v="N/A"/>
    <s v=""/>
    <s v="Confirmed"/>
    <m/>
    <x v="0"/>
    <x v="0"/>
    <s v=""/>
    <x v="2"/>
    <x v="0"/>
    <m/>
    <n v="0"/>
    <x v="0"/>
    <s v="Low"/>
    <n v="1019800630.5853213"/>
  </r>
  <r>
    <x v="0"/>
    <x v="143"/>
    <x v="143"/>
    <x v="6"/>
    <x v="0"/>
    <x v="0"/>
    <x v="1"/>
    <x v="1"/>
    <s v="Multi-Year"/>
    <x v="1"/>
    <s v="N/A"/>
    <n v="1610000"/>
    <s v="Confirmed"/>
    <m/>
    <x v="0"/>
    <x v="0"/>
    <s v="Approved"/>
    <x v="2"/>
    <x v="0"/>
    <m/>
    <n v="0"/>
    <x v="1"/>
    <s v="Moderate"/>
    <n v="19578671.310841195"/>
  </r>
  <r>
    <x v="0"/>
    <x v="144"/>
    <x v="144"/>
    <x v="4"/>
    <x v="0"/>
    <x v="0"/>
    <x v="1"/>
    <x v="1"/>
    <s v="Multi-Year"/>
    <x v="1"/>
    <s v="N/A"/>
    <s v=""/>
    <s v="Confirmed"/>
    <m/>
    <x v="0"/>
    <x v="0"/>
    <s v=""/>
    <x v="4"/>
    <x v="1"/>
    <m/>
    <n v="0"/>
    <x v="0"/>
    <s v="N/A"/>
    <n v="3551452001.0684834"/>
  </r>
  <r>
    <x v="0"/>
    <x v="145"/>
    <x v="145"/>
    <x v="6"/>
    <x v="0"/>
    <x v="0"/>
    <x v="1"/>
    <x v="1"/>
    <s v="Multi-Year"/>
    <x v="1"/>
    <s v="N/A"/>
    <s v=""/>
    <s v="Confirmed"/>
    <m/>
    <x v="0"/>
    <x v="0"/>
    <s v=""/>
    <x v="2"/>
    <x v="0"/>
    <m/>
    <n v="0"/>
    <x v="0"/>
    <s v="N/A"/>
    <n v="6603048821.7575006"/>
  </r>
  <r>
    <x v="0"/>
    <x v="146"/>
    <x v="146"/>
    <x v="2"/>
    <x v="0"/>
    <x v="0"/>
    <x v="1"/>
    <x v="1"/>
    <s v="Multi-Year"/>
    <x v="1"/>
    <s v="N/A"/>
    <s v=""/>
    <s v="Confirmed"/>
    <m/>
    <x v="0"/>
    <x v="0"/>
    <s v=""/>
    <x v="0"/>
    <x v="0"/>
    <m/>
    <n v="1"/>
    <x v="0"/>
    <s v="…"/>
    <s v=""/>
  </r>
  <r>
    <x v="0"/>
    <x v="147"/>
    <x v="147"/>
    <x v="3"/>
    <x v="0"/>
    <x v="0"/>
    <x v="1"/>
    <x v="1"/>
    <s v="Multi-Year"/>
    <x v="1"/>
    <s v="N/A"/>
    <s v=""/>
    <s v="Confirmed"/>
    <m/>
    <x v="0"/>
    <x v="0"/>
    <s v=""/>
    <x v="2"/>
    <x v="0"/>
    <m/>
    <n v="0"/>
    <x v="0"/>
    <s v="High"/>
    <n v="515352723.9821828"/>
  </r>
  <r>
    <x v="0"/>
    <x v="148"/>
    <x v="148"/>
    <x v="3"/>
    <x v="0"/>
    <x v="0"/>
    <x v="1"/>
    <x v="1"/>
    <s v="Multi-Year"/>
    <x v="1"/>
    <s v="N/A"/>
    <s v=""/>
    <s v="Confirmed"/>
    <m/>
    <x v="0"/>
    <x v="0"/>
    <s v=""/>
    <x v="2"/>
    <x v="0"/>
    <m/>
    <n v="0"/>
    <x v="0"/>
    <s v="N/A"/>
    <n v="566711742.22428358"/>
  </r>
  <r>
    <x v="0"/>
    <x v="0"/>
    <x v="0"/>
    <x v="0"/>
    <x v="0"/>
    <x v="0"/>
    <x v="1"/>
    <x v="1"/>
    <s v="Multi-Year"/>
    <x v="2"/>
    <s v="N/A"/>
    <n v="4807692.3076923136"/>
    <s v="Confirmed"/>
    <m/>
    <x v="0"/>
    <x v="0"/>
    <s v="Approved"/>
    <x v="0"/>
    <x v="0"/>
    <m/>
    <n v="1"/>
    <x v="0"/>
    <s v="High"/>
    <n v="95829480.719269618"/>
  </r>
  <r>
    <x v="0"/>
    <x v="1"/>
    <x v="1"/>
    <x v="1"/>
    <x v="0"/>
    <x v="0"/>
    <x v="1"/>
    <x v="1"/>
    <s v="Multi-Year"/>
    <x v="2"/>
    <s v="N/A"/>
    <s v=""/>
    <s v="Confirmed"/>
    <m/>
    <x v="0"/>
    <x v="0"/>
    <s v=""/>
    <x v="1"/>
    <x v="1"/>
    <m/>
    <n v="0"/>
    <x v="0"/>
    <s v=""/>
    <n v="427904035.52443534"/>
  </r>
  <r>
    <x v="0"/>
    <x v="2"/>
    <x v="2"/>
    <x v="2"/>
    <x v="0"/>
    <x v="0"/>
    <x v="1"/>
    <x v="1"/>
    <s v="Multi-Year"/>
    <x v="2"/>
    <s v="N/A"/>
    <s v=""/>
    <s v="Confirmed"/>
    <m/>
    <x v="0"/>
    <x v="0"/>
    <s v=""/>
    <x v="2"/>
    <x v="0"/>
    <m/>
    <n v="0"/>
    <x v="0"/>
    <s v="N/A"/>
    <n v="7113361022.7267885"/>
  </r>
  <r>
    <x v="0"/>
    <x v="3"/>
    <x v="3"/>
    <x v="3"/>
    <x v="0"/>
    <x v="0"/>
    <x v="1"/>
    <x v="1"/>
    <s v="Multi-Year"/>
    <x v="2"/>
    <s v="N/A"/>
    <s v=""/>
    <s v="Confirmed"/>
    <m/>
    <x v="0"/>
    <x v="0"/>
    <s v=""/>
    <x v="2"/>
    <x v="0"/>
    <m/>
    <n v="0"/>
    <x v="0"/>
    <s v="…"/>
    <n v="1131865946.5875781"/>
  </r>
  <r>
    <x v="0"/>
    <x v="4"/>
    <x v="4"/>
    <x v="4"/>
    <x v="0"/>
    <x v="0"/>
    <x v="1"/>
    <x v="1"/>
    <s v="Multi-Year"/>
    <x v="2"/>
    <s v="N/A"/>
    <s v=""/>
    <s v="Confirmed"/>
    <m/>
    <x v="0"/>
    <x v="0"/>
    <s v=""/>
    <x v="3"/>
    <x v="1"/>
    <m/>
    <n v="0"/>
    <x v="1"/>
    <s v=""/>
    <n v="46777779.823447868"/>
  </r>
  <r>
    <x v="0"/>
    <x v="5"/>
    <x v="5"/>
    <x v="4"/>
    <x v="0"/>
    <x v="0"/>
    <x v="1"/>
    <x v="1"/>
    <s v="Multi-Year"/>
    <x v="2"/>
    <s v="N/A"/>
    <s v=""/>
    <s v="Confirmed"/>
    <m/>
    <x v="0"/>
    <x v="0"/>
    <s v=""/>
    <x v="1"/>
    <x v="1"/>
    <m/>
    <n v="0"/>
    <x v="0"/>
    <s v=""/>
    <n v="30725305777.596794"/>
  </r>
  <r>
    <x v="0"/>
    <x v="6"/>
    <x v="6"/>
    <x v="1"/>
    <x v="0"/>
    <x v="0"/>
    <x v="1"/>
    <x v="1"/>
    <s v="Multi-Year"/>
    <x v="2"/>
    <s v="N/A"/>
    <s v=""/>
    <s v="Confirmed"/>
    <m/>
    <x v="0"/>
    <x v="0"/>
    <s v=""/>
    <x v="1"/>
    <x v="1"/>
    <m/>
    <n v="0"/>
    <x v="0"/>
    <s v=""/>
    <n v="153815827.8380394"/>
  </r>
  <r>
    <x v="0"/>
    <x v="7"/>
    <x v="7"/>
    <x v="1"/>
    <x v="0"/>
    <x v="0"/>
    <x v="1"/>
    <x v="1"/>
    <s v="Multi-Year"/>
    <x v="2"/>
    <s v="N/A"/>
    <s v=""/>
    <s v="Confirmed"/>
    <m/>
    <x v="0"/>
    <x v="0"/>
    <s v=""/>
    <x v="1"/>
    <x v="1"/>
    <m/>
    <n v="0"/>
    <x v="0"/>
    <s v="N/A"/>
    <n v="437525105.31216973"/>
  </r>
  <r>
    <x v="0"/>
    <x v="8"/>
    <x v="8"/>
    <x v="4"/>
    <x v="0"/>
    <x v="0"/>
    <x v="1"/>
    <x v="1"/>
    <s v="Multi-Year"/>
    <x v="2"/>
    <s v="N/A"/>
    <s v=""/>
    <s v="Confirmed"/>
    <m/>
    <x v="0"/>
    <x v="0"/>
    <s v=""/>
    <x v="3"/>
    <x v="1"/>
    <m/>
    <n v="0"/>
    <x v="1"/>
    <s v=""/>
    <n v="149463302.00602186"/>
  </r>
  <r>
    <x v="0"/>
    <x v="9"/>
    <x v="9"/>
    <x v="0"/>
    <x v="0"/>
    <x v="0"/>
    <x v="1"/>
    <x v="1"/>
    <s v="Multi-Year"/>
    <x v="2"/>
    <s v="N/A"/>
    <n v="46919999.999999963"/>
    <s v="Confirmed"/>
    <m/>
    <x v="0"/>
    <x v="0"/>
    <s v="Approved"/>
    <x v="2"/>
    <x v="0"/>
    <m/>
    <n v="0"/>
    <x v="0"/>
    <s v="Low"/>
    <n v="1148322593.9600098"/>
  </r>
  <r>
    <x v="0"/>
    <x v="10"/>
    <x v="10"/>
    <x v="1"/>
    <x v="0"/>
    <x v="0"/>
    <x v="1"/>
    <x v="1"/>
    <s v="Multi-Year"/>
    <x v="2"/>
    <s v="N/A"/>
    <s v=""/>
    <s v="Confirmed"/>
    <m/>
    <x v="0"/>
    <x v="0"/>
    <s v=""/>
    <x v="1"/>
    <x v="1"/>
    <m/>
    <n v="0"/>
    <x v="0"/>
    <s v=""/>
    <n v="2371102058.1093163"/>
  </r>
  <r>
    <x v="0"/>
    <x v="11"/>
    <x v="11"/>
    <x v="4"/>
    <x v="0"/>
    <x v="0"/>
    <x v="1"/>
    <x v="1"/>
    <s v="Multi-Year"/>
    <x v="2"/>
    <s v="N/A"/>
    <s v=""/>
    <s v="Confirmed"/>
    <m/>
    <x v="0"/>
    <x v="0"/>
    <s v=""/>
    <x v="2"/>
    <x v="1"/>
    <m/>
    <n v="0"/>
    <x v="1"/>
    <s v="N/A"/>
    <n v="75151620.005215243"/>
  </r>
  <r>
    <x v="0"/>
    <x v="12"/>
    <x v="12"/>
    <x v="5"/>
    <x v="0"/>
    <x v="0"/>
    <x v="1"/>
    <x v="1"/>
    <s v="Multi-Year"/>
    <x v="2"/>
    <s v="N/A"/>
    <s v=""/>
    <s v="Confirmed"/>
    <m/>
    <x v="0"/>
    <x v="0"/>
    <s v=""/>
    <x v="2"/>
    <x v="0"/>
    <m/>
    <n v="0"/>
    <x v="0"/>
    <s v="Moderate"/>
    <n v="69958487.197715744"/>
  </r>
  <r>
    <x v="0"/>
    <x v="13"/>
    <x v="13"/>
    <x v="0"/>
    <x v="0"/>
    <x v="0"/>
    <x v="1"/>
    <x v="1"/>
    <s v="Multi-Year"/>
    <x v="2"/>
    <s v="N/A"/>
    <n v="0"/>
    <s v="Confirmed"/>
    <m/>
    <x v="0"/>
    <x v="0"/>
    <s v="Under Preparation"/>
    <x v="2"/>
    <x v="0"/>
    <m/>
    <n v="0"/>
    <x v="0"/>
    <s v="…"/>
    <n v="61654608.560629159"/>
  </r>
  <r>
    <x v="0"/>
    <x v="14"/>
    <x v="14"/>
    <x v="4"/>
    <x v="0"/>
    <x v="0"/>
    <x v="1"/>
    <x v="1"/>
    <s v="Multi-Year"/>
    <x v="2"/>
    <s v="N/A"/>
    <s v=""/>
    <s v="Confirmed"/>
    <m/>
    <x v="0"/>
    <x v="0"/>
    <s v=""/>
    <x v="2"/>
    <x v="0"/>
    <m/>
    <n v="0"/>
    <x v="0"/>
    <s v="N/A"/>
    <n v="1806638707.7615163"/>
  </r>
  <r>
    <x v="0"/>
    <x v="15"/>
    <x v="15"/>
    <x v="1"/>
    <x v="0"/>
    <x v="0"/>
    <x v="1"/>
    <x v="1"/>
    <s v="Multi-Year"/>
    <x v="2"/>
    <s v="N/A"/>
    <s v=""/>
    <s v="Confirmed"/>
    <m/>
    <x v="0"/>
    <x v="0"/>
    <s v=""/>
    <x v="1"/>
    <x v="1"/>
    <m/>
    <n v="0"/>
    <x v="0"/>
    <s v="N/A"/>
    <n v="1252696525.0627904"/>
  </r>
  <r>
    <x v="0"/>
    <x v="16"/>
    <x v="16"/>
    <x v="3"/>
    <x v="0"/>
    <x v="0"/>
    <x v="1"/>
    <x v="1"/>
    <s v="Multi-Year"/>
    <x v="2"/>
    <s v="N/A"/>
    <s v=""/>
    <s v="Confirmed"/>
    <m/>
    <x v="0"/>
    <x v="0"/>
    <s v=""/>
    <x v="1"/>
    <x v="1"/>
    <m/>
    <n v="0"/>
    <x v="0"/>
    <s v=""/>
    <n v="843425084.07334602"/>
  </r>
  <r>
    <x v="0"/>
    <x v="17"/>
    <x v="17"/>
    <x v="4"/>
    <x v="0"/>
    <x v="0"/>
    <x v="1"/>
    <x v="1"/>
    <s v="Multi-Year"/>
    <x v="2"/>
    <s v="N/A"/>
    <s v=""/>
    <s v="Confirmed"/>
    <m/>
    <x v="0"/>
    <x v="0"/>
    <s v=""/>
    <x v="1"/>
    <x v="1"/>
    <m/>
    <n v="0"/>
    <x v="0"/>
    <s v="N/A"/>
    <n v="74055620038.853683"/>
  </r>
  <r>
    <x v="0"/>
    <x v="18"/>
    <x v="18"/>
    <x v="1"/>
    <x v="0"/>
    <x v="0"/>
    <x v="1"/>
    <x v="1"/>
    <s v="Multi-Year"/>
    <x v="2"/>
    <s v="N/A"/>
    <s v=""/>
    <s v="Confirmed"/>
    <m/>
    <x v="0"/>
    <x v="0"/>
    <s v=""/>
    <x v="1"/>
    <x v="1"/>
    <m/>
    <n v="0"/>
    <x v="0"/>
    <s v=""/>
    <n v="2803357765.5888777"/>
  </r>
  <r>
    <x v="0"/>
    <x v="19"/>
    <x v="19"/>
    <x v="5"/>
    <x v="0"/>
    <x v="0"/>
    <x v="1"/>
    <x v="1"/>
    <s v="Multi-Year"/>
    <x v="2"/>
    <s v="N/A"/>
    <s v=""/>
    <s v="Confirmed"/>
    <m/>
    <x v="0"/>
    <x v="0"/>
    <s v=""/>
    <x v="0"/>
    <x v="0"/>
    <m/>
    <n v="2"/>
    <x v="0"/>
    <s v="Moderate"/>
    <n v="337927779.25510043"/>
  </r>
  <r>
    <x v="0"/>
    <x v="20"/>
    <x v="20"/>
    <x v="3"/>
    <x v="0"/>
    <x v="0"/>
    <x v="1"/>
    <x v="1"/>
    <s v="Multi-Year"/>
    <x v="2"/>
    <s v="N/A"/>
    <s v=""/>
    <s v="Confirmed"/>
    <m/>
    <x v="0"/>
    <x v="0"/>
    <s v=""/>
    <x v="0"/>
    <x v="0"/>
    <m/>
    <n v="2"/>
    <x v="0"/>
    <s v="…"/>
    <n v="65979512.47399316"/>
  </r>
  <r>
    <x v="0"/>
    <x v="21"/>
    <x v="21"/>
    <x v="5"/>
    <x v="0"/>
    <x v="0"/>
    <x v="1"/>
    <x v="1"/>
    <s v="Multi-Year"/>
    <x v="2"/>
    <s v="N/A"/>
    <s v=""/>
    <s v="Confirmed"/>
    <m/>
    <x v="0"/>
    <x v="0"/>
    <s v=""/>
    <x v="2"/>
    <x v="0"/>
    <m/>
    <n v="0"/>
    <x v="1"/>
    <s v="High"/>
    <n v="63748362.778827004"/>
  </r>
  <r>
    <x v="0"/>
    <x v="22"/>
    <x v="22"/>
    <x v="6"/>
    <x v="0"/>
    <x v="0"/>
    <x v="1"/>
    <x v="1"/>
    <s v="Multi-Year"/>
    <x v="2"/>
    <s v="N/A"/>
    <n v="0"/>
    <s v="Confirmed"/>
    <m/>
    <x v="0"/>
    <x v="0"/>
    <s v="Under Preparation"/>
    <x v="2"/>
    <x v="0"/>
    <m/>
    <n v="0"/>
    <x v="0"/>
    <s v="Low"/>
    <n v="313039649.45369786"/>
  </r>
  <r>
    <x v="0"/>
    <x v="23"/>
    <x v="23"/>
    <x v="5"/>
    <x v="0"/>
    <x v="0"/>
    <x v="1"/>
    <x v="1"/>
    <s v="Multi-Year"/>
    <x v="2"/>
    <s v="N/A"/>
    <s v=""/>
    <s v="Confirmed"/>
    <m/>
    <x v="0"/>
    <x v="0"/>
    <s v=""/>
    <x v="2"/>
    <x v="0"/>
    <m/>
    <n v="2"/>
    <x v="0"/>
    <s v="High"/>
    <n v="81361801.477472037"/>
  </r>
  <r>
    <x v="0"/>
    <x v="24"/>
    <x v="24"/>
    <x v="5"/>
    <x v="0"/>
    <x v="0"/>
    <x v="1"/>
    <x v="1"/>
    <s v="Multi-Year"/>
    <x v="2"/>
    <s v="N/A"/>
    <s v=""/>
    <s v="Confirmed"/>
    <m/>
    <x v="0"/>
    <x v="0"/>
    <s v=""/>
    <x v="0"/>
    <x v="0"/>
    <m/>
    <n v="1"/>
    <x v="0"/>
    <s v="High"/>
    <s v=""/>
  </r>
  <r>
    <x v="0"/>
    <x v="25"/>
    <x v="25"/>
    <x v="5"/>
    <x v="0"/>
    <x v="0"/>
    <x v="1"/>
    <x v="1"/>
    <s v="Multi-Year"/>
    <x v="2"/>
    <s v="N/A"/>
    <s v=""/>
    <s v="Confirmed"/>
    <m/>
    <x v="0"/>
    <x v="0"/>
    <s v=""/>
    <x v="0"/>
    <x v="0"/>
    <m/>
    <n v="1"/>
    <x v="0"/>
    <s v="High"/>
    <n v="76939306.715636879"/>
  </r>
  <r>
    <x v="0"/>
    <x v="26"/>
    <x v="26"/>
    <x v="4"/>
    <x v="0"/>
    <x v="0"/>
    <x v="1"/>
    <x v="1"/>
    <s v="Multi-Year"/>
    <x v="2"/>
    <s v="N/A"/>
    <s v=""/>
    <s v="Confirmed"/>
    <m/>
    <x v="0"/>
    <x v="0"/>
    <s v=""/>
    <x v="3"/>
    <x v="1"/>
    <m/>
    <n v="0"/>
    <x v="0"/>
    <s v=""/>
    <n v="13859708717.682571"/>
  </r>
  <r>
    <x v="0"/>
    <x v="27"/>
    <x v="27"/>
    <x v="6"/>
    <x v="0"/>
    <x v="0"/>
    <x v="1"/>
    <x v="1"/>
    <s v="Multi-Year"/>
    <x v="2"/>
    <s v="N/A"/>
    <s v=""/>
    <s v="Confirmed"/>
    <m/>
    <x v="0"/>
    <x v="0"/>
    <s v=""/>
    <x v="1"/>
    <x v="1"/>
    <m/>
    <n v="0"/>
    <x v="0"/>
    <s v=""/>
    <n v="403567160707.7016"/>
  </r>
  <r>
    <x v="0"/>
    <x v="28"/>
    <x v="28"/>
    <x v="4"/>
    <x v="0"/>
    <x v="0"/>
    <x v="1"/>
    <x v="1"/>
    <s v="Multi-Year"/>
    <x v="2"/>
    <s v="N/A"/>
    <s v=""/>
    <s v="Confirmed"/>
    <m/>
    <x v="0"/>
    <x v="0"/>
    <s v=""/>
    <x v="1"/>
    <x v="1"/>
    <m/>
    <n v="0"/>
    <x v="0"/>
    <s v=""/>
    <n v="18250225995.972618"/>
  </r>
  <r>
    <x v="0"/>
    <x v="29"/>
    <x v="29"/>
    <x v="3"/>
    <x v="0"/>
    <x v="0"/>
    <x v="1"/>
    <x v="1"/>
    <s v="Multi-Year"/>
    <x v="2"/>
    <s v="N/A"/>
    <s v=""/>
    <s v="Confirmed"/>
    <m/>
    <x v="0"/>
    <x v="0"/>
    <s v=""/>
    <x v="2"/>
    <x v="0"/>
    <m/>
    <n v="0"/>
    <x v="1"/>
    <s v="Moderate"/>
    <n v="5027591.1682657599"/>
  </r>
  <r>
    <x v="0"/>
    <x v="30"/>
    <x v="30"/>
    <x v="5"/>
    <x v="0"/>
    <x v="0"/>
    <x v="1"/>
    <x v="1"/>
    <s v="Multi-Year"/>
    <x v="2"/>
    <s v="N/A"/>
    <s v=""/>
    <s v="Confirmed"/>
    <m/>
    <x v="0"/>
    <x v="0"/>
    <s v=""/>
    <x v="0"/>
    <x v="0"/>
    <m/>
    <n v="3"/>
    <x v="0"/>
    <s v="Moderate"/>
    <n v="234645958.63289919"/>
  </r>
  <r>
    <x v="0"/>
    <x v="31"/>
    <x v="31"/>
    <x v="5"/>
    <x v="0"/>
    <x v="0"/>
    <x v="1"/>
    <x v="1"/>
    <s v="Multi-Year"/>
    <x v="2"/>
    <s v="N/A"/>
    <s v=""/>
    <s v="Confirmed"/>
    <m/>
    <x v="0"/>
    <x v="0"/>
    <s v=""/>
    <x v="2"/>
    <x v="0"/>
    <m/>
    <n v="2"/>
    <x v="0"/>
    <s v="In distress"/>
    <n v="91590910.247314155"/>
  </r>
  <r>
    <x v="0"/>
    <x v="32"/>
    <x v="32"/>
    <x v="6"/>
    <x v="0"/>
    <x v="0"/>
    <x v="1"/>
    <x v="1"/>
    <s v="Multi-Year"/>
    <x v="2"/>
    <s v="N/A"/>
    <s v=""/>
    <s v="Confirmed"/>
    <m/>
    <x v="0"/>
    <x v="0"/>
    <s v=""/>
    <x v="4"/>
    <x v="1"/>
    <m/>
    <n v="0"/>
    <x v="1"/>
    <s v="N/A"/>
    <n v="8560012.8840167802"/>
  </r>
  <r>
    <x v="0"/>
    <x v="33"/>
    <x v="33"/>
    <x v="4"/>
    <x v="0"/>
    <x v="0"/>
    <x v="1"/>
    <x v="1"/>
    <s v="Multi-Year"/>
    <x v="2"/>
    <s v="N/A"/>
    <s v=""/>
    <s v="Confirmed"/>
    <m/>
    <x v="0"/>
    <x v="0"/>
    <s v=""/>
    <x v="1"/>
    <x v="1"/>
    <m/>
    <n v="0"/>
    <x v="0"/>
    <s v="N/A"/>
    <n v="3292372960.3962669"/>
  </r>
  <r>
    <x v="0"/>
    <x v="34"/>
    <x v="34"/>
    <x v="5"/>
    <x v="0"/>
    <x v="0"/>
    <x v="1"/>
    <x v="1"/>
    <s v="Multi-Year"/>
    <x v="2"/>
    <s v="N/A"/>
    <s v=""/>
    <s v="Confirmed"/>
    <m/>
    <x v="0"/>
    <x v="0"/>
    <s v=""/>
    <x v="2"/>
    <x v="0"/>
    <m/>
    <n v="0"/>
    <x v="0"/>
    <s v="Moderate"/>
    <n v="519209981.22981054"/>
  </r>
  <r>
    <x v="0"/>
    <x v="35"/>
    <x v="35"/>
    <x v="1"/>
    <x v="0"/>
    <x v="0"/>
    <x v="1"/>
    <x v="1"/>
    <s v="Multi-Year"/>
    <x v="2"/>
    <s v="N/A"/>
    <s v=""/>
    <s v="Confirmed"/>
    <m/>
    <x v="0"/>
    <x v="0"/>
    <s v=""/>
    <x v="3"/>
    <x v="1"/>
    <m/>
    <n v="0"/>
    <x v="0"/>
    <s v=""/>
    <n v="3464739907.1604805"/>
  </r>
  <r>
    <x v="0"/>
    <x v="36"/>
    <x v="36"/>
    <x v="4"/>
    <x v="0"/>
    <x v="0"/>
    <x v="1"/>
    <x v="1"/>
    <s v="Multi-Year"/>
    <x v="2"/>
    <s v="N/A"/>
    <s v=""/>
    <s v="Confirmed"/>
    <m/>
    <x v="0"/>
    <x v="0"/>
    <s v=""/>
    <x v="1"/>
    <x v="1"/>
    <m/>
    <n v="0"/>
    <x v="1"/>
    <s v=""/>
    <n v="9948521252.2569065"/>
  </r>
  <r>
    <x v="0"/>
    <x v="37"/>
    <x v="37"/>
    <x v="2"/>
    <x v="0"/>
    <x v="0"/>
    <x v="1"/>
    <x v="1"/>
    <s v="Multi-Year"/>
    <x v="2"/>
    <s v="N/A"/>
    <s v=""/>
    <s v="Confirmed"/>
    <m/>
    <x v="0"/>
    <x v="0"/>
    <s v=""/>
    <x v="2"/>
    <x v="0"/>
    <m/>
    <n v="1"/>
    <x v="0"/>
    <s v="High"/>
    <n v="33679192.765657313"/>
  </r>
  <r>
    <x v="0"/>
    <x v="38"/>
    <x v="38"/>
    <x v="4"/>
    <x v="0"/>
    <x v="0"/>
    <x v="1"/>
    <x v="1"/>
    <s v="Multi-Year"/>
    <x v="2"/>
    <s v="N/A"/>
    <s v=""/>
    <s v="Confirmed"/>
    <m/>
    <x v="0"/>
    <x v="0"/>
    <s v=""/>
    <x v="1"/>
    <x v="0"/>
    <m/>
    <n v="0"/>
    <x v="1"/>
    <s v="…"/>
    <n v="22784494.365742501"/>
  </r>
  <r>
    <x v="0"/>
    <x v="39"/>
    <x v="39"/>
    <x v="4"/>
    <x v="0"/>
    <x v="0"/>
    <x v="1"/>
    <x v="1"/>
    <s v="Multi-Year"/>
    <x v="2"/>
    <s v="N/A"/>
    <s v=""/>
    <s v="Confirmed"/>
    <m/>
    <x v="0"/>
    <x v="0"/>
    <s v=""/>
    <x v="1"/>
    <x v="1"/>
    <m/>
    <n v="0"/>
    <x v="1"/>
    <s v=""/>
    <n v="2173208011.4858823"/>
  </r>
  <r>
    <x v="0"/>
    <x v="40"/>
    <x v="40"/>
    <x v="4"/>
    <x v="0"/>
    <x v="0"/>
    <x v="1"/>
    <x v="1"/>
    <s v="Multi-Year"/>
    <x v="2"/>
    <s v="N/A"/>
    <s v=""/>
    <s v="Confirmed"/>
    <m/>
    <x v="0"/>
    <x v="0"/>
    <s v=""/>
    <x v="1"/>
    <x v="1"/>
    <m/>
    <n v="0"/>
    <x v="0"/>
    <s v="N/A"/>
    <n v="4585736158.8323269"/>
  </r>
  <r>
    <x v="0"/>
    <x v="41"/>
    <x v="41"/>
    <x v="2"/>
    <x v="0"/>
    <x v="0"/>
    <x v="1"/>
    <x v="1"/>
    <s v="Multi-Year"/>
    <x v="2"/>
    <s v="N/A"/>
    <s v=""/>
    <s v="Confirmed"/>
    <m/>
    <x v="0"/>
    <x v="0"/>
    <s v=""/>
    <x v="2"/>
    <x v="0"/>
    <m/>
    <n v="0"/>
    <x v="0"/>
    <s v="N/A"/>
    <n v="3550291584.8645592"/>
  </r>
  <r>
    <x v="0"/>
    <x v="42"/>
    <x v="42"/>
    <x v="4"/>
    <x v="0"/>
    <x v="0"/>
    <x v="1"/>
    <x v="1"/>
    <s v="Multi-Year"/>
    <x v="2"/>
    <s v="N/A"/>
    <s v=""/>
    <s v="Confirmed"/>
    <m/>
    <x v="0"/>
    <x v="0"/>
    <s v=""/>
    <x v="2"/>
    <x v="0"/>
    <m/>
    <n v="0"/>
    <x v="0"/>
    <s v="N/A"/>
    <n v="1182840319.0410969"/>
  </r>
  <r>
    <x v="0"/>
    <x v="43"/>
    <x v="43"/>
    <x v="4"/>
    <x v="0"/>
    <x v="0"/>
    <x v="1"/>
    <x v="1"/>
    <s v="Multi-Year"/>
    <x v="2"/>
    <s v="N/A"/>
    <s v=""/>
    <s v="Confirmed"/>
    <m/>
    <x v="0"/>
    <x v="0"/>
    <s v=""/>
    <x v="1"/>
    <x v="1"/>
    <m/>
    <n v="0"/>
    <x v="0"/>
    <s v=""/>
    <n v="81728347.604567245"/>
  </r>
  <r>
    <x v="0"/>
    <x v="44"/>
    <x v="44"/>
    <x v="3"/>
    <x v="0"/>
    <x v="0"/>
    <x v="1"/>
    <x v="1"/>
    <s v="Multi-Year"/>
    <x v="2"/>
    <s v="N/A"/>
    <s v=""/>
    <s v="Confirmed"/>
    <m/>
    <x v="0"/>
    <x v="0"/>
    <s v=""/>
    <x v="0"/>
    <x v="0"/>
    <m/>
    <n v="2"/>
    <x v="0"/>
    <s v="N/A"/>
    <n v="12787914.977715338"/>
  </r>
  <r>
    <x v="0"/>
    <x v="45"/>
    <x v="45"/>
    <x v="3"/>
    <x v="0"/>
    <x v="0"/>
    <x v="1"/>
    <x v="1"/>
    <s v="Multi-Year"/>
    <x v="2"/>
    <s v="N/A"/>
    <s v=""/>
    <s v="Confirmed"/>
    <m/>
    <x v="0"/>
    <x v="0"/>
    <s v=""/>
    <x v="2"/>
    <x v="0"/>
    <m/>
    <n v="2"/>
    <x v="0"/>
    <s v="N/A"/>
    <n v="101271737.65410839"/>
  </r>
  <r>
    <x v="0"/>
    <x v="46"/>
    <x v="46"/>
    <x v="3"/>
    <x v="0"/>
    <x v="0"/>
    <x v="1"/>
    <x v="1"/>
    <s v="Multi-Year"/>
    <x v="2"/>
    <s v="N/A"/>
    <s v=""/>
    <s v="Confirmed"/>
    <m/>
    <x v="0"/>
    <x v="0"/>
    <s v=""/>
    <x v="0"/>
    <x v="0"/>
    <m/>
    <n v="3"/>
    <x v="0"/>
    <s v="High"/>
    <n v="618344226.71759331"/>
  </r>
  <r>
    <x v="0"/>
    <x v="47"/>
    <x v="47"/>
    <x v="6"/>
    <x v="0"/>
    <x v="0"/>
    <x v="1"/>
    <x v="1"/>
    <s v="Multi-Year"/>
    <x v="2"/>
    <s v="N/A"/>
    <s v=""/>
    <s v="Confirmed"/>
    <m/>
    <x v="0"/>
    <x v="0"/>
    <s v=""/>
    <x v="1"/>
    <x v="0"/>
    <m/>
    <n v="0"/>
    <x v="1"/>
    <s v="…"/>
    <n v="129483872.95906857"/>
  </r>
  <r>
    <x v="0"/>
    <x v="48"/>
    <x v="48"/>
    <x v="5"/>
    <x v="0"/>
    <x v="0"/>
    <x v="1"/>
    <x v="1"/>
    <s v="Multi-Year"/>
    <x v="2"/>
    <s v="N/A"/>
    <s v=""/>
    <s v="Confirmed"/>
    <m/>
    <x v="0"/>
    <x v="0"/>
    <s v=""/>
    <x v="1"/>
    <x v="1"/>
    <m/>
    <n v="0"/>
    <x v="0"/>
    <s v="N/A"/>
    <n v="271184658.35014349"/>
  </r>
  <r>
    <x v="0"/>
    <x v="49"/>
    <x v="49"/>
    <x v="5"/>
    <x v="0"/>
    <x v="0"/>
    <x v="1"/>
    <x v="1"/>
    <s v="Multi-Year"/>
    <x v="2"/>
    <s v="N/A"/>
    <s v=""/>
    <s v="Confirmed"/>
    <m/>
    <x v="0"/>
    <x v="0"/>
    <s v=""/>
    <x v="0"/>
    <x v="0"/>
    <m/>
    <n v="0"/>
    <x v="0"/>
    <s v="High"/>
    <n v="15455265.086884515"/>
  </r>
  <r>
    <x v="0"/>
    <x v="50"/>
    <x v="50"/>
    <x v="1"/>
    <x v="0"/>
    <x v="0"/>
    <x v="1"/>
    <x v="1"/>
    <s v="Multi-Year"/>
    <x v="2"/>
    <s v="N/A"/>
    <n v="2370000"/>
    <s v="Confirmed"/>
    <m/>
    <x v="0"/>
    <x v="0"/>
    <s v="Approved"/>
    <x v="1"/>
    <x v="1"/>
    <m/>
    <n v="0"/>
    <x v="0"/>
    <s v="N/A"/>
    <n v="494021502.525527"/>
  </r>
  <r>
    <x v="0"/>
    <x v="51"/>
    <x v="51"/>
    <x v="5"/>
    <x v="0"/>
    <x v="0"/>
    <x v="1"/>
    <x v="1"/>
    <s v="Multi-Year"/>
    <x v="2"/>
    <s v="N/A"/>
    <s v=""/>
    <s v="Confirmed"/>
    <m/>
    <x v="0"/>
    <x v="0"/>
    <s v=""/>
    <x v="2"/>
    <x v="0"/>
    <m/>
    <n v="0"/>
    <x v="0"/>
    <s v="High"/>
    <n v="902005621.73836684"/>
  </r>
  <r>
    <x v="0"/>
    <x v="52"/>
    <x v="52"/>
    <x v="4"/>
    <x v="0"/>
    <x v="0"/>
    <x v="1"/>
    <x v="1"/>
    <s v="Multi-Year"/>
    <x v="2"/>
    <s v="N/A"/>
    <s v=""/>
    <s v="Confirmed"/>
    <m/>
    <x v="0"/>
    <x v="0"/>
    <s v=""/>
    <x v="1"/>
    <x v="0"/>
    <m/>
    <n v="0"/>
    <x v="1"/>
    <s v="In distress"/>
    <n v="20201670.142996579"/>
  </r>
  <r>
    <x v="0"/>
    <x v="53"/>
    <x v="53"/>
    <x v="4"/>
    <x v="0"/>
    <x v="0"/>
    <x v="1"/>
    <x v="1"/>
    <s v="Multi-Year"/>
    <x v="2"/>
    <s v="N/A"/>
    <s v=""/>
    <s v="Confirmed"/>
    <m/>
    <x v="0"/>
    <x v="0"/>
    <s v=""/>
    <x v="1"/>
    <x v="1"/>
    <m/>
    <n v="0"/>
    <x v="0"/>
    <s v=""/>
    <n v="1612434649.6948864"/>
  </r>
  <r>
    <x v="0"/>
    <x v="54"/>
    <x v="54"/>
    <x v="5"/>
    <x v="0"/>
    <x v="0"/>
    <x v="1"/>
    <x v="1"/>
    <s v="Multi-Year"/>
    <x v="2"/>
    <s v="N/A"/>
    <s v=""/>
    <s v="Confirmed"/>
    <m/>
    <x v="0"/>
    <x v="0"/>
    <s v=""/>
    <x v="0"/>
    <x v="0"/>
    <m/>
    <n v="0"/>
    <x v="0"/>
    <s v="Moderate"/>
    <n v="78203134.118229344"/>
  </r>
  <r>
    <x v="0"/>
    <x v="55"/>
    <x v="55"/>
    <x v="5"/>
    <x v="0"/>
    <x v="0"/>
    <x v="1"/>
    <x v="1"/>
    <s v="Multi-Year"/>
    <x v="2"/>
    <s v="N/A"/>
    <s v=""/>
    <s v="Confirmed"/>
    <m/>
    <x v="0"/>
    <x v="0"/>
    <s v=""/>
    <x v="0"/>
    <x v="0"/>
    <m/>
    <n v="2"/>
    <x v="1"/>
    <s v="High"/>
    <n v="9151637.7411015611"/>
  </r>
  <r>
    <x v="0"/>
    <x v="56"/>
    <x v="56"/>
    <x v="4"/>
    <x v="0"/>
    <x v="0"/>
    <x v="1"/>
    <x v="1"/>
    <s v="Multi-Year"/>
    <x v="2"/>
    <s v="N/A"/>
    <s v=""/>
    <s v="Confirmed"/>
    <m/>
    <x v="0"/>
    <x v="0"/>
    <s v=""/>
    <x v="1"/>
    <x v="0"/>
    <m/>
    <n v="0"/>
    <x v="1"/>
    <s v="Moderate"/>
    <n v="142455920.02856269"/>
  </r>
  <r>
    <x v="0"/>
    <x v="57"/>
    <x v="57"/>
    <x v="4"/>
    <x v="0"/>
    <x v="0"/>
    <x v="1"/>
    <x v="1"/>
    <s v="Multi-Year"/>
    <x v="2"/>
    <s v="N/A"/>
    <s v=""/>
    <s v="Confirmed"/>
    <m/>
    <x v="0"/>
    <x v="0"/>
    <s v=""/>
    <x v="2"/>
    <x v="0"/>
    <m/>
    <n v="1"/>
    <x v="1"/>
    <s v="High"/>
    <n v="85611818.171245083"/>
  </r>
  <r>
    <x v="0"/>
    <x v="58"/>
    <x v="58"/>
    <x v="4"/>
    <x v="0"/>
    <x v="0"/>
    <x v="1"/>
    <x v="1"/>
    <s v="Multi-Year"/>
    <x v="2"/>
    <s v="N/A"/>
    <s v=""/>
    <s v="Confirmed"/>
    <m/>
    <x v="0"/>
    <x v="0"/>
    <s v=""/>
    <x v="2"/>
    <x v="0"/>
    <m/>
    <n v="0"/>
    <x v="0"/>
    <s v="Low"/>
    <n v="680289736.30082119"/>
  </r>
  <r>
    <x v="0"/>
    <x v="59"/>
    <x v="59"/>
    <x v="0"/>
    <x v="0"/>
    <x v="0"/>
    <x v="1"/>
    <x v="1"/>
    <s v="Multi-Year"/>
    <x v="2"/>
    <s v="N/A"/>
    <n v="0"/>
    <s v="Confirmed"/>
    <m/>
    <x v="0"/>
    <x v="0"/>
    <s v="Approved"/>
    <x v="2"/>
    <x v="0"/>
    <m/>
    <n v="0"/>
    <x v="0"/>
    <s v="N/A"/>
    <n v="26554332750.47023"/>
  </r>
  <r>
    <x v="0"/>
    <x v="60"/>
    <x v="60"/>
    <x v="6"/>
    <x v="0"/>
    <x v="0"/>
    <x v="1"/>
    <x v="1"/>
    <s v="Multi-Year"/>
    <x v="2"/>
    <s v="N/A"/>
    <n v="4730000.0000000186"/>
    <s v="Confirmed"/>
    <m/>
    <x v="0"/>
    <x v="0"/>
    <s v="Approved"/>
    <x v="2"/>
    <x v="0"/>
    <m/>
    <n v="0"/>
    <x v="0"/>
    <s v="N/A"/>
    <n v="14745961064.890842"/>
  </r>
  <r>
    <x v="0"/>
    <x v="61"/>
    <x v="61"/>
    <x v="2"/>
    <x v="0"/>
    <x v="0"/>
    <x v="1"/>
    <x v="1"/>
    <s v="Multi-Year"/>
    <x v="2"/>
    <s v="N/A"/>
    <s v=""/>
    <s v="Confirmed"/>
    <m/>
    <x v="0"/>
    <x v="0"/>
    <s v=""/>
    <x v="2"/>
    <x v="1"/>
    <m/>
    <n v="0"/>
    <x v="0"/>
    <s v="N/A"/>
    <n v="18194076299.786381"/>
  </r>
  <r>
    <x v="0"/>
    <x v="62"/>
    <x v="62"/>
    <x v="2"/>
    <x v="0"/>
    <x v="0"/>
    <x v="1"/>
    <x v="1"/>
    <s v="Multi-Year"/>
    <x v="2"/>
    <s v="N/A"/>
    <s v=""/>
    <s v="Confirmed"/>
    <m/>
    <x v="0"/>
    <x v="0"/>
    <s v=""/>
    <x v="1"/>
    <x v="1"/>
    <m/>
    <n v="0"/>
    <x v="0"/>
    <s v="N/A"/>
    <n v="4428819387.769825"/>
  </r>
  <r>
    <x v="0"/>
    <x v="63"/>
    <x v="63"/>
    <x v="4"/>
    <x v="0"/>
    <x v="0"/>
    <x v="1"/>
    <x v="1"/>
    <s v="Multi-Year"/>
    <x v="2"/>
    <s v="N/A"/>
    <s v=""/>
    <s v="Confirmed"/>
    <m/>
    <x v="0"/>
    <x v="0"/>
    <s v=""/>
    <x v="1"/>
    <x v="1"/>
    <m/>
    <n v="0"/>
    <x v="1"/>
    <s v=""/>
    <n v="611739560.62679195"/>
  </r>
  <r>
    <x v="0"/>
    <x v="64"/>
    <x v="64"/>
    <x v="2"/>
    <x v="0"/>
    <x v="0"/>
    <x v="1"/>
    <x v="1"/>
    <s v="Multi-Year"/>
    <x v="2"/>
    <s v="N/A"/>
    <s v=""/>
    <s v="Confirmed"/>
    <m/>
    <x v="0"/>
    <x v="0"/>
    <s v=""/>
    <x v="1"/>
    <x v="1"/>
    <m/>
    <n v="0"/>
    <x v="0"/>
    <s v="N/A"/>
    <n v="1617913383.0481031"/>
  </r>
  <r>
    <x v="0"/>
    <x v="65"/>
    <x v="65"/>
    <x v="1"/>
    <x v="0"/>
    <x v="0"/>
    <x v="1"/>
    <x v="1"/>
    <s v="Multi-Year"/>
    <x v="2"/>
    <s v="N/A"/>
    <s v=""/>
    <s v="Confirmed"/>
    <m/>
    <x v="0"/>
    <x v="0"/>
    <s v=""/>
    <x v="1"/>
    <x v="1"/>
    <m/>
    <n v="0"/>
    <x v="0"/>
    <s v=""/>
    <n v="3074419112.4562683"/>
  </r>
  <r>
    <x v="0"/>
    <x v="66"/>
    <x v="66"/>
    <x v="3"/>
    <x v="0"/>
    <x v="0"/>
    <x v="1"/>
    <x v="1"/>
    <s v="Multi-Year"/>
    <x v="2"/>
    <s v="N/A"/>
    <s v=""/>
    <s v="Confirmed"/>
    <m/>
    <x v="0"/>
    <x v="0"/>
    <s v=""/>
    <x v="2"/>
    <x v="0"/>
    <m/>
    <n v="0"/>
    <x v="0"/>
    <s v="High"/>
    <n v="1914014279.8929913"/>
  </r>
  <r>
    <x v="0"/>
    <x v="67"/>
    <x v="67"/>
    <x v="6"/>
    <x v="0"/>
    <x v="0"/>
    <x v="1"/>
    <x v="1"/>
    <s v="Multi-Year"/>
    <x v="2"/>
    <s v="N/A"/>
    <s v=""/>
    <s v="Confirmed"/>
    <m/>
    <x v="0"/>
    <x v="0"/>
    <s v=""/>
    <x v="2"/>
    <x v="0"/>
    <m/>
    <n v="0"/>
    <x v="1"/>
    <s v="High"/>
    <n v="17422005.762907442"/>
  </r>
  <r>
    <x v="0"/>
    <x v="68"/>
    <x v="68"/>
    <x v="6"/>
    <x v="0"/>
    <x v="0"/>
    <x v="1"/>
    <x v="1"/>
    <s v="Multi-Year"/>
    <x v="2"/>
    <s v="N/A"/>
    <s v=""/>
    <s v="Confirmed"/>
    <m/>
    <x v="0"/>
    <x v="0"/>
    <s v=""/>
    <x v="0"/>
    <x v="0"/>
    <m/>
    <n v="0"/>
    <x v="0"/>
    <s v="N/A"/>
    <s v=""/>
  </r>
  <r>
    <x v="0"/>
    <x v="69"/>
    <x v="69"/>
    <x v="1"/>
    <x v="0"/>
    <x v="0"/>
    <x v="1"/>
    <x v="1"/>
    <s v="Multi-Year"/>
    <x v="2"/>
    <s v="N/A"/>
    <s v=""/>
    <s v="Confirmed"/>
    <m/>
    <x v="0"/>
    <x v="0"/>
    <s v=""/>
    <x v="1"/>
    <x v="0"/>
    <m/>
    <n v="0"/>
    <x v="0"/>
    <s v="…"/>
    <s v=""/>
  </r>
  <r>
    <x v="0"/>
    <x v="70"/>
    <x v="70"/>
    <x v="1"/>
    <x v="0"/>
    <x v="0"/>
    <x v="1"/>
    <x v="1"/>
    <s v="Multi-Year"/>
    <x v="2"/>
    <s v="N/A"/>
    <s v=""/>
    <s v="Confirmed"/>
    <m/>
    <x v="0"/>
    <x v="0"/>
    <s v=""/>
    <x v="2"/>
    <x v="0"/>
    <m/>
    <n v="2"/>
    <x v="0"/>
    <s v="Moderate"/>
    <n v="231506834.84347546"/>
  </r>
  <r>
    <x v="0"/>
    <x v="71"/>
    <x v="71"/>
    <x v="6"/>
    <x v="0"/>
    <x v="0"/>
    <x v="1"/>
    <x v="1"/>
    <s v="Multi-Year"/>
    <x v="2"/>
    <s v="N/A"/>
    <s v=""/>
    <s v="Confirmed"/>
    <m/>
    <x v="0"/>
    <x v="0"/>
    <s v=""/>
    <x v="2"/>
    <x v="0"/>
    <m/>
    <n v="0"/>
    <x v="0"/>
    <s v="High"/>
    <n v="156059428.62944782"/>
  </r>
  <r>
    <x v="0"/>
    <x v="72"/>
    <x v="72"/>
    <x v="2"/>
    <x v="0"/>
    <x v="0"/>
    <x v="1"/>
    <x v="1"/>
    <s v="Multi-Year"/>
    <x v="2"/>
    <s v="N/A"/>
    <s v=""/>
    <s v="Confirmed"/>
    <m/>
    <x v="0"/>
    <x v="0"/>
    <s v=""/>
    <x v="1"/>
    <x v="1"/>
    <m/>
    <n v="0"/>
    <x v="0"/>
    <s v="N/A"/>
    <n v="2355391507.1635861"/>
  </r>
  <r>
    <x v="0"/>
    <x v="73"/>
    <x v="73"/>
    <x v="3"/>
    <x v="0"/>
    <x v="0"/>
    <x v="1"/>
    <x v="1"/>
    <s v="Multi-Year"/>
    <x v="2"/>
    <s v="N/A"/>
    <s v=""/>
    <s v="Confirmed"/>
    <m/>
    <x v="0"/>
    <x v="0"/>
    <s v=""/>
    <x v="2"/>
    <x v="0"/>
    <m/>
    <n v="0"/>
    <x v="0"/>
    <s v="Moderate"/>
    <n v="152760919.7684873"/>
  </r>
  <r>
    <x v="0"/>
    <x v="74"/>
    <x v="74"/>
    <x v="5"/>
    <x v="0"/>
    <x v="0"/>
    <x v="1"/>
    <x v="1"/>
    <s v="Multi-Year"/>
    <x v="2"/>
    <s v="N/A"/>
    <s v=""/>
    <s v="Confirmed"/>
    <m/>
    <x v="0"/>
    <x v="0"/>
    <s v=""/>
    <x v="0"/>
    <x v="0"/>
    <m/>
    <n v="0"/>
    <x v="0"/>
    <s v="High"/>
    <n v="55072006.864440605"/>
  </r>
  <r>
    <x v="0"/>
    <x v="75"/>
    <x v="75"/>
    <x v="2"/>
    <x v="0"/>
    <x v="0"/>
    <x v="1"/>
    <x v="1"/>
    <s v="Multi-Year"/>
    <x v="2"/>
    <s v="N/A"/>
    <s v=""/>
    <s v="Confirmed"/>
    <m/>
    <x v="0"/>
    <x v="0"/>
    <s v=""/>
    <x v="1"/>
    <x v="1"/>
    <m/>
    <n v="0"/>
    <x v="0"/>
    <s v="N/A"/>
    <s v=""/>
  </r>
  <r>
    <x v="0"/>
    <x v="76"/>
    <x v="76"/>
    <x v="3"/>
    <x v="0"/>
    <x v="0"/>
    <x v="1"/>
    <x v="1"/>
    <s v="Multi-Year"/>
    <x v="2"/>
    <s v="N/A"/>
    <s v=""/>
    <s v="Confirmed"/>
    <m/>
    <x v="0"/>
    <x v="0"/>
    <s v=""/>
    <x v="0"/>
    <x v="0"/>
    <m/>
    <n v="2"/>
    <x v="0"/>
    <s v="Moderate"/>
    <n v="206914157.05429548"/>
  </r>
  <r>
    <x v="0"/>
    <x v="77"/>
    <x v="77"/>
    <x v="3"/>
    <x v="0"/>
    <x v="0"/>
    <x v="1"/>
    <x v="1"/>
    <s v="Multi-Year"/>
    <x v="2"/>
    <s v="N/A"/>
    <s v=""/>
    <s v="Confirmed"/>
    <m/>
    <x v="0"/>
    <x v="0"/>
    <s v=""/>
    <x v="0"/>
    <x v="0"/>
    <m/>
    <n v="2"/>
    <x v="0"/>
    <s v="High"/>
    <n v="185999915.02066413"/>
  </r>
  <r>
    <x v="0"/>
    <x v="78"/>
    <x v="78"/>
    <x v="6"/>
    <x v="0"/>
    <x v="0"/>
    <x v="1"/>
    <x v="1"/>
    <s v="Multi-Year"/>
    <x v="2"/>
    <s v="N/A"/>
    <s v=""/>
    <s v="Confirmed"/>
    <m/>
    <x v="0"/>
    <x v="0"/>
    <s v=""/>
    <x v="1"/>
    <x v="1"/>
    <m/>
    <n v="0"/>
    <x v="0"/>
    <s v=""/>
    <n v="6893755763.2501726"/>
  </r>
  <r>
    <x v="0"/>
    <x v="79"/>
    <x v="79"/>
    <x v="0"/>
    <x v="0"/>
    <x v="0"/>
    <x v="1"/>
    <x v="1"/>
    <s v="Multi-Year"/>
    <x v="2"/>
    <s v="N/A"/>
    <n v="0"/>
    <s v="Confirmed"/>
    <m/>
    <x v="0"/>
    <x v="0"/>
    <s v="Under Preparation"/>
    <x v="1"/>
    <x v="0"/>
    <m/>
    <n v="0"/>
    <x v="1"/>
    <s v="High"/>
    <n v="354560231.58276606"/>
  </r>
  <r>
    <x v="0"/>
    <x v="80"/>
    <x v="80"/>
    <x v="5"/>
    <x v="0"/>
    <x v="0"/>
    <x v="1"/>
    <x v="1"/>
    <s v="Multi-Year"/>
    <x v="2"/>
    <s v="N/A"/>
    <s v=""/>
    <s v="Confirmed"/>
    <m/>
    <x v="0"/>
    <x v="0"/>
    <s v=""/>
    <x v="0"/>
    <x v="0"/>
    <m/>
    <n v="1"/>
    <x v="0"/>
    <s v="Moderate"/>
    <n v="188169167.56540567"/>
  </r>
  <r>
    <x v="0"/>
    <x v="81"/>
    <x v="81"/>
    <x v="6"/>
    <x v="0"/>
    <x v="0"/>
    <x v="1"/>
    <x v="1"/>
    <s v="Multi-Year"/>
    <x v="2"/>
    <s v="N/A"/>
    <s v=""/>
    <s v="Confirmed"/>
    <m/>
    <x v="0"/>
    <x v="0"/>
    <s v=""/>
    <x v="1"/>
    <x v="0"/>
    <m/>
    <n v="0"/>
    <x v="1"/>
    <s v=""/>
    <n v="16312106.556340856"/>
  </r>
  <r>
    <x v="0"/>
    <x v="82"/>
    <x v="82"/>
    <x v="5"/>
    <x v="0"/>
    <x v="0"/>
    <x v="1"/>
    <x v="1"/>
    <s v="Multi-Year"/>
    <x v="2"/>
    <s v="N/A"/>
    <s v=""/>
    <s v="Confirmed"/>
    <m/>
    <x v="0"/>
    <x v="0"/>
    <s v=""/>
    <x v="2"/>
    <x v="0"/>
    <m/>
    <n v="2"/>
    <x v="0"/>
    <s v="High"/>
    <n v="86083833.534053758"/>
  </r>
  <r>
    <x v="0"/>
    <x v="83"/>
    <x v="83"/>
    <x v="3"/>
    <x v="0"/>
    <x v="0"/>
    <x v="1"/>
    <x v="1"/>
    <s v="Multi-Year"/>
    <x v="2"/>
    <s v="N/A"/>
    <s v=""/>
    <s v="Confirmed"/>
    <m/>
    <x v="0"/>
    <x v="0"/>
    <s v=""/>
    <x v="1"/>
    <x v="1"/>
    <m/>
    <n v="0"/>
    <x v="1"/>
    <s v="N/A"/>
    <n v="357220835.93762809"/>
  </r>
  <r>
    <x v="0"/>
    <x v="84"/>
    <x v="84"/>
    <x v="4"/>
    <x v="0"/>
    <x v="0"/>
    <x v="1"/>
    <x v="1"/>
    <s v="Multi-Year"/>
    <x v="2"/>
    <s v="N/A"/>
    <s v=""/>
    <s v="Confirmed"/>
    <m/>
    <x v="0"/>
    <x v="0"/>
    <s v=""/>
    <x v="1"/>
    <x v="1"/>
    <m/>
    <n v="0"/>
    <x v="0"/>
    <s v=""/>
    <n v="32831598153.796387"/>
  </r>
  <r>
    <x v="0"/>
    <x v="85"/>
    <x v="85"/>
    <x v="6"/>
    <x v="0"/>
    <x v="0"/>
    <x v="1"/>
    <x v="1"/>
    <s v="Multi-Year"/>
    <x v="2"/>
    <s v="N/A"/>
    <s v=""/>
    <s v="Confirmed"/>
    <m/>
    <x v="0"/>
    <x v="0"/>
    <s v=""/>
    <x v="2"/>
    <x v="0"/>
    <m/>
    <n v="0"/>
    <x v="1"/>
    <s v="High"/>
    <n v="12329056.093798399"/>
  </r>
  <r>
    <x v="0"/>
    <x v="86"/>
    <x v="86"/>
    <x v="1"/>
    <x v="0"/>
    <x v="0"/>
    <x v="1"/>
    <x v="1"/>
    <s v="Multi-Year"/>
    <x v="2"/>
    <s v="N/A"/>
    <s v=""/>
    <s v="Confirmed"/>
    <m/>
    <x v="0"/>
    <x v="0"/>
    <s v=""/>
    <x v="1"/>
    <x v="0"/>
    <m/>
    <n v="0"/>
    <x v="0"/>
    <s v="Low"/>
    <n v="426639742.85328001"/>
  </r>
  <r>
    <x v="0"/>
    <x v="87"/>
    <x v="87"/>
    <x v="6"/>
    <x v="0"/>
    <x v="0"/>
    <x v="1"/>
    <x v="1"/>
    <s v="Multi-Year"/>
    <x v="2"/>
    <s v="N/A"/>
    <n v="1700000"/>
    <s v="Confirmed"/>
    <m/>
    <x v="0"/>
    <x v="0"/>
    <s v="Approved"/>
    <x v="2"/>
    <x v="0"/>
    <m/>
    <n v="0"/>
    <x v="0"/>
    <s v="…"/>
    <n v="288519671.85870522"/>
  </r>
  <r>
    <x v="0"/>
    <x v="88"/>
    <x v="88"/>
    <x v="1"/>
    <x v="0"/>
    <x v="0"/>
    <x v="1"/>
    <x v="1"/>
    <s v="Multi-Year"/>
    <x v="2"/>
    <s v="N/A"/>
    <s v=""/>
    <s v="Confirmed"/>
    <m/>
    <x v="0"/>
    <x v="0"/>
    <s v=""/>
    <x v="1"/>
    <x v="1"/>
    <m/>
    <n v="0"/>
    <x v="0"/>
    <s v="N/A"/>
    <n v="275606560.78491527"/>
  </r>
  <r>
    <x v="0"/>
    <x v="89"/>
    <x v="89"/>
    <x v="2"/>
    <x v="0"/>
    <x v="0"/>
    <x v="1"/>
    <x v="1"/>
    <s v="Multi-Year"/>
    <x v="2"/>
    <s v="N/A"/>
    <s v=""/>
    <s v="Confirmed"/>
    <m/>
    <x v="0"/>
    <x v="0"/>
    <s v=""/>
    <x v="2"/>
    <x v="0"/>
    <m/>
    <n v="0"/>
    <x v="0"/>
    <s v="N/A"/>
    <n v="2530937679.3725696"/>
  </r>
  <r>
    <x v="0"/>
    <x v="90"/>
    <x v="90"/>
    <x v="3"/>
    <x v="0"/>
    <x v="0"/>
    <x v="1"/>
    <x v="1"/>
    <s v="Multi-Year"/>
    <x v="2"/>
    <s v="N/A"/>
    <s v=""/>
    <s v="Confirmed"/>
    <m/>
    <x v="0"/>
    <x v="0"/>
    <s v=""/>
    <x v="0"/>
    <x v="0"/>
    <m/>
    <n v="0"/>
    <x v="0"/>
    <s v="In distress"/>
    <n v="251432156.86255455"/>
  </r>
  <r>
    <x v="0"/>
    <x v="91"/>
    <x v="91"/>
    <x v="6"/>
    <x v="0"/>
    <x v="0"/>
    <x v="1"/>
    <x v="1"/>
    <s v="Multi-Year"/>
    <x v="2"/>
    <s v="N/A"/>
    <s v=""/>
    <s v="Confirmed"/>
    <m/>
    <x v="0"/>
    <x v="0"/>
    <s v=""/>
    <x v="2"/>
    <x v="0"/>
    <m/>
    <n v="0"/>
    <x v="0"/>
    <s v="Low"/>
    <n v="471534500.60109437"/>
  </r>
  <r>
    <x v="0"/>
    <x v="92"/>
    <x v="92"/>
    <x v="3"/>
    <x v="0"/>
    <x v="0"/>
    <x v="1"/>
    <x v="1"/>
    <s v="Multi-Year"/>
    <x v="2"/>
    <s v="N/A"/>
    <s v=""/>
    <s v="Confirmed"/>
    <m/>
    <x v="0"/>
    <x v="0"/>
    <s v=""/>
    <x v="1"/>
    <x v="1"/>
    <m/>
    <n v="0"/>
    <x v="0"/>
    <s v=""/>
    <n v="531677611.80447447"/>
  </r>
  <r>
    <x v="0"/>
    <x v="93"/>
    <x v="93"/>
    <x v="6"/>
    <x v="0"/>
    <x v="0"/>
    <x v="1"/>
    <x v="1"/>
    <s v="Multi-Year"/>
    <x v="2"/>
    <s v="N/A"/>
    <s v=""/>
    <s v="Confirmed"/>
    <m/>
    <x v="0"/>
    <x v="0"/>
    <s v=""/>
    <x v="3"/>
    <x v="1"/>
    <m/>
    <n v="0"/>
    <x v="1"/>
    <s v=""/>
    <n v="8528751.6418357007"/>
  </r>
  <r>
    <x v="0"/>
    <x v="94"/>
    <x v="94"/>
    <x v="0"/>
    <x v="0"/>
    <x v="0"/>
    <x v="1"/>
    <x v="1"/>
    <s v="Multi-Year"/>
    <x v="2"/>
    <s v="N/A"/>
    <n v="6000000"/>
    <s v="Confirmed"/>
    <m/>
    <x v="0"/>
    <x v="0"/>
    <s v="Approved"/>
    <x v="2"/>
    <x v="0"/>
    <m/>
    <n v="0"/>
    <x v="0"/>
    <s v="Low"/>
    <n v="407084543.19089872"/>
  </r>
  <r>
    <x v="0"/>
    <x v="95"/>
    <x v="95"/>
    <x v="4"/>
    <x v="0"/>
    <x v="0"/>
    <x v="1"/>
    <x v="1"/>
    <s v="Multi-Year"/>
    <x v="2"/>
    <s v="N/A"/>
    <s v=""/>
    <s v="Confirmed"/>
    <m/>
    <x v="0"/>
    <x v="0"/>
    <s v=""/>
    <x v="2"/>
    <x v="0"/>
    <m/>
    <n v="0"/>
    <x v="0"/>
    <s v="Moderate"/>
    <n v="671998341.93592453"/>
  </r>
  <r>
    <x v="0"/>
    <x v="96"/>
    <x v="96"/>
    <x v="5"/>
    <x v="0"/>
    <x v="0"/>
    <x v="1"/>
    <x v="1"/>
    <s v="Multi-Year"/>
    <x v="2"/>
    <s v="N/A"/>
    <s v=""/>
    <s v="Confirmed"/>
    <m/>
    <x v="0"/>
    <x v="0"/>
    <s v=""/>
    <x v="0"/>
    <x v="0"/>
    <m/>
    <n v="1"/>
    <x v="0"/>
    <s v="Moderate"/>
    <n v="226203289.67158964"/>
  </r>
  <r>
    <x v="0"/>
    <x v="97"/>
    <x v="97"/>
    <x v="5"/>
    <x v="0"/>
    <x v="0"/>
    <x v="1"/>
    <x v="1"/>
    <s v="Multi-Year"/>
    <x v="2"/>
    <s v="N/A"/>
    <s v=""/>
    <s v="Confirmed"/>
    <m/>
    <x v="0"/>
    <x v="0"/>
    <s v=""/>
    <x v="2"/>
    <x v="0"/>
    <m/>
    <n v="3"/>
    <x v="0"/>
    <s v="…"/>
    <n v="2438881113.1244688"/>
  </r>
  <r>
    <x v="0"/>
    <x v="98"/>
    <x v="98"/>
    <x v="1"/>
    <x v="0"/>
    <x v="0"/>
    <x v="1"/>
    <x v="1"/>
    <s v="Multi-Year"/>
    <x v="2"/>
    <s v="N/A"/>
    <s v=""/>
    <s v="Confirmed"/>
    <m/>
    <x v="0"/>
    <x v="0"/>
    <s v=""/>
    <x v="1"/>
    <x v="1"/>
    <m/>
    <n v="0"/>
    <x v="0"/>
    <s v=""/>
    <n v="476517795.73174149"/>
  </r>
  <r>
    <x v="0"/>
    <x v="99"/>
    <x v="99"/>
    <x v="0"/>
    <x v="0"/>
    <x v="0"/>
    <x v="1"/>
    <x v="1"/>
    <s v="Multi-Year"/>
    <x v="2"/>
    <s v="N/A"/>
    <n v="8300000.0000000009"/>
    <s v="Confirmed"/>
    <m/>
    <x v="0"/>
    <x v="0"/>
    <s v="Approved"/>
    <x v="2"/>
    <x v="0"/>
    <m/>
    <n v="0"/>
    <x v="0"/>
    <s v="…"/>
    <n v="3233351297.7679496"/>
  </r>
  <r>
    <x v="0"/>
    <x v="100"/>
    <x v="100"/>
    <x v="4"/>
    <x v="0"/>
    <x v="0"/>
    <x v="1"/>
    <x v="1"/>
    <s v="Multi-Year"/>
    <x v="2"/>
    <s v="N/A"/>
    <s v=""/>
    <s v="Confirmed"/>
    <m/>
    <x v="0"/>
    <x v="0"/>
    <s v=""/>
    <x v="3"/>
    <x v="1"/>
    <m/>
    <n v="0"/>
    <x v="1"/>
    <s v=""/>
    <n v="18180646.808608256"/>
  </r>
  <r>
    <x v="0"/>
    <x v="101"/>
    <x v="101"/>
    <x v="4"/>
    <x v="0"/>
    <x v="0"/>
    <x v="1"/>
    <x v="1"/>
    <s v="Multi-Year"/>
    <x v="2"/>
    <s v="N/A"/>
    <s v=""/>
    <s v="Confirmed"/>
    <m/>
    <x v="0"/>
    <x v="0"/>
    <s v=""/>
    <x v="1"/>
    <x v="1"/>
    <m/>
    <n v="0"/>
    <x v="0"/>
    <s v="N/A"/>
    <n v="3020530707.3485303"/>
  </r>
  <r>
    <x v="0"/>
    <x v="102"/>
    <x v="102"/>
    <x v="6"/>
    <x v="0"/>
    <x v="0"/>
    <x v="1"/>
    <x v="1"/>
    <s v="Multi-Year"/>
    <x v="2"/>
    <s v="N/A"/>
    <s v=""/>
    <s v="Confirmed"/>
    <m/>
    <x v="0"/>
    <x v="0"/>
    <s v=""/>
    <x v="2"/>
    <x v="0"/>
    <m/>
    <n v="1"/>
    <x v="1"/>
    <s v="High"/>
    <n v="384406316.46074712"/>
  </r>
  <r>
    <x v="0"/>
    <x v="103"/>
    <x v="103"/>
    <x v="4"/>
    <x v="0"/>
    <x v="0"/>
    <x v="1"/>
    <x v="1"/>
    <s v="Multi-Year"/>
    <x v="2"/>
    <s v="N/A"/>
    <s v=""/>
    <s v="Confirmed"/>
    <m/>
    <x v="0"/>
    <x v="0"/>
    <s v=""/>
    <x v="1"/>
    <x v="1"/>
    <m/>
    <n v="0"/>
    <x v="0"/>
    <s v=""/>
    <n v="1218747108.9554784"/>
  </r>
  <r>
    <x v="0"/>
    <x v="104"/>
    <x v="104"/>
    <x v="4"/>
    <x v="0"/>
    <x v="0"/>
    <x v="1"/>
    <x v="1"/>
    <s v="Multi-Year"/>
    <x v="2"/>
    <s v="N/A"/>
    <s v=""/>
    <s v="Confirmed"/>
    <m/>
    <x v="0"/>
    <x v="0"/>
    <s v=""/>
    <x v="1"/>
    <x v="1"/>
    <m/>
    <n v="0"/>
    <x v="0"/>
    <s v=""/>
    <n v="7392665952.5895758"/>
  </r>
  <r>
    <x v="0"/>
    <x v="105"/>
    <x v="105"/>
    <x v="6"/>
    <x v="0"/>
    <x v="0"/>
    <x v="1"/>
    <x v="1"/>
    <s v="Multi-Year"/>
    <x v="2"/>
    <s v="N/A"/>
    <n v="37500000"/>
    <s v="Confirmed"/>
    <m/>
    <x v="0"/>
    <x v="0"/>
    <s v="Approved"/>
    <x v="2"/>
    <x v="0"/>
    <m/>
    <n v="0"/>
    <x v="0"/>
    <s v="N/A"/>
    <n v="4754985988.6004429"/>
  </r>
  <r>
    <x v="0"/>
    <x v="106"/>
    <x v="106"/>
    <x v="1"/>
    <x v="0"/>
    <x v="0"/>
    <x v="1"/>
    <x v="1"/>
    <s v="Multi-Year"/>
    <x v="2"/>
    <s v="N/A"/>
    <s v=""/>
    <s v="Confirmed"/>
    <m/>
    <x v="0"/>
    <x v="0"/>
    <s v=""/>
    <x v="3"/>
    <x v="1"/>
    <m/>
    <n v="0"/>
    <x v="0"/>
    <s v=""/>
    <n v="26422210443.037273"/>
  </r>
  <r>
    <x v="0"/>
    <x v="107"/>
    <x v="107"/>
    <x v="1"/>
    <x v="0"/>
    <x v="0"/>
    <x v="1"/>
    <x v="1"/>
    <s v="Multi-Year"/>
    <x v="2"/>
    <s v="N/A"/>
    <s v=""/>
    <s v="Confirmed"/>
    <m/>
    <x v="0"/>
    <x v="0"/>
    <s v=""/>
    <x v="1"/>
    <x v="1"/>
    <m/>
    <n v="0"/>
    <x v="0"/>
    <s v=""/>
    <n v="10696495313.15033"/>
  </r>
  <r>
    <x v="0"/>
    <x v="108"/>
    <x v="108"/>
    <x v="1"/>
    <x v="0"/>
    <x v="0"/>
    <x v="1"/>
    <x v="1"/>
    <s v="Multi-Year"/>
    <x v="2"/>
    <s v="N/A"/>
    <s v=""/>
    <s v="Confirmed"/>
    <m/>
    <x v="0"/>
    <x v="0"/>
    <s v=""/>
    <x v="1"/>
    <x v="1"/>
    <m/>
    <n v="0"/>
    <x v="0"/>
    <s v=""/>
    <n v="52769713433.240509"/>
  </r>
  <r>
    <x v="0"/>
    <x v="109"/>
    <x v="109"/>
    <x v="3"/>
    <x v="0"/>
    <x v="0"/>
    <x v="1"/>
    <x v="1"/>
    <s v="Multi-Year"/>
    <x v="2"/>
    <s v="N/A"/>
    <s v=""/>
    <s v="Confirmed"/>
    <m/>
    <x v="0"/>
    <x v="0"/>
    <s v=""/>
    <x v="0"/>
    <x v="0"/>
    <m/>
    <n v="0"/>
    <x v="0"/>
    <s v="Moderate"/>
    <n v="225799814.51943746"/>
  </r>
  <r>
    <x v="0"/>
    <x v="110"/>
    <x v="110"/>
    <x v="6"/>
    <x v="0"/>
    <x v="0"/>
    <x v="1"/>
    <x v="1"/>
    <s v="Multi-Year"/>
    <x v="2"/>
    <s v="N/A"/>
    <n v="2550000"/>
    <s v="Confirmed"/>
    <m/>
    <x v="0"/>
    <x v="0"/>
    <s v="Approved"/>
    <x v="2"/>
    <x v="0"/>
    <m/>
    <n v="0"/>
    <x v="1"/>
    <s v="High"/>
    <n v="32192988.027009469"/>
  </r>
  <r>
    <x v="0"/>
    <x v="111"/>
    <x v="111"/>
    <x v="5"/>
    <x v="0"/>
    <x v="0"/>
    <x v="1"/>
    <x v="1"/>
    <s v="Multi-Year"/>
    <x v="2"/>
    <s v="N/A"/>
    <s v=""/>
    <s v="Confirmed"/>
    <m/>
    <x v="0"/>
    <x v="0"/>
    <s v=""/>
    <x v="2"/>
    <x v="0"/>
    <m/>
    <n v="0"/>
    <x v="1"/>
    <s v="In distress"/>
    <n v="11633535.136477679"/>
  </r>
  <r>
    <x v="0"/>
    <x v="112"/>
    <x v="112"/>
    <x v="5"/>
    <x v="0"/>
    <x v="0"/>
    <x v="1"/>
    <x v="1"/>
    <s v="Multi-Year"/>
    <x v="2"/>
    <s v="N/A"/>
    <s v=""/>
    <s v="Confirmed"/>
    <m/>
    <x v="0"/>
    <x v="0"/>
    <s v=""/>
    <x v="2"/>
    <x v="0"/>
    <m/>
    <n v="2"/>
    <x v="0"/>
    <s v="Moderate"/>
    <n v="222008693.93354639"/>
  </r>
  <r>
    <x v="0"/>
    <x v="113"/>
    <x v="113"/>
    <x v="1"/>
    <x v="0"/>
    <x v="0"/>
    <x v="1"/>
    <x v="1"/>
    <s v="Multi-Year"/>
    <x v="2"/>
    <s v="N/A"/>
    <s v=""/>
    <s v="Confirmed"/>
    <m/>
    <x v="0"/>
    <x v="0"/>
    <s v=""/>
    <x v="1"/>
    <x v="1"/>
    <m/>
    <n v="0"/>
    <x v="0"/>
    <s v=""/>
    <n v="2564993795.1894679"/>
  </r>
  <r>
    <x v="0"/>
    <x v="114"/>
    <x v="114"/>
    <x v="3"/>
    <x v="0"/>
    <x v="0"/>
    <x v="1"/>
    <x v="1"/>
    <s v="Multi-Year"/>
    <x v="2"/>
    <s v="N/A"/>
    <s v=""/>
    <s v="Confirmed"/>
    <m/>
    <x v="0"/>
    <x v="0"/>
    <s v=""/>
    <x v="3"/>
    <x v="1"/>
    <m/>
    <n v="0"/>
    <x v="1"/>
    <s v="N/A"/>
    <n v="60237542.945069775"/>
  </r>
  <r>
    <x v="0"/>
    <x v="115"/>
    <x v="115"/>
    <x v="5"/>
    <x v="0"/>
    <x v="0"/>
    <x v="1"/>
    <x v="1"/>
    <s v="Multi-Year"/>
    <x v="2"/>
    <s v="N/A"/>
    <s v=""/>
    <s v="Confirmed"/>
    <m/>
    <x v="0"/>
    <x v="0"/>
    <s v=""/>
    <x v="0"/>
    <x v="0"/>
    <m/>
    <n v="0"/>
    <x v="0"/>
    <s v="High"/>
    <n v="63738640.538260505"/>
  </r>
  <r>
    <x v="0"/>
    <x v="116"/>
    <x v="116"/>
    <x v="6"/>
    <x v="0"/>
    <x v="0"/>
    <x v="1"/>
    <x v="1"/>
    <s v="Multi-Year"/>
    <x v="2"/>
    <s v="N/A"/>
    <s v=""/>
    <s v="Confirmed"/>
    <m/>
    <x v="0"/>
    <x v="0"/>
    <s v=""/>
    <x v="2"/>
    <x v="0"/>
    <m/>
    <n v="0"/>
    <x v="1"/>
    <s v="Moderate"/>
    <n v="49012774.055630356"/>
  </r>
  <r>
    <x v="0"/>
    <x v="117"/>
    <x v="117"/>
    <x v="3"/>
    <x v="0"/>
    <x v="0"/>
    <x v="1"/>
    <x v="1"/>
    <s v="Multi-Year"/>
    <x v="2"/>
    <s v="N/A"/>
    <s v=""/>
    <s v="Confirmed"/>
    <m/>
    <x v="0"/>
    <x v="0"/>
    <s v=""/>
    <x v="0"/>
    <x v="0"/>
    <m/>
    <n v="1"/>
    <x v="0"/>
    <s v="In distress"/>
    <s v=""/>
  </r>
  <r>
    <x v="0"/>
    <x v="118"/>
    <x v="118"/>
    <x v="3"/>
    <x v="0"/>
    <x v="0"/>
    <x v="1"/>
    <x v="1"/>
    <s v="Multi-Year"/>
    <x v="2"/>
    <s v="N/A"/>
    <s v=""/>
    <s v="Confirmed"/>
    <m/>
    <x v="0"/>
    <x v="0"/>
    <s v=""/>
    <x v="1"/>
    <x v="1"/>
    <m/>
    <n v="0"/>
    <x v="0"/>
    <s v="N/A"/>
    <n v="16429121142.784708"/>
  </r>
  <r>
    <x v="0"/>
    <x v="119"/>
    <x v="119"/>
    <x v="3"/>
    <x v="0"/>
    <x v="0"/>
    <x v="1"/>
    <x v="1"/>
    <s v="Multi-Year"/>
    <x v="2"/>
    <s v="N/A"/>
    <s v=""/>
    <s v="Confirmed"/>
    <m/>
    <x v="0"/>
    <x v="0"/>
    <s v=""/>
    <x v="0"/>
    <x v="0"/>
    <m/>
    <n v="1"/>
    <x v="0"/>
    <s v="High"/>
    <n v="31684581.76217727"/>
  </r>
  <r>
    <x v="0"/>
    <x v="120"/>
    <x v="120"/>
    <x v="0"/>
    <x v="0"/>
    <x v="0"/>
    <x v="1"/>
    <x v="1"/>
    <s v="Multi-Year"/>
    <x v="2"/>
    <s v="N/A"/>
    <n v="17030000"/>
    <s v="Confirmed"/>
    <m/>
    <x v="0"/>
    <x v="0"/>
    <s v="Approved"/>
    <x v="2"/>
    <x v="0"/>
    <m/>
    <n v="0"/>
    <x v="0"/>
    <s v="N/A"/>
    <n v="1373621563.5182886"/>
  </r>
  <r>
    <x v="0"/>
    <x v="121"/>
    <x v="121"/>
    <x v="4"/>
    <x v="0"/>
    <x v="0"/>
    <x v="1"/>
    <x v="1"/>
    <s v="Multi-Year"/>
    <x v="2"/>
    <s v="N/A"/>
    <s v=""/>
    <s v="Confirmed"/>
    <m/>
    <x v="0"/>
    <x v="0"/>
    <s v=""/>
    <x v="3"/>
    <x v="1"/>
    <m/>
    <n v="0"/>
    <x v="1"/>
    <s v=""/>
    <n v="24214370.889062837"/>
  </r>
  <r>
    <x v="0"/>
    <x v="122"/>
    <x v="122"/>
    <x v="4"/>
    <x v="0"/>
    <x v="0"/>
    <x v="1"/>
    <x v="1"/>
    <s v="Multi-Year"/>
    <x v="2"/>
    <s v="N/A"/>
    <s v=""/>
    <s v="Confirmed"/>
    <m/>
    <x v="0"/>
    <x v="0"/>
    <s v=""/>
    <x v="1"/>
    <x v="0"/>
    <m/>
    <n v="0"/>
    <x v="1"/>
    <s v="…"/>
    <n v="39941279.609447442"/>
  </r>
  <r>
    <x v="0"/>
    <x v="123"/>
    <x v="123"/>
    <x v="4"/>
    <x v="0"/>
    <x v="0"/>
    <x v="1"/>
    <x v="1"/>
    <s v="Multi-Year"/>
    <x v="2"/>
    <s v="N/A"/>
    <s v=""/>
    <s v="Confirmed"/>
    <m/>
    <x v="0"/>
    <x v="0"/>
    <s v=""/>
    <x v="1"/>
    <x v="0"/>
    <m/>
    <n v="0"/>
    <x v="1"/>
    <s v="High"/>
    <n v="24761675.260059897"/>
  </r>
  <r>
    <x v="0"/>
    <x v="124"/>
    <x v="124"/>
    <x v="2"/>
    <x v="0"/>
    <x v="0"/>
    <x v="1"/>
    <x v="1"/>
    <s v="Multi-Year"/>
    <x v="2"/>
    <s v="N/A"/>
    <s v=""/>
    <s v="Confirmed"/>
    <m/>
    <x v="0"/>
    <x v="0"/>
    <s v=""/>
    <x v="2"/>
    <x v="0"/>
    <m/>
    <n v="0"/>
    <x v="0"/>
    <s v="N/A"/>
    <s v=""/>
  </r>
  <r>
    <x v="0"/>
    <x v="125"/>
    <x v="125"/>
    <x v="2"/>
    <x v="0"/>
    <x v="0"/>
    <x v="1"/>
    <x v="1"/>
    <s v="Multi-Year"/>
    <x v="2"/>
    <s v="N/A"/>
    <s v=""/>
    <s v="Confirmed"/>
    <m/>
    <x v="0"/>
    <x v="0"/>
    <s v=""/>
    <x v="0"/>
    <x v="0"/>
    <m/>
    <n v="1"/>
    <x v="0"/>
    <s v="N/A"/>
    <n v="577156172.71229994"/>
  </r>
  <r>
    <x v="0"/>
    <x v="126"/>
    <x v="126"/>
    <x v="6"/>
    <x v="0"/>
    <x v="0"/>
    <x v="1"/>
    <x v="1"/>
    <s v="Multi-Year"/>
    <x v="2"/>
    <s v="N/A"/>
    <s v=""/>
    <s v="Confirmed"/>
    <m/>
    <x v="0"/>
    <x v="0"/>
    <s v=""/>
    <x v="1"/>
    <x v="1"/>
    <m/>
    <n v="0"/>
    <x v="1"/>
    <s v=""/>
    <n v="180052034.19851837"/>
  </r>
  <r>
    <x v="0"/>
    <x v="127"/>
    <x v="127"/>
    <x v="2"/>
    <x v="0"/>
    <x v="0"/>
    <x v="1"/>
    <x v="1"/>
    <s v="Multi-Year"/>
    <x v="2"/>
    <s v="N/A"/>
    <s v=""/>
    <s v="Confirmed"/>
    <m/>
    <x v="0"/>
    <x v="0"/>
    <s v=""/>
    <x v="0"/>
    <x v="0"/>
    <m/>
    <n v="1"/>
    <x v="0"/>
    <s v="N/A"/>
    <s v=""/>
  </r>
  <r>
    <x v="0"/>
    <x v="128"/>
    <x v="128"/>
    <x v="1"/>
    <x v="0"/>
    <x v="0"/>
    <x v="1"/>
    <x v="1"/>
    <s v="Multi-Year"/>
    <x v="2"/>
    <s v="N/A"/>
    <n v="2429999.9999999995"/>
    <s v="Confirmed"/>
    <m/>
    <x v="0"/>
    <x v="0"/>
    <s v="Approved"/>
    <x v="2"/>
    <x v="0"/>
    <m/>
    <n v="0"/>
    <x v="0"/>
    <s v="High"/>
    <n v="147296124.32232863"/>
  </r>
  <r>
    <x v="0"/>
    <x v="129"/>
    <x v="129"/>
    <x v="3"/>
    <x v="0"/>
    <x v="0"/>
    <x v="1"/>
    <x v="1"/>
    <s v="Multi-Year"/>
    <x v="2"/>
    <s v="N/A"/>
    <s v=""/>
    <s v="Confirmed"/>
    <m/>
    <x v="0"/>
    <x v="0"/>
    <s v=""/>
    <x v="2"/>
    <x v="0"/>
    <m/>
    <n v="0"/>
    <x v="0"/>
    <s v="…"/>
    <n v="890576536.83065879"/>
  </r>
  <r>
    <x v="0"/>
    <x v="130"/>
    <x v="130"/>
    <x v="6"/>
    <x v="0"/>
    <x v="0"/>
    <x v="1"/>
    <x v="1"/>
    <s v="Multi-Year"/>
    <x v="2"/>
    <s v="N/A"/>
    <s v=""/>
    <s v="Confirmed"/>
    <m/>
    <x v="0"/>
    <x v="0"/>
    <s v=""/>
    <x v="1"/>
    <x v="1"/>
    <m/>
    <n v="0"/>
    <x v="0"/>
    <s v=""/>
    <n v="14611129792.346064"/>
  </r>
  <r>
    <x v="0"/>
    <x v="131"/>
    <x v="131"/>
    <x v="6"/>
    <x v="0"/>
    <x v="0"/>
    <x v="1"/>
    <x v="1"/>
    <s v="Multi-Year"/>
    <x v="2"/>
    <s v="N/A"/>
    <s v=""/>
    <s v="Confirmed"/>
    <m/>
    <x v="0"/>
    <x v="0"/>
    <s v=""/>
    <x v="2"/>
    <x v="0"/>
    <m/>
    <n v="0"/>
    <x v="1"/>
    <s v="Low"/>
    <n v="72046877.233008593"/>
  </r>
  <r>
    <x v="0"/>
    <x v="132"/>
    <x v="132"/>
    <x v="5"/>
    <x v="0"/>
    <x v="0"/>
    <x v="1"/>
    <x v="1"/>
    <s v="Multi-Year"/>
    <x v="2"/>
    <s v="N/A"/>
    <s v=""/>
    <s v="Confirmed"/>
    <m/>
    <x v="0"/>
    <x v="0"/>
    <s v=""/>
    <x v="0"/>
    <x v="0"/>
    <m/>
    <n v="0"/>
    <x v="0"/>
    <s v="High"/>
    <n v="56248139.267255567"/>
  </r>
  <r>
    <x v="0"/>
    <x v="133"/>
    <x v="133"/>
    <x v="6"/>
    <x v="0"/>
    <x v="0"/>
    <x v="1"/>
    <x v="1"/>
    <s v="Multi-Year"/>
    <x v="2"/>
    <s v="N/A"/>
    <n v="1500000"/>
    <s v="Confirmed"/>
    <m/>
    <x v="0"/>
    <x v="0"/>
    <s v="Approved"/>
    <x v="1"/>
    <x v="0"/>
    <m/>
    <n v="0"/>
    <x v="1"/>
    <s v="High"/>
    <n v="15464031.712942109"/>
  </r>
  <r>
    <x v="0"/>
    <x v="134"/>
    <x v="134"/>
    <x v="4"/>
    <x v="0"/>
    <x v="0"/>
    <x v="1"/>
    <x v="1"/>
    <s v="Multi-Year"/>
    <x v="2"/>
    <s v="N/A"/>
    <s v=""/>
    <s v="Confirmed"/>
    <m/>
    <x v="0"/>
    <x v="0"/>
    <s v=""/>
    <x v="3"/>
    <x v="1"/>
    <m/>
    <n v="0"/>
    <x v="1"/>
    <s v="N/A"/>
    <n v="769564399.33249676"/>
  </r>
  <r>
    <x v="0"/>
    <x v="135"/>
    <x v="135"/>
    <x v="2"/>
    <x v="0"/>
    <x v="0"/>
    <x v="1"/>
    <x v="1"/>
    <s v="Multi-Year"/>
    <x v="2"/>
    <s v="N/A"/>
    <s v=""/>
    <s v="Confirmed"/>
    <m/>
    <x v="0"/>
    <x v="0"/>
    <s v=""/>
    <x v="2"/>
    <x v="0"/>
    <m/>
    <n v="0"/>
    <x v="0"/>
    <s v="N/A"/>
    <n v="1668954539.7630196"/>
  </r>
  <r>
    <x v="0"/>
    <x v="136"/>
    <x v="136"/>
    <x v="1"/>
    <x v="0"/>
    <x v="0"/>
    <x v="1"/>
    <x v="1"/>
    <s v="Multi-Year"/>
    <x v="2"/>
    <s v="N/A"/>
    <s v=""/>
    <s v="Confirmed"/>
    <m/>
    <x v="0"/>
    <x v="0"/>
    <s v=""/>
    <x v="1"/>
    <x v="1"/>
    <m/>
    <n v="0"/>
    <x v="0"/>
    <s v=""/>
    <n v="24840920016.18832"/>
  </r>
  <r>
    <x v="0"/>
    <x v="137"/>
    <x v="137"/>
    <x v="1"/>
    <x v="0"/>
    <x v="0"/>
    <x v="1"/>
    <x v="1"/>
    <s v="Multi-Year"/>
    <x v="2"/>
    <s v="N/A"/>
    <s v=""/>
    <s v="Confirmed"/>
    <m/>
    <x v="0"/>
    <x v="0"/>
    <s v=""/>
    <x v="1"/>
    <x v="1"/>
    <m/>
    <n v="0"/>
    <x v="0"/>
    <s v="N/A"/>
    <n v="487888462.83720118"/>
  </r>
  <r>
    <x v="0"/>
    <x v="138"/>
    <x v="138"/>
    <x v="6"/>
    <x v="0"/>
    <x v="0"/>
    <x v="1"/>
    <x v="1"/>
    <s v="Multi-Year"/>
    <x v="2"/>
    <s v="N/A"/>
    <n v="509999.99999999988"/>
    <s v="Confirmed"/>
    <m/>
    <x v="0"/>
    <x v="0"/>
    <s v="Approved"/>
    <x v="1"/>
    <x v="0"/>
    <m/>
    <n v="0"/>
    <x v="1"/>
    <s v="…"/>
    <n v="6365061.1736073596"/>
  </r>
  <r>
    <x v="0"/>
    <x v="139"/>
    <x v="139"/>
    <x v="3"/>
    <x v="0"/>
    <x v="0"/>
    <x v="1"/>
    <x v="1"/>
    <s v="Multi-Year"/>
    <x v="2"/>
    <s v="N/A"/>
    <s v=""/>
    <s v="Confirmed"/>
    <m/>
    <x v="0"/>
    <x v="0"/>
    <s v=""/>
    <x v="0"/>
    <x v="0"/>
    <m/>
    <n v="2"/>
    <x v="0"/>
    <s v="Low"/>
    <n v="291799092.90196139"/>
  </r>
  <r>
    <x v="0"/>
    <x v="140"/>
    <x v="140"/>
    <x v="1"/>
    <x v="0"/>
    <x v="0"/>
    <x v="1"/>
    <x v="1"/>
    <s v="Multi-Year"/>
    <x v="2"/>
    <s v="N/A"/>
    <s v=""/>
    <s v="Confirmed"/>
    <m/>
    <x v="0"/>
    <x v="0"/>
    <s v=""/>
    <x v="2"/>
    <x v="0"/>
    <m/>
    <n v="0"/>
    <x v="0"/>
    <s v="N/A"/>
    <n v="4844815340.2135534"/>
  </r>
  <r>
    <x v="0"/>
    <x v="141"/>
    <x v="141"/>
    <x v="4"/>
    <x v="0"/>
    <x v="0"/>
    <x v="1"/>
    <x v="1"/>
    <s v="Multi-Year"/>
    <x v="2"/>
    <s v="N/A"/>
    <s v=""/>
    <s v="Confirmed"/>
    <m/>
    <x v="0"/>
    <x v="0"/>
    <s v=""/>
    <x v="3"/>
    <x v="1"/>
    <m/>
    <n v="0"/>
    <x v="0"/>
    <s v=""/>
    <n v="4001891446.6871672"/>
  </r>
  <r>
    <x v="0"/>
    <x v="142"/>
    <x v="142"/>
    <x v="1"/>
    <x v="0"/>
    <x v="0"/>
    <x v="1"/>
    <x v="1"/>
    <s v="Multi-Year"/>
    <x v="2"/>
    <s v="N/A"/>
    <s v=""/>
    <s v="Confirmed"/>
    <m/>
    <x v="0"/>
    <x v="0"/>
    <s v=""/>
    <x v="2"/>
    <x v="0"/>
    <m/>
    <n v="0"/>
    <x v="0"/>
    <s v="Low"/>
    <n v="1019800630.5853213"/>
  </r>
  <r>
    <x v="0"/>
    <x v="143"/>
    <x v="143"/>
    <x v="6"/>
    <x v="0"/>
    <x v="0"/>
    <x v="1"/>
    <x v="1"/>
    <s v="Multi-Year"/>
    <x v="2"/>
    <s v="N/A"/>
    <n v="1549999.9999999998"/>
    <s v="Confirmed"/>
    <m/>
    <x v="0"/>
    <x v="0"/>
    <s v="Approved"/>
    <x v="2"/>
    <x v="0"/>
    <m/>
    <n v="0"/>
    <x v="1"/>
    <s v="Moderate"/>
    <n v="19578671.310841195"/>
  </r>
  <r>
    <x v="0"/>
    <x v="144"/>
    <x v="144"/>
    <x v="4"/>
    <x v="0"/>
    <x v="0"/>
    <x v="1"/>
    <x v="1"/>
    <s v="Multi-Year"/>
    <x v="2"/>
    <s v="N/A"/>
    <s v=""/>
    <s v="Confirmed"/>
    <m/>
    <x v="0"/>
    <x v="0"/>
    <s v=""/>
    <x v="4"/>
    <x v="1"/>
    <m/>
    <n v="0"/>
    <x v="0"/>
    <s v="N/A"/>
    <n v="3551452001.0684834"/>
  </r>
  <r>
    <x v="0"/>
    <x v="145"/>
    <x v="145"/>
    <x v="6"/>
    <x v="0"/>
    <x v="0"/>
    <x v="1"/>
    <x v="1"/>
    <s v="Multi-Year"/>
    <x v="2"/>
    <s v="N/A"/>
    <s v=""/>
    <s v="Confirmed"/>
    <m/>
    <x v="0"/>
    <x v="0"/>
    <s v=""/>
    <x v="2"/>
    <x v="0"/>
    <m/>
    <n v="0"/>
    <x v="0"/>
    <s v="N/A"/>
    <n v="6603048821.7575006"/>
  </r>
  <r>
    <x v="0"/>
    <x v="146"/>
    <x v="146"/>
    <x v="2"/>
    <x v="0"/>
    <x v="0"/>
    <x v="1"/>
    <x v="1"/>
    <s v="Multi-Year"/>
    <x v="2"/>
    <s v="N/A"/>
    <s v=""/>
    <s v="Confirmed"/>
    <m/>
    <x v="0"/>
    <x v="0"/>
    <s v=""/>
    <x v="0"/>
    <x v="0"/>
    <m/>
    <n v="1"/>
    <x v="0"/>
    <s v="…"/>
    <s v=""/>
  </r>
  <r>
    <x v="0"/>
    <x v="147"/>
    <x v="147"/>
    <x v="3"/>
    <x v="0"/>
    <x v="0"/>
    <x v="1"/>
    <x v="1"/>
    <s v="Multi-Year"/>
    <x v="2"/>
    <s v="N/A"/>
    <s v=""/>
    <s v="Confirmed"/>
    <m/>
    <x v="0"/>
    <x v="0"/>
    <s v=""/>
    <x v="2"/>
    <x v="0"/>
    <m/>
    <n v="0"/>
    <x v="0"/>
    <s v="High"/>
    <n v="515352723.9821828"/>
  </r>
  <r>
    <x v="0"/>
    <x v="148"/>
    <x v="148"/>
    <x v="3"/>
    <x v="0"/>
    <x v="0"/>
    <x v="1"/>
    <x v="1"/>
    <s v="Multi-Year"/>
    <x v="2"/>
    <s v="N/A"/>
    <s v=""/>
    <s v="Confirmed"/>
    <m/>
    <x v="0"/>
    <x v="0"/>
    <s v=""/>
    <x v="2"/>
    <x v="0"/>
    <m/>
    <n v="0"/>
    <x v="0"/>
    <s v="N/A"/>
    <n v="566711742.22428358"/>
  </r>
  <r>
    <x v="0"/>
    <x v="0"/>
    <x v="0"/>
    <x v="0"/>
    <x v="0"/>
    <x v="0"/>
    <x v="2"/>
    <x v="2"/>
    <s v="Multi-Year"/>
    <x v="0"/>
    <s v="N/A"/>
    <s v=""/>
    <s v="Confirmed"/>
    <m/>
    <x v="0"/>
    <x v="0"/>
    <m/>
    <x v="0"/>
    <x v="0"/>
    <m/>
    <n v="1"/>
    <x v="0"/>
    <s v="High"/>
    <n v="95829480.719269618"/>
  </r>
  <r>
    <x v="0"/>
    <x v="1"/>
    <x v="1"/>
    <x v="1"/>
    <x v="0"/>
    <x v="0"/>
    <x v="2"/>
    <x v="2"/>
    <s v="Multi-Year"/>
    <x v="0"/>
    <s v="N/A"/>
    <s v=""/>
    <s v="Confirmed"/>
    <m/>
    <x v="0"/>
    <x v="0"/>
    <m/>
    <x v="1"/>
    <x v="1"/>
    <m/>
    <n v="0"/>
    <x v="0"/>
    <s v=""/>
    <n v="427904035.52443534"/>
  </r>
  <r>
    <x v="0"/>
    <x v="2"/>
    <x v="2"/>
    <x v="2"/>
    <x v="0"/>
    <x v="0"/>
    <x v="2"/>
    <x v="2"/>
    <s v="Multi-Year"/>
    <x v="0"/>
    <s v="N/A"/>
    <s v=""/>
    <s v="Confirmed"/>
    <m/>
    <x v="0"/>
    <x v="0"/>
    <m/>
    <x v="2"/>
    <x v="0"/>
    <m/>
    <n v="0"/>
    <x v="0"/>
    <s v="N/A"/>
    <n v="7113361022.7267885"/>
  </r>
  <r>
    <x v="0"/>
    <x v="3"/>
    <x v="3"/>
    <x v="3"/>
    <x v="0"/>
    <x v="0"/>
    <x v="2"/>
    <x v="2"/>
    <s v="Multi-Year"/>
    <x v="0"/>
    <s v="N/A"/>
    <s v=""/>
    <s v="Confirmed"/>
    <m/>
    <x v="0"/>
    <x v="0"/>
    <m/>
    <x v="2"/>
    <x v="0"/>
    <m/>
    <n v="0"/>
    <x v="0"/>
    <s v="…"/>
    <n v="1131865946.5875781"/>
  </r>
  <r>
    <x v="0"/>
    <x v="4"/>
    <x v="4"/>
    <x v="4"/>
    <x v="0"/>
    <x v="0"/>
    <x v="2"/>
    <x v="2"/>
    <s v="Multi-Year"/>
    <x v="0"/>
    <s v="N/A"/>
    <s v=""/>
    <s v="Confirmed"/>
    <m/>
    <x v="0"/>
    <x v="0"/>
    <m/>
    <x v="3"/>
    <x v="1"/>
    <m/>
    <n v="0"/>
    <x v="1"/>
    <s v=""/>
    <n v="46777779.823447868"/>
  </r>
  <r>
    <x v="0"/>
    <x v="5"/>
    <x v="5"/>
    <x v="4"/>
    <x v="0"/>
    <x v="0"/>
    <x v="2"/>
    <x v="2"/>
    <s v="Multi-Year"/>
    <x v="0"/>
    <s v="N/A"/>
    <n v="93117000"/>
    <s v="Confirmed"/>
    <m/>
    <x v="0"/>
    <x v="0"/>
    <m/>
    <x v="1"/>
    <x v="1"/>
    <m/>
    <n v="0"/>
    <x v="0"/>
    <s v=""/>
    <n v="30725305777.596794"/>
  </r>
  <r>
    <x v="0"/>
    <x v="6"/>
    <x v="6"/>
    <x v="1"/>
    <x v="0"/>
    <x v="0"/>
    <x v="2"/>
    <x v="2"/>
    <s v="Multi-Year"/>
    <x v="0"/>
    <s v="N/A"/>
    <s v=""/>
    <s v="Confirmed"/>
    <m/>
    <x v="0"/>
    <x v="0"/>
    <m/>
    <x v="1"/>
    <x v="1"/>
    <m/>
    <n v="0"/>
    <x v="0"/>
    <s v=""/>
    <n v="153815827.8380394"/>
  </r>
  <r>
    <x v="0"/>
    <x v="7"/>
    <x v="7"/>
    <x v="1"/>
    <x v="0"/>
    <x v="0"/>
    <x v="2"/>
    <x v="2"/>
    <s v="Multi-Year"/>
    <x v="0"/>
    <s v="N/A"/>
    <s v=""/>
    <s v="Confirmed"/>
    <m/>
    <x v="0"/>
    <x v="0"/>
    <m/>
    <x v="1"/>
    <x v="1"/>
    <m/>
    <n v="0"/>
    <x v="0"/>
    <s v="N/A"/>
    <n v="437525105.31216973"/>
  </r>
  <r>
    <x v="0"/>
    <x v="8"/>
    <x v="8"/>
    <x v="4"/>
    <x v="0"/>
    <x v="0"/>
    <x v="2"/>
    <x v="2"/>
    <s v="Multi-Year"/>
    <x v="0"/>
    <s v="N/A"/>
    <s v=""/>
    <s v="Confirmed"/>
    <m/>
    <x v="0"/>
    <x v="0"/>
    <m/>
    <x v="3"/>
    <x v="1"/>
    <m/>
    <n v="0"/>
    <x v="1"/>
    <s v=""/>
    <n v="149463302.00602186"/>
  </r>
  <r>
    <x v="0"/>
    <x v="9"/>
    <x v="9"/>
    <x v="0"/>
    <x v="0"/>
    <x v="0"/>
    <x v="2"/>
    <x v="2"/>
    <s v="Multi-Year"/>
    <x v="0"/>
    <s v="N/A"/>
    <s v=""/>
    <s v="Confirmed"/>
    <m/>
    <x v="0"/>
    <x v="0"/>
    <m/>
    <x v="2"/>
    <x v="0"/>
    <m/>
    <n v="0"/>
    <x v="0"/>
    <s v="Low"/>
    <n v="1148322593.9600098"/>
  </r>
  <r>
    <x v="0"/>
    <x v="10"/>
    <x v="10"/>
    <x v="1"/>
    <x v="0"/>
    <x v="0"/>
    <x v="2"/>
    <x v="2"/>
    <s v="Multi-Year"/>
    <x v="0"/>
    <s v="N/A"/>
    <s v=""/>
    <s v="Confirmed"/>
    <m/>
    <x v="0"/>
    <x v="0"/>
    <m/>
    <x v="1"/>
    <x v="1"/>
    <m/>
    <n v="0"/>
    <x v="0"/>
    <s v=""/>
    <n v="2371102058.1093163"/>
  </r>
  <r>
    <x v="0"/>
    <x v="11"/>
    <x v="11"/>
    <x v="4"/>
    <x v="0"/>
    <x v="0"/>
    <x v="2"/>
    <x v="2"/>
    <s v="Multi-Year"/>
    <x v="0"/>
    <s v="N/A"/>
    <n v="2210705"/>
    <s v="Confirmed"/>
    <m/>
    <x v="0"/>
    <x v="0"/>
    <m/>
    <x v="2"/>
    <x v="1"/>
    <m/>
    <n v="0"/>
    <x v="1"/>
    <s v="N/A"/>
    <n v="75151620.005215243"/>
  </r>
  <r>
    <x v="0"/>
    <x v="12"/>
    <x v="12"/>
    <x v="5"/>
    <x v="0"/>
    <x v="0"/>
    <x v="2"/>
    <x v="2"/>
    <s v="Multi-Year"/>
    <x v="0"/>
    <s v="N/A"/>
    <s v=""/>
    <s v="Confirmed"/>
    <m/>
    <x v="0"/>
    <x v="0"/>
    <m/>
    <x v="2"/>
    <x v="0"/>
    <m/>
    <n v="0"/>
    <x v="0"/>
    <s v="Moderate"/>
    <n v="69958487.197715744"/>
  </r>
  <r>
    <x v="0"/>
    <x v="13"/>
    <x v="13"/>
    <x v="0"/>
    <x v="0"/>
    <x v="0"/>
    <x v="2"/>
    <x v="2"/>
    <s v="Multi-Year"/>
    <x v="0"/>
    <s v="N/A"/>
    <s v=""/>
    <s v="Confirmed"/>
    <m/>
    <x v="0"/>
    <x v="0"/>
    <m/>
    <x v="2"/>
    <x v="0"/>
    <m/>
    <n v="0"/>
    <x v="0"/>
    <s v="…"/>
    <n v="61654608.560629159"/>
  </r>
  <r>
    <x v="0"/>
    <x v="14"/>
    <x v="14"/>
    <x v="4"/>
    <x v="0"/>
    <x v="0"/>
    <x v="2"/>
    <x v="2"/>
    <s v="Multi-Year"/>
    <x v="0"/>
    <s v="N/A"/>
    <s v=""/>
    <s v="Confirmed"/>
    <m/>
    <x v="0"/>
    <x v="0"/>
    <m/>
    <x v="2"/>
    <x v="0"/>
    <m/>
    <n v="0"/>
    <x v="0"/>
    <s v="N/A"/>
    <n v="1806638707.7615163"/>
  </r>
  <r>
    <x v="0"/>
    <x v="15"/>
    <x v="15"/>
    <x v="1"/>
    <x v="0"/>
    <x v="0"/>
    <x v="2"/>
    <x v="2"/>
    <s v="Multi-Year"/>
    <x v="0"/>
    <s v="N/A"/>
    <s v=""/>
    <s v="Confirmed"/>
    <m/>
    <x v="0"/>
    <x v="0"/>
    <m/>
    <x v="1"/>
    <x v="1"/>
    <m/>
    <n v="0"/>
    <x v="0"/>
    <s v="N/A"/>
    <n v="1252696525.0627904"/>
  </r>
  <r>
    <x v="0"/>
    <x v="16"/>
    <x v="16"/>
    <x v="3"/>
    <x v="0"/>
    <x v="0"/>
    <x v="2"/>
    <x v="2"/>
    <s v="Multi-Year"/>
    <x v="0"/>
    <s v="N/A"/>
    <s v=""/>
    <s v="Confirmed"/>
    <m/>
    <x v="0"/>
    <x v="0"/>
    <m/>
    <x v="1"/>
    <x v="1"/>
    <m/>
    <n v="0"/>
    <x v="0"/>
    <s v=""/>
    <n v="843425084.07334602"/>
  </r>
  <r>
    <x v="0"/>
    <x v="17"/>
    <x v="17"/>
    <x v="4"/>
    <x v="0"/>
    <x v="0"/>
    <x v="2"/>
    <x v="2"/>
    <s v="Multi-Year"/>
    <x v="0"/>
    <s v="N/A"/>
    <s v=""/>
    <s v="Confirmed"/>
    <m/>
    <x v="0"/>
    <x v="0"/>
    <m/>
    <x v="1"/>
    <x v="1"/>
    <m/>
    <n v="0"/>
    <x v="0"/>
    <s v="N/A"/>
    <n v="74055620038.853683"/>
  </r>
  <r>
    <x v="0"/>
    <x v="18"/>
    <x v="18"/>
    <x v="1"/>
    <x v="0"/>
    <x v="0"/>
    <x v="2"/>
    <x v="2"/>
    <s v="Multi-Year"/>
    <x v="0"/>
    <s v="N/A"/>
    <s v=""/>
    <s v="Confirmed"/>
    <m/>
    <x v="0"/>
    <x v="0"/>
    <m/>
    <x v="1"/>
    <x v="1"/>
    <m/>
    <n v="0"/>
    <x v="0"/>
    <s v=""/>
    <n v="2803357765.5888777"/>
  </r>
  <r>
    <x v="0"/>
    <x v="19"/>
    <x v="19"/>
    <x v="5"/>
    <x v="0"/>
    <x v="0"/>
    <x v="2"/>
    <x v="2"/>
    <s v="Multi-Year"/>
    <x v="0"/>
    <s v="N/A"/>
    <s v=""/>
    <s v="Confirmed"/>
    <m/>
    <x v="0"/>
    <x v="0"/>
    <m/>
    <x v="0"/>
    <x v="0"/>
    <m/>
    <n v="2"/>
    <x v="0"/>
    <s v="Moderate"/>
    <n v="337927779.25510043"/>
  </r>
  <r>
    <x v="0"/>
    <x v="20"/>
    <x v="20"/>
    <x v="3"/>
    <x v="0"/>
    <x v="0"/>
    <x v="2"/>
    <x v="2"/>
    <s v="Multi-Year"/>
    <x v="0"/>
    <s v="N/A"/>
    <s v=""/>
    <s v="Confirmed"/>
    <m/>
    <x v="0"/>
    <x v="0"/>
    <m/>
    <x v="0"/>
    <x v="0"/>
    <m/>
    <n v="2"/>
    <x v="0"/>
    <s v="…"/>
    <n v="65979512.47399316"/>
  </r>
  <r>
    <x v="0"/>
    <x v="21"/>
    <x v="21"/>
    <x v="5"/>
    <x v="0"/>
    <x v="0"/>
    <x v="2"/>
    <x v="2"/>
    <s v="Multi-Year"/>
    <x v="0"/>
    <s v="N/A"/>
    <s v=""/>
    <s v="Confirmed"/>
    <m/>
    <x v="0"/>
    <x v="0"/>
    <m/>
    <x v="2"/>
    <x v="0"/>
    <m/>
    <n v="0"/>
    <x v="1"/>
    <s v="High"/>
    <n v="63748362.778827004"/>
  </r>
  <r>
    <x v="0"/>
    <x v="22"/>
    <x v="22"/>
    <x v="6"/>
    <x v="0"/>
    <x v="0"/>
    <x v="2"/>
    <x v="2"/>
    <s v="Multi-Year"/>
    <x v="0"/>
    <s v="N/A"/>
    <s v=""/>
    <s v="Confirmed"/>
    <m/>
    <x v="0"/>
    <x v="0"/>
    <m/>
    <x v="2"/>
    <x v="0"/>
    <m/>
    <n v="0"/>
    <x v="0"/>
    <s v="Low"/>
    <n v="313039649.45369786"/>
  </r>
  <r>
    <x v="0"/>
    <x v="23"/>
    <x v="23"/>
    <x v="5"/>
    <x v="0"/>
    <x v="0"/>
    <x v="2"/>
    <x v="2"/>
    <s v="Multi-Year"/>
    <x v="0"/>
    <s v="N/A"/>
    <s v=""/>
    <s v="Confirmed"/>
    <m/>
    <x v="0"/>
    <x v="0"/>
    <m/>
    <x v="2"/>
    <x v="0"/>
    <m/>
    <n v="2"/>
    <x v="0"/>
    <s v="High"/>
    <n v="81361801.477472037"/>
  </r>
  <r>
    <x v="0"/>
    <x v="24"/>
    <x v="24"/>
    <x v="5"/>
    <x v="0"/>
    <x v="0"/>
    <x v="2"/>
    <x v="2"/>
    <s v="Multi-Year"/>
    <x v="0"/>
    <s v="N/A"/>
    <s v=""/>
    <s v="Confirmed"/>
    <m/>
    <x v="0"/>
    <x v="0"/>
    <m/>
    <x v="0"/>
    <x v="0"/>
    <m/>
    <n v="1"/>
    <x v="0"/>
    <s v="High"/>
    <s v=""/>
  </r>
  <r>
    <x v="0"/>
    <x v="25"/>
    <x v="25"/>
    <x v="5"/>
    <x v="0"/>
    <x v="0"/>
    <x v="2"/>
    <x v="2"/>
    <s v="Multi-Year"/>
    <x v="0"/>
    <s v="N/A"/>
    <s v=""/>
    <s v="Confirmed"/>
    <m/>
    <x v="0"/>
    <x v="0"/>
    <m/>
    <x v="0"/>
    <x v="0"/>
    <m/>
    <n v="1"/>
    <x v="0"/>
    <s v="High"/>
    <n v="76939306.715636879"/>
  </r>
  <r>
    <x v="0"/>
    <x v="26"/>
    <x v="26"/>
    <x v="4"/>
    <x v="0"/>
    <x v="0"/>
    <x v="2"/>
    <x v="2"/>
    <s v="Multi-Year"/>
    <x v="0"/>
    <s v="N/A"/>
    <s v=""/>
    <s v="Confirmed"/>
    <m/>
    <x v="0"/>
    <x v="0"/>
    <m/>
    <x v="3"/>
    <x v="1"/>
    <m/>
    <n v="0"/>
    <x v="0"/>
    <s v=""/>
    <n v="13859708717.682571"/>
  </r>
  <r>
    <x v="0"/>
    <x v="27"/>
    <x v="27"/>
    <x v="6"/>
    <x v="0"/>
    <x v="0"/>
    <x v="2"/>
    <x v="2"/>
    <s v="Multi-Year"/>
    <x v="0"/>
    <s v="N/A"/>
    <s v=""/>
    <s v="Confirmed"/>
    <m/>
    <x v="0"/>
    <x v="0"/>
    <m/>
    <x v="1"/>
    <x v="1"/>
    <m/>
    <n v="0"/>
    <x v="0"/>
    <s v=""/>
    <n v="403567160707.7016"/>
  </r>
  <r>
    <x v="0"/>
    <x v="28"/>
    <x v="28"/>
    <x v="4"/>
    <x v="0"/>
    <x v="0"/>
    <x v="2"/>
    <x v="2"/>
    <s v="Multi-Year"/>
    <x v="0"/>
    <s v="N/A"/>
    <s v=""/>
    <s v="Confirmed"/>
    <m/>
    <x v="0"/>
    <x v="0"/>
    <m/>
    <x v="1"/>
    <x v="1"/>
    <m/>
    <n v="0"/>
    <x v="0"/>
    <s v=""/>
    <n v="18250225995.972618"/>
  </r>
  <r>
    <x v="0"/>
    <x v="29"/>
    <x v="29"/>
    <x v="3"/>
    <x v="0"/>
    <x v="0"/>
    <x v="2"/>
    <x v="2"/>
    <s v="Multi-Year"/>
    <x v="0"/>
    <s v="N/A"/>
    <s v=""/>
    <s v="Confirmed"/>
    <m/>
    <x v="0"/>
    <x v="0"/>
    <m/>
    <x v="2"/>
    <x v="0"/>
    <m/>
    <n v="0"/>
    <x v="1"/>
    <s v="Moderate"/>
    <n v="5027591.1682657599"/>
  </r>
  <r>
    <x v="0"/>
    <x v="30"/>
    <x v="30"/>
    <x v="5"/>
    <x v="0"/>
    <x v="0"/>
    <x v="2"/>
    <x v="2"/>
    <s v="Multi-Year"/>
    <x v="0"/>
    <s v="N/A"/>
    <s v=""/>
    <s v="Confirmed"/>
    <m/>
    <x v="0"/>
    <x v="0"/>
    <m/>
    <x v="0"/>
    <x v="0"/>
    <m/>
    <n v="3"/>
    <x v="0"/>
    <s v="Moderate"/>
    <n v="234645958.63289919"/>
  </r>
  <r>
    <x v="0"/>
    <x v="31"/>
    <x v="31"/>
    <x v="5"/>
    <x v="0"/>
    <x v="0"/>
    <x v="2"/>
    <x v="2"/>
    <s v="Multi-Year"/>
    <x v="0"/>
    <s v="N/A"/>
    <s v=""/>
    <s v="Confirmed"/>
    <m/>
    <x v="0"/>
    <x v="0"/>
    <m/>
    <x v="2"/>
    <x v="0"/>
    <m/>
    <n v="2"/>
    <x v="0"/>
    <s v="In distress"/>
    <n v="91590910.247314155"/>
  </r>
  <r>
    <x v="0"/>
    <x v="32"/>
    <x v="32"/>
    <x v="6"/>
    <x v="0"/>
    <x v="0"/>
    <x v="2"/>
    <x v="2"/>
    <s v="Multi-Year"/>
    <x v="0"/>
    <s v="N/A"/>
    <s v=""/>
    <s v="Confirmed"/>
    <m/>
    <x v="0"/>
    <x v="0"/>
    <m/>
    <x v="4"/>
    <x v="1"/>
    <m/>
    <n v="0"/>
    <x v="1"/>
    <s v="N/A"/>
    <n v="8560012.8840167802"/>
  </r>
  <r>
    <x v="0"/>
    <x v="33"/>
    <x v="33"/>
    <x v="4"/>
    <x v="0"/>
    <x v="0"/>
    <x v="2"/>
    <x v="2"/>
    <s v="Multi-Year"/>
    <x v="0"/>
    <s v="N/A"/>
    <s v=""/>
    <s v="Confirmed"/>
    <m/>
    <x v="0"/>
    <x v="0"/>
    <m/>
    <x v="1"/>
    <x v="1"/>
    <m/>
    <n v="0"/>
    <x v="0"/>
    <s v="N/A"/>
    <n v="3292372960.3962669"/>
  </r>
  <r>
    <x v="0"/>
    <x v="34"/>
    <x v="34"/>
    <x v="5"/>
    <x v="0"/>
    <x v="0"/>
    <x v="2"/>
    <x v="2"/>
    <s v="Multi-Year"/>
    <x v="0"/>
    <s v="N/A"/>
    <s v=""/>
    <s v="Confirmed"/>
    <m/>
    <x v="0"/>
    <x v="0"/>
    <m/>
    <x v="2"/>
    <x v="0"/>
    <m/>
    <n v="0"/>
    <x v="0"/>
    <s v="Moderate"/>
    <n v="519209981.22981054"/>
  </r>
  <r>
    <x v="0"/>
    <x v="35"/>
    <x v="35"/>
    <x v="1"/>
    <x v="0"/>
    <x v="0"/>
    <x v="2"/>
    <x v="2"/>
    <s v="Multi-Year"/>
    <x v="0"/>
    <s v="N/A"/>
    <s v=""/>
    <s v="Confirmed"/>
    <m/>
    <x v="0"/>
    <x v="0"/>
    <m/>
    <x v="3"/>
    <x v="1"/>
    <m/>
    <n v="0"/>
    <x v="0"/>
    <s v=""/>
    <n v="3464739907.1604805"/>
  </r>
  <r>
    <x v="0"/>
    <x v="36"/>
    <x v="36"/>
    <x v="4"/>
    <x v="0"/>
    <x v="0"/>
    <x v="2"/>
    <x v="2"/>
    <s v="Multi-Year"/>
    <x v="0"/>
    <s v="N/A"/>
    <s v=""/>
    <s v="Confirmed"/>
    <m/>
    <x v="0"/>
    <x v="0"/>
    <m/>
    <x v="1"/>
    <x v="1"/>
    <m/>
    <n v="0"/>
    <x v="1"/>
    <s v=""/>
    <n v="9948521252.2569065"/>
  </r>
  <r>
    <x v="0"/>
    <x v="37"/>
    <x v="37"/>
    <x v="2"/>
    <x v="0"/>
    <x v="0"/>
    <x v="2"/>
    <x v="2"/>
    <s v="Multi-Year"/>
    <x v="0"/>
    <s v="N/A"/>
    <s v=""/>
    <s v="Confirmed"/>
    <m/>
    <x v="0"/>
    <x v="0"/>
    <m/>
    <x v="2"/>
    <x v="0"/>
    <m/>
    <n v="1"/>
    <x v="0"/>
    <s v="High"/>
    <n v="33679192.765657313"/>
  </r>
  <r>
    <x v="0"/>
    <x v="38"/>
    <x v="38"/>
    <x v="4"/>
    <x v="0"/>
    <x v="0"/>
    <x v="2"/>
    <x v="2"/>
    <s v="Multi-Year"/>
    <x v="0"/>
    <s v="N/A"/>
    <s v=""/>
    <s v="Confirmed"/>
    <m/>
    <x v="0"/>
    <x v="0"/>
    <m/>
    <x v="1"/>
    <x v="0"/>
    <m/>
    <n v="0"/>
    <x v="1"/>
    <s v="…"/>
    <n v="22784494.365742501"/>
  </r>
  <r>
    <x v="0"/>
    <x v="39"/>
    <x v="39"/>
    <x v="4"/>
    <x v="0"/>
    <x v="0"/>
    <x v="2"/>
    <x v="2"/>
    <s v="Multi-Year"/>
    <x v="0"/>
    <s v="N/A"/>
    <n v="22889280"/>
    <s v="Confirmed"/>
    <m/>
    <x v="0"/>
    <x v="0"/>
    <m/>
    <x v="1"/>
    <x v="1"/>
    <m/>
    <n v="0"/>
    <x v="1"/>
    <s v=""/>
    <n v="2173208011.4858823"/>
  </r>
  <r>
    <x v="0"/>
    <x v="40"/>
    <x v="40"/>
    <x v="4"/>
    <x v="0"/>
    <x v="0"/>
    <x v="2"/>
    <x v="2"/>
    <s v="Multi-Year"/>
    <x v="0"/>
    <s v="N/A"/>
    <n v="142567587"/>
    <s v="Confirmed"/>
    <m/>
    <x v="0"/>
    <x v="0"/>
    <m/>
    <x v="1"/>
    <x v="1"/>
    <m/>
    <n v="0"/>
    <x v="0"/>
    <s v="N/A"/>
    <n v="4585736158.8323269"/>
  </r>
  <r>
    <x v="0"/>
    <x v="41"/>
    <x v="41"/>
    <x v="2"/>
    <x v="0"/>
    <x v="0"/>
    <x v="2"/>
    <x v="2"/>
    <s v="Multi-Year"/>
    <x v="0"/>
    <s v="N/A"/>
    <s v=""/>
    <s v="Confirmed"/>
    <m/>
    <x v="0"/>
    <x v="0"/>
    <m/>
    <x v="2"/>
    <x v="0"/>
    <m/>
    <n v="0"/>
    <x v="0"/>
    <s v="N/A"/>
    <n v="3550291584.8645592"/>
  </r>
  <r>
    <x v="0"/>
    <x v="42"/>
    <x v="42"/>
    <x v="4"/>
    <x v="0"/>
    <x v="0"/>
    <x v="2"/>
    <x v="2"/>
    <s v="Multi-Year"/>
    <x v="0"/>
    <s v="N/A"/>
    <n v="20000000"/>
    <s v="Confirmed"/>
    <m/>
    <x v="0"/>
    <x v="0"/>
    <m/>
    <x v="2"/>
    <x v="0"/>
    <m/>
    <n v="0"/>
    <x v="0"/>
    <s v="N/A"/>
    <n v="1182840319.0410969"/>
  </r>
  <r>
    <x v="0"/>
    <x v="43"/>
    <x v="43"/>
    <x v="4"/>
    <x v="0"/>
    <x v="0"/>
    <x v="2"/>
    <x v="2"/>
    <s v="Multi-Year"/>
    <x v="0"/>
    <s v="N/A"/>
    <s v=""/>
    <s v="Confirmed"/>
    <m/>
    <x v="0"/>
    <x v="0"/>
    <m/>
    <x v="1"/>
    <x v="1"/>
    <m/>
    <n v="0"/>
    <x v="0"/>
    <s v=""/>
    <n v="81728347.604567245"/>
  </r>
  <r>
    <x v="0"/>
    <x v="44"/>
    <x v="44"/>
    <x v="3"/>
    <x v="0"/>
    <x v="0"/>
    <x v="2"/>
    <x v="2"/>
    <s v="Multi-Year"/>
    <x v="0"/>
    <s v="N/A"/>
    <s v=""/>
    <s v="Confirmed"/>
    <m/>
    <x v="0"/>
    <x v="0"/>
    <m/>
    <x v="0"/>
    <x v="0"/>
    <m/>
    <n v="2"/>
    <x v="0"/>
    <s v="N/A"/>
    <n v="12787914.977715338"/>
  </r>
  <r>
    <x v="0"/>
    <x v="45"/>
    <x v="45"/>
    <x v="3"/>
    <x v="0"/>
    <x v="0"/>
    <x v="2"/>
    <x v="2"/>
    <s v="Multi-Year"/>
    <x v="0"/>
    <s v="N/A"/>
    <s v=""/>
    <s v="Confirmed"/>
    <m/>
    <x v="0"/>
    <x v="0"/>
    <m/>
    <x v="2"/>
    <x v="0"/>
    <m/>
    <n v="2"/>
    <x v="0"/>
    <s v="N/A"/>
    <n v="101271737.65410839"/>
  </r>
  <r>
    <x v="0"/>
    <x v="46"/>
    <x v="46"/>
    <x v="3"/>
    <x v="0"/>
    <x v="0"/>
    <x v="2"/>
    <x v="2"/>
    <s v="Multi-Year"/>
    <x v="0"/>
    <s v="N/A"/>
    <s v=""/>
    <s v="Confirmed"/>
    <m/>
    <x v="0"/>
    <x v="0"/>
    <m/>
    <x v="0"/>
    <x v="0"/>
    <m/>
    <n v="3"/>
    <x v="0"/>
    <s v="High"/>
    <n v="618344226.71759331"/>
  </r>
  <r>
    <x v="0"/>
    <x v="47"/>
    <x v="47"/>
    <x v="6"/>
    <x v="0"/>
    <x v="0"/>
    <x v="2"/>
    <x v="2"/>
    <s v="Multi-Year"/>
    <x v="0"/>
    <s v="N/A"/>
    <s v=""/>
    <s v="Confirmed"/>
    <m/>
    <x v="0"/>
    <x v="0"/>
    <m/>
    <x v="1"/>
    <x v="0"/>
    <m/>
    <n v="0"/>
    <x v="1"/>
    <s v="…"/>
    <n v="129483872.95906857"/>
  </r>
  <r>
    <x v="0"/>
    <x v="48"/>
    <x v="48"/>
    <x v="5"/>
    <x v="0"/>
    <x v="0"/>
    <x v="2"/>
    <x v="2"/>
    <s v="Multi-Year"/>
    <x v="0"/>
    <s v="N/A"/>
    <s v=""/>
    <s v="Confirmed"/>
    <m/>
    <x v="0"/>
    <x v="0"/>
    <m/>
    <x v="1"/>
    <x v="1"/>
    <m/>
    <n v="0"/>
    <x v="0"/>
    <s v="N/A"/>
    <n v="271184658.35014349"/>
  </r>
  <r>
    <x v="0"/>
    <x v="49"/>
    <x v="49"/>
    <x v="5"/>
    <x v="0"/>
    <x v="0"/>
    <x v="2"/>
    <x v="2"/>
    <s v="Multi-Year"/>
    <x v="0"/>
    <s v="N/A"/>
    <s v=""/>
    <s v="Confirmed"/>
    <m/>
    <x v="0"/>
    <x v="0"/>
    <m/>
    <x v="0"/>
    <x v="0"/>
    <m/>
    <n v="0"/>
    <x v="0"/>
    <s v="High"/>
    <n v="15455265.086884515"/>
  </r>
  <r>
    <x v="0"/>
    <x v="50"/>
    <x v="50"/>
    <x v="1"/>
    <x v="0"/>
    <x v="0"/>
    <x v="2"/>
    <x v="2"/>
    <s v="Multi-Year"/>
    <x v="0"/>
    <s v="N/A"/>
    <s v=""/>
    <s v="Confirmed"/>
    <m/>
    <x v="0"/>
    <x v="0"/>
    <m/>
    <x v="1"/>
    <x v="1"/>
    <m/>
    <n v="0"/>
    <x v="0"/>
    <s v="N/A"/>
    <n v="494021502.525527"/>
  </r>
  <r>
    <x v="0"/>
    <x v="51"/>
    <x v="51"/>
    <x v="5"/>
    <x v="0"/>
    <x v="0"/>
    <x v="2"/>
    <x v="2"/>
    <s v="Multi-Year"/>
    <x v="0"/>
    <s v="N/A"/>
    <s v=""/>
    <s v="Confirmed"/>
    <m/>
    <x v="0"/>
    <x v="0"/>
    <m/>
    <x v="2"/>
    <x v="0"/>
    <m/>
    <n v="0"/>
    <x v="0"/>
    <s v="High"/>
    <n v="902005621.73836684"/>
  </r>
  <r>
    <x v="0"/>
    <x v="52"/>
    <x v="52"/>
    <x v="4"/>
    <x v="0"/>
    <x v="0"/>
    <x v="2"/>
    <x v="2"/>
    <s v="Multi-Year"/>
    <x v="0"/>
    <s v="N/A"/>
    <s v=""/>
    <s v="Confirmed"/>
    <m/>
    <x v="0"/>
    <x v="0"/>
    <m/>
    <x v="1"/>
    <x v="0"/>
    <m/>
    <n v="0"/>
    <x v="1"/>
    <s v="In distress"/>
    <n v="20201670.142996579"/>
  </r>
  <r>
    <x v="0"/>
    <x v="53"/>
    <x v="53"/>
    <x v="4"/>
    <x v="0"/>
    <x v="0"/>
    <x v="2"/>
    <x v="2"/>
    <s v="Multi-Year"/>
    <x v="0"/>
    <s v="N/A"/>
    <s v=""/>
    <s v="Confirmed"/>
    <m/>
    <x v="0"/>
    <x v="0"/>
    <m/>
    <x v="1"/>
    <x v="1"/>
    <m/>
    <n v="0"/>
    <x v="0"/>
    <s v=""/>
    <n v="1612434649.6948864"/>
  </r>
  <r>
    <x v="0"/>
    <x v="54"/>
    <x v="54"/>
    <x v="5"/>
    <x v="0"/>
    <x v="0"/>
    <x v="2"/>
    <x v="2"/>
    <s v="Multi-Year"/>
    <x v="0"/>
    <s v="N/A"/>
    <s v=""/>
    <s v="Confirmed"/>
    <m/>
    <x v="0"/>
    <x v="0"/>
    <m/>
    <x v="0"/>
    <x v="0"/>
    <m/>
    <n v="0"/>
    <x v="0"/>
    <s v="Moderate"/>
    <n v="78203134.118229344"/>
  </r>
  <r>
    <x v="0"/>
    <x v="55"/>
    <x v="55"/>
    <x v="5"/>
    <x v="0"/>
    <x v="0"/>
    <x v="2"/>
    <x v="2"/>
    <s v="Multi-Year"/>
    <x v="0"/>
    <s v="N/A"/>
    <s v=""/>
    <s v="Confirmed"/>
    <m/>
    <x v="0"/>
    <x v="0"/>
    <m/>
    <x v="0"/>
    <x v="0"/>
    <m/>
    <n v="2"/>
    <x v="1"/>
    <s v="High"/>
    <n v="9151637.7411015611"/>
  </r>
  <r>
    <x v="0"/>
    <x v="56"/>
    <x v="56"/>
    <x v="4"/>
    <x v="0"/>
    <x v="0"/>
    <x v="2"/>
    <x v="2"/>
    <s v="Multi-Year"/>
    <x v="0"/>
    <s v="N/A"/>
    <s v=""/>
    <s v="Confirmed"/>
    <m/>
    <x v="0"/>
    <x v="0"/>
    <m/>
    <x v="1"/>
    <x v="0"/>
    <m/>
    <n v="0"/>
    <x v="1"/>
    <s v="Moderate"/>
    <n v="142455920.02856269"/>
  </r>
  <r>
    <x v="0"/>
    <x v="57"/>
    <x v="57"/>
    <x v="4"/>
    <x v="0"/>
    <x v="0"/>
    <x v="2"/>
    <x v="2"/>
    <s v="Multi-Year"/>
    <x v="0"/>
    <s v="N/A"/>
    <s v=""/>
    <s v="Confirmed"/>
    <m/>
    <x v="0"/>
    <x v="0"/>
    <m/>
    <x v="2"/>
    <x v="0"/>
    <m/>
    <n v="1"/>
    <x v="1"/>
    <s v="High"/>
    <n v="85611818.171245083"/>
  </r>
  <r>
    <x v="0"/>
    <x v="58"/>
    <x v="58"/>
    <x v="4"/>
    <x v="0"/>
    <x v="0"/>
    <x v="2"/>
    <x v="2"/>
    <s v="Multi-Year"/>
    <x v="0"/>
    <s v="N/A"/>
    <n v="13500000"/>
    <s v="Confirmed"/>
    <m/>
    <x v="0"/>
    <x v="0"/>
    <m/>
    <x v="2"/>
    <x v="0"/>
    <m/>
    <n v="0"/>
    <x v="0"/>
    <s v="Low"/>
    <n v="680289736.30082119"/>
  </r>
  <r>
    <x v="0"/>
    <x v="59"/>
    <x v="59"/>
    <x v="0"/>
    <x v="0"/>
    <x v="0"/>
    <x v="2"/>
    <x v="2"/>
    <s v="Multi-Year"/>
    <x v="0"/>
    <s v="N/A"/>
    <s v=""/>
    <s v="Confirmed"/>
    <m/>
    <x v="0"/>
    <x v="0"/>
    <m/>
    <x v="2"/>
    <x v="0"/>
    <m/>
    <n v="0"/>
    <x v="0"/>
    <s v="N/A"/>
    <n v="26554332750.47023"/>
  </r>
  <r>
    <x v="0"/>
    <x v="60"/>
    <x v="60"/>
    <x v="6"/>
    <x v="0"/>
    <x v="0"/>
    <x v="2"/>
    <x v="2"/>
    <s v="Multi-Year"/>
    <x v="0"/>
    <s v="N/A"/>
    <s v=""/>
    <s v="Confirmed"/>
    <m/>
    <x v="0"/>
    <x v="0"/>
    <m/>
    <x v="2"/>
    <x v="0"/>
    <m/>
    <n v="0"/>
    <x v="0"/>
    <s v="N/A"/>
    <n v="14745961064.890842"/>
  </r>
  <r>
    <x v="0"/>
    <x v="61"/>
    <x v="61"/>
    <x v="2"/>
    <x v="0"/>
    <x v="0"/>
    <x v="2"/>
    <x v="2"/>
    <s v="Multi-Year"/>
    <x v="0"/>
    <s v="N/A"/>
    <s v=""/>
    <s v="Confirmed"/>
    <m/>
    <x v="0"/>
    <x v="0"/>
    <m/>
    <x v="2"/>
    <x v="1"/>
    <m/>
    <n v="0"/>
    <x v="0"/>
    <s v="N/A"/>
    <n v="18194076299.786381"/>
  </r>
  <r>
    <x v="0"/>
    <x v="62"/>
    <x v="62"/>
    <x v="2"/>
    <x v="0"/>
    <x v="0"/>
    <x v="2"/>
    <x v="2"/>
    <s v="Multi-Year"/>
    <x v="0"/>
    <s v="N/A"/>
    <s v=""/>
    <s v="Confirmed"/>
    <m/>
    <x v="0"/>
    <x v="0"/>
    <m/>
    <x v="1"/>
    <x v="1"/>
    <m/>
    <n v="0"/>
    <x v="0"/>
    <s v="N/A"/>
    <n v="4428819387.769825"/>
  </r>
  <r>
    <x v="0"/>
    <x v="63"/>
    <x v="63"/>
    <x v="4"/>
    <x v="0"/>
    <x v="0"/>
    <x v="2"/>
    <x v="2"/>
    <s v="Multi-Year"/>
    <x v="0"/>
    <s v="N/A"/>
    <s v=""/>
    <s v="Confirmed"/>
    <m/>
    <x v="0"/>
    <x v="0"/>
    <m/>
    <x v="1"/>
    <x v="1"/>
    <m/>
    <n v="0"/>
    <x v="1"/>
    <s v=""/>
    <n v="611739560.62679195"/>
  </r>
  <r>
    <x v="0"/>
    <x v="64"/>
    <x v="64"/>
    <x v="2"/>
    <x v="0"/>
    <x v="0"/>
    <x v="2"/>
    <x v="2"/>
    <s v="Multi-Year"/>
    <x v="0"/>
    <s v="N/A"/>
    <s v=""/>
    <s v="Confirmed"/>
    <m/>
    <x v="0"/>
    <x v="0"/>
    <m/>
    <x v="1"/>
    <x v="1"/>
    <m/>
    <n v="0"/>
    <x v="0"/>
    <s v="N/A"/>
    <n v="1617913383.0481031"/>
  </r>
  <r>
    <x v="0"/>
    <x v="65"/>
    <x v="65"/>
    <x v="1"/>
    <x v="0"/>
    <x v="0"/>
    <x v="2"/>
    <x v="2"/>
    <s v="Multi-Year"/>
    <x v="0"/>
    <s v="N/A"/>
    <s v=""/>
    <s v="Confirmed"/>
    <m/>
    <x v="0"/>
    <x v="0"/>
    <m/>
    <x v="1"/>
    <x v="1"/>
    <m/>
    <n v="0"/>
    <x v="0"/>
    <s v=""/>
    <n v="3074419112.4562683"/>
  </r>
  <r>
    <x v="0"/>
    <x v="66"/>
    <x v="66"/>
    <x v="3"/>
    <x v="0"/>
    <x v="0"/>
    <x v="2"/>
    <x v="2"/>
    <s v="Multi-Year"/>
    <x v="0"/>
    <s v="N/A"/>
    <s v=""/>
    <s v="Confirmed"/>
    <m/>
    <x v="0"/>
    <x v="0"/>
    <m/>
    <x v="2"/>
    <x v="0"/>
    <m/>
    <n v="0"/>
    <x v="0"/>
    <s v="High"/>
    <n v="1914014279.8929913"/>
  </r>
  <r>
    <x v="0"/>
    <x v="67"/>
    <x v="67"/>
    <x v="6"/>
    <x v="0"/>
    <x v="0"/>
    <x v="2"/>
    <x v="2"/>
    <s v="Multi-Year"/>
    <x v="0"/>
    <s v="N/A"/>
    <s v=""/>
    <s v="Confirmed"/>
    <m/>
    <x v="0"/>
    <x v="0"/>
    <m/>
    <x v="2"/>
    <x v="0"/>
    <m/>
    <n v="0"/>
    <x v="1"/>
    <s v="High"/>
    <n v="17422005.762907442"/>
  </r>
  <r>
    <x v="0"/>
    <x v="68"/>
    <x v="68"/>
    <x v="6"/>
    <x v="0"/>
    <x v="0"/>
    <x v="2"/>
    <x v="2"/>
    <s v="Multi-Year"/>
    <x v="0"/>
    <s v="N/A"/>
    <s v=""/>
    <s v="Confirmed"/>
    <m/>
    <x v="0"/>
    <x v="0"/>
    <m/>
    <x v="0"/>
    <x v="0"/>
    <m/>
    <n v="0"/>
    <x v="0"/>
    <s v="N/A"/>
    <s v=""/>
  </r>
  <r>
    <x v="0"/>
    <x v="69"/>
    <x v="69"/>
    <x v="1"/>
    <x v="0"/>
    <x v="0"/>
    <x v="2"/>
    <x v="2"/>
    <s v="Multi-Year"/>
    <x v="0"/>
    <s v="N/A"/>
    <s v=""/>
    <s v="Confirmed"/>
    <m/>
    <x v="0"/>
    <x v="0"/>
    <m/>
    <x v="1"/>
    <x v="0"/>
    <m/>
    <n v="0"/>
    <x v="0"/>
    <s v="…"/>
    <s v=""/>
  </r>
  <r>
    <x v="0"/>
    <x v="70"/>
    <x v="70"/>
    <x v="1"/>
    <x v="0"/>
    <x v="0"/>
    <x v="2"/>
    <x v="2"/>
    <s v="Multi-Year"/>
    <x v="0"/>
    <s v="N/A"/>
    <s v=""/>
    <s v="Confirmed"/>
    <m/>
    <x v="0"/>
    <x v="0"/>
    <m/>
    <x v="2"/>
    <x v="0"/>
    <m/>
    <n v="2"/>
    <x v="0"/>
    <s v="Moderate"/>
    <n v="231506834.84347546"/>
  </r>
  <r>
    <x v="0"/>
    <x v="71"/>
    <x v="71"/>
    <x v="6"/>
    <x v="0"/>
    <x v="0"/>
    <x v="2"/>
    <x v="2"/>
    <s v="Multi-Year"/>
    <x v="0"/>
    <s v="N/A"/>
    <s v=""/>
    <s v="Confirmed"/>
    <m/>
    <x v="0"/>
    <x v="0"/>
    <m/>
    <x v="2"/>
    <x v="0"/>
    <m/>
    <n v="0"/>
    <x v="0"/>
    <s v="High"/>
    <n v="156059428.62944782"/>
  </r>
  <r>
    <x v="0"/>
    <x v="72"/>
    <x v="72"/>
    <x v="2"/>
    <x v="0"/>
    <x v="0"/>
    <x v="2"/>
    <x v="2"/>
    <s v="Multi-Year"/>
    <x v="0"/>
    <s v="N/A"/>
    <s v=""/>
    <s v="Confirmed"/>
    <m/>
    <x v="0"/>
    <x v="0"/>
    <m/>
    <x v="1"/>
    <x v="1"/>
    <m/>
    <n v="0"/>
    <x v="0"/>
    <s v="N/A"/>
    <n v="2355391507.1635861"/>
  </r>
  <r>
    <x v="0"/>
    <x v="73"/>
    <x v="73"/>
    <x v="3"/>
    <x v="0"/>
    <x v="0"/>
    <x v="2"/>
    <x v="2"/>
    <s v="Multi-Year"/>
    <x v="0"/>
    <s v="N/A"/>
    <s v=""/>
    <s v="Confirmed"/>
    <m/>
    <x v="0"/>
    <x v="0"/>
    <m/>
    <x v="2"/>
    <x v="0"/>
    <m/>
    <n v="0"/>
    <x v="0"/>
    <s v="Moderate"/>
    <n v="152760919.7684873"/>
  </r>
  <r>
    <x v="0"/>
    <x v="74"/>
    <x v="74"/>
    <x v="5"/>
    <x v="0"/>
    <x v="0"/>
    <x v="2"/>
    <x v="2"/>
    <s v="Multi-Year"/>
    <x v="0"/>
    <s v="N/A"/>
    <s v=""/>
    <s v="Confirmed"/>
    <m/>
    <x v="0"/>
    <x v="0"/>
    <m/>
    <x v="0"/>
    <x v="0"/>
    <m/>
    <n v="0"/>
    <x v="0"/>
    <s v="High"/>
    <n v="55072006.864440605"/>
  </r>
  <r>
    <x v="0"/>
    <x v="75"/>
    <x v="75"/>
    <x v="2"/>
    <x v="0"/>
    <x v="0"/>
    <x v="2"/>
    <x v="2"/>
    <s v="Multi-Year"/>
    <x v="0"/>
    <s v="N/A"/>
    <s v=""/>
    <s v="Confirmed"/>
    <m/>
    <x v="0"/>
    <x v="0"/>
    <m/>
    <x v="1"/>
    <x v="1"/>
    <m/>
    <n v="0"/>
    <x v="0"/>
    <s v="N/A"/>
    <s v=""/>
  </r>
  <r>
    <x v="0"/>
    <x v="76"/>
    <x v="76"/>
    <x v="3"/>
    <x v="0"/>
    <x v="0"/>
    <x v="2"/>
    <x v="2"/>
    <s v="Multi-Year"/>
    <x v="0"/>
    <s v="N/A"/>
    <s v=""/>
    <s v="Confirmed"/>
    <m/>
    <x v="0"/>
    <x v="0"/>
    <m/>
    <x v="0"/>
    <x v="0"/>
    <m/>
    <n v="2"/>
    <x v="0"/>
    <s v="Moderate"/>
    <n v="206914157.05429548"/>
  </r>
  <r>
    <x v="0"/>
    <x v="77"/>
    <x v="77"/>
    <x v="3"/>
    <x v="0"/>
    <x v="0"/>
    <x v="2"/>
    <x v="2"/>
    <s v="Multi-Year"/>
    <x v="0"/>
    <s v="N/A"/>
    <s v=""/>
    <s v="Confirmed"/>
    <m/>
    <x v="0"/>
    <x v="0"/>
    <m/>
    <x v="0"/>
    <x v="0"/>
    <m/>
    <n v="2"/>
    <x v="0"/>
    <s v="High"/>
    <n v="185999915.02066413"/>
  </r>
  <r>
    <x v="0"/>
    <x v="78"/>
    <x v="78"/>
    <x v="6"/>
    <x v="0"/>
    <x v="0"/>
    <x v="2"/>
    <x v="2"/>
    <s v="Multi-Year"/>
    <x v="0"/>
    <s v="N/A"/>
    <s v=""/>
    <s v="Confirmed"/>
    <m/>
    <x v="0"/>
    <x v="0"/>
    <m/>
    <x v="1"/>
    <x v="1"/>
    <m/>
    <n v="0"/>
    <x v="0"/>
    <s v=""/>
    <n v="6893755763.2501726"/>
  </r>
  <r>
    <x v="0"/>
    <x v="79"/>
    <x v="79"/>
    <x v="0"/>
    <x v="0"/>
    <x v="0"/>
    <x v="2"/>
    <x v="2"/>
    <s v="Multi-Year"/>
    <x v="0"/>
    <s v="N/A"/>
    <s v=""/>
    <s v="Confirmed"/>
    <m/>
    <x v="0"/>
    <x v="0"/>
    <m/>
    <x v="1"/>
    <x v="0"/>
    <m/>
    <n v="0"/>
    <x v="1"/>
    <s v="High"/>
    <n v="354560231.58276606"/>
  </r>
  <r>
    <x v="0"/>
    <x v="80"/>
    <x v="80"/>
    <x v="5"/>
    <x v="0"/>
    <x v="0"/>
    <x v="2"/>
    <x v="2"/>
    <s v="Multi-Year"/>
    <x v="0"/>
    <s v="N/A"/>
    <s v=""/>
    <s v="Confirmed"/>
    <m/>
    <x v="0"/>
    <x v="0"/>
    <m/>
    <x v="0"/>
    <x v="0"/>
    <m/>
    <n v="1"/>
    <x v="0"/>
    <s v="Moderate"/>
    <n v="188169167.56540567"/>
  </r>
  <r>
    <x v="0"/>
    <x v="81"/>
    <x v="81"/>
    <x v="6"/>
    <x v="0"/>
    <x v="0"/>
    <x v="2"/>
    <x v="2"/>
    <s v="Multi-Year"/>
    <x v="0"/>
    <s v="N/A"/>
    <s v=""/>
    <s v="Confirmed"/>
    <m/>
    <x v="0"/>
    <x v="0"/>
    <m/>
    <x v="1"/>
    <x v="0"/>
    <m/>
    <n v="0"/>
    <x v="1"/>
    <s v=""/>
    <n v="16312106.556340856"/>
  </r>
  <r>
    <x v="0"/>
    <x v="82"/>
    <x v="82"/>
    <x v="5"/>
    <x v="0"/>
    <x v="0"/>
    <x v="2"/>
    <x v="2"/>
    <s v="Multi-Year"/>
    <x v="0"/>
    <s v="N/A"/>
    <s v=""/>
    <s v="Confirmed"/>
    <m/>
    <x v="0"/>
    <x v="0"/>
    <m/>
    <x v="2"/>
    <x v="0"/>
    <m/>
    <n v="2"/>
    <x v="0"/>
    <s v="High"/>
    <n v="86083833.534053758"/>
  </r>
  <r>
    <x v="0"/>
    <x v="83"/>
    <x v="83"/>
    <x v="3"/>
    <x v="0"/>
    <x v="0"/>
    <x v="2"/>
    <x v="2"/>
    <s v="Multi-Year"/>
    <x v="0"/>
    <s v="N/A"/>
    <s v=""/>
    <s v="Confirmed"/>
    <m/>
    <x v="0"/>
    <x v="0"/>
    <m/>
    <x v="1"/>
    <x v="1"/>
    <m/>
    <n v="0"/>
    <x v="1"/>
    <s v="N/A"/>
    <n v="357220835.93762809"/>
  </r>
  <r>
    <x v="0"/>
    <x v="84"/>
    <x v="84"/>
    <x v="4"/>
    <x v="0"/>
    <x v="0"/>
    <x v="2"/>
    <x v="2"/>
    <s v="Multi-Year"/>
    <x v="0"/>
    <s v="N/A"/>
    <s v=""/>
    <s v="Confirmed"/>
    <m/>
    <x v="0"/>
    <x v="0"/>
    <m/>
    <x v="1"/>
    <x v="1"/>
    <m/>
    <n v="0"/>
    <x v="0"/>
    <s v=""/>
    <n v="32831598153.796387"/>
  </r>
  <r>
    <x v="0"/>
    <x v="85"/>
    <x v="85"/>
    <x v="6"/>
    <x v="0"/>
    <x v="0"/>
    <x v="2"/>
    <x v="2"/>
    <s v="Multi-Year"/>
    <x v="0"/>
    <s v="N/A"/>
    <s v=""/>
    <s v="Confirmed"/>
    <m/>
    <x v="0"/>
    <x v="0"/>
    <m/>
    <x v="2"/>
    <x v="0"/>
    <m/>
    <n v="0"/>
    <x v="1"/>
    <s v="High"/>
    <n v="12329056.093798399"/>
  </r>
  <r>
    <x v="0"/>
    <x v="86"/>
    <x v="86"/>
    <x v="1"/>
    <x v="0"/>
    <x v="0"/>
    <x v="2"/>
    <x v="2"/>
    <s v="Multi-Year"/>
    <x v="0"/>
    <s v="N/A"/>
    <s v=""/>
    <s v="Confirmed"/>
    <m/>
    <x v="0"/>
    <x v="0"/>
    <m/>
    <x v="1"/>
    <x v="0"/>
    <m/>
    <n v="0"/>
    <x v="0"/>
    <s v="Low"/>
    <n v="426639742.85328001"/>
  </r>
  <r>
    <x v="0"/>
    <x v="87"/>
    <x v="87"/>
    <x v="6"/>
    <x v="0"/>
    <x v="0"/>
    <x v="2"/>
    <x v="2"/>
    <s v="Multi-Year"/>
    <x v="0"/>
    <s v="N/A"/>
    <s v=""/>
    <s v="Confirmed"/>
    <m/>
    <x v="0"/>
    <x v="0"/>
    <m/>
    <x v="2"/>
    <x v="0"/>
    <m/>
    <n v="0"/>
    <x v="0"/>
    <s v="…"/>
    <n v="288519671.85870522"/>
  </r>
  <r>
    <x v="0"/>
    <x v="88"/>
    <x v="88"/>
    <x v="1"/>
    <x v="0"/>
    <x v="0"/>
    <x v="2"/>
    <x v="2"/>
    <s v="Multi-Year"/>
    <x v="0"/>
    <s v="N/A"/>
    <s v=""/>
    <s v="Confirmed"/>
    <m/>
    <x v="0"/>
    <x v="0"/>
    <m/>
    <x v="1"/>
    <x v="1"/>
    <m/>
    <n v="0"/>
    <x v="0"/>
    <s v="N/A"/>
    <n v="275606560.78491527"/>
  </r>
  <r>
    <x v="0"/>
    <x v="89"/>
    <x v="89"/>
    <x v="2"/>
    <x v="0"/>
    <x v="0"/>
    <x v="2"/>
    <x v="2"/>
    <s v="Multi-Year"/>
    <x v="0"/>
    <s v="N/A"/>
    <s v=""/>
    <s v="Confirmed"/>
    <m/>
    <x v="0"/>
    <x v="0"/>
    <m/>
    <x v="2"/>
    <x v="0"/>
    <m/>
    <n v="0"/>
    <x v="0"/>
    <s v="N/A"/>
    <n v="2530937679.3725696"/>
  </r>
  <r>
    <x v="0"/>
    <x v="90"/>
    <x v="90"/>
    <x v="3"/>
    <x v="0"/>
    <x v="0"/>
    <x v="2"/>
    <x v="2"/>
    <s v="Multi-Year"/>
    <x v="0"/>
    <s v="N/A"/>
    <s v=""/>
    <s v="Confirmed"/>
    <m/>
    <x v="0"/>
    <x v="0"/>
    <m/>
    <x v="0"/>
    <x v="0"/>
    <m/>
    <n v="0"/>
    <x v="0"/>
    <s v="In distress"/>
    <n v="251432156.86255455"/>
  </r>
  <r>
    <x v="0"/>
    <x v="91"/>
    <x v="91"/>
    <x v="6"/>
    <x v="0"/>
    <x v="0"/>
    <x v="2"/>
    <x v="2"/>
    <s v="Multi-Year"/>
    <x v="0"/>
    <s v="N/A"/>
    <s v=""/>
    <s v="Confirmed"/>
    <m/>
    <x v="0"/>
    <x v="0"/>
    <m/>
    <x v="2"/>
    <x v="0"/>
    <m/>
    <n v="0"/>
    <x v="0"/>
    <s v="Low"/>
    <n v="471534500.60109437"/>
  </r>
  <r>
    <x v="0"/>
    <x v="92"/>
    <x v="92"/>
    <x v="3"/>
    <x v="0"/>
    <x v="0"/>
    <x v="2"/>
    <x v="2"/>
    <s v="Multi-Year"/>
    <x v="0"/>
    <s v="N/A"/>
    <s v=""/>
    <s v="Confirmed"/>
    <m/>
    <x v="0"/>
    <x v="0"/>
    <m/>
    <x v="1"/>
    <x v="1"/>
    <m/>
    <n v="0"/>
    <x v="0"/>
    <s v=""/>
    <n v="531677611.80447447"/>
  </r>
  <r>
    <x v="0"/>
    <x v="93"/>
    <x v="93"/>
    <x v="6"/>
    <x v="0"/>
    <x v="0"/>
    <x v="2"/>
    <x v="2"/>
    <s v="Multi-Year"/>
    <x v="0"/>
    <s v="N/A"/>
    <s v=""/>
    <s v="Confirmed"/>
    <m/>
    <x v="0"/>
    <x v="0"/>
    <m/>
    <x v="3"/>
    <x v="1"/>
    <m/>
    <n v="0"/>
    <x v="1"/>
    <s v=""/>
    <n v="8528751.6418357007"/>
  </r>
  <r>
    <x v="0"/>
    <x v="94"/>
    <x v="94"/>
    <x v="0"/>
    <x v="0"/>
    <x v="0"/>
    <x v="2"/>
    <x v="2"/>
    <s v="Multi-Year"/>
    <x v="0"/>
    <s v="N/A"/>
    <s v=""/>
    <s v="Confirmed"/>
    <m/>
    <x v="0"/>
    <x v="0"/>
    <m/>
    <x v="2"/>
    <x v="0"/>
    <m/>
    <n v="0"/>
    <x v="0"/>
    <s v="Low"/>
    <n v="407084543.19089872"/>
  </r>
  <r>
    <x v="0"/>
    <x v="95"/>
    <x v="95"/>
    <x v="4"/>
    <x v="0"/>
    <x v="0"/>
    <x v="2"/>
    <x v="2"/>
    <s v="Multi-Year"/>
    <x v="0"/>
    <s v="N/A"/>
    <s v=""/>
    <s v="Confirmed"/>
    <m/>
    <x v="0"/>
    <x v="0"/>
    <m/>
    <x v="2"/>
    <x v="0"/>
    <m/>
    <n v="0"/>
    <x v="0"/>
    <s v="Moderate"/>
    <n v="671998341.93592453"/>
  </r>
  <r>
    <x v="0"/>
    <x v="96"/>
    <x v="96"/>
    <x v="5"/>
    <x v="0"/>
    <x v="0"/>
    <x v="2"/>
    <x v="2"/>
    <s v="Multi-Year"/>
    <x v="0"/>
    <s v="N/A"/>
    <s v=""/>
    <s v="Confirmed"/>
    <m/>
    <x v="0"/>
    <x v="0"/>
    <m/>
    <x v="0"/>
    <x v="0"/>
    <m/>
    <n v="1"/>
    <x v="0"/>
    <s v="Moderate"/>
    <n v="226203289.67158964"/>
  </r>
  <r>
    <x v="0"/>
    <x v="97"/>
    <x v="97"/>
    <x v="5"/>
    <x v="0"/>
    <x v="0"/>
    <x v="2"/>
    <x v="2"/>
    <s v="Multi-Year"/>
    <x v="0"/>
    <s v="N/A"/>
    <s v=""/>
    <s v="Confirmed"/>
    <m/>
    <x v="0"/>
    <x v="0"/>
    <m/>
    <x v="2"/>
    <x v="0"/>
    <m/>
    <n v="3"/>
    <x v="0"/>
    <s v="…"/>
    <n v="2438881113.1244688"/>
  </r>
  <r>
    <x v="0"/>
    <x v="98"/>
    <x v="98"/>
    <x v="1"/>
    <x v="0"/>
    <x v="0"/>
    <x v="2"/>
    <x v="2"/>
    <s v="Multi-Year"/>
    <x v="0"/>
    <s v="N/A"/>
    <s v=""/>
    <s v="Confirmed"/>
    <m/>
    <x v="0"/>
    <x v="0"/>
    <m/>
    <x v="1"/>
    <x v="1"/>
    <m/>
    <n v="0"/>
    <x v="0"/>
    <s v=""/>
    <n v="476517795.73174149"/>
  </r>
  <r>
    <x v="0"/>
    <x v="99"/>
    <x v="99"/>
    <x v="0"/>
    <x v="0"/>
    <x v="0"/>
    <x v="2"/>
    <x v="2"/>
    <s v="Multi-Year"/>
    <x v="0"/>
    <s v="N/A"/>
    <s v=""/>
    <s v="Confirmed"/>
    <m/>
    <x v="0"/>
    <x v="0"/>
    <m/>
    <x v="2"/>
    <x v="0"/>
    <m/>
    <n v="0"/>
    <x v="0"/>
    <s v="…"/>
    <n v="3233351297.7679496"/>
  </r>
  <r>
    <x v="0"/>
    <x v="100"/>
    <x v="100"/>
    <x v="4"/>
    <x v="0"/>
    <x v="0"/>
    <x v="2"/>
    <x v="2"/>
    <s v="Multi-Year"/>
    <x v="0"/>
    <s v="N/A"/>
    <s v=""/>
    <s v="Confirmed"/>
    <m/>
    <x v="0"/>
    <x v="0"/>
    <m/>
    <x v="3"/>
    <x v="1"/>
    <m/>
    <n v="0"/>
    <x v="1"/>
    <s v=""/>
    <n v="18180646.808608256"/>
  </r>
  <r>
    <x v="0"/>
    <x v="101"/>
    <x v="101"/>
    <x v="4"/>
    <x v="0"/>
    <x v="0"/>
    <x v="2"/>
    <x v="2"/>
    <s v="Multi-Year"/>
    <x v="0"/>
    <s v="N/A"/>
    <n v="20700000"/>
    <s v="Confirmed"/>
    <m/>
    <x v="0"/>
    <x v="0"/>
    <m/>
    <x v="1"/>
    <x v="1"/>
    <m/>
    <n v="0"/>
    <x v="0"/>
    <s v="N/A"/>
    <n v="3020530707.3485303"/>
  </r>
  <r>
    <x v="0"/>
    <x v="102"/>
    <x v="102"/>
    <x v="6"/>
    <x v="0"/>
    <x v="0"/>
    <x v="2"/>
    <x v="2"/>
    <s v="Multi-Year"/>
    <x v="0"/>
    <s v="N/A"/>
    <s v=""/>
    <s v="Confirmed"/>
    <m/>
    <x v="0"/>
    <x v="0"/>
    <m/>
    <x v="2"/>
    <x v="0"/>
    <m/>
    <n v="1"/>
    <x v="1"/>
    <s v="High"/>
    <n v="384406316.46074712"/>
  </r>
  <r>
    <x v="0"/>
    <x v="103"/>
    <x v="103"/>
    <x v="4"/>
    <x v="0"/>
    <x v="0"/>
    <x v="2"/>
    <x v="2"/>
    <s v="Multi-Year"/>
    <x v="0"/>
    <s v="N/A"/>
    <s v=""/>
    <s v="Confirmed"/>
    <m/>
    <x v="0"/>
    <x v="0"/>
    <m/>
    <x v="1"/>
    <x v="1"/>
    <m/>
    <n v="0"/>
    <x v="0"/>
    <s v=""/>
    <n v="1218747108.9554784"/>
  </r>
  <r>
    <x v="0"/>
    <x v="104"/>
    <x v="104"/>
    <x v="4"/>
    <x v="0"/>
    <x v="0"/>
    <x v="2"/>
    <x v="2"/>
    <s v="Multi-Year"/>
    <x v="0"/>
    <s v="N/A"/>
    <s v=""/>
    <s v="Confirmed"/>
    <m/>
    <x v="0"/>
    <x v="0"/>
    <m/>
    <x v="1"/>
    <x v="1"/>
    <m/>
    <n v="0"/>
    <x v="0"/>
    <s v=""/>
    <n v="7392665952.5895758"/>
  </r>
  <r>
    <x v="0"/>
    <x v="105"/>
    <x v="105"/>
    <x v="6"/>
    <x v="0"/>
    <x v="0"/>
    <x v="2"/>
    <x v="2"/>
    <s v="Multi-Year"/>
    <x v="0"/>
    <s v="N/A"/>
    <s v=""/>
    <s v="Confirmed"/>
    <m/>
    <x v="0"/>
    <x v="0"/>
    <m/>
    <x v="2"/>
    <x v="0"/>
    <m/>
    <n v="0"/>
    <x v="0"/>
    <s v="N/A"/>
    <n v="4754985988.6004429"/>
  </r>
  <r>
    <x v="0"/>
    <x v="106"/>
    <x v="106"/>
    <x v="1"/>
    <x v="0"/>
    <x v="0"/>
    <x v="2"/>
    <x v="2"/>
    <s v="Multi-Year"/>
    <x v="0"/>
    <s v="N/A"/>
    <s v=""/>
    <s v="Confirmed"/>
    <m/>
    <x v="0"/>
    <x v="0"/>
    <m/>
    <x v="3"/>
    <x v="1"/>
    <m/>
    <n v="0"/>
    <x v="0"/>
    <s v=""/>
    <n v="26422210443.037273"/>
  </r>
  <r>
    <x v="0"/>
    <x v="107"/>
    <x v="107"/>
    <x v="1"/>
    <x v="0"/>
    <x v="0"/>
    <x v="2"/>
    <x v="2"/>
    <s v="Multi-Year"/>
    <x v="0"/>
    <s v="N/A"/>
    <s v=""/>
    <s v="Confirmed"/>
    <m/>
    <x v="0"/>
    <x v="0"/>
    <m/>
    <x v="1"/>
    <x v="1"/>
    <m/>
    <n v="0"/>
    <x v="0"/>
    <s v=""/>
    <n v="10696495313.15033"/>
  </r>
  <r>
    <x v="0"/>
    <x v="108"/>
    <x v="108"/>
    <x v="1"/>
    <x v="0"/>
    <x v="0"/>
    <x v="2"/>
    <x v="2"/>
    <s v="Multi-Year"/>
    <x v="0"/>
    <s v="N/A"/>
    <s v=""/>
    <s v="Confirmed"/>
    <m/>
    <x v="0"/>
    <x v="0"/>
    <m/>
    <x v="1"/>
    <x v="1"/>
    <m/>
    <n v="0"/>
    <x v="0"/>
    <s v=""/>
    <n v="52769713433.240509"/>
  </r>
  <r>
    <x v="0"/>
    <x v="109"/>
    <x v="109"/>
    <x v="3"/>
    <x v="0"/>
    <x v="0"/>
    <x v="2"/>
    <x v="2"/>
    <s v="Multi-Year"/>
    <x v="0"/>
    <s v="N/A"/>
    <s v=""/>
    <s v="Confirmed"/>
    <m/>
    <x v="0"/>
    <x v="0"/>
    <m/>
    <x v="0"/>
    <x v="0"/>
    <m/>
    <n v="0"/>
    <x v="0"/>
    <s v="Moderate"/>
    <n v="225799814.51943746"/>
  </r>
  <r>
    <x v="0"/>
    <x v="110"/>
    <x v="110"/>
    <x v="6"/>
    <x v="0"/>
    <x v="0"/>
    <x v="2"/>
    <x v="2"/>
    <s v="Multi-Year"/>
    <x v="0"/>
    <s v="N/A"/>
    <s v=""/>
    <s v="Confirmed"/>
    <m/>
    <x v="0"/>
    <x v="0"/>
    <m/>
    <x v="2"/>
    <x v="0"/>
    <m/>
    <n v="0"/>
    <x v="1"/>
    <s v="High"/>
    <n v="32192988.027009469"/>
  </r>
  <r>
    <x v="0"/>
    <x v="111"/>
    <x v="111"/>
    <x v="5"/>
    <x v="0"/>
    <x v="0"/>
    <x v="2"/>
    <x v="2"/>
    <s v="Multi-Year"/>
    <x v="0"/>
    <s v="N/A"/>
    <s v=""/>
    <s v="Confirmed"/>
    <m/>
    <x v="0"/>
    <x v="0"/>
    <m/>
    <x v="2"/>
    <x v="0"/>
    <m/>
    <n v="0"/>
    <x v="1"/>
    <s v="In distress"/>
    <n v="11633535.136477679"/>
  </r>
  <r>
    <x v="0"/>
    <x v="112"/>
    <x v="112"/>
    <x v="5"/>
    <x v="0"/>
    <x v="0"/>
    <x v="2"/>
    <x v="2"/>
    <s v="Multi-Year"/>
    <x v="0"/>
    <s v="N/A"/>
    <s v=""/>
    <s v="Confirmed"/>
    <m/>
    <x v="0"/>
    <x v="0"/>
    <m/>
    <x v="2"/>
    <x v="0"/>
    <m/>
    <n v="2"/>
    <x v="0"/>
    <s v="Moderate"/>
    <n v="222008693.93354639"/>
  </r>
  <r>
    <x v="0"/>
    <x v="113"/>
    <x v="113"/>
    <x v="1"/>
    <x v="0"/>
    <x v="0"/>
    <x v="2"/>
    <x v="2"/>
    <s v="Multi-Year"/>
    <x v="0"/>
    <s v="N/A"/>
    <s v=""/>
    <s v="Confirmed"/>
    <m/>
    <x v="0"/>
    <x v="0"/>
    <m/>
    <x v="1"/>
    <x v="1"/>
    <m/>
    <n v="0"/>
    <x v="0"/>
    <s v=""/>
    <n v="2564993795.1894679"/>
  </r>
  <r>
    <x v="0"/>
    <x v="114"/>
    <x v="114"/>
    <x v="3"/>
    <x v="0"/>
    <x v="0"/>
    <x v="2"/>
    <x v="2"/>
    <s v="Multi-Year"/>
    <x v="0"/>
    <s v="N/A"/>
    <s v=""/>
    <s v="Confirmed"/>
    <m/>
    <x v="0"/>
    <x v="0"/>
    <m/>
    <x v="3"/>
    <x v="1"/>
    <m/>
    <n v="0"/>
    <x v="1"/>
    <s v="N/A"/>
    <n v="60237542.945069775"/>
  </r>
  <r>
    <x v="0"/>
    <x v="115"/>
    <x v="115"/>
    <x v="5"/>
    <x v="0"/>
    <x v="0"/>
    <x v="2"/>
    <x v="2"/>
    <s v="Multi-Year"/>
    <x v="0"/>
    <s v="N/A"/>
    <s v=""/>
    <s v="Confirmed"/>
    <m/>
    <x v="0"/>
    <x v="0"/>
    <m/>
    <x v="0"/>
    <x v="0"/>
    <m/>
    <n v="0"/>
    <x v="0"/>
    <s v="High"/>
    <n v="63738640.538260505"/>
  </r>
  <r>
    <x v="0"/>
    <x v="116"/>
    <x v="116"/>
    <x v="6"/>
    <x v="0"/>
    <x v="0"/>
    <x v="2"/>
    <x v="2"/>
    <s v="Multi-Year"/>
    <x v="0"/>
    <s v="N/A"/>
    <s v=""/>
    <s v="Confirmed"/>
    <m/>
    <x v="0"/>
    <x v="0"/>
    <m/>
    <x v="2"/>
    <x v="0"/>
    <m/>
    <n v="0"/>
    <x v="1"/>
    <s v="Moderate"/>
    <n v="49012774.055630356"/>
  </r>
  <r>
    <x v="0"/>
    <x v="117"/>
    <x v="117"/>
    <x v="3"/>
    <x v="0"/>
    <x v="0"/>
    <x v="2"/>
    <x v="2"/>
    <s v="Multi-Year"/>
    <x v="0"/>
    <s v="N/A"/>
    <s v=""/>
    <s v="Confirmed"/>
    <m/>
    <x v="0"/>
    <x v="0"/>
    <m/>
    <x v="0"/>
    <x v="0"/>
    <m/>
    <n v="1"/>
    <x v="0"/>
    <s v="In distress"/>
    <s v=""/>
  </r>
  <r>
    <x v="0"/>
    <x v="118"/>
    <x v="118"/>
    <x v="3"/>
    <x v="0"/>
    <x v="0"/>
    <x v="2"/>
    <x v="2"/>
    <s v="Multi-Year"/>
    <x v="0"/>
    <s v="N/A"/>
    <s v=""/>
    <s v="Confirmed"/>
    <m/>
    <x v="0"/>
    <x v="0"/>
    <m/>
    <x v="1"/>
    <x v="1"/>
    <m/>
    <n v="0"/>
    <x v="0"/>
    <s v="N/A"/>
    <n v="16429121142.784708"/>
  </r>
  <r>
    <x v="0"/>
    <x v="119"/>
    <x v="119"/>
    <x v="3"/>
    <x v="0"/>
    <x v="0"/>
    <x v="2"/>
    <x v="2"/>
    <s v="Multi-Year"/>
    <x v="0"/>
    <s v="N/A"/>
    <s v=""/>
    <s v="Confirmed"/>
    <m/>
    <x v="0"/>
    <x v="0"/>
    <m/>
    <x v="0"/>
    <x v="0"/>
    <m/>
    <n v="1"/>
    <x v="0"/>
    <s v="High"/>
    <n v="31684581.76217727"/>
  </r>
  <r>
    <x v="0"/>
    <x v="120"/>
    <x v="120"/>
    <x v="0"/>
    <x v="0"/>
    <x v="0"/>
    <x v="2"/>
    <x v="2"/>
    <s v="Multi-Year"/>
    <x v="0"/>
    <s v="N/A"/>
    <s v=""/>
    <s v="Confirmed"/>
    <m/>
    <x v="0"/>
    <x v="0"/>
    <m/>
    <x v="2"/>
    <x v="0"/>
    <m/>
    <n v="0"/>
    <x v="0"/>
    <s v="N/A"/>
    <n v="1373621563.5182886"/>
  </r>
  <r>
    <x v="0"/>
    <x v="121"/>
    <x v="121"/>
    <x v="4"/>
    <x v="0"/>
    <x v="0"/>
    <x v="2"/>
    <x v="2"/>
    <s v="Multi-Year"/>
    <x v="0"/>
    <s v="N/A"/>
    <s v=""/>
    <s v="Confirmed"/>
    <m/>
    <x v="0"/>
    <x v="0"/>
    <m/>
    <x v="3"/>
    <x v="1"/>
    <m/>
    <n v="0"/>
    <x v="1"/>
    <s v=""/>
    <n v="24214370.889062837"/>
  </r>
  <r>
    <x v="0"/>
    <x v="122"/>
    <x v="122"/>
    <x v="4"/>
    <x v="0"/>
    <x v="0"/>
    <x v="2"/>
    <x v="2"/>
    <s v="Multi-Year"/>
    <x v="0"/>
    <s v="N/A"/>
    <s v=""/>
    <s v="Confirmed"/>
    <m/>
    <x v="0"/>
    <x v="0"/>
    <m/>
    <x v="1"/>
    <x v="0"/>
    <m/>
    <n v="0"/>
    <x v="1"/>
    <s v="…"/>
    <n v="39941279.609447442"/>
  </r>
  <r>
    <x v="0"/>
    <x v="123"/>
    <x v="123"/>
    <x v="4"/>
    <x v="0"/>
    <x v="0"/>
    <x v="2"/>
    <x v="2"/>
    <s v="Multi-Year"/>
    <x v="0"/>
    <s v="N/A"/>
    <s v=""/>
    <s v="Confirmed"/>
    <m/>
    <x v="0"/>
    <x v="0"/>
    <m/>
    <x v="1"/>
    <x v="0"/>
    <m/>
    <n v="0"/>
    <x v="1"/>
    <s v="High"/>
    <n v="24761675.260059897"/>
  </r>
  <r>
    <x v="0"/>
    <x v="124"/>
    <x v="124"/>
    <x v="2"/>
    <x v="0"/>
    <x v="0"/>
    <x v="2"/>
    <x v="2"/>
    <s v="Multi-Year"/>
    <x v="0"/>
    <s v="N/A"/>
    <s v=""/>
    <s v="Confirmed"/>
    <m/>
    <x v="0"/>
    <x v="0"/>
    <m/>
    <x v="2"/>
    <x v="0"/>
    <m/>
    <n v="0"/>
    <x v="0"/>
    <s v="N/A"/>
    <s v=""/>
  </r>
  <r>
    <x v="0"/>
    <x v="125"/>
    <x v="125"/>
    <x v="2"/>
    <x v="0"/>
    <x v="0"/>
    <x v="2"/>
    <x v="2"/>
    <s v="Multi-Year"/>
    <x v="0"/>
    <s v="N/A"/>
    <s v=""/>
    <s v="Confirmed"/>
    <m/>
    <x v="0"/>
    <x v="0"/>
    <m/>
    <x v="0"/>
    <x v="0"/>
    <m/>
    <n v="1"/>
    <x v="0"/>
    <s v="N/A"/>
    <n v="577156172.71229994"/>
  </r>
  <r>
    <x v="0"/>
    <x v="126"/>
    <x v="126"/>
    <x v="6"/>
    <x v="0"/>
    <x v="0"/>
    <x v="2"/>
    <x v="2"/>
    <s v="Multi-Year"/>
    <x v="0"/>
    <s v="N/A"/>
    <s v=""/>
    <s v="Confirmed"/>
    <m/>
    <x v="0"/>
    <x v="0"/>
    <m/>
    <x v="1"/>
    <x v="1"/>
    <m/>
    <n v="0"/>
    <x v="1"/>
    <s v=""/>
    <n v="180052034.19851837"/>
  </r>
  <r>
    <x v="0"/>
    <x v="127"/>
    <x v="127"/>
    <x v="2"/>
    <x v="0"/>
    <x v="0"/>
    <x v="2"/>
    <x v="2"/>
    <s v="Multi-Year"/>
    <x v="0"/>
    <s v="N/A"/>
    <s v=""/>
    <s v="Confirmed"/>
    <m/>
    <x v="0"/>
    <x v="0"/>
    <m/>
    <x v="0"/>
    <x v="0"/>
    <m/>
    <n v="1"/>
    <x v="0"/>
    <s v="N/A"/>
    <s v=""/>
  </r>
  <r>
    <x v="0"/>
    <x v="128"/>
    <x v="128"/>
    <x v="1"/>
    <x v="0"/>
    <x v="0"/>
    <x v="2"/>
    <x v="2"/>
    <s v="Multi-Year"/>
    <x v="0"/>
    <s v="N/A"/>
    <s v=""/>
    <s v="Confirmed"/>
    <m/>
    <x v="0"/>
    <x v="0"/>
    <m/>
    <x v="2"/>
    <x v="0"/>
    <m/>
    <n v="0"/>
    <x v="0"/>
    <s v="High"/>
    <n v="147296124.32232863"/>
  </r>
  <r>
    <x v="0"/>
    <x v="129"/>
    <x v="129"/>
    <x v="3"/>
    <x v="0"/>
    <x v="0"/>
    <x v="2"/>
    <x v="2"/>
    <s v="Multi-Year"/>
    <x v="0"/>
    <s v="N/A"/>
    <s v=""/>
    <s v="Confirmed"/>
    <m/>
    <x v="0"/>
    <x v="0"/>
    <m/>
    <x v="2"/>
    <x v="0"/>
    <m/>
    <n v="0"/>
    <x v="0"/>
    <s v="…"/>
    <n v="890576536.83065879"/>
  </r>
  <r>
    <x v="0"/>
    <x v="130"/>
    <x v="130"/>
    <x v="6"/>
    <x v="0"/>
    <x v="0"/>
    <x v="2"/>
    <x v="2"/>
    <s v="Multi-Year"/>
    <x v="0"/>
    <s v="N/A"/>
    <s v=""/>
    <s v="Confirmed"/>
    <m/>
    <x v="0"/>
    <x v="0"/>
    <m/>
    <x v="1"/>
    <x v="1"/>
    <m/>
    <n v="0"/>
    <x v="0"/>
    <s v=""/>
    <n v="14611129792.346064"/>
  </r>
  <r>
    <x v="0"/>
    <x v="131"/>
    <x v="131"/>
    <x v="6"/>
    <x v="0"/>
    <x v="0"/>
    <x v="2"/>
    <x v="2"/>
    <s v="Multi-Year"/>
    <x v="0"/>
    <s v="N/A"/>
    <s v=""/>
    <s v="Confirmed"/>
    <m/>
    <x v="0"/>
    <x v="0"/>
    <m/>
    <x v="2"/>
    <x v="0"/>
    <m/>
    <n v="0"/>
    <x v="1"/>
    <s v="Low"/>
    <n v="72046877.233008593"/>
  </r>
  <r>
    <x v="0"/>
    <x v="132"/>
    <x v="132"/>
    <x v="5"/>
    <x v="0"/>
    <x v="0"/>
    <x v="2"/>
    <x v="2"/>
    <s v="Multi-Year"/>
    <x v="0"/>
    <s v="N/A"/>
    <s v=""/>
    <s v="Confirmed"/>
    <m/>
    <x v="0"/>
    <x v="0"/>
    <m/>
    <x v="0"/>
    <x v="0"/>
    <m/>
    <n v="0"/>
    <x v="0"/>
    <s v="High"/>
    <n v="56248139.267255567"/>
  </r>
  <r>
    <x v="0"/>
    <x v="133"/>
    <x v="133"/>
    <x v="6"/>
    <x v="0"/>
    <x v="0"/>
    <x v="2"/>
    <x v="2"/>
    <s v="Multi-Year"/>
    <x v="0"/>
    <s v="N/A"/>
    <s v=""/>
    <s v="Confirmed"/>
    <m/>
    <x v="0"/>
    <x v="0"/>
    <m/>
    <x v="1"/>
    <x v="0"/>
    <m/>
    <n v="0"/>
    <x v="1"/>
    <s v="High"/>
    <n v="15464031.712942109"/>
  </r>
  <r>
    <x v="0"/>
    <x v="134"/>
    <x v="134"/>
    <x v="4"/>
    <x v="0"/>
    <x v="0"/>
    <x v="2"/>
    <x v="2"/>
    <s v="Multi-Year"/>
    <x v="0"/>
    <s v="N/A"/>
    <n v="3027000"/>
    <s v="Confirmed"/>
    <m/>
    <x v="0"/>
    <x v="0"/>
    <m/>
    <x v="3"/>
    <x v="1"/>
    <m/>
    <n v="0"/>
    <x v="1"/>
    <s v="N/A"/>
    <n v="769564399.33249676"/>
  </r>
  <r>
    <x v="0"/>
    <x v="135"/>
    <x v="135"/>
    <x v="2"/>
    <x v="0"/>
    <x v="0"/>
    <x v="2"/>
    <x v="2"/>
    <s v="Multi-Year"/>
    <x v="0"/>
    <s v="N/A"/>
    <s v=""/>
    <s v="Confirmed"/>
    <m/>
    <x v="0"/>
    <x v="0"/>
    <m/>
    <x v="2"/>
    <x v="0"/>
    <m/>
    <n v="0"/>
    <x v="0"/>
    <s v="N/A"/>
    <n v="1668954539.7630196"/>
  </r>
  <r>
    <x v="0"/>
    <x v="136"/>
    <x v="136"/>
    <x v="1"/>
    <x v="0"/>
    <x v="0"/>
    <x v="2"/>
    <x v="2"/>
    <s v="Multi-Year"/>
    <x v="0"/>
    <s v="N/A"/>
    <s v=""/>
    <s v="Confirmed"/>
    <m/>
    <x v="0"/>
    <x v="0"/>
    <m/>
    <x v="1"/>
    <x v="1"/>
    <m/>
    <n v="0"/>
    <x v="0"/>
    <s v=""/>
    <n v="24840920016.18832"/>
  </r>
  <r>
    <x v="0"/>
    <x v="137"/>
    <x v="137"/>
    <x v="1"/>
    <x v="0"/>
    <x v="0"/>
    <x v="2"/>
    <x v="2"/>
    <s v="Multi-Year"/>
    <x v="0"/>
    <s v="N/A"/>
    <s v=""/>
    <s v="Confirmed"/>
    <m/>
    <x v="0"/>
    <x v="0"/>
    <m/>
    <x v="1"/>
    <x v="1"/>
    <m/>
    <n v="0"/>
    <x v="0"/>
    <s v="N/A"/>
    <n v="487888462.83720118"/>
  </r>
  <r>
    <x v="0"/>
    <x v="138"/>
    <x v="138"/>
    <x v="6"/>
    <x v="0"/>
    <x v="0"/>
    <x v="2"/>
    <x v="2"/>
    <s v="Multi-Year"/>
    <x v="0"/>
    <s v="N/A"/>
    <s v=""/>
    <s v="Confirmed"/>
    <m/>
    <x v="0"/>
    <x v="0"/>
    <m/>
    <x v="1"/>
    <x v="0"/>
    <m/>
    <n v="0"/>
    <x v="1"/>
    <s v="…"/>
    <n v="6365061.1736073596"/>
  </r>
  <r>
    <x v="0"/>
    <x v="139"/>
    <x v="139"/>
    <x v="3"/>
    <x v="0"/>
    <x v="0"/>
    <x v="2"/>
    <x v="2"/>
    <s v="Multi-Year"/>
    <x v="0"/>
    <s v="N/A"/>
    <s v=""/>
    <s v="Confirmed"/>
    <m/>
    <x v="0"/>
    <x v="0"/>
    <m/>
    <x v="0"/>
    <x v="0"/>
    <m/>
    <n v="2"/>
    <x v="0"/>
    <s v="Low"/>
    <n v="291799092.90196139"/>
  </r>
  <r>
    <x v="0"/>
    <x v="140"/>
    <x v="140"/>
    <x v="1"/>
    <x v="0"/>
    <x v="0"/>
    <x v="2"/>
    <x v="2"/>
    <s v="Multi-Year"/>
    <x v="0"/>
    <s v="N/A"/>
    <s v=""/>
    <s v="Confirmed"/>
    <m/>
    <x v="0"/>
    <x v="0"/>
    <m/>
    <x v="2"/>
    <x v="0"/>
    <m/>
    <n v="0"/>
    <x v="0"/>
    <s v="N/A"/>
    <n v="4844815340.2135534"/>
  </r>
  <r>
    <x v="0"/>
    <x v="141"/>
    <x v="141"/>
    <x v="4"/>
    <x v="0"/>
    <x v="0"/>
    <x v="2"/>
    <x v="2"/>
    <s v="Multi-Year"/>
    <x v="0"/>
    <s v="N/A"/>
    <s v=""/>
    <s v="Confirmed"/>
    <m/>
    <x v="0"/>
    <x v="0"/>
    <m/>
    <x v="3"/>
    <x v="1"/>
    <m/>
    <n v="0"/>
    <x v="0"/>
    <s v=""/>
    <n v="4001891446.6871672"/>
  </r>
  <r>
    <x v="0"/>
    <x v="142"/>
    <x v="142"/>
    <x v="1"/>
    <x v="0"/>
    <x v="0"/>
    <x v="2"/>
    <x v="2"/>
    <s v="Multi-Year"/>
    <x v="0"/>
    <s v="N/A"/>
    <s v=""/>
    <s v="Confirmed"/>
    <m/>
    <x v="0"/>
    <x v="0"/>
    <m/>
    <x v="2"/>
    <x v="0"/>
    <m/>
    <n v="0"/>
    <x v="0"/>
    <s v="Low"/>
    <n v="1019800630.5853213"/>
  </r>
  <r>
    <x v="0"/>
    <x v="143"/>
    <x v="143"/>
    <x v="6"/>
    <x v="0"/>
    <x v="0"/>
    <x v="2"/>
    <x v="2"/>
    <s v="Multi-Year"/>
    <x v="0"/>
    <s v="N/A"/>
    <s v=""/>
    <s v="Confirmed"/>
    <m/>
    <x v="0"/>
    <x v="0"/>
    <m/>
    <x v="2"/>
    <x v="0"/>
    <m/>
    <n v="0"/>
    <x v="1"/>
    <s v="Moderate"/>
    <n v="19578671.310841195"/>
  </r>
  <r>
    <x v="0"/>
    <x v="144"/>
    <x v="144"/>
    <x v="4"/>
    <x v="0"/>
    <x v="0"/>
    <x v="2"/>
    <x v="2"/>
    <s v="Multi-Year"/>
    <x v="0"/>
    <s v="N/A"/>
    <s v=""/>
    <s v="Confirmed"/>
    <m/>
    <x v="0"/>
    <x v="0"/>
    <m/>
    <x v="4"/>
    <x v="1"/>
    <m/>
    <n v="0"/>
    <x v="0"/>
    <s v="N/A"/>
    <n v="3551452001.0684834"/>
  </r>
  <r>
    <x v="0"/>
    <x v="145"/>
    <x v="145"/>
    <x v="6"/>
    <x v="0"/>
    <x v="0"/>
    <x v="2"/>
    <x v="2"/>
    <s v="Multi-Year"/>
    <x v="0"/>
    <s v="N/A"/>
    <s v=""/>
    <s v="Confirmed"/>
    <m/>
    <x v="0"/>
    <x v="0"/>
    <m/>
    <x v="2"/>
    <x v="0"/>
    <m/>
    <n v="0"/>
    <x v="0"/>
    <s v="N/A"/>
    <n v="6603048821.7575006"/>
  </r>
  <r>
    <x v="0"/>
    <x v="146"/>
    <x v="146"/>
    <x v="2"/>
    <x v="0"/>
    <x v="0"/>
    <x v="2"/>
    <x v="2"/>
    <s v="Multi-Year"/>
    <x v="0"/>
    <s v="N/A"/>
    <s v=""/>
    <s v="Confirmed"/>
    <m/>
    <x v="0"/>
    <x v="0"/>
    <m/>
    <x v="0"/>
    <x v="0"/>
    <m/>
    <n v="1"/>
    <x v="0"/>
    <s v="…"/>
    <s v=""/>
  </r>
  <r>
    <x v="0"/>
    <x v="147"/>
    <x v="147"/>
    <x v="3"/>
    <x v="0"/>
    <x v="0"/>
    <x v="2"/>
    <x v="2"/>
    <s v="Multi-Year"/>
    <x v="0"/>
    <s v="N/A"/>
    <s v=""/>
    <s v="Confirmed"/>
    <m/>
    <x v="0"/>
    <x v="0"/>
    <m/>
    <x v="2"/>
    <x v="0"/>
    <m/>
    <n v="0"/>
    <x v="0"/>
    <s v="High"/>
    <n v="515352723.9821828"/>
  </r>
  <r>
    <x v="0"/>
    <x v="148"/>
    <x v="148"/>
    <x v="3"/>
    <x v="0"/>
    <x v="0"/>
    <x v="2"/>
    <x v="2"/>
    <s v="Multi-Year"/>
    <x v="0"/>
    <s v="N/A"/>
    <s v=""/>
    <s v="Confirmed"/>
    <m/>
    <x v="0"/>
    <x v="0"/>
    <m/>
    <x v="2"/>
    <x v="0"/>
    <m/>
    <n v="0"/>
    <x v="0"/>
    <s v="N/A"/>
    <n v="566711742.22428358"/>
  </r>
  <r>
    <x v="0"/>
    <x v="0"/>
    <x v="0"/>
    <x v="0"/>
    <x v="0"/>
    <x v="0"/>
    <x v="2"/>
    <x v="2"/>
    <s v="Multi-Year"/>
    <x v="1"/>
    <s v="N/A"/>
    <s v=""/>
    <s v="Confirmed"/>
    <m/>
    <x v="0"/>
    <x v="0"/>
    <m/>
    <x v="0"/>
    <x v="0"/>
    <m/>
    <n v="1"/>
    <x v="0"/>
    <s v="High"/>
    <n v="95829480.719269618"/>
  </r>
  <r>
    <x v="0"/>
    <x v="1"/>
    <x v="1"/>
    <x v="1"/>
    <x v="0"/>
    <x v="0"/>
    <x v="2"/>
    <x v="2"/>
    <s v="Multi-Year"/>
    <x v="1"/>
    <s v="N/A"/>
    <s v=""/>
    <s v="Confirmed"/>
    <m/>
    <x v="0"/>
    <x v="0"/>
    <m/>
    <x v="1"/>
    <x v="1"/>
    <m/>
    <n v="0"/>
    <x v="0"/>
    <s v=""/>
    <n v="427904035.52443534"/>
  </r>
  <r>
    <x v="0"/>
    <x v="2"/>
    <x v="2"/>
    <x v="2"/>
    <x v="0"/>
    <x v="0"/>
    <x v="2"/>
    <x v="2"/>
    <s v="Multi-Year"/>
    <x v="1"/>
    <s v="N/A"/>
    <s v=""/>
    <s v="Confirmed"/>
    <m/>
    <x v="0"/>
    <x v="0"/>
    <m/>
    <x v="2"/>
    <x v="0"/>
    <m/>
    <n v="0"/>
    <x v="0"/>
    <s v="N/A"/>
    <n v="7113361022.7267885"/>
  </r>
  <r>
    <x v="0"/>
    <x v="3"/>
    <x v="3"/>
    <x v="3"/>
    <x v="0"/>
    <x v="0"/>
    <x v="2"/>
    <x v="2"/>
    <s v="Multi-Year"/>
    <x v="1"/>
    <s v="N/A"/>
    <s v=""/>
    <s v="Confirmed"/>
    <m/>
    <x v="0"/>
    <x v="0"/>
    <m/>
    <x v="2"/>
    <x v="0"/>
    <m/>
    <n v="0"/>
    <x v="0"/>
    <s v="…"/>
    <n v="1131865946.5875781"/>
  </r>
  <r>
    <x v="0"/>
    <x v="4"/>
    <x v="4"/>
    <x v="4"/>
    <x v="0"/>
    <x v="0"/>
    <x v="2"/>
    <x v="2"/>
    <s v="Multi-Year"/>
    <x v="1"/>
    <s v="N/A"/>
    <s v=""/>
    <s v="Confirmed"/>
    <m/>
    <x v="0"/>
    <x v="0"/>
    <m/>
    <x v="3"/>
    <x v="1"/>
    <m/>
    <n v="0"/>
    <x v="1"/>
    <s v=""/>
    <n v="46777779.823447868"/>
  </r>
  <r>
    <x v="0"/>
    <x v="5"/>
    <x v="5"/>
    <x v="4"/>
    <x v="0"/>
    <x v="0"/>
    <x v="2"/>
    <x v="2"/>
    <s v="Multi-Year"/>
    <x v="1"/>
    <s v="N/A"/>
    <n v="22752903"/>
    <s v="Confirmed"/>
    <m/>
    <x v="0"/>
    <x v="0"/>
    <m/>
    <x v="1"/>
    <x v="1"/>
    <m/>
    <n v="0"/>
    <x v="0"/>
    <s v=""/>
    <n v="30725305777.596794"/>
  </r>
  <r>
    <x v="0"/>
    <x v="6"/>
    <x v="6"/>
    <x v="1"/>
    <x v="0"/>
    <x v="0"/>
    <x v="2"/>
    <x v="2"/>
    <s v="Multi-Year"/>
    <x v="1"/>
    <s v="N/A"/>
    <s v=""/>
    <s v="Confirmed"/>
    <m/>
    <x v="0"/>
    <x v="0"/>
    <m/>
    <x v="1"/>
    <x v="1"/>
    <m/>
    <n v="0"/>
    <x v="0"/>
    <s v=""/>
    <n v="153815827.8380394"/>
  </r>
  <r>
    <x v="0"/>
    <x v="7"/>
    <x v="7"/>
    <x v="1"/>
    <x v="0"/>
    <x v="0"/>
    <x v="2"/>
    <x v="2"/>
    <s v="Multi-Year"/>
    <x v="1"/>
    <s v="N/A"/>
    <s v=""/>
    <s v="Confirmed"/>
    <m/>
    <x v="0"/>
    <x v="0"/>
    <m/>
    <x v="1"/>
    <x v="1"/>
    <m/>
    <n v="0"/>
    <x v="0"/>
    <s v="N/A"/>
    <n v="437525105.31216973"/>
  </r>
  <r>
    <x v="0"/>
    <x v="8"/>
    <x v="8"/>
    <x v="4"/>
    <x v="0"/>
    <x v="0"/>
    <x v="2"/>
    <x v="2"/>
    <s v="Multi-Year"/>
    <x v="1"/>
    <s v="N/A"/>
    <s v=""/>
    <s v="Confirmed"/>
    <m/>
    <x v="0"/>
    <x v="0"/>
    <m/>
    <x v="3"/>
    <x v="1"/>
    <m/>
    <n v="0"/>
    <x v="1"/>
    <s v=""/>
    <n v="149463302.00602186"/>
  </r>
  <r>
    <x v="0"/>
    <x v="9"/>
    <x v="9"/>
    <x v="0"/>
    <x v="0"/>
    <x v="0"/>
    <x v="2"/>
    <x v="2"/>
    <s v="Multi-Year"/>
    <x v="1"/>
    <s v="N/A"/>
    <s v=""/>
    <s v="Confirmed"/>
    <m/>
    <x v="0"/>
    <x v="0"/>
    <m/>
    <x v="2"/>
    <x v="0"/>
    <m/>
    <n v="0"/>
    <x v="0"/>
    <s v="Low"/>
    <n v="1148322593.9600098"/>
  </r>
  <r>
    <x v="0"/>
    <x v="10"/>
    <x v="10"/>
    <x v="1"/>
    <x v="0"/>
    <x v="0"/>
    <x v="2"/>
    <x v="2"/>
    <s v="Multi-Year"/>
    <x v="1"/>
    <s v="N/A"/>
    <s v=""/>
    <s v="Confirmed"/>
    <m/>
    <x v="0"/>
    <x v="0"/>
    <m/>
    <x v="1"/>
    <x v="1"/>
    <m/>
    <n v="0"/>
    <x v="0"/>
    <s v=""/>
    <n v="2371102058.1093163"/>
  </r>
  <r>
    <x v="0"/>
    <x v="11"/>
    <x v="11"/>
    <x v="4"/>
    <x v="0"/>
    <x v="0"/>
    <x v="2"/>
    <x v="2"/>
    <s v="Multi-Year"/>
    <x v="1"/>
    <s v="N/A"/>
    <n v="2922505"/>
    <s v="Confirmed"/>
    <m/>
    <x v="0"/>
    <x v="0"/>
    <m/>
    <x v="2"/>
    <x v="1"/>
    <m/>
    <n v="0"/>
    <x v="1"/>
    <s v="N/A"/>
    <n v="75151620.005215243"/>
  </r>
  <r>
    <x v="0"/>
    <x v="12"/>
    <x v="12"/>
    <x v="5"/>
    <x v="0"/>
    <x v="0"/>
    <x v="2"/>
    <x v="2"/>
    <s v="Multi-Year"/>
    <x v="1"/>
    <s v="N/A"/>
    <s v=""/>
    <s v="Confirmed"/>
    <m/>
    <x v="0"/>
    <x v="0"/>
    <m/>
    <x v="2"/>
    <x v="0"/>
    <m/>
    <n v="0"/>
    <x v="0"/>
    <s v="Moderate"/>
    <n v="69958487.197715744"/>
  </r>
  <r>
    <x v="0"/>
    <x v="13"/>
    <x v="13"/>
    <x v="0"/>
    <x v="0"/>
    <x v="0"/>
    <x v="2"/>
    <x v="2"/>
    <s v="Multi-Year"/>
    <x v="1"/>
    <s v="N/A"/>
    <s v=""/>
    <s v="Confirmed"/>
    <m/>
    <x v="0"/>
    <x v="0"/>
    <m/>
    <x v="2"/>
    <x v="0"/>
    <m/>
    <n v="0"/>
    <x v="0"/>
    <s v="…"/>
    <n v="61654608.560629159"/>
  </r>
  <r>
    <x v="0"/>
    <x v="14"/>
    <x v="14"/>
    <x v="4"/>
    <x v="0"/>
    <x v="0"/>
    <x v="2"/>
    <x v="2"/>
    <s v="Multi-Year"/>
    <x v="1"/>
    <s v="N/A"/>
    <s v=""/>
    <s v="Confirmed"/>
    <m/>
    <x v="0"/>
    <x v="0"/>
    <m/>
    <x v="2"/>
    <x v="0"/>
    <m/>
    <n v="0"/>
    <x v="0"/>
    <s v="N/A"/>
    <n v="1806638707.7615163"/>
  </r>
  <r>
    <x v="0"/>
    <x v="15"/>
    <x v="15"/>
    <x v="1"/>
    <x v="0"/>
    <x v="0"/>
    <x v="2"/>
    <x v="2"/>
    <s v="Multi-Year"/>
    <x v="1"/>
    <s v="N/A"/>
    <s v=""/>
    <s v="Confirmed"/>
    <m/>
    <x v="0"/>
    <x v="0"/>
    <m/>
    <x v="1"/>
    <x v="1"/>
    <m/>
    <n v="0"/>
    <x v="0"/>
    <s v="N/A"/>
    <n v="1252696525.0627904"/>
  </r>
  <r>
    <x v="0"/>
    <x v="16"/>
    <x v="16"/>
    <x v="3"/>
    <x v="0"/>
    <x v="0"/>
    <x v="2"/>
    <x v="2"/>
    <s v="Multi-Year"/>
    <x v="1"/>
    <s v="N/A"/>
    <s v=""/>
    <s v="Confirmed"/>
    <m/>
    <x v="0"/>
    <x v="0"/>
    <m/>
    <x v="1"/>
    <x v="1"/>
    <m/>
    <n v="0"/>
    <x v="0"/>
    <s v=""/>
    <n v="843425084.07334602"/>
  </r>
  <r>
    <x v="0"/>
    <x v="17"/>
    <x v="17"/>
    <x v="4"/>
    <x v="0"/>
    <x v="0"/>
    <x v="2"/>
    <x v="2"/>
    <s v="Multi-Year"/>
    <x v="1"/>
    <s v="N/A"/>
    <s v=""/>
    <s v="Confirmed"/>
    <m/>
    <x v="0"/>
    <x v="0"/>
    <m/>
    <x v="1"/>
    <x v="1"/>
    <m/>
    <n v="0"/>
    <x v="0"/>
    <s v="N/A"/>
    <n v="74055620038.853683"/>
  </r>
  <r>
    <x v="0"/>
    <x v="18"/>
    <x v="18"/>
    <x v="1"/>
    <x v="0"/>
    <x v="0"/>
    <x v="2"/>
    <x v="2"/>
    <s v="Multi-Year"/>
    <x v="1"/>
    <s v="N/A"/>
    <s v=""/>
    <s v="Confirmed"/>
    <m/>
    <x v="0"/>
    <x v="0"/>
    <m/>
    <x v="1"/>
    <x v="1"/>
    <m/>
    <n v="0"/>
    <x v="0"/>
    <s v=""/>
    <n v="2803357765.5888777"/>
  </r>
  <r>
    <x v="0"/>
    <x v="19"/>
    <x v="19"/>
    <x v="5"/>
    <x v="0"/>
    <x v="0"/>
    <x v="2"/>
    <x v="2"/>
    <s v="Multi-Year"/>
    <x v="1"/>
    <s v="N/A"/>
    <s v=""/>
    <s v="Confirmed"/>
    <m/>
    <x v="0"/>
    <x v="0"/>
    <m/>
    <x v="0"/>
    <x v="0"/>
    <m/>
    <n v="2"/>
    <x v="0"/>
    <s v="Moderate"/>
    <n v="337927779.25510043"/>
  </r>
  <r>
    <x v="0"/>
    <x v="20"/>
    <x v="20"/>
    <x v="3"/>
    <x v="0"/>
    <x v="0"/>
    <x v="2"/>
    <x v="2"/>
    <s v="Multi-Year"/>
    <x v="1"/>
    <s v="N/A"/>
    <s v=""/>
    <s v="Confirmed"/>
    <m/>
    <x v="0"/>
    <x v="0"/>
    <m/>
    <x v="0"/>
    <x v="0"/>
    <m/>
    <n v="2"/>
    <x v="0"/>
    <s v="…"/>
    <n v="65979512.47399316"/>
  </r>
  <r>
    <x v="0"/>
    <x v="21"/>
    <x v="21"/>
    <x v="5"/>
    <x v="0"/>
    <x v="0"/>
    <x v="2"/>
    <x v="2"/>
    <s v="Multi-Year"/>
    <x v="1"/>
    <s v="N/A"/>
    <s v=""/>
    <s v="Confirmed"/>
    <m/>
    <x v="0"/>
    <x v="0"/>
    <m/>
    <x v="2"/>
    <x v="0"/>
    <m/>
    <n v="0"/>
    <x v="1"/>
    <s v="High"/>
    <n v="63748362.778827004"/>
  </r>
  <r>
    <x v="0"/>
    <x v="22"/>
    <x v="22"/>
    <x v="6"/>
    <x v="0"/>
    <x v="0"/>
    <x v="2"/>
    <x v="2"/>
    <s v="Multi-Year"/>
    <x v="1"/>
    <s v="N/A"/>
    <s v=""/>
    <s v="Confirmed"/>
    <m/>
    <x v="0"/>
    <x v="0"/>
    <m/>
    <x v="2"/>
    <x v="0"/>
    <m/>
    <n v="0"/>
    <x v="0"/>
    <s v="Low"/>
    <n v="313039649.45369786"/>
  </r>
  <r>
    <x v="0"/>
    <x v="23"/>
    <x v="23"/>
    <x v="5"/>
    <x v="0"/>
    <x v="0"/>
    <x v="2"/>
    <x v="2"/>
    <s v="Multi-Year"/>
    <x v="1"/>
    <s v="N/A"/>
    <s v=""/>
    <s v="Confirmed"/>
    <m/>
    <x v="0"/>
    <x v="0"/>
    <m/>
    <x v="2"/>
    <x v="0"/>
    <m/>
    <n v="2"/>
    <x v="0"/>
    <s v="High"/>
    <n v="81361801.477472037"/>
  </r>
  <r>
    <x v="0"/>
    <x v="24"/>
    <x v="24"/>
    <x v="5"/>
    <x v="0"/>
    <x v="0"/>
    <x v="2"/>
    <x v="2"/>
    <s v="Multi-Year"/>
    <x v="1"/>
    <s v="N/A"/>
    <s v=""/>
    <s v="Confirmed"/>
    <m/>
    <x v="0"/>
    <x v="0"/>
    <m/>
    <x v="0"/>
    <x v="0"/>
    <m/>
    <n v="1"/>
    <x v="0"/>
    <s v="High"/>
    <s v=""/>
  </r>
  <r>
    <x v="0"/>
    <x v="25"/>
    <x v="25"/>
    <x v="5"/>
    <x v="0"/>
    <x v="0"/>
    <x v="2"/>
    <x v="2"/>
    <s v="Multi-Year"/>
    <x v="1"/>
    <s v="N/A"/>
    <s v=""/>
    <s v="Confirmed"/>
    <m/>
    <x v="0"/>
    <x v="0"/>
    <m/>
    <x v="0"/>
    <x v="0"/>
    <m/>
    <n v="1"/>
    <x v="0"/>
    <s v="High"/>
    <n v="76939306.715636879"/>
  </r>
  <r>
    <x v="0"/>
    <x v="26"/>
    <x v="26"/>
    <x v="4"/>
    <x v="0"/>
    <x v="0"/>
    <x v="2"/>
    <x v="2"/>
    <s v="Multi-Year"/>
    <x v="1"/>
    <s v="N/A"/>
    <s v=""/>
    <s v="Confirmed"/>
    <m/>
    <x v="0"/>
    <x v="0"/>
    <m/>
    <x v="3"/>
    <x v="1"/>
    <m/>
    <n v="0"/>
    <x v="0"/>
    <s v=""/>
    <n v="13859708717.682571"/>
  </r>
  <r>
    <x v="0"/>
    <x v="27"/>
    <x v="27"/>
    <x v="6"/>
    <x v="0"/>
    <x v="0"/>
    <x v="2"/>
    <x v="2"/>
    <s v="Multi-Year"/>
    <x v="1"/>
    <s v="N/A"/>
    <s v=""/>
    <s v="Confirmed"/>
    <m/>
    <x v="0"/>
    <x v="0"/>
    <m/>
    <x v="1"/>
    <x v="1"/>
    <m/>
    <n v="0"/>
    <x v="0"/>
    <s v=""/>
    <n v="403567160707.7016"/>
  </r>
  <r>
    <x v="0"/>
    <x v="28"/>
    <x v="28"/>
    <x v="4"/>
    <x v="0"/>
    <x v="0"/>
    <x v="2"/>
    <x v="2"/>
    <s v="Multi-Year"/>
    <x v="1"/>
    <s v="N/A"/>
    <s v=""/>
    <s v="Confirmed"/>
    <m/>
    <x v="0"/>
    <x v="0"/>
    <m/>
    <x v="1"/>
    <x v="1"/>
    <m/>
    <n v="0"/>
    <x v="0"/>
    <s v=""/>
    <n v="18250225995.972618"/>
  </r>
  <r>
    <x v="0"/>
    <x v="29"/>
    <x v="29"/>
    <x v="3"/>
    <x v="0"/>
    <x v="0"/>
    <x v="2"/>
    <x v="2"/>
    <s v="Multi-Year"/>
    <x v="1"/>
    <s v="N/A"/>
    <s v=""/>
    <s v="Confirmed"/>
    <m/>
    <x v="0"/>
    <x v="0"/>
    <m/>
    <x v="2"/>
    <x v="0"/>
    <m/>
    <n v="0"/>
    <x v="1"/>
    <s v="Moderate"/>
    <n v="5027591.1682657599"/>
  </r>
  <r>
    <x v="0"/>
    <x v="30"/>
    <x v="30"/>
    <x v="5"/>
    <x v="0"/>
    <x v="0"/>
    <x v="2"/>
    <x v="2"/>
    <s v="Multi-Year"/>
    <x v="1"/>
    <s v="N/A"/>
    <s v=""/>
    <s v="Confirmed"/>
    <m/>
    <x v="0"/>
    <x v="0"/>
    <m/>
    <x v="0"/>
    <x v="0"/>
    <m/>
    <n v="3"/>
    <x v="0"/>
    <s v="Moderate"/>
    <n v="234645958.63289919"/>
  </r>
  <r>
    <x v="0"/>
    <x v="31"/>
    <x v="31"/>
    <x v="5"/>
    <x v="0"/>
    <x v="0"/>
    <x v="2"/>
    <x v="2"/>
    <s v="Multi-Year"/>
    <x v="1"/>
    <s v="N/A"/>
    <s v=""/>
    <s v="Confirmed"/>
    <m/>
    <x v="0"/>
    <x v="0"/>
    <m/>
    <x v="2"/>
    <x v="0"/>
    <m/>
    <n v="2"/>
    <x v="0"/>
    <s v="In distress"/>
    <n v="91590910.247314155"/>
  </r>
  <r>
    <x v="0"/>
    <x v="32"/>
    <x v="32"/>
    <x v="6"/>
    <x v="0"/>
    <x v="0"/>
    <x v="2"/>
    <x v="2"/>
    <s v="Multi-Year"/>
    <x v="1"/>
    <s v="N/A"/>
    <s v=""/>
    <s v="Confirmed"/>
    <m/>
    <x v="0"/>
    <x v="0"/>
    <m/>
    <x v="4"/>
    <x v="1"/>
    <m/>
    <n v="0"/>
    <x v="1"/>
    <s v="N/A"/>
    <n v="8560012.8840167802"/>
  </r>
  <r>
    <x v="0"/>
    <x v="33"/>
    <x v="33"/>
    <x v="4"/>
    <x v="0"/>
    <x v="0"/>
    <x v="2"/>
    <x v="2"/>
    <s v="Multi-Year"/>
    <x v="1"/>
    <s v="N/A"/>
    <s v=""/>
    <s v="Confirmed"/>
    <m/>
    <x v="0"/>
    <x v="0"/>
    <m/>
    <x v="1"/>
    <x v="1"/>
    <m/>
    <n v="0"/>
    <x v="0"/>
    <s v="N/A"/>
    <n v="3292372960.3962669"/>
  </r>
  <r>
    <x v="0"/>
    <x v="34"/>
    <x v="34"/>
    <x v="5"/>
    <x v="0"/>
    <x v="0"/>
    <x v="2"/>
    <x v="2"/>
    <s v="Multi-Year"/>
    <x v="1"/>
    <s v="N/A"/>
    <s v=""/>
    <s v="Confirmed"/>
    <m/>
    <x v="0"/>
    <x v="0"/>
    <m/>
    <x v="2"/>
    <x v="0"/>
    <m/>
    <n v="0"/>
    <x v="0"/>
    <s v="Moderate"/>
    <n v="519209981.22981054"/>
  </r>
  <r>
    <x v="0"/>
    <x v="35"/>
    <x v="35"/>
    <x v="1"/>
    <x v="0"/>
    <x v="0"/>
    <x v="2"/>
    <x v="2"/>
    <s v="Multi-Year"/>
    <x v="1"/>
    <s v="N/A"/>
    <s v=""/>
    <s v="Confirmed"/>
    <m/>
    <x v="0"/>
    <x v="0"/>
    <m/>
    <x v="3"/>
    <x v="1"/>
    <m/>
    <n v="0"/>
    <x v="0"/>
    <s v=""/>
    <n v="3464739907.1604805"/>
  </r>
  <r>
    <x v="0"/>
    <x v="36"/>
    <x v="36"/>
    <x v="4"/>
    <x v="0"/>
    <x v="0"/>
    <x v="2"/>
    <x v="2"/>
    <s v="Multi-Year"/>
    <x v="1"/>
    <s v="N/A"/>
    <s v=""/>
    <s v="Confirmed"/>
    <m/>
    <x v="0"/>
    <x v="0"/>
    <m/>
    <x v="1"/>
    <x v="1"/>
    <m/>
    <n v="0"/>
    <x v="1"/>
    <s v=""/>
    <n v="9948521252.2569065"/>
  </r>
  <r>
    <x v="0"/>
    <x v="37"/>
    <x v="37"/>
    <x v="2"/>
    <x v="0"/>
    <x v="0"/>
    <x v="2"/>
    <x v="2"/>
    <s v="Multi-Year"/>
    <x v="1"/>
    <s v="N/A"/>
    <s v=""/>
    <s v="Confirmed"/>
    <m/>
    <x v="0"/>
    <x v="0"/>
    <m/>
    <x v="2"/>
    <x v="0"/>
    <m/>
    <n v="1"/>
    <x v="0"/>
    <s v="High"/>
    <n v="33679192.765657313"/>
  </r>
  <r>
    <x v="0"/>
    <x v="38"/>
    <x v="38"/>
    <x v="4"/>
    <x v="0"/>
    <x v="0"/>
    <x v="2"/>
    <x v="2"/>
    <s v="Multi-Year"/>
    <x v="1"/>
    <s v="N/A"/>
    <s v=""/>
    <s v="Confirmed"/>
    <m/>
    <x v="0"/>
    <x v="0"/>
    <m/>
    <x v="1"/>
    <x v="0"/>
    <m/>
    <n v="0"/>
    <x v="1"/>
    <s v="…"/>
    <n v="22784494.365742501"/>
  </r>
  <r>
    <x v="0"/>
    <x v="39"/>
    <x v="39"/>
    <x v="4"/>
    <x v="0"/>
    <x v="0"/>
    <x v="2"/>
    <x v="2"/>
    <s v="Multi-Year"/>
    <x v="1"/>
    <s v="N/A"/>
    <n v="360305"/>
    <s v="Confirmed"/>
    <m/>
    <x v="0"/>
    <x v="0"/>
    <m/>
    <x v="1"/>
    <x v="1"/>
    <m/>
    <n v="0"/>
    <x v="1"/>
    <s v=""/>
    <n v="2173208011.4858823"/>
  </r>
  <r>
    <x v="0"/>
    <x v="40"/>
    <x v="40"/>
    <x v="4"/>
    <x v="0"/>
    <x v="0"/>
    <x v="2"/>
    <x v="2"/>
    <s v="Multi-Year"/>
    <x v="1"/>
    <s v="N/A"/>
    <n v="673947"/>
    <s v="Confirmed"/>
    <m/>
    <x v="0"/>
    <x v="0"/>
    <m/>
    <x v="1"/>
    <x v="1"/>
    <m/>
    <n v="0"/>
    <x v="0"/>
    <s v="N/A"/>
    <n v="4585736158.8323269"/>
  </r>
  <r>
    <x v="0"/>
    <x v="41"/>
    <x v="41"/>
    <x v="2"/>
    <x v="0"/>
    <x v="0"/>
    <x v="2"/>
    <x v="2"/>
    <s v="Multi-Year"/>
    <x v="1"/>
    <s v="N/A"/>
    <s v=""/>
    <s v="Confirmed"/>
    <m/>
    <x v="0"/>
    <x v="0"/>
    <m/>
    <x v="2"/>
    <x v="0"/>
    <m/>
    <n v="0"/>
    <x v="0"/>
    <s v="N/A"/>
    <n v="3550291584.8645592"/>
  </r>
  <r>
    <x v="0"/>
    <x v="42"/>
    <x v="42"/>
    <x v="4"/>
    <x v="0"/>
    <x v="0"/>
    <x v="2"/>
    <x v="2"/>
    <s v="Multi-Year"/>
    <x v="1"/>
    <s v="N/A"/>
    <n v="20000000"/>
    <s v="Confirmed"/>
    <m/>
    <x v="0"/>
    <x v="0"/>
    <m/>
    <x v="2"/>
    <x v="0"/>
    <m/>
    <n v="0"/>
    <x v="0"/>
    <s v="N/A"/>
    <n v="1182840319.0410969"/>
  </r>
  <r>
    <x v="0"/>
    <x v="43"/>
    <x v="43"/>
    <x v="4"/>
    <x v="0"/>
    <x v="0"/>
    <x v="2"/>
    <x v="2"/>
    <s v="Multi-Year"/>
    <x v="1"/>
    <s v="N/A"/>
    <s v=""/>
    <s v="Confirmed"/>
    <m/>
    <x v="0"/>
    <x v="0"/>
    <m/>
    <x v="1"/>
    <x v="1"/>
    <m/>
    <n v="0"/>
    <x v="0"/>
    <s v=""/>
    <n v="81728347.604567245"/>
  </r>
  <r>
    <x v="0"/>
    <x v="44"/>
    <x v="44"/>
    <x v="3"/>
    <x v="0"/>
    <x v="0"/>
    <x v="2"/>
    <x v="2"/>
    <s v="Multi-Year"/>
    <x v="1"/>
    <s v="N/A"/>
    <s v=""/>
    <s v="Confirmed"/>
    <m/>
    <x v="0"/>
    <x v="0"/>
    <m/>
    <x v="0"/>
    <x v="0"/>
    <m/>
    <n v="2"/>
    <x v="0"/>
    <s v="N/A"/>
    <n v="12787914.977715338"/>
  </r>
  <r>
    <x v="0"/>
    <x v="45"/>
    <x v="45"/>
    <x v="3"/>
    <x v="0"/>
    <x v="0"/>
    <x v="2"/>
    <x v="2"/>
    <s v="Multi-Year"/>
    <x v="1"/>
    <s v="N/A"/>
    <s v=""/>
    <s v="Confirmed"/>
    <m/>
    <x v="0"/>
    <x v="0"/>
    <m/>
    <x v="2"/>
    <x v="0"/>
    <m/>
    <n v="2"/>
    <x v="0"/>
    <s v="N/A"/>
    <n v="101271737.65410839"/>
  </r>
  <r>
    <x v="0"/>
    <x v="46"/>
    <x v="46"/>
    <x v="3"/>
    <x v="0"/>
    <x v="0"/>
    <x v="2"/>
    <x v="2"/>
    <s v="Multi-Year"/>
    <x v="1"/>
    <s v="N/A"/>
    <s v=""/>
    <s v="Confirmed"/>
    <m/>
    <x v="0"/>
    <x v="0"/>
    <m/>
    <x v="0"/>
    <x v="0"/>
    <m/>
    <n v="3"/>
    <x v="0"/>
    <s v="High"/>
    <n v="618344226.71759331"/>
  </r>
  <r>
    <x v="0"/>
    <x v="47"/>
    <x v="47"/>
    <x v="6"/>
    <x v="0"/>
    <x v="0"/>
    <x v="2"/>
    <x v="2"/>
    <s v="Multi-Year"/>
    <x v="1"/>
    <s v="N/A"/>
    <s v=""/>
    <s v="Confirmed"/>
    <m/>
    <x v="0"/>
    <x v="0"/>
    <m/>
    <x v="1"/>
    <x v="0"/>
    <m/>
    <n v="0"/>
    <x v="1"/>
    <s v="…"/>
    <n v="129483872.95906857"/>
  </r>
  <r>
    <x v="0"/>
    <x v="48"/>
    <x v="48"/>
    <x v="5"/>
    <x v="0"/>
    <x v="0"/>
    <x v="2"/>
    <x v="2"/>
    <s v="Multi-Year"/>
    <x v="1"/>
    <s v="N/A"/>
    <s v=""/>
    <s v="Confirmed"/>
    <m/>
    <x v="0"/>
    <x v="0"/>
    <m/>
    <x v="1"/>
    <x v="1"/>
    <m/>
    <n v="0"/>
    <x v="0"/>
    <s v="N/A"/>
    <n v="271184658.35014349"/>
  </r>
  <r>
    <x v="0"/>
    <x v="49"/>
    <x v="49"/>
    <x v="5"/>
    <x v="0"/>
    <x v="0"/>
    <x v="2"/>
    <x v="2"/>
    <s v="Multi-Year"/>
    <x v="1"/>
    <s v="N/A"/>
    <s v=""/>
    <s v="Confirmed"/>
    <m/>
    <x v="0"/>
    <x v="0"/>
    <m/>
    <x v="0"/>
    <x v="0"/>
    <m/>
    <n v="0"/>
    <x v="0"/>
    <s v="High"/>
    <n v="15455265.086884515"/>
  </r>
  <r>
    <x v="0"/>
    <x v="50"/>
    <x v="50"/>
    <x v="1"/>
    <x v="0"/>
    <x v="0"/>
    <x v="2"/>
    <x v="2"/>
    <s v="Multi-Year"/>
    <x v="1"/>
    <s v="N/A"/>
    <s v=""/>
    <s v="Confirmed"/>
    <m/>
    <x v="0"/>
    <x v="0"/>
    <m/>
    <x v="1"/>
    <x v="1"/>
    <m/>
    <n v="0"/>
    <x v="0"/>
    <s v="N/A"/>
    <n v="494021502.525527"/>
  </r>
  <r>
    <x v="0"/>
    <x v="51"/>
    <x v="51"/>
    <x v="5"/>
    <x v="0"/>
    <x v="0"/>
    <x v="2"/>
    <x v="2"/>
    <s v="Multi-Year"/>
    <x v="1"/>
    <s v="N/A"/>
    <s v=""/>
    <s v="Confirmed"/>
    <m/>
    <x v="0"/>
    <x v="0"/>
    <m/>
    <x v="2"/>
    <x v="0"/>
    <m/>
    <n v="0"/>
    <x v="0"/>
    <s v="High"/>
    <n v="902005621.73836684"/>
  </r>
  <r>
    <x v="0"/>
    <x v="52"/>
    <x v="52"/>
    <x v="4"/>
    <x v="0"/>
    <x v="0"/>
    <x v="2"/>
    <x v="2"/>
    <s v="Multi-Year"/>
    <x v="1"/>
    <s v="N/A"/>
    <s v=""/>
    <s v="Confirmed"/>
    <m/>
    <x v="0"/>
    <x v="0"/>
    <m/>
    <x v="1"/>
    <x v="0"/>
    <m/>
    <n v="0"/>
    <x v="1"/>
    <s v="In distress"/>
    <n v="20201670.142996579"/>
  </r>
  <r>
    <x v="0"/>
    <x v="53"/>
    <x v="53"/>
    <x v="4"/>
    <x v="0"/>
    <x v="0"/>
    <x v="2"/>
    <x v="2"/>
    <s v="Multi-Year"/>
    <x v="1"/>
    <s v="N/A"/>
    <s v=""/>
    <s v="Confirmed"/>
    <m/>
    <x v="0"/>
    <x v="0"/>
    <m/>
    <x v="1"/>
    <x v="1"/>
    <m/>
    <n v="0"/>
    <x v="0"/>
    <s v=""/>
    <n v="1612434649.6948864"/>
  </r>
  <r>
    <x v="0"/>
    <x v="54"/>
    <x v="54"/>
    <x v="5"/>
    <x v="0"/>
    <x v="0"/>
    <x v="2"/>
    <x v="2"/>
    <s v="Multi-Year"/>
    <x v="1"/>
    <s v="N/A"/>
    <s v=""/>
    <s v="Confirmed"/>
    <m/>
    <x v="0"/>
    <x v="0"/>
    <m/>
    <x v="0"/>
    <x v="0"/>
    <m/>
    <n v="0"/>
    <x v="0"/>
    <s v="Moderate"/>
    <n v="78203134.118229344"/>
  </r>
  <r>
    <x v="0"/>
    <x v="55"/>
    <x v="55"/>
    <x v="5"/>
    <x v="0"/>
    <x v="0"/>
    <x v="2"/>
    <x v="2"/>
    <s v="Multi-Year"/>
    <x v="1"/>
    <s v="N/A"/>
    <s v=""/>
    <s v="Confirmed"/>
    <m/>
    <x v="0"/>
    <x v="0"/>
    <m/>
    <x v="0"/>
    <x v="0"/>
    <m/>
    <n v="2"/>
    <x v="1"/>
    <s v="High"/>
    <n v="9151637.7411015611"/>
  </r>
  <r>
    <x v="0"/>
    <x v="56"/>
    <x v="56"/>
    <x v="4"/>
    <x v="0"/>
    <x v="0"/>
    <x v="2"/>
    <x v="2"/>
    <s v="Multi-Year"/>
    <x v="1"/>
    <s v="N/A"/>
    <s v=""/>
    <s v="Confirmed"/>
    <m/>
    <x v="0"/>
    <x v="0"/>
    <m/>
    <x v="1"/>
    <x v="0"/>
    <m/>
    <n v="0"/>
    <x v="1"/>
    <s v="Moderate"/>
    <n v="142455920.02856269"/>
  </r>
  <r>
    <x v="0"/>
    <x v="57"/>
    <x v="57"/>
    <x v="4"/>
    <x v="0"/>
    <x v="0"/>
    <x v="2"/>
    <x v="2"/>
    <s v="Multi-Year"/>
    <x v="1"/>
    <s v="N/A"/>
    <s v=""/>
    <s v="Confirmed"/>
    <m/>
    <x v="0"/>
    <x v="0"/>
    <m/>
    <x v="2"/>
    <x v="0"/>
    <m/>
    <n v="1"/>
    <x v="1"/>
    <s v="High"/>
    <n v="85611818.171245083"/>
  </r>
  <r>
    <x v="0"/>
    <x v="58"/>
    <x v="58"/>
    <x v="4"/>
    <x v="0"/>
    <x v="0"/>
    <x v="2"/>
    <x v="2"/>
    <s v="Multi-Year"/>
    <x v="1"/>
    <s v="N/A"/>
    <n v="15800000"/>
    <s v="Confirmed"/>
    <m/>
    <x v="0"/>
    <x v="0"/>
    <m/>
    <x v="2"/>
    <x v="0"/>
    <m/>
    <n v="0"/>
    <x v="0"/>
    <s v="Low"/>
    <n v="680289736.30082119"/>
  </r>
  <r>
    <x v="0"/>
    <x v="59"/>
    <x v="59"/>
    <x v="0"/>
    <x v="0"/>
    <x v="0"/>
    <x v="2"/>
    <x v="2"/>
    <s v="Multi-Year"/>
    <x v="1"/>
    <s v="N/A"/>
    <s v=""/>
    <s v="Confirmed"/>
    <m/>
    <x v="0"/>
    <x v="0"/>
    <m/>
    <x v="2"/>
    <x v="0"/>
    <m/>
    <n v="0"/>
    <x v="0"/>
    <s v="N/A"/>
    <n v="26554332750.47023"/>
  </r>
  <r>
    <x v="0"/>
    <x v="60"/>
    <x v="60"/>
    <x v="6"/>
    <x v="0"/>
    <x v="0"/>
    <x v="2"/>
    <x v="2"/>
    <s v="Multi-Year"/>
    <x v="1"/>
    <s v="N/A"/>
    <s v=""/>
    <s v="Confirmed"/>
    <m/>
    <x v="0"/>
    <x v="0"/>
    <m/>
    <x v="2"/>
    <x v="0"/>
    <m/>
    <n v="0"/>
    <x v="0"/>
    <s v="N/A"/>
    <n v="14745961064.890842"/>
  </r>
  <r>
    <x v="0"/>
    <x v="61"/>
    <x v="61"/>
    <x v="2"/>
    <x v="0"/>
    <x v="0"/>
    <x v="2"/>
    <x v="2"/>
    <s v="Multi-Year"/>
    <x v="1"/>
    <s v="N/A"/>
    <s v=""/>
    <s v="Confirmed"/>
    <m/>
    <x v="0"/>
    <x v="0"/>
    <m/>
    <x v="2"/>
    <x v="1"/>
    <m/>
    <n v="0"/>
    <x v="0"/>
    <s v="N/A"/>
    <n v="18194076299.786381"/>
  </r>
  <r>
    <x v="0"/>
    <x v="62"/>
    <x v="62"/>
    <x v="2"/>
    <x v="0"/>
    <x v="0"/>
    <x v="2"/>
    <x v="2"/>
    <s v="Multi-Year"/>
    <x v="1"/>
    <s v="N/A"/>
    <s v=""/>
    <s v="Confirmed"/>
    <m/>
    <x v="0"/>
    <x v="0"/>
    <m/>
    <x v="1"/>
    <x v="1"/>
    <m/>
    <n v="0"/>
    <x v="0"/>
    <s v="N/A"/>
    <n v="4428819387.769825"/>
  </r>
  <r>
    <x v="0"/>
    <x v="63"/>
    <x v="63"/>
    <x v="4"/>
    <x v="0"/>
    <x v="0"/>
    <x v="2"/>
    <x v="2"/>
    <s v="Multi-Year"/>
    <x v="1"/>
    <s v="N/A"/>
    <s v=""/>
    <s v="Confirmed"/>
    <m/>
    <x v="0"/>
    <x v="0"/>
    <m/>
    <x v="1"/>
    <x v="1"/>
    <m/>
    <n v="0"/>
    <x v="1"/>
    <s v=""/>
    <n v="611739560.62679195"/>
  </r>
  <r>
    <x v="0"/>
    <x v="64"/>
    <x v="64"/>
    <x v="2"/>
    <x v="0"/>
    <x v="0"/>
    <x v="2"/>
    <x v="2"/>
    <s v="Multi-Year"/>
    <x v="1"/>
    <s v="N/A"/>
    <s v=""/>
    <s v="Confirmed"/>
    <m/>
    <x v="0"/>
    <x v="0"/>
    <m/>
    <x v="1"/>
    <x v="1"/>
    <m/>
    <n v="0"/>
    <x v="0"/>
    <s v="N/A"/>
    <n v="1617913383.0481031"/>
  </r>
  <r>
    <x v="0"/>
    <x v="65"/>
    <x v="65"/>
    <x v="1"/>
    <x v="0"/>
    <x v="0"/>
    <x v="2"/>
    <x v="2"/>
    <s v="Multi-Year"/>
    <x v="1"/>
    <s v="N/A"/>
    <s v=""/>
    <s v="Confirmed"/>
    <m/>
    <x v="0"/>
    <x v="0"/>
    <m/>
    <x v="1"/>
    <x v="1"/>
    <m/>
    <n v="0"/>
    <x v="0"/>
    <s v=""/>
    <n v="3074419112.4562683"/>
  </r>
  <r>
    <x v="0"/>
    <x v="66"/>
    <x v="66"/>
    <x v="3"/>
    <x v="0"/>
    <x v="0"/>
    <x v="2"/>
    <x v="2"/>
    <s v="Multi-Year"/>
    <x v="1"/>
    <s v="N/A"/>
    <s v=""/>
    <s v="Confirmed"/>
    <m/>
    <x v="0"/>
    <x v="0"/>
    <m/>
    <x v="2"/>
    <x v="0"/>
    <m/>
    <n v="0"/>
    <x v="0"/>
    <s v="High"/>
    <n v="1914014279.8929913"/>
  </r>
  <r>
    <x v="0"/>
    <x v="67"/>
    <x v="67"/>
    <x v="6"/>
    <x v="0"/>
    <x v="0"/>
    <x v="2"/>
    <x v="2"/>
    <s v="Multi-Year"/>
    <x v="1"/>
    <s v="N/A"/>
    <s v=""/>
    <s v="Confirmed"/>
    <m/>
    <x v="0"/>
    <x v="0"/>
    <m/>
    <x v="2"/>
    <x v="0"/>
    <m/>
    <n v="0"/>
    <x v="1"/>
    <s v="High"/>
    <n v="17422005.762907442"/>
  </r>
  <r>
    <x v="0"/>
    <x v="68"/>
    <x v="68"/>
    <x v="6"/>
    <x v="0"/>
    <x v="0"/>
    <x v="2"/>
    <x v="2"/>
    <s v="Multi-Year"/>
    <x v="1"/>
    <s v="N/A"/>
    <s v=""/>
    <s v="Confirmed"/>
    <m/>
    <x v="0"/>
    <x v="0"/>
    <m/>
    <x v="0"/>
    <x v="0"/>
    <m/>
    <n v="0"/>
    <x v="0"/>
    <s v="N/A"/>
    <s v=""/>
  </r>
  <r>
    <x v="0"/>
    <x v="69"/>
    <x v="69"/>
    <x v="1"/>
    <x v="0"/>
    <x v="0"/>
    <x v="2"/>
    <x v="2"/>
    <s v="Multi-Year"/>
    <x v="1"/>
    <s v="N/A"/>
    <s v=""/>
    <s v="Confirmed"/>
    <m/>
    <x v="0"/>
    <x v="0"/>
    <m/>
    <x v="1"/>
    <x v="0"/>
    <m/>
    <n v="0"/>
    <x v="0"/>
    <s v="…"/>
    <s v=""/>
  </r>
  <r>
    <x v="0"/>
    <x v="70"/>
    <x v="70"/>
    <x v="1"/>
    <x v="0"/>
    <x v="0"/>
    <x v="2"/>
    <x v="2"/>
    <s v="Multi-Year"/>
    <x v="1"/>
    <s v="N/A"/>
    <s v=""/>
    <s v="Confirmed"/>
    <m/>
    <x v="0"/>
    <x v="0"/>
    <m/>
    <x v="2"/>
    <x v="0"/>
    <m/>
    <n v="2"/>
    <x v="0"/>
    <s v="Moderate"/>
    <n v="231506834.84347546"/>
  </r>
  <r>
    <x v="0"/>
    <x v="71"/>
    <x v="71"/>
    <x v="6"/>
    <x v="0"/>
    <x v="0"/>
    <x v="2"/>
    <x v="2"/>
    <s v="Multi-Year"/>
    <x v="1"/>
    <s v="N/A"/>
    <s v=""/>
    <s v="Confirmed"/>
    <m/>
    <x v="0"/>
    <x v="0"/>
    <m/>
    <x v="2"/>
    <x v="0"/>
    <m/>
    <n v="0"/>
    <x v="0"/>
    <s v="High"/>
    <n v="156059428.62944782"/>
  </r>
  <r>
    <x v="0"/>
    <x v="72"/>
    <x v="72"/>
    <x v="2"/>
    <x v="0"/>
    <x v="0"/>
    <x v="2"/>
    <x v="2"/>
    <s v="Multi-Year"/>
    <x v="1"/>
    <s v="N/A"/>
    <s v=""/>
    <s v="Confirmed"/>
    <m/>
    <x v="0"/>
    <x v="0"/>
    <m/>
    <x v="1"/>
    <x v="1"/>
    <m/>
    <n v="0"/>
    <x v="0"/>
    <s v="N/A"/>
    <n v="2355391507.1635861"/>
  </r>
  <r>
    <x v="0"/>
    <x v="73"/>
    <x v="73"/>
    <x v="3"/>
    <x v="0"/>
    <x v="0"/>
    <x v="2"/>
    <x v="2"/>
    <s v="Multi-Year"/>
    <x v="1"/>
    <s v="N/A"/>
    <s v=""/>
    <s v="Confirmed"/>
    <m/>
    <x v="0"/>
    <x v="0"/>
    <m/>
    <x v="2"/>
    <x v="0"/>
    <m/>
    <n v="0"/>
    <x v="0"/>
    <s v="Moderate"/>
    <n v="152760919.7684873"/>
  </r>
  <r>
    <x v="0"/>
    <x v="74"/>
    <x v="74"/>
    <x v="5"/>
    <x v="0"/>
    <x v="0"/>
    <x v="2"/>
    <x v="2"/>
    <s v="Multi-Year"/>
    <x v="1"/>
    <s v="N/A"/>
    <s v=""/>
    <s v="Confirmed"/>
    <m/>
    <x v="0"/>
    <x v="0"/>
    <m/>
    <x v="0"/>
    <x v="0"/>
    <m/>
    <n v="0"/>
    <x v="0"/>
    <s v="High"/>
    <n v="55072006.864440605"/>
  </r>
  <r>
    <x v="0"/>
    <x v="75"/>
    <x v="75"/>
    <x v="2"/>
    <x v="0"/>
    <x v="0"/>
    <x v="2"/>
    <x v="2"/>
    <s v="Multi-Year"/>
    <x v="1"/>
    <s v="N/A"/>
    <s v=""/>
    <s v="Confirmed"/>
    <m/>
    <x v="0"/>
    <x v="0"/>
    <m/>
    <x v="1"/>
    <x v="1"/>
    <m/>
    <n v="0"/>
    <x v="0"/>
    <s v="N/A"/>
    <s v=""/>
  </r>
  <r>
    <x v="0"/>
    <x v="76"/>
    <x v="76"/>
    <x v="3"/>
    <x v="0"/>
    <x v="0"/>
    <x v="2"/>
    <x v="2"/>
    <s v="Multi-Year"/>
    <x v="1"/>
    <s v="N/A"/>
    <s v=""/>
    <s v="Confirmed"/>
    <m/>
    <x v="0"/>
    <x v="0"/>
    <m/>
    <x v="0"/>
    <x v="0"/>
    <m/>
    <n v="2"/>
    <x v="0"/>
    <s v="Moderate"/>
    <n v="206914157.05429548"/>
  </r>
  <r>
    <x v="0"/>
    <x v="77"/>
    <x v="77"/>
    <x v="3"/>
    <x v="0"/>
    <x v="0"/>
    <x v="2"/>
    <x v="2"/>
    <s v="Multi-Year"/>
    <x v="1"/>
    <s v="N/A"/>
    <s v=""/>
    <s v="Confirmed"/>
    <m/>
    <x v="0"/>
    <x v="0"/>
    <m/>
    <x v="0"/>
    <x v="0"/>
    <m/>
    <n v="2"/>
    <x v="0"/>
    <s v="High"/>
    <n v="185999915.02066413"/>
  </r>
  <r>
    <x v="0"/>
    <x v="78"/>
    <x v="78"/>
    <x v="6"/>
    <x v="0"/>
    <x v="0"/>
    <x v="2"/>
    <x v="2"/>
    <s v="Multi-Year"/>
    <x v="1"/>
    <s v="N/A"/>
    <s v=""/>
    <s v="Confirmed"/>
    <m/>
    <x v="0"/>
    <x v="0"/>
    <m/>
    <x v="1"/>
    <x v="1"/>
    <m/>
    <n v="0"/>
    <x v="0"/>
    <s v=""/>
    <n v="6893755763.2501726"/>
  </r>
  <r>
    <x v="0"/>
    <x v="79"/>
    <x v="79"/>
    <x v="0"/>
    <x v="0"/>
    <x v="0"/>
    <x v="2"/>
    <x v="2"/>
    <s v="Multi-Year"/>
    <x v="1"/>
    <s v="N/A"/>
    <s v=""/>
    <s v="Confirmed"/>
    <m/>
    <x v="0"/>
    <x v="0"/>
    <m/>
    <x v="1"/>
    <x v="0"/>
    <m/>
    <n v="0"/>
    <x v="1"/>
    <s v="High"/>
    <n v="354560231.58276606"/>
  </r>
  <r>
    <x v="0"/>
    <x v="80"/>
    <x v="80"/>
    <x v="5"/>
    <x v="0"/>
    <x v="0"/>
    <x v="2"/>
    <x v="2"/>
    <s v="Multi-Year"/>
    <x v="1"/>
    <s v="N/A"/>
    <s v=""/>
    <s v="Confirmed"/>
    <m/>
    <x v="0"/>
    <x v="0"/>
    <m/>
    <x v="0"/>
    <x v="0"/>
    <m/>
    <n v="1"/>
    <x v="0"/>
    <s v="Moderate"/>
    <n v="188169167.56540567"/>
  </r>
  <r>
    <x v="0"/>
    <x v="81"/>
    <x v="81"/>
    <x v="6"/>
    <x v="0"/>
    <x v="0"/>
    <x v="2"/>
    <x v="2"/>
    <s v="Multi-Year"/>
    <x v="1"/>
    <s v="N/A"/>
    <s v=""/>
    <s v="Confirmed"/>
    <m/>
    <x v="0"/>
    <x v="0"/>
    <m/>
    <x v="1"/>
    <x v="0"/>
    <m/>
    <n v="0"/>
    <x v="1"/>
    <s v=""/>
    <n v="16312106.556340856"/>
  </r>
  <r>
    <x v="0"/>
    <x v="82"/>
    <x v="82"/>
    <x v="5"/>
    <x v="0"/>
    <x v="0"/>
    <x v="2"/>
    <x v="2"/>
    <s v="Multi-Year"/>
    <x v="1"/>
    <s v="N/A"/>
    <s v=""/>
    <s v="Confirmed"/>
    <m/>
    <x v="0"/>
    <x v="0"/>
    <m/>
    <x v="2"/>
    <x v="0"/>
    <m/>
    <n v="2"/>
    <x v="0"/>
    <s v="High"/>
    <n v="86083833.534053758"/>
  </r>
  <r>
    <x v="0"/>
    <x v="83"/>
    <x v="83"/>
    <x v="3"/>
    <x v="0"/>
    <x v="0"/>
    <x v="2"/>
    <x v="2"/>
    <s v="Multi-Year"/>
    <x v="1"/>
    <s v="N/A"/>
    <s v=""/>
    <s v="Confirmed"/>
    <m/>
    <x v="0"/>
    <x v="0"/>
    <m/>
    <x v="1"/>
    <x v="1"/>
    <m/>
    <n v="0"/>
    <x v="1"/>
    <s v="N/A"/>
    <n v="357220835.93762809"/>
  </r>
  <r>
    <x v="0"/>
    <x v="84"/>
    <x v="84"/>
    <x v="4"/>
    <x v="0"/>
    <x v="0"/>
    <x v="2"/>
    <x v="2"/>
    <s v="Multi-Year"/>
    <x v="1"/>
    <s v="N/A"/>
    <s v=""/>
    <s v="Confirmed"/>
    <m/>
    <x v="0"/>
    <x v="0"/>
    <m/>
    <x v="1"/>
    <x v="1"/>
    <m/>
    <n v="0"/>
    <x v="0"/>
    <s v=""/>
    <n v="32831598153.796387"/>
  </r>
  <r>
    <x v="0"/>
    <x v="85"/>
    <x v="85"/>
    <x v="6"/>
    <x v="0"/>
    <x v="0"/>
    <x v="2"/>
    <x v="2"/>
    <s v="Multi-Year"/>
    <x v="1"/>
    <s v="N/A"/>
    <s v=""/>
    <s v="Confirmed"/>
    <m/>
    <x v="0"/>
    <x v="0"/>
    <m/>
    <x v="2"/>
    <x v="0"/>
    <m/>
    <n v="0"/>
    <x v="1"/>
    <s v="High"/>
    <n v="12329056.093798399"/>
  </r>
  <r>
    <x v="0"/>
    <x v="86"/>
    <x v="86"/>
    <x v="1"/>
    <x v="0"/>
    <x v="0"/>
    <x v="2"/>
    <x v="2"/>
    <s v="Multi-Year"/>
    <x v="1"/>
    <s v="N/A"/>
    <s v=""/>
    <s v="Confirmed"/>
    <m/>
    <x v="0"/>
    <x v="0"/>
    <m/>
    <x v="1"/>
    <x v="0"/>
    <m/>
    <n v="0"/>
    <x v="0"/>
    <s v="Low"/>
    <n v="426639742.85328001"/>
  </r>
  <r>
    <x v="0"/>
    <x v="87"/>
    <x v="87"/>
    <x v="6"/>
    <x v="0"/>
    <x v="0"/>
    <x v="2"/>
    <x v="2"/>
    <s v="Multi-Year"/>
    <x v="1"/>
    <s v="N/A"/>
    <s v=""/>
    <s v="Confirmed"/>
    <m/>
    <x v="0"/>
    <x v="0"/>
    <m/>
    <x v="2"/>
    <x v="0"/>
    <m/>
    <n v="0"/>
    <x v="0"/>
    <s v="…"/>
    <n v="288519671.85870522"/>
  </r>
  <r>
    <x v="0"/>
    <x v="88"/>
    <x v="88"/>
    <x v="1"/>
    <x v="0"/>
    <x v="0"/>
    <x v="2"/>
    <x v="2"/>
    <s v="Multi-Year"/>
    <x v="1"/>
    <s v="N/A"/>
    <s v=""/>
    <s v="Confirmed"/>
    <m/>
    <x v="0"/>
    <x v="0"/>
    <m/>
    <x v="1"/>
    <x v="1"/>
    <m/>
    <n v="0"/>
    <x v="0"/>
    <s v="N/A"/>
    <n v="275606560.78491527"/>
  </r>
  <r>
    <x v="0"/>
    <x v="89"/>
    <x v="89"/>
    <x v="2"/>
    <x v="0"/>
    <x v="0"/>
    <x v="2"/>
    <x v="2"/>
    <s v="Multi-Year"/>
    <x v="1"/>
    <s v="N/A"/>
    <s v=""/>
    <s v="Confirmed"/>
    <m/>
    <x v="0"/>
    <x v="0"/>
    <m/>
    <x v="2"/>
    <x v="0"/>
    <m/>
    <n v="0"/>
    <x v="0"/>
    <s v="N/A"/>
    <n v="2530937679.3725696"/>
  </r>
  <r>
    <x v="0"/>
    <x v="90"/>
    <x v="90"/>
    <x v="3"/>
    <x v="0"/>
    <x v="0"/>
    <x v="2"/>
    <x v="2"/>
    <s v="Multi-Year"/>
    <x v="1"/>
    <s v="N/A"/>
    <s v=""/>
    <s v="Confirmed"/>
    <m/>
    <x v="0"/>
    <x v="0"/>
    <m/>
    <x v="0"/>
    <x v="0"/>
    <m/>
    <n v="0"/>
    <x v="0"/>
    <s v="In distress"/>
    <n v="251432156.86255455"/>
  </r>
  <r>
    <x v="0"/>
    <x v="91"/>
    <x v="91"/>
    <x v="6"/>
    <x v="0"/>
    <x v="0"/>
    <x v="2"/>
    <x v="2"/>
    <s v="Multi-Year"/>
    <x v="1"/>
    <s v="N/A"/>
    <s v=""/>
    <s v="Confirmed"/>
    <m/>
    <x v="0"/>
    <x v="0"/>
    <m/>
    <x v="2"/>
    <x v="0"/>
    <m/>
    <n v="0"/>
    <x v="0"/>
    <s v="Low"/>
    <n v="471534500.60109437"/>
  </r>
  <r>
    <x v="0"/>
    <x v="92"/>
    <x v="92"/>
    <x v="3"/>
    <x v="0"/>
    <x v="0"/>
    <x v="2"/>
    <x v="2"/>
    <s v="Multi-Year"/>
    <x v="1"/>
    <s v="N/A"/>
    <s v=""/>
    <s v="Confirmed"/>
    <m/>
    <x v="0"/>
    <x v="0"/>
    <m/>
    <x v="1"/>
    <x v="1"/>
    <m/>
    <n v="0"/>
    <x v="0"/>
    <s v=""/>
    <n v="531677611.80447447"/>
  </r>
  <r>
    <x v="0"/>
    <x v="93"/>
    <x v="93"/>
    <x v="6"/>
    <x v="0"/>
    <x v="0"/>
    <x v="2"/>
    <x v="2"/>
    <s v="Multi-Year"/>
    <x v="1"/>
    <s v="N/A"/>
    <s v=""/>
    <s v="Confirmed"/>
    <m/>
    <x v="0"/>
    <x v="0"/>
    <m/>
    <x v="3"/>
    <x v="1"/>
    <m/>
    <n v="0"/>
    <x v="1"/>
    <s v=""/>
    <n v="8528751.6418357007"/>
  </r>
  <r>
    <x v="0"/>
    <x v="94"/>
    <x v="94"/>
    <x v="0"/>
    <x v="0"/>
    <x v="0"/>
    <x v="2"/>
    <x v="2"/>
    <s v="Multi-Year"/>
    <x v="1"/>
    <s v="N/A"/>
    <s v=""/>
    <s v="Confirmed"/>
    <m/>
    <x v="0"/>
    <x v="0"/>
    <m/>
    <x v="2"/>
    <x v="0"/>
    <m/>
    <n v="0"/>
    <x v="0"/>
    <s v="Low"/>
    <n v="407084543.19089872"/>
  </r>
  <r>
    <x v="0"/>
    <x v="95"/>
    <x v="95"/>
    <x v="4"/>
    <x v="0"/>
    <x v="0"/>
    <x v="2"/>
    <x v="2"/>
    <s v="Multi-Year"/>
    <x v="1"/>
    <s v="N/A"/>
    <s v=""/>
    <s v="Confirmed"/>
    <m/>
    <x v="0"/>
    <x v="0"/>
    <m/>
    <x v="2"/>
    <x v="0"/>
    <m/>
    <n v="0"/>
    <x v="0"/>
    <s v="Moderate"/>
    <n v="671998341.93592453"/>
  </r>
  <r>
    <x v="0"/>
    <x v="96"/>
    <x v="96"/>
    <x v="5"/>
    <x v="0"/>
    <x v="0"/>
    <x v="2"/>
    <x v="2"/>
    <s v="Multi-Year"/>
    <x v="1"/>
    <s v="N/A"/>
    <s v=""/>
    <s v="Confirmed"/>
    <m/>
    <x v="0"/>
    <x v="0"/>
    <m/>
    <x v="0"/>
    <x v="0"/>
    <m/>
    <n v="1"/>
    <x v="0"/>
    <s v="Moderate"/>
    <n v="226203289.67158964"/>
  </r>
  <r>
    <x v="0"/>
    <x v="97"/>
    <x v="97"/>
    <x v="5"/>
    <x v="0"/>
    <x v="0"/>
    <x v="2"/>
    <x v="2"/>
    <s v="Multi-Year"/>
    <x v="1"/>
    <s v="N/A"/>
    <s v=""/>
    <s v="Confirmed"/>
    <m/>
    <x v="0"/>
    <x v="0"/>
    <m/>
    <x v="2"/>
    <x v="0"/>
    <m/>
    <n v="3"/>
    <x v="0"/>
    <s v="…"/>
    <n v="2438881113.1244688"/>
  </r>
  <r>
    <x v="0"/>
    <x v="98"/>
    <x v="98"/>
    <x v="1"/>
    <x v="0"/>
    <x v="0"/>
    <x v="2"/>
    <x v="2"/>
    <s v="Multi-Year"/>
    <x v="1"/>
    <s v="N/A"/>
    <s v=""/>
    <s v="Confirmed"/>
    <m/>
    <x v="0"/>
    <x v="0"/>
    <m/>
    <x v="1"/>
    <x v="1"/>
    <m/>
    <n v="0"/>
    <x v="0"/>
    <s v=""/>
    <n v="476517795.73174149"/>
  </r>
  <r>
    <x v="0"/>
    <x v="99"/>
    <x v="99"/>
    <x v="0"/>
    <x v="0"/>
    <x v="0"/>
    <x v="2"/>
    <x v="2"/>
    <s v="Multi-Year"/>
    <x v="1"/>
    <s v="N/A"/>
    <s v=""/>
    <s v="Confirmed"/>
    <m/>
    <x v="0"/>
    <x v="0"/>
    <m/>
    <x v="2"/>
    <x v="0"/>
    <m/>
    <n v="0"/>
    <x v="0"/>
    <s v="…"/>
    <n v="3233351297.7679496"/>
  </r>
  <r>
    <x v="0"/>
    <x v="100"/>
    <x v="100"/>
    <x v="4"/>
    <x v="0"/>
    <x v="0"/>
    <x v="2"/>
    <x v="2"/>
    <s v="Multi-Year"/>
    <x v="1"/>
    <s v="N/A"/>
    <s v=""/>
    <s v="Confirmed"/>
    <m/>
    <x v="0"/>
    <x v="0"/>
    <m/>
    <x v="3"/>
    <x v="1"/>
    <m/>
    <n v="0"/>
    <x v="1"/>
    <s v=""/>
    <n v="18180646.808608256"/>
  </r>
  <r>
    <x v="0"/>
    <x v="101"/>
    <x v="101"/>
    <x v="4"/>
    <x v="0"/>
    <x v="0"/>
    <x v="2"/>
    <x v="2"/>
    <s v="Multi-Year"/>
    <x v="1"/>
    <s v="N/A"/>
    <n v="1700000"/>
    <s v="Confirmed"/>
    <m/>
    <x v="0"/>
    <x v="0"/>
    <m/>
    <x v="1"/>
    <x v="1"/>
    <m/>
    <n v="0"/>
    <x v="0"/>
    <s v="N/A"/>
    <n v="3020530707.3485303"/>
  </r>
  <r>
    <x v="0"/>
    <x v="102"/>
    <x v="102"/>
    <x v="6"/>
    <x v="0"/>
    <x v="0"/>
    <x v="2"/>
    <x v="2"/>
    <s v="Multi-Year"/>
    <x v="1"/>
    <s v="N/A"/>
    <s v=""/>
    <s v="Confirmed"/>
    <m/>
    <x v="0"/>
    <x v="0"/>
    <m/>
    <x v="2"/>
    <x v="0"/>
    <m/>
    <n v="1"/>
    <x v="1"/>
    <s v="High"/>
    <n v="384406316.46074712"/>
  </r>
  <r>
    <x v="0"/>
    <x v="103"/>
    <x v="103"/>
    <x v="4"/>
    <x v="0"/>
    <x v="0"/>
    <x v="2"/>
    <x v="2"/>
    <s v="Multi-Year"/>
    <x v="1"/>
    <s v="N/A"/>
    <s v=""/>
    <s v="Confirmed"/>
    <m/>
    <x v="0"/>
    <x v="0"/>
    <m/>
    <x v="1"/>
    <x v="1"/>
    <m/>
    <n v="0"/>
    <x v="0"/>
    <s v=""/>
    <n v="1218747108.9554784"/>
  </r>
  <r>
    <x v="0"/>
    <x v="104"/>
    <x v="104"/>
    <x v="4"/>
    <x v="0"/>
    <x v="0"/>
    <x v="2"/>
    <x v="2"/>
    <s v="Multi-Year"/>
    <x v="1"/>
    <s v="N/A"/>
    <s v=""/>
    <s v="Confirmed"/>
    <m/>
    <x v="0"/>
    <x v="0"/>
    <m/>
    <x v="1"/>
    <x v="1"/>
    <m/>
    <n v="0"/>
    <x v="0"/>
    <s v=""/>
    <n v="7392665952.5895758"/>
  </r>
  <r>
    <x v="0"/>
    <x v="105"/>
    <x v="105"/>
    <x v="6"/>
    <x v="0"/>
    <x v="0"/>
    <x v="2"/>
    <x v="2"/>
    <s v="Multi-Year"/>
    <x v="1"/>
    <s v="N/A"/>
    <s v=""/>
    <s v="Confirmed"/>
    <m/>
    <x v="0"/>
    <x v="0"/>
    <m/>
    <x v="2"/>
    <x v="0"/>
    <m/>
    <n v="0"/>
    <x v="0"/>
    <s v="N/A"/>
    <n v="4754985988.6004429"/>
  </r>
  <r>
    <x v="0"/>
    <x v="106"/>
    <x v="106"/>
    <x v="1"/>
    <x v="0"/>
    <x v="0"/>
    <x v="2"/>
    <x v="2"/>
    <s v="Multi-Year"/>
    <x v="1"/>
    <s v="N/A"/>
    <s v=""/>
    <s v="Confirmed"/>
    <m/>
    <x v="0"/>
    <x v="0"/>
    <m/>
    <x v="3"/>
    <x v="1"/>
    <m/>
    <n v="0"/>
    <x v="0"/>
    <s v=""/>
    <n v="26422210443.037273"/>
  </r>
  <r>
    <x v="0"/>
    <x v="107"/>
    <x v="107"/>
    <x v="1"/>
    <x v="0"/>
    <x v="0"/>
    <x v="2"/>
    <x v="2"/>
    <s v="Multi-Year"/>
    <x v="1"/>
    <s v="N/A"/>
    <s v=""/>
    <s v="Confirmed"/>
    <m/>
    <x v="0"/>
    <x v="0"/>
    <m/>
    <x v="1"/>
    <x v="1"/>
    <m/>
    <n v="0"/>
    <x v="0"/>
    <s v=""/>
    <n v="10696495313.15033"/>
  </r>
  <r>
    <x v="0"/>
    <x v="108"/>
    <x v="108"/>
    <x v="1"/>
    <x v="0"/>
    <x v="0"/>
    <x v="2"/>
    <x v="2"/>
    <s v="Multi-Year"/>
    <x v="1"/>
    <s v="N/A"/>
    <s v=""/>
    <s v="Confirmed"/>
    <m/>
    <x v="0"/>
    <x v="0"/>
    <m/>
    <x v="1"/>
    <x v="1"/>
    <m/>
    <n v="0"/>
    <x v="0"/>
    <s v=""/>
    <n v="52769713433.240509"/>
  </r>
  <r>
    <x v="0"/>
    <x v="109"/>
    <x v="109"/>
    <x v="3"/>
    <x v="0"/>
    <x v="0"/>
    <x v="2"/>
    <x v="2"/>
    <s v="Multi-Year"/>
    <x v="1"/>
    <s v="N/A"/>
    <s v=""/>
    <s v="Confirmed"/>
    <m/>
    <x v="0"/>
    <x v="0"/>
    <m/>
    <x v="0"/>
    <x v="0"/>
    <m/>
    <n v="0"/>
    <x v="0"/>
    <s v="Moderate"/>
    <n v="225799814.51943746"/>
  </r>
  <r>
    <x v="0"/>
    <x v="110"/>
    <x v="110"/>
    <x v="6"/>
    <x v="0"/>
    <x v="0"/>
    <x v="2"/>
    <x v="2"/>
    <s v="Multi-Year"/>
    <x v="1"/>
    <s v="N/A"/>
    <s v=""/>
    <s v="Confirmed"/>
    <m/>
    <x v="0"/>
    <x v="0"/>
    <m/>
    <x v="2"/>
    <x v="0"/>
    <m/>
    <n v="0"/>
    <x v="1"/>
    <s v="High"/>
    <n v="32192988.027009469"/>
  </r>
  <r>
    <x v="0"/>
    <x v="111"/>
    <x v="111"/>
    <x v="5"/>
    <x v="0"/>
    <x v="0"/>
    <x v="2"/>
    <x v="2"/>
    <s v="Multi-Year"/>
    <x v="1"/>
    <s v="N/A"/>
    <s v=""/>
    <s v="Confirmed"/>
    <m/>
    <x v="0"/>
    <x v="0"/>
    <m/>
    <x v="2"/>
    <x v="0"/>
    <m/>
    <n v="0"/>
    <x v="1"/>
    <s v="In distress"/>
    <n v="11633535.136477679"/>
  </r>
  <r>
    <x v="0"/>
    <x v="112"/>
    <x v="112"/>
    <x v="5"/>
    <x v="0"/>
    <x v="0"/>
    <x v="2"/>
    <x v="2"/>
    <s v="Multi-Year"/>
    <x v="1"/>
    <s v="N/A"/>
    <s v=""/>
    <s v="Confirmed"/>
    <m/>
    <x v="0"/>
    <x v="0"/>
    <m/>
    <x v="2"/>
    <x v="0"/>
    <m/>
    <n v="2"/>
    <x v="0"/>
    <s v="Moderate"/>
    <n v="222008693.93354639"/>
  </r>
  <r>
    <x v="0"/>
    <x v="113"/>
    <x v="113"/>
    <x v="1"/>
    <x v="0"/>
    <x v="0"/>
    <x v="2"/>
    <x v="2"/>
    <s v="Multi-Year"/>
    <x v="1"/>
    <s v="N/A"/>
    <s v=""/>
    <s v="Confirmed"/>
    <m/>
    <x v="0"/>
    <x v="0"/>
    <m/>
    <x v="1"/>
    <x v="1"/>
    <m/>
    <n v="0"/>
    <x v="0"/>
    <s v=""/>
    <n v="2564993795.1894679"/>
  </r>
  <r>
    <x v="0"/>
    <x v="114"/>
    <x v="114"/>
    <x v="3"/>
    <x v="0"/>
    <x v="0"/>
    <x v="2"/>
    <x v="2"/>
    <s v="Multi-Year"/>
    <x v="1"/>
    <s v="N/A"/>
    <s v=""/>
    <s v="Confirmed"/>
    <m/>
    <x v="0"/>
    <x v="0"/>
    <m/>
    <x v="3"/>
    <x v="1"/>
    <m/>
    <n v="0"/>
    <x v="1"/>
    <s v="N/A"/>
    <n v="60237542.945069775"/>
  </r>
  <r>
    <x v="0"/>
    <x v="115"/>
    <x v="115"/>
    <x v="5"/>
    <x v="0"/>
    <x v="0"/>
    <x v="2"/>
    <x v="2"/>
    <s v="Multi-Year"/>
    <x v="1"/>
    <s v="N/A"/>
    <s v=""/>
    <s v="Confirmed"/>
    <m/>
    <x v="0"/>
    <x v="0"/>
    <m/>
    <x v="0"/>
    <x v="0"/>
    <m/>
    <n v="0"/>
    <x v="0"/>
    <s v="High"/>
    <n v="63738640.538260505"/>
  </r>
  <r>
    <x v="0"/>
    <x v="116"/>
    <x v="116"/>
    <x v="6"/>
    <x v="0"/>
    <x v="0"/>
    <x v="2"/>
    <x v="2"/>
    <s v="Multi-Year"/>
    <x v="1"/>
    <s v="N/A"/>
    <s v=""/>
    <s v="Confirmed"/>
    <m/>
    <x v="0"/>
    <x v="0"/>
    <m/>
    <x v="2"/>
    <x v="0"/>
    <m/>
    <n v="0"/>
    <x v="1"/>
    <s v="Moderate"/>
    <n v="49012774.055630356"/>
  </r>
  <r>
    <x v="0"/>
    <x v="117"/>
    <x v="117"/>
    <x v="3"/>
    <x v="0"/>
    <x v="0"/>
    <x v="2"/>
    <x v="2"/>
    <s v="Multi-Year"/>
    <x v="1"/>
    <s v="N/A"/>
    <s v=""/>
    <s v="Confirmed"/>
    <m/>
    <x v="0"/>
    <x v="0"/>
    <m/>
    <x v="0"/>
    <x v="0"/>
    <m/>
    <n v="1"/>
    <x v="0"/>
    <s v="In distress"/>
    <s v=""/>
  </r>
  <r>
    <x v="0"/>
    <x v="118"/>
    <x v="118"/>
    <x v="3"/>
    <x v="0"/>
    <x v="0"/>
    <x v="2"/>
    <x v="2"/>
    <s v="Multi-Year"/>
    <x v="1"/>
    <s v="N/A"/>
    <s v=""/>
    <s v="Confirmed"/>
    <m/>
    <x v="0"/>
    <x v="0"/>
    <m/>
    <x v="1"/>
    <x v="1"/>
    <m/>
    <n v="0"/>
    <x v="0"/>
    <s v="N/A"/>
    <n v="16429121142.784708"/>
  </r>
  <r>
    <x v="0"/>
    <x v="119"/>
    <x v="119"/>
    <x v="3"/>
    <x v="0"/>
    <x v="0"/>
    <x v="2"/>
    <x v="2"/>
    <s v="Multi-Year"/>
    <x v="1"/>
    <s v="N/A"/>
    <s v=""/>
    <s v="Confirmed"/>
    <m/>
    <x v="0"/>
    <x v="0"/>
    <m/>
    <x v="0"/>
    <x v="0"/>
    <m/>
    <n v="1"/>
    <x v="0"/>
    <s v="High"/>
    <n v="31684581.76217727"/>
  </r>
  <r>
    <x v="0"/>
    <x v="120"/>
    <x v="120"/>
    <x v="0"/>
    <x v="0"/>
    <x v="0"/>
    <x v="2"/>
    <x v="2"/>
    <s v="Multi-Year"/>
    <x v="1"/>
    <s v="N/A"/>
    <s v=""/>
    <s v="Confirmed"/>
    <m/>
    <x v="0"/>
    <x v="0"/>
    <m/>
    <x v="2"/>
    <x v="0"/>
    <m/>
    <n v="0"/>
    <x v="0"/>
    <s v="N/A"/>
    <n v="1373621563.5182886"/>
  </r>
  <r>
    <x v="0"/>
    <x v="121"/>
    <x v="121"/>
    <x v="4"/>
    <x v="0"/>
    <x v="0"/>
    <x v="2"/>
    <x v="2"/>
    <s v="Multi-Year"/>
    <x v="1"/>
    <s v="N/A"/>
    <s v=""/>
    <s v="Confirmed"/>
    <m/>
    <x v="0"/>
    <x v="0"/>
    <m/>
    <x v="3"/>
    <x v="1"/>
    <m/>
    <n v="0"/>
    <x v="1"/>
    <s v=""/>
    <n v="24214370.889062837"/>
  </r>
  <r>
    <x v="0"/>
    <x v="122"/>
    <x v="122"/>
    <x v="4"/>
    <x v="0"/>
    <x v="0"/>
    <x v="2"/>
    <x v="2"/>
    <s v="Multi-Year"/>
    <x v="1"/>
    <s v="N/A"/>
    <s v=""/>
    <s v="Confirmed"/>
    <m/>
    <x v="0"/>
    <x v="0"/>
    <m/>
    <x v="1"/>
    <x v="0"/>
    <m/>
    <n v="0"/>
    <x v="1"/>
    <s v="…"/>
    <n v="39941279.609447442"/>
  </r>
  <r>
    <x v="0"/>
    <x v="123"/>
    <x v="123"/>
    <x v="4"/>
    <x v="0"/>
    <x v="0"/>
    <x v="2"/>
    <x v="2"/>
    <s v="Multi-Year"/>
    <x v="1"/>
    <s v="N/A"/>
    <s v=""/>
    <s v="Confirmed"/>
    <m/>
    <x v="0"/>
    <x v="0"/>
    <m/>
    <x v="1"/>
    <x v="0"/>
    <m/>
    <n v="0"/>
    <x v="1"/>
    <s v="High"/>
    <n v="24761675.260059897"/>
  </r>
  <r>
    <x v="0"/>
    <x v="124"/>
    <x v="124"/>
    <x v="2"/>
    <x v="0"/>
    <x v="0"/>
    <x v="2"/>
    <x v="2"/>
    <s v="Multi-Year"/>
    <x v="1"/>
    <s v="N/A"/>
    <s v=""/>
    <s v="Confirmed"/>
    <m/>
    <x v="0"/>
    <x v="0"/>
    <m/>
    <x v="2"/>
    <x v="0"/>
    <m/>
    <n v="0"/>
    <x v="0"/>
    <s v="N/A"/>
    <s v=""/>
  </r>
  <r>
    <x v="0"/>
    <x v="125"/>
    <x v="125"/>
    <x v="2"/>
    <x v="0"/>
    <x v="0"/>
    <x v="2"/>
    <x v="2"/>
    <s v="Multi-Year"/>
    <x v="1"/>
    <s v="N/A"/>
    <s v=""/>
    <s v="Confirmed"/>
    <m/>
    <x v="0"/>
    <x v="0"/>
    <m/>
    <x v="0"/>
    <x v="0"/>
    <m/>
    <n v="1"/>
    <x v="0"/>
    <s v="N/A"/>
    <n v="577156172.71229994"/>
  </r>
  <r>
    <x v="0"/>
    <x v="126"/>
    <x v="126"/>
    <x v="6"/>
    <x v="0"/>
    <x v="0"/>
    <x v="2"/>
    <x v="2"/>
    <s v="Multi-Year"/>
    <x v="1"/>
    <s v="N/A"/>
    <s v=""/>
    <s v="Confirmed"/>
    <m/>
    <x v="0"/>
    <x v="0"/>
    <m/>
    <x v="1"/>
    <x v="1"/>
    <m/>
    <n v="0"/>
    <x v="1"/>
    <s v=""/>
    <n v="180052034.19851837"/>
  </r>
  <r>
    <x v="0"/>
    <x v="127"/>
    <x v="127"/>
    <x v="2"/>
    <x v="0"/>
    <x v="0"/>
    <x v="2"/>
    <x v="2"/>
    <s v="Multi-Year"/>
    <x v="1"/>
    <s v="N/A"/>
    <s v=""/>
    <s v="Confirmed"/>
    <m/>
    <x v="0"/>
    <x v="0"/>
    <m/>
    <x v="0"/>
    <x v="0"/>
    <m/>
    <n v="1"/>
    <x v="0"/>
    <s v="N/A"/>
    <s v=""/>
  </r>
  <r>
    <x v="0"/>
    <x v="128"/>
    <x v="128"/>
    <x v="1"/>
    <x v="0"/>
    <x v="0"/>
    <x v="2"/>
    <x v="2"/>
    <s v="Multi-Year"/>
    <x v="1"/>
    <s v="N/A"/>
    <s v=""/>
    <s v="Confirmed"/>
    <m/>
    <x v="0"/>
    <x v="0"/>
    <m/>
    <x v="2"/>
    <x v="0"/>
    <m/>
    <n v="0"/>
    <x v="0"/>
    <s v="High"/>
    <n v="147296124.32232863"/>
  </r>
  <r>
    <x v="0"/>
    <x v="129"/>
    <x v="129"/>
    <x v="3"/>
    <x v="0"/>
    <x v="0"/>
    <x v="2"/>
    <x v="2"/>
    <s v="Multi-Year"/>
    <x v="1"/>
    <s v="N/A"/>
    <s v=""/>
    <s v="Confirmed"/>
    <m/>
    <x v="0"/>
    <x v="0"/>
    <m/>
    <x v="2"/>
    <x v="0"/>
    <m/>
    <n v="0"/>
    <x v="0"/>
    <s v="…"/>
    <n v="890576536.83065879"/>
  </r>
  <r>
    <x v="0"/>
    <x v="130"/>
    <x v="130"/>
    <x v="6"/>
    <x v="0"/>
    <x v="0"/>
    <x v="2"/>
    <x v="2"/>
    <s v="Multi-Year"/>
    <x v="1"/>
    <s v="N/A"/>
    <s v=""/>
    <s v="Confirmed"/>
    <m/>
    <x v="0"/>
    <x v="0"/>
    <m/>
    <x v="1"/>
    <x v="1"/>
    <m/>
    <n v="0"/>
    <x v="0"/>
    <s v=""/>
    <n v="14611129792.346064"/>
  </r>
  <r>
    <x v="0"/>
    <x v="131"/>
    <x v="131"/>
    <x v="6"/>
    <x v="0"/>
    <x v="0"/>
    <x v="2"/>
    <x v="2"/>
    <s v="Multi-Year"/>
    <x v="1"/>
    <s v="N/A"/>
    <s v=""/>
    <s v="Confirmed"/>
    <m/>
    <x v="0"/>
    <x v="0"/>
    <m/>
    <x v="2"/>
    <x v="0"/>
    <m/>
    <n v="0"/>
    <x v="1"/>
    <s v="Low"/>
    <n v="72046877.233008593"/>
  </r>
  <r>
    <x v="0"/>
    <x v="132"/>
    <x v="132"/>
    <x v="5"/>
    <x v="0"/>
    <x v="0"/>
    <x v="2"/>
    <x v="2"/>
    <s v="Multi-Year"/>
    <x v="1"/>
    <s v="N/A"/>
    <s v=""/>
    <s v="Confirmed"/>
    <m/>
    <x v="0"/>
    <x v="0"/>
    <m/>
    <x v="0"/>
    <x v="0"/>
    <m/>
    <n v="0"/>
    <x v="0"/>
    <s v="High"/>
    <n v="56248139.267255567"/>
  </r>
  <r>
    <x v="0"/>
    <x v="133"/>
    <x v="133"/>
    <x v="6"/>
    <x v="0"/>
    <x v="0"/>
    <x v="2"/>
    <x v="2"/>
    <s v="Multi-Year"/>
    <x v="1"/>
    <s v="N/A"/>
    <s v=""/>
    <s v="Confirmed"/>
    <m/>
    <x v="0"/>
    <x v="0"/>
    <m/>
    <x v="1"/>
    <x v="0"/>
    <m/>
    <n v="0"/>
    <x v="1"/>
    <s v="High"/>
    <n v="15464031.712942109"/>
  </r>
  <r>
    <x v="0"/>
    <x v="134"/>
    <x v="134"/>
    <x v="4"/>
    <x v="0"/>
    <x v="0"/>
    <x v="2"/>
    <x v="2"/>
    <s v="Multi-Year"/>
    <x v="1"/>
    <s v="N/A"/>
    <n v="2735057"/>
    <s v="Confirmed"/>
    <m/>
    <x v="0"/>
    <x v="0"/>
    <m/>
    <x v="3"/>
    <x v="1"/>
    <m/>
    <n v="0"/>
    <x v="1"/>
    <s v="N/A"/>
    <n v="769564399.33249676"/>
  </r>
  <r>
    <x v="0"/>
    <x v="135"/>
    <x v="135"/>
    <x v="2"/>
    <x v="0"/>
    <x v="0"/>
    <x v="2"/>
    <x v="2"/>
    <s v="Multi-Year"/>
    <x v="1"/>
    <s v="N/A"/>
    <s v=""/>
    <s v="Confirmed"/>
    <m/>
    <x v="0"/>
    <x v="0"/>
    <m/>
    <x v="2"/>
    <x v="0"/>
    <m/>
    <n v="0"/>
    <x v="0"/>
    <s v="N/A"/>
    <n v="1668954539.7630196"/>
  </r>
  <r>
    <x v="0"/>
    <x v="136"/>
    <x v="136"/>
    <x v="1"/>
    <x v="0"/>
    <x v="0"/>
    <x v="2"/>
    <x v="2"/>
    <s v="Multi-Year"/>
    <x v="1"/>
    <s v="N/A"/>
    <s v=""/>
    <s v="Confirmed"/>
    <m/>
    <x v="0"/>
    <x v="0"/>
    <m/>
    <x v="1"/>
    <x v="1"/>
    <m/>
    <n v="0"/>
    <x v="0"/>
    <s v=""/>
    <n v="24840920016.18832"/>
  </r>
  <r>
    <x v="0"/>
    <x v="137"/>
    <x v="137"/>
    <x v="1"/>
    <x v="0"/>
    <x v="0"/>
    <x v="2"/>
    <x v="2"/>
    <s v="Multi-Year"/>
    <x v="1"/>
    <s v="N/A"/>
    <s v=""/>
    <s v="Confirmed"/>
    <m/>
    <x v="0"/>
    <x v="0"/>
    <m/>
    <x v="1"/>
    <x v="1"/>
    <m/>
    <n v="0"/>
    <x v="0"/>
    <s v="N/A"/>
    <n v="487888462.83720118"/>
  </r>
  <r>
    <x v="0"/>
    <x v="138"/>
    <x v="138"/>
    <x v="6"/>
    <x v="0"/>
    <x v="0"/>
    <x v="2"/>
    <x v="2"/>
    <s v="Multi-Year"/>
    <x v="1"/>
    <s v="N/A"/>
    <s v=""/>
    <s v="Confirmed"/>
    <m/>
    <x v="0"/>
    <x v="0"/>
    <m/>
    <x v="1"/>
    <x v="0"/>
    <m/>
    <n v="0"/>
    <x v="1"/>
    <s v="…"/>
    <n v="6365061.1736073596"/>
  </r>
  <r>
    <x v="0"/>
    <x v="139"/>
    <x v="139"/>
    <x v="3"/>
    <x v="0"/>
    <x v="0"/>
    <x v="2"/>
    <x v="2"/>
    <s v="Multi-Year"/>
    <x v="1"/>
    <s v="N/A"/>
    <s v=""/>
    <s v="Confirmed"/>
    <m/>
    <x v="0"/>
    <x v="0"/>
    <m/>
    <x v="0"/>
    <x v="0"/>
    <m/>
    <n v="2"/>
    <x v="0"/>
    <s v="Low"/>
    <n v="291799092.90196139"/>
  </r>
  <r>
    <x v="0"/>
    <x v="140"/>
    <x v="140"/>
    <x v="1"/>
    <x v="0"/>
    <x v="0"/>
    <x v="2"/>
    <x v="2"/>
    <s v="Multi-Year"/>
    <x v="1"/>
    <s v="N/A"/>
    <s v=""/>
    <s v="Confirmed"/>
    <m/>
    <x v="0"/>
    <x v="0"/>
    <m/>
    <x v="2"/>
    <x v="0"/>
    <m/>
    <n v="0"/>
    <x v="0"/>
    <s v="N/A"/>
    <n v="4844815340.2135534"/>
  </r>
  <r>
    <x v="0"/>
    <x v="141"/>
    <x v="141"/>
    <x v="4"/>
    <x v="0"/>
    <x v="0"/>
    <x v="2"/>
    <x v="2"/>
    <s v="Multi-Year"/>
    <x v="1"/>
    <s v="N/A"/>
    <s v=""/>
    <s v="Confirmed"/>
    <m/>
    <x v="0"/>
    <x v="0"/>
    <m/>
    <x v="3"/>
    <x v="1"/>
    <m/>
    <n v="0"/>
    <x v="0"/>
    <s v=""/>
    <n v="4001891446.6871672"/>
  </r>
  <r>
    <x v="0"/>
    <x v="142"/>
    <x v="142"/>
    <x v="1"/>
    <x v="0"/>
    <x v="0"/>
    <x v="2"/>
    <x v="2"/>
    <s v="Multi-Year"/>
    <x v="1"/>
    <s v="N/A"/>
    <s v=""/>
    <s v="Confirmed"/>
    <m/>
    <x v="0"/>
    <x v="0"/>
    <m/>
    <x v="2"/>
    <x v="0"/>
    <m/>
    <n v="0"/>
    <x v="0"/>
    <s v="Low"/>
    <n v="1019800630.5853213"/>
  </r>
  <r>
    <x v="0"/>
    <x v="143"/>
    <x v="143"/>
    <x v="6"/>
    <x v="0"/>
    <x v="0"/>
    <x v="2"/>
    <x v="2"/>
    <s v="Multi-Year"/>
    <x v="1"/>
    <s v="N/A"/>
    <s v=""/>
    <s v="Confirmed"/>
    <m/>
    <x v="0"/>
    <x v="0"/>
    <m/>
    <x v="2"/>
    <x v="0"/>
    <m/>
    <n v="0"/>
    <x v="1"/>
    <s v="Moderate"/>
    <n v="19578671.310841195"/>
  </r>
  <r>
    <x v="0"/>
    <x v="144"/>
    <x v="144"/>
    <x v="4"/>
    <x v="0"/>
    <x v="0"/>
    <x v="2"/>
    <x v="2"/>
    <s v="Multi-Year"/>
    <x v="1"/>
    <s v="N/A"/>
    <s v=""/>
    <s v="Confirmed"/>
    <m/>
    <x v="0"/>
    <x v="0"/>
    <m/>
    <x v="4"/>
    <x v="1"/>
    <m/>
    <n v="0"/>
    <x v="0"/>
    <s v="N/A"/>
    <n v="3551452001.0684834"/>
  </r>
  <r>
    <x v="0"/>
    <x v="145"/>
    <x v="145"/>
    <x v="6"/>
    <x v="0"/>
    <x v="0"/>
    <x v="2"/>
    <x v="2"/>
    <s v="Multi-Year"/>
    <x v="1"/>
    <s v="N/A"/>
    <s v=""/>
    <s v="Confirmed"/>
    <m/>
    <x v="0"/>
    <x v="0"/>
    <m/>
    <x v="2"/>
    <x v="0"/>
    <m/>
    <n v="0"/>
    <x v="0"/>
    <s v="N/A"/>
    <n v="6603048821.7575006"/>
  </r>
  <r>
    <x v="0"/>
    <x v="146"/>
    <x v="146"/>
    <x v="2"/>
    <x v="0"/>
    <x v="0"/>
    <x v="2"/>
    <x v="2"/>
    <s v="Multi-Year"/>
    <x v="1"/>
    <s v="N/A"/>
    <s v=""/>
    <s v="Confirmed"/>
    <m/>
    <x v="0"/>
    <x v="0"/>
    <m/>
    <x v="0"/>
    <x v="0"/>
    <m/>
    <n v="1"/>
    <x v="0"/>
    <s v="…"/>
    <s v=""/>
  </r>
  <r>
    <x v="0"/>
    <x v="147"/>
    <x v="147"/>
    <x v="3"/>
    <x v="0"/>
    <x v="0"/>
    <x v="2"/>
    <x v="2"/>
    <s v="Multi-Year"/>
    <x v="1"/>
    <s v="N/A"/>
    <s v=""/>
    <s v="Confirmed"/>
    <m/>
    <x v="0"/>
    <x v="0"/>
    <m/>
    <x v="2"/>
    <x v="0"/>
    <m/>
    <n v="0"/>
    <x v="0"/>
    <s v="High"/>
    <n v="515352723.9821828"/>
  </r>
  <r>
    <x v="0"/>
    <x v="148"/>
    <x v="148"/>
    <x v="3"/>
    <x v="0"/>
    <x v="0"/>
    <x v="2"/>
    <x v="2"/>
    <s v="Multi-Year"/>
    <x v="1"/>
    <s v="N/A"/>
    <s v=""/>
    <s v="Confirmed"/>
    <m/>
    <x v="0"/>
    <x v="0"/>
    <m/>
    <x v="2"/>
    <x v="0"/>
    <m/>
    <n v="0"/>
    <x v="0"/>
    <s v="N/A"/>
    <n v="566711742.22428358"/>
  </r>
  <r>
    <x v="0"/>
    <x v="0"/>
    <x v="0"/>
    <x v="0"/>
    <x v="0"/>
    <x v="0"/>
    <x v="3"/>
    <x v="3"/>
    <s v="Multi-Year"/>
    <x v="0"/>
    <s v="N/A"/>
    <s v=""/>
    <s v="Confirmed"/>
    <m/>
    <x v="0"/>
    <x v="0"/>
    <m/>
    <x v="0"/>
    <x v="0"/>
    <m/>
    <n v="1"/>
    <x v="0"/>
    <s v="High"/>
    <n v="95829480.719269618"/>
  </r>
  <r>
    <x v="0"/>
    <x v="1"/>
    <x v="1"/>
    <x v="1"/>
    <x v="0"/>
    <x v="0"/>
    <x v="3"/>
    <x v="3"/>
    <s v="Multi-Year"/>
    <x v="0"/>
    <s v="N/A"/>
    <s v=""/>
    <s v="Confirmed"/>
    <m/>
    <x v="0"/>
    <x v="0"/>
    <m/>
    <x v="1"/>
    <x v="1"/>
    <m/>
    <n v="0"/>
    <x v="0"/>
    <s v=""/>
    <n v="427904035.52443534"/>
  </r>
  <r>
    <x v="0"/>
    <x v="2"/>
    <x v="2"/>
    <x v="2"/>
    <x v="0"/>
    <x v="0"/>
    <x v="3"/>
    <x v="3"/>
    <s v="Multi-Year"/>
    <x v="0"/>
    <s v="N/A"/>
    <s v=""/>
    <s v="Confirmed"/>
    <m/>
    <x v="0"/>
    <x v="0"/>
    <m/>
    <x v="2"/>
    <x v="0"/>
    <m/>
    <n v="0"/>
    <x v="0"/>
    <s v="N/A"/>
    <n v="7113361022.7267885"/>
  </r>
  <r>
    <x v="0"/>
    <x v="3"/>
    <x v="3"/>
    <x v="3"/>
    <x v="0"/>
    <x v="0"/>
    <x v="3"/>
    <x v="3"/>
    <s v="Multi-Year"/>
    <x v="0"/>
    <s v="N/A"/>
    <s v=""/>
    <s v="Confirmed"/>
    <m/>
    <x v="0"/>
    <x v="0"/>
    <m/>
    <x v="2"/>
    <x v="0"/>
    <m/>
    <n v="0"/>
    <x v="0"/>
    <s v="…"/>
    <n v="1131865946.5875781"/>
  </r>
  <r>
    <x v="0"/>
    <x v="4"/>
    <x v="4"/>
    <x v="4"/>
    <x v="0"/>
    <x v="0"/>
    <x v="3"/>
    <x v="3"/>
    <s v="Multi-Year"/>
    <x v="0"/>
    <s v="N/A"/>
    <s v=""/>
    <s v="Confirmed"/>
    <m/>
    <x v="0"/>
    <x v="0"/>
    <m/>
    <x v="3"/>
    <x v="1"/>
    <m/>
    <n v="0"/>
    <x v="1"/>
    <s v=""/>
    <n v="46777779.823447868"/>
  </r>
  <r>
    <x v="0"/>
    <x v="5"/>
    <x v="5"/>
    <x v="4"/>
    <x v="0"/>
    <x v="0"/>
    <x v="3"/>
    <x v="3"/>
    <s v="Multi-Year"/>
    <x v="0"/>
    <s v="N/A"/>
    <s v=""/>
    <s v="Confirmed"/>
    <m/>
    <x v="0"/>
    <x v="0"/>
    <m/>
    <x v="1"/>
    <x v="1"/>
    <m/>
    <n v="0"/>
    <x v="0"/>
    <s v=""/>
    <n v="30725305777.596794"/>
  </r>
  <r>
    <x v="0"/>
    <x v="6"/>
    <x v="6"/>
    <x v="1"/>
    <x v="0"/>
    <x v="0"/>
    <x v="3"/>
    <x v="3"/>
    <s v="Multi-Year"/>
    <x v="0"/>
    <s v="N/A"/>
    <s v=""/>
    <s v="Confirmed"/>
    <m/>
    <x v="0"/>
    <x v="0"/>
    <m/>
    <x v="1"/>
    <x v="1"/>
    <m/>
    <n v="0"/>
    <x v="0"/>
    <s v=""/>
    <n v="153815827.8380394"/>
  </r>
  <r>
    <x v="0"/>
    <x v="7"/>
    <x v="7"/>
    <x v="1"/>
    <x v="0"/>
    <x v="0"/>
    <x v="3"/>
    <x v="3"/>
    <s v="Multi-Year"/>
    <x v="0"/>
    <s v="N/A"/>
    <s v=""/>
    <s v="Confirmed"/>
    <m/>
    <x v="0"/>
    <x v="0"/>
    <m/>
    <x v="1"/>
    <x v="1"/>
    <m/>
    <n v="0"/>
    <x v="0"/>
    <s v="N/A"/>
    <n v="437525105.31216973"/>
  </r>
  <r>
    <x v="0"/>
    <x v="8"/>
    <x v="8"/>
    <x v="4"/>
    <x v="0"/>
    <x v="0"/>
    <x v="3"/>
    <x v="3"/>
    <s v="Multi-Year"/>
    <x v="0"/>
    <s v="N/A"/>
    <s v=""/>
    <s v="Confirmed"/>
    <m/>
    <x v="0"/>
    <x v="0"/>
    <m/>
    <x v="3"/>
    <x v="1"/>
    <m/>
    <n v="0"/>
    <x v="1"/>
    <s v=""/>
    <n v="149463302.00602186"/>
  </r>
  <r>
    <x v="0"/>
    <x v="9"/>
    <x v="9"/>
    <x v="0"/>
    <x v="0"/>
    <x v="0"/>
    <x v="3"/>
    <x v="3"/>
    <s v="Multi-Year"/>
    <x v="0"/>
    <s v="N/A"/>
    <n v="33299999.999999996"/>
    <s v="Confirmed"/>
    <m/>
    <x v="0"/>
    <x v="0"/>
    <m/>
    <x v="2"/>
    <x v="0"/>
    <m/>
    <n v="0"/>
    <x v="0"/>
    <s v="Low"/>
    <n v="1148322593.9600098"/>
  </r>
  <r>
    <x v="0"/>
    <x v="10"/>
    <x v="10"/>
    <x v="1"/>
    <x v="0"/>
    <x v="0"/>
    <x v="3"/>
    <x v="3"/>
    <s v="Multi-Year"/>
    <x v="0"/>
    <s v="N/A"/>
    <s v=""/>
    <s v="Confirmed"/>
    <m/>
    <x v="0"/>
    <x v="0"/>
    <m/>
    <x v="1"/>
    <x v="1"/>
    <m/>
    <n v="0"/>
    <x v="0"/>
    <s v=""/>
    <n v="2371102058.1093163"/>
  </r>
  <r>
    <x v="0"/>
    <x v="11"/>
    <x v="11"/>
    <x v="4"/>
    <x v="0"/>
    <x v="0"/>
    <x v="3"/>
    <x v="3"/>
    <s v="Multi-Year"/>
    <x v="0"/>
    <s v="N/A"/>
    <s v=""/>
    <s v="Confirmed"/>
    <m/>
    <x v="0"/>
    <x v="0"/>
    <m/>
    <x v="2"/>
    <x v="1"/>
    <m/>
    <n v="0"/>
    <x v="1"/>
    <s v="N/A"/>
    <n v="75151620.005215243"/>
  </r>
  <r>
    <x v="0"/>
    <x v="12"/>
    <x v="12"/>
    <x v="5"/>
    <x v="0"/>
    <x v="0"/>
    <x v="3"/>
    <x v="3"/>
    <s v="Multi-Year"/>
    <x v="0"/>
    <s v="N/A"/>
    <n v="19300000"/>
    <s v="Confirmed"/>
    <m/>
    <x v="0"/>
    <x v="0"/>
    <m/>
    <x v="2"/>
    <x v="0"/>
    <m/>
    <n v="0"/>
    <x v="0"/>
    <s v="Moderate"/>
    <n v="69958487.197715744"/>
  </r>
  <r>
    <x v="0"/>
    <x v="13"/>
    <x v="13"/>
    <x v="0"/>
    <x v="0"/>
    <x v="0"/>
    <x v="3"/>
    <x v="3"/>
    <s v="Multi-Year"/>
    <x v="0"/>
    <s v="N/A"/>
    <s v=""/>
    <s v="Confirmed"/>
    <m/>
    <x v="0"/>
    <x v="0"/>
    <m/>
    <x v="2"/>
    <x v="0"/>
    <m/>
    <n v="0"/>
    <x v="0"/>
    <s v="…"/>
    <n v="61654608.560629159"/>
  </r>
  <r>
    <x v="0"/>
    <x v="14"/>
    <x v="14"/>
    <x v="4"/>
    <x v="0"/>
    <x v="0"/>
    <x v="3"/>
    <x v="3"/>
    <s v="Multi-Year"/>
    <x v="0"/>
    <s v="N/A"/>
    <s v=""/>
    <s v="Confirmed"/>
    <m/>
    <x v="0"/>
    <x v="0"/>
    <m/>
    <x v="2"/>
    <x v="0"/>
    <m/>
    <n v="0"/>
    <x v="0"/>
    <s v="N/A"/>
    <n v="1806638707.7615163"/>
  </r>
  <r>
    <x v="0"/>
    <x v="15"/>
    <x v="15"/>
    <x v="1"/>
    <x v="0"/>
    <x v="0"/>
    <x v="3"/>
    <x v="3"/>
    <s v="Multi-Year"/>
    <x v="0"/>
    <s v="N/A"/>
    <s v=""/>
    <s v="Confirmed"/>
    <m/>
    <x v="0"/>
    <x v="0"/>
    <m/>
    <x v="1"/>
    <x v="1"/>
    <m/>
    <n v="0"/>
    <x v="0"/>
    <s v="N/A"/>
    <n v="1252696525.0627904"/>
  </r>
  <r>
    <x v="0"/>
    <x v="16"/>
    <x v="16"/>
    <x v="3"/>
    <x v="0"/>
    <x v="0"/>
    <x v="3"/>
    <x v="3"/>
    <s v="Multi-Year"/>
    <x v="0"/>
    <s v="N/A"/>
    <s v=""/>
    <s v="Confirmed"/>
    <m/>
    <x v="0"/>
    <x v="0"/>
    <m/>
    <x v="1"/>
    <x v="1"/>
    <m/>
    <n v="0"/>
    <x v="0"/>
    <s v=""/>
    <n v="843425084.07334602"/>
  </r>
  <r>
    <x v="0"/>
    <x v="17"/>
    <x v="17"/>
    <x v="4"/>
    <x v="0"/>
    <x v="0"/>
    <x v="3"/>
    <x v="3"/>
    <s v="Multi-Year"/>
    <x v="0"/>
    <s v="N/A"/>
    <s v=""/>
    <s v="Confirmed"/>
    <m/>
    <x v="0"/>
    <x v="0"/>
    <m/>
    <x v="1"/>
    <x v="1"/>
    <m/>
    <n v="0"/>
    <x v="0"/>
    <s v="N/A"/>
    <n v="74055620038.853683"/>
  </r>
  <r>
    <x v="0"/>
    <x v="18"/>
    <x v="18"/>
    <x v="1"/>
    <x v="0"/>
    <x v="0"/>
    <x v="3"/>
    <x v="3"/>
    <s v="Multi-Year"/>
    <x v="0"/>
    <s v="N/A"/>
    <s v=""/>
    <s v="Confirmed"/>
    <m/>
    <x v="0"/>
    <x v="0"/>
    <m/>
    <x v="1"/>
    <x v="1"/>
    <m/>
    <n v="0"/>
    <x v="0"/>
    <s v=""/>
    <n v="2803357765.5888777"/>
  </r>
  <r>
    <x v="0"/>
    <x v="19"/>
    <x v="19"/>
    <x v="5"/>
    <x v="0"/>
    <x v="0"/>
    <x v="3"/>
    <x v="3"/>
    <s v="Multi-Year"/>
    <x v="0"/>
    <s v="N/A"/>
    <s v=""/>
    <s v="Confirmed"/>
    <m/>
    <x v="0"/>
    <x v="0"/>
    <m/>
    <x v="0"/>
    <x v="0"/>
    <m/>
    <n v="2"/>
    <x v="0"/>
    <s v="Moderate"/>
    <n v="337927779.25510043"/>
  </r>
  <r>
    <x v="0"/>
    <x v="20"/>
    <x v="20"/>
    <x v="3"/>
    <x v="0"/>
    <x v="0"/>
    <x v="3"/>
    <x v="3"/>
    <s v="Multi-Year"/>
    <x v="0"/>
    <s v="N/A"/>
    <s v=""/>
    <s v="Confirmed"/>
    <m/>
    <x v="0"/>
    <x v="0"/>
    <m/>
    <x v="0"/>
    <x v="0"/>
    <m/>
    <n v="2"/>
    <x v="0"/>
    <s v="…"/>
    <n v="65979512.47399316"/>
  </r>
  <r>
    <x v="0"/>
    <x v="21"/>
    <x v="21"/>
    <x v="5"/>
    <x v="0"/>
    <x v="0"/>
    <x v="3"/>
    <x v="3"/>
    <s v="Multi-Year"/>
    <x v="0"/>
    <s v="N/A"/>
    <s v=""/>
    <s v="Confirmed"/>
    <m/>
    <x v="0"/>
    <x v="0"/>
    <m/>
    <x v="2"/>
    <x v="0"/>
    <m/>
    <n v="0"/>
    <x v="1"/>
    <s v="High"/>
    <n v="63748362.778827004"/>
  </r>
  <r>
    <x v="0"/>
    <x v="22"/>
    <x v="22"/>
    <x v="6"/>
    <x v="0"/>
    <x v="0"/>
    <x v="3"/>
    <x v="3"/>
    <s v="Multi-Year"/>
    <x v="0"/>
    <s v="N/A"/>
    <s v=""/>
    <s v="Confirmed"/>
    <m/>
    <x v="0"/>
    <x v="0"/>
    <m/>
    <x v="2"/>
    <x v="0"/>
    <m/>
    <n v="0"/>
    <x v="0"/>
    <s v="Low"/>
    <n v="313039649.45369786"/>
  </r>
  <r>
    <x v="0"/>
    <x v="23"/>
    <x v="23"/>
    <x v="5"/>
    <x v="0"/>
    <x v="0"/>
    <x v="3"/>
    <x v="3"/>
    <s v="Multi-Year"/>
    <x v="0"/>
    <s v="N/A"/>
    <n v="30000000"/>
    <s v="Confirmed"/>
    <m/>
    <x v="0"/>
    <x v="0"/>
    <m/>
    <x v="2"/>
    <x v="0"/>
    <m/>
    <n v="2"/>
    <x v="0"/>
    <s v="High"/>
    <n v="81361801.477472037"/>
  </r>
  <r>
    <x v="0"/>
    <x v="24"/>
    <x v="24"/>
    <x v="5"/>
    <x v="0"/>
    <x v="0"/>
    <x v="3"/>
    <x v="3"/>
    <s v="Multi-Year"/>
    <x v="0"/>
    <s v="N/A"/>
    <s v=""/>
    <s v="Confirmed"/>
    <m/>
    <x v="0"/>
    <x v="0"/>
    <m/>
    <x v="0"/>
    <x v="0"/>
    <m/>
    <n v="1"/>
    <x v="0"/>
    <s v="High"/>
    <s v=""/>
  </r>
  <r>
    <x v="0"/>
    <x v="25"/>
    <x v="25"/>
    <x v="5"/>
    <x v="0"/>
    <x v="0"/>
    <x v="3"/>
    <x v="3"/>
    <s v="Multi-Year"/>
    <x v="0"/>
    <s v="N/A"/>
    <n v="20000000"/>
    <s v="Confirmed"/>
    <m/>
    <x v="0"/>
    <x v="0"/>
    <m/>
    <x v="0"/>
    <x v="0"/>
    <m/>
    <n v="1"/>
    <x v="0"/>
    <s v="High"/>
    <n v="76939306.715636879"/>
  </r>
  <r>
    <x v="0"/>
    <x v="26"/>
    <x v="26"/>
    <x v="4"/>
    <x v="0"/>
    <x v="0"/>
    <x v="3"/>
    <x v="3"/>
    <s v="Multi-Year"/>
    <x v="0"/>
    <s v="N/A"/>
    <s v=""/>
    <s v="Confirmed"/>
    <m/>
    <x v="0"/>
    <x v="0"/>
    <m/>
    <x v="3"/>
    <x v="1"/>
    <m/>
    <n v="0"/>
    <x v="0"/>
    <s v=""/>
    <n v="13859708717.682571"/>
  </r>
  <r>
    <x v="0"/>
    <x v="27"/>
    <x v="27"/>
    <x v="6"/>
    <x v="0"/>
    <x v="0"/>
    <x v="3"/>
    <x v="3"/>
    <s v="Multi-Year"/>
    <x v="0"/>
    <s v="N/A"/>
    <s v=""/>
    <s v="Confirmed"/>
    <m/>
    <x v="0"/>
    <x v="0"/>
    <m/>
    <x v="1"/>
    <x v="1"/>
    <m/>
    <n v="0"/>
    <x v="0"/>
    <s v=""/>
    <n v="403567160707.7016"/>
  </r>
  <r>
    <x v="0"/>
    <x v="28"/>
    <x v="28"/>
    <x v="4"/>
    <x v="0"/>
    <x v="0"/>
    <x v="3"/>
    <x v="3"/>
    <s v="Multi-Year"/>
    <x v="0"/>
    <s v="N/A"/>
    <s v=""/>
    <s v="Confirmed"/>
    <m/>
    <x v="0"/>
    <x v="0"/>
    <m/>
    <x v="1"/>
    <x v="1"/>
    <m/>
    <n v="0"/>
    <x v="0"/>
    <s v=""/>
    <n v="18250225995.972618"/>
  </r>
  <r>
    <x v="0"/>
    <x v="29"/>
    <x v="29"/>
    <x v="3"/>
    <x v="0"/>
    <x v="0"/>
    <x v="3"/>
    <x v="3"/>
    <s v="Multi-Year"/>
    <x v="0"/>
    <s v="N/A"/>
    <s v=""/>
    <s v="Confirmed"/>
    <m/>
    <x v="0"/>
    <x v="0"/>
    <m/>
    <x v="2"/>
    <x v="0"/>
    <m/>
    <n v="0"/>
    <x v="1"/>
    <s v="Moderate"/>
    <n v="5027591.1682657599"/>
  </r>
  <r>
    <x v="0"/>
    <x v="30"/>
    <x v="30"/>
    <x v="5"/>
    <x v="0"/>
    <x v="0"/>
    <x v="3"/>
    <x v="3"/>
    <s v="Multi-Year"/>
    <x v="0"/>
    <s v="N/A"/>
    <s v=""/>
    <s v="Confirmed"/>
    <m/>
    <x v="0"/>
    <x v="0"/>
    <m/>
    <x v="0"/>
    <x v="0"/>
    <m/>
    <n v="3"/>
    <x v="0"/>
    <s v="Moderate"/>
    <n v="234645958.63289919"/>
  </r>
  <r>
    <x v="0"/>
    <x v="31"/>
    <x v="31"/>
    <x v="5"/>
    <x v="0"/>
    <x v="0"/>
    <x v="3"/>
    <x v="3"/>
    <s v="Multi-Year"/>
    <x v="0"/>
    <s v="N/A"/>
    <s v=""/>
    <s v="Confirmed"/>
    <m/>
    <x v="0"/>
    <x v="0"/>
    <m/>
    <x v="2"/>
    <x v="0"/>
    <m/>
    <n v="2"/>
    <x v="0"/>
    <s v="In distress"/>
    <n v="91590910.247314155"/>
  </r>
  <r>
    <x v="0"/>
    <x v="32"/>
    <x v="32"/>
    <x v="6"/>
    <x v="0"/>
    <x v="0"/>
    <x v="3"/>
    <x v="3"/>
    <s v="Multi-Year"/>
    <x v="0"/>
    <s v="N/A"/>
    <s v=""/>
    <s v="Confirmed"/>
    <m/>
    <x v="0"/>
    <x v="0"/>
    <m/>
    <x v="4"/>
    <x v="1"/>
    <m/>
    <n v="0"/>
    <x v="1"/>
    <s v="N/A"/>
    <n v="8560012.8840167802"/>
  </r>
  <r>
    <x v="0"/>
    <x v="33"/>
    <x v="33"/>
    <x v="4"/>
    <x v="0"/>
    <x v="0"/>
    <x v="3"/>
    <x v="3"/>
    <s v="Multi-Year"/>
    <x v="0"/>
    <s v="N/A"/>
    <s v=""/>
    <s v="Confirmed"/>
    <m/>
    <x v="0"/>
    <x v="0"/>
    <m/>
    <x v="1"/>
    <x v="1"/>
    <m/>
    <n v="0"/>
    <x v="0"/>
    <s v="N/A"/>
    <n v="3292372960.3962669"/>
  </r>
  <r>
    <x v="0"/>
    <x v="34"/>
    <x v="34"/>
    <x v="5"/>
    <x v="0"/>
    <x v="0"/>
    <x v="3"/>
    <x v="3"/>
    <s v="Multi-Year"/>
    <x v="0"/>
    <s v="N/A"/>
    <s v=""/>
    <s v="Confirmed"/>
    <m/>
    <x v="0"/>
    <x v="0"/>
    <m/>
    <x v="2"/>
    <x v="0"/>
    <m/>
    <n v="0"/>
    <x v="0"/>
    <s v="Moderate"/>
    <n v="519209981.22981054"/>
  </r>
  <r>
    <x v="0"/>
    <x v="35"/>
    <x v="35"/>
    <x v="1"/>
    <x v="0"/>
    <x v="0"/>
    <x v="3"/>
    <x v="3"/>
    <s v="Multi-Year"/>
    <x v="0"/>
    <s v="N/A"/>
    <s v=""/>
    <s v="Confirmed"/>
    <m/>
    <x v="0"/>
    <x v="0"/>
    <m/>
    <x v="3"/>
    <x v="1"/>
    <m/>
    <n v="0"/>
    <x v="0"/>
    <s v=""/>
    <n v="3464739907.1604805"/>
  </r>
  <r>
    <x v="0"/>
    <x v="36"/>
    <x v="36"/>
    <x v="4"/>
    <x v="0"/>
    <x v="0"/>
    <x v="3"/>
    <x v="3"/>
    <s v="Multi-Year"/>
    <x v="0"/>
    <s v="N/A"/>
    <s v=""/>
    <s v="Confirmed"/>
    <m/>
    <x v="0"/>
    <x v="0"/>
    <m/>
    <x v="1"/>
    <x v="1"/>
    <m/>
    <n v="0"/>
    <x v="1"/>
    <s v=""/>
    <n v="9948521252.2569065"/>
  </r>
  <r>
    <x v="0"/>
    <x v="37"/>
    <x v="37"/>
    <x v="2"/>
    <x v="0"/>
    <x v="0"/>
    <x v="3"/>
    <x v="3"/>
    <s v="Multi-Year"/>
    <x v="0"/>
    <s v="N/A"/>
    <s v=""/>
    <s v="Confirmed"/>
    <m/>
    <x v="0"/>
    <x v="0"/>
    <m/>
    <x v="2"/>
    <x v="0"/>
    <m/>
    <n v="1"/>
    <x v="0"/>
    <s v="High"/>
    <n v="33679192.765657313"/>
  </r>
  <r>
    <x v="0"/>
    <x v="38"/>
    <x v="38"/>
    <x v="4"/>
    <x v="0"/>
    <x v="0"/>
    <x v="3"/>
    <x v="3"/>
    <s v="Multi-Year"/>
    <x v="0"/>
    <s v="N/A"/>
    <s v=""/>
    <s v="Confirmed"/>
    <m/>
    <x v="0"/>
    <x v="0"/>
    <m/>
    <x v="1"/>
    <x v="0"/>
    <m/>
    <n v="0"/>
    <x v="1"/>
    <s v="…"/>
    <n v="22784494.365742501"/>
  </r>
  <r>
    <x v="0"/>
    <x v="39"/>
    <x v="39"/>
    <x v="4"/>
    <x v="0"/>
    <x v="0"/>
    <x v="3"/>
    <x v="3"/>
    <s v="Multi-Year"/>
    <x v="0"/>
    <s v="N/A"/>
    <s v=""/>
    <s v="Confirmed"/>
    <m/>
    <x v="0"/>
    <x v="0"/>
    <m/>
    <x v="1"/>
    <x v="1"/>
    <m/>
    <n v="0"/>
    <x v="1"/>
    <s v=""/>
    <n v="2173208011.4858823"/>
  </r>
  <r>
    <x v="0"/>
    <x v="40"/>
    <x v="40"/>
    <x v="4"/>
    <x v="0"/>
    <x v="0"/>
    <x v="3"/>
    <x v="3"/>
    <s v="Multi-Year"/>
    <x v="0"/>
    <s v="N/A"/>
    <s v=""/>
    <s v="Confirmed"/>
    <m/>
    <x v="0"/>
    <x v="0"/>
    <m/>
    <x v="1"/>
    <x v="1"/>
    <m/>
    <n v="0"/>
    <x v="0"/>
    <s v="N/A"/>
    <n v="4585736158.8323269"/>
  </r>
  <r>
    <x v="0"/>
    <x v="41"/>
    <x v="41"/>
    <x v="2"/>
    <x v="0"/>
    <x v="0"/>
    <x v="3"/>
    <x v="3"/>
    <s v="Multi-Year"/>
    <x v="0"/>
    <s v="N/A"/>
    <s v=""/>
    <s v="Confirmed"/>
    <m/>
    <x v="0"/>
    <x v="0"/>
    <m/>
    <x v="2"/>
    <x v="0"/>
    <m/>
    <n v="0"/>
    <x v="0"/>
    <s v="N/A"/>
    <n v="3550291584.8645592"/>
  </r>
  <r>
    <x v="0"/>
    <x v="42"/>
    <x v="42"/>
    <x v="4"/>
    <x v="0"/>
    <x v="0"/>
    <x v="3"/>
    <x v="3"/>
    <s v="Multi-Year"/>
    <x v="0"/>
    <s v="N/A"/>
    <s v=""/>
    <s v="Confirmed"/>
    <m/>
    <x v="0"/>
    <x v="0"/>
    <m/>
    <x v="2"/>
    <x v="0"/>
    <m/>
    <n v="0"/>
    <x v="0"/>
    <s v="N/A"/>
    <n v="1182840319.0410969"/>
  </r>
  <r>
    <x v="0"/>
    <x v="43"/>
    <x v="43"/>
    <x v="4"/>
    <x v="0"/>
    <x v="0"/>
    <x v="3"/>
    <x v="3"/>
    <s v="Multi-Year"/>
    <x v="0"/>
    <s v="N/A"/>
    <s v=""/>
    <s v="Confirmed"/>
    <m/>
    <x v="0"/>
    <x v="0"/>
    <m/>
    <x v="1"/>
    <x v="1"/>
    <m/>
    <n v="0"/>
    <x v="0"/>
    <s v=""/>
    <n v="81728347.604567245"/>
  </r>
  <r>
    <x v="0"/>
    <x v="44"/>
    <x v="44"/>
    <x v="3"/>
    <x v="0"/>
    <x v="0"/>
    <x v="3"/>
    <x v="3"/>
    <s v="Multi-Year"/>
    <x v="0"/>
    <s v="N/A"/>
    <s v=""/>
    <s v="Confirmed"/>
    <m/>
    <x v="0"/>
    <x v="0"/>
    <m/>
    <x v="0"/>
    <x v="0"/>
    <m/>
    <n v="2"/>
    <x v="0"/>
    <s v="N/A"/>
    <n v="12787914.977715338"/>
  </r>
  <r>
    <x v="0"/>
    <x v="45"/>
    <x v="45"/>
    <x v="3"/>
    <x v="0"/>
    <x v="0"/>
    <x v="3"/>
    <x v="3"/>
    <s v="Multi-Year"/>
    <x v="0"/>
    <s v="N/A"/>
    <s v=""/>
    <s v="Confirmed"/>
    <m/>
    <x v="0"/>
    <x v="0"/>
    <m/>
    <x v="2"/>
    <x v="0"/>
    <m/>
    <n v="2"/>
    <x v="0"/>
    <s v="N/A"/>
    <n v="101271737.65410839"/>
  </r>
  <r>
    <x v="0"/>
    <x v="46"/>
    <x v="46"/>
    <x v="3"/>
    <x v="0"/>
    <x v="0"/>
    <x v="3"/>
    <x v="3"/>
    <s v="Multi-Year"/>
    <x v="0"/>
    <s v="N/A"/>
    <s v=""/>
    <s v="Confirmed"/>
    <m/>
    <x v="0"/>
    <x v="0"/>
    <m/>
    <x v="0"/>
    <x v="0"/>
    <m/>
    <n v="3"/>
    <x v="0"/>
    <s v="High"/>
    <n v="618344226.71759331"/>
  </r>
  <r>
    <x v="0"/>
    <x v="47"/>
    <x v="47"/>
    <x v="6"/>
    <x v="0"/>
    <x v="0"/>
    <x v="3"/>
    <x v="3"/>
    <s v="Multi-Year"/>
    <x v="0"/>
    <s v="N/A"/>
    <s v=""/>
    <s v="Confirmed"/>
    <m/>
    <x v="0"/>
    <x v="0"/>
    <m/>
    <x v="1"/>
    <x v="0"/>
    <m/>
    <n v="0"/>
    <x v="1"/>
    <s v="…"/>
    <n v="129483872.95906857"/>
  </r>
  <r>
    <x v="0"/>
    <x v="48"/>
    <x v="48"/>
    <x v="5"/>
    <x v="0"/>
    <x v="0"/>
    <x v="3"/>
    <x v="3"/>
    <s v="Multi-Year"/>
    <x v="0"/>
    <s v="N/A"/>
    <s v=""/>
    <s v="Confirmed"/>
    <m/>
    <x v="0"/>
    <x v="0"/>
    <m/>
    <x v="1"/>
    <x v="1"/>
    <m/>
    <n v="0"/>
    <x v="0"/>
    <s v="N/A"/>
    <n v="271184658.35014349"/>
  </r>
  <r>
    <x v="0"/>
    <x v="49"/>
    <x v="49"/>
    <x v="5"/>
    <x v="0"/>
    <x v="0"/>
    <x v="3"/>
    <x v="3"/>
    <s v="Multi-Year"/>
    <x v="0"/>
    <s v="N/A"/>
    <s v=""/>
    <s v="Confirmed"/>
    <m/>
    <x v="0"/>
    <x v="0"/>
    <m/>
    <x v="0"/>
    <x v="0"/>
    <m/>
    <n v="0"/>
    <x v="0"/>
    <s v="High"/>
    <n v="15455265.086884515"/>
  </r>
  <r>
    <x v="0"/>
    <x v="50"/>
    <x v="50"/>
    <x v="1"/>
    <x v="0"/>
    <x v="0"/>
    <x v="3"/>
    <x v="3"/>
    <s v="Multi-Year"/>
    <x v="0"/>
    <s v="N/A"/>
    <s v=""/>
    <s v="Confirmed"/>
    <m/>
    <x v="0"/>
    <x v="0"/>
    <m/>
    <x v="1"/>
    <x v="1"/>
    <m/>
    <n v="0"/>
    <x v="0"/>
    <s v="N/A"/>
    <n v="494021502.525527"/>
  </r>
  <r>
    <x v="0"/>
    <x v="51"/>
    <x v="51"/>
    <x v="5"/>
    <x v="0"/>
    <x v="0"/>
    <x v="3"/>
    <x v="3"/>
    <s v="Multi-Year"/>
    <x v="0"/>
    <s v="N/A"/>
    <s v=""/>
    <s v="Confirmed"/>
    <m/>
    <x v="0"/>
    <x v="0"/>
    <m/>
    <x v="2"/>
    <x v="0"/>
    <m/>
    <n v="0"/>
    <x v="0"/>
    <s v="High"/>
    <n v="902005621.73836684"/>
  </r>
  <r>
    <x v="0"/>
    <x v="52"/>
    <x v="52"/>
    <x v="4"/>
    <x v="0"/>
    <x v="0"/>
    <x v="3"/>
    <x v="3"/>
    <s v="Multi-Year"/>
    <x v="0"/>
    <s v="N/A"/>
    <s v=""/>
    <s v="Confirmed"/>
    <m/>
    <x v="0"/>
    <x v="0"/>
    <m/>
    <x v="1"/>
    <x v="0"/>
    <m/>
    <n v="0"/>
    <x v="1"/>
    <s v="In distress"/>
    <n v="20201670.142996579"/>
  </r>
  <r>
    <x v="0"/>
    <x v="53"/>
    <x v="53"/>
    <x v="4"/>
    <x v="0"/>
    <x v="0"/>
    <x v="3"/>
    <x v="3"/>
    <s v="Multi-Year"/>
    <x v="0"/>
    <s v="N/A"/>
    <s v=""/>
    <s v="Confirmed"/>
    <m/>
    <x v="0"/>
    <x v="0"/>
    <m/>
    <x v="1"/>
    <x v="1"/>
    <m/>
    <n v="0"/>
    <x v="0"/>
    <s v=""/>
    <n v="1612434649.6948864"/>
  </r>
  <r>
    <x v="0"/>
    <x v="54"/>
    <x v="54"/>
    <x v="5"/>
    <x v="0"/>
    <x v="0"/>
    <x v="3"/>
    <x v="3"/>
    <s v="Multi-Year"/>
    <x v="0"/>
    <s v="N/A"/>
    <s v=""/>
    <s v="Confirmed"/>
    <m/>
    <x v="0"/>
    <x v="0"/>
    <m/>
    <x v="0"/>
    <x v="0"/>
    <m/>
    <n v="0"/>
    <x v="0"/>
    <s v="Moderate"/>
    <n v="78203134.118229344"/>
  </r>
  <r>
    <x v="0"/>
    <x v="55"/>
    <x v="55"/>
    <x v="5"/>
    <x v="0"/>
    <x v="0"/>
    <x v="3"/>
    <x v="3"/>
    <s v="Multi-Year"/>
    <x v="0"/>
    <s v="N/A"/>
    <s v=""/>
    <s v="Confirmed"/>
    <m/>
    <x v="0"/>
    <x v="0"/>
    <m/>
    <x v="0"/>
    <x v="0"/>
    <m/>
    <n v="2"/>
    <x v="1"/>
    <s v="High"/>
    <n v="9151637.7411015611"/>
  </r>
  <r>
    <x v="0"/>
    <x v="56"/>
    <x v="56"/>
    <x v="4"/>
    <x v="0"/>
    <x v="0"/>
    <x v="3"/>
    <x v="3"/>
    <s v="Multi-Year"/>
    <x v="0"/>
    <s v="N/A"/>
    <s v=""/>
    <s v="Confirmed"/>
    <m/>
    <x v="0"/>
    <x v="0"/>
    <m/>
    <x v="1"/>
    <x v="0"/>
    <m/>
    <n v="0"/>
    <x v="1"/>
    <s v="Moderate"/>
    <n v="142455920.02856269"/>
  </r>
  <r>
    <x v="0"/>
    <x v="57"/>
    <x v="57"/>
    <x v="4"/>
    <x v="0"/>
    <x v="0"/>
    <x v="3"/>
    <x v="3"/>
    <s v="Multi-Year"/>
    <x v="0"/>
    <s v="N/A"/>
    <s v=""/>
    <s v="Confirmed"/>
    <m/>
    <x v="0"/>
    <x v="0"/>
    <m/>
    <x v="2"/>
    <x v="0"/>
    <m/>
    <n v="1"/>
    <x v="1"/>
    <s v="High"/>
    <n v="85611818.171245083"/>
  </r>
  <r>
    <x v="0"/>
    <x v="58"/>
    <x v="58"/>
    <x v="4"/>
    <x v="0"/>
    <x v="0"/>
    <x v="3"/>
    <x v="3"/>
    <s v="Multi-Year"/>
    <x v="0"/>
    <s v="N/A"/>
    <s v=""/>
    <s v="Confirmed"/>
    <m/>
    <x v="0"/>
    <x v="0"/>
    <m/>
    <x v="2"/>
    <x v="0"/>
    <m/>
    <n v="0"/>
    <x v="0"/>
    <s v="Low"/>
    <n v="680289736.30082119"/>
  </r>
  <r>
    <x v="0"/>
    <x v="59"/>
    <x v="59"/>
    <x v="0"/>
    <x v="0"/>
    <x v="0"/>
    <x v="3"/>
    <x v="3"/>
    <s v="Multi-Year"/>
    <x v="0"/>
    <s v="N/A"/>
    <s v=""/>
    <s v="Confirmed"/>
    <m/>
    <x v="0"/>
    <x v="0"/>
    <m/>
    <x v="2"/>
    <x v="0"/>
    <m/>
    <n v="0"/>
    <x v="0"/>
    <s v="N/A"/>
    <n v="26554332750.47023"/>
  </r>
  <r>
    <x v="0"/>
    <x v="60"/>
    <x v="60"/>
    <x v="6"/>
    <x v="0"/>
    <x v="0"/>
    <x v="3"/>
    <x v="3"/>
    <s v="Multi-Year"/>
    <x v="0"/>
    <s v="N/A"/>
    <n v="100000000"/>
    <s v="Confirmed"/>
    <m/>
    <x v="0"/>
    <x v="0"/>
    <m/>
    <x v="2"/>
    <x v="0"/>
    <m/>
    <n v="0"/>
    <x v="0"/>
    <s v="N/A"/>
    <n v="14745961064.890842"/>
  </r>
  <r>
    <x v="0"/>
    <x v="61"/>
    <x v="61"/>
    <x v="2"/>
    <x v="0"/>
    <x v="0"/>
    <x v="3"/>
    <x v="3"/>
    <s v="Multi-Year"/>
    <x v="0"/>
    <s v="N/A"/>
    <s v=""/>
    <s v="Confirmed"/>
    <m/>
    <x v="0"/>
    <x v="0"/>
    <m/>
    <x v="2"/>
    <x v="1"/>
    <m/>
    <n v="0"/>
    <x v="0"/>
    <s v="N/A"/>
    <n v="18194076299.786381"/>
  </r>
  <r>
    <x v="0"/>
    <x v="62"/>
    <x v="62"/>
    <x v="2"/>
    <x v="0"/>
    <x v="0"/>
    <x v="3"/>
    <x v="3"/>
    <s v="Multi-Year"/>
    <x v="0"/>
    <s v="N/A"/>
    <s v=""/>
    <s v="Confirmed"/>
    <m/>
    <x v="0"/>
    <x v="0"/>
    <m/>
    <x v="1"/>
    <x v="1"/>
    <m/>
    <n v="0"/>
    <x v="0"/>
    <s v="N/A"/>
    <n v="4428819387.769825"/>
  </r>
  <r>
    <x v="0"/>
    <x v="63"/>
    <x v="63"/>
    <x v="4"/>
    <x v="0"/>
    <x v="0"/>
    <x v="3"/>
    <x v="3"/>
    <s v="Multi-Year"/>
    <x v="0"/>
    <s v="N/A"/>
    <s v=""/>
    <s v="Confirmed"/>
    <m/>
    <x v="0"/>
    <x v="0"/>
    <m/>
    <x v="1"/>
    <x v="1"/>
    <m/>
    <n v="0"/>
    <x v="1"/>
    <s v=""/>
    <n v="611739560.62679195"/>
  </r>
  <r>
    <x v="0"/>
    <x v="64"/>
    <x v="64"/>
    <x v="2"/>
    <x v="0"/>
    <x v="0"/>
    <x v="3"/>
    <x v="3"/>
    <s v="Multi-Year"/>
    <x v="0"/>
    <s v="N/A"/>
    <s v=""/>
    <s v="Confirmed"/>
    <m/>
    <x v="0"/>
    <x v="0"/>
    <m/>
    <x v="1"/>
    <x v="1"/>
    <m/>
    <n v="0"/>
    <x v="0"/>
    <s v="N/A"/>
    <n v="1617913383.0481031"/>
  </r>
  <r>
    <x v="0"/>
    <x v="65"/>
    <x v="65"/>
    <x v="1"/>
    <x v="0"/>
    <x v="0"/>
    <x v="3"/>
    <x v="3"/>
    <s v="Multi-Year"/>
    <x v="0"/>
    <s v="N/A"/>
    <s v=""/>
    <s v="Confirmed"/>
    <m/>
    <x v="0"/>
    <x v="0"/>
    <m/>
    <x v="1"/>
    <x v="1"/>
    <m/>
    <n v="0"/>
    <x v="0"/>
    <s v=""/>
    <n v="3074419112.4562683"/>
  </r>
  <r>
    <x v="0"/>
    <x v="66"/>
    <x v="66"/>
    <x v="3"/>
    <x v="0"/>
    <x v="0"/>
    <x v="3"/>
    <x v="3"/>
    <s v="Multi-Year"/>
    <x v="0"/>
    <s v="N/A"/>
    <s v=""/>
    <s v="Confirmed"/>
    <m/>
    <x v="0"/>
    <x v="0"/>
    <m/>
    <x v="2"/>
    <x v="0"/>
    <m/>
    <n v="0"/>
    <x v="0"/>
    <s v="High"/>
    <n v="1914014279.8929913"/>
  </r>
  <r>
    <x v="0"/>
    <x v="67"/>
    <x v="67"/>
    <x v="6"/>
    <x v="0"/>
    <x v="0"/>
    <x v="3"/>
    <x v="3"/>
    <s v="Multi-Year"/>
    <x v="0"/>
    <s v="N/A"/>
    <s v=""/>
    <s v="Confirmed"/>
    <m/>
    <x v="0"/>
    <x v="0"/>
    <m/>
    <x v="2"/>
    <x v="0"/>
    <m/>
    <n v="0"/>
    <x v="1"/>
    <s v="High"/>
    <n v="17422005.762907442"/>
  </r>
  <r>
    <x v="0"/>
    <x v="68"/>
    <x v="68"/>
    <x v="6"/>
    <x v="0"/>
    <x v="0"/>
    <x v="3"/>
    <x v="3"/>
    <s v="Multi-Year"/>
    <x v="0"/>
    <s v="N/A"/>
    <s v=""/>
    <s v="Confirmed"/>
    <m/>
    <x v="0"/>
    <x v="0"/>
    <m/>
    <x v="0"/>
    <x v="0"/>
    <m/>
    <n v="0"/>
    <x v="0"/>
    <s v="N/A"/>
    <s v=""/>
  </r>
  <r>
    <x v="0"/>
    <x v="69"/>
    <x v="69"/>
    <x v="1"/>
    <x v="0"/>
    <x v="0"/>
    <x v="3"/>
    <x v="3"/>
    <s v="Multi-Year"/>
    <x v="0"/>
    <s v="N/A"/>
    <s v=""/>
    <s v="Confirmed"/>
    <m/>
    <x v="0"/>
    <x v="0"/>
    <m/>
    <x v="1"/>
    <x v="0"/>
    <m/>
    <n v="0"/>
    <x v="0"/>
    <s v="…"/>
    <s v=""/>
  </r>
  <r>
    <x v="0"/>
    <x v="70"/>
    <x v="70"/>
    <x v="1"/>
    <x v="0"/>
    <x v="0"/>
    <x v="3"/>
    <x v="3"/>
    <s v="Multi-Year"/>
    <x v="0"/>
    <s v="N/A"/>
    <n v="23000000"/>
    <s v="Confirmed"/>
    <m/>
    <x v="0"/>
    <x v="0"/>
    <m/>
    <x v="2"/>
    <x v="0"/>
    <m/>
    <n v="2"/>
    <x v="0"/>
    <s v="Moderate"/>
    <n v="231506834.84347546"/>
  </r>
  <r>
    <x v="0"/>
    <x v="71"/>
    <x v="71"/>
    <x v="6"/>
    <x v="0"/>
    <x v="0"/>
    <x v="3"/>
    <x v="3"/>
    <s v="Multi-Year"/>
    <x v="0"/>
    <s v="N/A"/>
    <s v=""/>
    <s v="Confirmed"/>
    <m/>
    <x v="0"/>
    <x v="0"/>
    <m/>
    <x v="2"/>
    <x v="0"/>
    <m/>
    <n v="0"/>
    <x v="0"/>
    <s v="High"/>
    <n v="156059428.62944782"/>
  </r>
  <r>
    <x v="0"/>
    <x v="72"/>
    <x v="72"/>
    <x v="2"/>
    <x v="0"/>
    <x v="0"/>
    <x v="3"/>
    <x v="3"/>
    <s v="Multi-Year"/>
    <x v="0"/>
    <s v="N/A"/>
    <s v=""/>
    <s v="Confirmed"/>
    <m/>
    <x v="0"/>
    <x v="0"/>
    <m/>
    <x v="1"/>
    <x v="1"/>
    <m/>
    <n v="0"/>
    <x v="0"/>
    <s v="N/A"/>
    <n v="2355391507.1635861"/>
  </r>
  <r>
    <x v="0"/>
    <x v="73"/>
    <x v="73"/>
    <x v="3"/>
    <x v="0"/>
    <x v="0"/>
    <x v="3"/>
    <x v="3"/>
    <s v="Multi-Year"/>
    <x v="0"/>
    <s v="N/A"/>
    <s v=""/>
    <s v="Confirmed"/>
    <m/>
    <x v="0"/>
    <x v="0"/>
    <m/>
    <x v="2"/>
    <x v="0"/>
    <m/>
    <n v="0"/>
    <x v="0"/>
    <s v="Moderate"/>
    <n v="152760919.7684873"/>
  </r>
  <r>
    <x v="0"/>
    <x v="74"/>
    <x v="74"/>
    <x v="5"/>
    <x v="0"/>
    <x v="0"/>
    <x v="3"/>
    <x v="3"/>
    <s v="Multi-Year"/>
    <x v="0"/>
    <s v="N/A"/>
    <s v=""/>
    <s v="Confirmed"/>
    <m/>
    <x v="0"/>
    <x v="0"/>
    <m/>
    <x v="0"/>
    <x v="0"/>
    <m/>
    <n v="0"/>
    <x v="0"/>
    <s v="High"/>
    <n v="55072006.864440605"/>
  </r>
  <r>
    <x v="0"/>
    <x v="75"/>
    <x v="75"/>
    <x v="2"/>
    <x v="0"/>
    <x v="0"/>
    <x v="3"/>
    <x v="3"/>
    <s v="Multi-Year"/>
    <x v="0"/>
    <s v="N/A"/>
    <s v=""/>
    <s v="Confirmed"/>
    <m/>
    <x v="0"/>
    <x v="0"/>
    <m/>
    <x v="1"/>
    <x v="1"/>
    <m/>
    <n v="0"/>
    <x v="0"/>
    <s v="N/A"/>
    <s v=""/>
  </r>
  <r>
    <x v="0"/>
    <x v="76"/>
    <x v="76"/>
    <x v="3"/>
    <x v="0"/>
    <x v="0"/>
    <x v="3"/>
    <x v="3"/>
    <s v="Multi-Year"/>
    <x v="0"/>
    <s v="N/A"/>
    <s v=""/>
    <s v="Confirmed"/>
    <m/>
    <x v="0"/>
    <x v="0"/>
    <m/>
    <x v="0"/>
    <x v="0"/>
    <m/>
    <n v="2"/>
    <x v="0"/>
    <s v="Moderate"/>
    <n v="206914157.05429548"/>
  </r>
  <r>
    <x v="0"/>
    <x v="77"/>
    <x v="77"/>
    <x v="3"/>
    <x v="0"/>
    <x v="0"/>
    <x v="3"/>
    <x v="3"/>
    <s v="Multi-Year"/>
    <x v="0"/>
    <s v="N/A"/>
    <s v=""/>
    <s v="Confirmed"/>
    <m/>
    <x v="0"/>
    <x v="0"/>
    <m/>
    <x v="0"/>
    <x v="0"/>
    <m/>
    <n v="2"/>
    <x v="0"/>
    <s v="High"/>
    <n v="185999915.02066413"/>
  </r>
  <r>
    <x v="0"/>
    <x v="78"/>
    <x v="78"/>
    <x v="6"/>
    <x v="0"/>
    <x v="0"/>
    <x v="3"/>
    <x v="3"/>
    <s v="Multi-Year"/>
    <x v="0"/>
    <s v="N/A"/>
    <s v=""/>
    <s v="Confirmed"/>
    <m/>
    <x v="0"/>
    <x v="0"/>
    <m/>
    <x v="1"/>
    <x v="1"/>
    <m/>
    <n v="0"/>
    <x v="0"/>
    <s v=""/>
    <n v="6893755763.2501726"/>
  </r>
  <r>
    <x v="0"/>
    <x v="79"/>
    <x v="79"/>
    <x v="0"/>
    <x v="0"/>
    <x v="0"/>
    <x v="3"/>
    <x v="3"/>
    <s v="Multi-Year"/>
    <x v="0"/>
    <s v="N/A"/>
    <n v="8000000"/>
    <s v="Confirmed"/>
    <m/>
    <x v="0"/>
    <x v="0"/>
    <m/>
    <x v="1"/>
    <x v="0"/>
    <m/>
    <n v="0"/>
    <x v="1"/>
    <s v="High"/>
    <n v="354560231.58276606"/>
  </r>
  <r>
    <x v="0"/>
    <x v="80"/>
    <x v="80"/>
    <x v="5"/>
    <x v="0"/>
    <x v="0"/>
    <x v="3"/>
    <x v="3"/>
    <s v="Multi-Year"/>
    <x v="0"/>
    <s v="N/A"/>
    <s v=""/>
    <s v="Confirmed"/>
    <m/>
    <x v="0"/>
    <x v="0"/>
    <m/>
    <x v="0"/>
    <x v="0"/>
    <m/>
    <n v="1"/>
    <x v="0"/>
    <s v="Moderate"/>
    <n v="188169167.56540567"/>
  </r>
  <r>
    <x v="0"/>
    <x v="81"/>
    <x v="81"/>
    <x v="6"/>
    <x v="0"/>
    <x v="0"/>
    <x v="3"/>
    <x v="3"/>
    <s v="Multi-Year"/>
    <x v="0"/>
    <s v="N/A"/>
    <s v=""/>
    <s v="Confirmed"/>
    <m/>
    <x v="0"/>
    <x v="0"/>
    <m/>
    <x v="1"/>
    <x v="0"/>
    <m/>
    <n v="0"/>
    <x v="1"/>
    <s v=""/>
    <n v="16312106.556340856"/>
  </r>
  <r>
    <x v="0"/>
    <x v="82"/>
    <x v="82"/>
    <x v="5"/>
    <x v="0"/>
    <x v="0"/>
    <x v="3"/>
    <x v="3"/>
    <s v="Multi-Year"/>
    <x v="0"/>
    <s v="N/A"/>
    <s v=""/>
    <s v="Confirmed"/>
    <m/>
    <x v="0"/>
    <x v="0"/>
    <m/>
    <x v="2"/>
    <x v="0"/>
    <m/>
    <n v="2"/>
    <x v="0"/>
    <s v="High"/>
    <n v="86083833.534053758"/>
  </r>
  <r>
    <x v="0"/>
    <x v="83"/>
    <x v="83"/>
    <x v="3"/>
    <x v="0"/>
    <x v="0"/>
    <x v="3"/>
    <x v="3"/>
    <s v="Multi-Year"/>
    <x v="0"/>
    <s v="N/A"/>
    <s v=""/>
    <s v="Confirmed"/>
    <m/>
    <x v="0"/>
    <x v="0"/>
    <m/>
    <x v="1"/>
    <x v="1"/>
    <m/>
    <n v="0"/>
    <x v="1"/>
    <s v="N/A"/>
    <n v="357220835.93762809"/>
  </r>
  <r>
    <x v="0"/>
    <x v="84"/>
    <x v="84"/>
    <x v="4"/>
    <x v="0"/>
    <x v="0"/>
    <x v="3"/>
    <x v="3"/>
    <s v="Multi-Year"/>
    <x v="0"/>
    <s v="N/A"/>
    <s v=""/>
    <s v="Confirmed"/>
    <m/>
    <x v="0"/>
    <x v="0"/>
    <m/>
    <x v="1"/>
    <x v="1"/>
    <m/>
    <n v="0"/>
    <x v="0"/>
    <s v=""/>
    <n v="32831598153.796387"/>
  </r>
  <r>
    <x v="0"/>
    <x v="85"/>
    <x v="85"/>
    <x v="6"/>
    <x v="0"/>
    <x v="0"/>
    <x v="3"/>
    <x v="3"/>
    <s v="Multi-Year"/>
    <x v="0"/>
    <s v="N/A"/>
    <s v=""/>
    <s v="Confirmed"/>
    <m/>
    <x v="0"/>
    <x v="0"/>
    <m/>
    <x v="2"/>
    <x v="0"/>
    <m/>
    <n v="0"/>
    <x v="1"/>
    <s v="High"/>
    <n v="12329056.093798399"/>
  </r>
  <r>
    <x v="0"/>
    <x v="86"/>
    <x v="86"/>
    <x v="1"/>
    <x v="0"/>
    <x v="0"/>
    <x v="3"/>
    <x v="3"/>
    <s v="Multi-Year"/>
    <x v="0"/>
    <s v="N/A"/>
    <s v=""/>
    <s v="Confirmed"/>
    <m/>
    <x v="0"/>
    <x v="0"/>
    <m/>
    <x v="1"/>
    <x v="0"/>
    <m/>
    <n v="0"/>
    <x v="0"/>
    <s v="Low"/>
    <n v="426639742.85328001"/>
  </r>
  <r>
    <x v="0"/>
    <x v="87"/>
    <x v="87"/>
    <x v="6"/>
    <x v="0"/>
    <x v="0"/>
    <x v="3"/>
    <x v="3"/>
    <s v="Multi-Year"/>
    <x v="0"/>
    <s v="N/A"/>
    <s v=""/>
    <s v="Confirmed"/>
    <m/>
    <x v="0"/>
    <x v="0"/>
    <m/>
    <x v="2"/>
    <x v="0"/>
    <m/>
    <n v="0"/>
    <x v="0"/>
    <s v="…"/>
    <n v="288519671.85870522"/>
  </r>
  <r>
    <x v="0"/>
    <x v="88"/>
    <x v="88"/>
    <x v="1"/>
    <x v="0"/>
    <x v="0"/>
    <x v="3"/>
    <x v="3"/>
    <s v="Multi-Year"/>
    <x v="0"/>
    <s v="N/A"/>
    <s v=""/>
    <s v="Confirmed"/>
    <m/>
    <x v="0"/>
    <x v="0"/>
    <m/>
    <x v="1"/>
    <x v="1"/>
    <m/>
    <n v="0"/>
    <x v="0"/>
    <s v="N/A"/>
    <n v="275606560.78491527"/>
  </r>
  <r>
    <x v="0"/>
    <x v="89"/>
    <x v="89"/>
    <x v="2"/>
    <x v="0"/>
    <x v="0"/>
    <x v="3"/>
    <x v="3"/>
    <s v="Multi-Year"/>
    <x v="0"/>
    <s v="N/A"/>
    <s v=""/>
    <s v="Confirmed"/>
    <m/>
    <x v="0"/>
    <x v="0"/>
    <m/>
    <x v="2"/>
    <x v="0"/>
    <m/>
    <n v="0"/>
    <x v="0"/>
    <s v="N/A"/>
    <n v="2530937679.3725696"/>
  </r>
  <r>
    <x v="0"/>
    <x v="90"/>
    <x v="90"/>
    <x v="3"/>
    <x v="0"/>
    <x v="0"/>
    <x v="3"/>
    <x v="3"/>
    <s v="Multi-Year"/>
    <x v="0"/>
    <s v="N/A"/>
    <s v=""/>
    <s v="Confirmed"/>
    <m/>
    <x v="0"/>
    <x v="0"/>
    <m/>
    <x v="0"/>
    <x v="0"/>
    <m/>
    <n v="0"/>
    <x v="0"/>
    <s v="In distress"/>
    <n v="251432156.86255455"/>
  </r>
  <r>
    <x v="0"/>
    <x v="91"/>
    <x v="91"/>
    <x v="6"/>
    <x v="0"/>
    <x v="0"/>
    <x v="3"/>
    <x v="3"/>
    <s v="Multi-Year"/>
    <x v="0"/>
    <s v="N/A"/>
    <s v=""/>
    <s v="Confirmed"/>
    <m/>
    <x v="0"/>
    <x v="0"/>
    <m/>
    <x v="2"/>
    <x v="0"/>
    <m/>
    <n v="0"/>
    <x v="0"/>
    <s v="Low"/>
    <n v="471534500.60109437"/>
  </r>
  <r>
    <x v="0"/>
    <x v="92"/>
    <x v="92"/>
    <x v="3"/>
    <x v="0"/>
    <x v="0"/>
    <x v="3"/>
    <x v="3"/>
    <s v="Multi-Year"/>
    <x v="0"/>
    <s v="N/A"/>
    <s v=""/>
    <s v="Confirmed"/>
    <m/>
    <x v="0"/>
    <x v="0"/>
    <m/>
    <x v="1"/>
    <x v="1"/>
    <m/>
    <n v="0"/>
    <x v="0"/>
    <s v=""/>
    <n v="531677611.80447447"/>
  </r>
  <r>
    <x v="0"/>
    <x v="93"/>
    <x v="93"/>
    <x v="6"/>
    <x v="0"/>
    <x v="0"/>
    <x v="3"/>
    <x v="3"/>
    <s v="Multi-Year"/>
    <x v="0"/>
    <s v="N/A"/>
    <s v=""/>
    <s v="Confirmed"/>
    <m/>
    <x v="0"/>
    <x v="0"/>
    <m/>
    <x v="3"/>
    <x v="1"/>
    <m/>
    <n v="0"/>
    <x v="1"/>
    <s v=""/>
    <n v="8528751.6418357007"/>
  </r>
  <r>
    <x v="0"/>
    <x v="94"/>
    <x v="94"/>
    <x v="0"/>
    <x v="0"/>
    <x v="0"/>
    <x v="3"/>
    <x v="3"/>
    <s v="Multi-Year"/>
    <x v="0"/>
    <s v="N/A"/>
    <s v=""/>
    <s v="Confirmed"/>
    <m/>
    <x v="0"/>
    <x v="0"/>
    <m/>
    <x v="2"/>
    <x v="0"/>
    <m/>
    <n v="0"/>
    <x v="0"/>
    <s v="Low"/>
    <n v="407084543.19089872"/>
  </r>
  <r>
    <x v="0"/>
    <x v="95"/>
    <x v="95"/>
    <x v="4"/>
    <x v="0"/>
    <x v="0"/>
    <x v="3"/>
    <x v="3"/>
    <s v="Multi-Year"/>
    <x v="0"/>
    <s v="N/A"/>
    <s v=""/>
    <s v="Confirmed"/>
    <m/>
    <x v="0"/>
    <x v="0"/>
    <m/>
    <x v="2"/>
    <x v="0"/>
    <m/>
    <n v="0"/>
    <x v="0"/>
    <s v="Moderate"/>
    <n v="671998341.93592453"/>
  </r>
  <r>
    <x v="0"/>
    <x v="96"/>
    <x v="96"/>
    <x v="5"/>
    <x v="0"/>
    <x v="0"/>
    <x v="3"/>
    <x v="3"/>
    <s v="Multi-Year"/>
    <x v="0"/>
    <s v="N/A"/>
    <s v=""/>
    <s v="Confirmed"/>
    <m/>
    <x v="0"/>
    <x v="0"/>
    <m/>
    <x v="0"/>
    <x v="0"/>
    <m/>
    <n v="1"/>
    <x v="0"/>
    <s v="Moderate"/>
    <n v="226203289.67158964"/>
  </r>
  <r>
    <x v="0"/>
    <x v="97"/>
    <x v="97"/>
    <x v="5"/>
    <x v="0"/>
    <x v="0"/>
    <x v="3"/>
    <x v="3"/>
    <s v="Multi-Year"/>
    <x v="0"/>
    <s v="N/A"/>
    <s v=""/>
    <s v="Confirmed"/>
    <m/>
    <x v="0"/>
    <x v="0"/>
    <m/>
    <x v="2"/>
    <x v="0"/>
    <m/>
    <n v="3"/>
    <x v="0"/>
    <s v="…"/>
    <n v="2438881113.1244688"/>
  </r>
  <r>
    <x v="0"/>
    <x v="98"/>
    <x v="98"/>
    <x v="1"/>
    <x v="0"/>
    <x v="0"/>
    <x v="3"/>
    <x v="3"/>
    <s v="Multi-Year"/>
    <x v="0"/>
    <s v="N/A"/>
    <s v=""/>
    <s v="Confirmed"/>
    <m/>
    <x v="0"/>
    <x v="0"/>
    <m/>
    <x v="1"/>
    <x v="1"/>
    <m/>
    <n v="0"/>
    <x v="0"/>
    <s v=""/>
    <n v="476517795.73174149"/>
  </r>
  <r>
    <x v="0"/>
    <x v="99"/>
    <x v="99"/>
    <x v="0"/>
    <x v="0"/>
    <x v="0"/>
    <x v="3"/>
    <x v="3"/>
    <s v="Multi-Year"/>
    <x v="0"/>
    <s v="N/A"/>
    <n v="70000000"/>
    <s v="Confirmed"/>
    <m/>
    <x v="0"/>
    <x v="0"/>
    <m/>
    <x v="2"/>
    <x v="0"/>
    <m/>
    <n v="0"/>
    <x v="0"/>
    <s v="…"/>
    <n v="3233351297.7679496"/>
  </r>
  <r>
    <x v="0"/>
    <x v="100"/>
    <x v="100"/>
    <x v="4"/>
    <x v="0"/>
    <x v="0"/>
    <x v="3"/>
    <x v="3"/>
    <s v="Multi-Year"/>
    <x v="0"/>
    <s v="N/A"/>
    <s v=""/>
    <s v="Confirmed"/>
    <m/>
    <x v="0"/>
    <x v="0"/>
    <m/>
    <x v="3"/>
    <x v="1"/>
    <m/>
    <n v="0"/>
    <x v="1"/>
    <s v=""/>
    <n v="18180646.808608256"/>
  </r>
  <r>
    <x v="0"/>
    <x v="101"/>
    <x v="101"/>
    <x v="4"/>
    <x v="0"/>
    <x v="0"/>
    <x v="3"/>
    <x v="3"/>
    <s v="Multi-Year"/>
    <x v="0"/>
    <s v="N/A"/>
    <s v=""/>
    <s v="Confirmed"/>
    <m/>
    <x v="0"/>
    <x v="0"/>
    <m/>
    <x v="1"/>
    <x v="1"/>
    <m/>
    <n v="0"/>
    <x v="0"/>
    <s v="N/A"/>
    <n v="3020530707.3485303"/>
  </r>
  <r>
    <x v="0"/>
    <x v="102"/>
    <x v="102"/>
    <x v="6"/>
    <x v="0"/>
    <x v="0"/>
    <x v="3"/>
    <x v="3"/>
    <s v="Multi-Year"/>
    <x v="0"/>
    <s v="N/A"/>
    <s v=""/>
    <s v="Confirmed"/>
    <m/>
    <x v="0"/>
    <x v="0"/>
    <m/>
    <x v="2"/>
    <x v="0"/>
    <m/>
    <n v="1"/>
    <x v="1"/>
    <s v="High"/>
    <n v="384406316.46074712"/>
  </r>
  <r>
    <x v="0"/>
    <x v="103"/>
    <x v="103"/>
    <x v="4"/>
    <x v="0"/>
    <x v="0"/>
    <x v="3"/>
    <x v="3"/>
    <s v="Multi-Year"/>
    <x v="0"/>
    <s v="N/A"/>
    <s v=""/>
    <s v="Confirmed"/>
    <m/>
    <x v="0"/>
    <x v="0"/>
    <m/>
    <x v="1"/>
    <x v="1"/>
    <m/>
    <n v="0"/>
    <x v="0"/>
    <s v=""/>
    <n v="1218747108.9554784"/>
  </r>
  <r>
    <x v="0"/>
    <x v="104"/>
    <x v="104"/>
    <x v="4"/>
    <x v="0"/>
    <x v="0"/>
    <x v="3"/>
    <x v="3"/>
    <s v="Multi-Year"/>
    <x v="0"/>
    <s v="N/A"/>
    <s v=""/>
    <s v="Confirmed"/>
    <m/>
    <x v="0"/>
    <x v="0"/>
    <m/>
    <x v="1"/>
    <x v="1"/>
    <m/>
    <n v="0"/>
    <x v="0"/>
    <s v=""/>
    <n v="7392665952.5895758"/>
  </r>
  <r>
    <x v="0"/>
    <x v="105"/>
    <x v="105"/>
    <x v="6"/>
    <x v="0"/>
    <x v="0"/>
    <x v="3"/>
    <x v="3"/>
    <s v="Multi-Year"/>
    <x v="0"/>
    <s v="N/A"/>
    <s v=""/>
    <s v="Confirmed"/>
    <m/>
    <x v="0"/>
    <x v="0"/>
    <m/>
    <x v="2"/>
    <x v="0"/>
    <m/>
    <n v="0"/>
    <x v="0"/>
    <s v="N/A"/>
    <n v="4754985988.6004429"/>
  </r>
  <r>
    <x v="0"/>
    <x v="106"/>
    <x v="106"/>
    <x v="1"/>
    <x v="0"/>
    <x v="0"/>
    <x v="3"/>
    <x v="3"/>
    <s v="Multi-Year"/>
    <x v="0"/>
    <s v="N/A"/>
    <s v=""/>
    <s v="Confirmed"/>
    <m/>
    <x v="0"/>
    <x v="0"/>
    <m/>
    <x v="3"/>
    <x v="1"/>
    <m/>
    <n v="0"/>
    <x v="0"/>
    <s v=""/>
    <n v="26422210443.037273"/>
  </r>
  <r>
    <x v="0"/>
    <x v="107"/>
    <x v="107"/>
    <x v="1"/>
    <x v="0"/>
    <x v="0"/>
    <x v="3"/>
    <x v="3"/>
    <s v="Multi-Year"/>
    <x v="0"/>
    <s v="N/A"/>
    <s v=""/>
    <s v="Confirmed"/>
    <m/>
    <x v="0"/>
    <x v="0"/>
    <m/>
    <x v="1"/>
    <x v="1"/>
    <m/>
    <n v="0"/>
    <x v="0"/>
    <s v=""/>
    <n v="10696495313.15033"/>
  </r>
  <r>
    <x v="0"/>
    <x v="108"/>
    <x v="108"/>
    <x v="1"/>
    <x v="0"/>
    <x v="0"/>
    <x v="3"/>
    <x v="3"/>
    <s v="Multi-Year"/>
    <x v="0"/>
    <s v="N/A"/>
    <s v=""/>
    <s v="Confirmed"/>
    <m/>
    <x v="0"/>
    <x v="0"/>
    <m/>
    <x v="1"/>
    <x v="1"/>
    <m/>
    <n v="0"/>
    <x v="0"/>
    <s v=""/>
    <n v="52769713433.240509"/>
  </r>
  <r>
    <x v="0"/>
    <x v="109"/>
    <x v="109"/>
    <x v="3"/>
    <x v="0"/>
    <x v="0"/>
    <x v="3"/>
    <x v="3"/>
    <s v="Multi-Year"/>
    <x v="0"/>
    <s v="N/A"/>
    <s v=""/>
    <s v="Confirmed"/>
    <m/>
    <x v="0"/>
    <x v="0"/>
    <m/>
    <x v="0"/>
    <x v="0"/>
    <m/>
    <n v="0"/>
    <x v="0"/>
    <s v="Moderate"/>
    <n v="225799814.51943746"/>
  </r>
  <r>
    <x v="0"/>
    <x v="110"/>
    <x v="110"/>
    <x v="6"/>
    <x v="0"/>
    <x v="0"/>
    <x v="3"/>
    <x v="3"/>
    <s v="Multi-Year"/>
    <x v="0"/>
    <s v="N/A"/>
    <s v=""/>
    <s v="Confirmed"/>
    <m/>
    <x v="0"/>
    <x v="0"/>
    <m/>
    <x v="2"/>
    <x v="0"/>
    <m/>
    <n v="0"/>
    <x v="1"/>
    <s v="High"/>
    <n v="32192988.027009469"/>
  </r>
  <r>
    <x v="0"/>
    <x v="111"/>
    <x v="111"/>
    <x v="5"/>
    <x v="0"/>
    <x v="0"/>
    <x v="3"/>
    <x v="3"/>
    <s v="Multi-Year"/>
    <x v="0"/>
    <s v="N/A"/>
    <s v=""/>
    <s v="Confirmed"/>
    <m/>
    <x v="0"/>
    <x v="0"/>
    <m/>
    <x v="2"/>
    <x v="0"/>
    <m/>
    <n v="0"/>
    <x v="1"/>
    <s v="In distress"/>
    <n v="11633535.136477679"/>
  </r>
  <r>
    <x v="0"/>
    <x v="112"/>
    <x v="112"/>
    <x v="5"/>
    <x v="0"/>
    <x v="0"/>
    <x v="3"/>
    <x v="3"/>
    <s v="Multi-Year"/>
    <x v="0"/>
    <s v="N/A"/>
    <s v=""/>
    <s v="Confirmed"/>
    <m/>
    <x v="0"/>
    <x v="0"/>
    <m/>
    <x v="2"/>
    <x v="0"/>
    <m/>
    <n v="2"/>
    <x v="0"/>
    <s v="Moderate"/>
    <n v="222008693.93354639"/>
  </r>
  <r>
    <x v="0"/>
    <x v="113"/>
    <x v="113"/>
    <x v="1"/>
    <x v="0"/>
    <x v="0"/>
    <x v="3"/>
    <x v="3"/>
    <s v="Multi-Year"/>
    <x v="0"/>
    <s v="N/A"/>
    <s v=""/>
    <s v="Confirmed"/>
    <m/>
    <x v="0"/>
    <x v="0"/>
    <m/>
    <x v="1"/>
    <x v="1"/>
    <m/>
    <n v="0"/>
    <x v="0"/>
    <s v=""/>
    <n v="2564993795.1894679"/>
  </r>
  <r>
    <x v="0"/>
    <x v="114"/>
    <x v="114"/>
    <x v="3"/>
    <x v="0"/>
    <x v="0"/>
    <x v="3"/>
    <x v="3"/>
    <s v="Multi-Year"/>
    <x v="0"/>
    <s v="N/A"/>
    <s v=""/>
    <s v="Confirmed"/>
    <m/>
    <x v="0"/>
    <x v="0"/>
    <m/>
    <x v="3"/>
    <x v="1"/>
    <m/>
    <n v="0"/>
    <x v="1"/>
    <s v="N/A"/>
    <n v="60237542.945069775"/>
  </r>
  <r>
    <x v="0"/>
    <x v="115"/>
    <x v="115"/>
    <x v="5"/>
    <x v="0"/>
    <x v="0"/>
    <x v="3"/>
    <x v="3"/>
    <s v="Multi-Year"/>
    <x v="0"/>
    <s v="N/A"/>
    <s v=""/>
    <s v="Confirmed"/>
    <m/>
    <x v="0"/>
    <x v="0"/>
    <m/>
    <x v="0"/>
    <x v="0"/>
    <m/>
    <n v="0"/>
    <x v="0"/>
    <s v="High"/>
    <n v="63738640.538260505"/>
  </r>
  <r>
    <x v="0"/>
    <x v="116"/>
    <x v="116"/>
    <x v="6"/>
    <x v="0"/>
    <x v="0"/>
    <x v="3"/>
    <x v="3"/>
    <s v="Multi-Year"/>
    <x v="0"/>
    <s v="N/A"/>
    <s v=""/>
    <s v="Confirmed"/>
    <m/>
    <x v="0"/>
    <x v="0"/>
    <m/>
    <x v="2"/>
    <x v="0"/>
    <m/>
    <n v="0"/>
    <x v="1"/>
    <s v="Moderate"/>
    <n v="49012774.055630356"/>
  </r>
  <r>
    <x v="0"/>
    <x v="117"/>
    <x v="117"/>
    <x v="3"/>
    <x v="0"/>
    <x v="0"/>
    <x v="3"/>
    <x v="3"/>
    <s v="Multi-Year"/>
    <x v="0"/>
    <s v="N/A"/>
    <s v=""/>
    <s v="Confirmed"/>
    <m/>
    <x v="0"/>
    <x v="0"/>
    <m/>
    <x v="0"/>
    <x v="0"/>
    <m/>
    <n v="1"/>
    <x v="0"/>
    <s v="In distress"/>
    <s v=""/>
  </r>
  <r>
    <x v="0"/>
    <x v="118"/>
    <x v="118"/>
    <x v="3"/>
    <x v="0"/>
    <x v="0"/>
    <x v="3"/>
    <x v="3"/>
    <s v="Multi-Year"/>
    <x v="0"/>
    <s v="N/A"/>
    <s v=""/>
    <s v="Confirmed"/>
    <m/>
    <x v="0"/>
    <x v="0"/>
    <m/>
    <x v="1"/>
    <x v="1"/>
    <m/>
    <n v="0"/>
    <x v="0"/>
    <s v="N/A"/>
    <n v="16429121142.784708"/>
  </r>
  <r>
    <x v="0"/>
    <x v="119"/>
    <x v="119"/>
    <x v="3"/>
    <x v="0"/>
    <x v="0"/>
    <x v="3"/>
    <x v="3"/>
    <s v="Multi-Year"/>
    <x v="0"/>
    <s v="N/A"/>
    <s v=""/>
    <s v="Confirmed"/>
    <m/>
    <x v="0"/>
    <x v="0"/>
    <m/>
    <x v="0"/>
    <x v="0"/>
    <m/>
    <n v="1"/>
    <x v="0"/>
    <s v="High"/>
    <n v="31684581.76217727"/>
  </r>
  <r>
    <x v="0"/>
    <x v="120"/>
    <x v="120"/>
    <x v="0"/>
    <x v="0"/>
    <x v="0"/>
    <x v="3"/>
    <x v="3"/>
    <s v="Multi-Year"/>
    <x v="0"/>
    <s v="N/A"/>
    <s v=""/>
    <s v="Confirmed"/>
    <m/>
    <x v="0"/>
    <x v="0"/>
    <m/>
    <x v="2"/>
    <x v="0"/>
    <m/>
    <n v="0"/>
    <x v="0"/>
    <s v="N/A"/>
    <n v="1373621563.5182886"/>
  </r>
  <r>
    <x v="0"/>
    <x v="121"/>
    <x v="121"/>
    <x v="4"/>
    <x v="0"/>
    <x v="0"/>
    <x v="3"/>
    <x v="3"/>
    <s v="Multi-Year"/>
    <x v="0"/>
    <s v="N/A"/>
    <s v=""/>
    <s v="Confirmed"/>
    <m/>
    <x v="0"/>
    <x v="0"/>
    <m/>
    <x v="3"/>
    <x v="1"/>
    <m/>
    <n v="0"/>
    <x v="1"/>
    <s v=""/>
    <n v="24214370.889062837"/>
  </r>
  <r>
    <x v="0"/>
    <x v="122"/>
    <x v="122"/>
    <x v="4"/>
    <x v="0"/>
    <x v="0"/>
    <x v="3"/>
    <x v="3"/>
    <s v="Multi-Year"/>
    <x v="0"/>
    <s v="N/A"/>
    <s v=""/>
    <s v="Confirmed"/>
    <m/>
    <x v="0"/>
    <x v="0"/>
    <m/>
    <x v="1"/>
    <x v="0"/>
    <m/>
    <n v="0"/>
    <x v="1"/>
    <s v="…"/>
    <n v="39941279.609447442"/>
  </r>
  <r>
    <x v="0"/>
    <x v="123"/>
    <x v="123"/>
    <x v="4"/>
    <x v="0"/>
    <x v="0"/>
    <x v="3"/>
    <x v="3"/>
    <s v="Multi-Year"/>
    <x v="0"/>
    <s v="N/A"/>
    <s v=""/>
    <s v="Confirmed"/>
    <m/>
    <x v="0"/>
    <x v="0"/>
    <m/>
    <x v="1"/>
    <x v="0"/>
    <m/>
    <n v="0"/>
    <x v="1"/>
    <s v="High"/>
    <n v="24761675.260059897"/>
  </r>
  <r>
    <x v="0"/>
    <x v="124"/>
    <x v="124"/>
    <x v="2"/>
    <x v="0"/>
    <x v="0"/>
    <x v="3"/>
    <x v="3"/>
    <s v="Multi-Year"/>
    <x v="0"/>
    <s v="N/A"/>
    <s v=""/>
    <s v="Confirmed"/>
    <m/>
    <x v="0"/>
    <x v="0"/>
    <m/>
    <x v="2"/>
    <x v="0"/>
    <m/>
    <n v="0"/>
    <x v="0"/>
    <s v="N/A"/>
    <s v=""/>
  </r>
  <r>
    <x v="0"/>
    <x v="125"/>
    <x v="125"/>
    <x v="2"/>
    <x v="0"/>
    <x v="0"/>
    <x v="3"/>
    <x v="3"/>
    <s v="Multi-Year"/>
    <x v="0"/>
    <s v="N/A"/>
    <s v=""/>
    <s v="Confirmed"/>
    <m/>
    <x v="0"/>
    <x v="0"/>
    <m/>
    <x v="0"/>
    <x v="0"/>
    <m/>
    <n v="1"/>
    <x v="0"/>
    <s v="N/A"/>
    <n v="577156172.71229994"/>
  </r>
  <r>
    <x v="0"/>
    <x v="126"/>
    <x v="126"/>
    <x v="6"/>
    <x v="0"/>
    <x v="0"/>
    <x v="3"/>
    <x v="3"/>
    <s v="Multi-Year"/>
    <x v="0"/>
    <s v="N/A"/>
    <s v=""/>
    <s v="Confirmed"/>
    <m/>
    <x v="0"/>
    <x v="0"/>
    <m/>
    <x v="1"/>
    <x v="1"/>
    <m/>
    <n v="0"/>
    <x v="1"/>
    <s v=""/>
    <n v="180052034.19851837"/>
  </r>
  <r>
    <x v="0"/>
    <x v="127"/>
    <x v="127"/>
    <x v="2"/>
    <x v="0"/>
    <x v="0"/>
    <x v="3"/>
    <x v="3"/>
    <s v="Multi-Year"/>
    <x v="0"/>
    <s v="N/A"/>
    <s v=""/>
    <s v="Confirmed"/>
    <m/>
    <x v="0"/>
    <x v="0"/>
    <m/>
    <x v="0"/>
    <x v="0"/>
    <m/>
    <n v="1"/>
    <x v="0"/>
    <s v="N/A"/>
    <s v=""/>
  </r>
  <r>
    <x v="0"/>
    <x v="128"/>
    <x v="128"/>
    <x v="1"/>
    <x v="0"/>
    <x v="0"/>
    <x v="3"/>
    <x v="3"/>
    <s v="Multi-Year"/>
    <x v="0"/>
    <s v="N/A"/>
    <s v=""/>
    <s v="Confirmed"/>
    <m/>
    <x v="0"/>
    <x v="0"/>
    <m/>
    <x v="2"/>
    <x v="0"/>
    <m/>
    <n v="0"/>
    <x v="0"/>
    <s v="High"/>
    <n v="147296124.32232863"/>
  </r>
  <r>
    <x v="0"/>
    <x v="129"/>
    <x v="129"/>
    <x v="3"/>
    <x v="0"/>
    <x v="0"/>
    <x v="3"/>
    <x v="3"/>
    <s v="Multi-Year"/>
    <x v="0"/>
    <s v="N/A"/>
    <s v=""/>
    <s v="Confirmed"/>
    <m/>
    <x v="0"/>
    <x v="0"/>
    <m/>
    <x v="2"/>
    <x v="0"/>
    <m/>
    <n v="0"/>
    <x v="0"/>
    <s v="…"/>
    <n v="890576536.83065879"/>
  </r>
  <r>
    <x v="0"/>
    <x v="130"/>
    <x v="130"/>
    <x v="6"/>
    <x v="0"/>
    <x v="0"/>
    <x v="3"/>
    <x v="3"/>
    <s v="Multi-Year"/>
    <x v="0"/>
    <s v="N/A"/>
    <s v=""/>
    <s v="Confirmed"/>
    <m/>
    <x v="0"/>
    <x v="0"/>
    <m/>
    <x v="1"/>
    <x v="1"/>
    <m/>
    <n v="0"/>
    <x v="0"/>
    <s v=""/>
    <n v="14611129792.346064"/>
  </r>
  <r>
    <x v="0"/>
    <x v="131"/>
    <x v="131"/>
    <x v="6"/>
    <x v="0"/>
    <x v="0"/>
    <x v="3"/>
    <x v="3"/>
    <s v="Multi-Year"/>
    <x v="0"/>
    <s v="N/A"/>
    <s v=""/>
    <s v="Confirmed"/>
    <m/>
    <x v="0"/>
    <x v="0"/>
    <m/>
    <x v="2"/>
    <x v="0"/>
    <m/>
    <n v="0"/>
    <x v="1"/>
    <s v="Low"/>
    <n v="72046877.233008593"/>
  </r>
  <r>
    <x v="0"/>
    <x v="132"/>
    <x v="132"/>
    <x v="5"/>
    <x v="0"/>
    <x v="0"/>
    <x v="3"/>
    <x v="3"/>
    <s v="Multi-Year"/>
    <x v="0"/>
    <s v="N/A"/>
    <s v=""/>
    <s v="Confirmed"/>
    <m/>
    <x v="0"/>
    <x v="0"/>
    <m/>
    <x v="0"/>
    <x v="0"/>
    <m/>
    <n v="0"/>
    <x v="0"/>
    <s v="High"/>
    <n v="56248139.267255567"/>
  </r>
  <r>
    <x v="0"/>
    <x v="133"/>
    <x v="133"/>
    <x v="6"/>
    <x v="0"/>
    <x v="0"/>
    <x v="3"/>
    <x v="3"/>
    <s v="Multi-Year"/>
    <x v="0"/>
    <s v="N/A"/>
    <s v=""/>
    <s v="Confirmed"/>
    <m/>
    <x v="0"/>
    <x v="0"/>
    <m/>
    <x v="1"/>
    <x v="0"/>
    <m/>
    <n v="0"/>
    <x v="1"/>
    <s v="High"/>
    <n v="15464031.712942109"/>
  </r>
  <r>
    <x v="0"/>
    <x v="134"/>
    <x v="134"/>
    <x v="4"/>
    <x v="0"/>
    <x v="0"/>
    <x v="3"/>
    <x v="3"/>
    <s v="Multi-Year"/>
    <x v="0"/>
    <s v="N/A"/>
    <s v=""/>
    <s v="Confirmed"/>
    <m/>
    <x v="0"/>
    <x v="0"/>
    <m/>
    <x v="3"/>
    <x v="1"/>
    <m/>
    <n v="0"/>
    <x v="1"/>
    <s v="N/A"/>
    <n v="769564399.33249676"/>
  </r>
  <r>
    <x v="0"/>
    <x v="135"/>
    <x v="135"/>
    <x v="2"/>
    <x v="0"/>
    <x v="0"/>
    <x v="3"/>
    <x v="3"/>
    <s v="Multi-Year"/>
    <x v="0"/>
    <s v="N/A"/>
    <n v="2200000"/>
    <s v="Confirmed"/>
    <m/>
    <x v="0"/>
    <x v="0"/>
    <m/>
    <x v="2"/>
    <x v="0"/>
    <m/>
    <n v="0"/>
    <x v="0"/>
    <s v="N/A"/>
    <n v="1668954539.7630196"/>
  </r>
  <r>
    <x v="0"/>
    <x v="136"/>
    <x v="136"/>
    <x v="1"/>
    <x v="0"/>
    <x v="0"/>
    <x v="3"/>
    <x v="3"/>
    <s v="Multi-Year"/>
    <x v="0"/>
    <s v="N/A"/>
    <s v=""/>
    <s v="Confirmed"/>
    <m/>
    <x v="0"/>
    <x v="0"/>
    <m/>
    <x v="1"/>
    <x v="1"/>
    <m/>
    <n v="0"/>
    <x v="0"/>
    <s v=""/>
    <n v="24840920016.18832"/>
  </r>
  <r>
    <x v="0"/>
    <x v="137"/>
    <x v="137"/>
    <x v="1"/>
    <x v="0"/>
    <x v="0"/>
    <x v="3"/>
    <x v="3"/>
    <s v="Multi-Year"/>
    <x v="0"/>
    <s v="N/A"/>
    <s v=""/>
    <s v="Confirmed"/>
    <m/>
    <x v="0"/>
    <x v="0"/>
    <m/>
    <x v="1"/>
    <x v="1"/>
    <m/>
    <n v="0"/>
    <x v="0"/>
    <s v="N/A"/>
    <n v="487888462.83720118"/>
  </r>
  <r>
    <x v="0"/>
    <x v="138"/>
    <x v="138"/>
    <x v="6"/>
    <x v="0"/>
    <x v="0"/>
    <x v="3"/>
    <x v="3"/>
    <s v="Multi-Year"/>
    <x v="0"/>
    <s v="N/A"/>
    <s v=""/>
    <s v="Confirmed"/>
    <m/>
    <x v="0"/>
    <x v="0"/>
    <m/>
    <x v="1"/>
    <x v="0"/>
    <m/>
    <n v="0"/>
    <x v="1"/>
    <s v="…"/>
    <n v="6365061.1736073596"/>
  </r>
  <r>
    <x v="0"/>
    <x v="139"/>
    <x v="139"/>
    <x v="3"/>
    <x v="0"/>
    <x v="0"/>
    <x v="3"/>
    <x v="3"/>
    <s v="Multi-Year"/>
    <x v="0"/>
    <s v="N/A"/>
    <s v=""/>
    <s v="Confirmed"/>
    <m/>
    <x v="0"/>
    <x v="0"/>
    <m/>
    <x v="0"/>
    <x v="0"/>
    <m/>
    <n v="2"/>
    <x v="0"/>
    <s v="Low"/>
    <n v="291799092.90196139"/>
  </r>
  <r>
    <x v="0"/>
    <x v="140"/>
    <x v="140"/>
    <x v="1"/>
    <x v="0"/>
    <x v="0"/>
    <x v="3"/>
    <x v="3"/>
    <s v="Multi-Year"/>
    <x v="0"/>
    <s v="N/A"/>
    <s v=""/>
    <s v="Confirmed"/>
    <m/>
    <x v="0"/>
    <x v="0"/>
    <m/>
    <x v="2"/>
    <x v="0"/>
    <m/>
    <n v="0"/>
    <x v="0"/>
    <s v="N/A"/>
    <n v="4844815340.2135534"/>
  </r>
  <r>
    <x v="0"/>
    <x v="141"/>
    <x v="141"/>
    <x v="4"/>
    <x v="0"/>
    <x v="0"/>
    <x v="3"/>
    <x v="3"/>
    <s v="Multi-Year"/>
    <x v="0"/>
    <s v="N/A"/>
    <s v=""/>
    <s v="Confirmed"/>
    <m/>
    <x v="0"/>
    <x v="0"/>
    <m/>
    <x v="3"/>
    <x v="1"/>
    <m/>
    <n v="0"/>
    <x v="0"/>
    <s v=""/>
    <n v="4001891446.6871672"/>
  </r>
  <r>
    <x v="0"/>
    <x v="142"/>
    <x v="142"/>
    <x v="1"/>
    <x v="0"/>
    <x v="0"/>
    <x v="3"/>
    <x v="3"/>
    <s v="Multi-Year"/>
    <x v="0"/>
    <s v="N/A"/>
    <s v=""/>
    <s v="Confirmed"/>
    <m/>
    <x v="0"/>
    <x v="0"/>
    <m/>
    <x v="2"/>
    <x v="0"/>
    <m/>
    <n v="0"/>
    <x v="0"/>
    <s v="Low"/>
    <n v="1019800630.5853213"/>
  </r>
  <r>
    <x v="0"/>
    <x v="143"/>
    <x v="143"/>
    <x v="6"/>
    <x v="0"/>
    <x v="0"/>
    <x v="3"/>
    <x v="3"/>
    <s v="Multi-Year"/>
    <x v="0"/>
    <s v="N/A"/>
    <s v=""/>
    <s v="Confirmed"/>
    <m/>
    <x v="0"/>
    <x v="0"/>
    <m/>
    <x v="2"/>
    <x v="0"/>
    <m/>
    <n v="0"/>
    <x v="1"/>
    <s v="Moderate"/>
    <n v="19578671.310841195"/>
  </r>
  <r>
    <x v="0"/>
    <x v="144"/>
    <x v="144"/>
    <x v="4"/>
    <x v="0"/>
    <x v="0"/>
    <x v="3"/>
    <x v="3"/>
    <s v="Multi-Year"/>
    <x v="0"/>
    <s v="N/A"/>
    <s v=""/>
    <s v="Confirmed"/>
    <m/>
    <x v="0"/>
    <x v="0"/>
    <m/>
    <x v="4"/>
    <x v="1"/>
    <m/>
    <n v="0"/>
    <x v="0"/>
    <s v="N/A"/>
    <n v="3551452001.0684834"/>
  </r>
  <r>
    <x v="0"/>
    <x v="145"/>
    <x v="145"/>
    <x v="6"/>
    <x v="0"/>
    <x v="0"/>
    <x v="3"/>
    <x v="3"/>
    <s v="Multi-Year"/>
    <x v="0"/>
    <s v="N/A"/>
    <s v=""/>
    <s v="Confirmed"/>
    <m/>
    <x v="0"/>
    <x v="0"/>
    <m/>
    <x v="2"/>
    <x v="0"/>
    <m/>
    <n v="0"/>
    <x v="0"/>
    <s v="N/A"/>
    <n v="6603048821.7575006"/>
  </r>
  <r>
    <x v="0"/>
    <x v="146"/>
    <x v="146"/>
    <x v="2"/>
    <x v="0"/>
    <x v="0"/>
    <x v="3"/>
    <x v="3"/>
    <s v="Multi-Year"/>
    <x v="0"/>
    <s v="N/A"/>
    <s v=""/>
    <s v="Confirmed"/>
    <m/>
    <x v="0"/>
    <x v="0"/>
    <m/>
    <x v="0"/>
    <x v="0"/>
    <m/>
    <n v="1"/>
    <x v="0"/>
    <s v="…"/>
    <s v=""/>
  </r>
  <r>
    <x v="0"/>
    <x v="147"/>
    <x v="147"/>
    <x v="3"/>
    <x v="0"/>
    <x v="0"/>
    <x v="3"/>
    <x v="3"/>
    <s v="Multi-Year"/>
    <x v="0"/>
    <s v="N/A"/>
    <s v=""/>
    <s v="Confirmed"/>
    <m/>
    <x v="0"/>
    <x v="0"/>
    <m/>
    <x v="2"/>
    <x v="0"/>
    <m/>
    <n v="0"/>
    <x v="0"/>
    <s v="High"/>
    <n v="515352723.9821828"/>
  </r>
  <r>
    <x v="0"/>
    <x v="148"/>
    <x v="148"/>
    <x v="3"/>
    <x v="0"/>
    <x v="0"/>
    <x v="3"/>
    <x v="3"/>
    <s v="Multi-Year"/>
    <x v="0"/>
    <s v="N/A"/>
    <s v=""/>
    <s v="Confirmed"/>
    <m/>
    <x v="0"/>
    <x v="0"/>
    <m/>
    <x v="2"/>
    <x v="0"/>
    <m/>
    <n v="0"/>
    <x v="0"/>
    <s v="N/A"/>
    <n v="566711742.22428358"/>
  </r>
  <r>
    <x v="0"/>
    <x v="0"/>
    <x v="0"/>
    <x v="0"/>
    <x v="0"/>
    <x v="1"/>
    <x v="4"/>
    <x v="4"/>
    <n v="2021"/>
    <x v="1"/>
    <s v="Cold Chain"/>
    <n v="922566"/>
    <s v="Confirmed"/>
    <m/>
    <x v="0"/>
    <x v="0"/>
    <m/>
    <x v="0"/>
    <x v="0"/>
    <m/>
    <n v="1"/>
    <x v="0"/>
    <s v="High"/>
    <n v="95829480.719269618"/>
  </r>
  <r>
    <x v="0"/>
    <x v="1"/>
    <x v="1"/>
    <x v="1"/>
    <x v="0"/>
    <x v="1"/>
    <x v="4"/>
    <x v="4"/>
    <n v="2021"/>
    <x v="1"/>
    <s v="Cold Chain"/>
    <s v=""/>
    <s v="Confirmed"/>
    <m/>
    <x v="0"/>
    <x v="0"/>
    <m/>
    <x v="1"/>
    <x v="1"/>
    <m/>
    <n v="0"/>
    <x v="0"/>
    <s v=""/>
    <n v="427904035.52443534"/>
  </r>
  <r>
    <x v="0"/>
    <x v="2"/>
    <x v="2"/>
    <x v="2"/>
    <x v="0"/>
    <x v="1"/>
    <x v="4"/>
    <x v="4"/>
    <n v="2021"/>
    <x v="1"/>
    <s v="Cold Chain"/>
    <n v="682071"/>
    <s v="Confirmed"/>
    <m/>
    <x v="0"/>
    <x v="0"/>
    <m/>
    <x v="2"/>
    <x v="0"/>
    <m/>
    <n v="0"/>
    <x v="0"/>
    <s v="N/A"/>
    <n v="7113361022.7267885"/>
  </r>
  <r>
    <x v="0"/>
    <x v="3"/>
    <x v="3"/>
    <x v="3"/>
    <x v="0"/>
    <x v="1"/>
    <x v="4"/>
    <x v="4"/>
    <n v="2021"/>
    <x v="1"/>
    <s v="Cold Chain"/>
    <n v="539335"/>
    <s v="Confirmed"/>
    <m/>
    <x v="0"/>
    <x v="0"/>
    <m/>
    <x v="2"/>
    <x v="0"/>
    <m/>
    <n v="0"/>
    <x v="0"/>
    <s v="…"/>
    <n v="1131865946.5875781"/>
  </r>
  <r>
    <x v="0"/>
    <x v="4"/>
    <x v="4"/>
    <x v="4"/>
    <x v="0"/>
    <x v="1"/>
    <x v="4"/>
    <x v="4"/>
    <n v="2021"/>
    <x v="1"/>
    <s v="Cold Chain"/>
    <s v=""/>
    <s v="Confirmed"/>
    <m/>
    <x v="0"/>
    <x v="0"/>
    <m/>
    <x v="3"/>
    <x v="1"/>
    <m/>
    <n v="0"/>
    <x v="1"/>
    <s v=""/>
    <n v="46777779.823447868"/>
  </r>
  <r>
    <x v="0"/>
    <x v="5"/>
    <x v="5"/>
    <x v="4"/>
    <x v="0"/>
    <x v="1"/>
    <x v="4"/>
    <x v="4"/>
    <n v="2021"/>
    <x v="1"/>
    <s v="Cold Chain"/>
    <s v=""/>
    <s v="Confirmed"/>
    <m/>
    <x v="0"/>
    <x v="0"/>
    <m/>
    <x v="1"/>
    <x v="1"/>
    <m/>
    <n v="0"/>
    <x v="0"/>
    <s v=""/>
    <n v="30725305777.596794"/>
  </r>
  <r>
    <x v="0"/>
    <x v="6"/>
    <x v="6"/>
    <x v="1"/>
    <x v="0"/>
    <x v="1"/>
    <x v="4"/>
    <x v="4"/>
    <n v="2021"/>
    <x v="1"/>
    <s v="Cold Chain"/>
    <s v=""/>
    <s v="Confirmed"/>
    <m/>
    <x v="0"/>
    <x v="0"/>
    <m/>
    <x v="1"/>
    <x v="1"/>
    <m/>
    <n v="0"/>
    <x v="0"/>
    <s v=""/>
    <n v="153815827.8380394"/>
  </r>
  <r>
    <x v="0"/>
    <x v="7"/>
    <x v="7"/>
    <x v="1"/>
    <x v="0"/>
    <x v="1"/>
    <x v="4"/>
    <x v="4"/>
    <n v="2021"/>
    <x v="1"/>
    <s v="Cold Chain"/>
    <s v=""/>
    <s v="Confirmed"/>
    <m/>
    <x v="0"/>
    <x v="0"/>
    <m/>
    <x v="1"/>
    <x v="1"/>
    <m/>
    <n v="0"/>
    <x v="0"/>
    <s v="N/A"/>
    <n v="437525105.31216973"/>
  </r>
  <r>
    <x v="0"/>
    <x v="8"/>
    <x v="8"/>
    <x v="4"/>
    <x v="0"/>
    <x v="1"/>
    <x v="4"/>
    <x v="4"/>
    <n v="2021"/>
    <x v="1"/>
    <s v="Cold Chain"/>
    <s v=""/>
    <s v="Confirmed"/>
    <m/>
    <x v="0"/>
    <x v="0"/>
    <m/>
    <x v="3"/>
    <x v="1"/>
    <m/>
    <n v="0"/>
    <x v="1"/>
    <s v=""/>
    <n v="149463302.00602186"/>
  </r>
  <r>
    <x v="0"/>
    <x v="9"/>
    <x v="9"/>
    <x v="0"/>
    <x v="0"/>
    <x v="1"/>
    <x v="4"/>
    <x v="4"/>
    <n v="2021"/>
    <x v="1"/>
    <s v="Cold Chain"/>
    <n v="2482278"/>
    <s v="Confirmed"/>
    <m/>
    <x v="0"/>
    <x v="0"/>
    <m/>
    <x v="2"/>
    <x v="0"/>
    <m/>
    <n v="0"/>
    <x v="0"/>
    <s v="Low"/>
    <n v="1148322593.9600098"/>
  </r>
  <r>
    <x v="0"/>
    <x v="10"/>
    <x v="10"/>
    <x v="1"/>
    <x v="0"/>
    <x v="1"/>
    <x v="4"/>
    <x v="4"/>
    <n v="2021"/>
    <x v="1"/>
    <s v="Cold Chain"/>
    <s v=""/>
    <s v="Confirmed"/>
    <m/>
    <x v="0"/>
    <x v="0"/>
    <m/>
    <x v="1"/>
    <x v="1"/>
    <m/>
    <n v="0"/>
    <x v="0"/>
    <s v=""/>
    <n v="2371102058.1093163"/>
  </r>
  <r>
    <x v="0"/>
    <x v="11"/>
    <x v="11"/>
    <x v="4"/>
    <x v="0"/>
    <x v="1"/>
    <x v="4"/>
    <x v="4"/>
    <n v="2021"/>
    <x v="1"/>
    <s v="Cold Chain"/>
    <s v=""/>
    <s v="Confirmed"/>
    <m/>
    <x v="0"/>
    <x v="0"/>
    <m/>
    <x v="2"/>
    <x v="1"/>
    <m/>
    <n v="0"/>
    <x v="1"/>
    <s v="N/A"/>
    <n v="75151620.005215243"/>
  </r>
  <r>
    <x v="0"/>
    <x v="12"/>
    <x v="12"/>
    <x v="5"/>
    <x v="0"/>
    <x v="1"/>
    <x v="4"/>
    <x v="4"/>
    <n v="2021"/>
    <x v="1"/>
    <s v="Cold Chain"/>
    <n v="386989"/>
    <s v="Confirmed"/>
    <m/>
    <x v="0"/>
    <x v="0"/>
    <m/>
    <x v="2"/>
    <x v="0"/>
    <m/>
    <n v="0"/>
    <x v="0"/>
    <s v="Moderate"/>
    <n v="69958487.197715744"/>
  </r>
  <r>
    <x v="0"/>
    <x v="13"/>
    <x v="13"/>
    <x v="0"/>
    <x v="0"/>
    <x v="1"/>
    <x v="4"/>
    <x v="4"/>
    <n v="2021"/>
    <x v="1"/>
    <s v="Cold Chain"/>
    <n v="69721"/>
    <s v="Confirmed"/>
    <m/>
    <x v="0"/>
    <x v="0"/>
    <m/>
    <x v="2"/>
    <x v="0"/>
    <m/>
    <n v="0"/>
    <x v="0"/>
    <s v="…"/>
    <n v="61654608.560629159"/>
  </r>
  <r>
    <x v="0"/>
    <x v="14"/>
    <x v="14"/>
    <x v="4"/>
    <x v="0"/>
    <x v="1"/>
    <x v="4"/>
    <x v="4"/>
    <n v="2021"/>
    <x v="1"/>
    <s v="Cold Chain"/>
    <n v="283036"/>
    <s v="Confirmed"/>
    <m/>
    <x v="0"/>
    <x v="0"/>
    <m/>
    <x v="2"/>
    <x v="0"/>
    <m/>
    <n v="0"/>
    <x v="0"/>
    <s v="N/A"/>
    <n v="1806638707.7615163"/>
  </r>
  <r>
    <x v="0"/>
    <x v="15"/>
    <x v="15"/>
    <x v="1"/>
    <x v="0"/>
    <x v="1"/>
    <x v="4"/>
    <x v="4"/>
    <n v="2021"/>
    <x v="1"/>
    <s v="Cold Chain"/>
    <s v=""/>
    <s v="Confirmed"/>
    <m/>
    <x v="0"/>
    <x v="0"/>
    <m/>
    <x v="1"/>
    <x v="1"/>
    <m/>
    <n v="0"/>
    <x v="0"/>
    <s v="N/A"/>
    <n v="1252696525.0627904"/>
  </r>
  <r>
    <x v="0"/>
    <x v="16"/>
    <x v="16"/>
    <x v="3"/>
    <x v="0"/>
    <x v="1"/>
    <x v="4"/>
    <x v="4"/>
    <n v="2021"/>
    <x v="1"/>
    <s v="Cold Chain"/>
    <s v=""/>
    <s v="Confirmed"/>
    <m/>
    <x v="0"/>
    <x v="0"/>
    <m/>
    <x v="1"/>
    <x v="1"/>
    <m/>
    <n v="0"/>
    <x v="0"/>
    <s v=""/>
    <n v="843425084.07334602"/>
  </r>
  <r>
    <x v="0"/>
    <x v="17"/>
    <x v="17"/>
    <x v="4"/>
    <x v="0"/>
    <x v="1"/>
    <x v="4"/>
    <x v="4"/>
    <n v="2021"/>
    <x v="1"/>
    <s v="Cold Chain"/>
    <s v=""/>
    <s v="Confirmed"/>
    <m/>
    <x v="0"/>
    <x v="0"/>
    <m/>
    <x v="1"/>
    <x v="1"/>
    <m/>
    <n v="0"/>
    <x v="0"/>
    <s v="N/A"/>
    <n v="74055620038.853683"/>
  </r>
  <r>
    <x v="0"/>
    <x v="18"/>
    <x v="18"/>
    <x v="1"/>
    <x v="0"/>
    <x v="1"/>
    <x v="4"/>
    <x v="4"/>
    <n v="2021"/>
    <x v="1"/>
    <s v="Cold Chain"/>
    <s v=""/>
    <s v="Confirmed"/>
    <m/>
    <x v="0"/>
    <x v="0"/>
    <m/>
    <x v="1"/>
    <x v="1"/>
    <m/>
    <n v="0"/>
    <x v="0"/>
    <s v=""/>
    <n v="2803357765.5888777"/>
  </r>
  <r>
    <x v="0"/>
    <x v="19"/>
    <x v="19"/>
    <x v="5"/>
    <x v="0"/>
    <x v="1"/>
    <x v="4"/>
    <x v="4"/>
    <n v="2021"/>
    <x v="1"/>
    <s v="Cold Chain"/>
    <n v="555832"/>
    <s v="Confirmed"/>
    <m/>
    <x v="0"/>
    <x v="0"/>
    <m/>
    <x v="0"/>
    <x v="0"/>
    <m/>
    <n v="2"/>
    <x v="0"/>
    <s v="Moderate"/>
    <n v="337927779.25510043"/>
  </r>
  <r>
    <x v="0"/>
    <x v="20"/>
    <x v="20"/>
    <x v="3"/>
    <x v="0"/>
    <x v="1"/>
    <x v="4"/>
    <x v="4"/>
    <n v="2021"/>
    <x v="1"/>
    <s v="Cold Chain"/>
    <s v=" $-   "/>
    <s v="Confirmed"/>
    <m/>
    <x v="0"/>
    <x v="0"/>
    <m/>
    <x v="0"/>
    <x v="0"/>
    <m/>
    <n v="2"/>
    <x v="0"/>
    <s v="…"/>
    <n v="65979512.47399316"/>
  </r>
  <r>
    <x v="0"/>
    <x v="21"/>
    <x v="21"/>
    <x v="5"/>
    <x v="0"/>
    <x v="1"/>
    <x v="4"/>
    <x v="4"/>
    <n v="2021"/>
    <x v="1"/>
    <s v="Cold Chain"/>
    <s v=" $-   "/>
    <s v="Confirmed"/>
    <m/>
    <x v="0"/>
    <x v="0"/>
    <m/>
    <x v="2"/>
    <x v="0"/>
    <m/>
    <n v="0"/>
    <x v="1"/>
    <s v="High"/>
    <n v="63748362.778827004"/>
  </r>
  <r>
    <x v="0"/>
    <x v="22"/>
    <x v="22"/>
    <x v="6"/>
    <x v="0"/>
    <x v="1"/>
    <x v="4"/>
    <x v="4"/>
    <n v="2021"/>
    <x v="1"/>
    <s v="Cold Chain"/>
    <n v="459999"/>
    <s v="Confirmed"/>
    <m/>
    <x v="0"/>
    <x v="0"/>
    <m/>
    <x v="2"/>
    <x v="0"/>
    <m/>
    <n v="0"/>
    <x v="0"/>
    <s v="Low"/>
    <n v="313039649.45369786"/>
  </r>
  <r>
    <x v="0"/>
    <x v="23"/>
    <x v="23"/>
    <x v="5"/>
    <x v="0"/>
    <x v="1"/>
    <x v="4"/>
    <x v="4"/>
    <n v="2021"/>
    <x v="1"/>
    <s v="Cold Chain"/>
    <n v="690768"/>
    <s v="Confirmed"/>
    <m/>
    <x v="0"/>
    <x v="0"/>
    <m/>
    <x v="2"/>
    <x v="0"/>
    <m/>
    <n v="2"/>
    <x v="0"/>
    <s v="High"/>
    <n v="81361801.477472037"/>
  </r>
  <r>
    <x v="0"/>
    <x v="24"/>
    <x v="24"/>
    <x v="5"/>
    <x v="0"/>
    <x v="1"/>
    <x v="4"/>
    <x v="4"/>
    <n v="2021"/>
    <x v="1"/>
    <s v="Cold Chain"/>
    <n v="201700"/>
    <s v="Confirmed"/>
    <m/>
    <x v="0"/>
    <x v="0"/>
    <m/>
    <x v="0"/>
    <x v="0"/>
    <m/>
    <n v="1"/>
    <x v="0"/>
    <s v="High"/>
    <s v=""/>
  </r>
  <r>
    <x v="0"/>
    <x v="25"/>
    <x v="25"/>
    <x v="5"/>
    <x v="0"/>
    <x v="1"/>
    <x v="4"/>
    <x v="4"/>
    <n v="2021"/>
    <x v="1"/>
    <s v="Cold Chain"/>
    <s v=" $-   "/>
    <s v="Confirmed"/>
    <m/>
    <x v="0"/>
    <x v="0"/>
    <m/>
    <x v="0"/>
    <x v="0"/>
    <m/>
    <n v="1"/>
    <x v="0"/>
    <s v="High"/>
    <n v="76939306.715636879"/>
  </r>
  <r>
    <x v="0"/>
    <x v="26"/>
    <x v="26"/>
    <x v="4"/>
    <x v="0"/>
    <x v="1"/>
    <x v="4"/>
    <x v="4"/>
    <n v="2021"/>
    <x v="1"/>
    <s v="Cold Chain"/>
    <s v=""/>
    <s v="Confirmed"/>
    <m/>
    <x v="0"/>
    <x v="0"/>
    <m/>
    <x v="3"/>
    <x v="1"/>
    <m/>
    <n v="0"/>
    <x v="0"/>
    <s v=""/>
    <n v="13859708717.682571"/>
  </r>
  <r>
    <x v="0"/>
    <x v="27"/>
    <x v="27"/>
    <x v="6"/>
    <x v="0"/>
    <x v="1"/>
    <x v="4"/>
    <x v="4"/>
    <n v="2021"/>
    <x v="1"/>
    <s v="Cold Chain"/>
    <s v=""/>
    <s v="Confirmed"/>
    <m/>
    <x v="0"/>
    <x v="0"/>
    <m/>
    <x v="1"/>
    <x v="1"/>
    <m/>
    <n v="0"/>
    <x v="0"/>
    <s v=""/>
    <n v="403567160707.7016"/>
  </r>
  <r>
    <x v="0"/>
    <x v="28"/>
    <x v="28"/>
    <x v="4"/>
    <x v="0"/>
    <x v="1"/>
    <x v="4"/>
    <x v="4"/>
    <n v="2021"/>
    <x v="1"/>
    <s v="Cold Chain"/>
    <s v=""/>
    <s v="Confirmed"/>
    <m/>
    <x v="0"/>
    <x v="0"/>
    <m/>
    <x v="1"/>
    <x v="1"/>
    <m/>
    <n v="0"/>
    <x v="0"/>
    <s v=""/>
    <n v="18250225995.972618"/>
  </r>
  <r>
    <x v="0"/>
    <x v="29"/>
    <x v="29"/>
    <x v="3"/>
    <x v="0"/>
    <x v="1"/>
    <x v="4"/>
    <x v="4"/>
    <n v="2021"/>
    <x v="1"/>
    <s v="Cold Chain"/>
    <n v="80000"/>
    <s v="Confirmed"/>
    <m/>
    <x v="0"/>
    <x v="0"/>
    <m/>
    <x v="2"/>
    <x v="0"/>
    <m/>
    <n v="0"/>
    <x v="1"/>
    <s v="Moderate"/>
    <n v="5027591.1682657599"/>
  </r>
  <r>
    <x v="0"/>
    <x v="30"/>
    <x v="30"/>
    <x v="5"/>
    <x v="0"/>
    <x v="1"/>
    <x v="4"/>
    <x v="4"/>
    <n v="2021"/>
    <x v="1"/>
    <s v="Cold Chain"/>
    <n v="1737208"/>
    <s v="Confirmed"/>
    <m/>
    <x v="0"/>
    <x v="0"/>
    <m/>
    <x v="0"/>
    <x v="0"/>
    <m/>
    <n v="3"/>
    <x v="0"/>
    <s v="Moderate"/>
    <n v="234645958.63289919"/>
  </r>
  <r>
    <x v="0"/>
    <x v="31"/>
    <x v="31"/>
    <x v="5"/>
    <x v="0"/>
    <x v="1"/>
    <x v="4"/>
    <x v="4"/>
    <n v="2021"/>
    <x v="1"/>
    <s v="Cold Chain"/>
    <n v="180490"/>
    <s v="Confirmed"/>
    <m/>
    <x v="0"/>
    <x v="0"/>
    <m/>
    <x v="2"/>
    <x v="0"/>
    <m/>
    <n v="2"/>
    <x v="0"/>
    <s v="In distress"/>
    <n v="91590910.247314155"/>
  </r>
  <r>
    <x v="0"/>
    <x v="32"/>
    <x v="32"/>
    <x v="6"/>
    <x v="0"/>
    <x v="1"/>
    <x v="4"/>
    <x v="4"/>
    <n v="2021"/>
    <x v="1"/>
    <s v="Cold Chain"/>
    <s v=""/>
    <s v="Confirmed"/>
    <m/>
    <x v="0"/>
    <x v="0"/>
    <m/>
    <x v="4"/>
    <x v="1"/>
    <m/>
    <n v="0"/>
    <x v="1"/>
    <s v="N/A"/>
    <n v="8560012.8840167802"/>
  </r>
  <r>
    <x v="0"/>
    <x v="33"/>
    <x v="33"/>
    <x v="4"/>
    <x v="0"/>
    <x v="1"/>
    <x v="4"/>
    <x v="4"/>
    <n v="2021"/>
    <x v="1"/>
    <s v="Cold Chain"/>
    <s v=""/>
    <s v="Confirmed"/>
    <m/>
    <x v="0"/>
    <x v="0"/>
    <m/>
    <x v="1"/>
    <x v="1"/>
    <m/>
    <n v="0"/>
    <x v="0"/>
    <s v="N/A"/>
    <n v="3292372960.3962669"/>
  </r>
  <r>
    <x v="0"/>
    <x v="34"/>
    <x v="34"/>
    <x v="5"/>
    <x v="0"/>
    <x v="1"/>
    <x v="4"/>
    <x v="4"/>
    <n v="2021"/>
    <x v="1"/>
    <s v="Cold Chain"/>
    <n v="664320"/>
    <s v="Confirmed"/>
    <m/>
    <x v="0"/>
    <x v="0"/>
    <m/>
    <x v="2"/>
    <x v="0"/>
    <m/>
    <n v="0"/>
    <x v="0"/>
    <s v="Moderate"/>
    <n v="519209981.22981054"/>
  </r>
  <r>
    <x v="0"/>
    <x v="35"/>
    <x v="35"/>
    <x v="1"/>
    <x v="0"/>
    <x v="1"/>
    <x v="4"/>
    <x v="4"/>
    <n v="2021"/>
    <x v="1"/>
    <s v="Cold Chain"/>
    <s v=""/>
    <s v="Confirmed"/>
    <m/>
    <x v="0"/>
    <x v="0"/>
    <m/>
    <x v="3"/>
    <x v="1"/>
    <m/>
    <n v="0"/>
    <x v="0"/>
    <s v=""/>
    <n v="3464739907.1604805"/>
  </r>
  <r>
    <x v="0"/>
    <x v="36"/>
    <x v="36"/>
    <x v="4"/>
    <x v="0"/>
    <x v="1"/>
    <x v="4"/>
    <x v="4"/>
    <n v="2021"/>
    <x v="1"/>
    <s v="Cold Chain"/>
    <s v=""/>
    <s v="Confirmed"/>
    <m/>
    <x v="0"/>
    <x v="0"/>
    <m/>
    <x v="1"/>
    <x v="1"/>
    <m/>
    <n v="0"/>
    <x v="1"/>
    <s v=""/>
    <n v="9948521252.2569065"/>
  </r>
  <r>
    <x v="0"/>
    <x v="37"/>
    <x v="37"/>
    <x v="2"/>
    <x v="0"/>
    <x v="1"/>
    <x v="4"/>
    <x v="4"/>
    <n v="2021"/>
    <x v="1"/>
    <s v="Cold Chain"/>
    <s v=" $-   "/>
    <s v="Confirmed"/>
    <m/>
    <x v="0"/>
    <x v="0"/>
    <m/>
    <x v="2"/>
    <x v="0"/>
    <m/>
    <n v="1"/>
    <x v="0"/>
    <s v="High"/>
    <n v="33679192.765657313"/>
  </r>
  <r>
    <x v="0"/>
    <x v="38"/>
    <x v="38"/>
    <x v="4"/>
    <x v="0"/>
    <x v="1"/>
    <x v="4"/>
    <x v="4"/>
    <n v="2021"/>
    <x v="1"/>
    <s v="Cold Chain"/>
    <s v=" $-   "/>
    <s v="Confirmed"/>
    <m/>
    <x v="0"/>
    <x v="0"/>
    <m/>
    <x v="1"/>
    <x v="0"/>
    <m/>
    <n v="0"/>
    <x v="1"/>
    <s v="…"/>
    <n v="22784494.365742501"/>
  </r>
  <r>
    <x v="0"/>
    <x v="39"/>
    <x v="39"/>
    <x v="4"/>
    <x v="0"/>
    <x v="1"/>
    <x v="4"/>
    <x v="4"/>
    <n v="2021"/>
    <x v="1"/>
    <s v="Cold Chain"/>
    <s v=""/>
    <s v="Confirmed"/>
    <m/>
    <x v="0"/>
    <x v="0"/>
    <m/>
    <x v="1"/>
    <x v="1"/>
    <m/>
    <n v="0"/>
    <x v="1"/>
    <s v=""/>
    <n v="2173208011.4858823"/>
  </r>
  <r>
    <x v="0"/>
    <x v="40"/>
    <x v="40"/>
    <x v="4"/>
    <x v="0"/>
    <x v="1"/>
    <x v="4"/>
    <x v="4"/>
    <n v="2021"/>
    <x v="1"/>
    <s v="Cold Chain"/>
    <s v=""/>
    <s v="Confirmed"/>
    <m/>
    <x v="0"/>
    <x v="0"/>
    <m/>
    <x v="1"/>
    <x v="1"/>
    <m/>
    <n v="0"/>
    <x v="0"/>
    <s v="N/A"/>
    <n v="4585736158.8323269"/>
  </r>
  <r>
    <x v="0"/>
    <x v="41"/>
    <x v="41"/>
    <x v="2"/>
    <x v="0"/>
    <x v="1"/>
    <x v="4"/>
    <x v="4"/>
    <n v="2021"/>
    <x v="1"/>
    <s v="Cold Chain"/>
    <n v="1466837"/>
    <s v="Confirmed"/>
    <m/>
    <x v="0"/>
    <x v="0"/>
    <m/>
    <x v="2"/>
    <x v="0"/>
    <m/>
    <n v="0"/>
    <x v="0"/>
    <s v="N/A"/>
    <n v="3550291584.8645592"/>
  </r>
  <r>
    <x v="0"/>
    <x v="42"/>
    <x v="42"/>
    <x v="4"/>
    <x v="0"/>
    <x v="1"/>
    <x v="4"/>
    <x v="4"/>
    <n v="2021"/>
    <x v="1"/>
    <s v="Cold Chain"/>
    <n v="158796"/>
    <s v="Confirmed"/>
    <m/>
    <x v="0"/>
    <x v="0"/>
    <m/>
    <x v="2"/>
    <x v="0"/>
    <m/>
    <n v="0"/>
    <x v="0"/>
    <s v="N/A"/>
    <n v="1182840319.0410969"/>
  </r>
  <r>
    <x v="0"/>
    <x v="43"/>
    <x v="43"/>
    <x v="4"/>
    <x v="0"/>
    <x v="1"/>
    <x v="4"/>
    <x v="4"/>
    <n v="2021"/>
    <x v="1"/>
    <s v="Cold Chain"/>
    <s v=""/>
    <s v="Confirmed"/>
    <m/>
    <x v="0"/>
    <x v="0"/>
    <m/>
    <x v="1"/>
    <x v="1"/>
    <m/>
    <n v="0"/>
    <x v="0"/>
    <s v=""/>
    <n v="81728347.604567245"/>
  </r>
  <r>
    <x v="0"/>
    <x v="44"/>
    <x v="44"/>
    <x v="3"/>
    <x v="0"/>
    <x v="1"/>
    <x v="4"/>
    <x v="4"/>
    <n v="2021"/>
    <x v="1"/>
    <s v="Cold Chain"/>
    <s v=" $-   "/>
    <s v="Confirmed"/>
    <m/>
    <x v="0"/>
    <x v="0"/>
    <m/>
    <x v="0"/>
    <x v="0"/>
    <m/>
    <n v="2"/>
    <x v="0"/>
    <s v="N/A"/>
    <n v="12787914.977715338"/>
  </r>
  <r>
    <x v="0"/>
    <x v="45"/>
    <x v="45"/>
    <x v="3"/>
    <x v="0"/>
    <x v="1"/>
    <x v="4"/>
    <x v="4"/>
    <n v="2021"/>
    <x v="1"/>
    <s v="Cold Chain"/>
    <n v="50213"/>
    <s v="Confirmed"/>
    <m/>
    <x v="0"/>
    <x v="0"/>
    <m/>
    <x v="2"/>
    <x v="0"/>
    <m/>
    <n v="2"/>
    <x v="0"/>
    <s v="N/A"/>
    <n v="101271737.65410839"/>
  </r>
  <r>
    <x v="0"/>
    <x v="46"/>
    <x v="46"/>
    <x v="3"/>
    <x v="0"/>
    <x v="1"/>
    <x v="4"/>
    <x v="4"/>
    <n v="2021"/>
    <x v="1"/>
    <s v="Cold Chain"/>
    <n v="2119570"/>
    <s v="Confirmed"/>
    <m/>
    <x v="0"/>
    <x v="0"/>
    <m/>
    <x v="0"/>
    <x v="0"/>
    <m/>
    <n v="3"/>
    <x v="0"/>
    <s v="High"/>
    <n v="618344226.71759331"/>
  </r>
  <r>
    <x v="0"/>
    <x v="47"/>
    <x v="47"/>
    <x v="6"/>
    <x v="0"/>
    <x v="1"/>
    <x v="4"/>
    <x v="4"/>
    <n v="2021"/>
    <x v="1"/>
    <s v="Cold Chain"/>
    <s v=" $-   "/>
    <s v="Confirmed"/>
    <m/>
    <x v="0"/>
    <x v="0"/>
    <m/>
    <x v="1"/>
    <x v="0"/>
    <m/>
    <n v="0"/>
    <x v="1"/>
    <s v="…"/>
    <n v="129483872.95906857"/>
  </r>
  <r>
    <x v="0"/>
    <x v="48"/>
    <x v="48"/>
    <x v="5"/>
    <x v="0"/>
    <x v="1"/>
    <x v="4"/>
    <x v="4"/>
    <n v="2021"/>
    <x v="1"/>
    <s v="Cold Chain"/>
    <s v=""/>
    <s v="Confirmed"/>
    <m/>
    <x v="0"/>
    <x v="0"/>
    <m/>
    <x v="1"/>
    <x v="1"/>
    <m/>
    <n v="0"/>
    <x v="0"/>
    <s v="N/A"/>
    <n v="271184658.35014349"/>
  </r>
  <r>
    <x v="0"/>
    <x v="49"/>
    <x v="49"/>
    <x v="5"/>
    <x v="0"/>
    <x v="1"/>
    <x v="4"/>
    <x v="4"/>
    <n v="2021"/>
    <x v="1"/>
    <s v="Cold Chain"/>
    <n v="98207"/>
    <s v="Confirmed"/>
    <m/>
    <x v="0"/>
    <x v="0"/>
    <m/>
    <x v="0"/>
    <x v="0"/>
    <m/>
    <n v="0"/>
    <x v="0"/>
    <s v="High"/>
    <n v="15455265.086884515"/>
  </r>
  <r>
    <x v="0"/>
    <x v="50"/>
    <x v="50"/>
    <x v="1"/>
    <x v="0"/>
    <x v="1"/>
    <x v="4"/>
    <x v="4"/>
    <n v="2021"/>
    <x v="1"/>
    <s v="Cold Chain"/>
    <s v=""/>
    <s v="Confirmed"/>
    <m/>
    <x v="0"/>
    <x v="0"/>
    <m/>
    <x v="1"/>
    <x v="1"/>
    <m/>
    <n v="0"/>
    <x v="0"/>
    <s v="N/A"/>
    <n v="494021502.525527"/>
  </r>
  <r>
    <x v="0"/>
    <x v="51"/>
    <x v="51"/>
    <x v="5"/>
    <x v="0"/>
    <x v="1"/>
    <x v="4"/>
    <x v="4"/>
    <n v="2021"/>
    <x v="1"/>
    <s v="Cold Chain"/>
    <n v="793746"/>
    <s v="Confirmed"/>
    <m/>
    <x v="0"/>
    <x v="0"/>
    <m/>
    <x v="2"/>
    <x v="0"/>
    <m/>
    <n v="0"/>
    <x v="0"/>
    <s v="High"/>
    <n v="902005621.73836684"/>
  </r>
  <r>
    <x v="0"/>
    <x v="52"/>
    <x v="52"/>
    <x v="4"/>
    <x v="0"/>
    <x v="1"/>
    <x v="4"/>
    <x v="4"/>
    <n v="2021"/>
    <x v="1"/>
    <s v="Cold Chain"/>
    <s v=" $-   "/>
    <s v="Confirmed"/>
    <m/>
    <x v="0"/>
    <x v="0"/>
    <m/>
    <x v="1"/>
    <x v="0"/>
    <m/>
    <n v="0"/>
    <x v="1"/>
    <s v="In distress"/>
    <n v="20201670.142996579"/>
  </r>
  <r>
    <x v="0"/>
    <x v="53"/>
    <x v="53"/>
    <x v="4"/>
    <x v="0"/>
    <x v="1"/>
    <x v="4"/>
    <x v="4"/>
    <n v="2021"/>
    <x v="1"/>
    <s v="Cold Chain"/>
    <s v=""/>
    <s v="Confirmed"/>
    <m/>
    <x v="0"/>
    <x v="0"/>
    <m/>
    <x v="1"/>
    <x v="1"/>
    <m/>
    <n v="0"/>
    <x v="0"/>
    <s v=""/>
    <n v="1612434649.6948864"/>
  </r>
  <r>
    <x v="0"/>
    <x v="54"/>
    <x v="54"/>
    <x v="5"/>
    <x v="0"/>
    <x v="1"/>
    <x v="4"/>
    <x v="4"/>
    <n v="2021"/>
    <x v="1"/>
    <s v="Cold Chain"/>
    <n v="390259"/>
    <s v="Confirmed"/>
    <m/>
    <x v="0"/>
    <x v="0"/>
    <m/>
    <x v="0"/>
    <x v="0"/>
    <m/>
    <n v="0"/>
    <x v="0"/>
    <s v="Moderate"/>
    <n v="78203134.118229344"/>
  </r>
  <r>
    <x v="0"/>
    <x v="55"/>
    <x v="55"/>
    <x v="5"/>
    <x v="0"/>
    <x v="1"/>
    <x v="4"/>
    <x v="4"/>
    <n v="2021"/>
    <x v="1"/>
    <s v="Cold Chain"/>
    <n v="105973"/>
    <s v="Confirmed"/>
    <m/>
    <x v="0"/>
    <x v="0"/>
    <m/>
    <x v="0"/>
    <x v="0"/>
    <m/>
    <n v="2"/>
    <x v="1"/>
    <s v="High"/>
    <n v="9151637.7411015611"/>
  </r>
  <r>
    <x v="0"/>
    <x v="56"/>
    <x v="56"/>
    <x v="4"/>
    <x v="0"/>
    <x v="1"/>
    <x v="4"/>
    <x v="4"/>
    <n v="2021"/>
    <x v="1"/>
    <s v="Cold Chain"/>
    <n v="62549"/>
    <s v="Confirmed"/>
    <m/>
    <x v="0"/>
    <x v="0"/>
    <m/>
    <x v="1"/>
    <x v="0"/>
    <m/>
    <n v="0"/>
    <x v="1"/>
    <s v="Moderate"/>
    <n v="142455920.02856269"/>
  </r>
  <r>
    <x v="0"/>
    <x v="57"/>
    <x v="57"/>
    <x v="4"/>
    <x v="0"/>
    <x v="1"/>
    <x v="4"/>
    <x v="4"/>
    <n v="2021"/>
    <x v="1"/>
    <s v="Cold Chain"/>
    <n v="365688"/>
    <s v="Confirmed"/>
    <m/>
    <x v="0"/>
    <x v="0"/>
    <m/>
    <x v="2"/>
    <x v="0"/>
    <m/>
    <n v="1"/>
    <x v="1"/>
    <s v="High"/>
    <n v="85611818.171245083"/>
  </r>
  <r>
    <x v="0"/>
    <x v="58"/>
    <x v="58"/>
    <x v="4"/>
    <x v="0"/>
    <x v="1"/>
    <x v="4"/>
    <x v="4"/>
    <n v="2021"/>
    <x v="1"/>
    <s v="Cold Chain"/>
    <n v="219032"/>
    <s v="Confirmed"/>
    <m/>
    <x v="0"/>
    <x v="0"/>
    <m/>
    <x v="2"/>
    <x v="0"/>
    <m/>
    <n v="0"/>
    <x v="0"/>
    <s v="Low"/>
    <n v="680289736.30082119"/>
  </r>
  <r>
    <x v="0"/>
    <x v="59"/>
    <x v="59"/>
    <x v="0"/>
    <x v="0"/>
    <x v="1"/>
    <x v="4"/>
    <x v="4"/>
    <n v="2021"/>
    <x v="1"/>
    <s v="Cold Chain"/>
    <n v="8716494"/>
    <s v="Confirmed"/>
    <m/>
    <x v="0"/>
    <x v="0"/>
    <m/>
    <x v="2"/>
    <x v="0"/>
    <m/>
    <n v="0"/>
    <x v="0"/>
    <s v="N/A"/>
    <n v="26554332750.47023"/>
  </r>
  <r>
    <x v="0"/>
    <x v="60"/>
    <x v="60"/>
    <x v="6"/>
    <x v="0"/>
    <x v="1"/>
    <x v="4"/>
    <x v="4"/>
    <n v="2021"/>
    <x v="1"/>
    <s v="Cold Chain"/>
    <n v="1734565"/>
    <s v="Confirmed"/>
    <m/>
    <x v="0"/>
    <x v="0"/>
    <m/>
    <x v="2"/>
    <x v="0"/>
    <m/>
    <n v="0"/>
    <x v="0"/>
    <s v="N/A"/>
    <n v="14745961064.890842"/>
  </r>
  <r>
    <x v="0"/>
    <x v="61"/>
    <x v="61"/>
    <x v="2"/>
    <x v="0"/>
    <x v="1"/>
    <x v="4"/>
    <x v="4"/>
    <n v="2021"/>
    <x v="1"/>
    <s v="Cold Chain"/>
    <s v=""/>
    <s v="Confirmed"/>
    <m/>
    <x v="0"/>
    <x v="0"/>
    <m/>
    <x v="2"/>
    <x v="1"/>
    <m/>
    <n v="0"/>
    <x v="0"/>
    <s v="N/A"/>
    <n v="18194076299.786381"/>
  </r>
  <r>
    <x v="0"/>
    <x v="62"/>
    <x v="62"/>
    <x v="2"/>
    <x v="0"/>
    <x v="1"/>
    <x v="4"/>
    <x v="4"/>
    <n v="2021"/>
    <x v="1"/>
    <s v="Cold Chain"/>
    <s v=""/>
    <s v="Confirmed"/>
    <m/>
    <x v="0"/>
    <x v="0"/>
    <m/>
    <x v="1"/>
    <x v="1"/>
    <m/>
    <n v="0"/>
    <x v="0"/>
    <s v="N/A"/>
    <n v="4428819387.769825"/>
  </r>
  <r>
    <x v="0"/>
    <x v="63"/>
    <x v="63"/>
    <x v="4"/>
    <x v="0"/>
    <x v="1"/>
    <x v="4"/>
    <x v="4"/>
    <n v="2021"/>
    <x v="1"/>
    <s v="Cold Chain"/>
    <s v=""/>
    <s v="Confirmed"/>
    <m/>
    <x v="0"/>
    <x v="0"/>
    <m/>
    <x v="1"/>
    <x v="1"/>
    <m/>
    <n v="0"/>
    <x v="1"/>
    <s v=""/>
    <n v="611739560.62679195"/>
  </r>
  <r>
    <x v="0"/>
    <x v="64"/>
    <x v="64"/>
    <x v="2"/>
    <x v="0"/>
    <x v="1"/>
    <x v="4"/>
    <x v="4"/>
    <n v="2021"/>
    <x v="1"/>
    <s v="Cold Chain"/>
    <s v=""/>
    <s v="Confirmed"/>
    <m/>
    <x v="0"/>
    <x v="0"/>
    <m/>
    <x v="1"/>
    <x v="1"/>
    <m/>
    <n v="0"/>
    <x v="0"/>
    <s v="N/A"/>
    <n v="1617913383.0481031"/>
  </r>
  <r>
    <x v="0"/>
    <x v="65"/>
    <x v="65"/>
    <x v="1"/>
    <x v="0"/>
    <x v="1"/>
    <x v="4"/>
    <x v="4"/>
    <n v="2021"/>
    <x v="1"/>
    <s v="Cold Chain"/>
    <s v=""/>
    <s v="Confirmed"/>
    <m/>
    <x v="0"/>
    <x v="0"/>
    <m/>
    <x v="1"/>
    <x v="1"/>
    <m/>
    <n v="0"/>
    <x v="0"/>
    <s v=""/>
    <n v="3074419112.4562683"/>
  </r>
  <r>
    <x v="0"/>
    <x v="66"/>
    <x v="66"/>
    <x v="3"/>
    <x v="0"/>
    <x v="1"/>
    <x v="4"/>
    <x v="4"/>
    <n v="2021"/>
    <x v="1"/>
    <s v="Cold Chain"/>
    <n v="1181227"/>
    <s v="Confirmed"/>
    <m/>
    <x v="0"/>
    <x v="0"/>
    <m/>
    <x v="2"/>
    <x v="0"/>
    <m/>
    <n v="0"/>
    <x v="0"/>
    <s v="High"/>
    <n v="1914014279.8929913"/>
  </r>
  <r>
    <x v="0"/>
    <x v="67"/>
    <x v="67"/>
    <x v="6"/>
    <x v="0"/>
    <x v="1"/>
    <x v="4"/>
    <x v="4"/>
    <n v="2021"/>
    <x v="1"/>
    <s v="Cold Chain"/>
    <s v=" $-   "/>
    <s v="Confirmed"/>
    <m/>
    <x v="0"/>
    <x v="0"/>
    <m/>
    <x v="2"/>
    <x v="0"/>
    <m/>
    <n v="0"/>
    <x v="1"/>
    <s v="High"/>
    <n v="17422005.762907442"/>
  </r>
  <r>
    <x v="0"/>
    <x v="68"/>
    <x v="68"/>
    <x v="6"/>
    <x v="0"/>
    <x v="1"/>
    <x v="4"/>
    <x v="4"/>
    <n v="2021"/>
    <x v="1"/>
    <s v="Cold Chain"/>
    <s v=" $-   "/>
    <s v="Confirmed"/>
    <m/>
    <x v="0"/>
    <x v="0"/>
    <m/>
    <x v="0"/>
    <x v="0"/>
    <m/>
    <n v="0"/>
    <x v="0"/>
    <s v="N/A"/>
    <s v=""/>
  </r>
  <r>
    <x v="0"/>
    <x v="69"/>
    <x v="69"/>
    <x v="1"/>
    <x v="0"/>
    <x v="1"/>
    <x v="4"/>
    <x v="4"/>
    <n v="2021"/>
    <x v="1"/>
    <s v="Cold Chain"/>
    <n v="60336"/>
    <s v="Confirmed"/>
    <m/>
    <x v="0"/>
    <x v="0"/>
    <m/>
    <x v="1"/>
    <x v="0"/>
    <m/>
    <n v="0"/>
    <x v="0"/>
    <s v="…"/>
    <s v=""/>
  </r>
  <r>
    <x v="0"/>
    <x v="70"/>
    <x v="70"/>
    <x v="1"/>
    <x v="0"/>
    <x v="1"/>
    <x v="4"/>
    <x v="4"/>
    <n v="2021"/>
    <x v="1"/>
    <s v="Cold Chain"/>
    <n v="211426"/>
    <s v="Confirmed"/>
    <m/>
    <x v="0"/>
    <x v="0"/>
    <m/>
    <x v="2"/>
    <x v="0"/>
    <m/>
    <n v="2"/>
    <x v="0"/>
    <s v="Moderate"/>
    <n v="231506834.84347546"/>
  </r>
  <r>
    <x v="0"/>
    <x v="71"/>
    <x v="71"/>
    <x v="6"/>
    <x v="0"/>
    <x v="1"/>
    <x v="4"/>
    <x v="4"/>
    <n v="2021"/>
    <x v="1"/>
    <s v="Cold Chain"/>
    <n v="134999"/>
    <s v="Confirmed"/>
    <m/>
    <x v="0"/>
    <x v="0"/>
    <m/>
    <x v="2"/>
    <x v="0"/>
    <m/>
    <n v="0"/>
    <x v="0"/>
    <s v="High"/>
    <n v="156059428.62944782"/>
  </r>
  <r>
    <x v="0"/>
    <x v="72"/>
    <x v="72"/>
    <x v="2"/>
    <x v="0"/>
    <x v="1"/>
    <x v="4"/>
    <x v="4"/>
    <n v="2021"/>
    <x v="1"/>
    <s v="Cold Chain"/>
    <s v=""/>
    <s v="Confirmed"/>
    <m/>
    <x v="0"/>
    <x v="0"/>
    <m/>
    <x v="1"/>
    <x v="1"/>
    <m/>
    <n v="0"/>
    <x v="0"/>
    <s v="N/A"/>
    <n v="2355391507.1635861"/>
  </r>
  <r>
    <x v="0"/>
    <x v="73"/>
    <x v="73"/>
    <x v="3"/>
    <x v="0"/>
    <x v="1"/>
    <x v="4"/>
    <x v="4"/>
    <n v="2021"/>
    <x v="1"/>
    <s v="Cold Chain"/>
    <n v="86879"/>
    <s v="Confirmed"/>
    <m/>
    <x v="0"/>
    <x v="0"/>
    <m/>
    <x v="2"/>
    <x v="0"/>
    <m/>
    <n v="0"/>
    <x v="0"/>
    <s v="Moderate"/>
    <n v="152760919.7684873"/>
  </r>
  <r>
    <x v="0"/>
    <x v="74"/>
    <x v="74"/>
    <x v="5"/>
    <x v="0"/>
    <x v="1"/>
    <x v="4"/>
    <x v="4"/>
    <n v="2021"/>
    <x v="1"/>
    <s v="Cold Chain"/>
    <n v="162026"/>
    <s v="Confirmed"/>
    <m/>
    <x v="0"/>
    <x v="0"/>
    <m/>
    <x v="0"/>
    <x v="0"/>
    <m/>
    <n v="0"/>
    <x v="0"/>
    <s v="High"/>
    <n v="55072006.864440605"/>
  </r>
  <r>
    <x v="0"/>
    <x v="75"/>
    <x v="75"/>
    <x v="2"/>
    <x v="0"/>
    <x v="1"/>
    <x v="4"/>
    <x v="4"/>
    <n v="2021"/>
    <x v="1"/>
    <s v="Cold Chain"/>
    <s v=""/>
    <s v="Confirmed"/>
    <m/>
    <x v="0"/>
    <x v="0"/>
    <m/>
    <x v="1"/>
    <x v="1"/>
    <m/>
    <n v="0"/>
    <x v="0"/>
    <s v="N/A"/>
    <s v=""/>
  </r>
  <r>
    <x v="0"/>
    <x v="76"/>
    <x v="76"/>
    <x v="3"/>
    <x v="0"/>
    <x v="1"/>
    <x v="4"/>
    <x v="4"/>
    <n v="2021"/>
    <x v="1"/>
    <s v="Cold Chain"/>
    <n v="694958"/>
    <s v="Confirmed"/>
    <m/>
    <x v="0"/>
    <x v="0"/>
    <m/>
    <x v="0"/>
    <x v="0"/>
    <m/>
    <n v="2"/>
    <x v="0"/>
    <s v="Moderate"/>
    <n v="206914157.05429548"/>
  </r>
  <r>
    <x v="0"/>
    <x v="77"/>
    <x v="77"/>
    <x v="3"/>
    <x v="0"/>
    <x v="1"/>
    <x v="4"/>
    <x v="4"/>
    <n v="2021"/>
    <x v="1"/>
    <s v="Cold Chain"/>
    <n v="386999"/>
    <s v="Confirmed"/>
    <m/>
    <x v="0"/>
    <x v="0"/>
    <m/>
    <x v="0"/>
    <x v="0"/>
    <m/>
    <n v="2"/>
    <x v="0"/>
    <s v="High"/>
    <n v="185999915.02066413"/>
  </r>
  <r>
    <x v="0"/>
    <x v="78"/>
    <x v="78"/>
    <x v="6"/>
    <x v="0"/>
    <x v="1"/>
    <x v="4"/>
    <x v="4"/>
    <n v="2021"/>
    <x v="1"/>
    <s v="Cold Chain"/>
    <s v=""/>
    <s v="Confirmed"/>
    <m/>
    <x v="0"/>
    <x v="0"/>
    <m/>
    <x v="1"/>
    <x v="1"/>
    <m/>
    <n v="0"/>
    <x v="0"/>
    <s v=""/>
    <n v="6893755763.2501726"/>
  </r>
  <r>
    <x v="0"/>
    <x v="79"/>
    <x v="79"/>
    <x v="0"/>
    <x v="0"/>
    <x v="1"/>
    <x v="4"/>
    <x v="4"/>
    <n v="2021"/>
    <x v="1"/>
    <s v="Cold Chain"/>
    <n v="60026"/>
    <s v="Confirmed"/>
    <m/>
    <x v="0"/>
    <x v="0"/>
    <m/>
    <x v="1"/>
    <x v="0"/>
    <m/>
    <n v="0"/>
    <x v="1"/>
    <s v="High"/>
    <n v="354560231.58276606"/>
  </r>
  <r>
    <x v="0"/>
    <x v="80"/>
    <x v="80"/>
    <x v="5"/>
    <x v="0"/>
    <x v="1"/>
    <x v="4"/>
    <x v="4"/>
    <n v="2021"/>
    <x v="1"/>
    <s v="Cold Chain"/>
    <n v="530000"/>
    <s v="Confirmed"/>
    <m/>
    <x v="0"/>
    <x v="0"/>
    <m/>
    <x v="0"/>
    <x v="0"/>
    <m/>
    <n v="1"/>
    <x v="0"/>
    <s v="Moderate"/>
    <n v="188169167.56540567"/>
  </r>
  <r>
    <x v="0"/>
    <x v="81"/>
    <x v="81"/>
    <x v="6"/>
    <x v="0"/>
    <x v="1"/>
    <x v="4"/>
    <x v="4"/>
    <n v="2021"/>
    <x v="1"/>
    <s v="Cold Chain"/>
    <s v=" $-   "/>
    <s v="Confirmed"/>
    <m/>
    <x v="0"/>
    <x v="0"/>
    <m/>
    <x v="1"/>
    <x v="0"/>
    <m/>
    <n v="0"/>
    <x v="1"/>
    <s v=""/>
    <n v="16312106.556340856"/>
  </r>
  <r>
    <x v="0"/>
    <x v="82"/>
    <x v="82"/>
    <x v="5"/>
    <x v="0"/>
    <x v="1"/>
    <x v="4"/>
    <x v="4"/>
    <n v="2021"/>
    <x v="1"/>
    <s v="Cold Chain"/>
    <n v="180361"/>
    <s v="Confirmed"/>
    <m/>
    <x v="0"/>
    <x v="0"/>
    <m/>
    <x v="2"/>
    <x v="0"/>
    <m/>
    <n v="2"/>
    <x v="0"/>
    <s v="High"/>
    <n v="86083833.534053758"/>
  </r>
  <r>
    <x v="0"/>
    <x v="83"/>
    <x v="83"/>
    <x v="3"/>
    <x v="0"/>
    <x v="1"/>
    <x v="4"/>
    <x v="4"/>
    <n v="2021"/>
    <x v="1"/>
    <s v="Cold Chain"/>
    <s v=""/>
    <s v="Confirmed"/>
    <m/>
    <x v="0"/>
    <x v="0"/>
    <m/>
    <x v="1"/>
    <x v="1"/>
    <m/>
    <n v="0"/>
    <x v="1"/>
    <s v="N/A"/>
    <n v="357220835.93762809"/>
  </r>
  <r>
    <x v="0"/>
    <x v="84"/>
    <x v="84"/>
    <x v="4"/>
    <x v="0"/>
    <x v="1"/>
    <x v="4"/>
    <x v="4"/>
    <n v="2021"/>
    <x v="1"/>
    <s v="Cold Chain"/>
    <s v=""/>
    <s v="Confirmed"/>
    <m/>
    <x v="0"/>
    <x v="0"/>
    <m/>
    <x v="1"/>
    <x v="1"/>
    <m/>
    <n v="0"/>
    <x v="0"/>
    <s v=""/>
    <n v="32831598153.796387"/>
  </r>
  <r>
    <x v="0"/>
    <x v="85"/>
    <x v="85"/>
    <x v="6"/>
    <x v="0"/>
    <x v="1"/>
    <x v="4"/>
    <x v="4"/>
    <n v="2021"/>
    <x v="1"/>
    <s v="Cold Chain"/>
    <s v=" $-   "/>
    <s v="Confirmed"/>
    <m/>
    <x v="0"/>
    <x v="0"/>
    <m/>
    <x v="2"/>
    <x v="0"/>
    <m/>
    <n v="0"/>
    <x v="1"/>
    <s v="High"/>
    <n v="12329056.093798399"/>
  </r>
  <r>
    <x v="0"/>
    <x v="86"/>
    <x v="86"/>
    <x v="1"/>
    <x v="0"/>
    <x v="1"/>
    <x v="4"/>
    <x v="4"/>
    <n v="2021"/>
    <x v="1"/>
    <s v="Cold Chain"/>
    <n v="90649"/>
    <s v="Confirmed"/>
    <m/>
    <x v="0"/>
    <x v="0"/>
    <m/>
    <x v="1"/>
    <x v="0"/>
    <m/>
    <n v="0"/>
    <x v="0"/>
    <s v="Low"/>
    <n v="426639742.85328001"/>
  </r>
  <r>
    <x v="0"/>
    <x v="87"/>
    <x v="87"/>
    <x v="6"/>
    <x v="0"/>
    <x v="1"/>
    <x v="4"/>
    <x v="4"/>
    <n v="2021"/>
    <x v="1"/>
    <s v="Cold Chain"/>
    <n v="71067"/>
    <s v="Confirmed"/>
    <m/>
    <x v="0"/>
    <x v="0"/>
    <m/>
    <x v="2"/>
    <x v="0"/>
    <m/>
    <n v="0"/>
    <x v="0"/>
    <s v="…"/>
    <n v="288519671.85870522"/>
  </r>
  <r>
    <x v="0"/>
    <x v="88"/>
    <x v="88"/>
    <x v="1"/>
    <x v="0"/>
    <x v="1"/>
    <x v="4"/>
    <x v="4"/>
    <n v="2021"/>
    <x v="1"/>
    <s v="Cold Chain"/>
    <s v=""/>
    <s v="Confirmed"/>
    <m/>
    <x v="0"/>
    <x v="0"/>
    <m/>
    <x v="1"/>
    <x v="1"/>
    <m/>
    <n v="0"/>
    <x v="0"/>
    <s v="N/A"/>
    <n v="275606560.78491527"/>
  </r>
  <r>
    <x v="0"/>
    <x v="89"/>
    <x v="89"/>
    <x v="2"/>
    <x v="0"/>
    <x v="1"/>
    <x v="4"/>
    <x v="4"/>
    <n v="2021"/>
    <x v="1"/>
    <s v="Cold Chain"/>
    <s v=" $-   "/>
    <s v="Confirmed"/>
    <m/>
    <x v="0"/>
    <x v="0"/>
    <m/>
    <x v="2"/>
    <x v="0"/>
    <m/>
    <n v="0"/>
    <x v="0"/>
    <s v="N/A"/>
    <n v="2530937679.3725696"/>
  </r>
  <r>
    <x v="0"/>
    <x v="90"/>
    <x v="90"/>
    <x v="3"/>
    <x v="0"/>
    <x v="1"/>
    <x v="4"/>
    <x v="4"/>
    <n v="2021"/>
    <x v="1"/>
    <s v="Cold Chain"/>
    <n v="322906"/>
    <s v="Confirmed"/>
    <m/>
    <x v="0"/>
    <x v="0"/>
    <m/>
    <x v="0"/>
    <x v="0"/>
    <m/>
    <n v="0"/>
    <x v="0"/>
    <s v="In distress"/>
    <n v="251432156.86255455"/>
  </r>
  <r>
    <x v="0"/>
    <x v="91"/>
    <x v="91"/>
    <x v="6"/>
    <x v="0"/>
    <x v="1"/>
    <x v="4"/>
    <x v="4"/>
    <n v="2021"/>
    <x v="1"/>
    <s v="Cold Chain"/>
    <s v=" $-   "/>
    <s v="Confirmed"/>
    <m/>
    <x v="0"/>
    <x v="0"/>
    <m/>
    <x v="2"/>
    <x v="0"/>
    <m/>
    <n v="0"/>
    <x v="0"/>
    <s v="Low"/>
    <n v="471534500.60109437"/>
  </r>
  <r>
    <x v="0"/>
    <x v="92"/>
    <x v="92"/>
    <x v="3"/>
    <x v="0"/>
    <x v="1"/>
    <x v="4"/>
    <x v="4"/>
    <n v="2021"/>
    <x v="1"/>
    <s v="Cold Chain"/>
    <s v=""/>
    <s v="Confirmed"/>
    <m/>
    <x v="0"/>
    <x v="0"/>
    <m/>
    <x v="1"/>
    <x v="1"/>
    <m/>
    <n v="0"/>
    <x v="0"/>
    <s v=""/>
    <n v="531677611.80447447"/>
  </r>
  <r>
    <x v="0"/>
    <x v="93"/>
    <x v="93"/>
    <x v="6"/>
    <x v="0"/>
    <x v="1"/>
    <x v="4"/>
    <x v="4"/>
    <n v="2021"/>
    <x v="1"/>
    <s v="Cold Chain"/>
    <s v=""/>
    <s v="Confirmed"/>
    <m/>
    <x v="0"/>
    <x v="0"/>
    <m/>
    <x v="3"/>
    <x v="1"/>
    <m/>
    <n v="0"/>
    <x v="1"/>
    <s v=""/>
    <n v="8528751.6418357007"/>
  </r>
  <r>
    <x v="0"/>
    <x v="94"/>
    <x v="94"/>
    <x v="0"/>
    <x v="0"/>
    <x v="1"/>
    <x v="4"/>
    <x v="4"/>
    <n v="2021"/>
    <x v="1"/>
    <s v="Cold Chain"/>
    <n v="737464"/>
    <s v="Confirmed"/>
    <m/>
    <x v="0"/>
    <x v="0"/>
    <m/>
    <x v="2"/>
    <x v="0"/>
    <m/>
    <n v="0"/>
    <x v="0"/>
    <s v="Low"/>
    <n v="407084543.19089872"/>
  </r>
  <r>
    <x v="0"/>
    <x v="95"/>
    <x v="95"/>
    <x v="4"/>
    <x v="0"/>
    <x v="1"/>
    <x v="4"/>
    <x v="4"/>
    <n v="2021"/>
    <x v="1"/>
    <s v="Cold Chain"/>
    <n v="218802"/>
    <s v="Confirmed"/>
    <m/>
    <x v="0"/>
    <x v="0"/>
    <m/>
    <x v="2"/>
    <x v="0"/>
    <m/>
    <n v="0"/>
    <x v="0"/>
    <s v="Moderate"/>
    <n v="671998341.93592453"/>
  </r>
  <r>
    <x v="0"/>
    <x v="96"/>
    <x v="96"/>
    <x v="5"/>
    <x v="0"/>
    <x v="1"/>
    <x v="4"/>
    <x v="4"/>
    <n v="2021"/>
    <x v="1"/>
    <s v="Cold Chain"/>
    <n v="639701"/>
    <s v="Confirmed"/>
    <m/>
    <x v="0"/>
    <x v="0"/>
    <m/>
    <x v="0"/>
    <x v="0"/>
    <m/>
    <n v="1"/>
    <x v="0"/>
    <s v="Moderate"/>
    <n v="226203289.67158964"/>
  </r>
  <r>
    <x v="0"/>
    <x v="97"/>
    <x v="97"/>
    <x v="5"/>
    <x v="0"/>
    <x v="1"/>
    <x v="4"/>
    <x v="4"/>
    <n v="2021"/>
    <x v="1"/>
    <s v="Cold Chain"/>
    <n v="2554787"/>
    <s v="Confirmed"/>
    <m/>
    <x v="0"/>
    <x v="0"/>
    <m/>
    <x v="2"/>
    <x v="0"/>
    <m/>
    <n v="3"/>
    <x v="0"/>
    <s v="…"/>
    <n v="2438881113.1244688"/>
  </r>
  <r>
    <x v="0"/>
    <x v="98"/>
    <x v="98"/>
    <x v="1"/>
    <x v="0"/>
    <x v="1"/>
    <x v="4"/>
    <x v="4"/>
    <n v="2021"/>
    <x v="1"/>
    <s v="Cold Chain"/>
    <s v=""/>
    <s v="Confirmed"/>
    <m/>
    <x v="0"/>
    <x v="0"/>
    <m/>
    <x v="1"/>
    <x v="1"/>
    <m/>
    <n v="0"/>
    <x v="0"/>
    <s v=""/>
    <n v="476517795.73174149"/>
  </r>
  <r>
    <x v="0"/>
    <x v="99"/>
    <x v="99"/>
    <x v="0"/>
    <x v="0"/>
    <x v="1"/>
    <x v="4"/>
    <x v="4"/>
    <n v="2021"/>
    <x v="1"/>
    <s v="Cold Chain"/>
    <n v="2538909"/>
    <s v="Confirmed"/>
    <m/>
    <x v="0"/>
    <x v="0"/>
    <m/>
    <x v="2"/>
    <x v="0"/>
    <m/>
    <n v="0"/>
    <x v="0"/>
    <s v="…"/>
    <n v="3233351297.7679496"/>
  </r>
  <r>
    <x v="0"/>
    <x v="100"/>
    <x v="100"/>
    <x v="4"/>
    <x v="0"/>
    <x v="1"/>
    <x v="4"/>
    <x v="4"/>
    <n v="2021"/>
    <x v="1"/>
    <s v="Cold Chain"/>
    <s v=""/>
    <s v="Confirmed"/>
    <m/>
    <x v="0"/>
    <x v="0"/>
    <m/>
    <x v="3"/>
    <x v="1"/>
    <m/>
    <n v="0"/>
    <x v="1"/>
    <s v=""/>
    <n v="18180646.808608256"/>
  </r>
  <r>
    <x v="0"/>
    <x v="101"/>
    <x v="101"/>
    <x v="4"/>
    <x v="0"/>
    <x v="1"/>
    <x v="4"/>
    <x v="4"/>
    <n v="2021"/>
    <x v="1"/>
    <s v="Cold Chain"/>
    <s v=""/>
    <s v="Confirmed"/>
    <m/>
    <x v="0"/>
    <x v="0"/>
    <m/>
    <x v="1"/>
    <x v="1"/>
    <m/>
    <n v="0"/>
    <x v="0"/>
    <s v="N/A"/>
    <n v="3020530707.3485303"/>
  </r>
  <r>
    <x v="0"/>
    <x v="102"/>
    <x v="102"/>
    <x v="6"/>
    <x v="0"/>
    <x v="1"/>
    <x v="4"/>
    <x v="4"/>
    <n v="2021"/>
    <x v="1"/>
    <s v="Cold Chain"/>
    <n v="199349"/>
    <s v="Confirmed"/>
    <m/>
    <x v="0"/>
    <x v="0"/>
    <m/>
    <x v="2"/>
    <x v="0"/>
    <m/>
    <n v="1"/>
    <x v="1"/>
    <s v="High"/>
    <n v="384406316.46074712"/>
  </r>
  <r>
    <x v="0"/>
    <x v="103"/>
    <x v="103"/>
    <x v="4"/>
    <x v="0"/>
    <x v="1"/>
    <x v="4"/>
    <x v="4"/>
    <n v="2021"/>
    <x v="1"/>
    <s v="Cold Chain"/>
    <s v=""/>
    <s v="Confirmed"/>
    <m/>
    <x v="0"/>
    <x v="0"/>
    <m/>
    <x v="1"/>
    <x v="1"/>
    <m/>
    <n v="0"/>
    <x v="0"/>
    <s v=""/>
    <n v="1218747108.9554784"/>
  </r>
  <r>
    <x v="0"/>
    <x v="104"/>
    <x v="104"/>
    <x v="4"/>
    <x v="0"/>
    <x v="1"/>
    <x v="4"/>
    <x v="4"/>
    <n v="2021"/>
    <x v="1"/>
    <s v="Cold Chain"/>
    <s v=""/>
    <s v="Confirmed"/>
    <m/>
    <x v="0"/>
    <x v="0"/>
    <m/>
    <x v="1"/>
    <x v="1"/>
    <m/>
    <n v="0"/>
    <x v="0"/>
    <s v=""/>
    <n v="7392665952.5895758"/>
  </r>
  <r>
    <x v="0"/>
    <x v="105"/>
    <x v="105"/>
    <x v="6"/>
    <x v="0"/>
    <x v="1"/>
    <x v="4"/>
    <x v="4"/>
    <n v="2021"/>
    <x v="1"/>
    <s v="Cold Chain"/>
    <n v="1428676"/>
    <s v="Confirmed"/>
    <m/>
    <x v="0"/>
    <x v="0"/>
    <m/>
    <x v="2"/>
    <x v="0"/>
    <m/>
    <n v="0"/>
    <x v="0"/>
    <s v="N/A"/>
    <n v="4754985988.6004429"/>
  </r>
  <r>
    <x v="0"/>
    <x v="106"/>
    <x v="106"/>
    <x v="1"/>
    <x v="0"/>
    <x v="1"/>
    <x v="4"/>
    <x v="4"/>
    <n v="2021"/>
    <x v="1"/>
    <s v="Cold Chain"/>
    <s v=""/>
    <s v="Confirmed"/>
    <m/>
    <x v="0"/>
    <x v="0"/>
    <m/>
    <x v="3"/>
    <x v="1"/>
    <m/>
    <n v="0"/>
    <x v="0"/>
    <s v=""/>
    <n v="26422210443.037273"/>
  </r>
  <r>
    <x v="0"/>
    <x v="107"/>
    <x v="107"/>
    <x v="1"/>
    <x v="0"/>
    <x v="1"/>
    <x v="4"/>
    <x v="4"/>
    <n v="2021"/>
    <x v="1"/>
    <s v="Cold Chain"/>
    <s v=""/>
    <s v="Confirmed"/>
    <m/>
    <x v="0"/>
    <x v="0"/>
    <m/>
    <x v="1"/>
    <x v="1"/>
    <m/>
    <n v="0"/>
    <x v="0"/>
    <s v=""/>
    <n v="10696495313.15033"/>
  </r>
  <r>
    <x v="0"/>
    <x v="108"/>
    <x v="108"/>
    <x v="1"/>
    <x v="0"/>
    <x v="1"/>
    <x v="4"/>
    <x v="4"/>
    <n v="2021"/>
    <x v="1"/>
    <s v="Cold Chain"/>
    <s v=""/>
    <s v="Confirmed"/>
    <m/>
    <x v="0"/>
    <x v="0"/>
    <m/>
    <x v="1"/>
    <x v="1"/>
    <m/>
    <n v="0"/>
    <x v="0"/>
    <s v=""/>
    <n v="52769713433.240509"/>
  </r>
  <r>
    <x v="0"/>
    <x v="109"/>
    <x v="109"/>
    <x v="3"/>
    <x v="0"/>
    <x v="1"/>
    <x v="4"/>
    <x v="4"/>
    <n v="2021"/>
    <x v="1"/>
    <s v="Cold Chain"/>
    <n v="381994"/>
    <s v="Confirmed"/>
    <m/>
    <x v="0"/>
    <x v="0"/>
    <m/>
    <x v="0"/>
    <x v="0"/>
    <m/>
    <n v="0"/>
    <x v="0"/>
    <s v="Moderate"/>
    <n v="225799814.51943746"/>
  </r>
  <r>
    <x v="0"/>
    <x v="110"/>
    <x v="110"/>
    <x v="6"/>
    <x v="0"/>
    <x v="1"/>
    <x v="4"/>
    <x v="4"/>
    <n v="2021"/>
    <x v="1"/>
    <s v="Cold Chain"/>
    <s v=" $-   "/>
    <s v="Confirmed"/>
    <m/>
    <x v="0"/>
    <x v="0"/>
    <m/>
    <x v="2"/>
    <x v="0"/>
    <m/>
    <n v="0"/>
    <x v="1"/>
    <s v="High"/>
    <n v="32192988.027009469"/>
  </r>
  <r>
    <x v="0"/>
    <x v="111"/>
    <x v="111"/>
    <x v="5"/>
    <x v="0"/>
    <x v="1"/>
    <x v="4"/>
    <x v="4"/>
    <n v="2021"/>
    <x v="1"/>
    <s v="Cold Chain"/>
    <n v="91602"/>
    <s v="Confirmed"/>
    <m/>
    <x v="0"/>
    <x v="0"/>
    <m/>
    <x v="2"/>
    <x v="0"/>
    <m/>
    <n v="0"/>
    <x v="1"/>
    <s v="In distress"/>
    <n v="11633535.136477679"/>
  </r>
  <r>
    <x v="0"/>
    <x v="112"/>
    <x v="112"/>
    <x v="5"/>
    <x v="0"/>
    <x v="1"/>
    <x v="4"/>
    <x v="4"/>
    <n v="2021"/>
    <x v="1"/>
    <s v="Cold Chain"/>
    <n v="463070"/>
    <s v="Confirmed"/>
    <m/>
    <x v="0"/>
    <x v="0"/>
    <m/>
    <x v="2"/>
    <x v="0"/>
    <m/>
    <n v="2"/>
    <x v="0"/>
    <s v="Moderate"/>
    <n v="222008693.93354639"/>
  </r>
  <r>
    <x v="0"/>
    <x v="113"/>
    <x v="113"/>
    <x v="1"/>
    <x v="0"/>
    <x v="1"/>
    <x v="4"/>
    <x v="4"/>
    <n v="2021"/>
    <x v="1"/>
    <s v="Cold Chain"/>
    <s v=""/>
    <s v="Confirmed"/>
    <m/>
    <x v="0"/>
    <x v="0"/>
    <m/>
    <x v="1"/>
    <x v="1"/>
    <m/>
    <n v="0"/>
    <x v="0"/>
    <s v=""/>
    <n v="2564993795.1894679"/>
  </r>
  <r>
    <x v="0"/>
    <x v="114"/>
    <x v="114"/>
    <x v="3"/>
    <x v="0"/>
    <x v="1"/>
    <x v="4"/>
    <x v="4"/>
    <n v="2021"/>
    <x v="1"/>
    <s v="Cold Chain"/>
    <s v=""/>
    <s v="Confirmed"/>
    <m/>
    <x v="0"/>
    <x v="0"/>
    <m/>
    <x v="3"/>
    <x v="1"/>
    <m/>
    <n v="0"/>
    <x v="1"/>
    <s v="N/A"/>
    <n v="60237542.945069775"/>
  </r>
  <r>
    <x v="0"/>
    <x v="115"/>
    <x v="115"/>
    <x v="5"/>
    <x v="0"/>
    <x v="1"/>
    <x v="4"/>
    <x v="4"/>
    <n v="2021"/>
    <x v="1"/>
    <s v="Cold Chain"/>
    <n v="279827"/>
    <s v="Confirmed"/>
    <m/>
    <x v="0"/>
    <x v="0"/>
    <m/>
    <x v="0"/>
    <x v="0"/>
    <m/>
    <n v="0"/>
    <x v="0"/>
    <s v="High"/>
    <n v="63738640.538260505"/>
  </r>
  <r>
    <x v="0"/>
    <x v="116"/>
    <x v="116"/>
    <x v="6"/>
    <x v="0"/>
    <x v="1"/>
    <x v="4"/>
    <x v="4"/>
    <n v="2021"/>
    <x v="1"/>
    <s v="Cold Chain"/>
    <s v=" $-   "/>
    <s v="Confirmed"/>
    <m/>
    <x v="0"/>
    <x v="0"/>
    <m/>
    <x v="2"/>
    <x v="0"/>
    <m/>
    <n v="0"/>
    <x v="1"/>
    <s v="Moderate"/>
    <n v="49012774.055630356"/>
  </r>
  <r>
    <x v="0"/>
    <x v="117"/>
    <x v="117"/>
    <x v="3"/>
    <x v="0"/>
    <x v="1"/>
    <x v="4"/>
    <x v="4"/>
    <n v="2021"/>
    <x v="1"/>
    <s v="Cold Chain"/>
    <n v="455449"/>
    <s v="Confirmed"/>
    <m/>
    <x v="0"/>
    <x v="0"/>
    <m/>
    <x v="0"/>
    <x v="0"/>
    <m/>
    <n v="1"/>
    <x v="0"/>
    <s v="In distress"/>
    <s v=""/>
  </r>
  <r>
    <x v="0"/>
    <x v="118"/>
    <x v="118"/>
    <x v="3"/>
    <x v="0"/>
    <x v="1"/>
    <x v="4"/>
    <x v="4"/>
    <n v="2021"/>
    <x v="1"/>
    <s v="Cold Chain"/>
    <s v=""/>
    <s v="Confirmed"/>
    <m/>
    <x v="0"/>
    <x v="0"/>
    <m/>
    <x v="1"/>
    <x v="1"/>
    <m/>
    <n v="0"/>
    <x v="0"/>
    <s v="N/A"/>
    <n v="16429121142.784708"/>
  </r>
  <r>
    <x v="0"/>
    <x v="119"/>
    <x v="119"/>
    <x v="3"/>
    <x v="0"/>
    <x v="1"/>
    <x v="4"/>
    <x v="4"/>
    <n v="2021"/>
    <x v="1"/>
    <s v="Cold Chain"/>
    <n v="344160"/>
    <s v="Confirmed"/>
    <m/>
    <x v="0"/>
    <x v="0"/>
    <m/>
    <x v="0"/>
    <x v="0"/>
    <m/>
    <n v="1"/>
    <x v="0"/>
    <s v="High"/>
    <n v="31684581.76217727"/>
  </r>
  <r>
    <x v="0"/>
    <x v="120"/>
    <x v="120"/>
    <x v="0"/>
    <x v="0"/>
    <x v="1"/>
    <x v="4"/>
    <x v="4"/>
    <n v="2021"/>
    <x v="1"/>
    <s v="Cold Chain"/>
    <n v="374093"/>
    <s v="Confirmed"/>
    <m/>
    <x v="0"/>
    <x v="0"/>
    <m/>
    <x v="2"/>
    <x v="0"/>
    <m/>
    <n v="0"/>
    <x v="0"/>
    <s v="N/A"/>
    <n v="1373621563.5182886"/>
  </r>
  <r>
    <x v="0"/>
    <x v="121"/>
    <x v="121"/>
    <x v="4"/>
    <x v="0"/>
    <x v="1"/>
    <x v="4"/>
    <x v="4"/>
    <n v="2021"/>
    <x v="1"/>
    <s v="Cold Chain"/>
    <s v=""/>
    <s v="Confirmed"/>
    <m/>
    <x v="0"/>
    <x v="0"/>
    <m/>
    <x v="3"/>
    <x v="1"/>
    <m/>
    <n v="0"/>
    <x v="1"/>
    <s v=""/>
    <n v="24214370.889062837"/>
  </r>
  <r>
    <x v="0"/>
    <x v="122"/>
    <x v="122"/>
    <x v="4"/>
    <x v="0"/>
    <x v="1"/>
    <x v="4"/>
    <x v="4"/>
    <n v="2021"/>
    <x v="1"/>
    <s v="Cold Chain"/>
    <s v=" $-   "/>
    <s v="Confirmed"/>
    <m/>
    <x v="0"/>
    <x v="0"/>
    <m/>
    <x v="1"/>
    <x v="0"/>
    <m/>
    <n v="0"/>
    <x v="1"/>
    <s v="…"/>
    <n v="39941279.609447442"/>
  </r>
  <r>
    <x v="0"/>
    <x v="123"/>
    <x v="123"/>
    <x v="4"/>
    <x v="0"/>
    <x v="1"/>
    <x v="4"/>
    <x v="4"/>
    <n v="2021"/>
    <x v="1"/>
    <s v="Cold Chain"/>
    <s v=" $-   "/>
    <s v="Confirmed"/>
    <m/>
    <x v="0"/>
    <x v="0"/>
    <m/>
    <x v="1"/>
    <x v="0"/>
    <m/>
    <n v="0"/>
    <x v="1"/>
    <s v="High"/>
    <n v="24761675.260059897"/>
  </r>
  <r>
    <x v="0"/>
    <x v="124"/>
    <x v="124"/>
    <x v="2"/>
    <x v="0"/>
    <x v="1"/>
    <x v="4"/>
    <x v="4"/>
    <n v="2021"/>
    <x v="1"/>
    <s v="Cold Chain"/>
    <s v=" $-   "/>
    <s v="Confirmed"/>
    <m/>
    <x v="0"/>
    <x v="0"/>
    <m/>
    <x v="2"/>
    <x v="0"/>
    <m/>
    <n v="0"/>
    <x v="0"/>
    <s v="N/A"/>
    <s v=""/>
  </r>
  <r>
    <x v="0"/>
    <x v="125"/>
    <x v="125"/>
    <x v="2"/>
    <x v="0"/>
    <x v="1"/>
    <x v="4"/>
    <x v="4"/>
    <n v="2021"/>
    <x v="1"/>
    <s v="Cold Chain"/>
    <n v="936629"/>
    <s v="Confirmed"/>
    <m/>
    <x v="0"/>
    <x v="0"/>
    <m/>
    <x v="0"/>
    <x v="0"/>
    <m/>
    <n v="1"/>
    <x v="0"/>
    <s v="N/A"/>
    <n v="577156172.71229994"/>
  </r>
  <r>
    <x v="0"/>
    <x v="126"/>
    <x v="126"/>
    <x v="6"/>
    <x v="0"/>
    <x v="1"/>
    <x v="4"/>
    <x v="4"/>
    <n v="2021"/>
    <x v="1"/>
    <s v="Cold Chain"/>
    <s v=""/>
    <s v="Confirmed"/>
    <m/>
    <x v="0"/>
    <x v="0"/>
    <m/>
    <x v="1"/>
    <x v="1"/>
    <m/>
    <n v="0"/>
    <x v="1"/>
    <s v=""/>
    <n v="180052034.19851837"/>
  </r>
  <r>
    <x v="0"/>
    <x v="127"/>
    <x v="127"/>
    <x v="2"/>
    <x v="0"/>
    <x v="1"/>
    <x v="4"/>
    <x v="4"/>
    <n v="2021"/>
    <x v="1"/>
    <s v="Cold Chain"/>
    <n v="340991"/>
    <s v="Confirmed"/>
    <m/>
    <x v="0"/>
    <x v="0"/>
    <m/>
    <x v="0"/>
    <x v="0"/>
    <m/>
    <n v="1"/>
    <x v="0"/>
    <s v="N/A"/>
    <s v=""/>
  </r>
  <r>
    <x v="0"/>
    <x v="128"/>
    <x v="128"/>
    <x v="1"/>
    <x v="0"/>
    <x v="1"/>
    <x v="4"/>
    <x v="4"/>
    <n v="2021"/>
    <x v="1"/>
    <s v="Cold Chain"/>
    <n v="365913"/>
    <s v="Confirmed"/>
    <m/>
    <x v="0"/>
    <x v="0"/>
    <m/>
    <x v="2"/>
    <x v="0"/>
    <m/>
    <n v="0"/>
    <x v="0"/>
    <s v="High"/>
    <n v="147296124.32232863"/>
  </r>
  <r>
    <x v="0"/>
    <x v="129"/>
    <x v="129"/>
    <x v="3"/>
    <x v="0"/>
    <x v="1"/>
    <x v="4"/>
    <x v="4"/>
    <n v="2021"/>
    <x v="1"/>
    <s v="Cold Chain"/>
    <n v="1266103"/>
    <s v="Confirmed"/>
    <m/>
    <x v="0"/>
    <x v="0"/>
    <m/>
    <x v="2"/>
    <x v="0"/>
    <m/>
    <n v="0"/>
    <x v="0"/>
    <s v="…"/>
    <n v="890576536.83065879"/>
  </r>
  <r>
    <x v="0"/>
    <x v="130"/>
    <x v="130"/>
    <x v="6"/>
    <x v="0"/>
    <x v="1"/>
    <x v="4"/>
    <x v="4"/>
    <n v="2021"/>
    <x v="1"/>
    <s v="Cold Chain"/>
    <s v=""/>
    <s v="Confirmed"/>
    <m/>
    <x v="0"/>
    <x v="0"/>
    <m/>
    <x v="1"/>
    <x v="1"/>
    <m/>
    <n v="0"/>
    <x v="0"/>
    <s v=""/>
    <n v="14611129792.346064"/>
  </r>
  <r>
    <x v="0"/>
    <x v="131"/>
    <x v="131"/>
    <x v="6"/>
    <x v="0"/>
    <x v="1"/>
    <x v="4"/>
    <x v="4"/>
    <n v="2021"/>
    <x v="1"/>
    <s v="Cold Chain"/>
    <n v="50361"/>
    <s v="Confirmed"/>
    <m/>
    <x v="0"/>
    <x v="0"/>
    <m/>
    <x v="2"/>
    <x v="0"/>
    <m/>
    <n v="0"/>
    <x v="1"/>
    <s v="Low"/>
    <n v="72046877.233008593"/>
  </r>
  <r>
    <x v="0"/>
    <x v="132"/>
    <x v="132"/>
    <x v="5"/>
    <x v="0"/>
    <x v="1"/>
    <x v="4"/>
    <x v="4"/>
    <n v="2021"/>
    <x v="1"/>
    <s v="Cold Chain"/>
    <n v="283310"/>
    <s v="Confirmed"/>
    <m/>
    <x v="0"/>
    <x v="0"/>
    <m/>
    <x v="0"/>
    <x v="0"/>
    <m/>
    <n v="0"/>
    <x v="0"/>
    <s v="High"/>
    <n v="56248139.267255567"/>
  </r>
  <r>
    <x v="0"/>
    <x v="133"/>
    <x v="133"/>
    <x v="6"/>
    <x v="0"/>
    <x v="1"/>
    <x v="4"/>
    <x v="4"/>
    <n v="2021"/>
    <x v="1"/>
    <s v="Cold Chain"/>
    <s v=" $-   "/>
    <s v="Confirmed"/>
    <m/>
    <x v="0"/>
    <x v="0"/>
    <m/>
    <x v="1"/>
    <x v="0"/>
    <m/>
    <n v="0"/>
    <x v="1"/>
    <s v="High"/>
    <n v="15464031.712942109"/>
  </r>
  <r>
    <x v="0"/>
    <x v="134"/>
    <x v="134"/>
    <x v="4"/>
    <x v="0"/>
    <x v="1"/>
    <x v="4"/>
    <x v="4"/>
    <n v="2021"/>
    <x v="1"/>
    <s v="Cold Chain"/>
    <s v=""/>
    <s v="Confirmed"/>
    <m/>
    <x v="0"/>
    <x v="0"/>
    <m/>
    <x v="3"/>
    <x v="1"/>
    <m/>
    <n v="0"/>
    <x v="1"/>
    <s v="N/A"/>
    <n v="769564399.33249676"/>
  </r>
  <r>
    <x v="0"/>
    <x v="135"/>
    <x v="135"/>
    <x v="2"/>
    <x v="0"/>
    <x v="1"/>
    <x v="4"/>
    <x v="4"/>
    <n v="2021"/>
    <x v="1"/>
    <s v="Cold Chain"/>
    <n v="275648"/>
    <s v="Confirmed"/>
    <m/>
    <x v="0"/>
    <x v="0"/>
    <m/>
    <x v="2"/>
    <x v="0"/>
    <m/>
    <n v="0"/>
    <x v="0"/>
    <s v="N/A"/>
    <n v="1668954539.7630196"/>
  </r>
  <r>
    <x v="0"/>
    <x v="136"/>
    <x v="136"/>
    <x v="1"/>
    <x v="0"/>
    <x v="1"/>
    <x v="4"/>
    <x v="4"/>
    <n v="2021"/>
    <x v="1"/>
    <s v="Cold Chain"/>
    <s v=""/>
    <s v="Confirmed"/>
    <m/>
    <x v="0"/>
    <x v="0"/>
    <m/>
    <x v="1"/>
    <x v="1"/>
    <m/>
    <n v="0"/>
    <x v="0"/>
    <s v=""/>
    <n v="24840920016.18832"/>
  </r>
  <r>
    <x v="0"/>
    <x v="137"/>
    <x v="137"/>
    <x v="1"/>
    <x v="0"/>
    <x v="1"/>
    <x v="4"/>
    <x v="4"/>
    <n v="2021"/>
    <x v="1"/>
    <s v="Cold Chain"/>
    <s v=""/>
    <s v="Confirmed"/>
    <m/>
    <x v="0"/>
    <x v="0"/>
    <m/>
    <x v="1"/>
    <x v="1"/>
    <m/>
    <n v="0"/>
    <x v="0"/>
    <s v="N/A"/>
    <n v="487888462.83720118"/>
  </r>
  <r>
    <x v="0"/>
    <x v="138"/>
    <x v="138"/>
    <x v="6"/>
    <x v="0"/>
    <x v="1"/>
    <x v="4"/>
    <x v="4"/>
    <n v="2021"/>
    <x v="1"/>
    <s v="Cold Chain"/>
    <s v=" $-   "/>
    <s v="Confirmed"/>
    <m/>
    <x v="0"/>
    <x v="0"/>
    <m/>
    <x v="1"/>
    <x v="0"/>
    <m/>
    <n v="0"/>
    <x v="1"/>
    <s v="…"/>
    <n v="6365061.1736073596"/>
  </r>
  <r>
    <x v="0"/>
    <x v="139"/>
    <x v="139"/>
    <x v="3"/>
    <x v="0"/>
    <x v="1"/>
    <x v="4"/>
    <x v="4"/>
    <n v="2021"/>
    <x v="1"/>
    <s v="Cold Chain"/>
    <n v="1044909"/>
    <s v="Confirmed"/>
    <m/>
    <x v="0"/>
    <x v="0"/>
    <m/>
    <x v="0"/>
    <x v="0"/>
    <m/>
    <n v="2"/>
    <x v="0"/>
    <s v="Low"/>
    <n v="291799092.90196139"/>
  </r>
  <r>
    <x v="0"/>
    <x v="140"/>
    <x v="140"/>
    <x v="1"/>
    <x v="0"/>
    <x v="1"/>
    <x v="4"/>
    <x v="4"/>
    <n v="2021"/>
    <x v="1"/>
    <s v="Cold Chain"/>
    <n v="681003"/>
    <s v="Confirmed"/>
    <m/>
    <x v="0"/>
    <x v="0"/>
    <m/>
    <x v="2"/>
    <x v="0"/>
    <m/>
    <n v="0"/>
    <x v="0"/>
    <s v="N/A"/>
    <n v="4844815340.2135534"/>
  </r>
  <r>
    <x v="0"/>
    <x v="141"/>
    <x v="141"/>
    <x v="4"/>
    <x v="0"/>
    <x v="1"/>
    <x v="4"/>
    <x v="4"/>
    <n v="2021"/>
    <x v="1"/>
    <s v="Cold Chain"/>
    <s v=""/>
    <s v="Confirmed"/>
    <m/>
    <x v="0"/>
    <x v="0"/>
    <m/>
    <x v="3"/>
    <x v="1"/>
    <m/>
    <n v="0"/>
    <x v="0"/>
    <s v=""/>
    <n v="4001891446.6871672"/>
  </r>
  <r>
    <x v="0"/>
    <x v="142"/>
    <x v="142"/>
    <x v="1"/>
    <x v="0"/>
    <x v="1"/>
    <x v="4"/>
    <x v="4"/>
    <n v="2021"/>
    <x v="1"/>
    <s v="Cold Chain"/>
    <n v="949999"/>
    <s v="Confirmed"/>
    <m/>
    <x v="0"/>
    <x v="0"/>
    <m/>
    <x v="2"/>
    <x v="0"/>
    <m/>
    <n v="0"/>
    <x v="0"/>
    <s v="Low"/>
    <n v="1019800630.5853213"/>
  </r>
  <r>
    <x v="0"/>
    <x v="143"/>
    <x v="143"/>
    <x v="6"/>
    <x v="0"/>
    <x v="1"/>
    <x v="4"/>
    <x v="4"/>
    <n v="2021"/>
    <x v="1"/>
    <s v="Cold Chain"/>
    <s v=" $-   "/>
    <s v="Confirmed"/>
    <m/>
    <x v="0"/>
    <x v="0"/>
    <m/>
    <x v="2"/>
    <x v="0"/>
    <m/>
    <n v="0"/>
    <x v="1"/>
    <s v="Moderate"/>
    <n v="19578671.310841195"/>
  </r>
  <r>
    <x v="0"/>
    <x v="144"/>
    <x v="144"/>
    <x v="4"/>
    <x v="0"/>
    <x v="1"/>
    <x v="4"/>
    <x v="4"/>
    <n v="2021"/>
    <x v="1"/>
    <s v="Cold Chain"/>
    <s v=""/>
    <s v="Confirmed"/>
    <m/>
    <x v="0"/>
    <x v="0"/>
    <m/>
    <x v="4"/>
    <x v="1"/>
    <m/>
    <n v="0"/>
    <x v="0"/>
    <s v="N/A"/>
    <n v="3551452001.0684834"/>
  </r>
  <r>
    <x v="0"/>
    <x v="145"/>
    <x v="145"/>
    <x v="6"/>
    <x v="0"/>
    <x v="1"/>
    <x v="4"/>
    <x v="4"/>
    <n v="2021"/>
    <x v="1"/>
    <s v="Cold Chain"/>
    <n v="1230395"/>
    <s v="Confirmed"/>
    <m/>
    <x v="0"/>
    <x v="0"/>
    <m/>
    <x v="2"/>
    <x v="0"/>
    <m/>
    <n v="0"/>
    <x v="0"/>
    <s v="N/A"/>
    <n v="6603048821.7575006"/>
  </r>
  <r>
    <x v="0"/>
    <x v="146"/>
    <x v="146"/>
    <x v="2"/>
    <x v="0"/>
    <x v="1"/>
    <x v="4"/>
    <x v="4"/>
    <n v="2021"/>
    <x v="1"/>
    <s v="Cold Chain"/>
    <n v="738190"/>
    <s v="Confirmed"/>
    <m/>
    <x v="0"/>
    <x v="0"/>
    <m/>
    <x v="0"/>
    <x v="0"/>
    <m/>
    <n v="1"/>
    <x v="0"/>
    <s v="…"/>
    <s v=""/>
  </r>
  <r>
    <x v="0"/>
    <x v="147"/>
    <x v="147"/>
    <x v="3"/>
    <x v="0"/>
    <x v="1"/>
    <x v="4"/>
    <x v="4"/>
    <n v="2021"/>
    <x v="1"/>
    <s v="Cold Chain"/>
    <n v="520291"/>
    <s v="Confirmed"/>
    <m/>
    <x v="0"/>
    <x v="0"/>
    <m/>
    <x v="2"/>
    <x v="0"/>
    <m/>
    <n v="0"/>
    <x v="0"/>
    <s v="High"/>
    <n v="515352723.9821828"/>
  </r>
  <r>
    <x v="0"/>
    <x v="148"/>
    <x v="148"/>
    <x v="3"/>
    <x v="0"/>
    <x v="1"/>
    <x v="4"/>
    <x v="4"/>
    <n v="2021"/>
    <x v="1"/>
    <s v="Cold Chain"/>
    <s v=" $-   "/>
    <s v="Confirmed"/>
    <m/>
    <x v="0"/>
    <x v="0"/>
    <m/>
    <x v="2"/>
    <x v="0"/>
    <m/>
    <n v="0"/>
    <x v="0"/>
    <s v="N/A"/>
    <n v="566711742.22428358"/>
  </r>
  <r>
    <x v="0"/>
    <x v="0"/>
    <x v="0"/>
    <x v="0"/>
    <x v="0"/>
    <x v="1"/>
    <x v="5"/>
    <x v="4"/>
    <n v="2021"/>
    <x v="1"/>
    <s v="N/A"/>
    <n v="7900000"/>
    <s v="Confirmed"/>
    <n v="7481878"/>
    <x v="0"/>
    <x v="0"/>
    <m/>
    <x v="0"/>
    <x v="0"/>
    <m/>
    <n v="1"/>
    <x v="0"/>
    <s v="High"/>
    <n v="95829480.719269618"/>
  </r>
  <r>
    <x v="0"/>
    <x v="1"/>
    <x v="1"/>
    <x v="1"/>
    <x v="0"/>
    <x v="1"/>
    <x v="5"/>
    <x v="5"/>
    <n v="2021"/>
    <x v="1"/>
    <s v="N/A"/>
    <s v=""/>
    <s v="Confirmed"/>
    <s v=""/>
    <x v="0"/>
    <x v="0"/>
    <m/>
    <x v="1"/>
    <x v="1"/>
    <m/>
    <n v="0"/>
    <x v="0"/>
    <s v=""/>
    <n v="427904035.52443534"/>
  </r>
  <r>
    <x v="0"/>
    <x v="2"/>
    <x v="2"/>
    <x v="2"/>
    <x v="0"/>
    <x v="1"/>
    <x v="5"/>
    <x v="6"/>
    <n v="2021"/>
    <x v="1"/>
    <s v="N/A"/>
    <n v="847780"/>
    <s v="Confirmed"/>
    <n v="847780"/>
    <x v="0"/>
    <x v="0"/>
    <m/>
    <x v="2"/>
    <x v="0"/>
    <m/>
    <n v="0"/>
    <x v="0"/>
    <s v="N/A"/>
    <n v="7113361022.7267885"/>
  </r>
  <r>
    <x v="0"/>
    <x v="3"/>
    <x v="3"/>
    <x v="3"/>
    <x v="0"/>
    <x v="1"/>
    <x v="5"/>
    <x v="4"/>
    <n v="2021"/>
    <x v="1"/>
    <s v="N/A"/>
    <n v="3845583"/>
    <s v="Confirmed"/>
    <n v="3845583"/>
    <x v="0"/>
    <x v="0"/>
    <m/>
    <x v="2"/>
    <x v="0"/>
    <m/>
    <n v="0"/>
    <x v="0"/>
    <s v="…"/>
    <n v="1131865946.5875781"/>
  </r>
  <r>
    <x v="0"/>
    <x v="4"/>
    <x v="4"/>
    <x v="4"/>
    <x v="0"/>
    <x v="1"/>
    <x v="5"/>
    <x v="5"/>
    <n v="2021"/>
    <x v="1"/>
    <s v="N/A"/>
    <s v=""/>
    <s v="Confirmed"/>
    <s v=""/>
    <x v="0"/>
    <x v="0"/>
    <m/>
    <x v="3"/>
    <x v="1"/>
    <m/>
    <n v="0"/>
    <x v="1"/>
    <s v=""/>
    <n v="46777779.823447868"/>
  </r>
  <r>
    <x v="0"/>
    <x v="5"/>
    <x v="5"/>
    <x v="4"/>
    <x v="0"/>
    <x v="1"/>
    <x v="5"/>
    <x v="5"/>
    <n v="2021"/>
    <x v="1"/>
    <s v="N/A"/>
    <s v=""/>
    <s v="Confirmed"/>
    <s v=""/>
    <x v="0"/>
    <x v="0"/>
    <m/>
    <x v="1"/>
    <x v="1"/>
    <m/>
    <n v="0"/>
    <x v="0"/>
    <s v=""/>
    <n v="30725305777.596794"/>
  </r>
  <r>
    <x v="0"/>
    <x v="6"/>
    <x v="6"/>
    <x v="1"/>
    <x v="0"/>
    <x v="1"/>
    <x v="5"/>
    <x v="5"/>
    <n v="2021"/>
    <x v="1"/>
    <s v="N/A"/>
    <s v=""/>
    <s v="Confirmed"/>
    <s v=""/>
    <x v="0"/>
    <x v="0"/>
    <m/>
    <x v="1"/>
    <x v="1"/>
    <m/>
    <n v="0"/>
    <x v="0"/>
    <s v=""/>
    <n v="153815827.8380394"/>
  </r>
  <r>
    <x v="0"/>
    <x v="7"/>
    <x v="7"/>
    <x v="1"/>
    <x v="0"/>
    <x v="1"/>
    <x v="5"/>
    <x v="5"/>
    <n v="2021"/>
    <x v="1"/>
    <s v="N/A"/>
    <s v=""/>
    <s v="Confirmed"/>
    <s v=""/>
    <x v="0"/>
    <x v="0"/>
    <m/>
    <x v="1"/>
    <x v="1"/>
    <m/>
    <n v="0"/>
    <x v="0"/>
    <s v="N/A"/>
    <n v="437525105.31216973"/>
  </r>
  <r>
    <x v="0"/>
    <x v="8"/>
    <x v="8"/>
    <x v="4"/>
    <x v="0"/>
    <x v="1"/>
    <x v="5"/>
    <x v="5"/>
    <n v="2021"/>
    <x v="1"/>
    <s v="N/A"/>
    <s v=""/>
    <s v="Confirmed"/>
    <s v=""/>
    <x v="0"/>
    <x v="0"/>
    <m/>
    <x v="3"/>
    <x v="1"/>
    <m/>
    <n v="0"/>
    <x v="1"/>
    <s v=""/>
    <n v="149463302.00602186"/>
  </r>
  <r>
    <x v="0"/>
    <x v="9"/>
    <x v="9"/>
    <x v="0"/>
    <x v="0"/>
    <x v="1"/>
    <x v="5"/>
    <x v="4"/>
    <n v="2021"/>
    <x v="1"/>
    <s v="N/A"/>
    <n v="10151221"/>
    <s v="Confirmed"/>
    <n v="10151220"/>
    <x v="0"/>
    <x v="0"/>
    <m/>
    <x v="2"/>
    <x v="0"/>
    <m/>
    <n v="0"/>
    <x v="0"/>
    <s v="Low"/>
    <n v="1148322593.9600098"/>
  </r>
  <r>
    <x v="0"/>
    <x v="10"/>
    <x v="10"/>
    <x v="1"/>
    <x v="0"/>
    <x v="1"/>
    <x v="5"/>
    <x v="5"/>
    <n v="2021"/>
    <x v="1"/>
    <s v="N/A"/>
    <s v=""/>
    <s v="Confirmed"/>
    <s v=""/>
    <x v="0"/>
    <x v="0"/>
    <m/>
    <x v="1"/>
    <x v="1"/>
    <m/>
    <n v="0"/>
    <x v="0"/>
    <s v=""/>
    <n v="2371102058.1093163"/>
  </r>
  <r>
    <x v="0"/>
    <x v="11"/>
    <x v="11"/>
    <x v="4"/>
    <x v="0"/>
    <x v="1"/>
    <x v="5"/>
    <x v="5"/>
    <n v="2021"/>
    <x v="1"/>
    <s v="N/A"/>
    <s v=""/>
    <s v="Confirmed"/>
    <s v=""/>
    <x v="0"/>
    <x v="0"/>
    <m/>
    <x v="2"/>
    <x v="1"/>
    <m/>
    <n v="0"/>
    <x v="1"/>
    <s v="N/A"/>
    <n v="75151620.005215243"/>
  </r>
  <r>
    <x v="0"/>
    <x v="12"/>
    <x v="12"/>
    <x v="5"/>
    <x v="0"/>
    <x v="1"/>
    <x v="5"/>
    <x v="4"/>
    <n v="2021"/>
    <x v="1"/>
    <s v="N/A"/>
    <n v="1974300"/>
    <s v="Confirmed"/>
    <n v="1974291"/>
    <x v="0"/>
    <x v="0"/>
    <m/>
    <x v="2"/>
    <x v="0"/>
    <m/>
    <n v="0"/>
    <x v="0"/>
    <s v="Moderate"/>
    <n v="69958487.197715744"/>
  </r>
  <r>
    <x v="0"/>
    <x v="13"/>
    <x v="13"/>
    <x v="0"/>
    <x v="0"/>
    <x v="1"/>
    <x v="5"/>
    <x v="6"/>
    <n v="2021"/>
    <x v="1"/>
    <s v="N/A"/>
    <n v="230000"/>
    <s v="Confirmed"/>
    <n v="230000"/>
    <x v="0"/>
    <x v="0"/>
    <m/>
    <x v="2"/>
    <x v="0"/>
    <m/>
    <n v="0"/>
    <x v="0"/>
    <s v="…"/>
    <n v="61654608.560629159"/>
  </r>
  <r>
    <x v="0"/>
    <x v="14"/>
    <x v="14"/>
    <x v="4"/>
    <x v="0"/>
    <x v="1"/>
    <x v="5"/>
    <x v="6"/>
    <n v="2021"/>
    <x v="1"/>
    <s v="N/A"/>
    <n v="920000"/>
    <s v="Confirmed"/>
    <n v="920000"/>
    <x v="0"/>
    <x v="0"/>
    <m/>
    <x v="2"/>
    <x v="0"/>
    <m/>
    <n v="0"/>
    <x v="0"/>
    <s v="N/A"/>
    <n v="1806638707.7615163"/>
  </r>
  <r>
    <x v="0"/>
    <x v="15"/>
    <x v="15"/>
    <x v="1"/>
    <x v="0"/>
    <x v="1"/>
    <x v="5"/>
    <x v="5"/>
    <n v="2021"/>
    <x v="1"/>
    <s v="N/A"/>
    <s v=""/>
    <s v="Confirmed"/>
    <s v=""/>
    <x v="0"/>
    <x v="0"/>
    <m/>
    <x v="1"/>
    <x v="1"/>
    <m/>
    <n v="0"/>
    <x v="0"/>
    <s v="N/A"/>
    <n v="1252696525.0627904"/>
  </r>
  <r>
    <x v="0"/>
    <x v="16"/>
    <x v="16"/>
    <x v="3"/>
    <x v="0"/>
    <x v="1"/>
    <x v="5"/>
    <x v="5"/>
    <n v="2021"/>
    <x v="1"/>
    <s v="N/A"/>
    <s v=""/>
    <s v="Confirmed"/>
    <s v=""/>
    <x v="0"/>
    <x v="0"/>
    <m/>
    <x v="1"/>
    <x v="1"/>
    <m/>
    <n v="0"/>
    <x v="0"/>
    <s v=""/>
    <n v="843425084.07334602"/>
  </r>
  <r>
    <x v="0"/>
    <x v="17"/>
    <x v="17"/>
    <x v="4"/>
    <x v="0"/>
    <x v="1"/>
    <x v="5"/>
    <x v="5"/>
    <n v="2021"/>
    <x v="1"/>
    <s v="N/A"/>
    <s v=""/>
    <s v="Confirmed"/>
    <s v=""/>
    <x v="0"/>
    <x v="0"/>
    <m/>
    <x v="1"/>
    <x v="1"/>
    <m/>
    <n v="0"/>
    <x v="0"/>
    <s v="N/A"/>
    <n v="74055620038.853683"/>
  </r>
  <r>
    <x v="0"/>
    <x v="18"/>
    <x v="18"/>
    <x v="1"/>
    <x v="0"/>
    <x v="1"/>
    <x v="5"/>
    <x v="5"/>
    <n v="2021"/>
    <x v="1"/>
    <s v="N/A"/>
    <s v=""/>
    <s v="Confirmed"/>
    <s v=""/>
    <x v="0"/>
    <x v="0"/>
    <m/>
    <x v="1"/>
    <x v="1"/>
    <m/>
    <n v="0"/>
    <x v="0"/>
    <s v=""/>
    <n v="2803357765.5888777"/>
  </r>
  <r>
    <x v="0"/>
    <x v="19"/>
    <x v="19"/>
    <x v="5"/>
    <x v="0"/>
    <x v="1"/>
    <x v="5"/>
    <x v="4"/>
    <n v="2021"/>
    <x v="1"/>
    <s v="N/A"/>
    <n v="1144242"/>
    <s v="Confirmed"/>
    <n v="1144242"/>
    <x v="0"/>
    <x v="0"/>
    <m/>
    <x v="0"/>
    <x v="0"/>
    <m/>
    <n v="2"/>
    <x v="0"/>
    <s v="Moderate"/>
    <n v="337927779.25510043"/>
  </r>
  <r>
    <x v="0"/>
    <x v="20"/>
    <x v="20"/>
    <x v="3"/>
    <x v="0"/>
    <x v="1"/>
    <x v="5"/>
    <x v="5"/>
    <n v="2021"/>
    <x v="1"/>
    <s v="N/A"/>
    <s v=""/>
    <s v="Confirmed"/>
    <s v=""/>
    <x v="0"/>
    <x v="0"/>
    <m/>
    <x v="0"/>
    <x v="0"/>
    <m/>
    <n v="2"/>
    <x v="0"/>
    <s v="…"/>
    <n v="65979512.47399316"/>
  </r>
  <r>
    <x v="0"/>
    <x v="21"/>
    <x v="21"/>
    <x v="5"/>
    <x v="0"/>
    <x v="1"/>
    <x v="5"/>
    <x v="6"/>
    <n v="2021"/>
    <x v="1"/>
    <s v="N/A"/>
    <n v="72358"/>
    <s v="Confirmed"/>
    <n v="72358"/>
    <x v="0"/>
    <x v="0"/>
    <m/>
    <x v="2"/>
    <x v="0"/>
    <m/>
    <n v="0"/>
    <x v="1"/>
    <s v="High"/>
    <n v="63748362.778827004"/>
  </r>
  <r>
    <x v="0"/>
    <x v="22"/>
    <x v="22"/>
    <x v="6"/>
    <x v="0"/>
    <x v="1"/>
    <x v="5"/>
    <x v="4"/>
    <n v="2021"/>
    <x v="1"/>
    <s v="N/A"/>
    <n v="1299795"/>
    <s v="Confirmed"/>
    <n v="1238955"/>
    <x v="0"/>
    <x v="0"/>
    <m/>
    <x v="2"/>
    <x v="0"/>
    <m/>
    <n v="0"/>
    <x v="0"/>
    <s v="Low"/>
    <n v="313039649.45369786"/>
  </r>
  <r>
    <x v="0"/>
    <x v="23"/>
    <x v="23"/>
    <x v="5"/>
    <x v="0"/>
    <x v="1"/>
    <x v="5"/>
    <x v="4"/>
    <n v="2021"/>
    <x v="1"/>
    <s v="N/A"/>
    <n v="5507618"/>
    <s v="Confirmed"/>
    <n v="5427618"/>
    <x v="0"/>
    <x v="0"/>
    <m/>
    <x v="2"/>
    <x v="0"/>
    <m/>
    <n v="2"/>
    <x v="0"/>
    <s v="High"/>
    <n v="81361801.477472037"/>
  </r>
  <r>
    <x v="0"/>
    <x v="24"/>
    <x v="24"/>
    <x v="5"/>
    <x v="0"/>
    <x v="1"/>
    <x v="5"/>
    <x v="4"/>
    <n v="2021"/>
    <x v="1"/>
    <s v="N/A"/>
    <n v="1303508"/>
    <s v="Confirmed"/>
    <n v="1303508"/>
    <x v="0"/>
    <x v="0"/>
    <m/>
    <x v="0"/>
    <x v="0"/>
    <m/>
    <n v="1"/>
    <x v="0"/>
    <s v="High"/>
    <s v=""/>
  </r>
  <r>
    <x v="0"/>
    <x v="25"/>
    <x v="25"/>
    <x v="5"/>
    <x v="0"/>
    <x v="1"/>
    <x v="5"/>
    <x v="4"/>
    <n v="2021"/>
    <x v="1"/>
    <s v="N/A"/>
    <n v="5000000"/>
    <s v="Confirmed"/>
    <n v="4700000"/>
    <x v="0"/>
    <x v="0"/>
    <m/>
    <x v="0"/>
    <x v="0"/>
    <m/>
    <n v="1"/>
    <x v="0"/>
    <s v="High"/>
    <n v="76939306.715636879"/>
  </r>
  <r>
    <x v="0"/>
    <x v="26"/>
    <x v="26"/>
    <x v="4"/>
    <x v="0"/>
    <x v="1"/>
    <x v="5"/>
    <x v="5"/>
    <n v="2021"/>
    <x v="1"/>
    <s v="N/A"/>
    <s v=""/>
    <s v="Confirmed"/>
    <s v=""/>
    <x v="0"/>
    <x v="0"/>
    <m/>
    <x v="3"/>
    <x v="1"/>
    <m/>
    <n v="0"/>
    <x v="0"/>
    <s v=""/>
    <n v="13859708717.682571"/>
  </r>
  <r>
    <x v="0"/>
    <x v="27"/>
    <x v="27"/>
    <x v="6"/>
    <x v="0"/>
    <x v="1"/>
    <x v="5"/>
    <x v="5"/>
    <n v="2021"/>
    <x v="1"/>
    <s v="N/A"/>
    <s v=""/>
    <s v="Confirmed"/>
    <s v=""/>
    <x v="0"/>
    <x v="0"/>
    <m/>
    <x v="1"/>
    <x v="1"/>
    <m/>
    <n v="0"/>
    <x v="0"/>
    <s v=""/>
    <n v="403567160707.7016"/>
  </r>
  <r>
    <x v="0"/>
    <x v="28"/>
    <x v="28"/>
    <x v="4"/>
    <x v="0"/>
    <x v="1"/>
    <x v="5"/>
    <x v="5"/>
    <n v="2021"/>
    <x v="1"/>
    <s v="N/A"/>
    <s v=""/>
    <s v="Confirmed"/>
    <s v=""/>
    <x v="0"/>
    <x v="0"/>
    <m/>
    <x v="1"/>
    <x v="1"/>
    <m/>
    <n v="0"/>
    <x v="0"/>
    <s v=""/>
    <n v="18250225995.972618"/>
  </r>
  <r>
    <x v="0"/>
    <x v="29"/>
    <x v="29"/>
    <x v="3"/>
    <x v="0"/>
    <x v="1"/>
    <x v="5"/>
    <x v="4"/>
    <n v="2021"/>
    <x v="1"/>
    <s v="N/A"/>
    <n v="146720"/>
    <s v="Confirmed"/>
    <n v="146720"/>
    <x v="0"/>
    <x v="0"/>
    <m/>
    <x v="2"/>
    <x v="0"/>
    <m/>
    <n v="0"/>
    <x v="1"/>
    <s v="Moderate"/>
    <n v="5027591.1682657599"/>
  </r>
  <r>
    <x v="0"/>
    <x v="30"/>
    <x v="30"/>
    <x v="5"/>
    <x v="0"/>
    <x v="1"/>
    <x v="5"/>
    <x v="4"/>
    <n v="2021"/>
    <x v="1"/>
    <s v="N/A"/>
    <n v="13252291"/>
    <s v="Confirmed"/>
    <n v="13184599"/>
    <x v="0"/>
    <x v="0"/>
    <m/>
    <x v="0"/>
    <x v="0"/>
    <m/>
    <n v="3"/>
    <x v="0"/>
    <s v="Moderate"/>
    <n v="234645958.63289919"/>
  </r>
  <r>
    <x v="0"/>
    <x v="31"/>
    <x v="31"/>
    <x v="5"/>
    <x v="0"/>
    <x v="1"/>
    <x v="5"/>
    <x v="4"/>
    <n v="2021"/>
    <x v="1"/>
    <s v="N/A"/>
    <n v="978461"/>
    <s v="Confirmed"/>
    <n v="978460"/>
    <x v="0"/>
    <x v="0"/>
    <m/>
    <x v="2"/>
    <x v="0"/>
    <m/>
    <n v="2"/>
    <x v="0"/>
    <s v="In distress"/>
    <n v="91590910.247314155"/>
  </r>
  <r>
    <x v="0"/>
    <x v="32"/>
    <x v="32"/>
    <x v="6"/>
    <x v="0"/>
    <x v="1"/>
    <x v="5"/>
    <x v="5"/>
    <n v="2021"/>
    <x v="1"/>
    <s v="N/A"/>
    <s v=""/>
    <s v="Confirmed"/>
    <s v=""/>
    <x v="0"/>
    <x v="0"/>
    <m/>
    <x v="4"/>
    <x v="1"/>
    <m/>
    <n v="0"/>
    <x v="1"/>
    <s v="N/A"/>
    <n v="8560012.8840167802"/>
  </r>
  <r>
    <x v="0"/>
    <x v="33"/>
    <x v="33"/>
    <x v="4"/>
    <x v="0"/>
    <x v="1"/>
    <x v="5"/>
    <x v="5"/>
    <n v="2021"/>
    <x v="1"/>
    <s v="N/A"/>
    <s v=""/>
    <s v="Confirmed"/>
    <s v=""/>
    <x v="0"/>
    <x v="0"/>
    <m/>
    <x v="1"/>
    <x v="1"/>
    <m/>
    <n v="0"/>
    <x v="0"/>
    <s v="N/A"/>
    <n v="3292372960.3962669"/>
  </r>
  <r>
    <x v="0"/>
    <x v="34"/>
    <x v="34"/>
    <x v="5"/>
    <x v="0"/>
    <x v="1"/>
    <x v="5"/>
    <x v="4"/>
    <n v="2021"/>
    <x v="1"/>
    <s v="N/A"/>
    <n v="2628307"/>
    <s v="Confirmed"/>
    <n v="2628307"/>
    <x v="0"/>
    <x v="0"/>
    <m/>
    <x v="2"/>
    <x v="0"/>
    <m/>
    <n v="0"/>
    <x v="0"/>
    <s v="Moderate"/>
    <n v="519209981.22981054"/>
  </r>
  <r>
    <x v="0"/>
    <x v="35"/>
    <x v="35"/>
    <x v="1"/>
    <x v="0"/>
    <x v="1"/>
    <x v="5"/>
    <x v="5"/>
    <n v="2021"/>
    <x v="1"/>
    <s v="N/A"/>
    <s v=""/>
    <s v="Confirmed"/>
    <s v=""/>
    <x v="0"/>
    <x v="0"/>
    <m/>
    <x v="3"/>
    <x v="1"/>
    <m/>
    <n v="0"/>
    <x v="0"/>
    <s v=""/>
    <n v="3464739907.1604805"/>
  </r>
  <r>
    <x v="0"/>
    <x v="36"/>
    <x v="36"/>
    <x v="4"/>
    <x v="0"/>
    <x v="1"/>
    <x v="5"/>
    <x v="5"/>
    <n v="2021"/>
    <x v="1"/>
    <s v="N/A"/>
    <s v=""/>
    <s v="Confirmed"/>
    <s v=""/>
    <x v="0"/>
    <x v="0"/>
    <m/>
    <x v="1"/>
    <x v="1"/>
    <m/>
    <n v="0"/>
    <x v="1"/>
    <s v=""/>
    <n v="9948521252.2569065"/>
  </r>
  <r>
    <x v="0"/>
    <x v="37"/>
    <x v="37"/>
    <x v="2"/>
    <x v="0"/>
    <x v="1"/>
    <x v="5"/>
    <x v="4"/>
    <n v="2021"/>
    <x v="1"/>
    <s v="N/A"/>
    <n v="978421"/>
    <s v="Confirmed"/>
    <n v="978421"/>
    <x v="0"/>
    <x v="0"/>
    <m/>
    <x v="2"/>
    <x v="0"/>
    <m/>
    <n v="1"/>
    <x v="0"/>
    <s v="High"/>
    <n v="33679192.765657313"/>
  </r>
  <r>
    <x v="0"/>
    <x v="38"/>
    <x v="38"/>
    <x v="4"/>
    <x v="0"/>
    <x v="1"/>
    <x v="5"/>
    <x v="6"/>
    <n v="2021"/>
    <x v="1"/>
    <s v="N/A"/>
    <n v="230000"/>
    <s v="Confirmed"/>
    <n v="230000"/>
    <x v="0"/>
    <x v="0"/>
    <m/>
    <x v="1"/>
    <x v="0"/>
    <m/>
    <n v="0"/>
    <x v="1"/>
    <s v="…"/>
    <n v="22784494.365742501"/>
  </r>
  <r>
    <x v="0"/>
    <x v="39"/>
    <x v="39"/>
    <x v="4"/>
    <x v="0"/>
    <x v="1"/>
    <x v="5"/>
    <x v="5"/>
    <n v="2021"/>
    <x v="1"/>
    <s v="N/A"/>
    <s v=""/>
    <s v="Confirmed"/>
    <s v=""/>
    <x v="0"/>
    <x v="0"/>
    <m/>
    <x v="1"/>
    <x v="1"/>
    <m/>
    <n v="0"/>
    <x v="1"/>
    <s v=""/>
    <n v="2173208011.4858823"/>
  </r>
  <r>
    <x v="0"/>
    <x v="40"/>
    <x v="40"/>
    <x v="4"/>
    <x v="0"/>
    <x v="1"/>
    <x v="5"/>
    <x v="5"/>
    <n v="2021"/>
    <x v="1"/>
    <s v="N/A"/>
    <s v=""/>
    <s v="Confirmed"/>
    <s v=""/>
    <x v="0"/>
    <x v="0"/>
    <m/>
    <x v="1"/>
    <x v="1"/>
    <m/>
    <n v="0"/>
    <x v="0"/>
    <s v="N/A"/>
    <n v="4585736158.8323269"/>
  </r>
  <r>
    <x v="0"/>
    <x v="41"/>
    <x v="41"/>
    <x v="2"/>
    <x v="0"/>
    <x v="1"/>
    <x v="5"/>
    <x v="6"/>
    <n v="2021"/>
    <x v="1"/>
    <s v="N/A"/>
    <n v="4499931"/>
    <s v="Confirmed"/>
    <n v="4499931"/>
    <x v="0"/>
    <x v="0"/>
    <m/>
    <x v="2"/>
    <x v="0"/>
    <m/>
    <n v="0"/>
    <x v="0"/>
    <s v="N/A"/>
    <n v="3550291584.8645592"/>
  </r>
  <r>
    <x v="0"/>
    <x v="42"/>
    <x v="42"/>
    <x v="4"/>
    <x v="0"/>
    <x v="1"/>
    <x v="5"/>
    <x v="6"/>
    <n v="2021"/>
    <x v="1"/>
    <s v="N/A"/>
    <n v="279812"/>
    <s v="Confirmed"/>
    <n v="279812"/>
    <x v="0"/>
    <x v="0"/>
    <m/>
    <x v="2"/>
    <x v="0"/>
    <m/>
    <n v="0"/>
    <x v="0"/>
    <s v="N/A"/>
    <n v="1182840319.0410969"/>
  </r>
  <r>
    <x v="0"/>
    <x v="43"/>
    <x v="43"/>
    <x v="4"/>
    <x v="0"/>
    <x v="1"/>
    <x v="5"/>
    <x v="5"/>
    <n v="2021"/>
    <x v="1"/>
    <s v="N/A"/>
    <s v=""/>
    <s v="Confirmed"/>
    <s v=""/>
    <x v="0"/>
    <x v="0"/>
    <m/>
    <x v="1"/>
    <x v="1"/>
    <m/>
    <n v="0"/>
    <x v="0"/>
    <s v=""/>
    <n v="81728347.604567245"/>
  </r>
  <r>
    <x v="0"/>
    <x v="44"/>
    <x v="44"/>
    <x v="3"/>
    <x v="0"/>
    <x v="1"/>
    <x v="5"/>
    <x v="5"/>
    <n v="2021"/>
    <x v="1"/>
    <s v="N/A"/>
    <s v=""/>
    <s v="Confirmed"/>
    <s v=""/>
    <x v="0"/>
    <x v="0"/>
    <m/>
    <x v="0"/>
    <x v="0"/>
    <m/>
    <n v="2"/>
    <x v="0"/>
    <s v="N/A"/>
    <n v="12787914.977715338"/>
  </r>
  <r>
    <x v="0"/>
    <x v="45"/>
    <x v="45"/>
    <x v="3"/>
    <x v="0"/>
    <x v="1"/>
    <x v="5"/>
    <x v="6"/>
    <n v="2021"/>
    <x v="1"/>
    <s v="N/A"/>
    <n v="230000"/>
    <s v="Confirmed"/>
    <n v="230000"/>
    <x v="0"/>
    <x v="0"/>
    <m/>
    <x v="2"/>
    <x v="0"/>
    <m/>
    <n v="2"/>
    <x v="0"/>
    <s v="N/A"/>
    <n v="101271737.65410839"/>
  </r>
  <r>
    <x v="0"/>
    <x v="46"/>
    <x v="46"/>
    <x v="3"/>
    <x v="0"/>
    <x v="1"/>
    <x v="5"/>
    <x v="4"/>
    <n v="2021"/>
    <x v="1"/>
    <s v="N/A"/>
    <n v="15000000"/>
    <s v="Confirmed"/>
    <n v="14685613"/>
    <x v="0"/>
    <x v="0"/>
    <m/>
    <x v="0"/>
    <x v="0"/>
    <m/>
    <n v="3"/>
    <x v="0"/>
    <s v="High"/>
    <n v="618344226.71759331"/>
  </r>
  <r>
    <x v="0"/>
    <x v="47"/>
    <x v="47"/>
    <x v="6"/>
    <x v="0"/>
    <x v="1"/>
    <x v="5"/>
    <x v="6"/>
    <n v="2021"/>
    <x v="1"/>
    <s v="N/A"/>
    <n v="230000"/>
    <s v="Confirmed"/>
    <n v="230000"/>
    <x v="0"/>
    <x v="0"/>
    <m/>
    <x v="1"/>
    <x v="0"/>
    <m/>
    <n v="0"/>
    <x v="1"/>
    <s v="…"/>
    <n v="129483872.95906857"/>
  </r>
  <r>
    <x v="0"/>
    <x v="48"/>
    <x v="48"/>
    <x v="5"/>
    <x v="0"/>
    <x v="1"/>
    <x v="5"/>
    <x v="5"/>
    <n v="2021"/>
    <x v="1"/>
    <s v="N/A"/>
    <s v=""/>
    <s v="Confirmed"/>
    <s v=""/>
    <x v="0"/>
    <x v="0"/>
    <m/>
    <x v="1"/>
    <x v="1"/>
    <m/>
    <n v="0"/>
    <x v="0"/>
    <s v="N/A"/>
    <n v="271184658.35014349"/>
  </r>
  <r>
    <x v="0"/>
    <x v="49"/>
    <x v="49"/>
    <x v="5"/>
    <x v="0"/>
    <x v="1"/>
    <x v="5"/>
    <x v="4"/>
    <n v="2021"/>
    <x v="1"/>
    <s v="N/A"/>
    <n v="977007"/>
    <s v="Confirmed"/>
    <n v="977007"/>
    <x v="0"/>
    <x v="0"/>
    <m/>
    <x v="0"/>
    <x v="0"/>
    <m/>
    <n v="0"/>
    <x v="0"/>
    <s v="High"/>
    <n v="15455265.086884515"/>
  </r>
  <r>
    <x v="0"/>
    <x v="50"/>
    <x v="50"/>
    <x v="1"/>
    <x v="0"/>
    <x v="1"/>
    <x v="5"/>
    <x v="5"/>
    <n v="2021"/>
    <x v="1"/>
    <s v="N/A"/>
    <s v=""/>
    <s v="Confirmed"/>
    <s v=""/>
    <x v="0"/>
    <x v="0"/>
    <m/>
    <x v="1"/>
    <x v="1"/>
    <m/>
    <n v="0"/>
    <x v="0"/>
    <s v="N/A"/>
    <n v="494021502.525527"/>
  </r>
  <r>
    <x v="0"/>
    <x v="51"/>
    <x v="51"/>
    <x v="5"/>
    <x v="0"/>
    <x v="1"/>
    <x v="5"/>
    <x v="4"/>
    <n v="2021"/>
    <x v="1"/>
    <s v="N/A"/>
    <n v="2211196"/>
    <s v="Confirmed"/>
    <n v="2108935"/>
    <x v="0"/>
    <x v="0"/>
    <m/>
    <x v="2"/>
    <x v="0"/>
    <m/>
    <n v="0"/>
    <x v="0"/>
    <s v="High"/>
    <n v="902005621.73836684"/>
  </r>
  <r>
    <x v="0"/>
    <x v="52"/>
    <x v="52"/>
    <x v="4"/>
    <x v="0"/>
    <x v="1"/>
    <x v="5"/>
    <x v="6"/>
    <n v="2021"/>
    <x v="1"/>
    <s v="N/A"/>
    <n v="230000"/>
    <s v="Confirmed"/>
    <n v="230000"/>
    <x v="0"/>
    <x v="0"/>
    <m/>
    <x v="1"/>
    <x v="0"/>
    <m/>
    <n v="0"/>
    <x v="1"/>
    <s v="In distress"/>
    <n v="20201670.142996579"/>
  </r>
  <r>
    <x v="0"/>
    <x v="53"/>
    <x v="53"/>
    <x v="4"/>
    <x v="0"/>
    <x v="1"/>
    <x v="5"/>
    <x v="5"/>
    <n v="2021"/>
    <x v="1"/>
    <s v="N/A"/>
    <s v=""/>
    <s v="Confirmed"/>
    <s v=""/>
    <x v="0"/>
    <x v="0"/>
    <m/>
    <x v="1"/>
    <x v="1"/>
    <m/>
    <n v="0"/>
    <x v="0"/>
    <s v=""/>
    <n v="1612434649.6948864"/>
  </r>
  <r>
    <x v="0"/>
    <x v="54"/>
    <x v="54"/>
    <x v="5"/>
    <x v="0"/>
    <x v="1"/>
    <x v="5"/>
    <x v="4"/>
    <n v="2021"/>
    <x v="1"/>
    <s v="N/A"/>
    <n v="3959315"/>
    <s v="Confirmed"/>
    <n v="2304800"/>
    <x v="0"/>
    <x v="0"/>
    <m/>
    <x v="0"/>
    <x v="0"/>
    <m/>
    <n v="0"/>
    <x v="0"/>
    <s v="Moderate"/>
    <n v="78203134.118229344"/>
  </r>
  <r>
    <x v="0"/>
    <x v="55"/>
    <x v="55"/>
    <x v="5"/>
    <x v="0"/>
    <x v="1"/>
    <x v="5"/>
    <x v="4"/>
    <n v="2021"/>
    <x v="1"/>
    <s v="N/A"/>
    <n v="978460"/>
    <s v="Confirmed"/>
    <n v="978460"/>
    <x v="0"/>
    <x v="0"/>
    <m/>
    <x v="0"/>
    <x v="0"/>
    <m/>
    <n v="2"/>
    <x v="1"/>
    <s v="High"/>
    <n v="9151637.7411015611"/>
  </r>
  <r>
    <x v="0"/>
    <x v="56"/>
    <x v="56"/>
    <x v="4"/>
    <x v="0"/>
    <x v="1"/>
    <x v="5"/>
    <x v="6"/>
    <n v="2021"/>
    <x v="1"/>
    <s v="N/A"/>
    <n v="230000"/>
    <s v="Confirmed"/>
    <n v="230000"/>
    <x v="0"/>
    <x v="0"/>
    <m/>
    <x v="1"/>
    <x v="0"/>
    <m/>
    <n v="0"/>
    <x v="1"/>
    <s v="Moderate"/>
    <n v="142455920.02856269"/>
  </r>
  <r>
    <x v="0"/>
    <x v="57"/>
    <x v="57"/>
    <x v="4"/>
    <x v="0"/>
    <x v="1"/>
    <x v="5"/>
    <x v="4"/>
    <n v="2021"/>
    <x v="1"/>
    <s v="N/A"/>
    <n v="2138482"/>
    <s v="Confirmed"/>
    <n v="2138482"/>
    <x v="0"/>
    <x v="0"/>
    <m/>
    <x v="2"/>
    <x v="0"/>
    <m/>
    <n v="1"/>
    <x v="1"/>
    <s v="High"/>
    <n v="85611818.171245083"/>
  </r>
  <r>
    <x v="0"/>
    <x v="58"/>
    <x v="58"/>
    <x v="4"/>
    <x v="0"/>
    <x v="1"/>
    <x v="5"/>
    <x v="6"/>
    <n v="2021"/>
    <x v="1"/>
    <s v="N/A"/>
    <n v="369382"/>
    <s v="Confirmed"/>
    <n v="369382"/>
    <x v="0"/>
    <x v="0"/>
    <m/>
    <x v="2"/>
    <x v="0"/>
    <m/>
    <n v="0"/>
    <x v="0"/>
    <s v="Low"/>
    <n v="680289736.30082119"/>
  </r>
  <r>
    <x v="0"/>
    <x v="59"/>
    <x v="59"/>
    <x v="0"/>
    <x v="0"/>
    <x v="1"/>
    <x v="5"/>
    <x v="4"/>
    <n v="2021"/>
    <x v="1"/>
    <s v="N/A"/>
    <n v="15000000"/>
    <s v="Confirmed"/>
    <n v="10867000"/>
    <x v="0"/>
    <x v="0"/>
    <m/>
    <x v="2"/>
    <x v="0"/>
    <m/>
    <n v="0"/>
    <x v="0"/>
    <s v="N/A"/>
    <n v="26554332750.47023"/>
  </r>
  <r>
    <x v="0"/>
    <x v="60"/>
    <x v="60"/>
    <x v="6"/>
    <x v="0"/>
    <x v="1"/>
    <x v="5"/>
    <x v="4"/>
    <n v="2021"/>
    <x v="1"/>
    <s v="N/A"/>
    <n v="3466850"/>
    <s v="Confirmed"/>
    <n v="0"/>
    <x v="0"/>
    <x v="0"/>
    <m/>
    <x v="2"/>
    <x v="0"/>
    <m/>
    <n v="0"/>
    <x v="0"/>
    <s v="N/A"/>
    <n v="14745961064.890842"/>
  </r>
  <r>
    <x v="0"/>
    <x v="61"/>
    <x v="61"/>
    <x v="2"/>
    <x v="0"/>
    <x v="1"/>
    <x v="5"/>
    <x v="5"/>
    <n v="2021"/>
    <x v="1"/>
    <s v="N/A"/>
    <s v=""/>
    <s v="Confirmed"/>
    <s v=""/>
    <x v="0"/>
    <x v="0"/>
    <m/>
    <x v="2"/>
    <x v="1"/>
    <m/>
    <n v="0"/>
    <x v="0"/>
    <s v="N/A"/>
    <n v="18194076299.786381"/>
  </r>
  <r>
    <x v="0"/>
    <x v="62"/>
    <x v="62"/>
    <x v="2"/>
    <x v="0"/>
    <x v="1"/>
    <x v="5"/>
    <x v="5"/>
    <n v="2021"/>
    <x v="1"/>
    <s v="N/A"/>
    <s v=""/>
    <s v="Confirmed"/>
    <s v=""/>
    <x v="0"/>
    <x v="0"/>
    <m/>
    <x v="1"/>
    <x v="1"/>
    <m/>
    <n v="0"/>
    <x v="0"/>
    <s v="N/A"/>
    <n v="4428819387.769825"/>
  </r>
  <r>
    <x v="0"/>
    <x v="63"/>
    <x v="63"/>
    <x v="4"/>
    <x v="0"/>
    <x v="1"/>
    <x v="5"/>
    <x v="5"/>
    <n v="2021"/>
    <x v="1"/>
    <s v="N/A"/>
    <s v=""/>
    <s v="Confirmed"/>
    <s v=""/>
    <x v="0"/>
    <x v="0"/>
    <m/>
    <x v="1"/>
    <x v="1"/>
    <m/>
    <n v="0"/>
    <x v="1"/>
    <s v=""/>
    <n v="611739560.62679195"/>
  </r>
  <r>
    <x v="0"/>
    <x v="64"/>
    <x v="64"/>
    <x v="2"/>
    <x v="0"/>
    <x v="1"/>
    <x v="5"/>
    <x v="5"/>
    <n v="2021"/>
    <x v="1"/>
    <s v="N/A"/>
    <s v=""/>
    <s v="Confirmed"/>
    <s v=""/>
    <x v="0"/>
    <x v="0"/>
    <m/>
    <x v="1"/>
    <x v="1"/>
    <m/>
    <n v="0"/>
    <x v="0"/>
    <s v="N/A"/>
    <n v="1617913383.0481031"/>
  </r>
  <r>
    <x v="0"/>
    <x v="65"/>
    <x v="65"/>
    <x v="1"/>
    <x v="0"/>
    <x v="1"/>
    <x v="5"/>
    <x v="5"/>
    <n v="2021"/>
    <x v="1"/>
    <s v="N/A"/>
    <s v=""/>
    <s v="Confirmed"/>
    <s v=""/>
    <x v="0"/>
    <x v="0"/>
    <m/>
    <x v="1"/>
    <x v="1"/>
    <m/>
    <n v="0"/>
    <x v="0"/>
    <s v=""/>
    <n v="3074419112.4562683"/>
  </r>
  <r>
    <x v="0"/>
    <x v="66"/>
    <x v="66"/>
    <x v="3"/>
    <x v="0"/>
    <x v="1"/>
    <x v="5"/>
    <x v="4"/>
    <n v="2021"/>
    <x v="1"/>
    <s v="N/A"/>
    <n v="4306517"/>
    <s v="Confirmed"/>
    <n v="3006517"/>
    <x v="0"/>
    <x v="0"/>
    <m/>
    <x v="2"/>
    <x v="0"/>
    <m/>
    <n v="0"/>
    <x v="0"/>
    <s v="High"/>
    <n v="1914014279.8929913"/>
  </r>
  <r>
    <x v="0"/>
    <x v="67"/>
    <x v="67"/>
    <x v="6"/>
    <x v="0"/>
    <x v="1"/>
    <x v="5"/>
    <x v="5"/>
    <n v="2021"/>
    <x v="1"/>
    <s v="N/A"/>
    <s v=""/>
    <s v="Confirmed"/>
    <s v=""/>
    <x v="0"/>
    <x v="0"/>
    <m/>
    <x v="2"/>
    <x v="0"/>
    <m/>
    <n v="0"/>
    <x v="1"/>
    <s v="High"/>
    <n v="17422005.762907442"/>
  </r>
  <r>
    <x v="0"/>
    <x v="68"/>
    <x v="68"/>
    <x v="6"/>
    <x v="0"/>
    <x v="1"/>
    <x v="5"/>
    <x v="5"/>
    <n v="2021"/>
    <x v="1"/>
    <s v="N/A"/>
    <s v=""/>
    <s v="Confirmed"/>
    <s v=""/>
    <x v="0"/>
    <x v="0"/>
    <m/>
    <x v="0"/>
    <x v="0"/>
    <m/>
    <n v="0"/>
    <x v="0"/>
    <s v="N/A"/>
    <s v=""/>
  </r>
  <r>
    <x v="0"/>
    <x v="69"/>
    <x v="69"/>
    <x v="1"/>
    <x v="0"/>
    <x v="1"/>
    <x v="5"/>
    <x v="6"/>
    <n v="2021"/>
    <x v="1"/>
    <s v="N/A"/>
    <n v="230000"/>
    <s v="Confirmed"/>
    <n v="230000"/>
    <x v="0"/>
    <x v="0"/>
    <m/>
    <x v="1"/>
    <x v="0"/>
    <m/>
    <n v="0"/>
    <x v="0"/>
    <s v="…"/>
    <s v=""/>
  </r>
  <r>
    <x v="0"/>
    <x v="70"/>
    <x v="70"/>
    <x v="1"/>
    <x v="0"/>
    <x v="1"/>
    <x v="5"/>
    <x v="4"/>
    <n v="2021"/>
    <x v="1"/>
    <s v="N/A"/>
    <n v="978461"/>
    <s v="Confirmed"/>
    <n v="978461"/>
    <x v="0"/>
    <x v="0"/>
    <m/>
    <x v="2"/>
    <x v="0"/>
    <m/>
    <n v="2"/>
    <x v="0"/>
    <s v="Moderate"/>
    <n v="231506834.84347546"/>
  </r>
  <r>
    <x v="0"/>
    <x v="71"/>
    <x v="71"/>
    <x v="6"/>
    <x v="0"/>
    <x v="1"/>
    <x v="5"/>
    <x v="4"/>
    <n v="2021"/>
    <x v="1"/>
    <s v="N/A"/>
    <n v="1185375"/>
    <s v="Confirmed"/>
    <n v="1112744"/>
    <x v="0"/>
    <x v="0"/>
    <m/>
    <x v="2"/>
    <x v="0"/>
    <m/>
    <n v="0"/>
    <x v="0"/>
    <s v="High"/>
    <n v="156059428.62944782"/>
  </r>
  <r>
    <x v="0"/>
    <x v="72"/>
    <x v="72"/>
    <x v="2"/>
    <x v="0"/>
    <x v="1"/>
    <x v="5"/>
    <x v="5"/>
    <n v="2021"/>
    <x v="1"/>
    <s v="N/A"/>
    <s v=""/>
    <s v="Confirmed"/>
    <s v=""/>
    <x v="0"/>
    <x v="0"/>
    <m/>
    <x v="1"/>
    <x v="1"/>
    <m/>
    <n v="0"/>
    <x v="0"/>
    <s v="N/A"/>
    <n v="2355391507.1635861"/>
  </r>
  <r>
    <x v="0"/>
    <x v="73"/>
    <x v="73"/>
    <x v="3"/>
    <x v="0"/>
    <x v="1"/>
    <x v="5"/>
    <x v="4"/>
    <n v="2021"/>
    <x v="1"/>
    <s v="N/A"/>
    <n v="978454"/>
    <s v="Confirmed"/>
    <n v="390226"/>
    <x v="0"/>
    <x v="0"/>
    <m/>
    <x v="2"/>
    <x v="0"/>
    <m/>
    <n v="0"/>
    <x v="0"/>
    <s v="Moderate"/>
    <n v="152760919.7684873"/>
  </r>
  <r>
    <x v="0"/>
    <x v="74"/>
    <x v="74"/>
    <x v="5"/>
    <x v="0"/>
    <x v="1"/>
    <x v="5"/>
    <x v="4"/>
    <n v="2021"/>
    <x v="1"/>
    <s v="N/A"/>
    <n v="978461"/>
    <s v="Confirmed"/>
    <n v="977644"/>
    <x v="0"/>
    <x v="0"/>
    <m/>
    <x v="0"/>
    <x v="0"/>
    <m/>
    <n v="0"/>
    <x v="0"/>
    <s v="High"/>
    <n v="55072006.864440605"/>
  </r>
  <r>
    <x v="0"/>
    <x v="75"/>
    <x v="75"/>
    <x v="2"/>
    <x v="0"/>
    <x v="1"/>
    <x v="5"/>
    <x v="5"/>
    <n v="2021"/>
    <x v="1"/>
    <s v="N/A"/>
    <s v=""/>
    <s v="Confirmed"/>
    <s v=""/>
    <x v="0"/>
    <x v="0"/>
    <m/>
    <x v="1"/>
    <x v="1"/>
    <m/>
    <n v="0"/>
    <x v="0"/>
    <s v="N/A"/>
    <s v=""/>
  </r>
  <r>
    <x v="0"/>
    <x v="76"/>
    <x v="76"/>
    <x v="3"/>
    <x v="0"/>
    <x v="1"/>
    <x v="5"/>
    <x v="4"/>
    <n v="2021"/>
    <x v="1"/>
    <s v="N/A"/>
    <n v="4070028"/>
    <s v="Confirmed"/>
    <n v="4064028"/>
    <x v="0"/>
    <x v="0"/>
    <m/>
    <x v="0"/>
    <x v="0"/>
    <m/>
    <n v="2"/>
    <x v="0"/>
    <s v="Moderate"/>
    <n v="206914157.05429548"/>
  </r>
  <r>
    <x v="0"/>
    <x v="77"/>
    <x v="77"/>
    <x v="3"/>
    <x v="0"/>
    <x v="1"/>
    <x v="5"/>
    <x v="4"/>
    <n v="2021"/>
    <x v="1"/>
    <s v="N/A"/>
    <n v="1493213"/>
    <s v="Confirmed"/>
    <n v="1451414"/>
    <x v="0"/>
    <x v="0"/>
    <m/>
    <x v="0"/>
    <x v="0"/>
    <m/>
    <n v="2"/>
    <x v="0"/>
    <s v="High"/>
    <n v="185999915.02066413"/>
  </r>
  <r>
    <x v="0"/>
    <x v="78"/>
    <x v="78"/>
    <x v="6"/>
    <x v="0"/>
    <x v="1"/>
    <x v="5"/>
    <x v="5"/>
    <n v="2021"/>
    <x v="1"/>
    <s v="N/A"/>
    <s v=""/>
    <s v="Confirmed"/>
    <s v=""/>
    <x v="0"/>
    <x v="0"/>
    <m/>
    <x v="1"/>
    <x v="1"/>
    <m/>
    <n v="0"/>
    <x v="0"/>
    <s v=""/>
    <n v="6893755763.2501726"/>
  </r>
  <r>
    <x v="0"/>
    <x v="79"/>
    <x v="79"/>
    <x v="0"/>
    <x v="0"/>
    <x v="1"/>
    <x v="5"/>
    <x v="6"/>
    <n v="2021"/>
    <x v="1"/>
    <s v="N/A"/>
    <n v="230000"/>
    <s v="Confirmed"/>
    <n v="230000"/>
    <x v="0"/>
    <x v="0"/>
    <m/>
    <x v="1"/>
    <x v="0"/>
    <m/>
    <n v="0"/>
    <x v="1"/>
    <s v="High"/>
    <n v="354560231.58276606"/>
  </r>
  <r>
    <x v="0"/>
    <x v="80"/>
    <x v="80"/>
    <x v="5"/>
    <x v="0"/>
    <x v="1"/>
    <x v="5"/>
    <x v="4"/>
    <n v="2021"/>
    <x v="1"/>
    <s v="N/A"/>
    <n v="3105169"/>
    <s v="Confirmed"/>
    <n v="124207"/>
    <x v="0"/>
    <x v="0"/>
    <m/>
    <x v="0"/>
    <x v="0"/>
    <m/>
    <n v="1"/>
    <x v="0"/>
    <s v="Moderate"/>
    <n v="188169167.56540567"/>
  </r>
  <r>
    <x v="0"/>
    <x v="81"/>
    <x v="81"/>
    <x v="6"/>
    <x v="0"/>
    <x v="1"/>
    <x v="5"/>
    <x v="5"/>
    <n v="2021"/>
    <x v="1"/>
    <s v="N/A"/>
    <s v=""/>
    <s v="Confirmed"/>
    <s v=""/>
    <x v="0"/>
    <x v="0"/>
    <m/>
    <x v="1"/>
    <x v="0"/>
    <m/>
    <n v="0"/>
    <x v="1"/>
    <s v=""/>
    <n v="16312106.556340856"/>
  </r>
  <r>
    <x v="0"/>
    <x v="82"/>
    <x v="82"/>
    <x v="5"/>
    <x v="0"/>
    <x v="1"/>
    <x v="5"/>
    <x v="4"/>
    <n v="2021"/>
    <x v="1"/>
    <s v="N/A"/>
    <n v="978364"/>
    <s v="Confirmed"/>
    <n v="978364"/>
    <x v="0"/>
    <x v="0"/>
    <m/>
    <x v="2"/>
    <x v="0"/>
    <m/>
    <n v="2"/>
    <x v="0"/>
    <s v="High"/>
    <n v="86083833.534053758"/>
  </r>
  <r>
    <x v="0"/>
    <x v="83"/>
    <x v="83"/>
    <x v="3"/>
    <x v="0"/>
    <x v="1"/>
    <x v="5"/>
    <x v="5"/>
    <n v="2021"/>
    <x v="1"/>
    <s v="N/A"/>
    <s v=""/>
    <s v="Confirmed"/>
    <s v=""/>
    <x v="0"/>
    <x v="0"/>
    <m/>
    <x v="1"/>
    <x v="1"/>
    <m/>
    <n v="0"/>
    <x v="1"/>
    <s v="N/A"/>
    <n v="357220835.93762809"/>
  </r>
  <r>
    <x v="0"/>
    <x v="84"/>
    <x v="84"/>
    <x v="4"/>
    <x v="0"/>
    <x v="1"/>
    <x v="5"/>
    <x v="5"/>
    <n v="2021"/>
    <x v="1"/>
    <s v="N/A"/>
    <s v=""/>
    <s v="Confirmed"/>
    <s v=""/>
    <x v="0"/>
    <x v="0"/>
    <m/>
    <x v="1"/>
    <x v="1"/>
    <m/>
    <n v="0"/>
    <x v="0"/>
    <s v=""/>
    <n v="32831598153.796387"/>
  </r>
  <r>
    <x v="0"/>
    <x v="85"/>
    <x v="85"/>
    <x v="6"/>
    <x v="0"/>
    <x v="1"/>
    <x v="5"/>
    <x v="5"/>
    <n v="2021"/>
    <x v="1"/>
    <s v="N/A"/>
    <s v=""/>
    <s v="Confirmed"/>
    <s v=""/>
    <x v="0"/>
    <x v="0"/>
    <m/>
    <x v="2"/>
    <x v="0"/>
    <m/>
    <n v="0"/>
    <x v="1"/>
    <s v="High"/>
    <n v="12329056.093798399"/>
  </r>
  <r>
    <x v="0"/>
    <x v="86"/>
    <x v="86"/>
    <x v="1"/>
    <x v="0"/>
    <x v="1"/>
    <x v="5"/>
    <x v="6"/>
    <n v="2021"/>
    <x v="1"/>
    <s v="N/A"/>
    <n v="367944"/>
    <s v="Confirmed"/>
    <n v="367944"/>
    <x v="0"/>
    <x v="0"/>
    <m/>
    <x v="1"/>
    <x v="0"/>
    <m/>
    <n v="0"/>
    <x v="0"/>
    <s v="Low"/>
    <n v="426639742.85328001"/>
  </r>
  <r>
    <x v="0"/>
    <x v="87"/>
    <x v="87"/>
    <x v="6"/>
    <x v="0"/>
    <x v="1"/>
    <x v="5"/>
    <x v="6"/>
    <n v="2021"/>
    <x v="1"/>
    <s v="N/A"/>
    <n v="230000"/>
    <s v="Confirmed"/>
    <n v="230000"/>
    <x v="0"/>
    <x v="0"/>
    <m/>
    <x v="2"/>
    <x v="0"/>
    <m/>
    <n v="0"/>
    <x v="0"/>
    <s v="…"/>
    <n v="288519671.85870522"/>
  </r>
  <r>
    <x v="0"/>
    <x v="88"/>
    <x v="88"/>
    <x v="1"/>
    <x v="0"/>
    <x v="1"/>
    <x v="5"/>
    <x v="5"/>
    <n v="2021"/>
    <x v="1"/>
    <s v="N/A"/>
    <s v=""/>
    <s v="Confirmed"/>
    <s v=""/>
    <x v="0"/>
    <x v="0"/>
    <m/>
    <x v="1"/>
    <x v="1"/>
    <m/>
    <n v="0"/>
    <x v="0"/>
    <s v="N/A"/>
    <n v="275606560.78491527"/>
  </r>
  <r>
    <x v="0"/>
    <x v="89"/>
    <x v="89"/>
    <x v="2"/>
    <x v="0"/>
    <x v="1"/>
    <x v="5"/>
    <x v="5"/>
    <n v="2021"/>
    <x v="1"/>
    <s v="N/A"/>
    <s v=""/>
    <s v="Confirmed"/>
    <s v=""/>
    <x v="0"/>
    <x v="0"/>
    <m/>
    <x v="2"/>
    <x v="0"/>
    <m/>
    <n v="0"/>
    <x v="0"/>
    <s v="N/A"/>
    <n v="2530937679.3725696"/>
  </r>
  <r>
    <x v="0"/>
    <x v="90"/>
    <x v="90"/>
    <x v="3"/>
    <x v="0"/>
    <x v="1"/>
    <x v="5"/>
    <x v="4"/>
    <n v="2021"/>
    <x v="1"/>
    <s v="N/A"/>
    <n v="3422310"/>
    <s v="Confirmed"/>
    <n v="3299996"/>
    <x v="0"/>
    <x v="0"/>
    <m/>
    <x v="0"/>
    <x v="0"/>
    <m/>
    <n v="0"/>
    <x v="0"/>
    <s v="In distress"/>
    <n v="251432156.86255455"/>
  </r>
  <r>
    <x v="0"/>
    <x v="91"/>
    <x v="91"/>
    <x v="6"/>
    <x v="0"/>
    <x v="1"/>
    <x v="5"/>
    <x v="4"/>
    <n v="2021"/>
    <x v="1"/>
    <s v="N/A"/>
    <n v="0"/>
    <s v="Confirmed"/>
    <n v="0"/>
    <x v="0"/>
    <x v="0"/>
    <m/>
    <x v="2"/>
    <x v="0"/>
    <m/>
    <n v="0"/>
    <x v="0"/>
    <s v="Low"/>
    <n v="471534500.60109437"/>
  </r>
  <r>
    <x v="0"/>
    <x v="92"/>
    <x v="92"/>
    <x v="3"/>
    <x v="0"/>
    <x v="1"/>
    <x v="5"/>
    <x v="5"/>
    <n v="2021"/>
    <x v="1"/>
    <s v="N/A"/>
    <s v=""/>
    <s v="Confirmed"/>
    <s v=""/>
    <x v="0"/>
    <x v="0"/>
    <m/>
    <x v="1"/>
    <x v="1"/>
    <m/>
    <n v="0"/>
    <x v="0"/>
    <s v=""/>
    <n v="531677611.80447447"/>
  </r>
  <r>
    <x v="0"/>
    <x v="93"/>
    <x v="93"/>
    <x v="6"/>
    <x v="0"/>
    <x v="1"/>
    <x v="5"/>
    <x v="5"/>
    <n v="2021"/>
    <x v="1"/>
    <s v="N/A"/>
    <s v=""/>
    <s v="Confirmed"/>
    <s v=""/>
    <x v="0"/>
    <x v="0"/>
    <m/>
    <x v="3"/>
    <x v="1"/>
    <m/>
    <n v="0"/>
    <x v="1"/>
    <s v=""/>
    <n v="8528751.6418357007"/>
  </r>
  <r>
    <x v="0"/>
    <x v="94"/>
    <x v="94"/>
    <x v="0"/>
    <x v="0"/>
    <x v="1"/>
    <x v="5"/>
    <x v="4"/>
    <n v="2021"/>
    <x v="1"/>
    <s v="N/A"/>
    <n v="2159910"/>
    <s v="Confirmed"/>
    <n v="2159909"/>
    <x v="0"/>
    <x v="0"/>
    <m/>
    <x v="2"/>
    <x v="0"/>
    <m/>
    <n v="0"/>
    <x v="0"/>
    <s v="Low"/>
    <n v="407084543.19089872"/>
  </r>
  <r>
    <x v="0"/>
    <x v="95"/>
    <x v="95"/>
    <x v="4"/>
    <x v="0"/>
    <x v="1"/>
    <x v="5"/>
    <x v="4"/>
    <n v="2021"/>
    <x v="1"/>
    <s v="N/A"/>
    <n v="978461"/>
    <s v="Confirmed"/>
    <n v="0"/>
    <x v="0"/>
    <x v="0"/>
    <m/>
    <x v="2"/>
    <x v="0"/>
    <m/>
    <n v="0"/>
    <x v="0"/>
    <s v="Moderate"/>
    <n v="671998341.93592453"/>
  </r>
  <r>
    <x v="0"/>
    <x v="96"/>
    <x v="96"/>
    <x v="5"/>
    <x v="0"/>
    <x v="1"/>
    <x v="5"/>
    <x v="4"/>
    <n v="2021"/>
    <x v="1"/>
    <s v="N/A"/>
    <n v="3500000"/>
    <s v="Confirmed"/>
    <n v="3500000"/>
    <x v="0"/>
    <x v="0"/>
    <m/>
    <x v="0"/>
    <x v="0"/>
    <m/>
    <n v="1"/>
    <x v="0"/>
    <s v="Moderate"/>
    <n v="226203289.67158964"/>
  </r>
  <r>
    <x v="0"/>
    <x v="97"/>
    <x v="97"/>
    <x v="5"/>
    <x v="0"/>
    <x v="1"/>
    <x v="5"/>
    <x v="4"/>
    <n v="2021"/>
    <x v="1"/>
    <s v="N/A"/>
    <n v="9995380"/>
    <s v="Confirmed"/>
    <n v="9995381"/>
    <x v="0"/>
    <x v="0"/>
    <m/>
    <x v="2"/>
    <x v="0"/>
    <m/>
    <n v="3"/>
    <x v="0"/>
    <s v="…"/>
    <n v="2438881113.1244688"/>
  </r>
  <r>
    <x v="0"/>
    <x v="98"/>
    <x v="98"/>
    <x v="1"/>
    <x v="0"/>
    <x v="1"/>
    <x v="5"/>
    <x v="5"/>
    <n v="2021"/>
    <x v="1"/>
    <s v="N/A"/>
    <s v=""/>
    <s v="Confirmed"/>
    <s v=""/>
    <x v="0"/>
    <x v="0"/>
    <m/>
    <x v="1"/>
    <x v="1"/>
    <m/>
    <n v="0"/>
    <x v="0"/>
    <s v=""/>
    <n v="476517795.73174149"/>
  </r>
  <r>
    <x v="0"/>
    <x v="99"/>
    <x v="99"/>
    <x v="0"/>
    <x v="0"/>
    <x v="1"/>
    <x v="5"/>
    <x v="4"/>
    <n v="2021"/>
    <x v="1"/>
    <s v="N/A"/>
    <n v="14999987"/>
    <s v="Confirmed"/>
    <n v="14360986"/>
    <x v="0"/>
    <x v="0"/>
    <m/>
    <x v="2"/>
    <x v="0"/>
    <m/>
    <n v="0"/>
    <x v="0"/>
    <s v="…"/>
    <n v="3233351297.7679496"/>
  </r>
  <r>
    <x v="0"/>
    <x v="100"/>
    <x v="100"/>
    <x v="4"/>
    <x v="0"/>
    <x v="1"/>
    <x v="5"/>
    <x v="5"/>
    <n v="2021"/>
    <x v="1"/>
    <s v="N/A"/>
    <s v=""/>
    <s v="Confirmed"/>
    <s v=""/>
    <x v="0"/>
    <x v="0"/>
    <m/>
    <x v="3"/>
    <x v="1"/>
    <m/>
    <n v="0"/>
    <x v="1"/>
    <s v=""/>
    <n v="18180646.808608256"/>
  </r>
  <r>
    <x v="0"/>
    <x v="101"/>
    <x v="101"/>
    <x v="4"/>
    <x v="0"/>
    <x v="1"/>
    <x v="5"/>
    <x v="5"/>
    <n v="2021"/>
    <x v="1"/>
    <s v="N/A"/>
    <s v=""/>
    <s v="Confirmed"/>
    <s v=""/>
    <x v="0"/>
    <x v="0"/>
    <m/>
    <x v="1"/>
    <x v="1"/>
    <m/>
    <n v="0"/>
    <x v="0"/>
    <s v="N/A"/>
    <n v="3020530707.3485303"/>
  </r>
  <r>
    <x v="0"/>
    <x v="102"/>
    <x v="102"/>
    <x v="6"/>
    <x v="0"/>
    <x v="1"/>
    <x v="5"/>
    <x v="4"/>
    <n v="2021"/>
    <x v="1"/>
    <s v="N/A"/>
    <n v="2745604"/>
    <s v="Confirmed"/>
    <n v="31079"/>
    <x v="0"/>
    <x v="0"/>
    <m/>
    <x v="2"/>
    <x v="0"/>
    <m/>
    <n v="1"/>
    <x v="1"/>
    <s v="High"/>
    <n v="384406316.46074712"/>
  </r>
  <r>
    <x v="0"/>
    <x v="103"/>
    <x v="103"/>
    <x v="4"/>
    <x v="0"/>
    <x v="1"/>
    <x v="5"/>
    <x v="5"/>
    <n v="2021"/>
    <x v="1"/>
    <s v="N/A"/>
    <s v=""/>
    <s v="Confirmed"/>
    <s v=""/>
    <x v="0"/>
    <x v="0"/>
    <m/>
    <x v="1"/>
    <x v="1"/>
    <m/>
    <n v="0"/>
    <x v="0"/>
    <s v=""/>
    <n v="1218747108.9554784"/>
  </r>
  <r>
    <x v="0"/>
    <x v="104"/>
    <x v="104"/>
    <x v="4"/>
    <x v="0"/>
    <x v="1"/>
    <x v="5"/>
    <x v="5"/>
    <n v="2021"/>
    <x v="1"/>
    <s v="N/A"/>
    <s v=""/>
    <s v="Confirmed"/>
    <s v=""/>
    <x v="0"/>
    <x v="0"/>
    <m/>
    <x v="1"/>
    <x v="1"/>
    <m/>
    <n v="0"/>
    <x v="0"/>
    <s v=""/>
    <n v="7392665952.5895758"/>
  </r>
  <r>
    <x v="0"/>
    <x v="105"/>
    <x v="105"/>
    <x v="6"/>
    <x v="0"/>
    <x v="1"/>
    <x v="5"/>
    <x v="6"/>
    <n v="2021"/>
    <x v="1"/>
    <s v="N/A"/>
    <n v="4914708"/>
    <s v="Confirmed"/>
    <n v="4914708"/>
    <x v="0"/>
    <x v="0"/>
    <m/>
    <x v="2"/>
    <x v="0"/>
    <m/>
    <n v="0"/>
    <x v="0"/>
    <s v="N/A"/>
    <n v="4754985988.6004429"/>
  </r>
  <r>
    <x v="0"/>
    <x v="106"/>
    <x v="106"/>
    <x v="1"/>
    <x v="0"/>
    <x v="1"/>
    <x v="5"/>
    <x v="5"/>
    <n v="2021"/>
    <x v="1"/>
    <s v="N/A"/>
    <s v=""/>
    <s v="Confirmed"/>
    <s v=""/>
    <x v="0"/>
    <x v="0"/>
    <m/>
    <x v="3"/>
    <x v="1"/>
    <m/>
    <n v="0"/>
    <x v="0"/>
    <s v=""/>
    <n v="26422210443.037273"/>
  </r>
  <r>
    <x v="0"/>
    <x v="107"/>
    <x v="107"/>
    <x v="1"/>
    <x v="0"/>
    <x v="1"/>
    <x v="5"/>
    <x v="5"/>
    <n v="2021"/>
    <x v="1"/>
    <s v="N/A"/>
    <s v=""/>
    <s v="Confirmed"/>
    <s v=""/>
    <x v="0"/>
    <x v="0"/>
    <m/>
    <x v="1"/>
    <x v="1"/>
    <m/>
    <n v="0"/>
    <x v="0"/>
    <s v=""/>
    <n v="10696495313.15033"/>
  </r>
  <r>
    <x v="0"/>
    <x v="108"/>
    <x v="108"/>
    <x v="1"/>
    <x v="0"/>
    <x v="1"/>
    <x v="5"/>
    <x v="5"/>
    <n v="2021"/>
    <x v="1"/>
    <s v="N/A"/>
    <s v=""/>
    <s v="Confirmed"/>
    <s v=""/>
    <x v="0"/>
    <x v="0"/>
    <m/>
    <x v="1"/>
    <x v="1"/>
    <m/>
    <n v="0"/>
    <x v="0"/>
    <s v=""/>
    <n v="52769713433.240509"/>
  </r>
  <r>
    <x v="0"/>
    <x v="109"/>
    <x v="109"/>
    <x v="3"/>
    <x v="0"/>
    <x v="1"/>
    <x v="5"/>
    <x v="4"/>
    <n v="2021"/>
    <x v="1"/>
    <s v="N/A"/>
    <n v="978461"/>
    <s v="Confirmed"/>
    <n v="893334"/>
    <x v="0"/>
    <x v="0"/>
    <m/>
    <x v="0"/>
    <x v="0"/>
    <m/>
    <n v="0"/>
    <x v="0"/>
    <s v="Moderate"/>
    <n v="225799814.51943746"/>
  </r>
  <r>
    <x v="0"/>
    <x v="110"/>
    <x v="110"/>
    <x v="6"/>
    <x v="0"/>
    <x v="1"/>
    <x v="5"/>
    <x v="5"/>
    <n v="2021"/>
    <x v="1"/>
    <s v="N/A"/>
    <s v=""/>
    <s v="Confirmed"/>
    <s v=""/>
    <x v="0"/>
    <x v="0"/>
    <m/>
    <x v="2"/>
    <x v="0"/>
    <m/>
    <n v="0"/>
    <x v="1"/>
    <s v="High"/>
    <n v="32192988.027009469"/>
  </r>
  <r>
    <x v="0"/>
    <x v="111"/>
    <x v="111"/>
    <x v="5"/>
    <x v="0"/>
    <x v="1"/>
    <x v="5"/>
    <x v="4"/>
    <n v="2021"/>
    <x v="1"/>
    <s v="N/A"/>
    <n v="978461"/>
    <s v="Confirmed"/>
    <n v="978461"/>
    <x v="0"/>
    <x v="0"/>
    <m/>
    <x v="2"/>
    <x v="0"/>
    <m/>
    <n v="0"/>
    <x v="1"/>
    <s v="In distress"/>
    <n v="11633535.136477679"/>
  </r>
  <r>
    <x v="0"/>
    <x v="112"/>
    <x v="112"/>
    <x v="5"/>
    <x v="0"/>
    <x v="1"/>
    <x v="5"/>
    <x v="4"/>
    <n v="2021"/>
    <x v="1"/>
    <s v="N/A"/>
    <n v="1380115"/>
    <s v="Confirmed"/>
    <n v="1380115"/>
    <x v="0"/>
    <x v="0"/>
    <m/>
    <x v="2"/>
    <x v="0"/>
    <m/>
    <n v="2"/>
    <x v="0"/>
    <s v="Moderate"/>
    <n v="222008693.93354639"/>
  </r>
  <r>
    <x v="0"/>
    <x v="113"/>
    <x v="113"/>
    <x v="1"/>
    <x v="0"/>
    <x v="1"/>
    <x v="5"/>
    <x v="5"/>
    <n v="2021"/>
    <x v="1"/>
    <s v="N/A"/>
    <s v=""/>
    <s v="Confirmed"/>
    <s v=""/>
    <x v="0"/>
    <x v="0"/>
    <m/>
    <x v="1"/>
    <x v="1"/>
    <m/>
    <n v="0"/>
    <x v="0"/>
    <s v=""/>
    <n v="2564993795.1894679"/>
  </r>
  <r>
    <x v="0"/>
    <x v="114"/>
    <x v="114"/>
    <x v="3"/>
    <x v="0"/>
    <x v="1"/>
    <x v="5"/>
    <x v="5"/>
    <n v="2021"/>
    <x v="1"/>
    <s v="N/A"/>
    <s v=""/>
    <s v="Confirmed"/>
    <s v=""/>
    <x v="0"/>
    <x v="0"/>
    <m/>
    <x v="3"/>
    <x v="1"/>
    <m/>
    <n v="0"/>
    <x v="1"/>
    <s v="N/A"/>
    <n v="60237542.945069775"/>
  </r>
  <r>
    <x v="0"/>
    <x v="115"/>
    <x v="115"/>
    <x v="5"/>
    <x v="0"/>
    <x v="1"/>
    <x v="5"/>
    <x v="4"/>
    <n v="2021"/>
    <x v="1"/>
    <s v="N/A"/>
    <n v="967690"/>
    <s v="Confirmed"/>
    <n v="967687"/>
    <x v="0"/>
    <x v="0"/>
    <m/>
    <x v="0"/>
    <x v="0"/>
    <m/>
    <n v="0"/>
    <x v="0"/>
    <s v="High"/>
    <n v="63738640.538260505"/>
  </r>
  <r>
    <x v="0"/>
    <x v="116"/>
    <x v="116"/>
    <x v="6"/>
    <x v="0"/>
    <x v="1"/>
    <x v="5"/>
    <x v="5"/>
    <n v="2021"/>
    <x v="1"/>
    <s v="N/A"/>
    <s v=""/>
    <s v="Confirmed"/>
    <s v=""/>
    <x v="0"/>
    <x v="0"/>
    <m/>
    <x v="2"/>
    <x v="0"/>
    <m/>
    <n v="0"/>
    <x v="1"/>
    <s v="Moderate"/>
    <n v="49012774.055630356"/>
  </r>
  <r>
    <x v="0"/>
    <x v="117"/>
    <x v="117"/>
    <x v="3"/>
    <x v="0"/>
    <x v="1"/>
    <x v="5"/>
    <x v="4"/>
    <n v="2021"/>
    <x v="1"/>
    <s v="N/A"/>
    <n v="5100000"/>
    <s v="Confirmed"/>
    <n v="5100000"/>
    <x v="0"/>
    <x v="0"/>
    <m/>
    <x v="0"/>
    <x v="0"/>
    <m/>
    <n v="1"/>
    <x v="0"/>
    <s v="In distress"/>
    <s v=""/>
  </r>
  <r>
    <x v="0"/>
    <x v="118"/>
    <x v="118"/>
    <x v="3"/>
    <x v="0"/>
    <x v="1"/>
    <x v="5"/>
    <x v="5"/>
    <n v="2021"/>
    <x v="1"/>
    <s v="N/A"/>
    <s v=""/>
    <s v="Confirmed"/>
    <s v=""/>
    <x v="0"/>
    <x v="0"/>
    <m/>
    <x v="1"/>
    <x v="1"/>
    <m/>
    <n v="0"/>
    <x v="0"/>
    <s v="N/A"/>
    <n v="16429121142.784708"/>
  </r>
  <r>
    <x v="0"/>
    <x v="119"/>
    <x v="119"/>
    <x v="3"/>
    <x v="0"/>
    <x v="1"/>
    <x v="5"/>
    <x v="4"/>
    <n v="2021"/>
    <x v="1"/>
    <s v="N/A"/>
    <n v="2988882"/>
    <s v="Confirmed"/>
    <n v="2766766"/>
    <x v="0"/>
    <x v="0"/>
    <m/>
    <x v="0"/>
    <x v="0"/>
    <m/>
    <n v="1"/>
    <x v="0"/>
    <s v="High"/>
    <n v="31684581.76217727"/>
  </r>
  <r>
    <x v="0"/>
    <x v="120"/>
    <x v="120"/>
    <x v="0"/>
    <x v="0"/>
    <x v="1"/>
    <x v="5"/>
    <x v="6"/>
    <n v="2021"/>
    <x v="1"/>
    <s v="N/A"/>
    <n v="981803"/>
    <s v="Confirmed"/>
    <n v="981803"/>
    <x v="0"/>
    <x v="0"/>
    <m/>
    <x v="2"/>
    <x v="0"/>
    <m/>
    <n v="0"/>
    <x v="0"/>
    <s v="N/A"/>
    <n v="1373621563.5182886"/>
  </r>
  <r>
    <x v="0"/>
    <x v="121"/>
    <x v="121"/>
    <x v="4"/>
    <x v="0"/>
    <x v="1"/>
    <x v="5"/>
    <x v="5"/>
    <n v="2021"/>
    <x v="1"/>
    <s v="N/A"/>
    <s v=""/>
    <s v="Confirmed"/>
    <s v=""/>
    <x v="0"/>
    <x v="0"/>
    <m/>
    <x v="3"/>
    <x v="1"/>
    <m/>
    <n v="0"/>
    <x v="1"/>
    <s v=""/>
    <n v="24214370.889062837"/>
  </r>
  <r>
    <x v="0"/>
    <x v="122"/>
    <x v="122"/>
    <x v="4"/>
    <x v="0"/>
    <x v="1"/>
    <x v="5"/>
    <x v="6"/>
    <n v="2021"/>
    <x v="1"/>
    <s v="N/A"/>
    <n v="230000"/>
    <s v="Confirmed"/>
    <n v="230000"/>
    <x v="0"/>
    <x v="0"/>
    <m/>
    <x v="1"/>
    <x v="0"/>
    <m/>
    <n v="0"/>
    <x v="1"/>
    <s v="…"/>
    <n v="39941279.609447442"/>
  </r>
  <r>
    <x v="0"/>
    <x v="123"/>
    <x v="123"/>
    <x v="4"/>
    <x v="0"/>
    <x v="1"/>
    <x v="5"/>
    <x v="6"/>
    <n v="2021"/>
    <x v="1"/>
    <s v="N/A"/>
    <n v="230000"/>
    <s v="Confirmed"/>
    <n v="230000"/>
    <x v="0"/>
    <x v="0"/>
    <m/>
    <x v="1"/>
    <x v="0"/>
    <m/>
    <n v="0"/>
    <x v="1"/>
    <s v="High"/>
    <n v="24761675.260059897"/>
  </r>
  <r>
    <x v="0"/>
    <x v="124"/>
    <x v="124"/>
    <x v="2"/>
    <x v="0"/>
    <x v="1"/>
    <x v="5"/>
    <x v="6"/>
    <n v="2021"/>
    <x v="1"/>
    <s v="N/A"/>
    <n v="230000"/>
    <s v="Confirmed"/>
    <n v="230000"/>
    <x v="0"/>
    <x v="0"/>
    <m/>
    <x v="2"/>
    <x v="0"/>
    <m/>
    <n v="0"/>
    <x v="0"/>
    <s v="N/A"/>
    <s v=""/>
  </r>
  <r>
    <x v="0"/>
    <x v="125"/>
    <x v="125"/>
    <x v="2"/>
    <x v="0"/>
    <x v="1"/>
    <x v="5"/>
    <x v="4"/>
    <n v="2021"/>
    <x v="1"/>
    <s v="N/A"/>
    <n v="3536420"/>
    <s v="Confirmed"/>
    <n v="3536433"/>
    <x v="0"/>
    <x v="0"/>
    <m/>
    <x v="0"/>
    <x v="0"/>
    <m/>
    <n v="1"/>
    <x v="0"/>
    <s v="N/A"/>
    <n v="577156172.71229994"/>
  </r>
  <r>
    <x v="0"/>
    <x v="126"/>
    <x v="126"/>
    <x v="6"/>
    <x v="0"/>
    <x v="1"/>
    <x v="5"/>
    <x v="5"/>
    <n v="2021"/>
    <x v="1"/>
    <s v="N/A"/>
    <s v=""/>
    <s v="Confirmed"/>
    <s v=""/>
    <x v="0"/>
    <x v="0"/>
    <m/>
    <x v="1"/>
    <x v="1"/>
    <m/>
    <n v="0"/>
    <x v="1"/>
    <s v=""/>
    <n v="180052034.19851837"/>
  </r>
  <r>
    <x v="0"/>
    <x v="127"/>
    <x v="127"/>
    <x v="2"/>
    <x v="0"/>
    <x v="1"/>
    <x v="5"/>
    <x v="4"/>
    <n v="2021"/>
    <x v="1"/>
    <s v="N/A"/>
    <n v="3451738"/>
    <s v="Confirmed"/>
    <n v="2730325"/>
    <x v="0"/>
    <x v="0"/>
    <m/>
    <x v="0"/>
    <x v="0"/>
    <m/>
    <n v="1"/>
    <x v="0"/>
    <s v="N/A"/>
    <s v=""/>
  </r>
  <r>
    <x v="0"/>
    <x v="128"/>
    <x v="128"/>
    <x v="1"/>
    <x v="0"/>
    <x v="1"/>
    <x v="5"/>
    <x v="4"/>
    <n v="2021"/>
    <x v="1"/>
    <s v="N/A"/>
    <n v="978461"/>
    <s v="Confirmed"/>
    <n v="978461"/>
    <x v="0"/>
    <x v="0"/>
    <m/>
    <x v="2"/>
    <x v="0"/>
    <m/>
    <n v="0"/>
    <x v="0"/>
    <s v="High"/>
    <n v="147296124.32232863"/>
  </r>
  <r>
    <x v="0"/>
    <x v="129"/>
    <x v="129"/>
    <x v="3"/>
    <x v="0"/>
    <x v="1"/>
    <x v="5"/>
    <x v="4"/>
    <n v="2021"/>
    <x v="1"/>
    <s v="N/A"/>
    <n v="6752492"/>
    <s v="Confirmed"/>
    <n v="6752492"/>
    <x v="0"/>
    <x v="0"/>
    <m/>
    <x v="2"/>
    <x v="0"/>
    <m/>
    <n v="0"/>
    <x v="0"/>
    <s v="…"/>
    <n v="890576536.83065879"/>
  </r>
  <r>
    <x v="0"/>
    <x v="130"/>
    <x v="130"/>
    <x v="6"/>
    <x v="0"/>
    <x v="1"/>
    <x v="5"/>
    <x v="5"/>
    <n v="2021"/>
    <x v="1"/>
    <s v="N/A"/>
    <s v=""/>
    <s v="Confirmed"/>
    <s v=""/>
    <x v="0"/>
    <x v="0"/>
    <m/>
    <x v="1"/>
    <x v="1"/>
    <m/>
    <n v="0"/>
    <x v="0"/>
    <s v=""/>
    <n v="14611129792.346064"/>
  </r>
  <r>
    <x v="0"/>
    <x v="131"/>
    <x v="131"/>
    <x v="6"/>
    <x v="0"/>
    <x v="1"/>
    <x v="5"/>
    <x v="4"/>
    <n v="2021"/>
    <x v="1"/>
    <s v="N/A"/>
    <n v="244615"/>
    <s v="Confirmed"/>
    <n v="244615"/>
    <x v="0"/>
    <x v="0"/>
    <m/>
    <x v="2"/>
    <x v="0"/>
    <m/>
    <n v="0"/>
    <x v="1"/>
    <s v="Low"/>
    <n v="72046877.233008593"/>
  </r>
  <r>
    <x v="0"/>
    <x v="132"/>
    <x v="132"/>
    <x v="5"/>
    <x v="0"/>
    <x v="1"/>
    <x v="5"/>
    <x v="4"/>
    <n v="2021"/>
    <x v="1"/>
    <s v="N/A"/>
    <n v="1000017"/>
    <s v="Confirmed"/>
    <n v="1000017"/>
    <x v="0"/>
    <x v="0"/>
    <m/>
    <x v="0"/>
    <x v="0"/>
    <m/>
    <n v="0"/>
    <x v="0"/>
    <s v="High"/>
    <n v="56248139.267255567"/>
  </r>
  <r>
    <x v="0"/>
    <x v="133"/>
    <x v="133"/>
    <x v="6"/>
    <x v="0"/>
    <x v="1"/>
    <x v="5"/>
    <x v="6"/>
    <n v="2021"/>
    <x v="1"/>
    <s v="N/A"/>
    <n v="230000"/>
    <s v="Confirmed"/>
    <n v="230000"/>
    <x v="0"/>
    <x v="0"/>
    <m/>
    <x v="1"/>
    <x v="0"/>
    <m/>
    <n v="0"/>
    <x v="1"/>
    <s v="High"/>
    <n v="15464031.712942109"/>
  </r>
  <r>
    <x v="0"/>
    <x v="134"/>
    <x v="134"/>
    <x v="4"/>
    <x v="0"/>
    <x v="1"/>
    <x v="5"/>
    <x v="5"/>
    <n v="2021"/>
    <x v="1"/>
    <s v="N/A"/>
    <s v=""/>
    <s v="Confirmed"/>
    <s v=""/>
    <x v="0"/>
    <x v="0"/>
    <m/>
    <x v="3"/>
    <x v="1"/>
    <m/>
    <n v="0"/>
    <x v="1"/>
    <s v="N/A"/>
    <n v="769564399.33249676"/>
  </r>
  <r>
    <x v="0"/>
    <x v="135"/>
    <x v="135"/>
    <x v="2"/>
    <x v="0"/>
    <x v="1"/>
    <x v="5"/>
    <x v="6"/>
    <n v="2021"/>
    <x v="1"/>
    <s v="N/A"/>
    <n v="530082"/>
    <s v="Confirmed"/>
    <n v="530082"/>
    <x v="0"/>
    <x v="0"/>
    <m/>
    <x v="2"/>
    <x v="0"/>
    <m/>
    <n v="0"/>
    <x v="0"/>
    <s v="N/A"/>
    <n v="1668954539.7630196"/>
  </r>
  <r>
    <x v="0"/>
    <x v="136"/>
    <x v="136"/>
    <x v="1"/>
    <x v="0"/>
    <x v="1"/>
    <x v="5"/>
    <x v="5"/>
    <n v="2021"/>
    <x v="1"/>
    <s v="N/A"/>
    <s v=""/>
    <s v="Confirmed"/>
    <s v=""/>
    <x v="0"/>
    <x v="0"/>
    <m/>
    <x v="1"/>
    <x v="1"/>
    <m/>
    <n v="0"/>
    <x v="0"/>
    <s v=""/>
    <n v="24840920016.18832"/>
  </r>
  <r>
    <x v="0"/>
    <x v="137"/>
    <x v="137"/>
    <x v="1"/>
    <x v="0"/>
    <x v="1"/>
    <x v="5"/>
    <x v="5"/>
    <n v="2021"/>
    <x v="1"/>
    <s v="N/A"/>
    <s v=""/>
    <s v="Confirmed"/>
    <s v=""/>
    <x v="0"/>
    <x v="0"/>
    <m/>
    <x v="1"/>
    <x v="1"/>
    <m/>
    <n v="0"/>
    <x v="0"/>
    <s v="N/A"/>
    <n v="487888462.83720118"/>
  </r>
  <r>
    <x v="0"/>
    <x v="138"/>
    <x v="138"/>
    <x v="6"/>
    <x v="0"/>
    <x v="1"/>
    <x v="5"/>
    <x v="6"/>
    <n v="2021"/>
    <x v="1"/>
    <s v="N/A"/>
    <n v="230000"/>
    <s v="Confirmed"/>
    <n v="230000"/>
    <x v="0"/>
    <x v="0"/>
    <m/>
    <x v="1"/>
    <x v="0"/>
    <m/>
    <n v="0"/>
    <x v="1"/>
    <s v="…"/>
    <n v="6365061.1736073596"/>
  </r>
  <r>
    <x v="0"/>
    <x v="139"/>
    <x v="139"/>
    <x v="3"/>
    <x v="0"/>
    <x v="1"/>
    <x v="5"/>
    <x v="4"/>
    <n v="2021"/>
    <x v="1"/>
    <s v="N/A"/>
    <n v="3554186"/>
    <s v="Confirmed"/>
    <n v="3554186"/>
    <x v="0"/>
    <x v="0"/>
    <m/>
    <x v="0"/>
    <x v="0"/>
    <m/>
    <n v="2"/>
    <x v="0"/>
    <s v="Low"/>
    <n v="291799092.90196139"/>
  </r>
  <r>
    <x v="0"/>
    <x v="140"/>
    <x v="140"/>
    <x v="1"/>
    <x v="0"/>
    <x v="1"/>
    <x v="5"/>
    <x v="6"/>
    <n v="2021"/>
    <x v="1"/>
    <s v="N/A"/>
    <n v="1977835"/>
    <s v="Confirmed"/>
    <n v="1977835"/>
    <x v="0"/>
    <x v="0"/>
    <m/>
    <x v="2"/>
    <x v="0"/>
    <m/>
    <n v="0"/>
    <x v="0"/>
    <s v="N/A"/>
    <n v="4844815340.2135534"/>
  </r>
  <r>
    <x v="0"/>
    <x v="141"/>
    <x v="141"/>
    <x v="4"/>
    <x v="0"/>
    <x v="1"/>
    <x v="5"/>
    <x v="5"/>
    <n v="2021"/>
    <x v="1"/>
    <s v="N/A"/>
    <s v=""/>
    <s v="Confirmed"/>
    <s v=""/>
    <x v="0"/>
    <x v="0"/>
    <m/>
    <x v="3"/>
    <x v="1"/>
    <m/>
    <n v="0"/>
    <x v="0"/>
    <s v=""/>
    <n v="4001891446.6871672"/>
  </r>
  <r>
    <x v="0"/>
    <x v="142"/>
    <x v="142"/>
    <x v="1"/>
    <x v="0"/>
    <x v="1"/>
    <x v="5"/>
    <x v="4"/>
    <n v="2021"/>
    <x v="1"/>
    <s v="N/A"/>
    <n v="2404057"/>
    <s v="Confirmed"/>
    <n v="2404057"/>
    <x v="0"/>
    <x v="0"/>
    <m/>
    <x v="2"/>
    <x v="0"/>
    <m/>
    <n v="0"/>
    <x v="0"/>
    <s v="Low"/>
    <n v="1019800630.5853213"/>
  </r>
  <r>
    <x v="0"/>
    <x v="143"/>
    <x v="143"/>
    <x v="6"/>
    <x v="0"/>
    <x v="1"/>
    <x v="5"/>
    <x v="6"/>
    <n v="2021"/>
    <x v="1"/>
    <s v="N/A"/>
    <n v="230000"/>
    <s v="Confirmed"/>
    <n v="230000"/>
    <x v="0"/>
    <x v="0"/>
    <m/>
    <x v="2"/>
    <x v="0"/>
    <m/>
    <n v="0"/>
    <x v="1"/>
    <s v="Moderate"/>
    <n v="19578671.310841195"/>
  </r>
  <r>
    <x v="0"/>
    <x v="144"/>
    <x v="144"/>
    <x v="4"/>
    <x v="0"/>
    <x v="1"/>
    <x v="5"/>
    <x v="5"/>
    <n v="2021"/>
    <x v="1"/>
    <s v="N/A"/>
    <s v=""/>
    <s v="Confirmed"/>
    <s v=""/>
    <x v="0"/>
    <x v="0"/>
    <m/>
    <x v="4"/>
    <x v="1"/>
    <m/>
    <n v="0"/>
    <x v="0"/>
    <s v="N/A"/>
    <n v="3551452001.0684834"/>
  </r>
  <r>
    <x v="0"/>
    <x v="145"/>
    <x v="145"/>
    <x v="6"/>
    <x v="0"/>
    <x v="1"/>
    <x v="5"/>
    <x v="4"/>
    <n v="2021"/>
    <x v="1"/>
    <s v="N/A"/>
    <n v="3000000"/>
    <s v="Confirmed"/>
    <n v="1172197"/>
    <x v="0"/>
    <x v="0"/>
    <m/>
    <x v="2"/>
    <x v="0"/>
    <m/>
    <n v="0"/>
    <x v="0"/>
    <s v="N/A"/>
    <n v="6603048821.7575006"/>
  </r>
  <r>
    <x v="0"/>
    <x v="146"/>
    <x v="146"/>
    <x v="2"/>
    <x v="0"/>
    <x v="1"/>
    <x v="5"/>
    <x v="4"/>
    <n v="2021"/>
    <x v="1"/>
    <s v="N/A"/>
    <n v="4283509"/>
    <s v="Confirmed"/>
    <n v="4283508"/>
    <x v="0"/>
    <x v="0"/>
    <m/>
    <x v="0"/>
    <x v="0"/>
    <m/>
    <n v="1"/>
    <x v="0"/>
    <s v="…"/>
    <s v=""/>
  </r>
  <r>
    <x v="0"/>
    <x v="147"/>
    <x v="147"/>
    <x v="3"/>
    <x v="0"/>
    <x v="1"/>
    <x v="5"/>
    <x v="4"/>
    <n v="2021"/>
    <x v="1"/>
    <s v="N/A"/>
    <n v="1920838"/>
    <s v="Confirmed"/>
    <n v="1920838"/>
    <x v="0"/>
    <x v="0"/>
    <m/>
    <x v="2"/>
    <x v="0"/>
    <m/>
    <n v="0"/>
    <x v="0"/>
    <s v="High"/>
    <n v="515352723.9821828"/>
  </r>
  <r>
    <x v="0"/>
    <x v="148"/>
    <x v="148"/>
    <x v="3"/>
    <x v="0"/>
    <x v="1"/>
    <x v="5"/>
    <x v="4"/>
    <n v="2021"/>
    <x v="1"/>
    <s v="N/A"/>
    <n v="1388818"/>
    <s v="Confirmed"/>
    <n v="1388818"/>
    <x v="0"/>
    <x v="0"/>
    <m/>
    <x v="2"/>
    <x v="0"/>
    <m/>
    <n v="0"/>
    <x v="0"/>
    <s v="N/A"/>
    <n v="566711742.22428358"/>
  </r>
  <r>
    <x v="0"/>
    <x v="0"/>
    <x v="0"/>
    <x v="0"/>
    <x v="0"/>
    <x v="1"/>
    <x v="6"/>
    <x v="7"/>
    <n v="2021"/>
    <x v="1"/>
    <s v="N/A"/>
    <n v="502703"/>
    <s v="Confirmed"/>
    <m/>
    <x v="0"/>
    <x v="0"/>
    <m/>
    <x v="0"/>
    <x v="0"/>
    <m/>
    <n v="1"/>
    <x v="0"/>
    <s v="High"/>
    <n v="95829480.719269618"/>
  </r>
  <r>
    <x v="0"/>
    <x v="1"/>
    <x v="1"/>
    <x v="1"/>
    <x v="0"/>
    <x v="1"/>
    <x v="6"/>
    <x v="7"/>
    <n v="2021"/>
    <x v="1"/>
    <s v="N/A"/>
    <n v="0"/>
    <s v="Confirmed"/>
    <m/>
    <x v="0"/>
    <x v="0"/>
    <m/>
    <x v="1"/>
    <x v="1"/>
    <m/>
    <n v="0"/>
    <x v="0"/>
    <s v=""/>
    <n v="427904035.52443534"/>
  </r>
  <r>
    <x v="0"/>
    <x v="2"/>
    <x v="2"/>
    <x v="2"/>
    <x v="0"/>
    <x v="1"/>
    <x v="6"/>
    <x v="7"/>
    <n v="2021"/>
    <x v="1"/>
    <s v="N/A"/>
    <n v="33499.5"/>
    <s v="Confirmed"/>
    <m/>
    <x v="0"/>
    <x v="0"/>
    <m/>
    <x v="2"/>
    <x v="0"/>
    <m/>
    <n v="0"/>
    <x v="0"/>
    <s v="N/A"/>
    <n v="7113361022.7267885"/>
  </r>
  <r>
    <x v="0"/>
    <x v="3"/>
    <x v="3"/>
    <x v="3"/>
    <x v="0"/>
    <x v="1"/>
    <x v="6"/>
    <x v="7"/>
    <n v="2021"/>
    <x v="1"/>
    <s v="N/A"/>
    <n v="29999.59"/>
    <s v="Confirmed"/>
    <m/>
    <x v="0"/>
    <x v="0"/>
    <m/>
    <x v="2"/>
    <x v="0"/>
    <m/>
    <n v="0"/>
    <x v="0"/>
    <s v="…"/>
    <n v="1131865946.5875781"/>
  </r>
  <r>
    <x v="0"/>
    <x v="4"/>
    <x v="4"/>
    <x v="4"/>
    <x v="0"/>
    <x v="1"/>
    <x v="6"/>
    <x v="7"/>
    <n v="2021"/>
    <x v="1"/>
    <s v="N/A"/>
    <n v="0"/>
    <s v="Confirmed"/>
    <m/>
    <x v="0"/>
    <x v="0"/>
    <m/>
    <x v="3"/>
    <x v="1"/>
    <m/>
    <n v="0"/>
    <x v="1"/>
    <s v=""/>
    <n v="46777779.823447868"/>
  </r>
  <r>
    <x v="0"/>
    <x v="5"/>
    <x v="5"/>
    <x v="4"/>
    <x v="0"/>
    <x v="1"/>
    <x v="6"/>
    <x v="7"/>
    <n v="2021"/>
    <x v="1"/>
    <s v="N/A"/>
    <n v="0"/>
    <s v="Confirmed"/>
    <m/>
    <x v="0"/>
    <x v="0"/>
    <m/>
    <x v="1"/>
    <x v="1"/>
    <m/>
    <n v="0"/>
    <x v="0"/>
    <s v=""/>
    <n v="30725305777.596794"/>
  </r>
  <r>
    <x v="0"/>
    <x v="6"/>
    <x v="6"/>
    <x v="1"/>
    <x v="0"/>
    <x v="1"/>
    <x v="6"/>
    <x v="7"/>
    <n v="2021"/>
    <x v="1"/>
    <s v="N/A"/>
    <n v="0"/>
    <s v="Confirmed"/>
    <m/>
    <x v="0"/>
    <x v="0"/>
    <m/>
    <x v="1"/>
    <x v="1"/>
    <m/>
    <n v="0"/>
    <x v="0"/>
    <s v=""/>
    <n v="153815827.8380394"/>
  </r>
  <r>
    <x v="0"/>
    <x v="7"/>
    <x v="7"/>
    <x v="1"/>
    <x v="0"/>
    <x v="1"/>
    <x v="6"/>
    <x v="7"/>
    <n v="2021"/>
    <x v="1"/>
    <s v="N/A"/>
    <n v="0"/>
    <s v="Confirmed"/>
    <m/>
    <x v="0"/>
    <x v="0"/>
    <m/>
    <x v="1"/>
    <x v="1"/>
    <m/>
    <n v="0"/>
    <x v="0"/>
    <s v="N/A"/>
    <n v="437525105.31216973"/>
  </r>
  <r>
    <x v="0"/>
    <x v="8"/>
    <x v="8"/>
    <x v="4"/>
    <x v="0"/>
    <x v="1"/>
    <x v="6"/>
    <x v="7"/>
    <n v="2021"/>
    <x v="1"/>
    <s v="N/A"/>
    <n v="0"/>
    <s v="Confirmed"/>
    <m/>
    <x v="0"/>
    <x v="0"/>
    <m/>
    <x v="3"/>
    <x v="1"/>
    <m/>
    <n v="0"/>
    <x v="1"/>
    <s v=""/>
    <n v="149463302.00602186"/>
  </r>
  <r>
    <x v="0"/>
    <x v="9"/>
    <x v="9"/>
    <x v="0"/>
    <x v="0"/>
    <x v="1"/>
    <x v="6"/>
    <x v="7"/>
    <n v="2021"/>
    <x v="1"/>
    <s v="N/A"/>
    <n v="389427"/>
    <s v="Confirmed"/>
    <m/>
    <x v="0"/>
    <x v="0"/>
    <m/>
    <x v="2"/>
    <x v="0"/>
    <m/>
    <n v="0"/>
    <x v="0"/>
    <s v="Low"/>
    <n v="1148322593.9600098"/>
  </r>
  <r>
    <x v="0"/>
    <x v="10"/>
    <x v="10"/>
    <x v="1"/>
    <x v="0"/>
    <x v="1"/>
    <x v="6"/>
    <x v="7"/>
    <n v="2021"/>
    <x v="1"/>
    <s v="N/A"/>
    <n v="0"/>
    <s v="Confirmed"/>
    <m/>
    <x v="0"/>
    <x v="0"/>
    <m/>
    <x v="1"/>
    <x v="1"/>
    <m/>
    <n v="0"/>
    <x v="0"/>
    <s v=""/>
    <n v="2371102058.1093163"/>
  </r>
  <r>
    <x v="0"/>
    <x v="11"/>
    <x v="11"/>
    <x v="4"/>
    <x v="0"/>
    <x v="1"/>
    <x v="6"/>
    <x v="7"/>
    <n v="2021"/>
    <x v="1"/>
    <s v="N/A"/>
    <n v="0"/>
    <s v="Confirmed"/>
    <m/>
    <x v="0"/>
    <x v="0"/>
    <m/>
    <x v="2"/>
    <x v="1"/>
    <m/>
    <n v="0"/>
    <x v="1"/>
    <s v="N/A"/>
    <n v="75151620.005215243"/>
  </r>
  <r>
    <x v="0"/>
    <x v="12"/>
    <x v="12"/>
    <x v="5"/>
    <x v="0"/>
    <x v="1"/>
    <x v="6"/>
    <x v="7"/>
    <n v="2021"/>
    <x v="1"/>
    <s v="N/A"/>
    <n v="142437"/>
    <s v="Confirmed"/>
    <m/>
    <x v="0"/>
    <x v="0"/>
    <m/>
    <x v="2"/>
    <x v="0"/>
    <m/>
    <n v="0"/>
    <x v="0"/>
    <s v="Moderate"/>
    <n v="69958487.197715744"/>
  </r>
  <r>
    <x v="0"/>
    <x v="13"/>
    <x v="13"/>
    <x v="0"/>
    <x v="0"/>
    <x v="1"/>
    <x v="6"/>
    <x v="7"/>
    <n v="2021"/>
    <x v="1"/>
    <s v="N/A"/>
    <n v="40000"/>
    <s v="Confirmed"/>
    <m/>
    <x v="0"/>
    <x v="0"/>
    <m/>
    <x v="2"/>
    <x v="0"/>
    <m/>
    <n v="0"/>
    <x v="0"/>
    <s v="…"/>
    <n v="61654608.560629159"/>
  </r>
  <r>
    <x v="0"/>
    <x v="14"/>
    <x v="14"/>
    <x v="4"/>
    <x v="0"/>
    <x v="1"/>
    <x v="6"/>
    <x v="7"/>
    <n v="2021"/>
    <x v="1"/>
    <s v="N/A"/>
    <n v="100000"/>
    <s v="Confirmed"/>
    <m/>
    <x v="0"/>
    <x v="0"/>
    <m/>
    <x v="2"/>
    <x v="0"/>
    <m/>
    <n v="0"/>
    <x v="0"/>
    <s v="N/A"/>
    <n v="1806638707.7615163"/>
  </r>
  <r>
    <x v="0"/>
    <x v="15"/>
    <x v="15"/>
    <x v="1"/>
    <x v="0"/>
    <x v="1"/>
    <x v="6"/>
    <x v="7"/>
    <n v="2021"/>
    <x v="1"/>
    <s v="N/A"/>
    <n v="0"/>
    <s v="Confirmed"/>
    <m/>
    <x v="0"/>
    <x v="0"/>
    <m/>
    <x v="1"/>
    <x v="1"/>
    <m/>
    <n v="0"/>
    <x v="0"/>
    <s v="N/A"/>
    <n v="1252696525.0627904"/>
  </r>
  <r>
    <x v="0"/>
    <x v="16"/>
    <x v="16"/>
    <x v="3"/>
    <x v="0"/>
    <x v="1"/>
    <x v="6"/>
    <x v="7"/>
    <n v="2021"/>
    <x v="1"/>
    <s v="N/A"/>
    <n v="0"/>
    <s v="Confirmed"/>
    <m/>
    <x v="0"/>
    <x v="0"/>
    <m/>
    <x v="1"/>
    <x v="1"/>
    <m/>
    <n v="0"/>
    <x v="0"/>
    <s v=""/>
    <n v="843425084.07334602"/>
  </r>
  <r>
    <x v="0"/>
    <x v="17"/>
    <x v="17"/>
    <x v="4"/>
    <x v="0"/>
    <x v="1"/>
    <x v="6"/>
    <x v="7"/>
    <n v="2021"/>
    <x v="1"/>
    <s v="N/A"/>
    <n v="0"/>
    <s v="Confirmed"/>
    <m/>
    <x v="0"/>
    <x v="0"/>
    <m/>
    <x v="1"/>
    <x v="1"/>
    <m/>
    <n v="0"/>
    <x v="0"/>
    <s v="N/A"/>
    <n v="74055620038.853683"/>
  </r>
  <r>
    <x v="0"/>
    <x v="18"/>
    <x v="18"/>
    <x v="1"/>
    <x v="0"/>
    <x v="1"/>
    <x v="6"/>
    <x v="7"/>
    <n v="2021"/>
    <x v="1"/>
    <s v="N/A"/>
    <n v="0"/>
    <s v="Confirmed"/>
    <m/>
    <x v="0"/>
    <x v="0"/>
    <m/>
    <x v="1"/>
    <x v="1"/>
    <m/>
    <n v="0"/>
    <x v="0"/>
    <s v=""/>
    <n v="2803357765.5888777"/>
  </r>
  <r>
    <x v="0"/>
    <x v="19"/>
    <x v="19"/>
    <x v="5"/>
    <x v="0"/>
    <x v="1"/>
    <x v="6"/>
    <x v="7"/>
    <n v="2021"/>
    <x v="1"/>
    <s v="N/A"/>
    <n v="398040"/>
    <s v="Confirmed"/>
    <m/>
    <x v="0"/>
    <x v="0"/>
    <m/>
    <x v="0"/>
    <x v="0"/>
    <m/>
    <n v="2"/>
    <x v="0"/>
    <s v="Moderate"/>
    <n v="337927779.25510043"/>
  </r>
  <r>
    <x v="0"/>
    <x v="20"/>
    <x v="20"/>
    <x v="3"/>
    <x v="0"/>
    <x v="1"/>
    <x v="6"/>
    <x v="7"/>
    <n v="2021"/>
    <x v="1"/>
    <s v="N/A"/>
    <n v="185859"/>
    <s v="Confirmed"/>
    <m/>
    <x v="0"/>
    <x v="0"/>
    <m/>
    <x v="0"/>
    <x v="0"/>
    <m/>
    <n v="2"/>
    <x v="0"/>
    <s v="…"/>
    <n v="65979512.47399316"/>
  </r>
  <r>
    <x v="0"/>
    <x v="21"/>
    <x v="21"/>
    <x v="5"/>
    <x v="0"/>
    <x v="1"/>
    <x v="6"/>
    <x v="7"/>
    <n v="2021"/>
    <x v="1"/>
    <s v="N/A"/>
    <n v="104999.54000000001"/>
    <s v="Confirmed"/>
    <m/>
    <x v="0"/>
    <x v="0"/>
    <m/>
    <x v="2"/>
    <x v="0"/>
    <m/>
    <n v="0"/>
    <x v="1"/>
    <s v="High"/>
    <n v="63748362.778827004"/>
  </r>
  <r>
    <x v="0"/>
    <x v="22"/>
    <x v="22"/>
    <x v="6"/>
    <x v="0"/>
    <x v="1"/>
    <x v="6"/>
    <x v="7"/>
    <n v="2021"/>
    <x v="1"/>
    <s v="N/A"/>
    <n v="136826"/>
    <s v="Confirmed"/>
    <m/>
    <x v="0"/>
    <x v="0"/>
    <m/>
    <x v="2"/>
    <x v="0"/>
    <m/>
    <n v="0"/>
    <x v="0"/>
    <s v="Low"/>
    <n v="313039649.45369786"/>
  </r>
  <r>
    <x v="0"/>
    <x v="23"/>
    <x v="23"/>
    <x v="5"/>
    <x v="0"/>
    <x v="1"/>
    <x v="6"/>
    <x v="7"/>
    <n v="2021"/>
    <x v="1"/>
    <s v="N/A"/>
    <n v="328692"/>
    <s v="Confirmed"/>
    <m/>
    <x v="0"/>
    <x v="0"/>
    <m/>
    <x v="2"/>
    <x v="0"/>
    <m/>
    <n v="2"/>
    <x v="0"/>
    <s v="High"/>
    <n v="81361801.477472037"/>
  </r>
  <r>
    <x v="0"/>
    <x v="24"/>
    <x v="24"/>
    <x v="5"/>
    <x v="0"/>
    <x v="1"/>
    <x v="6"/>
    <x v="7"/>
    <n v="2021"/>
    <x v="1"/>
    <s v="N/A"/>
    <n v="557042"/>
    <s v="Confirmed"/>
    <m/>
    <x v="0"/>
    <x v="0"/>
    <m/>
    <x v="0"/>
    <x v="0"/>
    <m/>
    <n v="1"/>
    <x v="0"/>
    <s v="High"/>
    <s v=""/>
  </r>
  <r>
    <x v="0"/>
    <x v="25"/>
    <x v="25"/>
    <x v="5"/>
    <x v="0"/>
    <x v="1"/>
    <x v="6"/>
    <x v="7"/>
    <n v="2021"/>
    <x v="1"/>
    <s v="N/A"/>
    <n v="455627"/>
    <s v="Confirmed"/>
    <m/>
    <x v="0"/>
    <x v="0"/>
    <m/>
    <x v="0"/>
    <x v="0"/>
    <m/>
    <n v="1"/>
    <x v="0"/>
    <s v="High"/>
    <n v="76939306.715636879"/>
  </r>
  <r>
    <x v="0"/>
    <x v="26"/>
    <x v="26"/>
    <x v="4"/>
    <x v="0"/>
    <x v="1"/>
    <x v="6"/>
    <x v="7"/>
    <n v="2021"/>
    <x v="1"/>
    <s v="N/A"/>
    <n v="0"/>
    <s v="Confirmed"/>
    <m/>
    <x v="0"/>
    <x v="0"/>
    <m/>
    <x v="3"/>
    <x v="1"/>
    <m/>
    <n v="0"/>
    <x v="0"/>
    <s v=""/>
    <n v="13859708717.682571"/>
  </r>
  <r>
    <x v="0"/>
    <x v="27"/>
    <x v="27"/>
    <x v="6"/>
    <x v="0"/>
    <x v="1"/>
    <x v="6"/>
    <x v="7"/>
    <n v="2021"/>
    <x v="1"/>
    <s v="N/A"/>
    <n v="0"/>
    <s v="Confirmed"/>
    <m/>
    <x v="0"/>
    <x v="0"/>
    <m/>
    <x v="1"/>
    <x v="1"/>
    <m/>
    <n v="0"/>
    <x v="0"/>
    <s v=""/>
    <n v="403567160707.7016"/>
  </r>
  <r>
    <x v="0"/>
    <x v="28"/>
    <x v="28"/>
    <x v="4"/>
    <x v="0"/>
    <x v="1"/>
    <x v="6"/>
    <x v="7"/>
    <n v="2021"/>
    <x v="1"/>
    <s v="N/A"/>
    <n v="0"/>
    <s v="Confirmed"/>
    <m/>
    <x v="0"/>
    <x v="0"/>
    <m/>
    <x v="1"/>
    <x v="1"/>
    <m/>
    <n v="0"/>
    <x v="0"/>
    <s v=""/>
    <n v="18250225995.972618"/>
  </r>
  <r>
    <x v="0"/>
    <x v="29"/>
    <x v="29"/>
    <x v="3"/>
    <x v="0"/>
    <x v="1"/>
    <x v="6"/>
    <x v="7"/>
    <n v="2021"/>
    <x v="1"/>
    <s v="N/A"/>
    <n v="146590"/>
    <s v="Confirmed"/>
    <m/>
    <x v="0"/>
    <x v="0"/>
    <m/>
    <x v="2"/>
    <x v="0"/>
    <m/>
    <n v="0"/>
    <x v="1"/>
    <s v="Moderate"/>
    <n v="5027591.1682657599"/>
  </r>
  <r>
    <x v="0"/>
    <x v="30"/>
    <x v="30"/>
    <x v="5"/>
    <x v="0"/>
    <x v="1"/>
    <x v="6"/>
    <x v="7"/>
    <n v="2021"/>
    <x v="1"/>
    <s v="N/A"/>
    <n v="512667"/>
    <s v="Confirmed"/>
    <m/>
    <x v="0"/>
    <x v="0"/>
    <m/>
    <x v="0"/>
    <x v="0"/>
    <m/>
    <n v="3"/>
    <x v="0"/>
    <s v="Moderate"/>
    <n v="234645958.63289919"/>
  </r>
  <r>
    <x v="0"/>
    <x v="31"/>
    <x v="31"/>
    <x v="5"/>
    <x v="0"/>
    <x v="1"/>
    <x v="6"/>
    <x v="7"/>
    <n v="2021"/>
    <x v="1"/>
    <s v="N/A"/>
    <n v="203300"/>
    <s v="Confirmed"/>
    <m/>
    <x v="0"/>
    <x v="0"/>
    <m/>
    <x v="2"/>
    <x v="0"/>
    <m/>
    <n v="2"/>
    <x v="0"/>
    <s v="In distress"/>
    <n v="91590910.247314155"/>
  </r>
  <r>
    <x v="0"/>
    <x v="32"/>
    <x v="32"/>
    <x v="6"/>
    <x v="0"/>
    <x v="1"/>
    <x v="6"/>
    <x v="7"/>
    <n v="2021"/>
    <x v="1"/>
    <s v="N/A"/>
    <n v="0"/>
    <s v="Confirmed"/>
    <m/>
    <x v="0"/>
    <x v="0"/>
    <m/>
    <x v="4"/>
    <x v="1"/>
    <m/>
    <n v="0"/>
    <x v="1"/>
    <s v="N/A"/>
    <n v="8560012.8840167802"/>
  </r>
  <r>
    <x v="0"/>
    <x v="33"/>
    <x v="33"/>
    <x v="4"/>
    <x v="0"/>
    <x v="1"/>
    <x v="6"/>
    <x v="7"/>
    <n v="2021"/>
    <x v="1"/>
    <s v="N/A"/>
    <n v="0"/>
    <s v="Confirmed"/>
    <m/>
    <x v="0"/>
    <x v="0"/>
    <m/>
    <x v="1"/>
    <x v="1"/>
    <m/>
    <n v="0"/>
    <x v="0"/>
    <s v="N/A"/>
    <n v="3292372960.3962669"/>
  </r>
  <r>
    <x v="0"/>
    <x v="34"/>
    <x v="34"/>
    <x v="5"/>
    <x v="0"/>
    <x v="1"/>
    <x v="6"/>
    <x v="7"/>
    <n v="2021"/>
    <x v="1"/>
    <s v="N/A"/>
    <n v="92436.2"/>
    <s v="Confirmed"/>
    <m/>
    <x v="0"/>
    <x v="0"/>
    <m/>
    <x v="2"/>
    <x v="0"/>
    <m/>
    <n v="0"/>
    <x v="0"/>
    <s v="Moderate"/>
    <n v="519209981.22981054"/>
  </r>
  <r>
    <x v="0"/>
    <x v="35"/>
    <x v="35"/>
    <x v="1"/>
    <x v="0"/>
    <x v="1"/>
    <x v="6"/>
    <x v="7"/>
    <n v="2021"/>
    <x v="1"/>
    <s v="N/A"/>
    <n v="0"/>
    <s v="Confirmed"/>
    <m/>
    <x v="0"/>
    <x v="0"/>
    <m/>
    <x v="3"/>
    <x v="1"/>
    <m/>
    <n v="0"/>
    <x v="0"/>
    <s v=""/>
    <n v="3464739907.1604805"/>
  </r>
  <r>
    <x v="0"/>
    <x v="36"/>
    <x v="36"/>
    <x v="4"/>
    <x v="0"/>
    <x v="1"/>
    <x v="6"/>
    <x v="7"/>
    <n v="2021"/>
    <x v="1"/>
    <s v="N/A"/>
    <n v="0"/>
    <s v="Confirmed"/>
    <m/>
    <x v="0"/>
    <x v="0"/>
    <m/>
    <x v="1"/>
    <x v="1"/>
    <m/>
    <n v="0"/>
    <x v="1"/>
    <s v=""/>
    <n v="9948521252.2569065"/>
  </r>
  <r>
    <x v="0"/>
    <x v="37"/>
    <x v="37"/>
    <x v="2"/>
    <x v="0"/>
    <x v="1"/>
    <x v="6"/>
    <x v="7"/>
    <n v="2021"/>
    <x v="1"/>
    <s v="N/A"/>
    <n v="189473"/>
    <s v="Confirmed"/>
    <m/>
    <x v="0"/>
    <x v="0"/>
    <m/>
    <x v="2"/>
    <x v="0"/>
    <m/>
    <n v="1"/>
    <x v="0"/>
    <s v="High"/>
    <n v="33679192.765657313"/>
  </r>
  <r>
    <x v="0"/>
    <x v="38"/>
    <x v="38"/>
    <x v="4"/>
    <x v="0"/>
    <x v="1"/>
    <x v="6"/>
    <x v="7"/>
    <n v="2021"/>
    <x v="1"/>
    <s v="N/A"/>
    <n v="50000.030000000006"/>
    <s v="Confirmed"/>
    <m/>
    <x v="0"/>
    <x v="0"/>
    <m/>
    <x v="1"/>
    <x v="0"/>
    <m/>
    <n v="0"/>
    <x v="1"/>
    <s v="…"/>
    <n v="22784494.365742501"/>
  </r>
  <r>
    <x v="0"/>
    <x v="39"/>
    <x v="39"/>
    <x v="4"/>
    <x v="0"/>
    <x v="1"/>
    <x v="6"/>
    <x v="7"/>
    <n v="2021"/>
    <x v="1"/>
    <s v="N/A"/>
    <n v="0"/>
    <s v="Confirmed"/>
    <m/>
    <x v="0"/>
    <x v="0"/>
    <m/>
    <x v="1"/>
    <x v="1"/>
    <m/>
    <n v="0"/>
    <x v="1"/>
    <s v=""/>
    <n v="2173208011.4858823"/>
  </r>
  <r>
    <x v="0"/>
    <x v="40"/>
    <x v="40"/>
    <x v="4"/>
    <x v="0"/>
    <x v="1"/>
    <x v="6"/>
    <x v="7"/>
    <n v="2021"/>
    <x v="1"/>
    <s v="N/A"/>
    <n v="0"/>
    <s v="Confirmed"/>
    <m/>
    <x v="0"/>
    <x v="0"/>
    <m/>
    <x v="1"/>
    <x v="1"/>
    <m/>
    <n v="0"/>
    <x v="0"/>
    <s v="N/A"/>
    <n v="4585736158.8323269"/>
  </r>
  <r>
    <x v="0"/>
    <x v="41"/>
    <x v="41"/>
    <x v="2"/>
    <x v="0"/>
    <x v="1"/>
    <x v="6"/>
    <x v="7"/>
    <n v="2021"/>
    <x v="1"/>
    <s v="N/A"/>
    <n v="45000"/>
    <s v="Confirmed"/>
    <m/>
    <x v="0"/>
    <x v="0"/>
    <m/>
    <x v="2"/>
    <x v="0"/>
    <m/>
    <n v="0"/>
    <x v="0"/>
    <s v="N/A"/>
    <n v="3550291584.8645592"/>
  </r>
  <r>
    <x v="0"/>
    <x v="42"/>
    <x v="42"/>
    <x v="4"/>
    <x v="0"/>
    <x v="1"/>
    <x v="6"/>
    <x v="7"/>
    <n v="2021"/>
    <x v="1"/>
    <s v="N/A"/>
    <n v="30000.000000000007"/>
    <s v="Confirmed"/>
    <m/>
    <x v="0"/>
    <x v="0"/>
    <m/>
    <x v="2"/>
    <x v="0"/>
    <m/>
    <n v="0"/>
    <x v="0"/>
    <s v="N/A"/>
    <n v="1182840319.0410969"/>
  </r>
  <r>
    <x v="0"/>
    <x v="43"/>
    <x v="43"/>
    <x v="4"/>
    <x v="0"/>
    <x v="1"/>
    <x v="6"/>
    <x v="7"/>
    <n v="2021"/>
    <x v="1"/>
    <s v="N/A"/>
    <n v="0"/>
    <s v="Confirmed"/>
    <m/>
    <x v="0"/>
    <x v="0"/>
    <m/>
    <x v="1"/>
    <x v="1"/>
    <m/>
    <n v="0"/>
    <x v="0"/>
    <s v=""/>
    <n v="81728347.604567245"/>
  </r>
  <r>
    <x v="0"/>
    <x v="44"/>
    <x v="44"/>
    <x v="3"/>
    <x v="0"/>
    <x v="1"/>
    <x v="6"/>
    <x v="7"/>
    <n v="2021"/>
    <x v="1"/>
    <s v="N/A"/>
    <n v="183655"/>
    <s v="Confirmed"/>
    <m/>
    <x v="0"/>
    <x v="0"/>
    <m/>
    <x v="0"/>
    <x v="0"/>
    <m/>
    <n v="2"/>
    <x v="0"/>
    <s v="N/A"/>
    <n v="12787914.977715338"/>
  </r>
  <r>
    <x v="0"/>
    <x v="45"/>
    <x v="45"/>
    <x v="3"/>
    <x v="0"/>
    <x v="1"/>
    <x v="6"/>
    <x v="7"/>
    <n v="2021"/>
    <x v="1"/>
    <s v="N/A"/>
    <n v="25000"/>
    <s v="Confirmed"/>
    <m/>
    <x v="0"/>
    <x v="0"/>
    <m/>
    <x v="2"/>
    <x v="0"/>
    <m/>
    <n v="2"/>
    <x v="0"/>
    <s v="N/A"/>
    <n v="101271737.65410839"/>
  </r>
  <r>
    <x v="0"/>
    <x v="46"/>
    <x v="46"/>
    <x v="3"/>
    <x v="0"/>
    <x v="1"/>
    <x v="6"/>
    <x v="7"/>
    <n v="2021"/>
    <x v="1"/>
    <s v="N/A"/>
    <n v="534413"/>
    <s v="Confirmed"/>
    <m/>
    <x v="0"/>
    <x v="0"/>
    <m/>
    <x v="0"/>
    <x v="0"/>
    <m/>
    <n v="3"/>
    <x v="0"/>
    <s v="High"/>
    <n v="618344226.71759331"/>
  </r>
  <r>
    <x v="0"/>
    <x v="47"/>
    <x v="47"/>
    <x v="6"/>
    <x v="0"/>
    <x v="1"/>
    <x v="6"/>
    <x v="7"/>
    <n v="2021"/>
    <x v="1"/>
    <s v="N/A"/>
    <n v="25000"/>
    <s v="Confirmed"/>
    <m/>
    <x v="0"/>
    <x v="0"/>
    <m/>
    <x v="1"/>
    <x v="0"/>
    <m/>
    <n v="0"/>
    <x v="1"/>
    <s v="…"/>
    <n v="129483872.95906857"/>
  </r>
  <r>
    <x v="0"/>
    <x v="48"/>
    <x v="48"/>
    <x v="5"/>
    <x v="0"/>
    <x v="1"/>
    <x v="6"/>
    <x v="7"/>
    <n v="2021"/>
    <x v="1"/>
    <s v="N/A"/>
    <n v="0"/>
    <s v="Confirmed"/>
    <m/>
    <x v="0"/>
    <x v="0"/>
    <m/>
    <x v="1"/>
    <x v="1"/>
    <m/>
    <n v="0"/>
    <x v="0"/>
    <s v="N/A"/>
    <n v="271184658.35014349"/>
  </r>
  <r>
    <x v="0"/>
    <x v="49"/>
    <x v="49"/>
    <x v="5"/>
    <x v="0"/>
    <x v="1"/>
    <x v="6"/>
    <x v="7"/>
    <n v="2021"/>
    <x v="1"/>
    <s v="N/A"/>
    <n v="86135"/>
    <s v="Confirmed"/>
    <m/>
    <x v="0"/>
    <x v="0"/>
    <m/>
    <x v="0"/>
    <x v="0"/>
    <m/>
    <n v="0"/>
    <x v="0"/>
    <s v="High"/>
    <n v="15455265.086884515"/>
  </r>
  <r>
    <x v="0"/>
    <x v="50"/>
    <x v="50"/>
    <x v="1"/>
    <x v="0"/>
    <x v="1"/>
    <x v="6"/>
    <x v="7"/>
    <n v="2021"/>
    <x v="1"/>
    <s v="N/A"/>
    <n v="0"/>
    <s v="Confirmed"/>
    <m/>
    <x v="0"/>
    <x v="0"/>
    <m/>
    <x v="1"/>
    <x v="1"/>
    <m/>
    <n v="0"/>
    <x v="0"/>
    <s v="N/A"/>
    <n v="494021502.525527"/>
  </r>
  <r>
    <x v="0"/>
    <x v="51"/>
    <x v="51"/>
    <x v="5"/>
    <x v="0"/>
    <x v="1"/>
    <x v="6"/>
    <x v="7"/>
    <n v="2021"/>
    <x v="1"/>
    <s v="N/A"/>
    <n v="204263"/>
    <s v="Confirmed"/>
    <m/>
    <x v="0"/>
    <x v="0"/>
    <m/>
    <x v="2"/>
    <x v="0"/>
    <m/>
    <n v="0"/>
    <x v="0"/>
    <s v="High"/>
    <n v="902005621.73836684"/>
  </r>
  <r>
    <x v="0"/>
    <x v="52"/>
    <x v="52"/>
    <x v="4"/>
    <x v="0"/>
    <x v="1"/>
    <x v="6"/>
    <x v="7"/>
    <n v="2021"/>
    <x v="1"/>
    <s v="N/A"/>
    <n v="50000"/>
    <s v="Confirmed"/>
    <m/>
    <x v="0"/>
    <x v="0"/>
    <m/>
    <x v="1"/>
    <x v="0"/>
    <m/>
    <n v="0"/>
    <x v="1"/>
    <s v="In distress"/>
    <n v="20201670.142996579"/>
  </r>
  <r>
    <x v="0"/>
    <x v="53"/>
    <x v="53"/>
    <x v="4"/>
    <x v="0"/>
    <x v="1"/>
    <x v="6"/>
    <x v="7"/>
    <n v="2021"/>
    <x v="1"/>
    <s v="N/A"/>
    <n v="0"/>
    <s v="Confirmed"/>
    <m/>
    <x v="0"/>
    <x v="0"/>
    <m/>
    <x v="1"/>
    <x v="1"/>
    <m/>
    <n v="0"/>
    <x v="0"/>
    <s v=""/>
    <n v="1612434649.6948864"/>
  </r>
  <r>
    <x v="0"/>
    <x v="54"/>
    <x v="54"/>
    <x v="5"/>
    <x v="0"/>
    <x v="1"/>
    <x v="6"/>
    <x v="7"/>
    <n v="2021"/>
    <x v="1"/>
    <s v="N/A"/>
    <n v="440787"/>
    <s v="Confirmed"/>
    <m/>
    <x v="0"/>
    <x v="0"/>
    <m/>
    <x v="0"/>
    <x v="0"/>
    <m/>
    <n v="0"/>
    <x v="0"/>
    <s v="Moderate"/>
    <n v="78203134.118229344"/>
  </r>
  <r>
    <x v="0"/>
    <x v="55"/>
    <x v="55"/>
    <x v="5"/>
    <x v="0"/>
    <x v="1"/>
    <x v="6"/>
    <x v="7"/>
    <n v="2021"/>
    <x v="1"/>
    <s v="N/A"/>
    <n v="180992"/>
    <s v="Confirmed"/>
    <m/>
    <x v="0"/>
    <x v="0"/>
    <m/>
    <x v="0"/>
    <x v="0"/>
    <m/>
    <n v="2"/>
    <x v="1"/>
    <s v="High"/>
    <n v="9151637.7411015611"/>
  </r>
  <r>
    <x v="0"/>
    <x v="56"/>
    <x v="56"/>
    <x v="4"/>
    <x v="0"/>
    <x v="1"/>
    <x v="6"/>
    <x v="7"/>
    <n v="2021"/>
    <x v="1"/>
    <s v="N/A"/>
    <n v="44999.999999999964"/>
    <s v="Confirmed"/>
    <m/>
    <x v="0"/>
    <x v="0"/>
    <m/>
    <x v="1"/>
    <x v="0"/>
    <m/>
    <n v="0"/>
    <x v="1"/>
    <s v="Moderate"/>
    <n v="142455920.02856269"/>
  </r>
  <r>
    <x v="0"/>
    <x v="57"/>
    <x v="57"/>
    <x v="4"/>
    <x v="0"/>
    <x v="1"/>
    <x v="6"/>
    <x v="7"/>
    <n v="2021"/>
    <x v="1"/>
    <s v="N/A"/>
    <n v="403390"/>
    <s v="Confirmed"/>
    <m/>
    <x v="0"/>
    <x v="0"/>
    <m/>
    <x v="2"/>
    <x v="0"/>
    <m/>
    <n v="1"/>
    <x v="1"/>
    <s v="High"/>
    <n v="85611818.171245083"/>
  </r>
  <r>
    <x v="0"/>
    <x v="58"/>
    <x v="58"/>
    <x v="4"/>
    <x v="0"/>
    <x v="1"/>
    <x v="6"/>
    <x v="7"/>
    <n v="2021"/>
    <x v="1"/>
    <s v="N/A"/>
    <n v="232501.58"/>
    <s v="Confirmed"/>
    <m/>
    <x v="0"/>
    <x v="0"/>
    <m/>
    <x v="2"/>
    <x v="0"/>
    <m/>
    <n v="0"/>
    <x v="0"/>
    <s v="Low"/>
    <n v="680289736.30082119"/>
  </r>
  <r>
    <x v="0"/>
    <x v="59"/>
    <x v="59"/>
    <x v="0"/>
    <x v="0"/>
    <x v="1"/>
    <x v="6"/>
    <x v="7"/>
    <n v="2021"/>
    <x v="1"/>
    <s v="N/A"/>
    <n v="10181364"/>
    <s v="Confirmed"/>
    <m/>
    <x v="0"/>
    <x v="0"/>
    <m/>
    <x v="2"/>
    <x v="0"/>
    <m/>
    <n v="0"/>
    <x v="0"/>
    <s v="N/A"/>
    <n v="26554332750.47023"/>
  </r>
  <r>
    <x v="0"/>
    <x v="60"/>
    <x v="60"/>
    <x v="6"/>
    <x v="0"/>
    <x v="1"/>
    <x v="6"/>
    <x v="7"/>
    <n v="2021"/>
    <x v="1"/>
    <s v="N/A"/>
    <n v="115000"/>
    <s v="Confirmed"/>
    <m/>
    <x v="0"/>
    <x v="0"/>
    <m/>
    <x v="2"/>
    <x v="0"/>
    <m/>
    <n v="0"/>
    <x v="0"/>
    <s v="N/A"/>
    <n v="14745961064.890842"/>
  </r>
  <r>
    <x v="0"/>
    <x v="61"/>
    <x v="61"/>
    <x v="2"/>
    <x v="0"/>
    <x v="1"/>
    <x v="6"/>
    <x v="7"/>
    <n v="2021"/>
    <x v="1"/>
    <s v="N/A"/>
    <n v="0"/>
    <s v="Confirmed"/>
    <m/>
    <x v="0"/>
    <x v="0"/>
    <m/>
    <x v="2"/>
    <x v="1"/>
    <m/>
    <n v="0"/>
    <x v="0"/>
    <s v="N/A"/>
    <n v="18194076299.786381"/>
  </r>
  <r>
    <x v="0"/>
    <x v="62"/>
    <x v="62"/>
    <x v="2"/>
    <x v="0"/>
    <x v="1"/>
    <x v="6"/>
    <x v="7"/>
    <n v="2021"/>
    <x v="1"/>
    <s v="N/A"/>
    <n v="0"/>
    <s v="Confirmed"/>
    <m/>
    <x v="0"/>
    <x v="0"/>
    <m/>
    <x v="1"/>
    <x v="1"/>
    <m/>
    <n v="0"/>
    <x v="0"/>
    <s v="N/A"/>
    <n v="4428819387.769825"/>
  </r>
  <r>
    <x v="0"/>
    <x v="63"/>
    <x v="63"/>
    <x v="4"/>
    <x v="0"/>
    <x v="1"/>
    <x v="6"/>
    <x v="7"/>
    <n v="2021"/>
    <x v="1"/>
    <s v="N/A"/>
    <n v="0"/>
    <s v="Confirmed"/>
    <m/>
    <x v="0"/>
    <x v="0"/>
    <m/>
    <x v="1"/>
    <x v="1"/>
    <m/>
    <n v="0"/>
    <x v="1"/>
    <s v=""/>
    <n v="611739560.62679195"/>
  </r>
  <r>
    <x v="0"/>
    <x v="64"/>
    <x v="64"/>
    <x v="2"/>
    <x v="0"/>
    <x v="1"/>
    <x v="6"/>
    <x v="7"/>
    <n v="2021"/>
    <x v="1"/>
    <s v="N/A"/>
    <n v="0"/>
    <s v="Confirmed"/>
    <m/>
    <x v="0"/>
    <x v="0"/>
    <m/>
    <x v="1"/>
    <x v="1"/>
    <m/>
    <n v="0"/>
    <x v="0"/>
    <s v="N/A"/>
    <n v="1617913383.0481031"/>
  </r>
  <r>
    <x v="0"/>
    <x v="65"/>
    <x v="65"/>
    <x v="1"/>
    <x v="0"/>
    <x v="1"/>
    <x v="6"/>
    <x v="7"/>
    <n v="2021"/>
    <x v="1"/>
    <s v="N/A"/>
    <n v="0"/>
    <s v="Confirmed"/>
    <m/>
    <x v="0"/>
    <x v="0"/>
    <m/>
    <x v="1"/>
    <x v="1"/>
    <m/>
    <n v="0"/>
    <x v="0"/>
    <s v=""/>
    <n v="3074419112.4562683"/>
  </r>
  <r>
    <x v="0"/>
    <x v="66"/>
    <x v="66"/>
    <x v="3"/>
    <x v="0"/>
    <x v="1"/>
    <x v="6"/>
    <x v="7"/>
    <n v="2021"/>
    <x v="1"/>
    <s v="N/A"/>
    <n v="196345"/>
    <s v="Confirmed"/>
    <m/>
    <x v="0"/>
    <x v="0"/>
    <m/>
    <x v="2"/>
    <x v="0"/>
    <m/>
    <n v="0"/>
    <x v="0"/>
    <s v="High"/>
    <n v="1914014279.8929913"/>
  </r>
  <r>
    <x v="0"/>
    <x v="67"/>
    <x v="67"/>
    <x v="6"/>
    <x v="0"/>
    <x v="1"/>
    <x v="6"/>
    <x v="7"/>
    <n v="2021"/>
    <x v="1"/>
    <s v="N/A"/>
    <n v="0"/>
    <s v="Confirmed"/>
    <m/>
    <x v="0"/>
    <x v="0"/>
    <m/>
    <x v="2"/>
    <x v="0"/>
    <m/>
    <n v="0"/>
    <x v="1"/>
    <s v="High"/>
    <n v="17422005.762907442"/>
  </r>
  <r>
    <x v="0"/>
    <x v="68"/>
    <x v="68"/>
    <x v="6"/>
    <x v="0"/>
    <x v="1"/>
    <x v="6"/>
    <x v="7"/>
    <n v="2021"/>
    <x v="1"/>
    <s v="N/A"/>
    <n v="0"/>
    <s v="Confirmed"/>
    <m/>
    <x v="0"/>
    <x v="0"/>
    <m/>
    <x v="0"/>
    <x v="0"/>
    <m/>
    <n v="0"/>
    <x v="0"/>
    <s v="N/A"/>
    <s v=""/>
  </r>
  <r>
    <x v="0"/>
    <x v="69"/>
    <x v="69"/>
    <x v="1"/>
    <x v="0"/>
    <x v="1"/>
    <x v="6"/>
    <x v="7"/>
    <n v="2021"/>
    <x v="1"/>
    <s v="N/A"/>
    <n v="27000"/>
    <s v="Confirmed"/>
    <m/>
    <x v="0"/>
    <x v="0"/>
    <m/>
    <x v="1"/>
    <x v="0"/>
    <m/>
    <n v="0"/>
    <x v="0"/>
    <s v="…"/>
    <s v=""/>
  </r>
  <r>
    <x v="0"/>
    <x v="70"/>
    <x v="70"/>
    <x v="1"/>
    <x v="0"/>
    <x v="1"/>
    <x v="6"/>
    <x v="7"/>
    <n v="2021"/>
    <x v="1"/>
    <s v="N/A"/>
    <n v="161891"/>
    <s v="Confirmed"/>
    <m/>
    <x v="0"/>
    <x v="0"/>
    <m/>
    <x v="2"/>
    <x v="0"/>
    <m/>
    <n v="2"/>
    <x v="0"/>
    <s v="Moderate"/>
    <n v="231506834.84347546"/>
  </r>
  <r>
    <x v="0"/>
    <x v="71"/>
    <x v="71"/>
    <x v="6"/>
    <x v="0"/>
    <x v="1"/>
    <x v="6"/>
    <x v="7"/>
    <n v="2021"/>
    <x v="1"/>
    <s v="N/A"/>
    <n v="177570"/>
    <s v="Confirmed"/>
    <m/>
    <x v="0"/>
    <x v="0"/>
    <m/>
    <x v="2"/>
    <x v="0"/>
    <m/>
    <n v="0"/>
    <x v="0"/>
    <s v="High"/>
    <n v="156059428.62944782"/>
  </r>
  <r>
    <x v="0"/>
    <x v="72"/>
    <x v="72"/>
    <x v="2"/>
    <x v="0"/>
    <x v="1"/>
    <x v="6"/>
    <x v="7"/>
    <n v="2021"/>
    <x v="1"/>
    <s v="N/A"/>
    <n v="0"/>
    <s v="Confirmed"/>
    <m/>
    <x v="0"/>
    <x v="0"/>
    <m/>
    <x v="1"/>
    <x v="1"/>
    <m/>
    <n v="0"/>
    <x v="0"/>
    <s v="N/A"/>
    <n v="2355391507.1635861"/>
  </r>
  <r>
    <x v="0"/>
    <x v="73"/>
    <x v="73"/>
    <x v="3"/>
    <x v="0"/>
    <x v="1"/>
    <x v="6"/>
    <x v="7"/>
    <n v="2021"/>
    <x v="1"/>
    <s v="N/A"/>
    <n v="117165"/>
    <s v="Confirmed"/>
    <m/>
    <x v="0"/>
    <x v="0"/>
    <m/>
    <x v="2"/>
    <x v="0"/>
    <m/>
    <n v="0"/>
    <x v="0"/>
    <s v="Moderate"/>
    <n v="152760919.7684873"/>
  </r>
  <r>
    <x v="0"/>
    <x v="74"/>
    <x v="74"/>
    <x v="5"/>
    <x v="0"/>
    <x v="1"/>
    <x v="6"/>
    <x v="7"/>
    <n v="2021"/>
    <x v="1"/>
    <s v="N/A"/>
    <n v="147123.23000000001"/>
    <s v="Confirmed"/>
    <m/>
    <x v="0"/>
    <x v="0"/>
    <m/>
    <x v="0"/>
    <x v="0"/>
    <m/>
    <n v="0"/>
    <x v="0"/>
    <s v="High"/>
    <n v="55072006.864440605"/>
  </r>
  <r>
    <x v="0"/>
    <x v="75"/>
    <x v="75"/>
    <x v="2"/>
    <x v="0"/>
    <x v="1"/>
    <x v="6"/>
    <x v="7"/>
    <n v="2021"/>
    <x v="1"/>
    <s v="N/A"/>
    <n v="0"/>
    <s v="Confirmed"/>
    <m/>
    <x v="0"/>
    <x v="0"/>
    <m/>
    <x v="1"/>
    <x v="1"/>
    <m/>
    <n v="0"/>
    <x v="0"/>
    <s v="N/A"/>
    <s v=""/>
  </r>
  <r>
    <x v="0"/>
    <x v="76"/>
    <x v="76"/>
    <x v="3"/>
    <x v="0"/>
    <x v="1"/>
    <x v="6"/>
    <x v="7"/>
    <n v="2021"/>
    <x v="1"/>
    <s v="N/A"/>
    <n v="487213.8"/>
    <s v="Confirmed"/>
    <m/>
    <x v="0"/>
    <x v="0"/>
    <m/>
    <x v="0"/>
    <x v="0"/>
    <m/>
    <n v="2"/>
    <x v="0"/>
    <s v="Moderate"/>
    <n v="206914157.05429548"/>
  </r>
  <r>
    <x v="0"/>
    <x v="77"/>
    <x v="77"/>
    <x v="3"/>
    <x v="0"/>
    <x v="1"/>
    <x v="6"/>
    <x v="7"/>
    <n v="2021"/>
    <x v="1"/>
    <s v="N/A"/>
    <n v="121579"/>
    <s v="Confirmed"/>
    <m/>
    <x v="0"/>
    <x v="0"/>
    <m/>
    <x v="0"/>
    <x v="0"/>
    <m/>
    <n v="2"/>
    <x v="0"/>
    <s v="High"/>
    <n v="185999915.02066413"/>
  </r>
  <r>
    <x v="0"/>
    <x v="78"/>
    <x v="78"/>
    <x v="6"/>
    <x v="0"/>
    <x v="1"/>
    <x v="6"/>
    <x v="7"/>
    <n v="2021"/>
    <x v="1"/>
    <s v="N/A"/>
    <n v="0"/>
    <s v="Confirmed"/>
    <m/>
    <x v="0"/>
    <x v="0"/>
    <m/>
    <x v="1"/>
    <x v="1"/>
    <m/>
    <n v="0"/>
    <x v="0"/>
    <s v=""/>
    <n v="6893755763.2501726"/>
  </r>
  <r>
    <x v="0"/>
    <x v="79"/>
    <x v="79"/>
    <x v="0"/>
    <x v="0"/>
    <x v="1"/>
    <x v="6"/>
    <x v="7"/>
    <n v="2021"/>
    <x v="1"/>
    <s v="N/A"/>
    <n v="490000.00000000006"/>
    <s v="Confirmed"/>
    <m/>
    <x v="0"/>
    <x v="0"/>
    <m/>
    <x v="1"/>
    <x v="0"/>
    <m/>
    <n v="0"/>
    <x v="1"/>
    <s v="High"/>
    <n v="354560231.58276606"/>
  </r>
  <r>
    <x v="0"/>
    <x v="80"/>
    <x v="80"/>
    <x v="5"/>
    <x v="0"/>
    <x v="1"/>
    <x v="6"/>
    <x v="7"/>
    <n v="2021"/>
    <x v="1"/>
    <s v="N/A"/>
    <n v="487920"/>
    <s v="Confirmed"/>
    <m/>
    <x v="0"/>
    <x v="0"/>
    <m/>
    <x v="0"/>
    <x v="0"/>
    <m/>
    <n v="1"/>
    <x v="0"/>
    <s v="Moderate"/>
    <n v="188169167.56540567"/>
  </r>
  <r>
    <x v="0"/>
    <x v="81"/>
    <x v="81"/>
    <x v="6"/>
    <x v="0"/>
    <x v="1"/>
    <x v="6"/>
    <x v="7"/>
    <n v="2021"/>
    <x v="1"/>
    <s v="N/A"/>
    <n v="65000"/>
    <s v="Confirmed"/>
    <m/>
    <x v="0"/>
    <x v="0"/>
    <m/>
    <x v="1"/>
    <x v="0"/>
    <m/>
    <n v="0"/>
    <x v="1"/>
    <s v=""/>
    <n v="16312106.556340856"/>
  </r>
  <r>
    <x v="0"/>
    <x v="82"/>
    <x v="82"/>
    <x v="5"/>
    <x v="0"/>
    <x v="1"/>
    <x v="6"/>
    <x v="7"/>
    <n v="2021"/>
    <x v="1"/>
    <s v="N/A"/>
    <n v="194913.52"/>
    <s v="Confirmed"/>
    <m/>
    <x v="0"/>
    <x v="0"/>
    <m/>
    <x v="2"/>
    <x v="0"/>
    <m/>
    <n v="2"/>
    <x v="0"/>
    <s v="High"/>
    <n v="86083833.534053758"/>
  </r>
  <r>
    <x v="0"/>
    <x v="83"/>
    <x v="83"/>
    <x v="3"/>
    <x v="0"/>
    <x v="1"/>
    <x v="6"/>
    <x v="7"/>
    <n v="2021"/>
    <x v="1"/>
    <s v="N/A"/>
    <n v="0"/>
    <s v="Confirmed"/>
    <m/>
    <x v="0"/>
    <x v="0"/>
    <m/>
    <x v="1"/>
    <x v="1"/>
    <m/>
    <n v="0"/>
    <x v="1"/>
    <s v="N/A"/>
    <n v="357220835.93762809"/>
  </r>
  <r>
    <x v="0"/>
    <x v="84"/>
    <x v="84"/>
    <x v="4"/>
    <x v="0"/>
    <x v="1"/>
    <x v="6"/>
    <x v="7"/>
    <n v="2021"/>
    <x v="1"/>
    <s v="N/A"/>
    <n v="0"/>
    <s v="Confirmed"/>
    <m/>
    <x v="0"/>
    <x v="0"/>
    <m/>
    <x v="1"/>
    <x v="1"/>
    <m/>
    <n v="0"/>
    <x v="0"/>
    <s v=""/>
    <n v="32831598153.796387"/>
  </r>
  <r>
    <x v="0"/>
    <x v="85"/>
    <x v="85"/>
    <x v="6"/>
    <x v="0"/>
    <x v="1"/>
    <x v="6"/>
    <x v="7"/>
    <n v="2021"/>
    <x v="1"/>
    <s v="N/A"/>
    <n v="180000"/>
    <s v="Confirmed"/>
    <m/>
    <x v="0"/>
    <x v="0"/>
    <m/>
    <x v="2"/>
    <x v="0"/>
    <m/>
    <n v="0"/>
    <x v="1"/>
    <s v="High"/>
    <n v="12329056.093798399"/>
  </r>
  <r>
    <x v="0"/>
    <x v="86"/>
    <x v="86"/>
    <x v="1"/>
    <x v="0"/>
    <x v="1"/>
    <x v="6"/>
    <x v="7"/>
    <n v="2021"/>
    <x v="1"/>
    <s v="N/A"/>
    <n v="94999.950000000012"/>
    <s v="Confirmed"/>
    <m/>
    <x v="0"/>
    <x v="0"/>
    <m/>
    <x v="1"/>
    <x v="0"/>
    <m/>
    <n v="0"/>
    <x v="0"/>
    <s v="Low"/>
    <n v="426639742.85328001"/>
  </r>
  <r>
    <x v="0"/>
    <x v="87"/>
    <x v="87"/>
    <x v="6"/>
    <x v="0"/>
    <x v="1"/>
    <x v="6"/>
    <x v="7"/>
    <n v="2021"/>
    <x v="1"/>
    <s v="N/A"/>
    <n v="25000"/>
    <s v="Confirmed"/>
    <m/>
    <x v="0"/>
    <x v="0"/>
    <m/>
    <x v="2"/>
    <x v="0"/>
    <m/>
    <n v="0"/>
    <x v="0"/>
    <s v="…"/>
    <n v="288519671.85870522"/>
  </r>
  <r>
    <x v="0"/>
    <x v="88"/>
    <x v="88"/>
    <x v="1"/>
    <x v="0"/>
    <x v="1"/>
    <x v="6"/>
    <x v="7"/>
    <n v="2021"/>
    <x v="1"/>
    <s v="N/A"/>
    <n v="0"/>
    <s v="Confirmed"/>
    <m/>
    <x v="0"/>
    <x v="0"/>
    <m/>
    <x v="1"/>
    <x v="1"/>
    <m/>
    <n v="0"/>
    <x v="0"/>
    <s v="N/A"/>
    <n v="275606560.78491527"/>
  </r>
  <r>
    <x v="0"/>
    <x v="89"/>
    <x v="89"/>
    <x v="2"/>
    <x v="0"/>
    <x v="1"/>
    <x v="6"/>
    <x v="7"/>
    <n v="2021"/>
    <x v="1"/>
    <s v="N/A"/>
    <n v="66000"/>
    <s v="Confirmed"/>
    <m/>
    <x v="0"/>
    <x v="0"/>
    <m/>
    <x v="2"/>
    <x v="0"/>
    <m/>
    <n v="0"/>
    <x v="0"/>
    <s v="N/A"/>
    <n v="2530937679.3725696"/>
  </r>
  <r>
    <x v="0"/>
    <x v="90"/>
    <x v="90"/>
    <x v="3"/>
    <x v="0"/>
    <x v="1"/>
    <x v="6"/>
    <x v="7"/>
    <n v="2021"/>
    <x v="1"/>
    <s v="N/A"/>
    <n v="572794.06000000006"/>
    <s v="Confirmed"/>
    <m/>
    <x v="0"/>
    <x v="0"/>
    <m/>
    <x v="0"/>
    <x v="0"/>
    <m/>
    <n v="0"/>
    <x v="0"/>
    <s v="In distress"/>
    <n v="251432156.86255455"/>
  </r>
  <r>
    <x v="0"/>
    <x v="91"/>
    <x v="91"/>
    <x v="6"/>
    <x v="0"/>
    <x v="1"/>
    <x v="6"/>
    <x v="7"/>
    <n v="2021"/>
    <x v="1"/>
    <s v="N/A"/>
    <n v="630498"/>
    <s v="Confirmed"/>
    <m/>
    <x v="0"/>
    <x v="0"/>
    <m/>
    <x v="2"/>
    <x v="0"/>
    <m/>
    <n v="0"/>
    <x v="0"/>
    <s v="Low"/>
    <n v="471534500.60109437"/>
  </r>
  <r>
    <x v="0"/>
    <x v="92"/>
    <x v="92"/>
    <x v="3"/>
    <x v="0"/>
    <x v="1"/>
    <x v="6"/>
    <x v="7"/>
    <n v="2021"/>
    <x v="1"/>
    <s v="N/A"/>
    <n v="0"/>
    <s v="Confirmed"/>
    <m/>
    <x v="0"/>
    <x v="0"/>
    <m/>
    <x v="1"/>
    <x v="1"/>
    <m/>
    <n v="0"/>
    <x v="0"/>
    <s v=""/>
    <n v="531677611.80447447"/>
  </r>
  <r>
    <x v="0"/>
    <x v="93"/>
    <x v="93"/>
    <x v="6"/>
    <x v="0"/>
    <x v="1"/>
    <x v="6"/>
    <x v="7"/>
    <n v="2021"/>
    <x v="1"/>
    <s v="N/A"/>
    <n v="0"/>
    <s v="Confirmed"/>
    <m/>
    <x v="0"/>
    <x v="0"/>
    <m/>
    <x v="3"/>
    <x v="1"/>
    <m/>
    <n v="0"/>
    <x v="1"/>
    <s v=""/>
    <n v="8528751.6418357007"/>
  </r>
  <r>
    <x v="0"/>
    <x v="94"/>
    <x v="94"/>
    <x v="0"/>
    <x v="0"/>
    <x v="1"/>
    <x v="6"/>
    <x v="7"/>
    <n v="2021"/>
    <x v="1"/>
    <s v="N/A"/>
    <n v="374143"/>
    <s v="Confirmed"/>
    <m/>
    <x v="0"/>
    <x v="0"/>
    <m/>
    <x v="2"/>
    <x v="0"/>
    <m/>
    <n v="0"/>
    <x v="0"/>
    <s v="Low"/>
    <n v="407084543.19089872"/>
  </r>
  <r>
    <x v="0"/>
    <x v="95"/>
    <x v="95"/>
    <x v="4"/>
    <x v="0"/>
    <x v="1"/>
    <x v="6"/>
    <x v="7"/>
    <n v="2021"/>
    <x v="1"/>
    <s v="N/A"/>
    <n v="199223.3"/>
    <s v="Confirmed"/>
    <m/>
    <x v="0"/>
    <x v="0"/>
    <m/>
    <x v="2"/>
    <x v="0"/>
    <m/>
    <n v="0"/>
    <x v="0"/>
    <s v="Moderate"/>
    <n v="671998341.93592453"/>
  </r>
  <r>
    <x v="0"/>
    <x v="96"/>
    <x v="96"/>
    <x v="5"/>
    <x v="0"/>
    <x v="1"/>
    <x v="6"/>
    <x v="7"/>
    <n v="2021"/>
    <x v="1"/>
    <s v="N/A"/>
    <n v="478851"/>
    <s v="Confirmed"/>
    <m/>
    <x v="0"/>
    <x v="0"/>
    <m/>
    <x v="0"/>
    <x v="0"/>
    <m/>
    <n v="1"/>
    <x v="0"/>
    <s v="Moderate"/>
    <n v="226203289.67158964"/>
  </r>
  <r>
    <x v="0"/>
    <x v="97"/>
    <x v="97"/>
    <x v="5"/>
    <x v="0"/>
    <x v="1"/>
    <x v="6"/>
    <x v="7"/>
    <n v="2021"/>
    <x v="1"/>
    <s v="N/A"/>
    <n v="396163"/>
    <s v="Confirmed"/>
    <m/>
    <x v="0"/>
    <x v="0"/>
    <m/>
    <x v="2"/>
    <x v="0"/>
    <m/>
    <n v="3"/>
    <x v="0"/>
    <s v="…"/>
    <n v="2438881113.1244688"/>
  </r>
  <r>
    <x v="0"/>
    <x v="98"/>
    <x v="98"/>
    <x v="1"/>
    <x v="0"/>
    <x v="1"/>
    <x v="6"/>
    <x v="7"/>
    <n v="2021"/>
    <x v="1"/>
    <s v="N/A"/>
    <n v="0"/>
    <s v="Confirmed"/>
    <m/>
    <x v="0"/>
    <x v="0"/>
    <m/>
    <x v="1"/>
    <x v="1"/>
    <m/>
    <n v="0"/>
    <x v="0"/>
    <s v=""/>
    <n v="476517795.73174149"/>
  </r>
  <r>
    <x v="0"/>
    <x v="99"/>
    <x v="99"/>
    <x v="0"/>
    <x v="0"/>
    <x v="1"/>
    <x v="6"/>
    <x v="7"/>
    <n v="2021"/>
    <x v="1"/>
    <s v="N/A"/>
    <n v="693360"/>
    <s v="Confirmed"/>
    <m/>
    <x v="0"/>
    <x v="0"/>
    <m/>
    <x v="2"/>
    <x v="0"/>
    <m/>
    <n v="0"/>
    <x v="0"/>
    <s v="…"/>
    <n v="3233351297.7679496"/>
  </r>
  <r>
    <x v="0"/>
    <x v="100"/>
    <x v="100"/>
    <x v="4"/>
    <x v="0"/>
    <x v="1"/>
    <x v="6"/>
    <x v="7"/>
    <n v="2021"/>
    <x v="1"/>
    <s v="N/A"/>
    <n v="0"/>
    <s v="Confirmed"/>
    <m/>
    <x v="0"/>
    <x v="0"/>
    <m/>
    <x v="3"/>
    <x v="1"/>
    <m/>
    <n v="0"/>
    <x v="1"/>
    <s v=""/>
    <n v="18180646.808608256"/>
  </r>
  <r>
    <x v="0"/>
    <x v="101"/>
    <x v="101"/>
    <x v="4"/>
    <x v="0"/>
    <x v="1"/>
    <x v="6"/>
    <x v="7"/>
    <n v="2021"/>
    <x v="1"/>
    <s v="N/A"/>
    <n v="0"/>
    <s v="Confirmed"/>
    <m/>
    <x v="0"/>
    <x v="0"/>
    <m/>
    <x v="1"/>
    <x v="1"/>
    <m/>
    <n v="0"/>
    <x v="0"/>
    <s v="N/A"/>
    <n v="3020530707.3485303"/>
  </r>
  <r>
    <x v="0"/>
    <x v="102"/>
    <x v="102"/>
    <x v="6"/>
    <x v="0"/>
    <x v="1"/>
    <x v="6"/>
    <x v="7"/>
    <n v="2021"/>
    <x v="1"/>
    <s v="N/A"/>
    <n v="464915"/>
    <s v="Confirmed"/>
    <m/>
    <x v="0"/>
    <x v="0"/>
    <m/>
    <x v="2"/>
    <x v="0"/>
    <m/>
    <n v="1"/>
    <x v="1"/>
    <s v="High"/>
    <n v="384406316.46074712"/>
  </r>
  <r>
    <x v="0"/>
    <x v="103"/>
    <x v="103"/>
    <x v="4"/>
    <x v="0"/>
    <x v="1"/>
    <x v="6"/>
    <x v="7"/>
    <n v="2021"/>
    <x v="1"/>
    <s v="N/A"/>
    <n v="0"/>
    <s v="Confirmed"/>
    <m/>
    <x v="0"/>
    <x v="0"/>
    <m/>
    <x v="1"/>
    <x v="1"/>
    <m/>
    <n v="0"/>
    <x v="0"/>
    <s v=""/>
    <n v="1218747108.9554784"/>
  </r>
  <r>
    <x v="0"/>
    <x v="104"/>
    <x v="104"/>
    <x v="4"/>
    <x v="0"/>
    <x v="1"/>
    <x v="6"/>
    <x v="7"/>
    <n v="2021"/>
    <x v="1"/>
    <s v="N/A"/>
    <n v="0"/>
    <s v="Confirmed"/>
    <m/>
    <x v="0"/>
    <x v="0"/>
    <m/>
    <x v="1"/>
    <x v="1"/>
    <m/>
    <n v="0"/>
    <x v="0"/>
    <s v=""/>
    <n v="7392665952.5895758"/>
  </r>
  <r>
    <x v="0"/>
    <x v="105"/>
    <x v="105"/>
    <x v="6"/>
    <x v="0"/>
    <x v="1"/>
    <x v="6"/>
    <x v="7"/>
    <n v="2021"/>
    <x v="1"/>
    <s v="N/A"/>
    <n v="25000"/>
    <s v="Confirmed"/>
    <m/>
    <x v="0"/>
    <x v="0"/>
    <m/>
    <x v="2"/>
    <x v="0"/>
    <m/>
    <n v="0"/>
    <x v="0"/>
    <s v="N/A"/>
    <n v="4754985988.6004429"/>
  </r>
  <r>
    <x v="0"/>
    <x v="106"/>
    <x v="106"/>
    <x v="1"/>
    <x v="0"/>
    <x v="1"/>
    <x v="6"/>
    <x v="7"/>
    <n v="2021"/>
    <x v="1"/>
    <s v="N/A"/>
    <n v="0"/>
    <s v="Confirmed"/>
    <m/>
    <x v="0"/>
    <x v="0"/>
    <m/>
    <x v="3"/>
    <x v="1"/>
    <m/>
    <n v="0"/>
    <x v="0"/>
    <s v=""/>
    <n v="26422210443.037273"/>
  </r>
  <r>
    <x v="0"/>
    <x v="107"/>
    <x v="107"/>
    <x v="1"/>
    <x v="0"/>
    <x v="1"/>
    <x v="6"/>
    <x v="7"/>
    <n v="2021"/>
    <x v="1"/>
    <s v="N/A"/>
    <n v="0"/>
    <s v="Confirmed"/>
    <m/>
    <x v="0"/>
    <x v="0"/>
    <m/>
    <x v="1"/>
    <x v="1"/>
    <m/>
    <n v="0"/>
    <x v="0"/>
    <s v=""/>
    <n v="10696495313.15033"/>
  </r>
  <r>
    <x v="0"/>
    <x v="108"/>
    <x v="108"/>
    <x v="1"/>
    <x v="0"/>
    <x v="1"/>
    <x v="6"/>
    <x v="7"/>
    <n v="2021"/>
    <x v="1"/>
    <s v="N/A"/>
    <n v="0"/>
    <s v="Confirmed"/>
    <m/>
    <x v="0"/>
    <x v="0"/>
    <m/>
    <x v="1"/>
    <x v="1"/>
    <m/>
    <n v="0"/>
    <x v="0"/>
    <s v=""/>
    <n v="52769713433.240509"/>
  </r>
  <r>
    <x v="0"/>
    <x v="109"/>
    <x v="109"/>
    <x v="3"/>
    <x v="0"/>
    <x v="1"/>
    <x v="6"/>
    <x v="7"/>
    <n v="2021"/>
    <x v="1"/>
    <s v="N/A"/>
    <n v="100309"/>
    <s v="Confirmed"/>
    <m/>
    <x v="0"/>
    <x v="0"/>
    <m/>
    <x v="0"/>
    <x v="0"/>
    <m/>
    <n v="0"/>
    <x v="0"/>
    <s v="Moderate"/>
    <n v="225799814.51943746"/>
  </r>
  <r>
    <x v="0"/>
    <x v="110"/>
    <x v="110"/>
    <x v="6"/>
    <x v="0"/>
    <x v="1"/>
    <x v="6"/>
    <x v="7"/>
    <n v="2021"/>
    <x v="1"/>
    <s v="N/A"/>
    <n v="25000"/>
    <s v="Confirmed"/>
    <m/>
    <x v="0"/>
    <x v="0"/>
    <m/>
    <x v="2"/>
    <x v="0"/>
    <m/>
    <n v="0"/>
    <x v="1"/>
    <s v="High"/>
    <n v="32192988.027009469"/>
  </r>
  <r>
    <x v="0"/>
    <x v="111"/>
    <x v="111"/>
    <x v="5"/>
    <x v="0"/>
    <x v="1"/>
    <x v="6"/>
    <x v="7"/>
    <n v="2021"/>
    <x v="1"/>
    <s v="N/A"/>
    <n v="321989"/>
    <s v="Confirmed"/>
    <m/>
    <x v="0"/>
    <x v="0"/>
    <m/>
    <x v="2"/>
    <x v="0"/>
    <m/>
    <n v="0"/>
    <x v="1"/>
    <s v="In distress"/>
    <n v="11633535.136477679"/>
  </r>
  <r>
    <x v="0"/>
    <x v="112"/>
    <x v="112"/>
    <x v="5"/>
    <x v="0"/>
    <x v="1"/>
    <x v="6"/>
    <x v="7"/>
    <n v="2021"/>
    <x v="1"/>
    <s v="N/A"/>
    <n v="186993"/>
    <s v="Confirmed"/>
    <m/>
    <x v="0"/>
    <x v="0"/>
    <m/>
    <x v="2"/>
    <x v="0"/>
    <m/>
    <n v="2"/>
    <x v="0"/>
    <s v="Moderate"/>
    <n v="222008693.93354639"/>
  </r>
  <r>
    <x v="0"/>
    <x v="113"/>
    <x v="113"/>
    <x v="1"/>
    <x v="0"/>
    <x v="1"/>
    <x v="6"/>
    <x v="7"/>
    <n v="2021"/>
    <x v="1"/>
    <s v="N/A"/>
    <n v="0"/>
    <s v="Confirmed"/>
    <m/>
    <x v="0"/>
    <x v="0"/>
    <m/>
    <x v="1"/>
    <x v="1"/>
    <m/>
    <n v="0"/>
    <x v="0"/>
    <s v=""/>
    <n v="2564993795.1894679"/>
  </r>
  <r>
    <x v="0"/>
    <x v="114"/>
    <x v="114"/>
    <x v="3"/>
    <x v="0"/>
    <x v="1"/>
    <x v="6"/>
    <x v="7"/>
    <n v="2021"/>
    <x v="1"/>
    <s v="N/A"/>
    <n v="0"/>
    <s v="Confirmed"/>
    <m/>
    <x v="0"/>
    <x v="0"/>
    <m/>
    <x v="3"/>
    <x v="1"/>
    <m/>
    <n v="0"/>
    <x v="1"/>
    <s v="N/A"/>
    <n v="60237542.945069775"/>
  </r>
  <r>
    <x v="0"/>
    <x v="115"/>
    <x v="115"/>
    <x v="5"/>
    <x v="0"/>
    <x v="1"/>
    <x v="6"/>
    <x v="7"/>
    <n v="2021"/>
    <x v="1"/>
    <s v="N/A"/>
    <n v="148730"/>
    <s v="Confirmed"/>
    <m/>
    <x v="0"/>
    <x v="0"/>
    <m/>
    <x v="0"/>
    <x v="0"/>
    <m/>
    <n v="0"/>
    <x v="0"/>
    <s v="High"/>
    <n v="63738640.538260505"/>
  </r>
  <r>
    <x v="0"/>
    <x v="116"/>
    <x v="116"/>
    <x v="6"/>
    <x v="0"/>
    <x v="1"/>
    <x v="6"/>
    <x v="7"/>
    <n v="2021"/>
    <x v="1"/>
    <s v="N/A"/>
    <n v="93090"/>
    <s v="Confirmed"/>
    <m/>
    <x v="0"/>
    <x v="0"/>
    <m/>
    <x v="2"/>
    <x v="0"/>
    <m/>
    <n v="0"/>
    <x v="1"/>
    <s v="Moderate"/>
    <n v="49012774.055630356"/>
  </r>
  <r>
    <x v="0"/>
    <x v="117"/>
    <x v="117"/>
    <x v="3"/>
    <x v="0"/>
    <x v="1"/>
    <x v="6"/>
    <x v="7"/>
    <n v="2021"/>
    <x v="1"/>
    <s v="N/A"/>
    <n v="557990.22"/>
    <s v="Confirmed"/>
    <m/>
    <x v="0"/>
    <x v="0"/>
    <m/>
    <x v="0"/>
    <x v="0"/>
    <m/>
    <n v="1"/>
    <x v="0"/>
    <s v="In distress"/>
    <s v=""/>
  </r>
  <r>
    <x v="0"/>
    <x v="118"/>
    <x v="118"/>
    <x v="3"/>
    <x v="0"/>
    <x v="1"/>
    <x v="6"/>
    <x v="7"/>
    <n v="2021"/>
    <x v="1"/>
    <s v="N/A"/>
    <n v="0"/>
    <s v="Confirmed"/>
    <m/>
    <x v="0"/>
    <x v="0"/>
    <m/>
    <x v="1"/>
    <x v="1"/>
    <m/>
    <n v="0"/>
    <x v="0"/>
    <s v="N/A"/>
    <n v="16429121142.784708"/>
  </r>
  <r>
    <x v="0"/>
    <x v="119"/>
    <x v="119"/>
    <x v="3"/>
    <x v="0"/>
    <x v="1"/>
    <x v="6"/>
    <x v="7"/>
    <n v="2021"/>
    <x v="1"/>
    <s v="N/A"/>
    <n v="351367"/>
    <s v="Confirmed"/>
    <m/>
    <x v="0"/>
    <x v="0"/>
    <m/>
    <x v="0"/>
    <x v="0"/>
    <m/>
    <n v="1"/>
    <x v="0"/>
    <s v="High"/>
    <n v="31684581.76217727"/>
  </r>
  <r>
    <x v="0"/>
    <x v="120"/>
    <x v="120"/>
    <x v="0"/>
    <x v="0"/>
    <x v="1"/>
    <x v="6"/>
    <x v="7"/>
    <n v="2021"/>
    <x v="1"/>
    <s v="N/A"/>
    <n v="160000"/>
    <s v="Confirmed"/>
    <m/>
    <x v="0"/>
    <x v="0"/>
    <m/>
    <x v="2"/>
    <x v="0"/>
    <m/>
    <n v="0"/>
    <x v="0"/>
    <s v="N/A"/>
    <n v="1373621563.5182886"/>
  </r>
  <r>
    <x v="0"/>
    <x v="121"/>
    <x v="121"/>
    <x v="4"/>
    <x v="0"/>
    <x v="1"/>
    <x v="6"/>
    <x v="7"/>
    <n v="2021"/>
    <x v="1"/>
    <s v="N/A"/>
    <n v="0"/>
    <s v="Confirmed"/>
    <m/>
    <x v="0"/>
    <x v="0"/>
    <m/>
    <x v="3"/>
    <x v="1"/>
    <m/>
    <n v="0"/>
    <x v="1"/>
    <s v=""/>
    <n v="24214370.889062837"/>
  </r>
  <r>
    <x v="0"/>
    <x v="122"/>
    <x v="122"/>
    <x v="4"/>
    <x v="0"/>
    <x v="1"/>
    <x v="6"/>
    <x v="7"/>
    <n v="2021"/>
    <x v="1"/>
    <s v="N/A"/>
    <n v="50000"/>
    <s v="Confirmed"/>
    <m/>
    <x v="0"/>
    <x v="0"/>
    <m/>
    <x v="1"/>
    <x v="0"/>
    <m/>
    <n v="0"/>
    <x v="1"/>
    <s v="…"/>
    <n v="39941279.609447442"/>
  </r>
  <r>
    <x v="0"/>
    <x v="123"/>
    <x v="123"/>
    <x v="4"/>
    <x v="0"/>
    <x v="1"/>
    <x v="6"/>
    <x v="7"/>
    <n v="2021"/>
    <x v="1"/>
    <s v="N/A"/>
    <n v="65000"/>
    <s v="Confirmed"/>
    <m/>
    <x v="0"/>
    <x v="0"/>
    <m/>
    <x v="1"/>
    <x v="0"/>
    <m/>
    <n v="0"/>
    <x v="1"/>
    <s v="High"/>
    <n v="24761675.260059897"/>
  </r>
  <r>
    <x v="0"/>
    <x v="124"/>
    <x v="124"/>
    <x v="2"/>
    <x v="0"/>
    <x v="1"/>
    <x v="6"/>
    <x v="7"/>
    <n v="2021"/>
    <x v="1"/>
    <s v="N/A"/>
    <n v="402999.54000000004"/>
    <s v="Confirmed"/>
    <m/>
    <x v="0"/>
    <x v="0"/>
    <m/>
    <x v="2"/>
    <x v="0"/>
    <m/>
    <n v="0"/>
    <x v="0"/>
    <s v="N/A"/>
    <s v=""/>
  </r>
  <r>
    <x v="0"/>
    <x v="125"/>
    <x v="125"/>
    <x v="2"/>
    <x v="0"/>
    <x v="1"/>
    <x v="6"/>
    <x v="7"/>
    <n v="2021"/>
    <x v="1"/>
    <s v="N/A"/>
    <n v="685003"/>
    <s v="Confirmed"/>
    <m/>
    <x v="0"/>
    <x v="0"/>
    <m/>
    <x v="0"/>
    <x v="0"/>
    <m/>
    <n v="1"/>
    <x v="0"/>
    <s v="N/A"/>
    <n v="577156172.71229994"/>
  </r>
  <r>
    <x v="0"/>
    <x v="126"/>
    <x v="126"/>
    <x v="6"/>
    <x v="0"/>
    <x v="1"/>
    <x v="6"/>
    <x v="7"/>
    <n v="2021"/>
    <x v="1"/>
    <s v="N/A"/>
    <n v="0"/>
    <s v="Confirmed"/>
    <m/>
    <x v="0"/>
    <x v="0"/>
    <m/>
    <x v="1"/>
    <x v="1"/>
    <m/>
    <n v="0"/>
    <x v="1"/>
    <s v=""/>
    <n v="180052034.19851837"/>
  </r>
  <r>
    <x v="0"/>
    <x v="127"/>
    <x v="127"/>
    <x v="2"/>
    <x v="0"/>
    <x v="1"/>
    <x v="6"/>
    <x v="7"/>
    <n v="2021"/>
    <x v="1"/>
    <s v="N/A"/>
    <n v="458787.5"/>
    <s v="Confirmed"/>
    <m/>
    <x v="0"/>
    <x v="0"/>
    <m/>
    <x v="0"/>
    <x v="0"/>
    <m/>
    <n v="1"/>
    <x v="0"/>
    <s v="N/A"/>
    <s v=""/>
  </r>
  <r>
    <x v="0"/>
    <x v="128"/>
    <x v="128"/>
    <x v="1"/>
    <x v="0"/>
    <x v="1"/>
    <x v="6"/>
    <x v="7"/>
    <n v="2021"/>
    <x v="1"/>
    <s v="N/A"/>
    <n v="630278.15"/>
    <s v="Confirmed"/>
    <m/>
    <x v="0"/>
    <x v="0"/>
    <m/>
    <x v="2"/>
    <x v="0"/>
    <m/>
    <n v="0"/>
    <x v="0"/>
    <s v="High"/>
    <n v="147296124.32232863"/>
  </r>
  <r>
    <x v="0"/>
    <x v="129"/>
    <x v="129"/>
    <x v="3"/>
    <x v="0"/>
    <x v="1"/>
    <x v="6"/>
    <x v="7"/>
    <n v="2021"/>
    <x v="1"/>
    <s v="N/A"/>
    <n v="49990.400000000001"/>
    <s v="Confirmed"/>
    <m/>
    <x v="0"/>
    <x v="0"/>
    <m/>
    <x v="2"/>
    <x v="0"/>
    <m/>
    <n v="0"/>
    <x v="0"/>
    <s v="…"/>
    <n v="890576536.83065879"/>
  </r>
  <r>
    <x v="0"/>
    <x v="130"/>
    <x v="130"/>
    <x v="6"/>
    <x v="0"/>
    <x v="1"/>
    <x v="6"/>
    <x v="7"/>
    <n v="2021"/>
    <x v="1"/>
    <s v="N/A"/>
    <n v="0"/>
    <s v="Confirmed"/>
    <m/>
    <x v="0"/>
    <x v="0"/>
    <m/>
    <x v="1"/>
    <x v="1"/>
    <m/>
    <n v="0"/>
    <x v="0"/>
    <s v=""/>
    <n v="14611129792.346064"/>
  </r>
  <r>
    <x v="0"/>
    <x v="131"/>
    <x v="131"/>
    <x v="6"/>
    <x v="0"/>
    <x v="1"/>
    <x v="6"/>
    <x v="7"/>
    <n v="2021"/>
    <x v="1"/>
    <s v="N/A"/>
    <n v="25000"/>
    <s v="Confirmed"/>
    <m/>
    <x v="0"/>
    <x v="0"/>
    <m/>
    <x v="2"/>
    <x v="0"/>
    <m/>
    <n v="0"/>
    <x v="1"/>
    <s v="Low"/>
    <n v="72046877.233008593"/>
  </r>
  <r>
    <x v="0"/>
    <x v="132"/>
    <x v="132"/>
    <x v="5"/>
    <x v="0"/>
    <x v="1"/>
    <x v="6"/>
    <x v="7"/>
    <n v="2021"/>
    <x v="1"/>
    <s v="N/A"/>
    <n v="213951"/>
    <s v="Confirmed"/>
    <m/>
    <x v="0"/>
    <x v="0"/>
    <m/>
    <x v="0"/>
    <x v="0"/>
    <m/>
    <n v="0"/>
    <x v="0"/>
    <s v="High"/>
    <n v="56248139.267255567"/>
  </r>
  <r>
    <x v="0"/>
    <x v="133"/>
    <x v="133"/>
    <x v="6"/>
    <x v="0"/>
    <x v="1"/>
    <x v="6"/>
    <x v="7"/>
    <n v="2021"/>
    <x v="1"/>
    <s v="N/A"/>
    <n v="25000"/>
    <s v="Confirmed"/>
    <m/>
    <x v="0"/>
    <x v="0"/>
    <m/>
    <x v="1"/>
    <x v="0"/>
    <m/>
    <n v="0"/>
    <x v="1"/>
    <s v="High"/>
    <n v="15464031.712942109"/>
  </r>
  <r>
    <x v="0"/>
    <x v="134"/>
    <x v="134"/>
    <x v="4"/>
    <x v="0"/>
    <x v="1"/>
    <x v="6"/>
    <x v="7"/>
    <n v="2021"/>
    <x v="1"/>
    <s v="N/A"/>
    <n v="0"/>
    <s v="Confirmed"/>
    <m/>
    <x v="0"/>
    <x v="0"/>
    <m/>
    <x v="3"/>
    <x v="1"/>
    <m/>
    <n v="0"/>
    <x v="1"/>
    <s v="N/A"/>
    <n v="769564399.33249676"/>
  </r>
  <r>
    <x v="0"/>
    <x v="135"/>
    <x v="135"/>
    <x v="2"/>
    <x v="0"/>
    <x v="1"/>
    <x v="6"/>
    <x v="7"/>
    <n v="2021"/>
    <x v="1"/>
    <s v="N/A"/>
    <n v="50000.03"/>
    <s v="Confirmed"/>
    <m/>
    <x v="0"/>
    <x v="0"/>
    <m/>
    <x v="2"/>
    <x v="0"/>
    <m/>
    <n v="0"/>
    <x v="0"/>
    <s v="N/A"/>
    <n v="1668954539.7630196"/>
  </r>
  <r>
    <x v="0"/>
    <x v="136"/>
    <x v="136"/>
    <x v="1"/>
    <x v="0"/>
    <x v="1"/>
    <x v="6"/>
    <x v="7"/>
    <n v="2021"/>
    <x v="1"/>
    <s v="N/A"/>
    <n v="0"/>
    <s v="Confirmed"/>
    <m/>
    <x v="0"/>
    <x v="0"/>
    <m/>
    <x v="1"/>
    <x v="1"/>
    <m/>
    <n v="0"/>
    <x v="0"/>
    <s v=""/>
    <n v="24840920016.18832"/>
  </r>
  <r>
    <x v="0"/>
    <x v="137"/>
    <x v="137"/>
    <x v="1"/>
    <x v="0"/>
    <x v="1"/>
    <x v="6"/>
    <x v="7"/>
    <n v="2021"/>
    <x v="1"/>
    <s v="N/A"/>
    <n v="0"/>
    <s v="Confirmed"/>
    <m/>
    <x v="0"/>
    <x v="0"/>
    <m/>
    <x v="1"/>
    <x v="1"/>
    <m/>
    <n v="0"/>
    <x v="0"/>
    <s v="N/A"/>
    <n v="487888462.83720118"/>
  </r>
  <r>
    <x v="0"/>
    <x v="138"/>
    <x v="138"/>
    <x v="6"/>
    <x v="0"/>
    <x v="1"/>
    <x v="6"/>
    <x v="7"/>
    <n v="2021"/>
    <x v="1"/>
    <s v="N/A"/>
    <n v="25000"/>
    <s v="Confirmed"/>
    <m/>
    <x v="0"/>
    <x v="0"/>
    <m/>
    <x v="1"/>
    <x v="0"/>
    <m/>
    <n v="0"/>
    <x v="1"/>
    <s v="…"/>
    <n v="6365061.1736073596"/>
  </r>
  <r>
    <x v="0"/>
    <x v="139"/>
    <x v="139"/>
    <x v="3"/>
    <x v="0"/>
    <x v="1"/>
    <x v="6"/>
    <x v="7"/>
    <n v="2021"/>
    <x v="1"/>
    <s v="N/A"/>
    <n v="216660"/>
    <s v="Confirmed"/>
    <m/>
    <x v="0"/>
    <x v="0"/>
    <m/>
    <x v="0"/>
    <x v="0"/>
    <m/>
    <n v="2"/>
    <x v="0"/>
    <s v="Low"/>
    <n v="291799092.90196139"/>
  </r>
  <r>
    <x v="0"/>
    <x v="140"/>
    <x v="140"/>
    <x v="1"/>
    <x v="0"/>
    <x v="1"/>
    <x v="6"/>
    <x v="7"/>
    <n v="2021"/>
    <x v="1"/>
    <s v="N/A"/>
    <n v="81000"/>
    <s v="Confirmed"/>
    <m/>
    <x v="0"/>
    <x v="0"/>
    <m/>
    <x v="2"/>
    <x v="0"/>
    <m/>
    <n v="0"/>
    <x v="0"/>
    <s v="N/A"/>
    <n v="4844815340.2135534"/>
  </r>
  <r>
    <x v="0"/>
    <x v="141"/>
    <x v="141"/>
    <x v="4"/>
    <x v="0"/>
    <x v="1"/>
    <x v="6"/>
    <x v="7"/>
    <n v="2021"/>
    <x v="1"/>
    <s v="N/A"/>
    <n v="0"/>
    <s v="Confirmed"/>
    <m/>
    <x v="0"/>
    <x v="0"/>
    <m/>
    <x v="3"/>
    <x v="1"/>
    <m/>
    <n v="0"/>
    <x v="0"/>
    <s v=""/>
    <n v="4001891446.6871672"/>
  </r>
  <r>
    <x v="0"/>
    <x v="142"/>
    <x v="142"/>
    <x v="1"/>
    <x v="0"/>
    <x v="1"/>
    <x v="6"/>
    <x v="7"/>
    <n v="2021"/>
    <x v="1"/>
    <s v="N/A"/>
    <n v="135034"/>
    <s v="Confirmed"/>
    <m/>
    <x v="0"/>
    <x v="0"/>
    <m/>
    <x v="2"/>
    <x v="0"/>
    <m/>
    <n v="0"/>
    <x v="0"/>
    <s v="Low"/>
    <n v="1019800630.5853213"/>
  </r>
  <r>
    <x v="0"/>
    <x v="143"/>
    <x v="143"/>
    <x v="6"/>
    <x v="0"/>
    <x v="1"/>
    <x v="6"/>
    <x v="7"/>
    <n v="2021"/>
    <x v="1"/>
    <s v="N/A"/>
    <n v="25000"/>
    <s v="Confirmed"/>
    <m/>
    <x v="0"/>
    <x v="0"/>
    <m/>
    <x v="2"/>
    <x v="0"/>
    <m/>
    <n v="0"/>
    <x v="1"/>
    <s v="Moderate"/>
    <n v="19578671.310841195"/>
  </r>
  <r>
    <x v="0"/>
    <x v="144"/>
    <x v="144"/>
    <x v="4"/>
    <x v="0"/>
    <x v="1"/>
    <x v="6"/>
    <x v="7"/>
    <n v="2021"/>
    <x v="1"/>
    <s v="N/A"/>
    <n v="0"/>
    <s v="Confirmed"/>
    <m/>
    <x v="0"/>
    <x v="0"/>
    <m/>
    <x v="4"/>
    <x v="1"/>
    <m/>
    <n v="0"/>
    <x v="0"/>
    <s v="N/A"/>
    <n v="3551452001.0684834"/>
  </r>
  <r>
    <x v="0"/>
    <x v="145"/>
    <x v="145"/>
    <x v="6"/>
    <x v="0"/>
    <x v="1"/>
    <x v="6"/>
    <x v="7"/>
    <n v="2021"/>
    <x v="1"/>
    <s v="N/A"/>
    <n v="95000"/>
    <s v="Confirmed"/>
    <m/>
    <x v="0"/>
    <x v="0"/>
    <m/>
    <x v="2"/>
    <x v="0"/>
    <m/>
    <n v="0"/>
    <x v="0"/>
    <s v="N/A"/>
    <n v="6603048821.7575006"/>
  </r>
  <r>
    <x v="0"/>
    <x v="146"/>
    <x v="146"/>
    <x v="2"/>
    <x v="0"/>
    <x v="1"/>
    <x v="6"/>
    <x v="7"/>
    <n v="2021"/>
    <x v="1"/>
    <s v="N/A"/>
    <n v="493313.16"/>
    <s v="Confirmed"/>
    <m/>
    <x v="0"/>
    <x v="0"/>
    <m/>
    <x v="0"/>
    <x v="0"/>
    <m/>
    <n v="1"/>
    <x v="0"/>
    <s v="…"/>
    <s v=""/>
  </r>
  <r>
    <x v="0"/>
    <x v="147"/>
    <x v="147"/>
    <x v="3"/>
    <x v="0"/>
    <x v="1"/>
    <x v="6"/>
    <x v="7"/>
    <n v="2021"/>
    <x v="1"/>
    <s v="N/A"/>
    <n v="74900"/>
    <s v="Confirmed"/>
    <m/>
    <x v="0"/>
    <x v="0"/>
    <m/>
    <x v="2"/>
    <x v="0"/>
    <m/>
    <n v="0"/>
    <x v="0"/>
    <s v="High"/>
    <n v="515352723.9821828"/>
  </r>
  <r>
    <x v="0"/>
    <x v="148"/>
    <x v="148"/>
    <x v="3"/>
    <x v="0"/>
    <x v="1"/>
    <x v="6"/>
    <x v="7"/>
    <n v="2021"/>
    <x v="1"/>
    <s v="N/A"/>
    <n v="345203"/>
    <s v="Confirmed"/>
    <m/>
    <x v="0"/>
    <x v="0"/>
    <m/>
    <x v="2"/>
    <x v="0"/>
    <m/>
    <n v="0"/>
    <x v="0"/>
    <s v="N/A"/>
    <n v="566711742.22428358"/>
  </r>
  <r>
    <x v="0"/>
    <x v="0"/>
    <x v="0"/>
    <x v="0"/>
    <x v="0"/>
    <x v="1"/>
    <x v="7"/>
    <x v="6"/>
    <n v="2021"/>
    <x v="1"/>
    <s v="N/A"/>
    <n v="567847.22222222213"/>
    <s v="Confirmed"/>
    <s v=""/>
    <x v="0"/>
    <x v="0"/>
    <m/>
    <x v="0"/>
    <x v="0"/>
    <m/>
    <n v="1"/>
    <x v="0"/>
    <s v="High"/>
    <n v="95829480.719269618"/>
  </r>
  <r>
    <x v="0"/>
    <x v="1"/>
    <x v="1"/>
    <x v="1"/>
    <x v="0"/>
    <x v="1"/>
    <x v="7"/>
    <x v="6"/>
    <n v="2021"/>
    <x v="1"/>
    <s v="N/A"/>
    <n v="0"/>
    <s v="Confirmed"/>
    <s v=""/>
    <x v="0"/>
    <x v="0"/>
    <m/>
    <x v="1"/>
    <x v="1"/>
    <m/>
    <n v="0"/>
    <x v="0"/>
    <s v=""/>
    <n v="427904035.52443534"/>
  </r>
  <r>
    <x v="0"/>
    <x v="2"/>
    <x v="2"/>
    <x v="2"/>
    <x v="0"/>
    <x v="1"/>
    <x v="7"/>
    <x v="6"/>
    <n v="2021"/>
    <x v="1"/>
    <s v="N/A"/>
    <n v="59999.999999999993"/>
    <s v="Confirmed"/>
    <s v=""/>
    <x v="0"/>
    <x v="0"/>
    <m/>
    <x v="2"/>
    <x v="0"/>
    <m/>
    <n v="0"/>
    <x v="0"/>
    <s v="N/A"/>
    <n v="7113361022.7267885"/>
  </r>
  <r>
    <x v="0"/>
    <x v="3"/>
    <x v="3"/>
    <x v="3"/>
    <x v="0"/>
    <x v="1"/>
    <x v="7"/>
    <x v="6"/>
    <n v="2021"/>
    <x v="1"/>
    <s v="N/A"/>
    <n v="20000"/>
    <s v="Confirmed"/>
    <s v=""/>
    <x v="0"/>
    <x v="0"/>
    <m/>
    <x v="2"/>
    <x v="0"/>
    <m/>
    <n v="0"/>
    <x v="0"/>
    <s v="…"/>
    <n v="1131865946.5875781"/>
  </r>
  <r>
    <x v="0"/>
    <x v="4"/>
    <x v="4"/>
    <x v="4"/>
    <x v="0"/>
    <x v="1"/>
    <x v="7"/>
    <x v="6"/>
    <n v="2021"/>
    <x v="1"/>
    <s v="N/A"/>
    <n v="0"/>
    <s v="Confirmed"/>
    <s v=""/>
    <x v="0"/>
    <x v="0"/>
    <m/>
    <x v="3"/>
    <x v="1"/>
    <m/>
    <n v="0"/>
    <x v="1"/>
    <s v=""/>
    <n v="46777779.823447868"/>
  </r>
  <r>
    <x v="0"/>
    <x v="5"/>
    <x v="5"/>
    <x v="4"/>
    <x v="0"/>
    <x v="1"/>
    <x v="7"/>
    <x v="6"/>
    <n v="2021"/>
    <x v="1"/>
    <s v="N/A"/>
    <n v="0"/>
    <s v="Confirmed"/>
    <s v=""/>
    <x v="0"/>
    <x v="0"/>
    <m/>
    <x v="1"/>
    <x v="1"/>
    <m/>
    <n v="0"/>
    <x v="0"/>
    <s v=""/>
    <n v="30725305777.596794"/>
  </r>
  <r>
    <x v="0"/>
    <x v="6"/>
    <x v="6"/>
    <x v="1"/>
    <x v="0"/>
    <x v="1"/>
    <x v="7"/>
    <x v="6"/>
    <n v="2021"/>
    <x v="1"/>
    <s v="N/A"/>
    <n v="0"/>
    <s v="Confirmed"/>
    <s v=""/>
    <x v="0"/>
    <x v="0"/>
    <m/>
    <x v="1"/>
    <x v="1"/>
    <m/>
    <n v="0"/>
    <x v="0"/>
    <s v=""/>
    <n v="153815827.8380394"/>
  </r>
  <r>
    <x v="0"/>
    <x v="7"/>
    <x v="7"/>
    <x v="1"/>
    <x v="0"/>
    <x v="1"/>
    <x v="7"/>
    <x v="6"/>
    <n v="2021"/>
    <x v="1"/>
    <s v="N/A"/>
    <n v="0"/>
    <s v="Confirmed"/>
    <s v=""/>
    <x v="0"/>
    <x v="0"/>
    <m/>
    <x v="1"/>
    <x v="1"/>
    <m/>
    <n v="0"/>
    <x v="0"/>
    <s v="N/A"/>
    <n v="437525105.31216973"/>
  </r>
  <r>
    <x v="0"/>
    <x v="8"/>
    <x v="8"/>
    <x v="4"/>
    <x v="0"/>
    <x v="1"/>
    <x v="7"/>
    <x v="6"/>
    <n v="2021"/>
    <x v="1"/>
    <s v="N/A"/>
    <n v="0"/>
    <s v="Confirmed"/>
    <s v=""/>
    <x v="0"/>
    <x v="0"/>
    <m/>
    <x v="3"/>
    <x v="1"/>
    <m/>
    <n v="0"/>
    <x v="1"/>
    <s v=""/>
    <n v="149463302.00602186"/>
  </r>
  <r>
    <x v="0"/>
    <x v="9"/>
    <x v="9"/>
    <x v="0"/>
    <x v="0"/>
    <x v="1"/>
    <x v="7"/>
    <x v="6"/>
    <n v="2021"/>
    <x v="1"/>
    <s v="N/A"/>
    <n v="326500"/>
    <s v="Confirmed"/>
    <s v=""/>
    <x v="0"/>
    <x v="0"/>
    <m/>
    <x v="2"/>
    <x v="0"/>
    <m/>
    <n v="0"/>
    <x v="0"/>
    <s v="Low"/>
    <n v="1148322593.9600098"/>
  </r>
  <r>
    <x v="0"/>
    <x v="10"/>
    <x v="10"/>
    <x v="1"/>
    <x v="0"/>
    <x v="1"/>
    <x v="7"/>
    <x v="6"/>
    <n v="2021"/>
    <x v="1"/>
    <s v="N/A"/>
    <n v="0"/>
    <s v="Confirmed"/>
    <s v=""/>
    <x v="0"/>
    <x v="0"/>
    <m/>
    <x v="1"/>
    <x v="1"/>
    <m/>
    <n v="0"/>
    <x v="0"/>
    <s v=""/>
    <n v="2371102058.1093163"/>
  </r>
  <r>
    <x v="0"/>
    <x v="11"/>
    <x v="11"/>
    <x v="4"/>
    <x v="0"/>
    <x v="1"/>
    <x v="7"/>
    <x v="6"/>
    <n v="2021"/>
    <x v="1"/>
    <s v="N/A"/>
    <n v="0"/>
    <s v="Confirmed"/>
    <s v=""/>
    <x v="0"/>
    <x v="0"/>
    <m/>
    <x v="2"/>
    <x v="1"/>
    <m/>
    <n v="0"/>
    <x v="1"/>
    <s v="N/A"/>
    <n v="75151620.005215243"/>
  </r>
  <r>
    <x v="0"/>
    <x v="12"/>
    <x v="12"/>
    <x v="5"/>
    <x v="0"/>
    <x v="1"/>
    <x v="7"/>
    <x v="6"/>
    <n v="2021"/>
    <x v="1"/>
    <s v="N/A"/>
    <n v="91200"/>
    <s v="Confirmed"/>
    <s v=""/>
    <x v="0"/>
    <x v="0"/>
    <m/>
    <x v="2"/>
    <x v="0"/>
    <m/>
    <n v="0"/>
    <x v="0"/>
    <s v="Moderate"/>
    <n v="69958487.197715744"/>
  </r>
  <r>
    <x v="0"/>
    <x v="13"/>
    <x v="13"/>
    <x v="0"/>
    <x v="0"/>
    <x v="1"/>
    <x v="7"/>
    <x v="6"/>
    <n v="2021"/>
    <x v="1"/>
    <s v="N/A"/>
    <n v="29999.999999999996"/>
    <s v="Confirmed"/>
    <s v=""/>
    <x v="0"/>
    <x v="0"/>
    <m/>
    <x v="2"/>
    <x v="0"/>
    <m/>
    <n v="0"/>
    <x v="0"/>
    <s v="…"/>
    <n v="61654608.560629159"/>
  </r>
  <r>
    <x v="0"/>
    <x v="14"/>
    <x v="14"/>
    <x v="4"/>
    <x v="0"/>
    <x v="1"/>
    <x v="7"/>
    <x v="6"/>
    <n v="2021"/>
    <x v="1"/>
    <s v="N/A"/>
    <n v="0"/>
    <s v="Confirmed"/>
    <s v=""/>
    <x v="0"/>
    <x v="0"/>
    <m/>
    <x v="2"/>
    <x v="0"/>
    <m/>
    <n v="0"/>
    <x v="0"/>
    <s v="N/A"/>
    <n v="1806638707.7615163"/>
  </r>
  <r>
    <x v="0"/>
    <x v="15"/>
    <x v="15"/>
    <x v="1"/>
    <x v="0"/>
    <x v="1"/>
    <x v="7"/>
    <x v="6"/>
    <n v="2021"/>
    <x v="1"/>
    <s v="N/A"/>
    <n v="0"/>
    <s v="Confirmed"/>
    <s v=""/>
    <x v="0"/>
    <x v="0"/>
    <m/>
    <x v="1"/>
    <x v="1"/>
    <m/>
    <n v="0"/>
    <x v="0"/>
    <s v="N/A"/>
    <n v="1252696525.0627904"/>
  </r>
  <r>
    <x v="0"/>
    <x v="16"/>
    <x v="16"/>
    <x v="3"/>
    <x v="0"/>
    <x v="1"/>
    <x v="7"/>
    <x v="6"/>
    <n v="2021"/>
    <x v="1"/>
    <s v="N/A"/>
    <n v="0"/>
    <s v="Confirmed"/>
    <s v=""/>
    <x v="0"/>
    <x v="0"/>
    <m/>
    <x v="1"/>
    <x v="1"/>
    <m/>
    <n v="0"/>
    <x v="0"/>
    <s v=""/>
    <n v="843425084.07334602"/>
  </r>
  <r>
    <x v="0"/>
    <x v="17"/>
    <x v="17"/>
    <x v="4"/>
    <x v="0"/>
    <x v="1"/>
    <x v="7"/>
    <x v="6"/>
    <n v="2021"/>
    <x v="1"/>
    <s v="N/A"/>
    <n v="0"/>
    <s v="Confirmed"/>
    <s v=""/>
    <x v="0"/>
    <x v="0"/>
    <m/>
    <x v="1"/>
    <x v="1"/>
    <m/>
    <n v="0"/>
    <x v="0"/>
    <s v="N/A"/>
    <n v="74055620038.853683"/>
  </r>
  <r>
    <x v="0"/>
    <x v="18"/>
    <x v="18"/>
    <x v="1"/>
    <x v="0"/>
    <x v="1"/>
    <x v="7"/>
    <x v="6"/>
    <n v="2021"/>
    <x v="1"/>
    <s v="N/A"/>
    <n v="0"/>
    <s v="Confirmed"/>
    <s v=""/>
    <x v="0"/>
    <x v="0"/>
    <m/>
    <x v="1"/>
    <x v="1"/>
    <m/>
    <n v="0"/>
    <x v="0"/>
    <s v=""/>
    <n v="2803357765.5888777"/>
  </r>
  <r>
    <x v="0"/>
    <x v="19"/>
    <x v="19"/>
    <x v="5"/>
    <x v="0"/>
    <x v="1"/>
    <x v="7"/>
    <x v="6"/>
    <n v="2021"/>
    <x v="1"/>
    <s v="N/A"/>
    <n v="385000"/>
    <s v="Confirmed"/>
    <s v=""/>
    <x v="0"/>
    <x v="0"/>
    <m/>
    <x v="0"/>
    <x v="0"/>
    <m/>
    <n v="2"/>
    <x v="0"/>
    <s v="Moderate"/>
    <n v="337927779.25510043"/>
  </r>
  <r>
    <x v="0"/>
    <x v="20"/>
    <x v="20"/>
    <x v="3"/>
    <x v="0"/>
    <x v="1"/>
    <x v="7"/>
    <x v="6"/>
    <n v="2021"/>
    <x v="1"/>
    <s v="N/A"/>
    <n v="172200"/>
    <s v="Confirmed"/>
    <s v=""/>
    <x v="0"/>
    <x v="0"/>
    <m/>
    <x v="0"/>
    <x v="0"/>
    <m/>
    <n v="2"/>
    <x v="0"/>
    <s v="…"/>
    <n v="65979512.47399316"/>
  </r>
  <r>
    <x v="0"/>
    <x v="21"/>
    <x v="21"/>
    <x v="5"/>
    <x v="0"/>
    <x v="1"/>
    <x v="7"/>
    <x v="6"/>
    <n v="2021"/>
    <x v="1"/>
    <s v="N/A"/>
    <n v="23148.148148148146"/>
    <s v="Confirmed"/>
    <s v=""/>
    <x v="0"/>
    <x v="0"/>
    <m/>
    <x v="2"/>
    <x v="0"/>
    <m/>
    <n v="0"/>
    <x v="1"/>
    <s v="High"/>
    <n v="63748362.778827004"/>
  </r>
  <r>
    <x v="0"/>
    <x v="22"/>
    <x v="22"/>
    <x v="6"/>
    <x v="0"/>
    <x v="1"/>
    <x v="7"/>
    <x v="6"/>
    <n v="2021"/>
    <x v="1"/>
    <s v="N/A"/>
    <n v="95138.888888888876"/>
    <s v="Confirmed"/>
    <s v=""/>
    <x v="0"/>
    <x v="0"/>
    <m/>
    <x v="2"/>
    <x v="0"/>
    <m/>
    <n v="0"/>
    <x v="0"/>
    <s v="Low"/>
    <n v="313039649.45369786"/>
  </r>
  <r>
    <x v="0"/>
    <x v="23"/>
    <x v="23"/>
    <x v="5"/>
    <x v="0"/>
    <x v="1"/>
    <x v="7"/>
    <x v="6"/>
    <n v="2021"/>
    <x v="1"/>
    <s v="N/A"/>
    <n v="208184.85185185185"/>
    <s v="Confirmed"/>
    <s v=""/>
    <x v="0"/>
    <x v="0"/>
    <m/>
    <x v="2"/>
    <x v="0"/>
    <m/>
    <n v="2"/>
    <x v="0"/>
    <s v="High"/>
    <n v="81361801.477472037"/>
  </r>
  <r>
    <x v="0"/>
    <x v="24"/>
    <x v="24"/>
    <x v="5"/>
    <x v="0"/>
    <x v="1"/>
    <x v="7"/>
    <x v="6"/>
    <n v="2021"/>
    <x v="1"/>
    <s v="N/A"/>
    <n v="390170.37037037034"/>
    <s v="Confirmed"/>
    <s v=""/>
    <x v="0"/>
    <x v="0"/>
    <m/>
    <x v="0"/>
    <x v="0"/>
    <m/>
    <n v="1"/>
    <x v="0"/>
    <s v="High"/>
    <s v=""/>
  </r>
  <r>
    <x v="0"/>
    <x v="25"/>
    <x v="25"/>
    <x v="5"/>
    <x v="0"/>
    <x v="1"/>
    <x v="7"/>
    <x v="6"/>
    <n v="2021"/>
    <x v="1"/>
    <s v="N/A"/>
    <n v="225360.18518518517"/>
    <s v="Confirmed"/>
    <s v=""/>
    <x v="0"/>
    <x v="0"/>
    <m/>
    <x v="0"/>
    <x v="0"/>
    <m/>
    <n v="1"/>
    <x v="0"/>
    <s v="High"/>
    <n v="76939306.715636879"/>
  </r>
  <r>
    <x v="0"/>
    <x v="26"/>
    <x v="26"/>
    <x v="4"/>
    <x v="0"/>
    <x v="1"/>
    <x v="7"/>
    <x v="6"/>
    <n v="2021"/>
    <x v="1"/>
    <s v="N/A"/>
    <n v="0"/>
    <s v="Confirmed"/>
    <s v=""/>
    <x v="0"/>
    <x v="0"/>
    <m/>
    <x v="3"/>
    <x v="1"/>
    <m/>
    <n v="0"/>
    <x v="0"/>
    <s v=""/>
    <n v="13859708717.682571"/>
  </r>
  <r>
    <x v="0"/>
    <x v="27"/>
    <x v="27"/>
    <x v="6"/>
    <x v="0"/>
    <x v="1"/>
    <x v="7"/>
    <x v="6"/>
    <n v="2021"/>
    <x v="1"/>
    <s v="N/A"/>
    <n v="0"/>
    <s v="Confirmed"/>
    <s v=""/>
    <x v="0"/>
    <x v="0"/>
    <m/>
    <x v="1"/>
    <x v="1"/>
    <m/>
    <n v="0"/>
    <x v="0"/>
    <s v=""/>
    <n v="403567160707.7016"/>
  </r>
  <r>
    <x v="0"/>
    <x v="28"/>
    <x v="28"/>
    <x v="4"/>
    <x v="0"/>
    <x v="1"/>
    <x v="7"/>
    <x v="6"/>
    <n v="2021"/>
    <x v="1"/>
    <s v="N/A"/>
    <n v="0"/>
    <s v="Confirmed"/>
    <s v=""/>
    <x v="0"/>
    <x v="0"/>
    <m/>
    <x v="1"/>
    <x v="1"/>
    <m/>
    <n v="0"/>
    <x v="0"/>
    <s v=""/>
    <n v="18250225995.972618"/>
  </r>
  <r>
    <x v="0"/>
    <x v="29"/>
    <x v="29"/>
    <x v="3"/>
    <x v="0"/>
    <x v="1"/>
    <x v="7"/>
    <x v="6"/>
    <n v="2021"/>
    <x v="1"/>
    <s v="N/A"/>
    <n v="118499.99999999999"/>
    <s v="Confirmed"/>
    <s v=""/>
    <x v="0"/>
    <x v="0"/>
    <m/>
    <x v="2"/>
    <x v="0"/>
    <m/>
    <n v="0"/>
    <x v="1"/>
    <s v="Moderate"/>
    <n v="5027591.1682657599"/>
  </r>
  <r>
    <x v="0"/>
    <x v="30"/>
    <x v="30"/>
    <x v="5"/>
    <x v="0"/>
    <x v="1"/>
    <x v="7"/>
    <x v="6"/>
    <n v="2021"/>
    <x v="1"/>
    <s v="N/A"/>
    <n v="457699.99999999994"/>
    <s v="Confirmed"/>
    <s v=""/>
    <x v="0"/>
    <x v="0"/>
    <m/>
    <x v="0"/>
    <x v="0"/>
    <m/>
    <n v="3"/>
    <x v="0"/>
    <s v="Moderate"/>
    <n v="234645958.63289919"/>
  </r>
  <r>
    <x v="0"/>
    <x v="31"/>
    <x v="31"/>
    <x v="5"/>
    <x v="0"/>
    <x v="1"/>
    <x v="7"/>
    <x v="6"/>
    <n v="2021"/>
    <x v="1"/>
    <s v="N/A"/>
    <n v="155000"/>
    <s v="Confirmed"/>
    <s v=""/>
    <x v="0"/>
    <x v="0"/>
    <m/>
    <x v="2"/>
    <x v="0"/>
    <m/>
    <n v="2"/>
    <x v="0"/>
    <s v="In distress"/>
    <n v="91590910.247314155"/>
  </r>
  <r>
    <x v="0"/>
    <x v="32"/>
    <x v="32"/>
    <x v="6"/>
    <x v="0"/>
    <x v="1"/>
    <x v="7"/>
    <x v="6"/>
    <n v="2021"/>
    <x v="1"/>
    <s v="N/A"/>
    <n v="0"/>
    <s v="Confirmed"/>
    <s v=""/>
    <x v="0"/>
    <x v="0"/>
    <m/>
    <x v="4"/>
    <x v="1"/>
    <m/>
    <n v="0"/>
    <x v="1"/>
    <s v="N/A"/>
    <n v="8560012.8840167802"/>
  </r>
  <r>
    <x v="0"/>
    <x v="33"/>
    <x v="33"/>
    <x v="4"/>
    <x v="0"/>
    <x v="1"/>
    <x v="7"/>
    <x v="6"/>
    <n v="2021"/>
    <x v="1"/>
    <s v="N/A"/>
    <n v="0"/>
    <s v="Confirmed"/>
    <s v=""/>
    <x v="0"/>
    <x v="0"/>
    <m/>
    <x v="1"/>
    <x v="1"/>
    <m/>
    <n v="0"/>
    <x v="0"/>
    <s v="N/A"/>
    <n v="3292372960.3962669"/>
  </r>
  <r>
    <x v="0"/>
    <x v="34"/>
    <x v="34"/>
    <x v="5"/>
    <x v="0"/>
    <x v="1"/>
    <x v="7"/>
    <x v="6"/>
    <n v="2021"/>
    <x v="1"/>
    <s v="N/A"/>
    <n v="74074.074074074073"/>
    <s v="Confirmed"/>
    <s v=""/>
    <x v="0"/>
    <x v="0"/>
    <m/>
    <x v="2"/>
    <x v="0"/>
    <m/>
    <n v="0"/>
    <x v="0"/>
    <s v="Moderate"/>
    <n v="519209981.22981054"/>
  </r>
  <r>
    <x v="0"/>
    <x v="35"/>
    <x v="35"/>
    <x v="1"/>
    <x v="0"/>
    <x v="1"/>
    <x v="7"/>
    <x v="6"/>
    <n v="2021"/>
    <x v="1"/>
    <s v="N/A"/>
    <n v="0"/>
    <s v="Confirmed"/>
    <s v=""/>
    <x v="0"/>
    <x v="0"/>
    <m/>
    <x v="3"/>
    <x v="1"/>
    <m/>
    <n v="0"/>
    <x v="0"/>
    <s v=""/>
    <n v="3464739907.1604805"/>
  </r>
  <r>
    <x v="0"/>
    <x v="36"/>
    <x v="36"/>
    <x v="4"/>
    <x v="0"/>
    <x v="1"/>
    <x v="7"/>
    <x v="6"/>
    <n v="2021"/>
    <x v="1"/>
    <s v="N/A"/>
    <n v="0"/>
    <s v="Confirmed"/>
    <s v=""/>
    <x v="0"/>
    <x v="0"/>
    <m/>
    <x v="1"/>
    <x v="1"/>
    <m/>
    <n v="0"/>
    <x v="1"/>
    <s v=""/>
    <n v="9948521252.2569065"/>
  </r>
  <r>
    <x v="0"/>
    <x v="37"/>
    <x v="37"/>
    <x v="2"/>
    <x v="0"/>
    <x v="1"/>
    <x v="7"/>
    <x v="6"/>
    <n v="2021"/>
    <x v="1"/>
    <s v="N/A"/>
    <n v="168981.48148148146"/>
    <s v="Confirmed"/>
    <s v=""/>
    <x v="0"/>
    <x v="0"/>
    <m/>
    <x v="2"/>
    <x v="0"/>
    <m/>
    <n v="1"/>
    <x v="0"/>
    <s v="High"/>
    <n v="33679192.765657313"/>
  </r>
  <r>
    <x v="0"/>
    <x v="38"/>
    <x v="38"/>
    <x v="4"/>
    <x v="0"/>
    <x v="1"/>
    <x v="7"/>
    <x v="6"/>
    <n v="2021"/>
    <x v="1"/>
    <s v="N/A"/>
    <n v="0"/>
    <s v="Confirmed"/>
    <s v=""/>
    <x v="0"/>
    <x v="0"/>
    <m/>
    <x v="1"/>
    <x v="0"/>
    <m/>
    <n v="0"/>
    <x v="1"/>
    <s v="…"/>
    <n v="22784494.365742501"/>
  </r>
  <r>
    <x v="0"/>
    <x v="39"/>
    <x v="39"/>
    <x v="4"/>
    <x v="0"/>
    <x v="1"/>
    <x v="7"/>
    <x v="6"/>
    <n v="2021"/>
    <x v="1"/>
    <s v="N/A"/>
    <n v="0"/>
    <s v="Confirmed"/>
    <s v=""/>
    <x v="0"/>
    <x v="0"/>
    <m/>
    <x v="1"/>
    <x v="1"/>
    <m/>
    <n v="0"/>
    <x v="1"/>
    <s v=""/>
    <n v="2173208011.4858823"/>
  </r>
  <r>
    <x v="0"/>
    <x v="40"/>
    <x v="40"/>
    <x v="4"/>
    <x v="0"/>
    <x v="1"/>
    <x v="7"/>
    <x v="6"/>
    <n v="2021"/>
    <x v="1"/>
    <s v="N/A"/>
    <n v="0"/>
    <s v="Confirmed"/>
    <s v=""/>
    <x v="0"/>
    <x v="0"/>
    <m/>
    <x v="1"/>
    <x v="1"/>
    <m/>
    <n v="0"/>
    <x v="0"/>
    <s v="N/A"/>
    <n v="4585736158.8323269"/>
  </r>
  <r>
    <x v="0"/>
    <x v="41"/>
    <x v="41"/>
    <x v="2"/>
    <x v="0"/>
    <x v="1"/>
    <x v="7"/>
    <x v="6"/>
    <n v="2021"/>
    <x v="1"/>
    <s v="N/A"/>
    <n v="70820.370370370365"/>
    <s v="Confirmed"/>
    <s v=""/>
    <x v="0"/>
    <x v="0"/>
    <m/>
    <x v="2"/>
    <x v="0"/>
    <m/>
    <n v="0"/>
    <x v="0"/>
    <s v="N/A"/>
    <n v="3550291584.8645592"/>
  </r>
  <r>
    <x v="0"/>
    <x v="42"/>
    <x v="42"/>
    <x v="4"/>
    <x v="0"/>
    <x v="1"/>
    <x v="7"/>
    <x v="6"/>
    <n v="2021"/>
    <x v="1"/>
    <s v="N/A"/>
    <n v="0"/>
    <s v="Confirmed"/>
    <s v=""/>
    <x v="0"/>
    <x v="0"/>
    <m/>
    <x v="2"/>
    <x v="0"/>
    <m/>
    <n v="0"/>
    <x v="0"/>
    <s v="N/A"/>
    <n v="1182840319.0410969"/>
  </r>
  <r>
    <x v="0"/>
    <x v="43"/>
    <x v="43"/>
    <x v="4"/>
    <x v="0"/>
    <x v="1"/>
    <x v="7"/>
    <x v="6"/>
    <n v="2021"/>
    <x v="1"/>
    <s v="N/A"/>
    <n v="0"/>
    <s v="Confirmed"/>
    <s v=""/>
    <x v="0"/>
    <x v="0"/>
    <m/>
    <x v="1"/>
    <x v="1"/>
    <m/>
    <n v="0"/>
    <x v="0"/>
    <s v=""/>
    <n v="81728347.604567245"/>
  </r>
  <r>
    <x v="0"/>
    <x v="44"/>
    <x v="44"/>
    <x v="3"/>
    <x v="0"/>
    <x v="1"/>
    <x v="7"/>
    <x v="6"/>
    <n v="2021"/>
    <x v="1"/>
    <s v="N/A"/>
    <n v="174129.62962962961"/>
    <s v="Confirmed"/>
    <s v=""/>
    <x v="0"/>
    <x v="0"/>
    <m/>
    <x v="0"/>
    <x v="0"/>
    <m/>
    <n v="2"/>
    <x v="0"/>
    <s v="N/A"/>
    <n v="12787914.977715338"/>
  </r>
  <r>
    <x v="0"/>
    <x v="45"/>
    <x v="45"/>
    <x v="3"/>
    <x v="0"/>
    <x v="1"/>
    <x v="7"/>
    <x v="6"/>
    <n v="2021"/>
    <x v="1"/>
    <s v="N/A"/>
    <n v="26100"/>
    <s v="Confirmed"/>
    <s v=""/>
    <x v="0"/>
    <x v="0"/>
    <m/>
    <x v="2"/>
    <x v="0"/>
    <m/>
    <n v="2"/>
    <x v="0"/>
    <s v="N/A"/>
    <n v="101271737.65410839"/>
  </r>
  <r>
    <x v="0"/>
    <x v="46"/>
    <x v="46"/>
    <x v="3"/>
    <x v="0"/>
    <x v="1"/>
    <x v="7"/>
    <x v="6"/>
    <n v="2021"/>
    <x v="1"/>
    <s v="N/A"/>
    <n v="268302.77777777775"/>
    <s v="Confirmed"/>
    <s v=""/>
    <x v="0"/>
    <x v="0"/>
    <m/>
    <x v="0"/>
    <x v="0"/>
    <m/>
    <n v="3"/>
    <x v="0"/>
    <s v="High"/>
    <n v="618344226.71759331"/>
  </r>
  <r>
    <x v="0"/>
    <x v="47"/>
    <x v="47"/>
    <x v="6"/>
    <x v="0"/>
    <x v="1"/>
    <x v="7"/>
    <x v="6"/>
    <n v="2021"/>
    <x v="1"/>
    <s v="N/A"/>
    <n v="46750"/>
    <s v="Confirmed"/>
    <s v=""/>
    <x v="0"/>
    <x v="0"/>
    <m/>
    <x v="1"/>
    <x v="0"/>
    <m/>
    <n v="0"/>
    <x v="1"/>
    <s v="…"/>
    <n v="129483872.95906857"/>
  </r>
  <r>
    <x v="0"/>
    <x v="48"/>
    <x v="48"/>
    <x v="5"/>
    <x v="0"/>
    <x v="1"/>
    <x v="7"/>
    <x v="6"/>
    <n v="2021"/>
    <x v="1"/>
    <s v="N/A"/>
    <n v="0"/>
    <s v="Confirmed"/>
    <s v=""/>
    <x v="0"/>
    <x v="0"/>
    <m/>
    <x v="1"/>
    <x v="1"/>
    <m/>
    <n v="0"/>
    <x v="0"/>
    <s v="N/A"/>
    <n v="271184658.35014349"/>
  </r>
  <r>
    <x v="0"/>
    <x v="49"/>
    <x v="49"/>
    <x v="5"/>
    <x v="0"/>
    <x v="1"/>
    <x v="7"/>
    <x v="6"/>
    <n v="2021"/>
    <x v="1"/>
    <s v="N/A"/>
    <n v="104000"/>
    <s v="Confirmed"/>
    <s v=""/>
    <x v="0"/>
    <x v="0"/>
    <m/>
    <x v="0"/>
    <x v="0"/>
    <m/>
    <n v="0"/>
    <x v="0"/>
    <s v="High"/>
    <n v="15455265.086884515"/>
  </r>
  <r>
    <x v="0"/>
    <x v="50"/>
    <x v="50"/>
    <x v="1"/>
    <x v="0"/>
    <x v="1"/>
    <x v="7"/>
    <x v="6"/>
    <n v="2021"/>
    <x v="1"/>
    <s v="N/A"/>
    <n v="0"/>
    <s v="Confirmed"/>
    <s v=""/>
    <x v="0"/>
    <x v="0"/>
    <m/>
    <x v="1"/>
    <x v="1"/>
    <m/>
    <n v="0"/>
    <x v="0"/>
    <s v="N/A"/>
    <n v="494021502.525527"/>
  </r>
  <r>
    <x v="0"/>
    <x v="51"/>
    <x v="51"/>
    <x v="5"/>
    <x v="0"/>
    <x v="1"/>
    <x v="7"/>
    <x v="6"/>
    <n v="2021"/>
    <x v="1"/>
    <s v="N/A"/>
    <n v="193425"/>
    <s v="Confirmed"/>
    <s v=""/>
    <x v="0"/>
    <x v="0"/>
    <m/>
    <x v="2"/>
    <x v="0"/>
    <m/>
    <n v="0"/>
    <x v="0"/>
    <s v="High"/>
    <n v="902005621.73836684"/>
  </r>
  <r>
    <x v="0"/>
    <x v="52"/>
    <x v="52"/>
    <x v="4"/>
    <x v="0"/>
    <x v="1"/>
    <x v="7"/>
    <x v="6"/>
    <n v="2021"/>
    <x v="1"/>
    <s v="N/A"/>
    <n v="0"/>
    <s v="Confirmed"/>
    <s v=""/>
    <x v="0"/>
    <x v="0"/>
    <m/>
    <x v="1"/>
    <x v="0"/>
    <m/>
    <n v="0"/>
    <x v="1"/>
    <s v="In distress"/>
    <n v="20201670.142996579"/>
  </r>
  <r>
    <x v="0"/>
    <x v="53"/>
    <x v="53"/>
    <x v="4"/>
    <x v="0"/>
    <x v="1"/>
    <x v="7"/>
    <x v="6"/>
    <n v="2021"/>
    <x v="1"/>
    <s v="N/A"/>
    <n v="0"/>
    <s v="Confirmed"/>
    <s v=""/>
    <x v="0"/>
    <x v="0"/>
    <m/>
    <x v="1"/>
    <x v="1"/>
    <m/>
    <n v="0"/>
    <x v="0"/>
    <s v=""/>
    <n v="1612434649.6948864"/>
  </r>
  <r>
    <x v="0"/>
    <x v="54"/>
    <x v="54"/>
    <x v="5"/>
    <x v="0"/>
    <x v="1"/>
    <x v="7"/>
    <x v="6"/>
    <n v="2021"/>
    <x v="1"/>
    <s v="N/A"/>
    <n v="252699.99999999997"/>
    <s v="Confirmed"/>
    <s v=""/>
    <x v="0"/>
    <x v="0"/>
    <m/>
    <x v="0"/>
    <x v="0"/>
    <m/>
    <n v="0"/>
    <x v="0"/>
    <s v="Moderate"/>
    <n v="78203134.118229344"/>
  </r>
  <r>
    <x v="0"/>
    <x v="55"/>
    <x v="55"/>
    <x v="5"/>
    <x v="0"/>
    <x v="1"/>
    <x v="7"/>
    <x v="6"/>
    <n v="2021"/>
    <x v="1"/>
    <s v="N/A"/>
    <n v="173660.18518518517"/>
    <s v="Confirmed"/>
    <s v=""/>
    <x v="0"/>
    <x v="0"/>
    <m/>
    <x v="0"/>
    <x v="0"/>
    <m/>
    <n v="2"/>
    <x v="1"/>
    <s v="High"/>
    <n v="9151637.7411015611"/>
  </r>
  <r>
    <x v="0"/>
    <x v="56"/>
    <x v="56"/>
    <x v="4"/>
    <x v="0"/>
    <x v="1"/>
    <x v="7"/>
    <x v="6"/>
    <n v="2021"/>
    <x v="1"/>
    <s v="N/A"/>
    <n v="0"/>
    <s v="Confirmed"/>
    <s v=""/>
    <x v="0"/>
    <x v="0"/>
    <m/>
    <x v="1"/>
    <x v="0"/>
    <m/>
    <n v="0"/>
    <x v="1"/>
    <s v="Moderate"/>
    <n v="142455920.02856269"/>
  </r>
  <r>
    <x v="0"/>
    <x v="57"/>
    <x v="57"/>
    <x v="4"/>
    <x v="0"/>
    <x v="1"/>
    <x v="7"/>
    <x v="6"/>
    <n v="2021"/>
    <x v="1"/>
    <s v="N/A"/>
    <n v="315255.55555555556"/>
    <s v="Confirmed"/>
    <s v=""/>
    <x v="0"/>
    <x v="0"/>
    <m/>
    <x v="2"/>
    <x v="0"/>
    <m/>
    <n v="1"/>
    <x v="1"/>
    <s v="High"/>
    <n v="85611818.171245083"/>
  </r>
  <r>
    <x v="0"/>
    <x v="58"/>
    <x v="58"/>
    <x v="4"/>
    <x v="0"/>
    <x v="1"/>
    <x v="7"/>
    <x v="6"/>
    <n v="2021"/>
    <x v="1"/>
    <s v="N/A"/>
    <n v="24259.259259259259"/>
    <s v="Confirmed"/>
    <s v=""/>
    <x v="0"/>
    <x v="0"/>
    <m/>
    <x v="2"/>
    <x v="0"/>
    <m/>
    <n v="0"/>
    <x v="0"/>
    <s v="Low"/>
    <n v="680289736.30082119"/>
  </r>
  <r>
    <x v="0"/>
    <x v="59"/>
    <x v="59"/>
    <x v="0"/>
    <x v="0"/>
    <x v="1"/>
    <x v="7"/>
    <x v="6"/>
    <n v="2021"/>
    <x v="1"/>
    <s v="N/A"/>
    <n v="5971660.1851851847"/>
    <s v="Confirmed"/>
    <s v=""/>
    <x v="0"/>
    <x v="0"/>
    <m/>
    <x v="2"/>
    <x v="0"/>
    <m/>
    <n v="0"/>
    <x v="0"/>
    <s v="N/A"/>
    <n v="26554332750.47023"/>
  </r>
  <r>
    <x v="0"/>
    <x v="60"/>
    <x v="60"/>
    <x v="6"/>
    <x v="0"/>
    <x v="1"/>
    <x v="7"/>
    <x v="6"/>
    <n v="2021"/>
    <x v="1"/>
    <s v="N/A"/>
    <n v="100000"/>
    <s v="Confirmed"/>
    <s v=""/>
    <x v="0"/>
    <x v="0"/>
    <m/>
    <x v="2"/>
    <x v="0"/>
    <m/>
    <n v="0"/>
    <x v="0"/>
    <s v="N/A"/>
    <n v="14745961064.890842"/>
  </r>
  <r>
    <x v="0"/>
    <x v="61"/>
    <x v="61"/>
    <x v="2"/>
    <x v="0"/>
    <x v="1"/>
    <x v="7"/>
    <x v="6"/>
    <n v="2021"/>
    <x v="1"/>
    <s v="N/A"/>
    <n v="0"/>
    <s v="Confirmed"/>
    <s v=""/>
    <x v="0"/>
    <x v="0"/>
    <m/>
    <x v="2"/>
    <x v="1"/>
    <m/>
    <n v="0"/>
    <x v="0"/>
    <s v="N/A"/>
    <n v="18194076299.786381"/>
  </r>
  <r>
    <x v="0"/>
    <x v="62"/>
    <x v="62"/>
    <x v="2"/>
    <x v="0"/>
    <x v="1"/>
    <x v="7"/>
    <x v="6"/>
    <n v="2021"/>
    <x v="1"/>
    <s v="N/A"/>
    <n v="0"/>
    <s v="Confirmed"/>
    <s v=""/>
    <x v="0"/>
    <x v="0"/>
    <m/>
    <x v="1"/>
    <x v="1"/>
    <m/>
    <n v="0"/>
    <x v="0"/>
    <s v="N/A"/>
    <n v="4428819387.769825"/>
  </r>
  <r>
    <x v="0"/>
    <x v="63"/>
    <x v="63"/>
    <x v="4"/>
    <x v="0"/>
    <x v="1"/>
    <x v="7"/>
    <x v="6"/>
    <n v="2021"/>
    <x v="1"/>
    <s v="N/A"/>
    <n v="0"/>
    <s v="Confirmed"/>
    <s v=""/>
    <x v="0"/>
    <x v="0"/>
    <m/>
    <x v="1"/>
    <x v="1"/>
    <m/>
    <n v="0"/>
    <x v="1"/>
    <s v=""/>
    <n v="611739560.62679195"/>
  </r>
  <r>
    <x v="0"/>
    <x v="64"/>
    <x v="64"/>
    <x v="2"/>
    <x v="0"/>
    <x v="1"/>
    <x v="7"/>
    <x v="6"/>
    <n v="2021"/>
    <x v="1"/>
    <s v="N/A"/>
    <n v="0"/>
    <s v="Confirmed"/>
    <s v=""/>
    <x v="0"/>
    <x v="0"/>
    <m/>
    <x v="1"/>
    <x v="1"/>
    <m/>
    <n v="0"/>
    <x v="0"/>
    <s v="N/A"/>
    <n v="1617913383.0481031"/>
  </r>
  <r>
    <x v="0"/>
    <x v="65"/>
    <x v="65"/>
    <x v="1"/>
    <x v="0"/>
    <x v="1"/>
    <x v="7"/>
    <x v="6"/>
    <n v="2021"/>
    <x v="1"/>
    <s v="N/A"/>
    <n v="0"/>
    <s v="Confirmed"/>
    <s v=""/>
    <x v="0"/>
    <x v="0"/>
    <m/>
    <x v="1"/>
    <x v="1"/>
    <m/>
    <n v="0"/>
    <x v="0"/>
    <s v=""/>
    <n v="3074419112.4562683"/>
  </r>
  <r>
    <x v="0"/>
    <x v="66"/>
    <x v="66"/>
    <x v="3"/>
    <x v="0"/>
    <x v="1"/>
    <x v="7"/>
    <x v="6"/>
    <n v="2021"/>
    <x v="1"/>
    <s v="N/A"/>
    <n v="279000"/>
    <s v="Confirmed"/>
    <s v=""/>
    <x v="0"/>
    <x v="0"/>
    <m/>
    <x v="2"/>
    <x v="0"/>
    <m/>
    <n v="0"/>
    <x v="0"/>
    <s v="High"/>
    <n v="1914014279.8929913"/>
  </r>
  <r>
    <x v="0"/>
    <x v="67"/>
    <x v="67"/>
    <x v="6"/>
    <x v="0"/>
    <x v="1"/>
    <x v="7"/>
    <x v="6"/>
    <n v="2021"/>
    <x v="1"/>
    <s v="N/A"/>
    <n v="46450"/>
    <s v="Confirmed"/>
    <s v=""/>
    <x v="0"/>
    <x v="0"/>
    <m/>
    <x v="2"/>
    <x v="0"/>
    <m/>
    <n v="0"/>
    <x v="1"/>
    <s v="High"/>
    <n v="17422005.762907442"/>
  </r>
  <r>
    <x v="0"/>
    <x v="68"/>
    <x v="68"/>
    <x v="6"/>
    <x v="0"/>
    <x v="1"/>
    <x v="7"/>
    <x v="6"/>
    <n v="2021"/>
    <x v="1"/>
    <s v="N/A"/>
    <n v="0"/>
    <s v="Confirmed"/>
    <s v=""/>
    <x v="0"/>
    <x v="0"/>
    <m/>
    <x v="0"/>
    <x v="0"/>
    <m/>
    <n v="0"/>
    <x v="0"/>
    <s v="N/A"/>
    <s v=""/>
  </r>
  <r>
    <x v="0"/>
    <x v="69"/>
    <x v="69"/>
    <x v="1"/>
    <x v="0"/>
    <x v="1"/>
    <x v="7"/>
    <x v="6"/>
    <n v="2021"/>
    <x v="1"/>
    <s v="N/A"/>
    <n v="101700"/>
    <s v="Confirmed"/>
    <s v=""/>
    <x v="0"/>
    <x v="0"/>
    <m/>
    <x v="1"/>
    <x v="0"/>
    <m/>
    <n v="0"/>
    <x v="0"/>
    <s v="…"/>
    <s v=""/>
  </r>
  <r>
    <x v="0"/>
    <x v="70"/>
    <x v="70"/>
    <x v="1"/>
    <x v="0"/>
    <x v="1"/>
    <x v="7"/>
    <x v="6"/>
    <n v="2021"/>
    <x v="1"/>
    <s v="N/A"/>
    <n v="80800"/>
    <s v="Confirmed"/>
    <s v=""/>
    <x v="0"/>
    <x v="0"/>
    <m/>
    <x v="2"/>
    <x v="0"/>
    <m/>
    <n v="2"/>
    <x v="0"/>
    <s v="Moderate"/>
    <n v="231506834.84347546"/>
  </r>
  <r>
    <x v="0"/>
    <x v="71"/>
    <x v="71"/>
    <x v="6"/>
    <x v="0"/>
    <x v="1"/>
    <x v="7"/>
    <x v="6"/>
    <n v="2021"/>
    <x v="1"/>
    <s v="N/A"/>
    <n v="66358.333333333328"/>
    <s v="Confirmed"/>
    <s v=""/>
    <x v="0"/>
    <x v="0"/>
    <m/>
    <x v="2"/>
    <x v="0"/>
    <m/>
    <n v="0"/>
    <x v="0"/>
    <s v="High"/>
    <n v="156059428.62944782"/>
  </r>
  <r>
    <x v="0"/>
    <x v="72"/>
    <x v="72"/>
    <x v="2"/>
    <x v="0"/>
    <x v="1"/>
    <x v="7"/>
    <x v="6"/>
    <n v="2021"/>
    <x v="1"/>
    <s v="N/A"/>
    <n v="0"/>
    <s v="Confirmed"/>
    <s v=""/>
    <x v="0"/>
    <x v="0"/>
    <m/>
    <x v="1"/>
    <x v="1"/>
    <m/>
    <n v="0"/>
    <x v="0"/>
    <s v="N/A"/>
    <n v="2355391507.1635861"/>
  </r>
  <r>
    <x v="0"/>
    <x v="73"/>
    <x v="73"/>
    <x v="3"/>
    <x v="0"/>
    <x v="1"/>
    <x v="7"/>
    <x v="6"/>
    <n v="2021"/>
    <x v="1"/>
    <s v="N/A"/>
    <n v="119799.99999999999"/>
    <s v="Confirmed"/>
    <s v=""/>
    <x v="0"/>
    <x v="0"/>
    <m/>
    <x v="2"/>
    <x v="0"/>
    <m/>
    <n v="0"/>
    <x v="0"/>
    <s v="Moderate"/>
    <n v="152760919.7684873"/>
  </r>
  <r>
    <x v="0"/>
    <x v="74"/>
    <x v="74"/>
    <x v="5"/>
    <x v="0"/>
    <x v="1"/>
    <x v="7"/>
    <x v="6"/>
    <n v="2021"/>
    <x v="1"/>
    <s v="N/A"/>
    <n v="127347.22222222222"/>
    <s v="Confirmed"/>
    <s v=""/>
    <x v="0"/>
    <x v="0"/>
    <m/>
    <x v="0"/>
    <x v="0"/>
    <m/>
    <n v="0"/>
    <x v="0"/>
    <s v="High"/>
    <n v="55072006.864440605"/>
  </r>
  <r>
    <x v="0"/>
    <x v="75"/>
    <x v="75"/>
    <x v="2"/>
    <x v="0"/>
    <x v="1"/>
    <x v="7"/>
    <x v="6"/>
    <n v="2021"/>
    <x v="1"/>
    <s v="N/A"/>
    <n v="0"/>
    <s v="Confirmed"/>
    <s v=""/>
    <x v="0"/>
    <x v="0"/>
    <m/>
    <x v="1"/>
    <x v="1"/>
    <m/>
    <n v="0"/>
    <x v="0"/>
    <s v="N/A"/>
    <s v=""/>
  </r>
  <r>
    <x v="0"/>
    <x v="76"/>
    <x v="76"/>
    <x v="3"/>
    <x v="0"/>
    <x v="1"/>
    <x v="7"/>
    <x v="6"/>
    <n v="2021"/>
    <x v="1"/>
    <s v="N/A"/>
    <n v="504961.99999999994"/>
    <s v="Confirmed"/>
    <s v=""/>
    <x v="0"/>
    <x v="0"/>
    <m/>
    <x v="0"/>
    <x v="0"/>
    <m/>
    <n v="2"/>
    <x v="0"/>
    <s v="Moderate"/>
    <n v="206914157.05429548"/>
  </r>
  <r>
    <x v="0"/>
    <x v="77"/>
    <x v="77"/>
    <x v="3"/>
    <x v="0"/>
    <x v="1"/>
    <x v="7"/>
    <x v="6"/>
    <n v="2021"/>
    <x v="1"/>
    <s v="N/A"/>
    <n v="135565"/>
    <s v="Confirmed"/>
    <s v=""/>
    <x v="0"/>
    <x v="0"/>
    <m/>
    <x v="0"/>
    <x v="0"/>
    <m/>
    <n v="2"/>
    <x v="0"/>
    <s v="High"/>
    <n v="185999915.02066413"/>
  </r>
  <r>
    <x v="0"/>
    <x v="78"/>
    <x v="78"/>
    <x v="6"/>
    <x v="0"/>
    <x v="1"/>
    <x v="7"/>
    <x v="6"/>
    <n v="2021"/>
    <x v="1"/>
    <s v="N/A"/>
    <n v="0"/>
    <s v="Confirmed"/>
    <s v=""/>
    <x v="0"/>
    <x v="0"/>
    <m/>
    <x v="1"/>
    <x v="1"/>
    <m/>
    <n v="0"/>
    <x v="0"/>
    <s v=""/>
    <n v="6893755763.2501726"/>
  </r>
  <r>
    <x v="0"/>
    <x v="79"/>
    <x v="79"/>
    <x v="0"/>
    <x v="0"/>
    <x v="1"/>
    <x v="7"/>
    <x v="6"/>
    <n v="2021"/>
    <x v="1"/>
    <s v="N/A"/>
    <n v="115708.33333333333"/>
    <s v="Confirmed"/>
    <s v=""/>
    <x v="0"/>
    <x v="0"/>
    <m/>
    <x v="1"/>
    <x v="0"/>
    <m/>
    <n v="0"/>
    <x v="1"/>
    <s v="High"/>
    <n v="354560231.58276606"/>
  </r>
  <r>
    <x v="0"/>
    <x v="80"/>
    <x v="80"/>
    <x v="5"/>
    <x v="0"/>
    <x v="1"/>
    <x v="7"/>
    <x v="6"/>
    <n v="2021"/>
    <x v="1"/>
    <s v="N/A"/>
    <n v="396300"/>
    <s v="Confirmed"/>
    <s v=""/>
    <x v="0"/>
    <x v="0"/>
    <m/>
    <x v="0"/>
    <x v="0"/>
    <m/>
    <n v="1"/>
    <x v="0"/>
    <s v="Moderate"/>
    <n v="188169167.56540567"/>
  </r>
  <r>
    <x v="0"/>
    <x v="81"/>
    <x v="81"/>
    <x v="6"/>
    <x v="0"/>
    <x v="1"/>
    <x v="7"/>
    <x v="6"/>
    <n v="2021"/>
    <x v="1"/>
    <s v="N/A"/>
    <n v="63999.999999999993"/>
    <s v="Confirmed"/>
    <s v=""/>
    <x v="0"/>
    <x v="0"/>
    <m/>
    <x v="1"/>
    <x v="0"/>
    <m/>
    <n v="0"/>
    <x v="1"/>
    <s v=""/>
    <n v="16312106.556340856"/>
  </r>
  <r>
    <x v="0"/>
    <x v="82"/>
    <x v="82"/>
    <x v="5"/>
    <x v="0"/>
    <x v="1"/>
    <x v="7"/>
    <x v="6"/>
    <n v="2021"/>
    <x v="1"/>
    <s v="N/A"/>
    <n v="135300"/>
    <s v="Confirmed"/>
    <s v=""/>
    <x v="0"/>
    <x v="0"/>
    <m/>
    <x v="2"/>
    <x v="0"/>
    <m/>
    <n v="2"/>
    <x v="0"/>
    <s v="High"/>
    <n v="86083833.534053758"/>
  </r>
  <r>
    <x v="0"/>
    <x v="83"/>
    <x v="83"/>
    <x v="3"/>
    <x v="0"/>
    <x v="1"/>
    <x v="7"/>
    <x v="6"/>
    <n v="2021"/>
    <x v="1"/>
    <s v="N/A"/>
    <n v="0"/>
    <s v="Confirmed"/>
    <s v=""/>
    <x v="0"/>
    <x v="0"/>
    <m/>
    <x v="1"/>
    <x v="1"/>
    <m/>
    <n v="0"/>
    <x v="1"/>
    <s v="N/A"/>
    <n v="357220835.93762809"/>
  </r>
  <r>
    <x v="0"/>
    <x v="84"/>
    <x v="84"/>
    <x v="4"/>
    <x v="0"/>
    <x v="1"/>
    <x v="7"/>
    <x v="6"/>
    <n v="2021"/>
    <x v="1"/>
    <s v="N/A"/>
    <n v="0"/>
    <s v="Confirmed"/>
    <s v=""/>
    <x v="0"/>
    <x v="0"/>
    <m/>
    <x v="1"/>
    <x v="1"/>
    <m/>
    <n v="0"/>
    <x v="0"/>
    <s v=""/>
    <n v="32831598153.796387"/>
  </r>
  <r>
    <x v="0"/>
    <x v="85"/>
    <x v="85"/>
    <x v="6"/>
    <x v="0"/>
    <x v="1"/>
    <x v="7"/>
    <x v="6"/>
    <n v="2021"/>
    <x v="1"/>
    <s v="N/A"/>
    <n v="72000"/>
    <s v="Confirmed"/>
    <s v=""/>
    <x v="0"/>
    <x v="0"/>
    <m/>
    <x v="2"/>
    <x v="0"/>
    <m/>
    <n v="0"/>
    <x v="1"/>
    <s v="High"/>
    <n v="12329056.093798399"/>
  </r>
  <r>
    <x v="0"/>
    <x v="86"/>
    <x v="86"/>
    <x v="1"/>
    <x v="0"/>
    <x v="1"/>
    <x v="7"/>
    <x v="6"/>
    <n v="2021"/>
    <x v="1"/>
    <s v="N/A"/>
    <n v="37600"/>
    <s v="Confirmed"/>
    <s v=""/>
    <x v="0"/>
    <x v="0"/>
    <m/>
    <x v="1"/>
    <x v="0"/>
    <m/>
    <n v="0"/>
    <x v="0"/>
    <s v="Low"/>
    <n v="426639742.85328001"/>
  </r>
  <r>
    <x v="0"/>
    <x v="87"/>
    <x v="87"/>
    <x v="6"/>
    <x v="0"/>
    <x v="1"/>
    <x v="7"/>
    <x v="6"/>
    <n v="2021"/>
    <x v="1"/>
    <s v="N/A"/>
    <n v="123999.99999999999"/>
    <s v="Confirmed"/>
    <s v=""/>
    <x v="0"/>
    <x v="0"/>
    <m/>
    <x v="2"/>
    <x v="0"/>
    <m/>
    <n v="0"/>
    <x v="0"/>
    <s v="…"/>
    <n v="288519671.85870522"/>
  </r>
  <r>
    <x v="0"/>
    <x v="88"/>
    <x v="88"/>
    <x v="1"/>
    <x v="0"/>
    <x v="1"/>
    <x v="7"/>
    <x v="6"/>
    <n v="2021"/>
    <x v="1"/>
    <s v="N/A"/>
    <n v="0"/>
    <s v="Confirmed"/>
    <s v=""/>
    <x v="0"/>
    <x v="0"/>
    <m/>
    <x v="1"/>
    <x v="1"/>
    <m/>
    <n v="0"/>
    <x v="0"/>
    <s v="N/A"/>
    <n v="275606560.78491527"/>
  </r>
  <r>
    <x v="0"/>
    <x v="89"/>
    <x v="89"/>
    <x v="2"/>
    <x v="0"/>
    <x v="1"/>
    <x v="7"/>
    <x v="6"/>
    <n v="2021"/>
    <x v="1"/>
    <s v="N/A"/>
    <n v="20000"/>
    <s v="Confirmed"/>
    <s v=""/>
    <x v="0"/>
    <x v="0"/>
    <m/>
    <x v="2"/>
    <x v="0"/>
    <m/>
    <n v="0"/>
    <x v="0"/>
    <s v="N/A"/>
    <n v="2530937679.3725696"/>
  </r>
  <r>
    <x v="0"/>
    <x v="90"/>
    <x v="90"/>
    <x v="3"/>
    <x v="0"/>
    <x v="1"/>
    <x v="7"/>
    <x v="6"/>
    <n v="2021"/>
    <x v="1"/>
    <s v="N/A"/>
    <n v="229312.96296296295"/>
    <s v="Confirmed"/>
    <s v=""/>
    <x v="0"/>
    <x v="0"/>
    <m/>
    <x v="0"/>
    <x v="0"/>
    <m/>
    <n v="0"/>
    <x v="0"/>
    <s v="In distress"/>
    <n v="251432156.86255455"/>
  </r>
  <r>
    <x v="0"/>
    <x v="91"/>
    <x v="91"/>
    <x v="6"/>
    <x v="0"/>
    <x v="1"/>
    <x v="7"/>
    <x v="6"/>
    <n v="2021"/>
    <x v="1"/>
    <s v="N/A"/>
    <n v="505999.99999999994"/>
    <s v="Confirmed"/>
    <s v=""/>
    <x v="0"/>
    <x v="0"/>
    <m/>
    <x v="2"/>
    <x v="0"/>
    <m/>
    <n v="0"/>
    <x v="0"/>
    <s v="Low"/>
    <n v="471534500.60109437"/>
  </r>
  <r>
    <x v="0"/>
    <x v="92"/>
    <x v="92"/>
    <x v="3"/>
    <x v="0"/>
    <x v="1"/>
    <x v="7"/>
    <x v="6"/>
    <n v="2021"/>
    <x v="1"/>
    <s v="N/A"/>
    <n v="0"/>
    <s v="Confirmed"/>
    <s v=""/>
    <x v="0"/>
    <x v="0"/>
    <m/>
    <x v="1"/>
    <x v="1"/>
    <m/>
    <n v="0"/>
    <x v="0"/>
    <s v=""/>
    <n v="531677611.80447447"/>
  </r>
  <r>
    <x v="0"/>
    <x v="93"/>
    <x v="93"/>
    <x v="6"/>
    <x v="0"/>
    <x v="1"/>
    <x v="7"/>
    <x v="6"/>
    <n v="2021"/>
    <x v="1"/>
    <s v="N/A"/>
    <n v="0"/>
    <s v="Confirmed"/>
    <s v=""/>
    <x v="0"/>
    <x v="0"/>
    <m/>
    <x v="3"/>
    <x v="1"/>
    <m/>
    <n v="0"/>
    <x v="1"/>
    <s v=""/>
    <n v="8528751.6418357007"/>
  </r>
  <r>
    <x v="0"/>
    <x v="94"/>
    <x v="94"/>
    <x v="0"/>
    <x v="0"/>
    <x v="1"/>
    <x v="7"/>
    <x v="6"/>
    <n v="2021"/>
    <x v="1"/>
    <s v="N/A"/>
    <n v="346810.18518518517"/>
    <s v="Confirmed"/>
    <s v=""/>
    <x v="0"/>
    <x v="0"/>
    <m/>
    <x v="2"/>
    <x v="0"/>
    <m/>
    <n v="0"/>
    <x v="0"/>
    <s v="Low"/>
    <n v="407084543.19089872"/>
  </r>
  <r>
    <x v="0"/>
    <x v="95"/>
    <x v="95"/>
    <x v="4"/>
    <x v="0"/>
    <x v="1"/>
    <x v="7"/>
    <x v="6"/>
    <n v="2021"/>
    <x v="1"/>
    <s v="N/A"/>
    <n v="46300"/>
    <s v="Confirmed"/>
    <s v=""/>
    <x v="0"/>
    <x v="0"/>
    <m/>
    <x v="2"/>
    <x v="0"/>
    <m/>
    <n v="0"/>
    <x v="0"/>
    <s v="Moderate"/>
    <n v="671998341.93592453"/>
  </r>
  <r>
    <x v="0"/>
    <x v="96"/>
    <x v="96"/>
    <x v="5"/>
    <x v="0"/>
    <x v="1"/>
    <x v="7"/>
    <x v="6"/>
    <n v="2021"/>
    <x v="1"/>
    <s v="N/A"/>
    <n v="475174.99999999994"/>
    <s v="Confirmed"/>
    <s v=""/>
    <x v="0"/>
    <x v="0"/>
    <m/>
    <x v="0"/>
    <x v="0"/>
    <m/>
    <n v="1"/>
    <x v="0"/>
    <s v="Moderate"/>
    <n v="226203289.67158964"/>
  </r>
  <r>
    <x v="0"/>
    <x v="97"/>
    <x v="97"/>
    <x v="5"/>
    <x v="0"/>
    <x v="1"/>
    <x v="7"/>
    <x v="6"/>
    <n v="2021"/>
    <x v="1"/>
    <s v="N/A"/>
    <n v="190600"/>
    <s v="Confirmed"/>
    <s v=""/>
    <x v="0"/>
    <x v="0"/>
    <m/>
    <x v="2"/>
    <x v="0"/>
    <m/>
    <n v="3"/>
    <x v="0"/>
    <s v="…"/>
    <n v="2438881113.1244688"/>
  </r>
  <r>
    <x v="0"/>
    <x v="98"/>
    <x v="98"/>
    <x v="1"/>
    <x v="0"/>
    <x v="1"/>
    <x v="7"/>
    <x v="6"/>
    <n v="2021"/>
    <x v="1"/>
    <s v="N/A"/>
    <n v="0"/>
    <s v="Confirmed"/>
    <s v=""/>
    <x v="0"/>
    <x v="0"/>
    <m/>
    <x v="1"/>
    <x v="1"/>
    <m/>
    <n v="0"/>
    <x v="0"/>
    <s v=""/>
    <n v="476517795.73174149"/>
  </r>
  <r>
    <x v="0"/>
    <x v="99"/>
    <x v="99"/>
    <x v="0"/>
    <x v="0"/>
    <x v="1"/>
    <x v="7"/>
    <x v="6"/>
    <n v="2021"/>
    <x v="1"/>
    <s v="N/A"/>
    <n v="262300"/>
    <s v="Confirmed"/>
    <s v=""/>
    <x v="0"/>
    <x v="0"/>
    <m/>
    <x v="2"/>
    <x v="0"/>
    <m/>
    <n v="0"/>
    <x v="0"/>
    <s v="…"/>
    <n v="3233351297.7679496"/>
  </r>
  <r>
    <x v="0"/>
    <x v="100"/>
    <x v="100"/>
    <x v="4"/>
    <x v="0"/>
    <x v="1"/>
    <x v="7"/>
    <x v="6"/>
    <n v="2021"/>
    <x v="1"/>
    <s v="N/A"/>
    <n v="0"/>
    <s v="Confirmed"/>
    <s v=""/>
    <x v="0"/>
    <x v="0"/>
    <m/>
    <x v="3"/>
    <x v="1"/>
    <m/>
    <n v="0"/>
    <x v="1"/>
    <s v=""/>
    <n v="18180646.808608256"/>
  </r>
  <r>
    <x v="0"/>
    <x v="101"/>
    <x v="101"/>
    <x v="4"/>
    <x v="0"/>
    <x v="1"/>
    <x v="7"/>
    <x v="6"/>
    <n v="2021"/>
    <x v="1"/>
    <s v="N/A"/>
    <n v="0"/>
    <s v="Confirmed"/>
    <s v=""/>
    <x v="0"/>
    <x v="0"/>
    <m/>
    <x v="1"/>
    <x v="1"/>
    <m/>
    <n v="0"/>
    <x v="0"/>
    <s v="N/A"/>
    <n v="3020530707.3485303"/>
  </r>
  <r>
    <x v="0"/>
    <x v="102"/>
    <x v="102"/>
    <x v="6"/>
    <x v="0"/>
    <x v="1"/>
    <x v="7"/>
    <x v="6"/>
    <n v="2021"/>
    <x v="1"/>
    <s v="N/A"/>
    <n v="258399.99999999997"/>
    <s v="Confirmed"/>
    <s v=""/>
    <x v="0"/>
    <x v="0"/>
    <m/>
    <x v="2"/>
    <x v="0"/>
    <m/>
    <n v="1"/>
    <x v="1"/>
    <s v="High"/>
    <n v="384406316.46074712"/>
  </r>
  <r>
    <x v="0"/>
    <x v="103"/>
    <x v="103"/>
    <x v="4"/>
    <x v="0"/>
    <x v="1"/>
    <x v="7"/>
    <x v="6"/>
    <n v="2021"/>
    <x v="1"/>
    <s v="N/A"/>
    <n v="0"/>
    <s v="Confirmed"/>
    <s v=""/>
    <x v="0"/>
    <x v="0"/>
    <m/>
    <x v="1"/>
    <x v="1"/>
    <m/>
    <n v="0"/>
    <x v="0"/>
    <s v=""/>
    <n v="1218747108.9554784"/>
  </r>
  <r>
    <x v="0"/>
    <x v="104"/>
    <x v="104"/>
    <x v="4"/>
    <x v="0"/>
    <x v="1"/>
    <x v="7"/>
    <x v="6"/>
    <n v="2021"/>
    <x v="1"/>
    <s v="N/A"/>
    <n v="0"/>
    <s v="Confirmed"/>
    <s v=""/>
    <x v="0"/>
    <x v="0"/>
    <m/>
    <x v="1"/>
    <x v="1"/>
    <m/>
    <n v="0"/>
    <x v="0"/>
    <s v=""/>
    <n v="7392665952.5895758"/>
  </r>
  <r>
    <x v="0"/>
    <x v="105"/>
    <x v="105"/>
    <x v="6"/>
    <x v="0"/>
    <x v="1"/>
    <x v="7"/>
    <x v="6"/>
    <n v="2021"/>
    <x v="1"/>
    <s v="N/A"/>
    <n v="70000"/>
    <s v="Confirmed"/>
    <s v=""/>
    <x v="0"/>
    <x v="0"/>
    <m/>
    <x v="2"/>
    <x v="0"/>
    <m/>
    <n v="0"/>
    <x v="0"/>
    <s v="N/A"/>
    <n v="4754985988.6004429"/>
  </r>
  <r>
    <x v="0"/>
    <x v="106"/>
    <x v="106"/>
    <x v="1"/>
    <x v="0"/>
    <x v="1"/>
    <x v="7"/>
    <x v="6"/>
    <n v="2021"/>
    <x v="1"/>
    <s v="N/A"/>
    <n v="0"/>
    <s v="Confirmed"/>
    <s v=""/>
    <x v="0"/>
    <x v="0"/>
    <m/>
    <x v="3"/>
    <x v="1"/>
    <m/>
    <n v="0"/>
    <x v="0"/>
    <s v=""/>
    <n v="26422210443.037273"/>
  </r>
  <r>
    <x v="0"/>
    <x v="107"/>
    <x v="107"/>
    <x v="1"/>
    <x v="0"/>
    <x v="1"/>
    <x v="7"/>
    <x v="6"/>
    <n v="2021"/>
    <x v="1"/>
    <s v="N/A"/>
    <n v="0"/>
    <s v="Confirmed"/>
    <s v=""/>
    <x v="0"/>
    <x v="0"/>
    <m/>
    <x v="1"/>
    <x v="1"/>
    <m/>
    <n v="0"/>
    <x v="0"/>
    <s v=""/>
    <n v="10696495313.15033"/>
  </r>
  <r>
    <x v="0"/>
    <x v="108"/>
    <x v="108"/>
    <x v="1"/>
    <x v="0"/>
    <x v="1"/>
    <x v="7"/>
    <x v="6"/>
    <n v="2021"/>
    <x v="1"/>
    <s v="N/A"/>
    <n v="0"/>
    <s v="Confirmed"/>
    <s v=""/>
    <x v="0"/>
    <x v="0"/>
    <m/>
    <x v="1"/>
    <x v="1"/>
    <m/>
    <n v="0"/>
    <x v="0"/>
    <s v=""/>
    <n v="52769713433.240509"/>
  </r>
  <r>
    <x v="0"/>
    <x v="109"/>
    <x v="109"/>
    <x v="3"/>
    <x v="0"/>
    <x v="1"/>
    <x v="7"/>
    <x v="6"/>
    <n v="2021"/>
    <x v="1"/>
    <s v="N/A"/>
    <n v="135238.88888888888"/>
    <s v="Confirmed"/>
    <s v=""/>
    <x v="0"/>
    <x v="0"/>
    <m/>
    <x v="0"/>
    <x v="0"/>
    <m/>
    <n v="0"/>
    <x v="0"/>
    <s v="Moderate"/>
    <n v="225799814.51943746"/>
  </r>
  <r>
    <x v="0"/>
    <x v="110"/>
    <x v="110"/>
    <x v="6"/>
    <x v="0"/>
    <x v="1"/>
    <x v="7"/>
    <x v="6"/>
    <n v="2021"/>
    <x v="1"/>
    <s v="N/A"/>
    <n v="50000"/>
    <s v="Confirmed"/>
    <s v=""/>
    <x v="0"/>
    <x v="0"/>
    <m/>
    <x v="2"/>
    <x v="0"/>
    <m/>
    <n v="0"/>
    <x v="1"/>
    <s v="High"/>
    <n v="32192988.027009469"/>
  </r>
  <r>
    <x v="0"/>
    <x v="111"/>
    <x v="111"/>
    <x v="5"/>
    <x v="0"/>
    <x v="1"/>
    <x v="7"/>
    <x v="6"/>
    <n v="2021"/>
    <x v="1"/>
    <s v="N/A"/>
    <n v="46300"/>
    <s v="Confirmed"/>
    <s v=""/>
    <x v="0"/>
    <x v="0"/>
    <m/>
    <x v="2"/>
    <x v="0"/>
    <m/>
    <n v="0"/>
    <x v="1"/>
    <s v="In distress"/>
    <n v="11633535.136477679"/>
  </r>
  <r>
    <x v="0"/>
    <x v="112"/>
    <x v="112"/>
    <x v="5"/>
    <x v="0"/>
    <x v="1"/>
    <x v="7"/>
    <x v="6"/>
    <n v="2021"/>
    <x v="1"/>
    <s v="N/A"/>
    <n v="171296.29629629629"/>
    <s v="Confirmed"/>
    <s v=""/>
    <x v="0"/>
    <x v="0"/>
    <m/>
    <x v="2"/>
    <x v="0"/>
    <m/>
    <n v="2"/>
    <x v="0"/>
    <s v="Moderate"/>
    <n v="222008693.93354639"/>
  </r>
  <r>
    <x v="0"/>
    <x v="113"/>
    <x v="113"/>
    <x v="1"/>
    <x v="0"/>
    <x v="1"/>
    <x v="7"/>
    <x v="6"/>
    <n v="2021"/>
    <x v="1"/>
    <s v="N/A"/>
    <n v="0"/>
    <s v="Confirmed"/>
    <s v=""/>
    <x v="0"/>
    <x v="0"/>
    <m/>
    <x v="1"/>
    <x v="1"/>
    <m/>
    <n v="0"/>
    <x v="0"/>
    <s v=""/>
    <n v="2564993795.1894679"/>
  </r>
  <r>
    <x v="0"/>
    <x v="114"/>
    <x v="114"/>
    <x v="3"/>
    <x v="0"/>
    <x v="1"/>
    <x v="7"/>
    <x v="6"/>
    <n v="2021"/>
    <x v="1"/>
    <s v="N/A"/>
    <n v="0"/>
    <s v="Confirmed"/>
    <s v=""/>
    <x v="0"/>
    <x v="0"/>
    <m/>
    <x v="3"/>
    <x v="1"/>
    <m/>
    <n v="0"/>
    <x v="1"/>
    <s v="N/A"/>
    <n v="60237542.945069775"/>
  </r>
  <r>
    <x v="0"/>
    <x v="115"/>
    <x v="115"/>
    <x v="5"/>
    <x v="0"/>
    <x v="1"/>
    <x v="7"/>
    <x v="6"/>
    <n v="2021"/>
    <x v="1"/>
    <s v="N/A"/>
    <n v="94500"/>
    <s v="Confirmed"/>
    <s v=""/>
    <x v="0"/>
    <x v="0"/>
    <m/>
    <x v="0"/>
    <x v="0"/>
    <m/>
    <n v="0"/>
    <x v="0"/>
    <s v="High"/>
    <n v="63738640.538260505"/>
  </r>
  <r>
    <x v="0"/>
    <x v="116"/>
    <x v="116"/>
    <x v="6"/>
    <x v="0"/>
    <x v="1"/>
    <x v="7"/>
    <x v="6"/>
    <n v="2021"/>
    <x v="1"/>
    <s v="N/A"/>
    <n v="151000"/>
    <s v="Confirmed"/>
    <s v=""/>
    <x v="0"/>
    <x v="0"/>
    <m/>
    <x v="2"/>
    <x v="0"/>
    <m/>
    <n v="0"/>
    <x v="1"/>
    <s v="Moderate"/>
    <n v="49012774.055630356"/>
  </r>
  <r>
    <x v="0"/>
    <x v="117"/>
    <x v="117"/>
    <x v="3"/>
    <x v="0"/>
    <x v="1"/>
    <x v="7"/>
    <x v="6"/>
    <n v="2021"/>
    <x v="1"/>
    <s v="N/A"/>
    <n v="499062.40740740742"/>
    <s v="Confirmed"/>
    <s v=""/>
    <x v="0"/>
    <x v="0"/>
    <m/>
    <x v="0"/>
    <x v="0"/>
    <m/>
    <n v="1"/>
    <x v="0"/>
    <s v="In distress"/>
    <s v=""/>
  </r>
  <r>
    <x v="0"/>
    <x v="118"/>
    <x v="118"/>
    <x v="3"/>
    <x v="0"/>
    <x v="1"/>
    <x v="7"/>
    <x v="6"/>
    <n v="2021"/>
    <x v="1"/>
    <s v="N/A"/>
    <n v="0"/>
    <s v="Confirmed"/>
    <s v=""/>
    <x v="0"/>
    <x v="0"/>
    <m/>
    <x v="1"/>
    <x v="1"/>
    <m/>
    <n v="0"/>
    <x v="0"/>
    <s v="N/A"/>
    <n v="16429121142.784708"/>
  </r>
  <r>
    <x v="0"/>
    <x v="119"/>
    <x v="119"/>
    <x v="3"/>
    <x v="0"/>
    <x v="1"/>
    <x v="7"/>
    <x v="6"/>
    <n v="2021"/>
    <x v="1"/>
    <s v="N/A"/>
    <n v="305807.40740740742"/>
    <s v="Confirmed"/>
    <s v=""/>
    <x v="0"/>
    <x v="0"/>
    <m/>
    <x v="0"/>
    <x v="0"/>
    <m/>
    <n v="1"/>
    <x v="0"/>
    <s v="High"/>
    <n v="31684581.76217727"/>
  </r>
  <r>
    <x v="0"/>
    <x v="120"/>
    <x v="120"/>
    <x v="0"/>
    <x v="0"/>
    <x v="1"/>
    <x v="7"/>
    <x v="6"/>
    <n v="2021"/>
    <x v="1"/>
    <s v="N/A"/>
    <n v="46000"/>
    <s v="Confirmed"/>
    <s v=""/>
    <x v="0"/>
    <x v="0"/>
    <m/>
    <x v="2"/>
    <x v="0"/>
    <m/>
    <n v="0"/>
    <x v="0"/>
    <s v="N/A"/>
    <n v="1373621563.5182886"/>
  </r>
  <r>
    <x v="0"/>
    <x v="121"/>
    <x v="121"/>
    <x v="4"/>
    <x v="0"/>
    <x v="1"/>
    <x v="7"/>
    <x v="6"/>
    <n v="2021"/>
    <x v="1"/>
    <s v="N/A"/>
    <n v="0"/>
    <s v="Confirmed"/>
    <s v=""/>
    <x v="0"/>
    <x v="0"/>
    <m/>
    <x v="3"/>
    <x v="1"/>
    <m/>
    <n v="0"/>
    <x v="1"/>
    <s v=""/>
    <n v="24214370.889062837"/>
  </r>
  <r>
    <x v="0"/>
    <x v="122"/>
    <x v="122"/>
    <x v="4"/>
    <x v="0"/>
    <x v="1"/>
    <x v="7"/>
    <x v="6"/>
    <n v="2021"/>
    <x v="1"/>
    <s v="N/A"/>
    <n v="0"/>
    <s v="Confirmed"/>
    <s v=""/>
    <x v="0"/>
    <x v="0"/>
    <m/>
    <x v="1"/>
    <x v="0"/>
    <m/>
    <n v="0"/>
    <x v="1"/>
    <s v="…"/>
    <n v="39941279.609447442"/>
  </r>
  <r>
    <x v="0"/>
    <x v="123"/>
    <x v="123"/>
    <x v="4"/>
    <x v="0"/>
    <x v="1"/>
    <x v="7"/>
    <x v="6"/>
    <n v="2021"/>
    <x v="1"/>
    <s v="N/A"/>
    <n v="0"/>
    <s v="Confirmed"/>
    <s v=""/>
    <x v="0"/>
    <x v="0"/>
    <m/>
    <x v="1"/>
    <x v="0"/>
    <m/>
    <n v="0"/>
    <x v="1"/>
    <s v="High"/>
    <n v="24761675.260059897"/>
  </r>
  <r>
    <x v="0"/>
    <x v="124"/>
    <x v="124"/>
    <x v="2"/>
    <x v="0"/>
    <x v="1"/>
    <x v="7"/>
    <x v="6"/>
    <n v="2021"/>
    <x v="1"/>
    <s v="N/A"/>
    <n v="25000"/>
    <s v="Confirmed"/>
    <s v=""/>
    <x v="0"/>
    <x v="0"/>
    <m/>
    <x v="2"/>
    <x v="0"/>
    <m/>
    <n v="0"/>
    <x v="0"/>
    <s v="N/A"/>
    <s v=""/>
  </r>
  <r>
    <x v="0"/>
    <x v="125"/>
    <x v="125"/>
    <x v="2"/>
    <x v="0"/>
    <x v="1"/>
    <x v="7"/>
    <x v="6"/>
    <n v="2021"/>
    <x v="1"/>
    <s v="N/A"/>
    <n v="384079.62962962961"/>
    <s v="Confirmed"/>
    <s v=""/>
    <x v="0"/>
    <x v="0"/>
    <m/>
    <x v="0"/>
    <x v="0"/>
    <m/>
    <n v="1"/>
    <x v="0"/>
    <s v="N/A"/>
    <n v="577156172.71229994"/>
  </r>
  <r>
    <x v="0"/>
    <x v="126"/>
    <x v="126"/>
    <x v="6"/>
    <x v="0"/>
    <x v="1"/>
    <x v="7"/>
    <x v="6"/>
    <n v="2021"/>
    <x v="1"/>
    <s v="N/A"/>
    <n v="0"/>
    <s v="Confirmed"/>
    <s v=""/>
    <x v="0"/>
    <x v="0"/>
    <m/>
    <x v="1"/>
    <x v="1"/>
    <m/>
    <n v="0"/>
    <x v="1"/>
    <s v=""/>
    <n v="180052034.19851837"/>
  </r>
  <r>
    <x v="0"/>
    <x v="127"/>
    <x v="127"/>
    <x v="2"/>
    <x v="0"/>
    <x v="1"/>
    <x v="7"/>
    <x v="6"/>
    <n v="2021"/>
    <x v="1"/>
    <s v="N/A"/>
    <n v="460772.22222222219"/>
    <s v="Confirmed"/>
    <s v=""/>
    <x v="0"/>
    <x v="0"/>
    <m/>
    <x v="0"/>
    <x v="0"/>
    <m/>
    <n v="1"/>
    <x v="0"/>
    <s v="N/A"/>
    <s v=""/>
  </r>
  <r>
    <x v="0"/>
    <x v="128"/>
    <x v="128"/>
    <x v="1"/>
    <x v="0"/>
    <x v="1"/>
    <x v="7"/>
    <x v="6"/>
    <n v="2021"/>
    <x v="1"/>
    <s v="N/A"/>
    <n v="105279.62962962962"/>
    <s v="Confirmed"/>
    <s v=""/>
    <x v="0"/>
    <x v="0"/>
    <m/>
    <x v="2"/>
    <x v="0"/>
    <m/>
    <n v="0"/>
    <x v="0"/>
    <s v="High"/>
    <n v="147296124.32232863"/>
  </r>
  <r>
    <x v="0"/>
    <x v="129"/>
    <x v="129"/>
    <x v="3"/>
    <x v="0"/>
    <x v="1"/>
    <x v="7"/>
    <x v="6"/>
    <n v="2021"/>
    <x v="1"/>
    <s v="N/A"/>
    <n v="48400"/>
    <s v="Confirmed"/>
    <s v=""/>
    <x v="0"/>
    <x v="0"/>
    <m/>
    <x v="2"/>
    <x v="0"/>
    <m/>
    <n v="0"/>
    <x v="0"/>
    <s v="…"/>
    <n v="890576536.83065879"/>
  </r>
  <r>
    <x v="0"/>
    <x v="130"/>
    <x v="130"/>
    <x v="6"/>
    <x v="0"/>
    <x v="1"/>
    <x v="7"/>
    <x v="6"/>
    <n v="2021"/>
    <x v="1"/>
    <s v="N/A"/>
    <n v="0"/>
    <s v="Confirmed"/>
    <s v=""/>
    <x v="0"/>
    <x v="0"/>
    <m/>
    <x v="1"/>
    <x v="1"/>
    <m/>
    <n v="0"/>
    <x v="0"/>
    <s v=""/>
    <n v="14611129792.346064"/>
  </r>
  <r>
    <x v="0"/>
    <x v="131"/>
    <x v="131"/>
    <x v="6"/>
    <x v="0"/>
    <x v="1"/>
    <x v="7"/>
    <x v="6"/>
    <n v="2021"/>
    <x v="1"/>
    <s v="N/A"/>
    <n v="129999.99999999999"/>
    <s v="Confirmed"/>
    <s v=""/>
    <x v="0"/>
    <x v="0"/>
    <m/>
    <x v="2"/>
    <x v="0"/>
    <m/>
    <n v="0"/>
    <x v="1"/>
    <s v="Low"/>
    <n v="72046877.233008593"/>
  </r>
  <r>
    <x v="0"/>
    <x v="132"/>
    <x v="132"/>
    <x v="5"/>
    <x v="0"/>
    <x v="1"/>
    <x v="7"/>
    <x v="6"/>
    <n v="2021"/>
    <x v="1"/>
    <s v="N/A"/>
    <n v="141046.29629629629"/>
    <s v="Confirmed"/>
    <s v=""/>
    <x v="0"/>
    <x v="0"/>
    <m/>
    <x v="0"/>
    <x v="0"/>
    <m/>
    <n v="0"/>
    <x v="0"/>
    <s v="High"/>
    <n v="56248139.267255567"/>
  </r>
  <r>
    <x v="0"/>
    <x v="133"/>
    <x v="133"/>
    <x v="6"/>
    <x v="0"/>
    <x v="1"/>
    <x v="7"/>
    <x v="6"/>
    <n v="2021"/>
    <x v="1"/>
    <s v="N/A"/>
    <n v="55481.481481481474"/>
    <s v="Confirmed"/>
    <s v=""/>
    <x v="0"/>
    <x v="0"/>
    <m/>
    <x v="1"/>
    <x v="0"/>
    <m/>
    <n v="0"/>
    <x v="1"/>
    <s v="High"/>
    <n v="15464031.712942109"/>
  </r>
  <r>
    <x v="0"/>
    <x v="134"/>
    <x v="134"/>
    <x v="4"/>
    <x v="0"/>
    <x v="1"/>
    <x v="7"/>
    <x v="6"/>
    <n v="2021"/>
    <x v="1"/>
    <s v="N/A"/>
    <n v="0"/>
    <s v="Confirmed"/>
    <s v=""/>
    <x v="0"/>
    <x v="0"/>
    <m/>
    <x v="3"/>
    <x v="1"/>
    <m/>
    <n v="0"/>
    <x v="1"/>
    <s v="N/A"/>
    <n v="769564399.33249676"/>
  </r>
  <r>
    <x v="0"/>
    <x v="135"/>
    <x v="135"/>
    <x v="2"/>
    <x v="0"/>
    <x v="1"/>
    <x v="7"/>
    <x v="6"/>
    <n v="2021"/>
    <x v="1"/>
    <s v="N/A"/>
    <n v="124999.99999999999"/>
    <s v="Confirmed"/>
    <s v=""/>
    <x v="0"/>
    <x v="0"/>
    <m/>
    <x v="2"/>
    <x v="0"/>
    <m/>
    <n v="0"/>
    <x v="0"/>
    <s v="N/A"/>
    <n v="1668954539.7630196"/>
  </r>
  <r>
    <x v="0"/>
    <x v="136"/>
    <x v="136"/>
    <x v="1"/>
    <x v="0"/>
    <x v="1"/>
    <x v="7"/>
    <x v="6"/>
    <n v="2021"/>
    <x v="1"/>
    <s v="N/A"/>
    <n v="0"/>
    <s v="Confirmed"/>
    <s v=""/>
    <x v="0"/>
    <x v="0"/>
    <m/>
    <x v="1"/>
    <x v="1"/>
    <m/>
    <n v="0"/>
    <x v="0"/>
    <s v=""/>
    <n v="24840920016.18832"/>
  </r>
  <r>
    <x v="0"/>
    <x v="137"/>
    <x v="137"/>
    <x v="1"/>
    <x v="0"/>
    <x v="1"/>
    <x v="7"/>
    <x v="6"/>
    <n v="2021"/>
    <x v="1"/>
    <s v="N/A"/>
    <n v="0"/>
    <s v="Confirmed"/>
    <s v=""/>
    <x v="0"/>
    <x v="0"/>
    <m/>
    <x v="1"/>
    <x v="1"/>
    <m/>
    <n v="0"/>
    <x v="0"/>
    <s v="N/A"/>
    <n v="487888462.83720118"/>
  </r>
  <r>
    <x v="0"/>
    <x v="138"/>
    <x v="138"/>
    <x v="6"/>
    <x v="0"/>
    <x v="1"/>
    <x v="7"/>
    <x v="6"/>
    <n v="2021"/>
    <x v="1"/>
    <s v="N/A"/>
    <n v="48270.370370370365"/>
    <s v="Confirmed"/>
    <s v=""/>
    <x v="0"/>
    <x v="0"/>
    <m/>
    <x v="1"/>
    <x v="0"/>
    <m/>
    <n v="0"/>
    <x v="1"/>
    <s v="…"/>
    <n v="6365061.1736073596"/>
  </r>
  <r>
    <x v="0"/>
    <x v="139"/>
    <x v="139"/>
    <x v="3"/>
    <x v="0"/>
    <x v="1"/>
    <x v="7"/>
    <x v="6"/>
    <n v="2021"/>
    <x v="1"/>
    <s v="N/A"/>
    <n v="317030.55555555556"/>
    <s v="Confirmed"/>
    <s v=""/>
    <x v="0"/>
    <x v="0"/>
    <m/>
    <x v="0"/>
    <x v="0"/>
    <m/>
    <n v="2"/>
    <x v="0"/>
    <s v="Low"/>
    <n v="291799092.90196139"/>
  </r>
  <r>
    <x v="0"/>
    <x v="140"/>
    <x v="140"/>
    <x v="1"/>
    <x v="0"/>
    <x v="1"/>
    <x v="7"/>
    <x v="6"/>
    <n v="2021"/>
    <x v="1"/>
    <s v="N/A"/>
    <n v="50891.666666666664"/>
    <s v="Confirmed"/>
    <s v=""/>
    <x v="0"/>
    <x v="0"/>
    <m/>
    <x v="2"/>
    <x v="0"/>
    <m/>
    <n v="0"/>
    <x v="0"/>
    <s v="N/A"/>
    <n v="4844815340.2135534"/>
  </r>
  <r>
    <x v="0"/>
    <x v="141"/>
    <x v="141"/>
    <x v="4"/>
    <x v="0"/>
    <x v="1"/>
    <x v="7"/>
    <x v="6"/>
    <n v="2021"/>
    <x v="1"/>
    <s v="N/A"/>
    <n v="0"/>
    <s v="Confirmed"/>
    <s v=""/>
    <x v="0"/>
    <x v="0"/>
    <m/>
    <x v="3"/>
    <x v="1"/>
    <m/>
    <n v="0"/>
    <x v="0"/>
    <s v=""/>
    <n v="4001891446.6871672"/>
  </r>
  <r>
    <x v="0"/>
    <x v="142"/>
    <x v="142"/>
    <x v="1"/>
    <x v="0"/>
    <x v="1"/>
    <x v="7"/>
    <x v="6"/>
    <n v="2021"/>
    <x v="1"/>
    <s v="N/A"/>
    <n v="105295.99999999999"/>
    <s v="Confirmed"/>
    <s v=""/>
    <x v="0"/>
    <x v="0"/>
    <m/>
    <x v="2"/>
    <x v="0"/>
    <m/>
    <n v="0"/>
    <x v="0"/>
    <s v="Low"/>
    <n v="1019800630.5853213"/>
  </r>
  <r>
    <x v="0"/>
    <x v="143"/>
    <x v="143"/>
    <x v="6"/>
    <x v="0"/>
    <x v="1"/>
    <x v="7"/>
    <x v="6"/>
    <n v="2021"/>
    <x v="1"/>
    <s v="N/A"/>
    <n v="0"/>
    <s v="Confirmed"/>
    <s v=""/>
    <x v="0"/>
    <x v="0"/>
    <m/>
    <x v="2"/>
    <x v="0"/>
    <m/>
    <n v="0"/>
    <x v="1"/>
    <s v="Moderate"/>
    <n v="19578671.310841195"/>
  </r>
  <r>
    <x v="0"/>
    <x v="144"/>
    <x v="144"/>
    <x v="4"/>
    <x v="0"/>
    <x v="1"/>
    <x v="7"/>
    <x v="6"/>
    <n v="2021"/>
    <x v="1"/>
    <s v="N/A"/>
    <n v="0"/>
    <s v="Confirmed"/>
    <s v=""/>
    <x v="0"/>
    <x v="0"/>
    <m/>
    <x v="4"/>
    <x v="1"/>
    <m/>
    <n v="0"/>
    <x v="0"/>
    <s v="N/A"/>
    <n v="3551452001.0684834"/>
  </r>
  <r>
    <x v="0"/>
    <x v="145"/>
    <x v="145"/>
    <x v="6"/>
    <x v="0"/>
    <x v="1"/>
    <x v="7"/>
    <x v="6"/>
    <n v="2021"/>
    <x v="1"/>
    <s v="N/A"/>
    <n v="100000"/>
    <s v="Confirmed"/>
    <s v=""/>
    <x v="0"/>
    <x v="0"/>
    <m/>
    <x v="2"/>
    <x v="0"/>
    <m/>
    <n v="0"/>
    <x v="0"/>
    <s v="N/A"/>
    <n v="6603048821.7575006"/>
  </r>
  <r>
    <x v="0"/>
    <x v="146"/>
    <x v="146"/>
    <x v="2"/>
    <x v="0"/>
    <x v="1"/>
    <x v="7"/>
    <x v="6"/>
    <n v="2021"/>
    <x v="1"/>
    <s v="N/A"/>
    <n v="516199.99999999994"/>
    <s v="Confirmed"/>
    <s v=""/>
    <x v="0"/>
    <x v="0"/>
    <m/>
    <x v="0"/>
    <x v="0"/>
    <m/>
    <n v="1"/>
    <x v="0"/>
    <s v="…"/>
    <s v=""/>
  </r>
  <r>
    <x v="0"/>
    <x v="147"/>
    <x v="147"/>
    <x v="3"/>
    <x v="0"/>
    <x v="1"/>
    <x v="7"/>
    <x v="6"/>
    <n v="2021"/>
    <x v="1"/>
    <s v="N/A"/>
    <n v="113199.99999999999"/>
    <s v="Confirmed"/>
    <s v=""/>
    <x v="0"/>
    <x v="0"/>
    <m/>
    <x v="2"/>
    <x v="0"/>
    <m/>
    <n v="0"/>
    <x v="0"/>
    <s v="High"/>
    <n v="515352723.9821828"/>
  </r>
  <r>
    <x v="0"/>
    <x v="148"/>
    <x v="148"/>
    <x v="3"/>
    <x v="0"/>
    <x v="1"/>
    <x v="7"/>
    <x v="6"/>
    <n v="2021"/>
    <x v="1"/>
    <s v="N/A"/>
    <n v="387250"/>
    <s v="Confirmed"/>
    <s v=""/>
    <x v="0"/>
    <x v="0"/>
    <m/>
    <x v="2"/>
    <x v="0"/>
    <m/>
    <n v="0"/>
    <x v="0"/>
    <s v="N/A"/>
    <n v="566711742.22428358"/>
  </r>
  <r>
    <x v="0"/>
    <x v="0"/>
    <x v="0"/>
    <x v="0"/>
    <x v="0"/>
    <x v="1"/>
    <x v="8"/>
    <x v="4"/>
    <n v="2021"/>
    <x v="1"/>
    <s v="N/A"/>
    <n v="0"/>
    <s v="Confirmed"/>
    <m/>
    <x v="0"/>
    <x v="0"/>
    <m/>
    <x v="0"/>
    <x v="0"/>
    <m/>
    <n v="1"/>
    <x v="0"/>
    <s v="High"/>
    <n v="95829480.719269618"/>
  </r>
  <r>
    <x v="0"/>
    <x v="1"/>
    <x v="1"/>
    <x v="1"/>
    <x v="0"/>
    <x v="1"/>
    <x v="8"/>
    <x v="4"/>
    <n v="2021"/>
    <x v="1"/>
    <s v="N/A"/>
    <n v="0"/>
    <s v="Confirmed"/>
    <m/>
    <x v="0"/>
    <x v="0"/>
    <m/>
    <x v="1"/>
    <x v="1"/>
    <m/>
    <n v="0"/>
    <x v="0"/>
    <s v=""/>
    <n v="427904035.52443534"/>
  </r>
  <r>
    <x v="0"/>
    <x v="2"/>
    <x v="2"/>
    <x v="2"/>
    <x v="0"/>
    <x v="1"/>
    <x v="8"/>
    <x v="4"/>
    <n v="2021"/>
    <x v="1"/>
    <s v="N/A"/>
    <n v="0"/>
    <s v="Confirmed"/>
    <m/>
    <x v="0"/>
    <x v="0"/>
    <m/>
    <x v="2"/>
    <x v="0"/>
    <m/>
    <n v="0"/>
    <x v="0"/>
    <s v="N/A"/>
    <n v="7113361022.7267885"/>
  </r>
  <r>
    <x v="0"/>
    <x v="3"/>
    <x v="3"/>
    <x v="3"/>
    <x v="0"/>
    <x v="1"/>
    <x v="8"/>
    <x v="4"/>
    <n v="2021"/>
    <x v="1"/>
    <s v="N/A"/>
    <n v="0"/>
    <s v="Confirmed"/>
    <m/>
    <x v="0"/>
    <x v="0"/>
    <m/>
    <x v="2"/>
    <x v="0"/>
    <m/>
    <n v="0"/>
    <x v="0"/>
    <s v="…"/>
    <n v="1131865946.5875781"/>
  </r>
  <r>
    <x v="0"/>
    <x v="4"/>
    <x v="4"/>
    <x v="4"/>
    <x v="0"/>
    <x v="1"/>
    <x v="8"/>
    <x v="4"/>
    <n v="2021"/>
    <x v="1"/>
    <s v="N/A"/>
    <n v="0"/>
    <s v="Confirmed"/>
    <m/>
    <x v="0"/>
    <x v="0"/>
    <m/>
    <x v="3"/>
    <x v="1"/>
    <m/>
    <n v="0"/>
    <x v="1"/>
    <s v=""/>
    <n v="46777779.823447868"/>
  </r>
  <r>
    <x v="0"/>
    <x v="5"/>
    <x v="5"/>
    <x v="4"/>
    <x v="0"/>
    <x v="1"/>
    <x v="8"/>
    <x v="4"/>
    <n v="2021"/>
    <x v="1"/>
    <s v="N/A"/>
    <n v="0"/>
    <s v="Confirmed"/>
    <m/>
    <x v="0"/>
    <x v="0"/>
    <m/>
    <x v="1"/>
    <x v="1"/>
    <m/>
    <n v="0"/>
    <x v="0"/>
    <s v=""/>
    <n v="30725305777.596794"/>
  </r>
  <r>
    <x v="0"/>
    <x v="6"/>
    <x v="6"/>
    <x v="1"/>
    <x v="0"/>
    <x v="1"/>
    <x v="8"/>
    <x v="4"/>
    <n v="2021"/>
    <x v="1"/>
    <s v="N/A"/>
    <n v="0"/>
    <s v="Confirmed"/>
    <m/>
    <x v="0"/>
    <x v="0"/>
    <m/>
    <x v="1"/>
    <x v="1"/>
    <m/>
    <n v="0"/>
    <x v="0"/>
    <s v=""/>
    <n v="153815827.8380394"/>
  </r>
  <r>
    <x v="0"/>
    <x v="7"/>
    <x v="7"/>
    <x v="1"/>
    <x v="0"/>
    <x v="1"/>
    <x v="8"/>
    <x v="4"/>
    <n v="2021"/>
    <x v="1"/>
    <s v="N/A"/>
    <n v="0"/>
    <s v="Confirmed"/>
    <m/>
    <x v="0"/>
    <x v="0"/>
    <m/>
    <x v="1"/>
    <x v="1"/>
    <m/>
    <n v="0"/>
    <x v="0"/>
    <s v="N/A"/>
    <n v="437525105.31216973"/>
  </r>
  <r>
    <x v="0"/>
    <x v="8"/>
    <x v="8"/>
    <x v="4"/>
    <x v="0"/>
    <x v="1"/>
    <x v="8"/>
    <x v="4"/>
    <n v="2021"/>
    <x v="1"/>
    <s v="N/A"/>
    <n v="0"/>
    <s v="Confirmed"/>
    <m/>
    <x v="0"/>
    <x v="0"/>
    <m/>
    <x v="3"/>
    <x v="1"/>
    <m/>
    <n v="0"/>
    <x v="1"/>
    <s v=""/>
    <n v="149463302.00602186"/>
  </r>
  <r>
    <x v="0"/>
    <x v="9"/>
    <x v="9"/>
    <x v="0"/>
    <x v="0"/>
    <x v="1"/>
    <x v="8"/>
    <x v="4"/>
    <n v="2021"/>
    <x v="1"/>
    <s v="N/A"/>
    <n v="0"/>
    <s v="Confirmed"/>
    <m/>
    <x v="0"/>
    <x v="0"/>
    <m/>
    <x v="2"/>
    <x v="0"/>
    <m/>
    <n v="0"/>
    <x v="0"/>
    <s v="Low"/>
    <n v="1148322593.9600098"/>
  </r>
  <r>
    <x v="0"/>
    <x v="10"/>
    <x v="10"/>
    <x v="1"/>
    <x v="0"/>
    <x v="1"/>
    <x v="8"/>
    <x v="4"/>
    <n v="2021"/>
    <x v="1"/>
    <s v="N/A"/>
    <n v="0"/>
    <s v="Confirmed"/>
    <m/>
    <x v="0"/>
    <x v="0"/>
    <m/>
    <x v="1"/>
    <x v="1"/>
    <m/>
    <n v="0"/>
    <x v="0"/>
    <s v=""/>
    <n v="2371102058.1093163"/>
  </r>
  <r>
    <x v="0"/>
    <x v="11"/>
    <x v="11"/>
    <x v="4"/>
    <x v="0"/>
    <x v="1"/>
    <x v="8"/>
    <x v="4"/>
    <n v="2021"/>
    <x v="1"/>
    <s v="N/A"/>
    <n v="0"/>
    <s v="Confirmed"/>
    <m/>
    <x v="0"/>
    <x v="0"/>
    <m/>
    <x v="2"/>
    <x v="1"/>
    <m/>
    <n v="0"/>
    <x v="1"/>
    <s v="N/A"/>
    <n v="75151620.005215243"/>
  </r>
  <r>
    <x v="0"/>
    <x v="12"/>
    <x v="12"/>
    <x v="5"/>
    <x v="0"/>
    <x v="1"/>
    <x v="8"/>
    <x v="4"/>
    <n v="2021"/>
    <x v="1"/>
    <s v="N/A"/>
    <n v="0"/>
    <s v="Confirmed"/>
    <m/>
    <x v="0"/>
    <x v="0"/>
    <m/>
    <x v="2"/>
    <x v="0"/>
    <m/>
    <n v="0"/>
    <x v="0"/>
    <s v="Moderate"/>
    <n v="69958487.197715744"/>
  </r>
  <r>
    <x v="0"/>
    <x v="13"/>
    <x v="13"/>
    <x v="0"/>
    <x v="0"/>
    <x v="1"/>
    <x v="8"/>
    <x v="4"/>
    <n v="2021"/>
    <x v="1"/>
    <s v="N/A"/>
    <n v="0"/>
    <s v="Confirmed"/>
    <m/>
    <x v="0"/>
    <x v="0"/>
    <m/>
    <x v="2"/>
    <x v="0"/>
    <m/>
    <n v="0"/>
    <x v="0"/>
    <s v="…"/>
    <n v="61654608.560629159"/>
  </r>
  <r>
    <x v="0"/>
    <x v="14"/>
    <x v="14"/>
    <x v="4"/>
    <x v="0"/>
    <x v="1"/>
    <x v="8"/>
    <x v="4"/>
    <n v="2021"/>
    <x v="1"/>
    <s v="N/A"/>
    <n v="0"/>
    <s v="Confirmed"/>
    <m/>
    <x v="0"/>
    <x v="0"/>
    <m/>
    <x v="2"/>
    <x v="0"/>
    <m/>
    <n v="0"/>
    <x v="0"/>
    <s v="N/A"/>
    <n v="1806638707.7615163"/>
  </r>
  <r>
    <x v="0"/>
    <x v="15"/>
    <x v="15"/>
    <x v="1"/>
    <x v="0"/>
    <x v="1"/>
    <x v="8"/>
    <x v="4"/>
    <n v="2021"/>
    <x v="1"/>
    <s v="N/A"/>
    <n v="0"/>
    <s v="Confirmed"/>
    <m/>
    <x v="0"/>
    <x v="0"/>
    <m/>
    <x v="1"/>
    <x v="1"/>
    <m/>
    <n v="0"/>
    <x v="0"/>
    <s v="N/A"/>
    <n v="1252696525.0627904"/>
  </r>
  <r>
    <x v="0"/>
    <x v="16"/>
    <x v="16"/>
    <x v="3"/>
    <x v="0"/>
    <x v="1"/>
    <x v="8"/>
    <x v="4"/>
    <n v="2021"/>
    <x v="1"/>
    <s v="N/A"/>
    <n v="0"/>
    <s v="Confirmed"/>
    <m/>
    <x v="0"/>
    <x v="0"/>
    <m/>
    <x v="1"/>
    <x v="1"/>
    <m/>
    <n v="0"/>
    <x v="0"/>
    <s v=""/>
    <n v="843425084.07334602"/>
  </r>
  <r>
    <x v="0"/>
    <x v="17"/>
    <x v="17"/>
    <x v="4"/>
    <x v="0"/>
    <x v="1"/>
    <x v="8"/>
    <x v="4"/>
    <n v="2021"/>
    <x v="1"/>
    <s v="N/A"/>
    <n v="0"/>
    <s v="Confirmed"/>
    <m/>
    <x v="0"/>
    <x v="0"/>
    <m/>
    <x v="1"/>
    <x v="1"/>
    <m/>
    <n v="0"/>
    <x v="0"/>
    <s v="N/A"/>
    <n v="74055620038.853683"/>
  </r>
  <r>
    <x v="0"/>
    <x v="18"/>
    <x v="18"/>
    <x v="1"/>
    <x v="0"/>
    <x v="1"/>
    <x v="8"/>
    <x v="4"/>
    <n v="2021"/>
    <x v="1"/>
    <s v="N/A"/>
    <n v="0"/>
    <s v="Confirmed"/>
    <m/>
    <x v="0"/>
    <x v="0"/>
    <m/>
    <x v="1"/>
    <x v="1"/>
    <m/>
    <n v="0"/>
    <x v="0"/>
    <s v=""/>
    <n v="2803357765.5888777"/>
  </r>
  <r>
    <x v="0"/>
    <x v="19"/>
    <x v="19"/>
    <x v="5"/>
    <x v="0"/>
    <x v="1"/>
    <x v="8"/>
    <x v="4"/>
    <n v="2021"/>
    <x v="1"/>
    <s v="N/A"/>
    <n v="0"/>
    <s v="Confirmed"/>
    <m/>
    <x v="0"/>
    <x v="0"/>
    <m/>
    <x v="0"/>
    <x v="0"/>
    <m/>
    <n v="2"/>
    <x v="0"/>
    <s v="Moderate"/>
    <n v="337927779.25510043"/>
  </r>
  <r>
    <x v="0"/>
    <x v="20"/>
    <x v="20"/>
    <x v="3"/>
    <x v="0"/>
    <x v="1"/>
    <x v="8"/>
    <x v="4"/>
    <n v="2021"/>
    <x v="1"/>
    <s v="N/A"/>
    <n v="0"/>
    <s v="Confirmed"/>
    <m/>
    <x v="0"/>
    <x v="0"/>
    <m/>
    <x v="0"/>
    <x v="0"/>
    <m/>
    <n v="2"/>
    <x v="0"/>
    <s v="…"/>
    <n v="65979512.47399316"/>
  </r>
  <r>
    <x v="0"/>
    <x v="21"/>
    <x v="21"/>
    <x v="5"/>
    <x v="0"/>
    <x v="1"/>
    <x v="8"/>
    <x v="4"/>
    <n v="2021"/>
    <x v="1"/>
    <s v="N/A"/>
    <n v="0"/>
    <s v="Confirmed"/>
    <m/>
    <x v="0"/>
    <x v="0"/>
    <m/>
    <x v="2"/>
    <x v="0"/>
    <m/>
    <n v="0"/>
    <x v="1"/>
    <s v="High"/>
    <n v="63748362.778827004"/>
  </r>
  <r>
    <x v="0"/>
    <x v="22"/>
    <x v="22"/>
    <x v="6"/>
    <x v="0"/>
    <x v="1"/>
    <x v="8"/>
    <x v="4"/>
    <n v="2021"/>
    <x v="1"/>
    <s v="N/A"/>
    <n v="0"/>
    <s v="Confirmed"/>
    <m/>
    <x v="0"/>
    <x v="0"/>
    <m/>
    <x v="2"/>
    <x v="0"/>
    <m/>
    <n v="0"/>
    <x v="0"/>
    <s v="Low"/>
    <n v="313039649.45369786"/>
  </r>
  <r>
    <x v="0"/>
    <x v="23"/>
    <x v="23"/>
    <x v="5"/>
    <x v="0"/>
    <x v="1"/>
    <x v="8"/>
    <x v="4"/>
    <n v="2021"/>
    <x v="1"/>
    <s v="N/A"/>
    <n v="380000"/>
    <s v="Confirmed"/>
    <m/>
    <x v="0"/>
    <x v="0"/>
    <m/>
    <x v="2"/>
    <x v="0"/>
    <m/>
    <n v="2"/>
    <x v="0"/>
    <s v="High"/>
    <n v="81361801.477472037"/>
  </r>
  <r>
    <x v="0"/>
    <x v="24"/>
    <x v="24"/>
    <x v="5"/>
    <x v="0"/>
    <x v="1"/>
    <x v="8"/>
    <x v="4"/>
    <n v="2021"/>
    <x v="1"/>
    <s v="N/A"/>
    <n v="500000"/>
    <s v="Confirmed"/>
    <m/>
    <x v="0"/>
    <x v="0"/>
    <m/>
    <x v="0"/>
    <x v="0"/>
    <m/>
    <n v="1"/>
    <x v="0"/>
    <s v="High"/>
    <s v=""/>
  </r>
  <r>
    <x v="0"/>
    <x v="25"/>
    <x v="25"/>
    <x v="5"/>
    <x v="0"/>
    <x v="1"/>
    <x v="8"/>
    <x v="4"/>
    <n v="2021"/>
    <x v="1"/>
    <s v="N/A"/>
    <n v="1582483"/>
    <s v="Confirmed"/>
    <m/>
    <x v="0"/>
    <x v="0"/>
    <m/>
    <x v="0"/>
    <x v="0"/>
    <m/>
    <n v="1"/>
    <x v="0"/>
    <s v="High"/>
    <n v="76939306.715636879"/>
  </r>
  <r>
    <x v="0"/>
    <x v="26"/>
    <x v="26"/>
    <x v="4"/>
    <x v="0"/>
    <x v="1"/>
    <x v="8"/>
    <x v="4"/>
    <n v="2021"/>
    <x v="1"/>
    <s v="N/A"/>
    <n v="0"/>
    <s v="Confirmed"/>
    <m/>
    <x v="0"/>
    <x v="0"/>
    <m/>
    <x v="3"/>
    <x v="1"/>
    <m/>
    <n v="0"/>
    <x v="0"/>
    <s v=""/>
    <n v="13859708717.682571"/>
  </r>
  <r>
    <x v="0"/>
    <x v="27"/>
    <x v="27"/>
    <x v="6"/>
    <x v="0"/>
    <x v="1"/>
    <x v="8"/>
    <x v="4"/>
    <n v="2021"/>
    <x v="1"/>
    <s v="N/A"/>
    <n v="0"/>
    <s v="Confirmed"/>
    <m/>
    <x v="0"/>
    <x v="0"/>
    <m/>
    <x v="1"/>
    <x v="1"/>
    <m/>
    <n v="0"/>
    <x v="0"/>
    <s v=""/>
    <n v="403567160707.7016"/>
  </r>
  <r>
    <x v="0"/>
    <x v="28"/>
    <x v="28"/>
    <x v="4"/>
    <x v="0"/>
    <x v="1"/>
    <x v="8"/>
    <x v="4"/>
    <n v="2021"/>
    <x v="1"/>
    <s v="N/A"/>
    <n v="0"/>
    <s v="Confirmed"/>
    <m/>
    <x v="0"/>
    <x v="0"/>
    <m/>
    <x v="1"/>
    <x v="1"/>
    <m/>
    <n v="0"/>
    <x v="0"/>
    <s v=""/>
    <n v="18250225995.972618"/>
  </r>
  <r>
    <x v="0"/>
    <x v="29"/>
    <x v="29"/>
    <x v="3"/>
    <x v="0"/>
    <x v="1"/>
    <x v="8"/>
    <x v="4"/>
    <n v="2021"/>
    <x v="1"/>
    <s v="N/A"/>
    <n v="0"/>
    <s v="Confirmed"/>
    <m/>
    <x v="0"/>
    <x v="0"/>
    <m/>
    <x v="2"/>
    <x v="0"/>
    <m/>
    <n v="0"/>
    <x v="1"/>
    <s v="Moderate"/>
    <n v="5027591.1682657599"/>
  </r>
  <r>
    <x v="0"/>
    <x v="30"/>
    <x v="30"/>
    <x v="5"/>
    <x v="0"/>
    <x v="1"/>
    <x v="8"/>
    <x v="4"/>
    <n v="2021"/>
    <x v="1"/>
    <s v="N/A"/>
    <n v="2438852"/>
    <s v="Confirmed"/>
    <m/>
    <x v="0"/>
    <x v="0"/>
    <m/>
    <x v="0"/>
    <x v="0"/>
    <m/>
    <n v="3"/>
    <x v="0"/>
    <s v="Moderate"/>
    <n v="234645958.63289919"/>
  </r>
  <r>
    <x v="0"/>
    <x v="31"/>
    <x v="31"/>
    <x v="5"/>
    <x v="0"/>
    <x v="1"/>
    <x v="8"/>
    <x v="4"/>
    <n v="2021"/>
    <x v="1"/>
    <s v="N/A"/>
    <n v="0"/>
    <s v="Confirmed"/>
    <m/>
    <x v="0"/>
    <x v="0"/>
    <m/>
    <x v="2"/>
    <x v="0"/>
    <m/>
    <n v="2"/>
    <x v="0"/>
    <s v="In distress"/>
    <n v="91590910.247314155"/>
  </r>
  <r>
    <x v="0"/>
    <x v="32"/>
    <x v="32"/>
    <x v="6"/>
    <x v="0"/>
    <x v="1"/>
    <x v="8"/>
    <x v="4"/>
    <n v="2021"/>
    <x v="1"/>
    <s v="N/A"/>
    <n v="0"/>
    <s v="Confirmed"/>
    <m/>
    <x v="0"/>
    <x v="0"/>
    <m/>
    <x v="4"/>
    <x v="1"/>
    <m/>
    <n v="0"/>
    <x v="1"/>
    <s v="N/A"/>
    <n v="8560012.8840167802"/>
  </r>
  <r>
    <x v="0"/>
    <x v="33"/>
    <x v="33"/>
    <x v="4"/>
    <x v="0"/>
    <x v="1"/>
    <x v="8"/>
    <x v="4"/>
    <n v="2021"/>
    <x v="1"/>
    <s v="N/A"/>
    <n v="0"/>
    <s v="Confirmed"/>
    <m/>
    <x v="0"/>
    <x v="0"/>
    <m/>
    <x v="1"/>
    <x v="1"/>
    <m/>
    <n v="0"/>
    <x v="0"/>
    <s v="N/A"/>
    <n v="3292372960.3962669"/>
  </r>
  <r>
    <x v="0"/>
    <x v="34"/>
    <x v="34"/>
    <x v="5"/>
    <x v="0"/>
    <x v="1"/>
    <x v="8"/>
    <x v="4"/>
    <n v="2021"/>
    <x v="1"/>
    <s v="N/A"/>
    <n v="1000526"/>
    <s v="Confirmed"/>
    <m/>
    <x v="0"/>
    <x v="0"/>
    <m/>
    <x v="2"/>
    <x v="0"/>
    <m/>
    <n v="0"/>
    <x v="0"/>
    <s v="Moderate"/>
    <n v="519209981.22981054"/>
  </r>
  <r>
    <x v="0"/>
    <x v="35"/>
    <x v="35"/>
    <x v="1"/>
    <x v="0"/>
    <x v="1"/>
    <x v="8"/>
    <x v="4"/>
    <n v="2021"/>
    <x v="1"/>
    <s v="N/A"/>
    <n v="0"/>
    <s v="Confirmed"/>
    <m/>
    <x v="0"/>
    <x v="0"/>
    <m/>
    <x v="3"/>
    <x v="1"/>
    <m/>
    <n v="0"/>
    <x v="0"/>
    <s v=""/>
    <n v="3464739907.1604805"/>
  </r>
  <r>
    <x v="0"/>
    <x v="36"/>
    <x v="36"/>
    <x v="4"/>
    <x v="0"/>
    <x v="1"/>
    <x v="8"/>
    <x v="4"/>
    <n v="2021"/>
    <x v="1"/>
    <s v="N/A"/>
    <n v="0"/>
    <s v="Confirmed"/>
    <m/>
    <x v="0"/>
    <x v="0"/>
    <m/>
    <x v="1"/>
    <x v="1"/>
    <m/>
    <n v="0"/>
    <x v="1"/>
    <s v=""/>
    <n v="9948521252.2569065"/>
  </r>
  <r>
    <x v="0"/>
    <x v="37"/>
    <x v="37"/>
    <x v="2"/>
    <x v="0"/>
    <x v="1"/>
    <x v="8"/>
    <x v="4"/>
    <n v="2021"/>
    <x v="1"/>
    <s v="N/A"/>
    <n v="0"/>
    <s v="Confirmed"/>
    <m/>
    <x v="0"/>
    <x v="0"/>
    <m/>
    <x v="2"/>
    <x v="0"/>
    <m/>
    <n v="1"/>
    <x v="0"/>
    <s v="High"/>
    <n v="33679192.765657313"/>
  </r>
  <r>
    <x v="0"/>
    <x v="38"/>
    <x v="38"/>
    <x v="4"/>
    <x v="0"/>
    <x v="1"/>
    <x v="8"/>
    <x v="4"/>
    <n v="2021"/>
    <x v="1"/>
    <s v="N/A"/>
    <n v="0"/>
    <s v="Confirmed"/>
    <m/>
    <x v="0"/>
    <x v="0"/>
    <m/>
    <x v="1"/>
    <x v="0"/>
    <m/>
    <n v="0"/>
    <x v="1"/>
    <s v="…"/>
    <n v="22784494.365742501"/>
  </r>
  <r>
    <x v="0"/>
    <x v="39"/>
    <x v="39"/>
    <x v="4"/>
    <x v="0"/>
    <x v="1"/>
    <x v="8"/>
    <x v="4"/>
    <n v="2021"/>
    <x v="1"/>
    <s v="N/A"/>
    <n v="0"/>
    <s v="Confirmed"/>
    <m/>
    <x v="0"/>
    <x v="0"/>
    <m/>
    <x v="1"/>
    <x v="1"/>
    <m/>
    <n v="0"/>
    <x v="1"/>
    <s v=""/>
    <n v="2173208011.4858823"/>
  </r>
  <r>
    <x v="0"/>
    <x v="40"/>
    <x v="40"/>
    <x v="4"/>
    <x v="0"/>
    <x v="1"/>
    <x v="8"/>
    <x v="4"/>
    <n v="2021"/>
    <x v="1"/>
    <s v="N/A"/>
    <n v="0"/>
    <s v="Confirmed"/>
    <m/>
    <x v="0"/>
    <x v="0"/>
    <m/>
    <x v="1"/>
    <x v="1"/>
    <m/>
    <n v="0"/>
    <x v="0"/>
    <s v="N/A"/>
    <n v="4585736158.8323269"/>
  </r>
  <r>
    <x v="0"/>
    <x v="41"/>
    <x v="41"/>
    <x v="2"/>
    <x v="0"/>
    <x v="1"/>
    <x v="8"/>
    <x v="4"/>
    <n v="2021"/>
    <x v="1"/>
    <s v="N/A"/>
    <n v="0"/>
    <s v="Confirmed"/>
    <m/>
    <x v="0"/>
    <x v="0"/>
    <m/>
    <x v="2"/>
    <x v="0"/>
    <m/>
    <n v="0"/>
    <x v="0"/>
    <s v="N/A"/>
    <n v="3550291584.8645592"/>
  </r>
  <r>
    <x v="0"/>
    <x v="42"/>
    <x v="42"/>
    <x v="4"/>
    <x v="0"/>
    <x v="1"/>
    <x v="8"/>
    <x v="4"/>
    <n v="2021"/>
    <x v="1"/>
    <s v="N/A"/>
    <n v="0"/>
    <s v="Confirmed"/>
    <m/>
    <x v="0"/>
    <x v="0"/>
    <m/>
    <x v="2"/>
    <x v="0"/>
    <m/>
    <n v="0"/>
    <x v="0"/>
    <s v="N/A"/>
    <n v="1182840319.0410969"/>
  </r>
  <r>
    <x v="0"/>
    <x v="43"/>
    <x v="43"/>
    <x v="4"/>
    <x v="0"/>
    <x v="1"/>
    <x v="8"/>
    <x v="4"/>
    <n v="2021"/>
    <x v="1"/>
    <s v="N/A"/>
    <n v="0"/>
    <s v="Confirmed"/>
    <m/>
    <x v="0"/>
    <x v="0"/>
    <m/>
    <x v="1"/>
    <x v="1"/>
    <m/>
    <n v="0"/>
    <x v="0"/>
    <s v=""/>
    <n v="81728347.604567245"/>
  </r>
  <r>
    <x v="0"/>
    <x v="44"/>
    <x v="44"/>
    <x v="3"/>
    <x v="0"/>
    <x v="1"/>
    <x v="8"/>
    <x v="4"/>
    <n v="2021"/>
    <x v="1"/>
    <s v="N/A"/>
    <n v="0"/>
    <s v="Confirmed"/>
    <m/>
    <x v="0"/>
    <x v="0"/>
    <m/>
    <x v="0"/>
    <x v="0"/>
    <m/>
    <n v="2"/>
    <x v="0"/>
    <s v="N/A"/>
    <n v="12787914.977715338"/>
  </r>
  <r>
    <x v="0"/>
    <x v="45"/>
    <x v="45"/>
    <x v="3"/>
    <x v="0"/>
    <x v="1"/>
    <x v="8"/>
    <x v="4"/>
    <n v="2021"/>
    <x v="1"/>
    <s v="N/A"/>
    <n v="0"/>
    <s v="Confirmed"/>
    <m/>
    <x v="0"/>
    <x v="0"/>
    <m/>
    <x v="2"/>
    <x v="0"/>
    <m/>
    <n v="2"/>
    <x v="0"/>
    <s v="N/A"/>
    <n v="101271737.65410839"/>
  </r>
  <r>
    <x v="0"/>
    <x v="46"/>
    <x v="46"/>
    <x v="3"/>
    <x v="0"/>
    <x v="1"/>
    <x v="8"/>
    <x v="4"/>
    <n v="2021"/>
    <x v="1"/>
    <s v="N/A"/>
    <n v="0"/>
    <s v="Confirmed"/>
    <m/>
    <x v="0"/>
    <x v="0"/>
    <m/>
    <x v="0"/>
    <x v="0"/>
    <m/>
    <n v="3"/>
    <x v="0"/>
    <s v="High"/>
    <n v="618344226.71759331"/>
  </r>
  <r>
    <x v="0"/>
    <x v="47"/>
    <x v="47"/>
    <x v="6"/>
    <x v="0"/>
    <x v="1"/>
    <x v="8"/>
    <x v="4"/>
    <n v="2021"/>
    <x v="1"/>
    <s v="N/A"/>
    <n v="0"/>
    <s v="Confirmed"/>
    <m/>
    <x v="0"/>
    <x v="0"/>
    <m/>
    <x v="1"/>
    <x v="0"/>
    <m/>
    <n v="0"/>
    <x v="1"/>
    <s v="…"/>
    <n v="129483872.95906857"/>
  </r>
  <r>
    <x v="0"/>
    <x v="48"/>
    <x v="48"/>
    <x v="5"/>
    <x v="0"/>
    <x v="1"/>
    <x v="8"/>
    <x v="4"/>
    <n v="2021"/>
    <x v="1"/>
    <s v="N/A"/>
    <n v="0"/>
    <s v="Confirmed"/>
    <m/>
    <x v="0"/>
    <x v="0"/>
    <m/>
    <x v="1"/>
    <x v="1"/>
    <m/>
    <n v="0"/>
    <x v="0"/>
    <s v="N/A"/>
    <n v="271184658.35014349"/>
  </r>
  <r>
    <x v="0"/>
    <x v="49"/>
    <x v="49"/>
    <x v="5"/>
    <x v="0"/>
    <x v="1"/>
    <x v="8"/>
    <x v="4"/>
    <n v="2021"/>
    <x v="1"/>
    <s v="N/A"/>
    <n v="0"/>
    <s v="Confirmed"/>
    <m/>
    <x v="0"/>
    <x v="0"/>
    <m/>
    <x v="0"/>
    <x v="0"/>
    <m/>
    <n v="0"/>
    <x v="0"/>
    <s v="High"/>
    <n v="15455265.086884515"/>
  </r>
  <r>
    <x v="0"/>
    <x v="50"/>
    <x v="50"/>
    <x v="1"/>
    <x v="0"/>
    <x v="1"/>
    <x v="8"/>
    <x v="4"/>
    <n v="2021"/>
    <x v="1"/>
    <s v="N/A"/>
    <n v="0"/>
    <s v="Confirmed"/>
    <m/>
    <x v="0"/>
    <x v="0"/>
    <m/>
    <x v="1"/>
    <x v="1"/>
    <m/>
    <n v="0"/>
    <x v="0"/>
    <s v="N/A"/>
    <n v="494021502.525527"/>
  </r>
  <r>
    <x v="0"/>
    <x v="51"/>
    <x v="51"/>
    <x v="5"/>
    <x v="0"/>
    <x v="1"/>
    <x v="8"/>
    <x v="4"/>
    <n v="2021"/>
    <x v="1"/>
    <s v="N/A"/>
    <n v="0"/>
    <s v="Confirmed"/>
    <m/>
    <x v="0"/>
    <x v="0"/>
    <m/>
    <x v="2"/>
    <x v="0"/>
    <m/>
    <n v="0"/>
    <x v="0"/>
    <s v="High"/>
    <n v="902005621.73836684"/>
  </r>
  <r>
    <x v="0"/>
    <x v="52"/>
    <x v="52"/>
    <x v="4"/>
    <x v="0"/>
    <x v="1"/>
    <x v="8"/>
    <x v="4"/>
    <n v="2021"/>
    <x v="1"/>
    <s v="N/A"/>
    <n v="0"/>
    <s v="Confirmed"/>
    <m/>
    <x v="0"/>
    <x v="0"/>
    <m/>
    <x v="1"/>
    <x v="0"/>
    <m/>
    <n v="0"/>
    <x v="1"/>
    <s v="In distress"/>
    <n v="20201670.142996579"/>
  </r>
  <r>
    <x v="0"/>
    <x v="53"/>
    <x v="53"/>
    <x v="4"/>
    <x v="0"/>
    <x v="1"/>
    <x v="8"/>
    <x v="4"/>
    <n v="2021"/>
    <x v="1"/>
    <s v="N/A"/>
    <n v="0"/>
    <s v="Confirmed"/>
    <m/>
    <x v="0"/>
    <x v="0"/>
    <m/>
    <x v="1"/>
    <x v="1"/>
    <m/>
    <n v="0"/>
    <x v="0"/>
    <s v=""/>
    <n v="1612434649.6948864"/>
  </r>
  <r>
    <x v="0"/>
    <x v="54"/>
    <x v="54"/>
    <x v="5"/>
    <x v="0"/>
    <x v="1"/>
    <x v="8"/>
    <x v="4"/>
    <n v="2021"/>
    <x v="1"/>
    <s v="N/A"/>
    <n v="0"/>
    <s v="Confirmed"/>
    <m/>
    <x v="0"/>
    <x v="0"/>
    <m/>
    <x v="0"/>
    <x v="0"/>
    <m/>
    <n v="0"/>
    <x v="0"/>
    <s v="Moderate"/>
    <n v="78203134.118229344"/>
  </r>
  <r>
    <x v="0"/>
    <x v="55"/>
    <x v="55"/>
    <x v="5"/>
    <x v="0"/>
    <x v="1"/>
    <x v="8"/>
    <x v="4"/>
    <n v="2021"/>
    <x v="1"/>
    <s v="N/A"/>
    <n v="0"/>
    <s v="Confirmed"/>
    <m/>
    <x v="0"/>
    <x v="0"/>
    <m/>
    <x v="0"/>
    <x v="0"/>
    <m/>
    <n v="2"/>
    <x v="1"/>
    <s v="High"/>
    <n v="9151637.7411015611"/>
  </r>
  <r>
    <x v="0"/>
    <x v="56"/>
    <x v="56"/>
    <x v="4"/>
    <x v="0"/>
    <x v="1"/>
    <x v="8"/>
    <x v="4"/>
    <n v="2021"/>
    <x v="1"/>
    <s v="N/A"/>
    <n v="0"/>
    <s v="Confirmed"/>
    <m/>
    <x v="0"/>
    <x v="0"/>
    <m/>
    <x v="1"/>
    <x v="0"/>
    <m/>
    <n v="0"/>
    <x v="1"/>
    <s v="Moderate"/>
    <n v="142455920.02856269"/>
  </r>
  <r>
    <x v="0"/>
    <x v="57"/>
    <x v="57"/>
    <x v="4"/>
    <x v="0"/>
    <x v="1"/>
    <x v="8"/>
    <x v="4"/>
    <n v="2021"/>
    <x v="1"/>
    <s v="N/A"/>
    <n v="0"/>
    <s v="Confirmed"/>
    <m/>
    <x v="0"/>
    <x v="0"/>
    <m/>
    <x v="2"/>
    <x v="0"/>
    <m/>
    <n v="1"/>
    <x v="1"/>
    <s v="High"/>
    <n v="85611818.171245083"/>
  </r>
  <r>
    <x v="0"/>
    <x v="58"/>
    <x v="58"/>
    <x v="4"/>
    <x v="0"/>
    <x v="1"/>
    <x v="8"/>
    <x v="4"/>
    <n v="2021"/>
    <x v="1"/>
    <s v="N/A"/>
    <n v="0"/>
    <s v="Confirmed"/>
    <m/>
    <x v="0"/>
    <x v="0"/>
    <m/>
    <x v="2"/>
    <x v="0"/>
    <m/>
    <n v="0"/>
    <x v="0"/>
    <s v="Low"/>
    <n v="680289736.30082119"/>
  </r>
  <r>
    <x v="0"/>
    <x v="59"/>
    <x v="59"/>
    <x v="0"/>
    <x v="0"/>
    <x v="1"/>
    <x v="8"/>
    <x v="4"/>
    <n v="2021"/>
    <x v="1"/>
    <s v="N/A"/>
    <n v="0"/>
    <s v="Confirmed"/>
    <m/>
    <x v="0"/>
    <x v="0"/>
    <m/>
    <x v="2"/>
    <x v="0"/>
    <m/>
    <n v="0"/>
    <x v="0"/>
    <s v="N/A"/>
    <n v="26554332750.47023"/>
  </r>
  <r>
    <x v="0"/>
    <x v="60"/>
    <x v="60"/>
    <x v="6"/>
    <x v="0"/>
    <x v="1"/>
    <x v="8"/>
    <x v="4"/>
    <n v="2021"/>
    <x v="1"/>
    <s v="N/A"/>
    <n v="0"/>
    <s v="Confirmed"/>
    <m/>
    <x v="0"/>
    <x v="0"/>
    <m/>
    <x v="2"/>
    <x v="0"/>
    <m/>
    <n v="0"/>
    <x v="0"/>
    <s v="N/A"/>
    <n v="14745961064.890842"/>
  </r>
  <r>
    <x v="0"/>
    <x v="61"/>
    <x v="61"/>
    <x v="2"/>
    <x v="0"/>
    <x v="1"/>
    <x v="8"/>
    <x v="4"/>
    <n v="2021"/>
    <x v="1"/>
    <s v="N/A"/>
    <n v="0"/>
    <s v="Confirmed"/>
    <m/>
    <x v="0"/>
    <x v="0"/>
    <m/>
    <x v="2"/>
    <x v="1"/>
    <m/>
    <n v="0"/>
    <x v="0"/>
    <s v="N/A"/>
    <n v="18194076299.786381"/>
  </r>
  <r>
    <x v="0"/>
    <x v="62"/>
    <x v="62"/>
    <x v="2"/>
    <x v="0"/>
    <x v="1"/>
    <x v="8"/>
    <x v="4"/>
    <n v="2021"/>
    <x v="1"/>
    <s v="N/A"/>
    <n v="0"/>
    <s v="Confirmed"/>
    <m/>
    <x v="0"/>
    <x v="0"/>
    <m/>
    <x v="1"/>
    <x v="1"/>
    <m/>
    <n v="0"/>
    <x v="0"/>
    <s v="N/A"/>
    <n v="4428819387.769825"/>
  </r>
  <r>
    <x v="0"/>
    <x v="63"/>
    <x v="63"/>
    <x v="4"/>
    <x v="0"/>
    <x v="1"/>
    <x v="8"/>
    <x v="4"/>
    <n v="2021"/>
    <x v="1"/>
    <s v="N/A"/>
    <n v="0"/>
    <s v="Confirmed"/>
    <m/>
    <x v="0"/>
    <x v="0"/>
    <m/>
    <x v="1"/>
    <x v="1"/>
    <m/>
    <n v="0"/>
    <x v="1"/>
    <s v=""/>
    <n v="611739560.62679195"/>
  </r>
  <r>
    <x v="0"/>
    <x v="64"/>
    <x v="64"/>
    <x v="2"/>
    <x v="0"/>
    <x v="1"/>
    <x v="8"/>
    <x v="4"/>
    <n v="2021"/>
    <x v="1"/>
    <s v="N/A"/>
    <n v="0"/>
    <s v="Confirmed"/>
    <m/>
    <x v="0"/>
    <x v="0"/>
    <m/>
    <x v="1"/>
    <x v="1"/>
    <m/>
    <n v="0"/>
    <x v="0"/>
    <s v="N/A"/>
    <n v="1617913383.0481031"/>
  </r>
  <r>
    <x v="0"/>
    <x v="65"/>
    <x v="65"/>
    <x v="1"/>
    <x v="0"/>
    <x v="1"/>
    <x v="8"/>
    <x v="4"/>
    <n v="2021"/>
    <x v="1"/>
    <s v="N/A"/>
    <n v="0"/>
    <s v="Confirmed"/>
    <m/>
    <x v="0"/>
    <x v="0"/>
    <m/>
    <x v="1"/>
    <x v="1"/>
    <m/>
    <n v="0"/>
    <x v="0"/>
    <s v=""/>
    <n v="3074419112.4562683"/>
  </r>
  <r>
    <x v="0"/>
    <x v="66"/>
    <x v="66"/>
    <x v="3"/>
    <x v="0"/>
    <x v="1"/>
    <x v="8"/>
    <x v="4"/>
    <n v="2021"/>
    <x v="1"/>
    <s v="N/A"/>
    <n v="0"/>
    <s v="Confirmed"/>
    <m/>
    <x v="0"/>
    <x v="0"/>
    <m/>
    <x v="2"/>
    <x v="0"/>
    <m/>
    <n v="0"/>
    <x v="0"/>
    <s v="High"/>
    <n v="1914014279.8929913"/>
  </r>
  <r>
    <x v="0"/>
    <x v="67"/>
    <x v="67"/>
    <x v="6"/>
    <x v="0"/>
    <x v="1"/>
    <x v="8"/>
    <x v="4"/>
    <n v="2021"/>
    <x v="1"/>
    <s v="N/A"/>
    <n v="0"/>
    <s v="Confirmed"/>
    <m/>
    <x v="0"/>
    <x v="0"/>
    <m/>
    <x v="2"/>
    <x v="0"/>
    <m/>
    <n v="0"/>
    <x v="1"/>
    <s v="High"/>
    <n v="17422005.762907442"/>
  </r>
  <r>
    <x v="0"/>
    <x v="68"/>
    <x v="68"/>
    <x v="6"/>
    <x v="0"/>
    <x v="1"/>
    <x v="8"/>
    <x v="4"/>
    <n v="2021"/>
    <x v="1"/>
    <s v="N/A"/>
    <n v="0"/>
    <s v="Confirmed"/>
    <m/>
    <x v="0"/>
    <x v="0"/>
    <m/>
    <x v="0"/>
    <x v="0"/>
    <m/>
    <n v="0"/>
    <x v="0"/>
    <s v="N/A"/>
    <s v=""/>
  </r>
  <r>
    <x v="0"/>
    <x v="69"/>
    <x v="69"/>
    <x v="1"/>
    <x v="0"/>
    <x v="1"/>
    <x v="8"/>
    <x v="4"/>
    <n v="2021"/>
    <x v="1"/>
    <s v="N/A"/>
    <n v="0"/>
    <s v="Confirmed"/>
    <m/>
    <x v="0"/>
    <x v="0"/>
    <m/>
    <x v="1"/>
    <x v="0"/>
    <m/>
    <n v="0"/>
    <x v="0"/>
    <s v="…"/>
    <s v=""/>
  </r>
  <r>
    <x v="0"/>
    <x v="70"/>
    <x v="70"/>
    <x v="1"/>
    <x v="0"/>
    <x v="1"/>
    <x v="8"/>
    <x v="4"/>
    <n v="2021"/>
    <x v="1"/>
    <s v="N/A"/>
    <n v="0"/>
    <s v="Confirmed"/>
    <m/>
    <x v="0"/>
    <x v="0"/>
    <m/>
    <x v="2"/>
    <x v="0"/>
    <m/>
    <n v="2"/>
    <x v="0"/>
    <s v="Moderate"/>
    <n v="231506834.84347546"/>
  </r>
  <r>
    <x v="0"/>
    <x v="71"/>
    <x v="71"/>
    <x v="6"/>
    <x v="0"/>
    <x v="1"/>
    <x v="8"/>
    <x v="4"/>
    <n v="2021"/>
    <x v="1"/>
    <s v="N/A"/>
    <n v="66000"/>
    <s v="Confirmed"/>
    <m/>
    <x v="0"/>
    <x v="0"/>
    <m/>
    <x v="2"/>
    <x v="0"/>
    <m/>
    <n v="0"/>
    <x v="0"/>
    <s v="High"/>
    <n v="156059428.62944782"/>
  </r>
  <r>
    <x v="0"/>
    <x v="72"/>
    <x v="72"/>
    <x v="2"/>
    <x v="0"/>
    <x v="1"/>
    <x v="8"/>
    <x v="4"/>
    <n v="2021"/>
    <x v="1"/>
    <s v="N/A"/>
    <n v="0"/>
    <s v="Confirmed"/>
    <m/>
    <x v="0"/>
    <x v="0"/>
    <m/>
    <x v="1"/>
    <x v="1"/>
    <m/>
    <n v="0"/>
    <x v="0"/>
    <s v="N/A"/>
    <n v="2355391507.1635861"/>
  </r>
  <r>
    <x v="0"/>
    <x v="73"/>
    <x v="73"/>
    <x v="3"/>
    <x v="0"/>
    <x v="1"/>
    <x v="8"/>
    <x v="4"/>
    <n v="2021"/>
    <x v="1"/>
    <s v="N/A"/>
    <n v="0"/>
    <s v="Confirmed"/>
    <m/>
    <x v="0"/>
    <x v="0"/>
    <m/>
    <x v="2"/>
    <x v="0"/>
    <m/>
    <n v="0"/>
    <x v="0"/>
    <s v="Moderate"/>
    <n v="152760919.7684873"/>
  </r>
  <r>
    <x v="0"/>
    <x v="74"/>
    <x v="74"/>
    <x v="5"/>
    <x v="0"/>
    <x v="1"/>
    <x v="8"/>
    <x v="4"/>
    <n v="2021"/>
    <x v="1"/>
    <s v="N/A"/>
    <n v="0"/>
    <s v="Confirmed"/>
    <m/>
    <x v="0"/>
    <x v="0"/>
    <m/>
    <x v="0"/>
    <x v="0"/>
    <m/>
    <n v="0"/>
    <x v="0"/>
    <s v="High"/>
    <n v="55072006.864440605"/>
  </r>
  <r>
    <x v="0"/>
    <x v="75"/>
    <x v="75"/>
    <x v="2"/>
    <x v="0"/>
    <x v="1"/>
    <x v="8"/>
    <x v="4"/>
    <n v="2021"/>
    <x v="1"/>
    <s v="N/A"/>
    <n v="0"/>
    <s v="Confirmed"/>
    <m/>
    <x v="0"/>
    <x v="0"/>
    <m/>
    <x v="1"/>
    <x v="1"/>
    <m/>
    <n v="0"/>
    <x v="0"/>
    <s v="N/A"/>
    <s v=""/>
  </r>
  <r>
    <x v="0"/>
    <x v="76"/>
    <x v="76"/>
    <x v="3"/>
    <x v="0"/>
    <x v="1"/>
    <x v="8"/>
    <x v="4"/>
    <n v="2021"/>
    <x v="1"/>
    <s v="N/A"/>
    <n v="533106"/>
    <s v="Confirmed"/>
    <m/>
    <x v="0"/>
    <x v="0"/>
    <m/>
    <x v="0"/>
    <x v="0"/>
    <m/>
    <n v="2"/>
    <x v="0"/>
    <s v="Moderate"/>
    <n v="206914157.05429548"/>
  </r>
  <r>
    <x v="0"/>
    <x v="77"/>
    <x v="77"/>
    <x v="3"/>
    <x v="0"/>
    <x v="1"/>
    <x v="8"/>
    <x v="4"/>
    <n v="2021"/>
    <x v="1"/>
    <s v="N/A"/>
    <n v="0"/>
    <s v="Confirmed"/>
    <m/>
    <x v="0"/>
    <x v="0"/>
    <m/>
    <x v="0"/>
    <x v="0"/>
    <m/>
    <n v="2"/>
    <x v="0"/>
    <s v="High"/>
    <n v="185999915.02066413"/>
  </r>
  <r>
    <x v="0"/>
    <x v="78"/>
    <x v="78"/>
    <x v="6"/>
    <x v="0"/>
    <x v="1"/>
    <x v="8"/>
    <x v="4"/>
    <n v="2021"/>
    <x v="1"/>
    <s v="N/A"/>
    <n v="0"/>
    <s v="Confirmed"/>
    <m/>
    <x v="0"/>
    <x v="0"/>
    <m/>
    <x v="1"/>
    <x v="1"/>
    <m/>
    <n v="0"/>
    <x v="0"/>
    <s v=""/>
    <n v="6893755763.2501726"/>
  </r>
  <r>
    <x v="0"/>
    <x v="79"/>
    <x v="79"/>
    <x v="0"/>
    <x v="0"/>
    <x v="1"/>
    <x v="8"/>
    <x v="4"/>
    <n v="2021"/>
    <x v="1"/>
    <s v="N/A"/>
    <n v="0"/>
    <s v="Confirmed"/>
    <m/>
    <x v="0"/>
    <x v="0"/>
    <m/>
    <x v="1"/>
    <x v="0"/>
    <m/>
    <n v="0"/>
    <x v="1"/>
    <s v="High"/>
    <n v="354560231.58276606"/>
  </r>
  <r>
    <x v="0"/>
    <x v="80"/>
    <x v="80"/>
    <x v="5"/>
    <x v="0"/>
    <x v="1"/>
    <x v="8"/>
    <x v="4"/>
    <n v="2021"/>
    <x v="1"/>
    <s v="N/A"/>
    <n v="700000"/>
    <s v="Confirmed"/>
    <m/>
    <x v="0"/>
    <x v="0"/>
    <m/>
    <x v="0"/>
    <x v="0"/>
    <m/>
    <n v="1"/>
    <x v="0"/>
    <s v="Moderate"/>
    <n v="188169167.56540567"/>
  </r>
  <r>
    <x v="0"/>
    <x v="81"/>
    <x v="81"/>
    <x v="6"/>
    <x v="0"/>
    <x v="1"/>
    <x v="8"/>
    <x v="4"/>
    <n v="2021"/>
    <x v="1"/>
    <s v="N/A"/>
    <n v="0"/>
    <s v="Confirmed"/>
    <m/>
    <x v="0"/>
    <x v="0"/>
    <m/>
    <x v="1"/>
    <x v="0"/>
    <m/>
    <n v="0"/>
    <x v="1"/>
    <s v=""/>
    <n v="16312106.556340856"/>
  </r>
  <r>
    <x v="0"/>
    <x v="82"/>
    <x v="82"/>
    <x v="5"/>
    <x v="0"/>
    <x v="1"/>
    <x v="8"/>
    <x v="4"/>
    <n v="2021"/>
    <x v="1"/>
    <s v="N/A"/>
    <n v="0"/>
    <s v="Confirmed"/>
    <m/>
    <x v="0"/>
    <x v="0"/>
    <m/>
    <x v="2"/>
    <x v="0"/>
    <m/>
    <n v="2"/>
    <x v="0"/>
    <s v="High"/>
    <n v="86083833.534053758"/>
  </r>
  <r>
    <x v="0"/>
    <x v="83"/>
    <x v="83"/>
    <x v="3"/>
    <x v="0"/>
    <x v="1"/>
    <x v="8"/>
    <x v="4"/>
    <n v="2021"/>
    <x v="1"/>
    <s v="N/A"/>
    <n v="0"/>
    <s v="Confirmed"/>
    <m/>
    <x v="0"/>
    <x v="0"/>
    <m/>
    <x v="1"/>
    <x v="1"/>
    <m/>
    <n v="0"/>
    <x v="1"/>
    <s v="N/A"/>
    <n v="357220835.93762809"/>
  </r>
  <r>
    <x v="0"/>
    <x v="84"/>
    <x v="84"/>
    <x v="4"/>
    <x v="0"/>
    <x v="1"/>
    <x v="8"/>
    <x v="4"/>
    <n v="2021"/>
    <x v="1"/>
    <s v="N/A"/>
    <n v="0"/>
    <s v="Confirmed"/>
    <m/>
    <x v="0"/>
    <x v="0"/>
    <m/>
    <x v="1"/>
    <x v="1"/>
    <m/>
    <n v="0"/>
    <x v="0"/>
    <s v=""/>
    <n v="32831598153.796387"/>
  </r>
  <r>
    <x v="0"/>
    <x v="85"/>
    <x v="85"/>
    <x v="6"/>
    <x v="0"/>
    <x v="1"/>
    <x v="8"/>
    <x v="4"/>
    <n v="2021"/>
    <x v="1"/>
    <s v="N/A"/>
    <n v="0"/>
    <s v="Confirmed"/>
    <m/>
    <x v="0"/>
    <x v="0"/>
    <m/>
    <x v="2"/>
    <x v="0"/>
    <m/>
    <n v="0"/>
    <x v="1"/>
    <s v="High"/>
    <n v="12329056.093798399"/>
  </r>
  <r>
    <x v="0"/>
    <x v="86"/>
    <x v="86"/>
    <x v="1"/>
    <x v="0"/>
    <x v="1"/>
    <x v="8"/>
    <x v="4"/>
    <n v="2021"/>
    <x v="1"/>
    <s v="N/A"/>
    <n v="0"/>
    <s v="Confirmed"/>
    <m/>
    <x v="0"/>
    <x v="0"/>
    <m/>
    <x v="1"/>
    <x v="0"/>
    <m/>
    <n v="0"/>
    <x v="0"/>
    <s v="Low"/>
    <n v="426639742.85328001"/>
  </r>
  <r>
    <x v="0"/>
    <x v="87"/>
    <x v="87"/>
    <x v="6"/>
    <x v="0"/>
    <x v="1"/>
    <x v="8"/>
    <x v="4"/>
    <n v="2021"/>
    <x v="1"/>
    <s v="N/A"/>
    <n v="0"/>
    <s v="Confirmed"/>
    <m/>
    <x v="0"/>
    <x v="0"/>
    <m/>
    <x v="2"/>
    <x v="0"/>
    <m/>
    <n v="0"/>
    <x v="0"/>
    <s v="…"/>
    <n v="288519671.85870522"/>
  </r>
  <r>
    <x v="0"/>
    <x v="88"/>
    <x v="88"/>
    <x v="1"/>
    <x v="0"/>
    <x v="1"/>
    <x v="8"/>
    <x v="4"/>
    <n v="2021"/>
    <x v="1"/>
    <s v="N/A"/>
    <n v="0"/>
    <s v="Confirmed"/>
    <m/>
    <x v="0"/>
    <x v="0"/>
    <m/>
    <x v="1"/>
    <x v="1"/>
    <m/>
    <n v="0"/>
    <x v="0"/>
    <s v="N/A"/>
    <n v="275606560.78491527"/>
  </r>
  <r>
    <x v="0"/>
    <x v="89"/>
    <x v="89"/>
    <x v="2"/>
    <x v="0"/>
    <x v="1"/>
    <x v="8"/>
    <x v="4"/>
    <n v="2021"/>
    <x v="1"/>
    <s v="N/A"/>
    <n v="0"/>
    <s v="Confirmed"/>
    <m/>
    <x v="0"/>
    <x v="0"/>
    <m/>
    <x v="2"/>
    <x v="0"/>
    <m/>
    <n v="0"/>
    <x v="0"/>
    <s v="N/A"/>
    <n v="2530937679.3725696"/>
  </r>
  <r>
    <x v="0"/>
    <x v="90"/>
    <x v="90"/>
    <x v="3"/>
    <x v="0"/>
    <x v="1"/>
    <x v="8"/>
    <x v="4"/>
    <n v="2021"/>
    <x v="1"/>
    <s v="N/A"/>
    <n v="741350"/>
    <s v="Confirmed"/>
    <m/>
    <x v="0"/>
    <x v="0"/>
    <m/>
    <x v="0"/>
    <x v="0"/>
    <m/>
    <n v="0"/>
    <x v="0"/>
    <s v="In distress"/>
    <n v="251432156.86255455"/>
  </r>
  <r>
    <x v="0"/>
    <x v="91"/>
    <x v="91"/>
    <x v="6"/>
    <x v="0"/>
    <x v="1"/>
    <x v="8"/>
    <x v="4"/>
    <n v="2021"/>
    <x v="1"/>
    <s v="N/A"/>
    <n v="0"/>
    <s v="Confirmed"/>
    <m/>
    <x v="0"/>
    <x v="0"/>
    <m/>
    <x v="2"/>
    <x v="0"/>
    <m/>
    <n v="0"/>
    <x v="0"/>
    <s v="Low"/>
    <n v="471534500.60109437"/>
  </r>
  <r>
    <x v="0"/>
    <x v="92"/>
    <x v="92"/>
    <x v="3"/>
    <x v="0"/>
    <x v="1"/>
    <x v="8"/>
    <x v="4"/>
    <n v="2021"/>
    <x v="1"/>
    <s v="N/A"/>
    <n v="0"/>
    <s v="Confirmed"/>
    <m/>
    <x v="0"/>
    <x v="0"/>
    <m/>
    <x v="1"/>
    <x v="1"/>
    <m/>
    <n v="0"/>
    <x v="0"/>
    <s v=""/>
    <n v="531677611.80447447"/>
  </r>
  <r>
    <x v="0"/>
    <x v="93"/>
    <x v="93"/>
    <x v="6"/>
    <x v="0"/>
    <x v="1"/>
    <x v="8"/>
    <x v="4"/>
    <n v="2021"/>
    <x v="1"/>
    <s v="N/A"/>
    <n v="0"/>
    <s v="Confirmed"/>
    <m/>
    <x v="0"/>
    <x v="0"/>
    <m/>
    <x v="3"/>
    <x v="1"/>
    <m/>
    <n v="0"/>
    <x v="1"/>
    <s v=""/>
    <n v="8528751.6418357007"/>
  </r>
  <r>
    <x v="0"/>
    <x v="94"/>
    <x v="94"/>
    <x v="0"/>
    <x v="0"/>
    <x v="1"/>
    <x v="8"/>
    <x v="4"/>
    <n v="2021"/>
    <x v="1"/>
    <s v="N/A"/>
    <n v="0"/>
    <s v="Confirmed"/>
    <m/>
    <x v="0"/>
    <x v="0"/>
    <m/>
    <x v="2"/>
    <x v="0"/>
    <m/>
    <n v="0"/>
    <x v="0"/>
    <s v="Low"/>
    <n v="407084543.19089872"/>
  </r>
  <r>
    <x v="0"/>
    <x v="95"/>
    <x v="95"/>
    <x v="4"/>
    <x v="0"/>
    <x v="1"/>
    <x v="8"/>
    <x v="4"/>
    <n v="2021"/>
    <x v="1"/>
    <s v="N/A"/>
    <n v="0"/>
    <s v="Confirmed"/>
    <m/>
    <x v="0"/>
    <x v="0"/>
    <m/>
    <x v="2"/>
    <x v="0"/>
    <m/>
    <n v="0"/>
    <x v="0"/>
    <s v="Moderate"/>
    <n v="671998341.93592453"/>
  </r>
  <r>
    <x v="0"/>
    <x v="96"/>
    <x v="96"/>
    <x v="5"/>
    <x v="0"/>
    <x v="1"/>
    <x v="8"/>
    <x v="4"/>
    <n v="2021"/>
    <x v="1"/>
    <s v="N/A"/>
    <n v="750000"/>
    <s v="Confirmed"/>
    <m/>
    <x v="0"/>
    <x v="0"/>
    <m/>
    <x v="0"/>
    <x v="0"/>
    <m/>
    <n v="1"/>
    <x v="0"/>
    <s v="Moderate"/>
    <n v="226203289.67158964"/>
  </r>
  <r>
    <x v="0"/>
    <x v="97"/>
    <x v="97"/>
    <x v="5"/>
    <x v="0"/>
    <x v="1"/>
    <x v="8"/>
    <x v="4"/>
    <n v="2021"/>
    <x v="1"/>
    <s v="N/A"/>
    <n v="4999000"/>
    <s v="Confirmed"/>
    <m/>
    <x v="0"/>
    <x v="0"/>
    <m/>
    <x v="2"/>
    <x v="0"/>
    <m/>
    <n v="3"/>
    <x v="0"/>
    <s v="…"/>
    <n v="2438881113.1244688"/>
  </r>
  <r>
    <x v="0"/>
    <x v="98"/>
    <x v="98"/>
    <x v="1"/>
    <x v="0"/>
    <x v="1"/>
    <x v="8"/>
    <x v="4"/>
    <n v="2021"/>
    <x v="1"/>
    <s v="N/A"/>
    <n v="0"/>
    <s v="Confirmed"/>
    <m/>
    <x v="0"/>
    <x v="0"/>
    <m/>
    <x v="1"/>
    <x v="1"/>
    <m/>
    <n v="0"/>
    <x v="0"/>
    <s v=""/>
    <n v="476517795.73174149"/>
  </r>
  <r>
    <x v="0"/>
    <x v="99"/>
    <x v="99"/>
    <x v="0"/>
    <x v="0"/>
    <x v="1"/>
    <x v="8"/>
    <x v="4"/>
    <n v="2021"/>
    <x v="1"/>
    <s v="N/A"/>
    <n v="0"/>
    <s v="Confirmed"/>
    <m/>
    <x v="0"/>
    <x v="0"/>
    <m/>
    <x v="2"/>
    <x v="0"/>
    <m/>
    <n v="0"/>
    <x v="0"/>
    <s v="…"/>
    <n v="3233351297.7679496"/>
  </r>
  <r>
    <x v="0"/>
    <x v="100"/>
    <x v="100"/>
    <x v="4"/>
    <x v="0"/>
    <x v="1"/>
    <x v="8"/>
    <x v="4"/>
    <n v="2021"/>
    <x v="1"/>
    <s v="N/A"/>
    <n v="0"/>
    <s v="Confirmed"/>
    <m/>
    <x v="0"/>
    <x v="0"/>
    <m/>
    <x v="3"/>
    <x v="1"/>
    <m/>
    <n v="0"/>
    <x v="1"/>
    <s v=""/>
    <n v="18180646.808608256"/>
  </r>
  <r>
    <x v="0"/>
    <x v="101"/>
    <x v="101"/>
    <x v="4"/>
    <x v="0"/>
    <x v="1"/>
    <x v="8"/>
    <x v="4"/>
    <n v="2021"/>
    <x v="1"/>
    <s v="N/A"/>
    <n v="0"/>
    <s v="Confirmed"/>
    <m/>
    <x v="0"/>
    <x v="0"/>
    <m/>
    <x v="1"/>
    <x v="1"/>
    <m/>
    <n v="0"/>
    <x v="0"/>
    <s v="N/A"/>
    <n v="3020530707.3485303"/>
  </r>
  <r>
    <x v="0"/>
    <x v="102"/>
    <x v="102"/>
    <x v="6"/>
    <x v="0"/>
    <x v="1"/>
    <x v="8"/>
    <x v="4"/>
    <n v="2021"/>
    <x v="1"/>
    <s v="N/A"/>
    <n v="0"/>
    <s v="Confirmed"/>
    <m/>
    <x v="0"/>
    <x v="0"/>
    <m/>
    <x v="2"/>
    <x v="0"/>
    <m/>
    <n v="1"/>
    <x v="1"/>
    <s v="High"/>
    <n v="384406316.46074712"/>
  </r>
  <r>
    <x v="0"/>
    <x v="103"/>
    <x v="103"/>
    <x v="4"/>
    <x v="0"/>
    <x v="1"/>
    <x v="8"/>
    <x v="4"/>
    <n v="2021"/>
    <x v="1"/>
    <s v="N/A"/>
    <n v="0"/>
    <s v="Confirmed"/>
    <m/>
    <x v="0"/>
    <x v="0"/>
    <m/>
    <x v="1"/>
    <x v="1"/>
    <m/>
    <n v="0"/>
    <x v="0"/>
    <s v=""/>
    <n v="1218747108.9554784"/>
  </r>
  <r>
    <x v="0"/>
    <x v="104"/>
    <x v="104"/>
    <x v="4"/>
    <x v="0"/>
    <x v="1"/>
    <x v="8"/>
    <x v="4"/>
    <n v="2021"/>
    <x v="1"/>
    <s v="N/A"/>
    <n v="0"/>
    <s v="Confirmed"/>
    <m/>
    <x v="0"/>
    <x v="0"/>
    <m/>
    <x v="1"/>
    <x v="1"/>
    <m/>
    <n v="0"/>
    <x v="0"/>
    <s v=""/>
    <n v="7392665952.5895758"/>
  </r>
  <r>
    <x v="0"/>
    <x v="105"/>
    <x v="105"/>
    <x v="6"/>
    <x v="0"/>
    <x v="1"/>
    <x v="8"/>
    <x v="4"/>
    <n v="2021"/>
    <x v="1"/>
    <s v="N/A"/>
    <n v="0"/>
    <s v="Confirmed"/>
    <m/>
    <x v="0"/>
    <x v="0"/>
    <m/>
    <x v="2"/>
    <x v="0"/>
    <m/>
    <n v="0"/>
    <x v="0"/>
    <s v="N/A"/>
    <n v="4754985988.6004429"/>
  </r>
  <r>
    <x v="0"/>
    <x v="106"/>
    <x v="106"/>
    <x v="1"/>
    <x v="0"/>
    <x v="1"/>
    <x v="8"/>
    <x v="4"/>
    <n v="2021"/>
    <x v="1"/>
    <s v="N/A"/>
    <n v="0"/>
    <s v="Confirmed"/>
    <m/>
    <x v="0"/>
    <x v="0"/>
    <m/>
    <x v="3"/>
    <x v="1"/>
    <m/>
    <n v="0"/>
    <x v="0"/>
    <s v=""/>
    <n v="26422210443.037273"/>
  </r>
  <r>
    <x v="0"/>
    <x v="107"/>
    <x v="107"/>
    <x v="1"/>
    <x v="0"/>
    <x v="1"/>
    <x v="8"/>
    <x v="4"/>
    <n v="2021"/>
    <x v="1"/>
    <s v="N/A"/>
    <n v="0"/>
    <s v="Confirmed"/>
    <m/>
    <x v="0"/>
    <x v="0"/>
    <m/>
    <x v="1"/>
    <x v="1"/>
    <m/>
    <n v="0"/>
    <x v="0"/>
    <s v=""/>
    <n v="10696495313.15033"/>
  </r>
  <r>
    <x v="0"/>
    <x v="108"/>
    <x v="108"/>
    <x v="1"/>
    <x v="0"/>
    <x v="1"/>
    <x v="8"/>
    <x v="4"/>
    <n v="2021"/>
    <x v="1"/>
    <s v="N/A"/>
    <n v="0"/>
    <s v="Confirmed"/>
    <m/>
    <x v="0"/>
    <x v="0"/>
    <m/>
    <x v="1"/>
    <x v="1"/>
    <m/>
    <n v="0"/>
    <x v="0"/>
    <s v=""/>
    <n v="52769713433.240509"/>
  </r>
  <r>
    <x v="0"/>
    <x v="109"/>
    <x v="109"/>
    <x v="3"/>
    <x v="0"/>
    <x v="1"/>
    <x v="8"/>
    <x v="4"/>
    <n v="2021"/>
    <x v="1"/>
    <s v="N/A"/>
    <n v="0"/>
    <s v="Confirmed"/>
    <m/>
    <x v="0"/>
    <x v="0"/>
    <m/>
    <x v="0"/>
    <x v="0"/>
    <m/>
    <n v="0"/>
    <x v="0"/>
    <s v="Moderate"/>
    <n v="225799814.51943746"/>
  </r>
  <r>
    <x v="0"/>
    <x v="110"/>
    <x v="110"/>
    <x v="6"/>
    <x v="0"/>
    <x v="1"/>
    <x v="8"/>
    <x v="4"/>
    <n v="2021"/>
    <x v="1"/>
    <s v="N/A"/>
    <n v="0"/>
    <s v="Confirmed"/>
    <m/>
    <x v="0"/>
    <x v="0"/>
    <m/>
    <x v="2"/>
    <x v="0"/>
    <m/>
    <n v="0"/>
    <x v="1"/>
    <s v="High"/>
    <n v="32192988.027009469"/>
  </r>
  <r>
    <x v="0"/>
    <x v="111"/>
    <x v="111"/>
    <x v="5"/>
    <x v="0"/>
    <x v="1"/>
    <x v="8"/>
    <x v="4"/>
    <n v="2021"/>
    <x v="1"/>
    <s v="N/A"/>
    <n v="0"/>
    <s v="Confirmed"/>
    <m/>
    <x v="0"/>
    <x v="0"/>
    <m/>
    <x v="2"/>
    <x v="0"/>
    <m/>
    <n v="0"/>
    <x v="1"/>
    <s v="In distress"/>
    <n v="11633535.136477679"/>
  </r>
  <r>
    <x v="0"/>
    <x v="112"/>
    <x v="112"/>
    <x v="5"/>
    <x v="0"/>
    <x v="1"/>
    <x v="8"/>
    <x v="4"/>
    <n v="2021"/>
    <x v="1"/>
    <s v="N/A"/>
    <n v="0"/>
    <s v="Confirmed"/>
    <m/>
    <x v="0"/>
    <x v="0"/>
    <m/>
    <x v="2"/>
    <x v="0"/>
    <m/>
    <n v="2"/>
    <x v="0"/>
    <s v="Moderate"/>
    <n v="222008693.93354639"/>
  </r>
  <r>
    <x v="0"/>
    <x v="113"/>
    <x v="113"/>
    <x v="1"/>
    <x v="0"/>
    <x v="1"/>
    <x v="8"/>
    <x v="4"/>
    <n v="2021"/>
    <x v="1"/>
    <s v="N/A"/>
    <n v="0"/>
    <s v="Confirmed"/>
    <m/>
    <x v="0"/>
    <x v="0"/>
    <m/>
    <x v="1"/>
    <x v="1"/>
    <m/>
    <n v="0"/>
    <x v="0"/>
    <s v=""/>
    <n v="2564993795.1894679"/>
  </r>
  <r>
    <x v="0"/>
    <x v="114"/>
    <x v="114"/>
    <x v="3"/>
    <x v="0"/>
    <x v="1"/>
    <x v="8"/>
    <x v="4"/>
    <n v="2021"/>
    <x v="1"/>
    <s v="N/A"/>
    <n v="0"/>
    <s v="Confirmed"/>
    <m/>
    <x v="0"/>
    <x v="0"/>
    <m/>
    <x v="3"/>
    <x v="1"/>
    <m/>
    <n v="0"/>
    <x v="1"/>
    <s v="N/A"/>
    <n v="60237542.945069775"/>
  </r>
  <r>
    <x v="0"/>
    <x v="115"/>
    <x v="115"/>
    <x v="5"/>
    <x v="0"/>
    <x v="1"/>
    <x v="8"/>
    <x v="4"/>
    <n v="2021"/>
    <x v="1"/>
    <s v="N/A"/>
    <n v="173000"/>
    <s v="Confirmed"/>
    <m/>
    <x v="0"/>
    <x v="0"/>
    <m/>
    <x v="0"/>
    <x v="0"/>
    <m/>
    <n v="0"/>
    <x v="0"/>
    <s v="High"/>
    <n v="63738640.538260505"/>
  </r>
  <r>
    <x v="0"/>
    <x v="116"/>
    <x v="116"/>
    <x v="6"/>
    <x v="0"/>
    <x v="1"/>
    <x v="8"/>
    <x v="4"/>
    <n v="2021"/>
    <x v="1"/>
    <s v="N/A"/>
    <n v="0"/>
    <s v="Confirmed"/>
    <m/>
    <x v="0"/>
    <x v="0"/>
    <m/>
    <x v="2"/>
    <x v="0"/>
    <m/>
    <n v="0"/>
    <x v="1"/>
    <s v="Moderate"/>
    <n v="49012774.055630356"/>
  </r>
  <r>
    <x v="0"/>
    <x v="117"/>
    <x v="117"/>
    <x v="3"/>
    <x v="0"/>
    <x v="1"/>
    <x v="8"/>
    <x v="4"/>
    <n v="2021"/>
    <x v="1"/>
    <s v="N/A"/>
    <n v="995840"/>
    <s v="Confirmed"/>
    <m/>
    <x v="0"/>
    <x v="0"/>
    <m/>
    <x v="0"/>
    <x v="0"/>
    <m/>
    <n v="1"/>
    <x v="0"/>
    <s v="In distress"/>
    <s v=""/>
  </r>
  <r>
    <x v="0"/>
    <x v="118"/>
    <x v="118"/>
    <x v="3"/>
    <x v="0"/>
    <x v="1"/>
    <x v="8"/>
    <x v="4"/>
    <n v="2021"/>
    <x v="1"/>
    <s v="N/A"/>
    <n v="0"/>
    <s v="Confirmed"/>
    <m/>
    <x v="0"/>
    <x v="0"/>
    <m/>
    <x v="1"/>
    <x v="1"/>
    <m/>
    <n v="0"/>
    <x v="0"/>
    <s v="N/A"/>
    <n v="16429121142.784708"/>
  </r>
  <r>
    <x v="0"/>
    <x v="119"/>
    <x v="119"/>
    <x v="3"/>
    <x v="0"/>
    <x v="1"/>
    <x v="8"/>
    <x v="4"/>
    <n v="2021"/>
    <x v="1"/>
    <s v="N/A"/>
    <n v="500000"/>
    <s v="Confirmed"/>
    <m/>
    <x v="0"/>
    <x v="0"/>
    <m/>
    <x v="0"/>
    <x v="0"/>
    <m/>
    <n v="1"/>
    <x v="0"/>
    <s v="High"/>
    <n v="31684581.76217727"/>
  </r>
  <r>
    <x v="0"/>
    <x v="120"/>
    <x v="120"/>
    <x v="0"/>
    <x v="0"/>
    <x v="1"/>
    <x v="8"/>
    <x v="4"/>
    <n v="2021"/>
    <x v="1"/>
    <s v="N/A"/>
    <n v="0"/>
    <s v="Confirmed"/>
    <m/>
    <x v="0"/>
    <x v="0"/>
    <m/>
    <x v="2"/>
    <x v="0"/>
    <m/>
    <n v="0"/>
    <x v="0"/>
    <s v="N/A"/>
    <n v="1373621563.5182886"/>
  </r>
  <r>
    <x v="0"/>
    <x v="121"/>
    <x v="121"/>
    <x v="4"/>
    <x v="0"/>
    <x v="1"/>
    <x v="8"/>
    <x v="4"/>
    <n v="2021"/>
    <x v="1"/>
    <s v="N/A"/>
    <n v="0"/>
    <s v="Confirmed"/>
    <m/>
    <x v="0"/>
    <x v="0"/>
    <m/>
    <x v="3"/>
    <x v="1"/>
    <m/>
    <n v="0"/>
    <x v="1"/>
    <s v=""/>
    <n v="24214370.889062837"/>
  </r>
  <r>
    <x v="0"/>
    <x v="122"/>
    <x v="122"/>
    <x v="4"/>
    <x v="0"/>
    <x v="1"/>
    <x v="8"/>
    <x v="4"/>
    <n v="2021"/>
    <x v="1"/>
    <s v="N/A"/>
    <n v="0"/>
    <s v="Confirmed"/>
    <m/>
    <x v="0"/>
    <x v="0"/>
    <m/>
    <x v="1"/>
    <x v="0"/>
    <m/>
    <n v="0"/>
    <x v="1"/>
    <s v="…"/>
    <n v="39941279.609447442"/>
  </r>
  <r>
    <x v="0"/>
    <x v="123"/>
    <x v="123"/>
    <x v="4"/>
    <x v="0"/>
    <x v="1"/>
    <x v="8"/>
    <x v="4"/>
    <n v="2021"/>
    <x v="1"/>
    <s v="N/A"/>
    <n v="0"/>
    <s v="Confirmed"/>
    <m/>
    <x v="0"/>
    <x v="0"/>
    <m/>
    <x v="1"/>
    <x v="0"/>
    <m/>
    <n v="0"/>
    <x v="1"/>
    <s v="High"/>
    <n v="24761675.260059897"/>
  </r>
  <r>
    <x v="0"/>
    <x v="124"/>
    <x v="124"/>
    <x v="2"/>
    <x v="0"/>
    <x v="1"/>
    <x v="8"/>
    <x v="4"/>
    <n v="2021"/>
    <x v="1"/>
    <s v="N/A"/>
    <n v="0"/>
    <s v="Confirmed"/>
    <m/>
    <x v="0"/>
    <x v="0"/>
    <m/>
    <x v="2"/>
    <x v="0"/>
    <m/>
    <n v="0"/>
    <x v="0"/>
    <s v="N/A"/>
    <s v=""/>
  </r>
  <r>
    <x v="0"/>
    <x v="125"/>
    <x v="125"/>
    <x v="2"/>
    <x v="0"/>
    <x v="1"/>
    <x v="8"/>
    <x v="4"/>
    <n v="2021"/>
    <x v="1"/>
    <s v="N/A"/>
    <n v="0"/>
    <s v="Confirmed"/>
    <m/>
    <x v="0"/>
    <x v="0"/>
    <m/>
    <x v="0"/>
    <x v="0"/>
    <m/>
    <n v="1"/>
    <x v="0"/>
    <s v="N/A"/>
    <n v="577156172.71229994"/>
  </r>
  <r>
    <x v="0"/>
    <x v="126"/>
    <x v="126"/>
    <x v="6"/>
    <x v="0"/>
    <x v="1"/>
    <x v="8"/>
    <x v="4"/>
    <n v="2021"/>
    <x v="1"/>
    <s v="N/A"/>
    <n v="0"/>
    <s v="Confirmed"/>
    <m/>
    <x v="0"/>
    <x v="0"/>
    <m/>
    <x v="1"/>
    <x v="1"/>
    <m/>
    <n v="0"/>
    <x v="1"/>
    <s v=""/>
    <n v="180052034.19851837"/>
  </r>
  <r>
    <x v="0"/>
    <x v="127"/>
    <x v="127"/>
    <x v="2"/>
    <x v="0"/>
    <x v="1"/>
    <x v="8"/>
    <x v="4"/>
    <n v="2021"/>
    <x v="1"/>
    <s v="N/A"/>
    <n v="0"/>
    <s v="Confirmed"/>
    <m/>
    <x v="0"/>
    <x v="0"/>
    <m/>
    <x v="0"/>
    <x v="0"/>
    <m/>
    <n v="1"/>
    <x v="0"/>
    <s v="N/A"/>
    <s v=""/>
  </r>
  <r>
    <x v="0"/>
    <x v="128"/>
    <x v="128"/>
    <x v="1"/>
    <x v="0"/>
    <x v="1"/>
    <x v="8"/>
    <x v="4"/>
    <n v="2021"/>
    <x v="1"/>
    <s v="N/A"/>
    <n v="0"/>
    <s v="Confirmed"/>
    <m/>
    <x v="0"/>
    <x v="0"/>
    <m/>
    <x v="2"/>
    <x v="0"/>
    <m/>
    <n v="0"/>
    <x v="0"/>
    <s v="High"/>
    <n v="147296124.32232863"/>
  </r>
  <r>
    <x v="0"/>
    <x v="129"/>
    <x v="129"/>
    <x v="3"/>
    <x v="0"/>
    <x v="1"/>
    <x v="8"/>
    <x v="4"/>
    <n v="2021"/>
    <x v="1"/>
    <s v="N/A"/>
    <n v="0"/>
    <s v="Confirmed"/>
    <m/>
    <x v="0"/>
    <x v="0"/>
    <m/>
    <x v="2"/>
    <x v="0"/>
    <m/>
    <n v="0"/>
    <x v="0"/>
    <s v="…"/>
    <n v="890576536.83065879"/>
  </r>
  <r>
    <x v="0"/>
    <x v="130"/>
    <x v="130"/>
    <x v="6"/>
    <x v="0"/>
    <x v="1"/>
    <x v="8"/>
    <x v="4"/>
    <n v="2021"/>
    <x v="1"/>
    <s v="N/A"/>
    <n v="0"/>
    <s v="Confirmed"/>
    <m/>
    <x v="0"/>
    <x v="0"/>
    <m/>
    <x v="1"/>
    <x v="1"/>
    <m/>
    <n v="0"/>
    <x v="0"/>
    <s v=""/>
    <n v="14611129792.346064"/>
  </r>
  <r>
    <x v="0"/>
    <x v="131"/>
    <x v="131"/>
    <x v="6"/>
    <x v="0"/>
    <x v="1"/>
    <x v="8"/>
    <x v="4"/>
    <n v="2021"/>
    <x v="1"/>
    <s v="N/A"/>
    <n v="0"/>
    <s v="Confirmed"/>
    <m/>
    <x v="0"/>
    <x v="0"/>
    <m/>
    <x v="2"/>
    <x v="0"/>
    <m/>
    <n v="0"/>
    <x v="1"/>
    <s v="Low"/>
    <n v="72046877.233008593"/>
  </r>
  <r>
    <x v="0"/>
    <x v="132"/>
    <x v="132"/>
    <x v="5"/>
    <x v="0"/>
    <x v="1"/>
    <x v="8"/>
    <x v="4"/>
    <n v="2021"/>
    <x v="1"/>
    <s v="N/A"/>
    <n v="0"/>
    <s v="Confirmed"/>
    <m/>
    <x v="0"/>
    <x v="0"/>
    <m/>
    <x v="0"/>
    <x v="0"/>
    <m/>
    <n v="0"/>
    <x v="0"/>
    <s v="High"/>
    <n v="56248139.267255567"/>
  </r>
  <r>
    <x v="0"/>
    <x v="133"/>
    <x v="133"/>
    <x v="6"/>
    <x v="0"/>
    <x v="1"/>
    <x v="8"/>
    <x v="4"/>
    <n v="2021"/>
    <x v="1"/>
    <s v="N/A"/>
    <n v="0"/>
    <s v="Confirmed"/>
    <m/>
    <x v="0"/>
    <x v="0"/>
    <m/>
    <x v="1"/>
    <x v="0"/>
    <m/>
    <n v="0"/>
    <x v="1"/>
    <s v="High"/>
    <n v="15464031.712942109"/>
  </r>
  <r>
    <x v="0"/>
    <x v="134"/>
    <x v="134"/>
    <x v="4"/>
    <x v="0"/>
    <x v="1"/>
    <x v="8"/>
    <x v="4"/>
    <n v="2021"/>
    <x v="1"/>
    <s v="N/A"/>
    <n v="0"/>
    <s v="Confirmed"/>
    <m/>
    <x v="0"/>
    <x v="0"/>
    <m/>
    <x v="3"/>
    <x v="1"/>
    <m/>
    <n v="0"/>
    <x v="1"/>
    <s v="N/A"/>
    <n v="769564399.33249676"/>
  </r>
  <r>
    <x v="0"/>
    <x v="135"/>
    <x v="135"/>
    <x v="2"/>
    <x v="0"/>
    <x v="1"/>
    <x v="8"/>
    <x v="4"/>
    <n v="2021"/>
    <x v="1"/>
    <s v="N/A"/>
    <n v="0"/>
    <s v="Confirmed"/>
    <m/>
    <x v="0"/>
    <x v="0"/>
    <m/>
    <x v="2"/>
    <x v="0"/>
    <m/>
    <n v="0"/>
    <x v="0"/>
    <s v="N/A"/>
    <n v="1668954539.7630196"/>
  </r>
  <r>
    <x v="0"/>
    <x v="136"/>
    <x v="136"/>
    <x v="1"/>
    <x v="0"/>
    <x v="1"/>
    <x v="8"/>
    <x v="4"/>
    <n v="2021"/>
    <x v="1"/>
    <s v="N/A"/>
    <n v="0"/>
    <s v="Confirmed"/>
    <m/>
    <x v="0"/>
    <x v="0"/>
    <m/>
    <x v="1"/>
    <x v="1"/>
    <m/>
    <n v="0"/>
    <x v="0"/>
    <s v=""/>
    <n v="24840920016.18832"/>
  </r>
  <r>
    <x v="0"/>
    <x v="137"/>
    <x v="137"/>
    <x v="1"/>
    <x v="0"/>
    <x v="1"/>
    <x v="8"/>
    <x v="4"/>
    <n v="2021"/>
    <x v="1"/>
    <s v="N/A"/>
    <n v="0"/>
    <s v="Confirmed"/>
    <m/>
    <x v="0"/>
    <x v="0"/>
    <m/>
    <x v="1"/>
    <x v="1"/>
    <m/>
    <n v="0"/>
    <x v="0"/>
    <s v="N/A"/>
    <n v="487888462.83720118"/>
  </r>
  <r>
    <x v="0"/>
    <x v="138"/>
    <x v="138"/>
    <x v="6"/>
    <x v="0"/>
    <x v="1"/>
    <x v="8"/>
    <x v="4"/>
    <n v="2021"/>
    <x v="1"/>
    <s v="N/A"/>
    <n v="0"/>
    <s v="Confirmed"/>
    <m/>
    <x v="0"/>
    <x v="0"/>
    <m/>
    <x v="1"/>
    <x v="0"/>
    <m/>
    <n v="0"/>
    <x v="1"/>
    <s v="…"/>
    <n v="6365061.1736073596"/>
  </r>
  <r>
    <x v="0"/>
    <x v="139"/>
    <x v="139"/>
    <x v="3"/>
    <x v="0"/>
    <x v="1"/>
    <x v="8"/>
    <x v="4"/>
    <n v="2021"/>
    <x v="1"/>
    <s v="N/A"/>
    <n v="0"/>
    <s v="Confirmed"/>
    <m/>
    <x v="0"/>
    <x v="0"/>
    <m/>
    <x v="0"/>
    <x v="0"/>
    <m/>
    <n v="2"/>
    <x v="0"/>
    <s v="Low"/>
    <n v="291799092.90196139"/>
  </r>
  <r>
    <x v="0"/>
    <x v="140"/>
    <x v="140"/>
    <x v="1"/>
    <x v="0"/>
    <x v="1"/>
    <x v="8"/>
    <x v="4"/>
    <n v="2021"/>
    <x v="1"/>
    <s v="N/A"/>
    <n v="0"/>
    <s v="Confirmed"/>
    <m/>
    <x v="0"/>
    <x v="0"/>
    <m/>
    <x v="2"/>
    <x v="0"/>
    <m/>
    <n v="0"/>
    <x v="0"/>
    <s v="N/A"/>
    <n v="4844815340.2135534"/>
  </r>
  <r>
    <x v="0"/>
    <x v="141"/>
    <x v="141"/>
    <x v="4"/>
    <x v="0"/>
    <x v="1"/>
    <x v="8"/>
    <x v="4"/>
    <n v="2021"/>
    <x v="1"/>
    <s v="N/A"/>
    <n v="0"/>
    <s v="Confirmed"/>
    <m/>
    <x v="0"/>
    <x v="0"/>
    <m/>
    <x v="3"/>
    <x v="1"/>
    <m/>
    <n v="0"/>
    <x v="0"/>
    <s v=""/>
    <n v="4001891446.6871672"/>
  </r>
  <r>
    <x v="0"/>
    <x v="142"/>
    <x v="142"/>
    <x v="1"/>
    <x v="0"/>
    <x v="1"/>
    <x v="8"/>
    <x v="4"/>
    <n v="2021"/>
    <x v="1"/>
    <s v="N/A"/>
    <n v="0"/>
    <s v="Confirmed"/>
    <m/>
    <x v="0"/>
    <x v="0"/>
    <m/>
    <x v="2"/>
    <x v="0"/>
    <m/>
    <n v="0"/>
    <x v="0"/>
    <s v="Low"/>
    <n v="1019800630.5853213"/>
  </r>
  <r>
    <x v="0"/>
    <x v="143"/>
    <x v="143"/>
    <x v="6"/>
    <x v="0"/>
    <x v="1"/>
    <x v="8"/>
    <x v="4"/>
    <n v="2021"/>
    <x v="1"/>
    <s v="N/A"/>
    <n v="0"/>
    <s v="Confirmed"/>
    <m/>
    <x v="0"/>
    <x v="0"/>
    <m/>
    <x v="2"/>
    <x v="0"/>
    <m/>
    <n v="0"/>
    <x v="1"/>
    <s v="Moderate"/>
    <n v="19578671.310841195"/>
  </r>
  <r>
    <x v="0"/>
    <x v="144"/>
    <x v="144"/>
    <x v="4"/>
    <x v="0"/>
    <x v="1"/>
    <x v="8"/>
    <x v="4"/>
    <n v="2021"/>
    <x v="1"/>
    <s v="N/A"/>
    <n v="0"/>
    <s v="Confirmed"/>
    <m/>
    <x v="0"/>
    <x v="0"/>
    <m/>
    <x v="4"/>
    <x v="1"/>
    <m/>
    <n v="0"/>
    <x v="0"/>
    <s v="N/A"/>
    <n v="3551452001.0684834"/>
  </r>
  <r>
    <x v="0"/>
    <x v="145"/>
    <x v="145"/>
    <x v="6"/>
    <x v="0"/>
    <x v="1"/>
    <x v="8"/>
    <x v="4"/>
    <n v="2021"/>
    <x v="1"/>
    <s v="N/A"/>
    <n v="500000"/>
    <s v="Confirmed"/>
    <m/>
    <x v="0"/>
    <x v="0"/>
    <m/>
    <x v="2"/>
    <x v="0"/>
    <m/>
    <n v="0"/>
    <x v="0"/>
    <s v="N/A"/>
    <n v="6603048821.7575006"/>
  </r>
  <r>
    <x v="0"/>
    <x v="146"/>
    <x v="146"/>
    <x v="2"/>
    <x v="0"/>
    <x v="1"/>
    <x v="8"/>
    <x v="4"/>
    <n v="2021"/>
    <x v="1"/>
    <s v="N/A"/>
    <n v="0"/>
    <s v="Confirmed"/>
    <m/>
    <x v="0"/>
    <x v="0"/>
    <m/>
    <x v="0"/>
    <x v="0"/>
    <m/>
    <n v="1"/>
    <x v="0"/>
    <s v="…"/>
    <s v=""/>
  </r>
  <r>
    <x v="0"/>
    <x v="147"/>
    <x v="147"/>
    <x v="3"/>
    <x v="0"/>
    <x v="1"/>
    <x v="8"/>
    <x v="4"/>
    <n v="2021"/>
    <x v="1"/>
    <s v="N/A"/>
    <n v="0"/>
    <s v="Confirmed"/>
    <m/>
    <x v="0"/>
    <x v="0"/>
    <m/>
    <x v="2"/>
    <x v="0"/>
    <m/>
    <n v="0"/>
    <x v="0"/>
    <s v="High"/>
    <n v="515352723.9821828"/>
  </r>
  <r>
    <x v="0"/>
    <x v="148"/>
    <x v="148"/>
    <x v="3"/>
    <x v="0"/>
    <x v="1"/>
    <x v="8"/>
    <x v="4"/>
    <n v="2021"/>
    <x v="1"/>
    <s v="N/A"/>
    <n v="0"/>
    <s v="Confirmed"/>
    <m/>
    <x v="0"/>
    <x v="0"/>
    <m/>
    <x v="2"/>
    <x v="0"/>
    <m/>
    <n v="0"/>
    <x v="0"/>
    <s v="N/A"/>
    <n v="566711742.22428358"/>
  </r>
  <r>
    <x v="0"/>
    <x v="0"/>
    <x v="0"/>
    <x v="0"/>
    <x v="0"/>
    <x v="1"/>
    <x v="9"/>
    <x v="6"/>
    <s v="Multi-Year"/>
    <x v="1"/>
    <s v="N/A"/>
    <n v="1063750"/>
    <s v="Confirmed"/>
    <s v=""/>
    <x v="0"/>
    <x v="0"/>
    <m/>
    <x v="0"/>
    <x v="0"/>
    <m/>
    <n v="1"/>
    <x v="0"/>
    <s v="High"/>
    <n v="95829480.719269618"/>
  </r>
  <r>
    <x v="0"/>
    <x v="1"/>
    <x v="1"/>
    <x v="1"/>
    <x v="0"/>
    <x v="1"/>
    <x v="9"/>
    <x v="6"/>
    <s v="Multi-Year"/>
    <x v="1"/>
    <s v="N/A"/>
    <n v="0"/>
    <s v="Confirmed"/>
    <s v=""/>
    <x v="0"/>
    <x v="0"/>
    <m/>
    <x v="1"/>
    <x v="1"/>
    <m/>
    <n v="0"/>
    <x v="0"/>
    <s v=""/>
    <n v="427904035.52443534"/>
  </r>
  <r>
    <x v="0"/>
    <x v="2"/>
    <x v="2"/>
    <x v="2"/>
    <x v="0"/>
    <x v="1"/>
    <x v="9"/>
    <x v="6"/>
    <s v="Multi-Year"/>
    <x v="1"/>
    <s v="N/A"/>
    <n v="50000"/>
    <s v="Confirmed"/>
    <s v=""/>
    <x v="0"/>
    <x v="0"/>
    <m/>
    <x v="2"/>
    <x v="0"/>
    <m/>
    <n v="0"/>
    <x v="0"/>
    <s v="N/A"/>
    <n v="7113361022.7267885"/>
  </r>
  <r>
    <x v="0"/>
    <x v="3"/>
    <x v="3"/>
    <x v="3"/>
    <x v="0"/>
    <x v="1"/>
    <x v="9"/>
    <x v="6"/>
    <s v="Multi-Year"/>
    <x v="1"/>
    <s v="N/A"/>
    <n v="175000"/>
    <s v="Confirmed"/>
    <s v=""/>
    <x v="0"/>
    <x v="0"/>
    <m/>
    <x v="2"/>
    <x v="0"/>
    <m/>
    <n v="0"/>
    <x v="0"/>
    <s v="…"/>
    <n v="1131865946.5875781"/>
  </r>
  <r>
    <x v="0"/>
    <x v="4"/>
    <x v="4"/>
    <x v="4"/>
    <x v="0"/>
    <x v="1"/>
    <x v="9"/>
    <x v="6"/>
    <s v="Multi-Year"/>
    <x v="1"/>
    <s v="N/A"/>
    <s v=""/>
    <s v="Confirmed"/>
    <s v=""/>
    <x v="0"/>
    <x v="0"/>
    <m/>
    <x v="3"/>
    <x v="1"/>
    <m/>
    <n v="0"/>
    <x v="1"/>
    <s v=""/>
    <n v="46777779.823447868"/>
  </r>
  <r>
    <x v="0"/>
    <x v="5"/>
    <x v="5"/>
    <x v="4"/>
    <x v="0"/>
    <x v="1"/>
    <x v="9"/>
    <x v="6"/>
    <s v="Multi-Year"/>
    <x v="1"/>
    <s v="N/A"/>
    <n v="0"/>
    <s v="Confirmed"/>
    <s v=""/>
    <x v="0"/>
    <x v="0"/>
    <m/>
    <x v="1"/>
    <x v="1"/>
    <m/>
    <n v="0"/>
    <x v="0"/>
    <s v=""/>
    <n v="30725305777.596794"/>
  </r>
  <r>
    <x v="0"/>
    <x v="6"/>
    <x v="6"/>
    <x v="1"/>
    <x v="0"/>
    <x v="1"/>
    <x v="9"/>
    <x v="6"/>
    <s v="Multi-Year"/>
    <x v="1"/>
    <s v="N/A"/>
    <n v="0"/>
    <s v="Confirmed"/>
    <s v=""/>
    <x v="0"/>
    <x v="0"/>
    <m/>
    <x v="1"/>
    <x v="1"/>
    <m/>
    <n v="0"/>
    <x v="0"/>
    <s v=""/>
    <n v="153815827.8380394"/>
  </r>
  <r>
    <x v="0"/>
    <x v="7"/>
    <x v="7"/>
    <x v="1"/>
    <x v="0"/>
    <x v="1"/>
    <x v="9"/>
    <x v="6"/>
    <s v="Multi-Year"/>
    <x v="1"/>
    <s v="N/A"/>
    <n v="0"/>
    <s v="Confirmed"/>
    <s v=""/>
    <x v="0"/>
    <x v="0"/>
    <m/>
    <x v="1"/>
    <x v="1"/>
    <m/>
    <n v="0"/>
    <x v="0"/>
    <s v="N/A"/>
    <n v="437525105.31216973"/>
  </r>
  <r>
    <x v="0"/>
    <x v="8"/>
    <x v="8"/>
    <x v="4"/>
    <x v="0"/>
    <x v="1"/>
    <x v="9"/>
    <x v="6"/>
    <s v="Multi-Year"/>
    <x v="1"/>
    <s v="N/A"/>
    <n v="0"/>
    <s v="Confirmed"/>
    <s v=""/>
    <x v="0"/>
    <x v="0"/>
    <m/>
    <x v="3"/>
    <x v="1"/>
    <m/>
    <n v="0"/>
    <x v="1"/>
    <s v=""/>
    <n v="149463302.00602186"/>
  </r>
  <r>
    <x v="0"/>
    <x v="9"/>
    <x v="9"/>
    <x v="0"/>
    <x v="0"/>
    <x v="1"/>
    <x v="9"/>
    <x v="6"/>
    <s v="Multi-Year"/>
    <x v="1"/>
    <s v="N/A"/>
    <n v="625000"/>
    <s v="Confirmed"/>
    <s v=""/>
    <x v="0"/>
    <x v="0"/>
    <m/>
    <x v="2"/>
    <x v="0"/>
    <m/>
    <n v="0"/>
    <x v="0"/>
    <s v="Low"/>
    <n v="1148322593.9600098"/>
  </r>
  <r>
    <x v="0"/>
    <x v="10"/>
    <x v="10"/>
    <x v="1"/>
    <x v="0"/>
    <x v="1"/>
    <x v="9"/>
    <x v="6"/>
    <s v="Multi-Year"/>
    <x v="1"/>
    <s v="N/A"/>
    <n v="0"/>
    <s v="Confirmed"/>
    <s v=""/>
    <x v="0"/>
    <x v="0"/>
    <m/>
    <x v="1"/>
    <x v="1"/>
    <m/>
    <n v="0"/>
    <x v="0"/>
    <s v=""/>
    <n v="2371102058.1093163"/>
  </r>
  <r>
    <x v="0"/>
    <x v="11"/>
    <x v="11"/>
    <x v="4"/>
    <x v="0"/>
    <x v="1"/>
    <x v="9"/>
    <x v="6"/>
    <s v="Multi-Year"/>
    <x v="1"/>
    <s v="N/A"/>
    <n v="0"/>
    <s v="Confirmed"/>
    <s v=""/>
    <x v="0"/>
    <x v="0"/>
    <m/>
    <x v="2"/>
    <x v="1"/>
    <m/>
    <n v="0"/>
    <x v="1"/>
    <s v="N/A"/>
    <n v="75151620.005215243"/>
  </r>
  <r>
    <x v="0"/>
    <x v="12"/>
    <x v="12"/>
    <x v="5"/>
    <x v="0"/>
    <x v="1"/>
    <x v="9"/>
    <x v="6"/>
    <s v="Multi-Year"/>
    <x v="1"/>
    <s v="N/A"/>
    <n v="1130000"/>
    <s v="Confirmed"/>
    <s v=""/>
    <x v="0"/>
    <x v="0"/>
    <m/>
    <x v="2"/>
    <x v="0"/>
    <m/>
    <n v="0"/>
    <x v="0"/>
    <s v="Moderate"/>
    <n v="69958487.197715744"/>
  </r>
  <r>
    <x v="0"/>
    <x v="13"/>
    <x v="13"/>
    <x v="0"/>
    <x v="0"/>
    <x v="1"/>
    <x v="9"/>
    <x v="6"/>
    <s v="Multi-Year"/>
    <x v="1"/>
    <s v="N/A"/>
    <n v="0"/>
    <s v="Confirmed"/>
    <s v=""/>
    <x v="0"/>
    <x v="0"/>
    <m/>
    <x v="2"/>
    <x v="0"/>
    <m/>
    <n v="0"/>
    <x v="0"/>
    <s v="…"/>
    <n v="61654608.560629159"/>
  </r>
  <r>
    <x v="0"/>
    <x v="14"/>
    <x v="14"/>
    <x v="4"/>
    <x v="0"/>
    <x v="1"/>
    <x v="9"/>
    <x v="6"/>
    <s v="Multi-Year"/>
    <x v="1"/>
    <s v="N/A"/>
    <n v="0"/>
    <s v="Confirmed"/>
    <s v=""/>
    <x v="0"/>
    <x v="0"/>
    <m/>
    <x v="2"/>
    <x v="0"/>
    <m/>
    <n v="0"/>
    <x v="0"/>
    <s v="N/A"/>
    <n v="1806638707.7615163"/>
  </r>
  <r>
    <x v="0"/>
    <x v="15"/>
    <x v="15"/>
    <x v="1"/>
    <x v="0"/>
    <x v="1"/>
    <x v="9"/>
    <x v="6"/>
    <s v="Multi-Year"/>
    <x v="1"/>
    <s v="N/A"/>
    <n v="0"/>
    <s v="Confirmed"/>
    <s v=""/>
    <x v="0"/>
    <x v="0"/>
    <m/>
    <x v="1"/>
    <x v="1"/>
    <m/>
    <n v="0"/>
    <x v="0"/>
    <s v="N/A"/>
    <n v="1252696525.0627904"/>
  </r>
  <r>
    <x v="0"/>
    <x v="16"/>
    <x v="16"/>
    <x v="3"/>
    <x v="0"/>
    <x v="1"/>
    <x v="9"/>
    <x v="6"/>
    <s v="Multi-Year"/>
    <x v="1"/>
    <s v="N/A"/>
    <n v="0"/>
    <s v="Confirmed"/>
    <s v=""/>
    <x v="0"/>
    <x v="0"/>
    <m/>
    <x v="1"/>
    <x v="1"/>
    <m/>
    <n v="0"/>
    <x v="0"/>
    <s v=""/>
    <n v="843425084.07334602"/>
  </r>
  <r>
    <x v="0"/>
    <x v="17"/>
    <x v="17"/>
    <x v="4"/>
    <x v="0"/>
    <x v="1"/>
    <x v="9"/>
    <x v="6"/>
    <s v="Multi-Year"/>
    <x v="1"/>
    <s v="N/A"/>
    <n v="0"/>
    <s v="Confirmed"/>
    <s v=""/>
    <x v="0"/>
    <x v="0"/>
    <m/>
    <x v="1"/>
    <x v="1"/>
    <m/>
    <n v="0"/>
    <x v="0"/>
    <s v="N/A"/>
    <n v="74055620038.853683"/>
  </r>
  <r>
    <x v="0"/>
    <x v="18"/>
    <x v="18"/>
    <x v="1"/>
    <x v="0"/>
    <x v="1"/>
    <x v="9"/>
    <x v="6"/>
    <s v="Multi-Year"/>
    <x v="1"/>
    <s v="N/A"/>
    <n v="0"/>
    <s v="Confirmed"/>
    <s v=""/>
    <x v="0"/>
    <x v="0"/>
    <m/>
    <x v="1"/>
    <x v="1"/>
    <m/>
    <n v="0"/>
    <x v="0"/>
    <s v=""/>
    <n v="2803357765.5888777"/>
  </r>
  <r>
    <x v="0"/>
    <x v="19"/>
    <x v="19"/>
    <x v="5"/>
    <x v="0"/>
    <x v="1"/>
    <x v="9"/>
    <x v="6"/>
    <s v="Multi-Year"/>
    <x v="1"/>
    <s v="N/A"/>
    <n v="78000"/>
    <s v="Confirmed"/>
    <s v=""/>
    <x v="0"/>
    <x v="0"/>
    <m/>
    <x v="0"/>
    <x v="0"/>
    <m/>
    <n v="2"/>
    <x v="0"/>
    <s v="Moderate"/>
    <n v="337927779.25510043"/>
  </r>
  <r>
    <x v="0"/>
    <x v="20"/>
    <x v="20"/>
    <x v="3"/>
    <x v="0"/>
    <x v="1"/>
    <x v="9"/>
    <x v="6"/>
    <s v="Multi-Year"/>
    <x v="1"/>
    <s v="N/A"/>
    <n v="175000"/>
    <s v="Confirmed"/>
    <s v=""/>
    <x v="0"/>
    <x v="0"/>
    <m/>
    <x v="0"/>
    <x v="0"/>
    <m/>
    <n v="2"/>
    <x v="0"/>
    <s v="…"/>
    <n v="65979512.47399316"/>
  </r>
  <r>
    <x v="0"/>
    <x v="21"/>
    <x v="21"/>
    <x v="5"/>
    <x v="0"/>
    <x v="1"/>
    <x v="9"/>
    <x v="6"/>
    <s v="Multi-Year"/>
    <x v="1"/>
    <s v="N/A"/>
    <n v="40000"/>
    <s v="Confirmed"/>
    <s v=""/>
    <x v="0"/>
    <x v="0"/>
    <m/>
    <x v="2"/>
    <x v="0"/>
    <m/>
    <n v="0"/>
    <x v="1"/>
    <s v="High"/>
    <n v="63748362.778827004"/>
  </r>
  <r>
    <x v="0"/>
    <x v="22"/>
    <x v="22"/>
    <x v="6"/>
    <x v="0"/>
    <x v="1"/>
    <x v="9"/>
    <x v="6"/>
    <s v="Multi-Year"/>
    <x v="1"/>
    <s v="N/A"/>
    <n v="0"/>
    <s v="Confirmed"/>
    <s v=""/>
    <x v="0"/>
    <x v="0"/>
    <m/>
    <x v="2"/>
    <x v="0"/>
    <m/>
    <n v="0"/>
    <x v="0"/>
    <s v="Low"/>
    <n v="313039649.45369786"/>
  </r>
  <r>
    <x v="0"/>
    <x v="23"/>
    <x v="23"/>
    <x v="5"/>
    <x v="0"/>
    <x v="1"/>
    <x v="9"/>
    <x v="6"/>
    <s v="Multi-Year"/>
    <x v="1"/>
    <s v="N/A"/>
    <n v="627400"/>
    <s v="Confirmed"/>
    <s v=""/>
    <x v="0"/>
    <x v="0"/>
    <m/>
    <x v="2"/>
    <x v="0"/>
    <m/>
    <n v="2"/>
    <x v="0"/>
    <s v="High"/>
    <n v="81361801.477472037"/>
  </r>
  <r>
    <x v="0"/>
    <x v="24"/>
    <x v="24"/>
    <x v="5"/>
    <x v="0"/>
    <x v="1"/>
    <x v="9"/>
    <x v="6"/>
    <s v="Multi-Year"/>
    <x v="1"/>
    <s v="N/A"/>
    <n v="265000"/>
    <s v="Confirmed"/>
    <s v=""/>
    <x v="0"/>
    <x v="0"/>
    <m/>
    <x v="0"/>
    <x v="0"/>
    <m/>
    <n v="1"/>
    <x v="0"/>
    <s v="High"/>
    <s v=""/>
  </r>
  <r>
    <x v="0"/>
    <x v="25"/>
    <x v="25"/>
    <x v="5"/>
    <x v="0"/>
    <x v="1"/>
    <x v="9"/>
    <x v="6"/>
    <s v="Multi-Year"/>
    <x v="1"/>
    <s v="N/A"/>
    <n v="1069300"/>
    <s v="Confirmed"/>
    <s v=""/>
    <x v="0"/>
    <x v="0"/>
    <m/>
    <x v="0"/>
    <x v="0"/>
    <m/>
    <n v="1"/>
    <x v="0"/>
    <s v="High"/>
    <n v="76939306.715636879"/>
  </r>
  <r>
    <x v="0"/>
    <x v="26"/>
    <x v="26"/>
    <x v="4"/>
    <x v="0"/>
    <x v="1"/>
    <x v="9"/>
    <x v="6"/>
    <s v="Multi-Year"/>
    <x v="1"/>
    <s v="N/A"/>
    <n v="0"/>
    <s v="Confirmed"/>
    <s v=""/>
    <x v="0"/>
    <x v="0"/>
    <m/>
    <x v="3"/>
    <x v="1"/>
    <m/>
    <n v="0"/>
    <x v="0"/>
    <s v=""/>
    <n v="13859708717.682571"/>
  </r>
  <r>
    <x v="0"/>
    <x v="27"/>
    <x v="27"/>
    <x v="6"/>
    <x v="0"/>
    <x v="1"/>
    <x v="9"/>
    <x v="6"/>
    <s v="Multi-Year"/>
    <x v="1"/>
    <s v="N/A"/>
    <n v="0"/>
    <s v="Confirmed"/>
    <s v=""/>
    <x v="0"/>
    <x v="0"/>
    <m/>
    <x v="1"/>
    <x v="1"/>
    <m/>
    <n v="0"/>
    <x v="0"/>
    <s v=""/>
    <n v="403567160707.7016"/>
  </r>
  <r>
    <x v="0"/>
    <x v="28"/>
    <x v="28"/>
    <x v="4"/>
    <x v="0"/>
    <x v="1"/>
    <x v="9"/>
    <x v="6"/>
    <s v="Multi-Year"/>
    <x v="1"/>
    <s v="N/A"/>
    <n v="0"/>
    <s v="Confirmed"/>
    <s v=""/>
    <x v="0"/>
    <x v="0"/>
    <m/>
    <x v="1"/>
    <x v="1"/>
    <m/>
    <n v="0"/>
    <x v="0"/>
    <s v=""/>
    <n v="18250225995.972618"/>
  </r>
  <r>
    <x v="0"/>
    <x v="29"/>
    <x v="29"/>
    <x v="3"/>
    <x v="0"/>
    <x v="1"/>
    <x v="9"/>
    <x v="6"/>
    <s v="Multi-Year"/>
    <x v="1"/>
    <s v="N/A"/>
    <n v="0"/>
    <s v="Confirmed"/>
    <s v=""/>
    <x v="0"/>
    <x v="0"/>
    <m/>
    <x v="2"/>
    <x v="0"/>
    <m/>
    <n v="0"/>
    <x v="1"/>
    <s v="Moderate"/>
    <n v="5027591.1682657599"/>
  </r>
  <r>
    <x v="0"/>
    <x v="30"/>
    <x v="30"/>
    <x v="5"/>
    <x v="0"/>
    <x v="1"/>
    <x v="9"/>
    <x v="6"/>
    <s v="Multi-Year"/>
    <x v="1"/>
    <s v="N/A"/>
    <n v="2313750"/>
    <s v="Confirmed"/>
    <s v=""/>
    <x v="0"/>
    <x v="0"/>
    <m/>
    <x v="0"/>
    <x v="0"/>
    <m/>
    <n v="3"/>
    <x v="0"/>
    <s v="Moderate"/>
    <n v="234645958.63289919"/>
  </r>
  <r>
    <x v="0"/>
    <x v="31"/>
    <x v="31"/>
    <x v="5"/>
    <x v="0"/>
    <x v="1"/>
    <x v="9"/>
    <x v="6"/>
    <s v="Multi-Year"/>
    <x v="1"/>
    <s v="N/A"/>
    <n v="45600"/>
    <s v="Confirmed"/>
    <s v=""/>
    <x v="0"/>
    <x v="0"/>
    <m/>
    <x v="2"/>
    <x v="0"/>
    <m/>
    <n v="2"/>
    <x v="0"/>
    <s v="In distress"/>
    <n v="91590910.247314155"/>
  </r>
  <r>
    <x v="0"/>
    <x v="32"/>
    <x v="32"/>
    <x v="6"/>
    <x v="0"/>
    <x v="1"/>
    <x v="9"/>
    <x v="6"/>
    <s v="Multi-Year"/>
    <x v="1"/>
    <s v="N/A"/>
    <s v=""/>
    <s v="Confirmed"/>
    <s v=""/>
    <x v="0"/>
    <x v="0"/>
    <m/>
    <x v="4"/>
    <x v="1"/>
    <m/>
    <n v="0"/>
    <x v="1"/>
    <s v="N/A"/>
    <n v="8560012.8840167802"/>
  </r>
  <r>
    <x v="0"/>
    <x v="33"/>
    <x v="33"/>
    <x v="4"/>
    <x v="0"/>
    <x v="1"/>
    <x v="9"/>
    <x v="6"/>
    <s v="Multi-Year"/>
    <x v="1"/>
    <s v="N/A"/>
    <n v="0"/>
    <s v="Confirmed"/>
    <s v=""/>
    <x v="0"/>
    <x v="0"/>
    <m/>
    <x v="1"/>
    <x v="1"/>
    <m/>
    <n v="0"/>
    <x v="0"/>
    <s v="N/A"/>
    <n v="3292372960.3962669"/>
  </r>
  <r>
    <x v="0"/>
    <x v="34"/>
    <x v="34"/>
    <x v="5"/>
    <x v="0"/>
    <x v="1"/>
    <x v="9"/>
    <x v="6"/>
    <s v="Multi-Year"/>
    <x v="1"/>
    <s v="N/A"/>
    <n v="400000"/>
    <s v="Confirmed"/>
    <s v=""/>
    <x v="0"/>
    <x v="0"/>
    <m/>
    <x v="2"/>
    <x v="0"/>
    <m/>
    <n v="0"/>
    <x v="0"/>
    <s v="Moderate"/>
    <n v="519209981.22981054"/>
  </r>
  <r>
    <x v="0"/>
    <x v="35"/>
    <x v="35"/>
    <x v="1"/>
    <x v="0"/>
    <x v="1"/>
    <x v="9"/>
    <x v="6"/>
    <s v="Multi-Year"/>
    <x v="1"/>
    <s v="N/A"/>
    <n v="0"/>
    <s v="Confirmed"/>
    <s v=""/>
    <x v="0"/>
    <x v="0"/>
    <m/>
    <x v="3"/>
    <x v="1"/>
    <m/>
    <n v="0"/>
    <x v="0"/>
    <s v=""/>
    <n v="3464739907.1604805"/>
  </r>
  <r>
    <x v="0"/>
    <x v="36"/>
    <x v="36"/>
    <x v="4"/>
    <x v="0"/>
    <x v="1"/>
    <x v="9"/>
    <x v="6"/>
    <s v="Multi-Year"/>
    <x v="1"/>
    <s v="N/A"/>
    <n v="0"/>
    <s v="Confirmed"/>
    <s v=""/>
    <x v="0"/>
    <x v="0"/>
    <m/>
    <x v="1"/>
    <x v="1"/>
    <m/>
    <n v="0"/>
    <x v="1"/>
    <s v=""/>
    <n v="9948521252.2569065"/>
  </r>
  <r>
    <x v="0"/>
    <x v="37"/>
    <x v="37"/>
    <x v="2"/>
    <x v="0"/>
    <x v="1"/>
    <x v="9"/>
    <x v="6"/>
    <s v="Multi-Year"/>
    <x v="1"/>
    <s v="N/A"/>
    <n v="40000"/>
    <s v="Confirmed"/>
    <s v=""/>
    <x v="0"/>
    <x v="0"/>
    <m/>
    <x v="2"/>
    <x v="0"/>
    <m/>
    <n v="1"/>
    <x v="0"/>
    <s v="High"/>
    <n v="33679192.765657313"/>
  </r>
  <r>
    <x v="0"/>
    <x v="38"/>
    <x v="38"/>
    <x v="4"/>
    <x v="0"/>
    <x v="1"/>
    <x v="9"/>
    <x v="6"/>
    <s v="Multi-Year"/>
    <x v="1"/>
    <s v="N/A"/>
    <n v="0"/>
    <s v="Confirmed"/>
    <s v=""/>
    <x v="0"/>
    <x v="0"/>
    <m/>
    <x v="1"/>
    <x v="0"/>
    <m/>
    <n v="0"/>
    <x v="1"/>
    <s v="…"/>
    <n v="22784494.365742501"/>
  </r>
  <r>
    <x v="0"/>
    <x v="39"/>
    <x v="39"/>
    <x v="4"/>
    <x v="0"/>
    <x v="1"/>
    <x v="9"/>
    <x v="6"/>
    <s v="Multi-Year"/>
    <x v="1"/>
    <s v="N/A"/>
    <n v="0"/>
    <s v="Confirmed"/>
    <s v=""/>
    <x v="0"/>
    <x v="0"/>
    <m/>
    <x v="1"/>
    <x v="1"/>
    <m/>
    <n v="0"/>
    <x v="1"/>
    <s v=""/>
    <n v="2173208011.4858823"/>
  </r>
  <r>
    <x v="0"/>
    <x v="40"/>
    <x v="40"/>
    <x v="4"/>
    <x v="0"/>
    <x v="1"/>
    <x v="9"/>
    <x v="6"/>
    <s v="Multi-Year"/>
    <x v="1"/>
    <s v="N/A"/>
    <n v="0"/>
    <s v="Confirmed"/>
    <s v=""/>
    <x v="0"/>
    <x v="0"/>
    <m/>
    <x v="1"/>
    <x v="1"/>
    <m/>
    <n v="0"/>
    <x v="0"/>
    <s v="N/A"/>
    <n v="4585736158.8323269"/>
  </r>
  <r>
    <x v="0"/>
    <x v="41"/>
    <x v="41"/>
    <x v="2"/>
    <x v="0"/>
    <x v="1"/>
    <x v="9"/>
    <x v="6"/>
    <s v="Multi-Year"/>
    <x v="1"/>
    <s v="N/A"/>
    <n v="70000"/>
    <s v="Confirmed"/>
    <s v=""/>
    <x v="0"/>
    <x v="0"/>
    <m/>
    <x v="2"/>
    <x v="0"/>
    <m/>
    <n v="0"/>
    <x v="0"/>
    <s v="N/A"/>
    <n v="3550291584.8645592"/>
  </r>
  <r>
    <x v="0"/>
    <x v="42"/>
    <x v="42"/>
    <x v="4"/>
    <x v="0"/>
    <x v="1"/>
    <x v="9"/>
    <x v="6"/>
    <s v="Multi-Year"/>
    <x v="1"/>
    <s v="N/A"/>
    <n v="135000"/>
    <s v="Confirmed"/>
    <s v=""/>
    <x v="0"/>
    <x v="0"/>
    <m/>
    <x v="2"/>
    <x v="0"/>
    <m/>
    <n v="0"/>
    <x v="0"/>
    <s v="N/A"/>
    <n v="1182840319.0410969"/>
  </r>
  <r>
    <x v="0"/>
    <x v="43"/>
    <x v="43"/>
    <x v="4"/>
    <x v="0"/>
    <x v="1"/>
    <x v="9"/>
    <x v="6"/>
    <s v="Multi-Year"/>
    <x v="1"/>
    <s v="N/A"/>
    <n v="0"/>
    <s v="Confirmed"/>
    <s v=""/>
    <x v="0"/>
    <x v="0"/>
    <m/>
    <x v="1"/>
    <x v="1"/>
    <m/>
    <n v="0"/>
    <x v="0"/>
    <s v=""/>
    <n v="81728347.604567245"/>
  </r>
  <r>
    <x v="0"/>
    <x v="44"/>
    <x v="44"/>
    <x v="3"/>
    <x v="0"/>
    <x v="1"/>
    <x v="9"/>
    <x v="6"/>
    <s v="Multi-Year"/>
    <x v="1"/>
    <s v="N/A"/>
    <s v=""/>
    <s v="Confirmed"/>
    <s v=""/>
    <x v="0"/>
    <x v="0"/>
    <m/>
    <x v="0"/>
    <x v="0"/>
    <m/>
    <n v="2"/>
    <x v="0"/>
    <s v="N/A"/>
    <n v="12787914.977715338"/>
  </r>
  <r>
    <x v="0"/>
    <x v="45"/>
    <x v="45"/>
    <x v="3"/>
    <x v="0"/>
    <x v="1"/>
    <x v="9"/>
    <x v="6"/>
    <s v="Multi-Year"/>
    <x v="1"/>
    <s v="N/A"/>
    <n v="40000"/>
    <s v="Confirmed"/>
    <s v=""/>
    <x v="0"/>
    <x v="0"/>
    <m/>
    <x v="2"/>
    <x v="0"/>
    <m/>
    <n v="2"/>
    <x v="0"/>
    <s v="N/A"/>
    <n v="101271737.65410839"/>
  </r>
  <r>
    <x v="0"/>
    <x v="46"/>
    <x v="46"/>
    <x v="3"/>
    <x v="0"/>
    <x v="1"/>
    <x v="9"/>
    <x v="6"/>
    <s v="Multi-Year"/>
    <x v="1"/>
    <s v="N/A"/>
    <n v="842209"/>
    <s v="Confirmed"/>
    <s v=""/>
    <x v="0"/>
    <x v="0"/>
    <m/>
    <x v="0"/>
    <x v="0"/>
    <m/>
    <n v="3"/>
    <x v="0"/>
    <s v="High"/>
    <n v="618344226.71759331"/>
  </r>
  <r>
    <x v="0"/>
    <x v="47"/>
    <x v="47"/>
    <x v="6"/>
    <x v="0"/>
    <x v="1"/>
    <x v="9"/>
    <x v="6"/>
    <s v="Multi-Year"/>
    <x v="1"/>
    <s v="N/A"/>
    <n v="0"/>
    <s v="Confirmed"/>
    <s v=""/>
    <x v="0"/>
    <x v="0"/>
    <m/>
    <x v="1"/>
    <x v="0"/>
    <m/>
    <n v="0"/>
    <x v="1"/>
    <s v="…"/>
    <n v="129483872.95906857"/>
  </r>
  <r>
    <x v="0"/>
    <x v="48"/>
    <x v="48"/>
    <x v="5"/>
    <x v="0"/>
    <x v="1"/>
    <x v="9"/>
    <x v="6"/>
    <s v="Multi-Year"/>
    <x v="1"/>
    <s v="N/A"/>
    <n v="0"/>
    <s v="Confirmed"/>
    <s v=""/>
    <x v="0"/>
    <x v="0"/>
    <m/>
    <x v="1"/>
    <x v="1"/>
    <m/>
    <n v="0"/>
    <x v="0"/>
    <s v="N/A"/>
    <n v="271184658.35014349"/>
  </r>
  <r>
    <x v="0"/>
    <x v="49"/>
    <x v="49"/>
    <x v="5"/>
    <x v="0"/>
    <x v="1"/>
    <x v="9"/>
    <x v="6"/>
    <s v="Multi-Year"/>
    <x v="1"/>
    <s v="N/A"/>
    <n v="0"/>
    <s v="Confirmed"/>
    <s v=""/>
    <x v="0"/>
    <x v="0"/>
    <m/>
    <x v="0"/>
    <x v="0"/>
    <m/>
    <n v="0"/>
    <x v="0"/>
    <s v="High"/>
    <n v="15455265.086884515"/>
  </r>
  <r>
    <x v="0"/>
    <x v="50"/>
    <x v="50"/>
    <x v="1"/>
    <x v="0"/>
    <x v="1"/>
    <x v="9"/>
    <x v="6"/>
    <s v="Multi-Year"/>
    <x v="1"/>
    <s v="N/A"/>
    <n v="0"/>
    <s v="Confirmed"/>
    <s v=""/>
    <x v="0"/>
    <x v="0"/>
    <m/>
    <x v="1"/>
    <x v="1"/>
    <m/>
    <n v="0"/>
    <x v="0"/>
    <s v="N/A"/>
    <n v="494021502.525527"/>
  </r>
  <r>
    <x v="0"/>
    <x v="51"/>
    <x v="51"/>
    <x v="5"/>
    <x v="0"/>
    <x v="1"/>
    <x v="9"/>
    <x v="6"/>
    <s v="Multi-Year"/>
    <x v="1"/>
    <s v="N/A"/>
    <n v="890000"/>
    <s v="Confirmed"/>
    <s v=""/>
    <x v="0"/>
    <x v="0"/>
    <m/>
    <x v="2"/>
    <x v="0"/>
    <m/>
    <n v="0"/>
    <x v="0"/>
    <s v="High"/>
    <n v="902005621.73836684"/>
  </r>
  <r>
    <x v="0"/>
    <x v="52"/>
    <x v="52"/>
    <x v="4"/>
    <x v="0"/>
    <x v="1"/>
    <x v="9"/>
    <x v="6"/>
    <s v="Multi-Year"/>
    <x v="1"/>
    <s v="N/A"/>
    <n v="0"/>
    <s v="Confirmed"/>
    <s v=""/>
    <x v="0"/>
    <x v="0"/>
    <m/>
    <x v="1"/>
    <x v="0"/>
    <m/>
    <n v="0"/>
    <x v="1"/>
    <s v="In distress"/>
    <n v="20201670.142996579"/>
  </r>
  <r>
    <x v="0"/>
    <x v="53"/>
    <x v="53"/>
    <x v="4"/>
    <x v="0"/>
    <x v="1"/>
    <x v="9"/>
    <x v="6"/>
    <s v="Multi-Year"/>
    <x v="1"/>
    <s v="N/A"/>
    <s v=""/>
    <s v="Confirmed"/>
    <s v=""/>
    <x v="0"/>
    <x v="0"/>
    <m/>
    <x v="1"/>
    <x v="1"/>
    <m/>
    <n v="0"/>
    <x v="0"/>
    <s v=""/>
    <n v="1612434649.6948864"/>
  </r>
  <r>
    <x v="0"/>
    <x v="54"/>
    <x v="54"/>
    <x v="5"/>
    <x v="0"/>
    <x v="1"/>
    <x v="9"/>
    <x v="6"/>
    <s v="Multi-Year"/>
    <x v="1"/>
    <s v="N/A"/>
    <n v="225000"/>
    <s v="Confirmed"/>
    <s v=""/>
    <x v="0"/>
    <x v="0"/>
    <m/>
    <x v="0"/>
    <x v="0"/>
    <m/>
    <n v="0"/>
    <x v="0"/>
    <s v="Moderate"/>
    <n v="78203134.118229344"/>
  </r>
  <r>
    <x v="0"/>
    <x v="55"/>
    <x v="55"/>
    <x v="5"/>
    <x v="0"/>
    <x v="1"/>
    <x v="9"/>
    <x v="6"/>
    <s v="Multi-Year"/>
    <x v="1"/>
    <s v="N/A"/>
    <n v="45600"/>
    <s v="Confirmed"/>
    <s v=""/>
    <x v="0"/>
    <x v="0"/>
    <m/>
    <x v="0"/>
    <x v="0"/>
    <m/>
    <n v="2"/>
    <x v="1"/>
    <s v="High"/>
    <n v="9151637.7411015611"/>
  </r>
  <r>
    <x v="0"/>
    <x v="56"/>
    <x v="56"/>
    <x v="4"/>
    <x v="0"/>
    <x v="1"/>
    <x v="9"/>
    <x v="6"/>
    <s v="Multi-Year"/>
    <x v="1"/>
    <s v="N/A"/>
    <n v="215000"/>
    <s v="Confirmed"/>
    <s v=""/>
    <x v="0"/>
    <x v="0"/>
    <m/>
    <x v="1"/>
    <x v="0"/>
    <m/>
    <n v="0"/>
    <x v="1"/>
    <s v="Moderate"/>
    <n v="142455920.02856269"/>
  </r>
  <r>
    <x v="0"/>
    <x v="57"/>
    <x v="57"/>
    <x v="4"/>
    <x v="0"/>
    <x v="1"/>
    <x v="9"/>
    <x v="6"/>
    <s v="Multi-Year"/>
    <x v="1"/>
    <s v="N/A"/>
    <n v="1160000"/>
    <s v="Confirmed"/>
    <s v=""/>
    <x v="0"/>
    <x v="0"/>
    <m/>
    <x v="2"/>
    <x v="0"/>
    <m/>
    <n v="1"/>
    <x v="1"/>
    <s v="High"/>
    <n v="85611818.171245083"/>
  </r>
  <r>
    <x v="0"/>
    <x v="58"/>
    <x v="58"/>
    <x v="4"/>
    <x v="0"/>
    <x v="1"/>
    <x v="9"/>
    <x v="6"/>
    <s v="Multi-Year"/>
    <x v="1"/>
    <s v="N/A"/>
    <n v="130000"/>
    <s v="Confirmed"/>
    <s v=""/>
    <x v="0"/>
    <x v="0"/>
    <m/>
    <x v="2"/>
    <x v="0"/>
    <m/>
    <n v="0"/>
    <x v="0"/>
    <s v="Low"/>
    <n v="680289736.30082119"/>
  </r>
  <r>
    <x v="0"/>
    <x v="59"/>
    <x v="59"/>
    <x v="0"/>
    <x v="0"/>
    <x v="1"/>
    <x v="9"/>
    <x v="6"/>
    <s v="Multi-Year"/>
    <x v="1"/>
    <s v="N/A"/>
    <n v="0"/>
    <s v="Confirmed"/>
    <s v=""/>
    <x v="0"/>
    <x v="0"/>
    <m/>
    <x v="2"/>
    <x v="0"/>
    <m/>
    <n v="0"/>
    <x v="0"/>
    <s v="N/A"/>
    <n v="26554332750.47023"/>
  </r>
  <r>
    <x v="0"/>
    <x v="60"/>
    <x v="60"/>
    <x v="6"/>
    <x v="0"/>
    <x v="1"/>
    <x v="9"/>
    <x v="6"/>
    <s v="Multi-Year"/>
    <x v="1"/>
    <s v="N/A"/>
    <n v="165200"/>
    <s v="Confirmed"/>
    <s v=""/>
    <x v="0"/>
    <x v="0"/>
    <m/>
    <x v="2"/>
    <x v="0"/>
    <m/>
    <n v="0"/>
    <x v="0"/>
    <s v="N/A"/>
    <n v="14745961064.890842"/>
  </r>
  <r>
    <x v="0"/>
    <x v="61"/>
    <x v="61"/>
    <x v="2"/>
    <x v="0"/>
    <x v="1"/>
    <x v="9"/>
    <x v="6"/>
    <s v="Multi-Year"/>
    <x v="1"/>
    <s v="N/A"/>
    <n v="0"/>
    <s v="Confirmed"/>
    <s v=""/>
    <x v="0"/>
    <x v="0"/>
    <m/>
    <x v="2"/>
    <x v="1"/>
    <m/>
    <n v="0"/>
    <x v="0"/>
    <s v="N/A"/>
    <n v="18194076299.786381"/>
  </r>
  <r>
    <x v="0"/>
    <x v="62"/>
    <x v="62"/>
    <x v="2"/>
    <x v="0"/>
    <x v="1"/>
    <x v="9"/>
    <x v="6"/>
    <s v="Multi-Year"/>
    <x v="1"/>
    <s v="N/A"/>
    <n v="0"/>
    <s v="Confirmed"/>
    <s v=""/>
    <x v="0"/>
    <x v="0"/>
    <m/>
    <x v="1"/>
    <x v="1"/>
    <m/>
    <n v="0"/>
    <x v="0"/>
    <s v="N/A"/>
    <n v="4428819387.769825"/>
  </r>
  <r>
    <x v="0"/>
    <x v="63"/>
    <x v="63"/>
    <x v="4"/>
    <x v="0"/>
    <x v="1"/>
    <x v="9"/>
    <x v="6"/>
    <s v="Multi-Year"/>
    <x v="1"/>
    <s v="N/A"/>
    <n v="0"/>
    <s v="Confirmed"/>
    <s v=""/>
    <x v="0"/>
    <x v="0"/>
    <m/>
    <x v="1"/>
    <x v="1"/>
    <m/>
    <n v="0"/>
    <x v="1"/>
    <s v=""/>
    <n v="611739560.62679195"/>
  </r>
  <r>
    <x v="0"/>
    <x v="64"/>
    <x v="64"/>
    <x v="2"/>
    <x v="0"/>
    <x v="1"/>
    <x v="9"/>
    <x v="6"/>
    <s v="Multi-Year"/>
    <x v="1"/>
    <s v="N/A"/>
    <n v="0"/>
    <s v="Confirmed"/>
    <s v=""/>
    <x v="0"/>
    <x v="0"/>
    <m/>
    <x v="1"/>
    <x v="1"/>
    <m/>
    <n v="0"/>
    <x v="0"/>
    <s v="N/A"/>
    <n v="1617913383.0481031"/>
  </r>
  <r>
    <x v="0"/>
    <x v="65"/>
    <x v="65"/>
    <x v="1"/>
    <x v="0"/>
    <x v="1"/>
    <x v="9"/>
    <x v="6"/>
    <s v="Multi-Year"/>
    <x v="1"/>
    <s v="N/A"/>
    <n v="0"/>
    <s v="Confirmed"/>
    <s v=""/>
    <x v="0"/>
    <x v="0"/>
    <m/>
    <x v="1"/>
    <x v="1"/>
    <m/>
    <n v="0"/>
    <x v="0"/>
    <s v=""/>
    <n v="3074419112.4562683"/>
  </r>
  <r>
    <x v="0"/>
    <x v="66"/>
    <x v="66"/>
    <x v="3"/>
    <x v="0"/>
    <x v="1"/>
    <x v="9"/>
    <x v="6"/>
    <s v="Multi-Year"/>
    <x v="1"/>
    <s v="N/A"/>
    <n v="1015000"/>
    <s v="Confirmed"/>
    <s v=""/>
    <x v="0"/>
    <x v="0"/>
    <m/>
    <x v="2"/>
    <x v="0"/>
    <m/>
    <n v="0"/>
    <x v="0"/>
    <s v="High"/>
    <n v="1914014279.8929913"/>
  </r>
  <r>
    <x v="0"/>
    <x v="67"/>
    <x v="67"/>
    <x v="6"/>
    <x v="0"/>
    <x v="1"/>
    <x v="9"/>
    <x v="6"/>
    <s v="Multi-Year"/>
    <x v="1"/>
    <s v="N/A"/>
    <s v=""/>
    <s v="Confirmed"/>
    <s v=""/>
    <x v="0"/>
    <x v="0"/>
    <m/>
    <x v="2"/>
    <x v="0"/>
    <m/>
    <n v="0"/>
    <x v="1"/>
    <s v="High"/>
    <n v="17422005.762907442"/>
  </r>
  <r>
    <x v="0"/>
    <x v="68"/>
    <x v="68"/>
    <x v="6"/>
    <x v="0"/>
    <x v="1"/>
    <x v="9"/>
    <x v="6"/>
    <s v="Multi-Year"/>
    <x v="1"/>
    <s v="N/A"/>
    <n v="0"/>
    <s v="Confirmed"/>
    <s v=""/>
    <x v="0"/>
    <x v="0"/>
    <m/>
    <x v="0"/>
    <x v="0"/>
    <m/>
    <n v="0"/>
    <x v="0"/>
    <s v="N/A"/>
    <s v=""/>
  </r>
  <r>
    <x v="0"/>
    <x v="69"/>
    <x v="69"/>
    <x v="1"/>
    <x v="0"/>
    <x v="1"/>
    <x v="9"/>
    <x v="6"/>
    <s v="Multi-Year"/>
    <x v="1"/>
    <s v="N/A"/>
    <n v="0"/>
    <s v="Confirmed"/>
    <s v=""/>
    <x v="0"/>
    <x v="0"/>
    <m/>
    <x v="1"/>
    <x v="0"/>
    <m/>
    <n v="0"/>
    <x v="0"/>
    <s v="…"/>
    <s v=""/>
  </r>
  <r>
    <x v="0"/>
    <x v="70"/>
    <x v="70"/>
    <x v="1"/>
    <x v="0"/>
    <x v="1"/>
    <x v="9"/>
    <x v="6"/>
    <s v="Multi-Year"/>
    <x v="1"/>
    <s v="N/A"/>
    <n v="276200"/>
    <s v="Confirmed"/>
    <s v=""/>
    <x v="0"/>
    <x v="0"/>
    <m/>
    <x v="2"/>
    <x v="0"/>
    <m/>
    <n v="2"/>
    <x v="0"/>
    <s v="Moderate"/>
    <n v="231506834.84347546"/>
  </r>
  <r>
    <x v="0"/>
    <x v="71"/>
    <x v="71"/>
    <x v="6"/>
    <x v="0"/>
    <x v="1"/>
    <x v="9"/>
    <x v="6"/>
    <s v="Multi-Year"/>
    <x v="1"/>
    <s v="N/A"/>
    <n v="0"/>
    <s v="Confirmed"/>
    <s v=""/>
    <x v="0"/>
    <x v="0"/>
    <m/>
    <x v="2"/>
    <x v="0"/>
    <m/>
    <n v="0"/>
    <x v="0"/>
    <s v="High"/>
    <n v="156059428.62944782"/>
  </r>
  <r>
    <x v="0"/>
    <x v="72"/>
    <x v="72"/>
    <x v="2"/>
    <x v="0"/>
    <x v="1"/>
    <x v="9"/>
    <x v="6"/>
    <s v="Multi-Year"/>
    <x v="1"/>
    <s v="N/A"/>
    <n v="0"/>
    <s v="Confirmed"/>
    <s v=""/>
    <x v="0"/>
    <x v="0"/>
    <m/>
    <x v="1"/>
    <x v="1"/>
    <m/>
    <n v="0"/>
    <x v="0"/>
    <s v="N/A"/>
    <n v="2355391507.1635861"/>
  </r>
  <r>
    <x v="0"/>
    <x v="73"/>
    <x v="73"/>
    <x v="3"/>
    <x v="0"/>
    <x v="1"/>
    <x v="9"/>
    <x v="6"/>
    <s v="Multi-Year"/>
    <x v="1"/>
    <s v="N/A"/>
    <n v="45600"/>
    <s v="Confirmed"/>
    <s v=""/>
    <x v="0"/>
    <x v="0"/>
    <m/>
    <x v="2"/>
    <x v="0"/>
    <m/>
    <n v="0"/>
    <x v="0"/>
    <s v="Moderate"/>
    <n v="152760919.7684873"/>
  </r>
  <r>
    <x v="0"/>
    <x v="74"/>
    <x v="74"/>
    <x v="5"/>
    <x v="0"/>
    <x v="1"/>
    <x v="9"/>
    <x v="6"/>
    <s v="Multi-Year"/>
    <x v="1"/>
    <s v="N/A"/>
    <n v="220600"/>
    <s v="Confirmed"/>
    <s v=""/>
    <x v="0"/>
    <x v="0"/>
    <m/>
    <x v="0"/>
    <x v="0"/>
    <m/>
    <n v="0"/>
    <x v="0"/>
    <s v="High"/>
    <n v="55072006.864440605"/>
  </r>
  <r>
    <x v="0"/>
    <x v="75"/>
    <x v="75"/>
    <x v="2"/>
    <x v="0"/>
    <x v="1"/>
    <x v="9"/>
    <x v="6"/>
    <s v="Multi-Year"/>
    <x v="1"/>
    <s v="N/A"/>
    <n v="0"/>
    <s v="Confirmed"/>
    <s v=""/>
    <x v="0"/>
    <x v="0"/>
    <m/>
    <x v="1"/>
    <x v="1"/>
    <m/>
    <n v="0"/>
    <x v="0"/>
    <s v="N/A"/>
    <s v=""/>
  </r>
  <r>
    <x v="0"/>
    <x v="76"/>
    <x v="76"/>
    <x v="3"/>
    <x v="0"/>
    <x v="1"/>
    <x v="9"/>
    <x v="6"/>
    <s v="Multi-Year"/>
    <x v="1"/>
    <s v="N/A"/>
    <n v="688600"/>
    <s v="Confirmed"/>
    <s v=""/>
    <x v="0"/>
    <x v="0"/>
    <m/>
    <x v="0"/>
    <x v="0"/>
    <m/>
    <n v="2"/>
    <x v="0"/>
    <s v="Moderate"/>
    <n v="206914157.05429548"/>
  </r>
  <r>
    <x v="0"/>
    <x v="77"/>
    <x v="77"/>
    <x v="3"/>
    <x v="0"/>
    <x v="1"/>
    <x v="9"/>
    <x v="6"/>
    <s v="Multi-Year"/>
    <x v="1"/>
    <s v="N/A"/>
    <n v="686179"/>
    <s v="Confirmed"/>
    <s v=""/>
    <x v="0"/>
    <x v="0"/>
    <m/>
    <x v="0"/>
    <x v="0"/>
    <m/>
    <n v="2"/>
    <x v="0"/>
    <s v="High"/>
    <n v="185999915.02066413"/>
  </r>
  <r>
    <x v="0"/>
    <x v="78"/>
    <x v="78"/>
    <x v="6"/>
    <x v="0"/>
    <x v="1"/>
    <x v="9"/>
    <x v="6"/>
    <s v="Multi-Year"/>
    <x v="1"/>
    <s v="N/A"/>
    <n v="0"/>
    <s v="Confirmed"/>
    <s v=""/>
    <x v="0"/>
    <x v="0"/>
    <m/>
    <x v="1"/>
    <x v="1"/>
    <m/>
    <n v="0"/>
    <x v="0"/>
    <s v=""/>
    <n v="6893755763.2501726"/>
  </r>
  <r>
    <x v="0"/>
    <x v="79"/>
    <x v="79"/>
    <x v="0"/>
    <x v="0"/>
    <x v="1"/>
    <x v="9"/>
    <x v="6"/>
    <s v="Multi-Year"/>
    <x v="1"/>
    <s v="N/A"/>
    <n v="0"/>
    <s v="Confirmed"/>
    <s v=""/>
    <x v="0"/>
    <x v="0"/>
    <m/>
    <x v="1"/>
    <x v="0"/>
    <m/>
    <n v="0"/>
    <x v="1"/>
    <s v="High"/>
    <n v="354560231.58276606"/>
  </r>
  <r>
    <x v="0"/>
    <x v="80"/>
    <x v="80"/>
    <x v="5"/>
    <x v="0"/>
    <x v="1"/>
    <x v="9"/>
    <x v="6"/>
    <s v="Multi-Year"/>
    <x v="1"/>
    <s v="N/A"/>
    <n v="1350000"/>
    <s v="Confirmed"/>
    <s v=""/>
    <x v="0"/>
    <x v="0"/>
    <m/>
    <x v="0"/>
    <x v="0"/>
    <m/>
    <n v="1"/>
    <x v="0"/>
    <s v="Moderate"/>
    <n v="188169167.56540567"/>
  </r>
  <r>
    <x v="0"/>
    <x v="81"/>
    <x v="81"/>
    <x v="6"/>
    <x v="0"/>
    <x v="1"/>
    <x v="9"/>
    <x v="6"/>
    <s v="Multi-Year"/>
    <x v="1"/>
    <s v="N/A"/>
    <s v=""/>
    <s v="Confirmed"/>
    <s v=""/>
    <x v="0"/>
    <x v="0"/>
    <m/>
    <x v="1"/>
    <x v="0"/>
    <m/>
    <n v="0"/>
    <x v="1"/>
    <s v=""/>
    <n v="16312106.556340856"/>
  </r>
  <r>
    <x v="0"/>
    <x v="82"/>
    <x v="82"/>
    <x v="5"/>
    <x v="0"/>
    <x v="1"/>
    <x v="9"/>
    <x v="6"/>
    <s v="Multi-Year"/>
    <x v="1"/>
    <s v="N/A"/>
    <n v="175000"/>
    <s v="Confirmed"/>
    <s v=""/>
    <x v="0"/>
    <x v="0"/>
    <m/>
    <x v="2"/>
    <x v="0"/>
    <m/>
    <n v="2"/>
    <x v="0"/>
    <s v="High"/>
    <n v="86083833.534053758"/>
  </r>
  <r>
    <x v="0"/>
    <x v="83"/>
    <x v="83"/>
    <x v="3"/>
    <x v="0"/>
    <x v="1"/>
    <x v="9"/>
    <x v="6"/>
    <s v="Multi-Year"/>
    <x v="1"/>
    <s v="N/A"/>
    <s v=""/>
    <s v="Confirmed"/>
    <s v=""/>
    <x v="0"/>
    <x v="0"/>
    <m/>
    <x v="1"/>
    <x v="1"/>
    <m/>
    <n v="0"/>
    <x v="1"/>
    <s v="N/A"/>
    <n v="357220835.93762809"/>
  </r>
  <r>
    <x v="0"/>
    <x v="84"/>
    <x v="84"/>
    <x v="4"/>
    <x v="0"/>
    <x v="1"/>
    <x v="9"/>
    <x v="6"/>
    <s v="Multi-Year"/>
    <x v="1"/>
    <s v="N/A"/>
    <n v="0"/>
    <s v="Confirmed"/>
    <s v=""/>
    <x v="0"/>
    <x v="0"/>
    <m/>
    <x v="1"/>
    <x v="1"/>
    <m/>
    <n v="0"/>
    <x v="0"/>
    <s v=""/>
    <n v="32831598153.796387"/>
  </r>
  <r>
    <x v="0"/>
    <x v="85"/>
    <x v="85"/>
    <x v="6"/>
    <x v="0"/>
    <x v="1"/>
    <x v="9"/>
    <x v="6"/>
    <s v="Multi-Year"/>
    <x v="1"/>
    <s v="N/A"/>
    <s v=""/>
    <s v="Confirmed"/>
    <s v=""/>
    <x v="0"/>
    <x v="0"/>
    <m/>
    <x v="2"/>
    <x v="0"/>
    <m/>
    <n v="0"/>
    <x v="1"/>
    <s v="High"/>
    <n v="12329056.093798399"/>
  </r>
  <r>
    <x v="0"/>
    <x v="86"/>
    <x v="86"/>
    <x v="1"/>
    <x v="0"/>
    <x v="1"/>
    <x v="9"/>
    <x v="6"/>
    <s v="Multi-Year"/>
    <x v="1"/>
    <s v="N/A"/>
    <n v="0"/>
    <s v="Confirmed"/>
    <s v=""/>
    <x v="0"/>
    <x v="0"/>
    <m/>
    <x v="1"/>
    <x v="0"/>
    <m/>
    <n v="0"/>
    <x v="0"/>
    <s v="Low"/>
    <n v="426639742.85328001"/>
  </r>
  <r>
    <x v="0"/>
    <x v="87"/>
    <x v="87"/>
    <x v="6"/>
    <x v="0"/>
    <x v="1"/>
    <x v="9"/>
    <x v="6"/>
    <s v="Multi-Year"/>
    <x v="1"/>
    <s v="N/A"/>
    <n v="0"/>
    <s v="Confirmed"/>
    <s v=""/>
    <x v="0"/>
    <x v="0"/>
    <m/>
    <x v="2"/>
    <x v="0"/>
    <m/>
    <n v="0"/>
    <x v="0"/>
    <s v="…"/>
    <n v="288519671.85870522"/>
  </r>
  <r>
    <x v="0"/>
    <x v="88"/>
    <x v="88"/>
    <x v="1"/>
    <x v="0"/>
    <x v="1"/>
    <x v="9"/>
    <x v="6"/>
    <s v="Multi-Year"/>
    <x v="1"/>
    <s v="N/A"/>
    <n v="0"/>
    <s v="Confirmed"/>
    <s v=""/>
    <x v="0"/>
    <x v="0"/>
    <m/>
    <x v="1"/>
    <x v="1"/>
    <m/>
    <n v="0"/>
    <x v="0"/>
    <s v="N/A"/>
    <n v="275606560.78491527"/>
  </r>
  <r>
    <x v="0"/>
    <x v="89"/>
    <x v="89"/>
    <x v="2"/>
    <x v="0"/>
    <x v="1"/>
    <x v="9"/>
    <x v="6"/>
    <s v="Multi-Year"/>
    <x v="1"/>
    <s v="N/A"/>
    <n v="50000"/>
    <s v="Confirmed"/>
    <s v=""/>
    <x v="0"/>
    <x v="0"/>
    <m/>
    <x v="2"/>
    <x v="0"/>
    <m/>
    <n v="0"/>
    <x v="0"/>
    <s v="N/A"/>
    <n v="2530937679.3725696"/>
  </r>
  <r>
    <x v="0"/>
    <x v="90"/>
    <x v="90"/>
    <x v="3"/>
    <x v="0"/>
    <x v="1"/>
    <x v="9"/>
    <x v="6"/>
    <s v="Multi-Year"/>
    <x v="1"/>
    <s v="N/A"/>
    <n v="1425000"/>
    <s v="Confirmed"/>
    <s v=""/>
    <x v="0"/>
    <x v="0"/>
    <m/>
    <x v="0"/>
    <x v="0"/>
    <m/>
    <n v="0"/>
    <x v="0"/>
    <s v="In distress"/>
    <n v="251432156.86255455"/>
  </r>
  <r>
    <x v="0"/>
    <x v="91"/>
    <x v="91"/>
    <x v="6"/>
    <x v="0"/>
    <x v="1"/>
    <x v="9"/>
    <x v="6"/>
    <s v="Multi-Year"/>
    <x v="1"/>
    <s v="N/A"/>
    <n v="295000"/>
    <s v="Confirmed"/>
    <s v=""/>
    <x v="0"/>
    <x v="0"/>
    <m/>
    <x v="2"/>
    <x v="0"/>
    <m/>
    <n v="0"/>
    <x v="0"/>
    <s v="Low"/>
    <n v="471534500.60109437"/>
  </r>
  <r>
    <x v="0"/>
    <x v="92"/>
    <x v="92"/>
    <x v="3"/>
    <x v="0"/>
    <x v="1"/>
    <x v="9"/>
    <x v="6"/>
    <s v="Multi-Year"/>
    <x v="1"/>
    <s v="N/A"/>
    <n v="0"/>
    <s v="Confirmed"/>
    <s v=""/>
    <x v="0"/>
    <x v="0"/>
    <m/>
    <x v="1"/>
    <x v="1"/>
    <m/>
    <n v="0"/>
    <x v="0"/>
    <s v=""/>
    <n v="531677611.80447447"/>
  </r>
  <r>
    <x v="0"/>
    <x v="93"/>
    <x v="93"/>
    <x v="6"/>
    <x v="0"/>
    <x v="1"/>
    <x v="9"/>
    <x v="6"/>
    <s v="Multi-Year"/>
    <x v="1"/>
    <s v="N/A"/>
    <s v=""/>
    <s v="Confirmed"/>
    <s v=""/>
    <x v="0"/>
    <x v="0"/>
    <m/>
    <x v="3"/>
    <x v="1"/>
    <m/>
    <n v="0"/>
    <x v="1"/>
    <s v=""/>
    <n v="8528751.6418357007"/>
  </r>
  <r>
    <x v="0"/>
    <x v="94"/>
    <x v="94"/>
    <x v="0"/>
    <x v="0"/>
    <x v="1"/>
    <x v="9"/>
    <x v="6"/>
    <s v="Multi-Year"/>
    <x v="1"/>
    <s v="N/A"/>
    <n v="295600"/>
    <s v="Confirmed"/>
    <s v=""/>
    <x v="0"/>
    <x v="0"/>
    <m/>
    <x v="2"/>
    <x v="0"/>
    <m/>
    <n v="0"/>
    <x v="0"/>
    <s v="Low"/>
    <n v="407084543.19089872"/>
  </r>
  <r>
    <x v="0"/>
    <x v="95"/>
    <x v="95"/>
    <x v="4"/>
    <x v="0"/>
    <x v="1"/>
    <x v="9"/>
    <x v="6"/>
    <s v="Multi-Year"/>
    <x v="1"/>
    <s v="N/A"/>
    <n v="390000"/>
    <s v="Confirmed"/>
    <s v=""/>
    <x v="0"/>
    <x v="0"/>
    <m/>
    <x v="2"/>
    <x v="0"/>
    <m/>
    <n v="0"/>
    <x v="0"/>
    <s v="Moderate"/>
    <n v="671998341.93592453"/>
  </r>
  <r>
    <x v="0"/>
    <x v="96"/>
    <x v="96"/>
    <x v="5"/>
    <x v="0"/>
    <x v="1"/>
    <x v="9"/>
    <x v="6"/>
    <s v="Multi-Year"/>
    <x v="1"/>
    <s v="N/A"/>
    <n v="278323.45"/>
    <s v="Confirmed"/>
    <s v=""/>
    <x v="0"/>
    <x v="0"/>
    <m/>
    <x v="0"/>
    <x v="0"/>
    <m/>
    <n v="1"/>
    <x v="0"/>
    <s v="Moderate"/>
    <n v="226203289.67158964"/>
  </r>
  <r>
    <x v="0"/>
    <x v="97"/>
    <x v="97"/>
    <x v="5"/>
    <x v="0"/>
    <x v="1"/>
    <x v="9"/>
    <x v="6"/>
    <s v="Multi-Year"/>
    <x v="1"/>
    <s v="N/A"/>
    <n v="1459081"/>
    <s v="Confirmed"/>
    <s v=""/>
    <x v="0"/>
    <x v="0"/>
    <m/>
    <x v="2"/>
    <x v="0"/>
    <m/>
    <n v="3"/>
    <x v="0"/>
    <s v="…"/>
    <n v="2438881113.1244688"/>
  </r>
  <r>
    <x v="0"/>
    <x v="98"/>
    <x v="98"/>
    <x v="1"/>
    <x v="0"/>
    <x v="1"/>
    <x v="9"/>
    <x v="6"/>
    <s v="Multi-Year"/>
    <x v="1"/>
    <s v="N/A"/>
    <n v="0"/>
    <s v="Confirmed"/>
    <s v=""/>
    <x v="0"/>
    <x v="0"/>
    <m/>
    <x v="1"/>
    <x v="1"/>
    <m/>
    <n v="0"/>
    <x v="0"/>
    <s v=""/>
    <n v="476517795.73174149"/>
  </r>
  <r>
    <x v="0"/>
    <x v="99"/>
    <x v="99"/>
    <x v="0"/>
    <x v="0"/>
    <x v="1"/>
    <x v="9"/>
    <x v="6"/>
    <s v="Multi-Year"/>
    <x v="1"/>
    <s v="N/A"/>
    <n v="870000"/>
    <s v="Confirmed"/>
    <s v=""/>
    <x v="0"/>
    <x v="0"/>
    <m/>
    <x v="2"/>
    <x v="0"/>
    <m/>
    <n v="0"/>
    <x v="0"/>
    <s v="…"/>
    <n v="3233351297.7679496"/>
  </r>
  <r>
    <x v="0"/>
    <x v="100"/>
    <x v="100"/>
    <x v="4"/>
    <x v="0"/>
    <x v="1"/>
    <x v="9"/>
    <x v="6"/>
    <s v="Multi-Year"/>
    <x v="1"/>
    <s v="N/A"/>
    <s v=""/>
    <s v="Confirmed"/>
    <s v=""/>
    <x v="0"/>
    <x v="0"/>
    <m/>
    <x v="3"/>
    <x v="1"/>
    <m/>
    <n v="0"/>
    <x v="1"/>
    <s v=""/>
    <n v="18180646.808608256"/>
  </r>
  <r>
    <x v="0"/>
    <x v="101"/>
    <x v="101"/>
    <x v="4"/>
    <x v="0"/>
    <x v="1"/>
    <x v="9"/>
    <x v="6"/>
    <s v="Multi-Year"/>
    <x v="1"/>
    <s v="N/A"/>
    <n v="0"/>
    <s v="Confirmed"/>
    <s v=""/>
    <x v="0"/>
    <x v="0"/>
    <m/>
    <x v="1"/>
    <x v="1"/>
    <m/>
    <n v="0"/>
    <x v="0"/>
    <s v="N/A"/>
    <n v="3020530707.3485303"/>
  </r>
  <r>
    <x v="0"/>
    <x v="102"/>
    <x v="102"/>
    <x v="6"/>
    <x v="0"/>
    <x v="1"/>
    <x v="9"/>
    <x v="6"/>
    <s v="Multi-Year"/>
    <x v="1"/>
    <s v="N/A"/>
    <n v="0"/>
    <s v="Confirmed"/>
    <s v=""/>
    <x v="0"/>
    <x v="0"/>
    <m/>
    <x v="2"/>
    <x v="0"/>
    <m/>
    <n v="1"/>
    <x v="1"/>
    <s v="High"/>
    <n v="384406316.46074712"/>
  </r>
  <r>
    <x v="0"/>
    <x v="103"/>
    <x v="103"/>
    <x v="4"/>
    <x v="0"/>
    <x v="1"/>
    <x v="9"/>
    <x v="6"/>
    <s v="Multi-Year"/>
    <x v="1"/>
    <s v="N/A"/>
    <n v="0"/>
    <s v="Confirmed"/>
    <s v=""/>
    <x v="0"/>
    <x v="0"/>
    <m/>
    <x v="1"/>
    <x v="1"/>
    <m/>
    <n v="0"/>
    <x v="0"/>
    <s v=""/>
    <n v="1218747108.9554784"/>
  </r>
  <r>
    <x v="0"/>
    <x v="104"/>
    <x v="104"/>
    <x v="4"/>
    <x v="0"/>
    <x v="1"/>
    <x v="9"/>
    <x v="6"/>
    <s v="Multi-Year"/>
    <x v="1"/>
    <s v="N/A"/>
    <n v="0"/>
    <s v="Confirmed"/>
    <s v=""/>
    <x v="0"/>
    <x v="0"/>
    <m/>
    <x v="1"/>
    <x v="1"/>
    <m/>
    <n v="0"/>
    <x v="0"/>
    <s v=""/>
    <n v="7392665952.5895758"/>
  </r>
  <r>
    <x v="0"/>
    <x v="105"/>
    <x v="105"/>
    <x v="6"/>
    <x v="0"/>
    <x v="1"/>
    <x v="9"/>
    <x v="6"/>
    <s v="Multi-Year"/>
    <x v="1"/>
    <s v="N/A"/>
    <n v="45600"/>
    <s v="Confirmed"/>
    <s v=""/>
    <x v="0"/>
    <x v="0"/>
    <m/>
    <x v="2"/>
    <x v="0"/>
    <m/>
    <n v="0"/>
    <x v="0"/>
    <s v="N/A"/>
    <n v="4754985988.6004429"/>
  </r>
  <r>
    <x v="0"/>
    <x v="106"/>
    <x v="106"/>
    <x v="1"/>
    <x v="0"/>
    <x v="1"/>
    <x v="9"/>
    <x v="6"/>
    <s v="Multi-Year"/>
    <x v="1"/>
    <s v="N/A"/>
    <s v=""/>
    <s v="Confirmed"/>
    <s v=""/>
    <x v="0"/>
    <x v="0"/>
    <m/>
    <x v="3"/>
    <x v="1"/>
    <m/>
    <n v="0"/>
    <x v="0"/>
    <s v=""/>
    <n v="26422210443.037273"/>
  </r>
  <r>
    <x v="0"/>
    <x v="107"/>
    <x v="107"/>
    <x v="1"/>
    <x v="0"/>
    <x v="1"/>
    <x v="9"/>
    <x v="6"/>
    <s v="Multi-Year"/>
    <x v="1"/>
    <s v="N/A"/>
    <n v="0"/>
    <s v="Confirmed"/>
    <s v=""/>
    <x v="0"/>
    <x v="0"/>
    <m/>
    <x v="1"/>
    <x v="1"/>
    <m/>
    <n v="0"/>
    <x v="0"/>
    <s v=""/>
    <n v="10696495313.15033"/>
  </r>
  <r>
    <x v="0"/>
    <x v="108"/>
    <x v="108"/>
    <x v="1"/>
    <x v="0"/>
    <x v="1"/>
    <x v="9"/>
    <x v="6"/>
    <s v="Multi-Year"/>
    <x v="1"/>
    <s v="N/A"/>
    <s v=""/>
    <s v="Confirmed"/>
    <s v=""/>
    <x v="0"/>
    <x v="0"/>
    <m/>
    <x v="1"/>
    <x v="1"/>
    <m/>
    <n v="0"/>
    <x v="0"/>
    <s v=""/>
    <n v="52769713433.240509"/>
  </r>
  <r>
    <x v="0"/>
    <x v="109"/>
    <x v="109"/>
    <x v="3"/>
    <x v="0"/>
    <x v="1"/>
    <x v="9"/>
    <x v="6"/>
    <s v="Multi-Year"/>
    <x v="1"/>
    <s v="N/A"/>
    <n v="200000"/>
    <s v="Confirmed"/>
    <s v=""/>
    <x v="0"/>
    <x v="0"/>
    <m/>
    <x v="0"/>
    <x v="0"/>
    <m/>
    <n v="0"/>
    <x v="0"/>
    <s v="Moderate"/>
    <n v="225799814.51943746"/>
  </r>
  <r>
    <x v="0"/>
    <x v="110"/>
    <x v="110"/>
    <x v="6"/>
    <x v="0"/>
    <x v="1"/>
    <x v="9"/>
    <x v="6"/>
    <s v="Multi-Year"/>
    <x v="1"/>
    <s v="N/A"/>
    <s v=""/>
    <s v="Confirmed"/>
    <s v=""/>
    <x v="0"/>
    <x v="0"/>
    <m/>
    <x v="2"/>
    <x v="0"/>
    <m/>
    <n v="0"/>
    <x v="1"/>
    <s v="High"/>
    <n v="32192988.027009469"/>
  </r>
  <r>
    <x v="0"/>
    <x v="111"/>
    <x v="111"/>
    <x v="5"/>
    <x v="0"/>
    <x v="1"/>
    <x v="9"/>
    <x v="6"/>
    <s v="Multi-Year"/>
    <x v="1"/>
    <s v="N/A"/>
    <n v="40000"/>
    <s v="Confirmed"/>
    <s v=""/>
    <x v="0"/>
    <x v="0"/>
    <m/>
    <x v="2"/>
    <x v="0"/>
    <m/>
    <n v="0"/>
    <x v="1"/>
    <s v="In distress"/>
    <n v="11633535.136477679"/>
  </r>
  <r>
    <x v="0"/>
    <x v="112"/>
    <x v="112"/>
    <x v="5"/>
    <x v="0"/>
    <x v="1"/>
    <x v="9"/>
    <x v="6"/>
    <s v="Multi-Year"/>
    <x v="1"/>
    <s v="N/A"/>
    <n v="225000"/>
    <s v="Confirmed"/>
    <s v=""/>
    <x v="0"/>
    <x v="0"/>
    <m/>
    <x v="2"/>
    <x v="0"/>
    <m/>
    <n v="2"/>
    <x v="0"/>
    <s v="Moderate"/>
    <n v="222008693.93354639"/>
  </r>
  <r>
    <x v="0"/>
    <x v="113"/>
    <x v="113"/>
    <x v="1"/>
    <x v="0"/>
    <x v="1"/>
    <x v="9"/>
    <x v="6"/>
    <s v="Multi-Year"/>
    <x v="1"/>
    <s v="N/A"/>
    <n v="0"/>
    <s v="Confirmed"/>
    <s v=""/>
    <x v="0"/>
    <x v="0"/>
    <m/>
    <x v="1"/>
    <x v="1"/>
    <m/>
    <n v="0"/>
    <x v="0"/>
    <s v=""/>
    <n v="2564993795.1894679"/>
  </r>
  <r>
    <x v="0"/>
    <x v="114"/>
    <x v="114"/>
    <x v="3"/>
    <x v="0"/>
    <x v="1"/>
    <x v="9"/>
    <x v="6"/>
    <s v="Multi-Year"/>
    <x v="1"/>
    <s v="N/A"/>
    <s v=""/>
    <s v="Confirmed"/>
    <s v=""/>
    <x v="0"/>
    <x v="0"/>
    <m/>
    <x v="3"/>
    <x v="1"/>
    <m/>
    <n v="0"/>
    <x v="1"/>
    <s v="N/A"/>
    <n v="60237542.945069775"/>
  </r>
  <r>
    <x v="0"/>
    <x v="115"/>
    <x v="115"/>
    <x v="5"/>
    <x v="0"/>
    <x v="1"/>
    <x v="9"/>
    <x v="6"/>
    <s v="Multi-Year"/>
    <x v="1"/>
    <s v="N/A"/>
    <n v="215000"/>
    <s v="Confirmed"/>
    <s v=""/>
    <x v="0"/>
    <x v="0"/>
    <m/>
    <x v="0"/>
    <x v="0"/>
    <m/>
    <n v="0"/>
    <x v="0"/>
    <s v="High"/>
    <n v="63738640.538260505"/>
  </r>
  <r>
    <x v="0"/>
    <x v="116"/>
    <x v="116"/>
    <x v="6"/>
    <x v="0"/>
    <x v="1"/>
    <x v="9"/>
    <x v="6"/>
    <s v="Multi-Year"/>
    <x v="1"/>
    <s v="N/A"/>
    <n v="75200"/>
    <s v="Confirmed"/>
    <s v=""/>
    <x v="0"/>
    <x v="0"/>
    <m/>
    <x v="2"/>
    <x v="0"/>
    <m/>
    <n v="0"/>
    <x v="1"/>
    <s v="Moderate"/>
    <n v="49012774.055630356"/>
  </r>
  <r>
    <x v="0"/>
    <x v="117"/>
    <x v="117"/>
    <x v="3"/>
    <x v="0"/>
    <x v="1"/>
    <x v="9"/>
    <x v="6"/>
    <s v="Multi-Year"/>
    <x v="1"/>
    <s v="N/A"/>
    <n v="3077980"/>
    <s v="Confirmed"/>
    <s v=""/>
    <x v="0"/>
    <x v="0"/>
    <m/>
    <x v="0"/>
    <x v="0"/>
    <m/>
    <n v="1"/>
    <x v="0"/>
    <s v="In distress"/>
    <s v=""/>
  </r>
  <r>
    <x v="0"/>
    <x v="118"/>
    <x v="118"/>
    <x v="3"/>
    <x v="0"/>
    <x v="1"/>
    <x v="9"/>
    <x v="6"/>
    <s v="Multi-Year"/>
    <x v="1"/>
    <s v="N/A"/>
    <n v="0"/>
    <s v="Confirmed"/>
    <s v=""/>
    <x v="0"/>
    <x v="0"/>
    <m/>
    <x v="1"/>
    <x v="1"/>
    <m/>
    <n v="0"/>
    <x v="0"/>
    <s v="N/A"/>
    <n v="16429121142.784708"/>
  </r>
  <r>
    <x v="0"/>
    <x v="119"/>
    <x v="119"/>
    <x v="3"/>
    <x v="0"/>
    <x v="1"/>
    <x v="9"/>
    <x v="6"/>
    <s v="Multi-Year"/>
    <x v="1"/>
    <s v="N/A"/>
    <n v="1337523"/>
    <s v="Confirmed"/>
    <s v=""/>
    <x v="0"/>
    <x v="0"/>
    <m/>
    <x v="0"/>
    <x v="0"/>
    <m/>
    <n v="1"/>
    <x v="0"/>
    <s v="High"/>
    <n v="31684581.76217727"/>
  </r>
  <r>
    <x v="0"/>
    <x v="120"/>
    <x v="120"/>
    <x v="0"/>
    <x v="0"/>
    <x v="1"/>
    <x v="9"/>
    <x v="6"/>
    <s v="Multi-Year"/>
    <x v="1"/>
    <s v="N/A"/>
    <n v="40000"/>
    <s v="Confirmed"/>
    <s v=""/>
    <x v="0"/>
    <x v="0"/>
    <m/>
    <x v="2"/>
    <x v="0"/>
    <m/>
    <n v="0"/>
    <x v="0"/>
    <s v="N/A"/>
    <n v="1373621563.5182886"/>
  </r>
  <r>
    <x v="0"/>
    <x v="121"/>
    <x v="121"/>
    <x v="4"/>
    <x v="0"/>
    <x v="1"/>
    <x v="9"/>
    <x v="6"/>
    <s v="Multi-Year"/>
    <x v="1"/>
    <s v="N/A"/>
    <s v=""/>
    <s v="Confirmed"/>
    <s v=""/>
    <x v="0"/>
    <x v="0"/>
    <m/>
    <x v="3"/>
    <x v="1"/>
    <m/>
    <n v="0"/>
    <x v="1"/>
    <s v=""/>
    <n v="24214370.889062837"/>
  </r>
  <r>
    <x v="0"/>
    <x v="122"/>
    <x v="122"/>
    <x v="4"/>
    <x v="0"/>
    <x v="1"/>
    <x v="9"/>
    <x v="6"/>
    <s v="Multi-Year"/>
    <x v="1"/>
    <s v="N/A"/>
    <n v="0"/>
    <s v="Confirmed"/>
    <s v=""/>
    <x v="0"/>
    <x v="0"/>
    <m/>
    <x v="1"/>
    <x v="0"/>
    <m/>
    <n v="0"/>
    <x v="1"/>
    <s v="…"/>
    <n v="39941279.609447442"/>
  </r>
  <r>
    <x v="0"/>
    <x v="123"/>
    <x v="123"/>
    <x v="4"/>
    <x v="0"/>
    <x v="1"/>
    <x v="9"/>
    <x v="6"/>
    <s v="Multi-Year"/>
    <x v="1"/>
    <s v="N/A"/>
    <n v="0"/>
    <s v="Confirmed"/>
    <s v=""/>
    <x v="0"/>
    <x v="0"/>
    <m/>
    <x v="1"/>
    <x v="0"/>
    <m/>
    <n v="0"/>
    <x v="1"/>
    <s v="High"/>
    <n v="24761675.260059897"/>
  </r>
  <r>
    <x v="0"/>
    <x v="124"/>
    <x v="124"/>
    <x v="2"/>
    <x v="0"/>
    <x v="1"/>
    <x v="9"/>
    <x v="6"/>
    <s v="Multi-Year"/>
    <x v="1"/>
    <s v="N/A"/>
    <n v="0"/>
    <s v="Confirmed"/>
    <s v=""/>
    <x v="0"/>
    <x v="0"/>
    <m/>
    <x v="2"/>
    <x v="0"/>
    <m/>
    <n v="0"/>
    <x v="0"/>
    <s v="N/A"/>
    <s v=""/>
  </r>
  <r>
    <x v="0"/>
    <x v="125"/>
    <x v="125"/>
    <x v="2"/>
    <x v="0"/>
    <x v="1"/>
    <x v="9"/>
    <x v="6"/>
    <s v="Multi-Year"/>
    <x v="1"/>
    <s v="N/A"/>
    <n v="50000"/>
    <s v="Confirmed"/>
    <s v=""/>
    <x v="0"/>
    <x v="0"/>
    <m/>
    <x v="0"/>
    <x v="0"/>
    <m/>
    <n v="1"/>
    <x v="0"/>
    <s v="N/A"/>
    <n v="577156172.71229994"/>
  </r>
  <r>
    <x v="0"/>
    <x v="126"/>
    <x v="126"/>
    <x v="6"/>
    <x v="0"/>
    <x v="1"/>
    <x v="9"/>
    <x v="6"/>
    <s v="Multi-Year"/>
    <x v="1"/>
    <s v="N/A"/>
    <s v=""/>
    <s v="Confirmed"/>
    <s v=""/>
    <x v="0"/>
    <x v="0"/>
    <m/>
    <x v="1"/>
    <x v="1"/>
    <m/>
    <n v="0"/>
    <x v="1"/>
    <s v=""/>
    <n v="180052034.19851837"/>
  </r>
  <r>
    <x v="0"/>
    <x v="127"/>
    <x v="127"/>
    <x v="2"/>
    <x v="0"/>
    <x v="1"/>
    <x v="9"/>
    <x v="6"/>
    <s v="Multi-Year"/>
    <x v="1"/>
    <s v="N/A"/>
    <n v="175000"/>
    <s v="Confirmed"/>
    <s v=""/>
    <x v="0"/>
    <x v="0"/>
    <m/>
    <x v="0"/>
    <x v="0"/>
    <m/>
    <n v="1"/>
    <x v="0"/>
    <s v="N/A"/>
    <s v=""/>
  </r>
  <r>
    <x v="0"/>
    <x v="128"/>
    <x v="128"/>
    <x v="1"/>
    <x v="0"/>
    <x v="1"/>
    <x v="9"/>
    <x v="6"/>
    <s v="Multi-Year"/>
    <x v="1"/>
    <s v="N/A"/>
    <n v="268000"/>
    <s v="Confirmed"/>
    <s v=""/>
    <x v="0"/>
    <x v="0"/>
    <m/>
    <x v="2"/>
    <x v="0"/>
    <m/>
    <n v="0"/>
    <x v="0"/>
    <s v="High"/>
    <n v="147296124.32232863"/>
  </r>
  <r>
    <x v="0"/>
    <x v="129"/>
    <x v="129"/>
    <x v="3"/>
    <x v="0"/>
    <x v="1"/>
    <x v="9"/>
    <x v="6"/>
    <s v="Multi-Year"/>
    <x v="1"/>
    <s v="N/A"/>
    <n v="420000"/>
    <s v="Confirmed"/>
    <s v=""/>
    <x v="0"/>
    <x v="0"/>
    <m/>
    <x v="2"/>
    <x v="0"/>
    <m/>
    <n v="0"/>
    <x v="0"/>
    <s v="…"/>
    <n v="890576536.83065879"/>
  </r>
  <r>
    <x v="0"/>
    <x v="130"/>
    <x v="130"/>
    <x v="6"/>
    <x v="0"/>
    <x v="1"/>
    <x v="9"/>
    <x v="6"/>
    <s v="Multi-Year"/>
    <x v="1"/>
    <s v="N/A"/>
    <n v="0"/>
    <s v="Confirmed"/>
    <s v=""/>
    <x v="0"/>
    <x v="0"/>
    <m/>
    <x v="1"/>
    <x v="1"/>
    <m/>
    <n v="0"/>
    <x v="0"/>
    <s v=""/>
    <n v="14611129792.346064"/>
  </r>
  <r>
    <x v="0"/>
    <x v="131"/>
    <x v="131"/>
    <x v="6"/>
    <x v="0"/>
    <x v="1"/>
    <x v="9"/>
    <x v="6"/>
    <s v="Multi-Year"/>
    <x v="1"/>
    <s v="N/A"/>
    <n v="50000"/>
    <s v="Confirmed"/>
    <s v=""/>
    <x v="0"/>
    <x v="0"/>
    <m/>
    <x v="2"/>
    <x v="0"/>
    <m/>
    <n v="0"/>
    <x v="1"/>
    <s v="Low"/>
    <n v="72046877.233008593"/>
  </r>
  <r>
    <x v="0"/>
    <x v="132"/>
    <x v="132"/>
    <x v="5"/>
    <x v="0"/>
    <x v="1"/>
    <x v="9"/>
    <x v="6"/>
    <s v="Multi-Year"/>
    <x v="1"/>
    <s v="N/A"/>
    <n v="40000"/>
    <s v="Confirmed"/>
    <s v=""/>
    <x v="0"/>
    <x v="0"/>
    <m/>
    <x v="0"/>
    <x v="0"/>
    <m/>
    <n v="0"/>
    <x v="0"/>
    <s v="High"/>
    <n v="56248139.267255567"/>
  </r>
  <r>
    <x v="0"/>
    <x v="133"/>
    <x v="133"/>
    <x v="6"/>
    <x v="0"/>
    <x v="1"/>
    <x v="9"/>
    <x v="6"/>
    <s v="Multi-Year"/>
    <x v="1"/>
    <s v="N/A"/>
    <n v="0"/>
    <s v="Confirmed"/>
    <s v=""/>
    <x v="0"/>
    <x v="0"/>
    <m/>
    <x v="1"/>
    <x v="0"/>
    <m/>
    <n v="0"/>
    <x v="1"/>
    <s v="High"/>
    <n v="15464031.712942109"/>
  </r>
  <r>
    <x v="0"/>
    <x v="134"/>
    <x v="134"/>
    <x v="4"/>
    <x v="0"/>
    <x v="1"/>
    <x v="9"/>
    <x v="6"/>
    <s v="Multi-Year"/>
    <x v="1"/>
    <s v="N/A"/>
    <s v=""/>
    <s v="Confirmed"/>
    <s v=""/>
    <x v="0"/>
    <x v="0"/>
    <m/>
    <x v="3"/>
    <x v="1"/>
    <m/>
    <n v="0"/>
    <x v="1"/>
    <s v="N/A"/>
    <n v="769564399.33249676"/>
  </r>
  <r>
    <x v="0"/>
    <x v="135"/>
    <x v="135"/>
    <x v="2"/>
    <x v="0"/>
    <x v="1"/>
    <x v="9"/>
    <x v="6"/>
    <s v="Multi-Year"/>
    <x v="1"/>
    <s v="N/A"/>
    <n v="40000"/>
    <s v="Confirmed"/>
    <s v=""/>
    <x v="0"/>
    <x v="0"/>
    <m/>
    <x v="2"/>
    <x v="0"/>
    <m/>
    <n v="0"/>
    <x v="0"/>
    <s v="N/A"/>
    <n v="1668954539.7630196"/>
  </r>
  <r>
    <x v="0"/>
    <x v="136"/>
    <x v="136"/>
    <x v="1"/>
    <x v="0"/>
    <x v="1"/>
    <x v="9"/>
    <x v="6"/>
    <s v="Multi-Year"/>
    <x v="1"/>
    <s v="N/A"/>
    <n v="0"/>
    <s v="Confirmed"/>
    <s v=""/>
    <x v="0"/>
    <x v="0"/>
    <m/>
    <x v="1"/>
    <x v="1"/>
    <m/>
    <n v="0"/>
    <x v="0"/>
    <s v=""/>
    <n v="24840920016.18832"/>
  </r>
  <r>
    <x v="0"/>
    <x v="137"/>
    <x v="137"/>
    <x v="1"/>
    <x v="0"/>
    <x v="1"/>
    <x v="9"/>
    <x v="6"/>
    <s v="Multi-Year"/>
    <x v="1"/>
    <s v="N/A"/>
    <n v="0"/>
    <s v="Confirmed"/>
    <s v=""/>
    <x v="0"/>
    <x v="0"/>
    <m/>
    <x v="1"/>
    <x v="1"/>
    <m/>
    <n v="0"/>
    <x v="0"/>
    <s v="N/A"/>
    <n v="487888462.83720118"/>
  </r>
  <r>
    <x v="0"/>
    <x v="138"/>
    <x v="138"/>
    <x v="6"/>
    <x v="0"/>
    <x v="1"/>
    <x v="9"/>
    <x v="6"/>
    <s v="Multi-Year"/>
    <x v="1"/>
    <s v="N/A"/>
    <n v="0"/>
    <s v="Confirmed"/>
    <s v=""/>
    <x v="0"/>
    <x v="0"/>
    <m/>
    <x v="1"/>
    <x v="0"/>
    <m/>
    <n v="0"/>
    <x v="1"/>
    <s v="…"/>
    <n v="6365061.1736073596"/>
  </r>
  <r>
    <x v="0"/>
    <x v="139"/>
    <x v="139"/>
    <x v="3"/>
    <x v="0"/>
    <x v="1"/>
    <x v="9"/>
    <x v="6"/>
    <s v="Multi-Year"/>
    <x v="1"/>
    <s v="N/A"/>
    <n v="328600"/>
    <s v="Confirmed"/>
    <s v=""/>
    <x v="0"/>
    <x v="0"/>
    <m/>
    <x v="0"/>
    <x v="0"/>
    <m/>
    <n v="2"/>
    <x v="0"/>
    <s v="Low"/>
    <n v="291799092.90196139"/>
  </r>
  <r>
    <x v="0"/>
    <x v="140"/>
    <x v="140"/>
    <x v="1"/>
    <x v="0"/>
    <x v="1"/>
    <x v="9"/>
    <x v="6"/>
    <s v="Multi-Year"/>
    <x v="1"/>
    <s v="N/A"/>
    <n v="110000"/>
    <s v="Confirmed"/>
    <s v=""/>
    <x v="0"/>
    <x v="0"/>
    <m/>
    <x v="2"/>
    <x v="0"/>
    <m/>
    <n v="0"/>
    <x v="0"/>
    <s v="N/A"/>
    <n v="4844815340.2135534"/>
  </r>
  <r>
    <x v="0"/>
    <x v="141"/>
    <x v="141"/>
    <x v="4"/>
    <x v="0"/>
    <x v="1"/>
    <x v="9"/>
    <x v="6"/>
    <s v="Multi-Year"/>
    <x v="1"/>
    <s v="N/A"/>
    <n v="412400"/>
    <s v="Confirmed"/>
    <s v=""/>
    <x v="0"/>
    <x v="0"/>
    <m/>
    <x v="3"/>
    <x v="1"/>
    <m/>
    <n v="0"/>
    <x v="0"/>
    <s v=""/>
    <n v="4001891446.6871672"/>
  </r>
  <r>
    <x v="0"/>
    <x v="142"/>
    <x v="142"/>
    <x v="1"/>
    <x v="0"/>
    <x v="1"/>
    <x v="9"/>
    <x v="6"/>
    <s v="Multi-Year"/>
    <x v="1"/>
    <s v="N/A"/>
    <n v="275000"/>
    <s v="Confirmed"/>
    <s v=""/>
    <x v="0"/>
    <x v="0"/>
    <m/>
    <x v="2"/>
    <x v="0"/>
    <m/>
    <n v="0"/>
    <x v="0"/>
    <s v="Low"/>
    <n v="1019800630.5853213"/>
  </r>
  <r>
    <x v="0"/>
    <x v="143"/>
    <x v="143"/>
    <x v="6"/>
    <x v="0"/>
    <x v="1"/>
    <x v="9"/>
    <x v="6"/>
    <s v="Multi-Year"/>
    <x v="1"/>
    <s v="N/A"/>
    <n v="0"/>
    <s v="Confirmed"/>
    <s v=""/>
    <x v="0"/>
    <x v="0"/>
    <m/>
    <x v="2"/>
    <x v="0"/>
    <m/>
    <n v="0"/>
    <x v="1"/>
    <s v="Moderate"/>
    <n v="19578671.310841195"/>
  </r>
  <r>
    <x v="0"/>
    <x v="144"/>
    <x v="144"/>
    <x v="4"/>
    <x v="0"/>
    <x v="1"/>
    <x v="9"/>
    <x v="6"/>
    <s v="Multi-Year"/>
    <x v="1"/>
    <s v="N/A"/>
    <s v=""/>
    <s v="Confirmed"/>
    <s v=""/>
    <x v="0"/>
    <x v="0"/>
    <m/>
    <x v="4"/>
    <x v="1"/>
    <m/>
    <n v="0"/>
    <x v="0"/>
    <s v="N/A"/>
    <n v="3551452001.0684834"/>
  </r>
  <r>
    <x v="0"/>
    <x v="145"/>
    <x v="145"/>
    <x v="6"/>
    <x v="0"/>
    <x v="1"/>
    <x v="9"/>
    <x v="6"/>
    <s v="Multi-Year"/>
    <x v="1"/>
    <s v="N/A"/>
    <n v="70000"/>
    <s v="Confirmed"/>
    <s v=""/>
    <x v="0"/>
    <x v="0"/>
    <m/>
    <x v="2"/>
    <x v="0"/>
    <m/>
    <n v="0"/>
    <x v="0"/>
    <s v="N/A"/>
    <n v="6603048821.7575006"/>
  </r>
  <r>
    <x v="0"/>
    <x v="146"/>
    <x v="146"/>
    <x v="2"/>
    <x v="0"/>
    <x v="1"/>
    <x v="9"/>
    <x v="6"/>
    <s v="Multi-Year"/>
    <x v="1"/>
    <s v="N/A"/>
    <n v="1953750"/>
    <s v="Confirmed"/>
    <s v=""/>
    <x v="0"/>
    <x v="0"/>
    <m/>
    <x v="0"/>
    <x v="0"/>
    <m/>
    <n v="1"/>
    <x v="0"/>
    <s v="…"/>
    <s v=""/>
  </r>
  <r>
    <x v="0"/>
    <x v="147"/>
    <x v="147"/>
    <x v="3"/>
    <x v="0"/>
    <x v="1"/>
    <x v="9"/>
    <x v="6"/>
    <s v="Multi-Year"/>
    <x v="1"/>
    <s v="N/A"/>
    <n v="265000"/>
    <s v="Confirmed"/>
    <s v=""/>
    <x v="0"/>
    <x v="0"/>
    <m/>
    <x v="2"/>
    <x v="0"/>
    <m/>
    <n v="0"/>
    <x v="0"/>
    <s v="High"/>
    <n v="515352723.9821828"/>
  </r>
  <r>
    <x v="0"/>
    <x v="148"/>
    <x v="148"/>
    <x v="3"/>
    <x v="0"/>
    <x v="1"/>
    <x v="9"/>
    <x v="6"/>
    <s v="Multi-Year"/>
    <x v="1"/>
    <s v="N/A"/>
    <n v="205000"/>
    <s v="Confirmed"/>
    <s v=""/>
    <x v="0"/>
    <x v="0"/>
    <m/>
    <x v="2"/>
    <x v="0"/>
    <m/>
    <n v="0"/>
    <x v="0"/>
    <s v="N/A"/>
    <n v="566711742.22428358"/>
  </r>
  <r>
    <x v="0"/>
    <x v="0"/>
    <x v="0"/>
    <x v="0"/>
    <x v="0"/>
    <x v="2"/>
    <x v="10"/>
    <x v="8"/>
    <s v="Multi-Year"/>
    <x v="1"/>
    <s v="N/A"/>
    <s v=""/>
    <s v="Confirmed"/>
    <s v=""/>
    <x v="0"/>
    <x v="0"/>
    <m/>
    <x v="0"/>
    <x v="0"/>
    <m/>
    <n v="1"/>
    <x v="0"/>
    <s v="High"/>
    <n v="95829480.719269618"/>
  </r>
  <r>
    <x v="0"/>
    <x v="1"/>
    <x v="1"/>
    <x v="1"/>
    <x v="0"/>
    <x v="2"/>
    <x v="10"/>
    <x v="8"/>
    <s v="Multi-Year"/>
    <x v="1"/>
    <s v="N/A"/>
    <s v=""/>
    <s v="Confirmed"/>
    <s v=""/>
    <x v="0"/>
    <x v="0"/>
    <m/>
    <x v="1"/>
    <x v="1"/>
    <m/>
    <n v="0"/>
    <x v="0"/>
    <s v=""/>
    <n v="427904035.52443534"/>
  </r>
  <r>
    <x v="0"/>
    <x v="2"/>
    <x v="2"/>
    <x v="2"/>
    <x v="0"/>
    <x v="2"/>
    <x v="10"/>
    <x v="8"/>
    <s v="Multi-Year"/>
    <x v="1"/>
    <s v="N/A"/>
    <s v=""/>
    <s v="Confirmed"/>
    <s v=""/>
    <x v="0"/>
    <x v="0"/>
    <m/>
    <x v="2"/>
    <x v="0"/>
    <m/>
    <n v="0"/>
    <x v="0"/>
    <s v="N/A"/>
    <n v="7113361022.7267885"/>
  </r>
  <r>
    <x v="0"/>
    <x v="3"/>
    <x v="3"/>
    <x v="3"/>
    <x v="0"/>
    <x v="2"/>
    <x v="10"/>
    <x v="8"/>
    <s v="Multi-Year"/>
    <x v="1"/>
    <s v="N/A"/>
    <s v=""/>
    <s v="Confirmed"/>
    <s v=""/>
    <x v="0"/>
    <x v="0"/>
    <m/>
    <x v="2"/>
    <x v="0"/>
    <m/>
    <n v="0"/>
    <x v="0"/>
    <s v="…"/>
    <n v="1131865946.5875781"/>
  </r>
  <r>
    <x v="0"/>
    <x v="4"/>
    <x v="4"/>
    <x v="4"/>
    <x v="0"/>
    <x v="2"/>
    <x v="10"/>
    <x v="8"/>
    <s v="Multi-Year"/>
    <x v="1"/>
    <s v="N/A"/>
    <s v=""/>
    <s v="Confirmed"/>
    <s v=""/>
    <x v="0"/>
    <x v="0"/>
    <m/>
    <x v="3"/>
    <x v="1"/>
    <m/>
    <n v="0"/>
    <x v="1"/>
    <s v=""/>
    <n v="46777779.823447868"/>
  </r>
  <r>
    <x v="0"/>
    <x v="5"/>
    <x v="5"/>
    <x v="4"/>
    <x v="0"/>
    <x v="2"/>
    <x v="10"/>
    <x v="8"/>
    <s v="Multi-Year"/>
    <x v="1"/>
    <s v="N/A"/>
    <s v=""/>
    <s v="Confirmed"/>
    <s v=""/>
    <x v="0"/>
    <x v="0"/>
    <m/>
    <x v="1"/>
    <x v="1"/>
    <m/>
    <n v="0"/>
    <x v="0"/>
    <s v=""/>
    <n v="30725305777.596794"/>
  </r>
  <r>
    <x v="0"/>
    <x v="6"/>
    <x v="6"/>
    <x v="1"/>
    <x v="0"/>
    <x v="2"/>
    <x v="10"/>
    <x v="8"/>
    <s v="Multi-Year"/>
    <x v="1"/>
    <s v="N/A"/>
    <s v=""/>
    <s v="Confirmed"/>
    <s v=""/>
    <x v="0"/>
    <x v="0"/>
    <m/>
    <x v="1"/>
    <x v="1"/>
    <m/>
    <n v="0"/>
    <x v="0"/>
    <s v=""/>
    <n v="153815827.8380394"/>
  </r>
  <r>
    <x v="0"/>
    <x v="7"/>
    <x v="7"/>
    <x v="1"/>
    <x v="0"/>
    <x v="2"/>
    <x v="10"/>
    <x v="8"/>
    <s v="Multi-Year"/>
    <x v="1"/>
    <s v="N/A"/>
    <s v=""/>
    <s v="Confirmed"/>
    <s v=""/>
    <x v="0"/>
    <x v="0"/>
    <m/>
    <x v="1"/>
    <x v="1"/>
    <m/>
    <n v="0"/>
    <x v="0"/>
    <s v="N/A"/>
    <n v="437525105.31216973"/>
  </r>
  <r>
    <x v="0"/>
    <x v="8"/>
    <x v="8"/>
    <x v="4"/>
    <x v="0"/>
    <x v="2"/>
    <x v="10"/>
    <x v="8"/>
    <s v="Multi-Year"/>
    <x v="1"/>
    <s v="N/A"/>
    <s v=""/>
    <s v="Confirmed"/>
    <s v=""/>
    <x v="0"/>
    <x v="0"/>
    <m/>
    <x v="3"/>
    <x v="1"/>
    <m/>
    <n v="0"/>
    <x v="1"/>
    <s v=""/>
    <n v="149463302.00602186"/>
  </r>
  <r>
    <x v="0"/>
    <x v="9"/>
    <x v="9"/>
    <x v="0"/>
    <x v="0"/>
    <x v="2"/>
    <x v="10"/>
    <x v="8"/>
    <s v="Multi-Year"/>
    <x v="1"/>
    <s v="N/A"/>
    <s v=""/>
    <s v="Confirmed"/>
    <s v=""/>
    <x v="0"/>
    <x v="0"/>
    <m/>
    <x v="2"/>
    <x v="0"/>
    <m/>
    <n v="0"/>
    <x v="0"/>
    <s v="Low"/>
    <n v="1148322593.9600098"/>
  </r>
  <r>
    <x v="0"/>
    <x v="10"/>
    <x v="10"/>
    <x v="1"/>
    <x v="0"/>
    <x v="2"/>
    <x v="10"/>
    <x v="8"/>
    <s v="Multi-Year"/>
    <x v="1"/>
    <s v="N/A"/>
    <s v=""/>
    <s v="Confirmed"/>
    <s v=""/>
    <x v="0"/>
    <x v="0"/>
    <m/>
    <x v="1"/>
    <x v="1"/>
    <m/>
    <n v="0"/>
    <x v="0"/>
    <s v=""/>
    <n v="2371102058.1093163"/>
  </r>
  <r>
    <x v="0"/>
    <x v="11"/>
    <x v="11"/>
    <x v="4"/>
    <x v="0"/>
    <x v="2"/>
    <x v="10"/>
    <x v="8"/>
    <s v="Multi-Year"/>
    <x v="1"/>
    <s v="N/A"/>
    <s v=""/>
    <s v="Confirmed"/>
    <s v=""/>
    <x v="0"/>
    <x v="0"/>
    <m/>
    <x v="2"/>
    <x v="1"/>
    <m/>
    <n v="0"/>
    <x v="1"/>
    <s v="N/A"/>
    <n v="75151620.005215243"/>
  </r>
  <r>
    <x v="0"/>
    <x v="12"/>
    <x v="12"/>
    <x v="5"/>
    <x v="0"/>
    <x v="2"/>
    <x v="10"/>
    <x v="8"/>
    <s v="Multi-Year"/>
    <x v="1"/>
    <s v="N/A"/>
    <s v=""/>
    <s v="Confirmed"/>
    <s v=""/>
    <x v="0"/>
    <x v="0"/>
    <m/>
    <x v="2"/>
    <x v="0"/>
    <m/>
    <n v="0"/>
    <x v="0"/>
    <s v="Moderate"/>
    <n v="69958487.197715744"/>
  </r>
  <r>
    <x v="0"/>
    <x v="13"/>
    <x v="13"/>
    <x v="0"/>
    <x v="0"/>
    <x v="2"/>
    <x v="10"/>
    <x v="8"/>
    <s v="Multi-Year"/>
    <x v="1"/>
    <s v="N/A"/>
    <s v=""/>
    <s v="Confirmed"/>
    <s v=""/>
    <x v="0"/>
    <x v="0"/>
    <m/>
    <x v="2"/>
    <x v="0"/>
    <m/>
    <n v="0"/>
    <x v="0"/>
    <s v="…"/>
    <n v="61654608.560629159"/>
  </r>
  <r>
    <x v="0"/>
    <x v="14"/>
    <x v="14"/>
    <x v="4"/>
    <x v="0"/>
    <x v="2"/>
    <x v="10"/>
    <x v="8"/>
    <s v="Multi-Year"/>
    <x v="1"/>
    <s v="N/A"/>
    <s v=""/>
    <s v="Confirmed"/>
    <s v=""/>
    <x v="0"/>
    <x v="0"/>
    <m/>
    <x v="2"/>
    <x v="0"/>
    <m/>
    <n v="0"/>
    <x v="0"/>
    <s v="N/A"/>
    <n v="1806638707.7615163"/>
  </r>
  <r>
    <x v="0"/>
    <x v="15"/>
    <x v="15"/>
    <x v="1"/>
    <x v="0"/>
    <x v="2"/>
    <x v="10"/>
    <x v="8"/>
    <s v="Multi-Year"/>
    <x v="1"/>
    <s v="N/A"/>
    <s v=""/>
    <s v="Confirmed"/>
    <s v=""/>
    <x v="0"/>
    <x v="0"/>
    <m/>
    <x v="1"/>
    <x v="1"/>
    <m/>
    <n v="0"/>
    <x v="0"/>
    <s v="N/A"/>
    <n v="1252696525.0627904"/>
  </r>
  <r>
    <x v="0"/>
    <x v="16"/>
    <x v="16"/>
    <x v="3"/>
    <x v="0"/>
    <x v="2"/>
    <x v="10"/>
    <x v="8"/>
    <s v="Multi-Year"/>
    <x v="1"/>
    <s v="N/A"/>
    <s v=""/>
    <s v="Confirmed"/>
    <s v=""/>
    <x v="0"/>
    <x v="0"/>
    <m/>
    <x v="1"/>
    <x v="1"/>
    <m/>
    <n v="0"/>
    <x v="0"/>
    <s v=""/>
    <n v="843425084.07334602"/>
  </r>
  <r>
    <x v="0"/>
    <x v="17"/>
    <x v="17"/>
    <x v="4"/>
    <x v="0"/>
    <x v="2"/>
    <x v="10"/>
    <x v="8"/>
    <s v="Multi-Year"/>
    <x v="1"/>
    <s v="N/A"/>
    <s v=""/>
    <s v="Confirmed"/>
    <s v=""/>
    <x v="0"/>
    <x v="0"/>
    <m/>
    <x v="1"/>
    <x v="1"/>
    <m/>
    <n v="0"/>
    <x v="0"/>
    <s v="N/A"/>
    <n v="74055620038.853683"/>
  </r>
  <r>
    <x v="0"/>
    <x v="18"/>
    <x v="18"/>
    <x v="1"/>
    <x v="0"/>
    <x v="2"/>
    <x v="10"/>
    <x v="8"/>
    <s v="Multi-Year"/>
    <x v="1"/>
    <s v="N/A"/>
    <s v=""/>
    <s v="Confirmed"/>
    <s v=""/>
    <x v="0"/>
    <x v="0"/>
    <m/>
    <x v="1"/>
    <x v="1"/>
    <m/>
    <n v="0"/>
    <x v="0"/>
    <s v=""/>
    <n v="2803357765.5888777"/>
  </r>
  <r>
    <x v="0"/>
    <x v="19"/>
    <x v="19"/>
    <x v="5"/>
    <x v="0"/>
    <x v="2"/>
    <x v="10"/>
    <x v="8"/>
    <s v="Multi-Year"/>
    <x v="1"/>
    <s v="N/A"/>
    <s v=""/>
    <s v="Confirmed"/>
    <s v=""/>
    <x v="0"/>
    <x v="0"/>
    <m/>
    <x v="0"/>
    <x v="0"/>
    <m/>
    <n v="2"/>
    <x v="0"/>
    <s v="Moderate"/>
    <n v="337927779.25510043"/>
  </r>
  <r>
    <x v="0"/>
    <x v="20"/>
    <x v="20"/>
    <x v="3"/>
    <x v="0"/>
    <x v="2"/>
    <x v="10"/>
    <x v="8"/>
    <s v="Multi-Year"/>
    <x v="1"/>
    <s v="N/A"/>
    <s v=""/>
    <s v="Confirmed"/>
    <s v=""/>
    <x v="0"/>
    <x v="0"/>
    <m/>
    <x v="0"/>
    <x v="0"/>
    <m/>
    <n v="2"/>
    <x v="0"/>
    <s v="…"/>
    <n v="65979512.47399316"/>
  </r>
  <r>
    <x v="0"/>
    <x v="21"/>
    <x v="21"/>
    <x v="5"/>
    <x v="0"/>
    <x v="2"/>
    <x v="10"/>
    <x v="8"/>
    <s v="Multi-Year"/>
    <x v="1"/>
    <s v="N/A"/>
    <s v=""/>
    <s v="Confirmed"/>
    <s v=""/>
    <x v="0"/>
    <x v="0"/>
    <m/>
    <x v="2"/>
    <x v="0"/>
    <m/>
    <n v="0"/>
    <x v="1"/>
    <s v="High"/>
    <n v="63748362.778827004"/>
  </r>
  <r>
    <x v="0"/>
    <x v="22"/>
    <x v="22"/>
    <x v="6"/>
    <x v="0"/>
    <x v="2"/>
    <x v="10"/>
    <x v="8"/>
    <s v="Multi-Year"/>
    <x v="1"/>
    <s v="N/A"/>
    <n v="0"/>
    <s v="Confirmed"/>
    <s v=""/>
    <x v="0"/>
    <x v="0"/>
    <m/>
    <x v="2"/>
    <x v="0"/>
    <m/>
    <n v="0"/>
    <x v="0"/>
    <s v="Low"/>
    <n v="313039649.45369786"/>
  </r>
  <r>
    <x v="0"/>
    <x v="23"/>
    <x v="23"/>
    <x v="5"/>
    <x v="0"/>
    <x v="2"/>
    <x v="10"/>
    <x v="8"/>
    <s v="Multi-Year"/>
    <x v="1"/>
    <s v="N/A"/>
    <s v=""/>
    <s v="Confirmed"/>
    <s v=""/>
    <x v="0"/>
    <x v="0"/>
    <m/>
    <x v="2"/>
    <x v="0"/>
    <m/>
    <n v="2"/>
    <x v="0"/>
    <s v="High"/>
    <n v="81361801.477472037"/>
  </r>
  <r>
    <x v="0"/>
    <x v="24"/>
    <x v="24"/>
    <x v="5"/>
    <x v="0"/>
    <x v="2"/>
    <x v="10"/>
    <x v="8"/>
    <s v="Multi-Year"/>
    <x v="1"/>
    <s v="N/A"/>
    <s v=""/>
    <s v="Confirmed"/>
    <s v=""/>
    <x v="0"/>
    <x v="0"/>
    <m/>
    <x v="0"/>
    <x v="0"/>
    <m/>
    <n v="1"/>
    <x v="0"/>
    <s v="High"/>
    <s v=""/>
  </r>
  <r>
    <x v="0"/>
    <x v="25"/>
    <x v="25"/>
    <x v="5"/>
    <x v="0"/>
    <x v="2"/>
    <x v="10"/>
    <x v="8"/>
    <s v="Multi-Year"/>
    <x v="1"/>
    <s v="N/A"/>
    <s v=""/>
    <s v="Confirmed"/>
    <s v=""/>
    <x v="0"/>
    <x v="0"/>
    <m/>
    <x v="0"/>
    <x v="0"/>
    <m/>
    <n v="1"/>
    <x v="0"/>
    <s v="High"/>
    <n v="76939306.715636879"/>
  </r>
  <r>
    <x v="0"/>
    <x v="26"/>
    <x v="26"/>
    <x v="4"/>
    <x v="0"/>
    <x v="2"/>
    <x v="10"/>
    <x v="8"/>
    <s v="Multi-Year"/>
    <x v="1"/>
    <s v="N/A"/>
    <s v=""/>
    <s v="Confirmed"/>
    <s v=""/>
    <x v="0"/>
    <x v="0"/>
    <m/>
    <x v="3"/>
    <x v="1"/>
    <m/>
    <n v="0"/>
    <x v="0"/>
    <s v=""/>
    <n v="13859708717.682571"/>
  </r>
  <r>
    <x v="0"/>
    <x v="27"/>
    <x v="27"/>
    <x v="6"/>
    <x v="0"/>
    <x v="2"/>
    <x v="10"/>
    <x v="8"/>
    <s v="Multi-Year"/>
    <x v="1"/>
    <s v="N/A"/>
    <s v=""/>
    <s v="Confirmed"/>
    <s v=""/>
    <x v="0"/>
    <x v="0"/>
    <m/>
    <x v="1"/>
    <x v="1"/>
    <m/>
    <n v="0"/>
    <x v="0"/>
    <s v=""/>
    <n v="403567160707.7016"/>
  </r>
  <r>
    <x v="0"/>
    <x v="28"/>
    <x v="28"/>
    <x v="4"/>
    <x v="0"/>
    <x v="2"/>
    <x v="10"/>
    <x v="8"/>
    <s v="Multi-Year"/>
    <x v="1"/>
    <s v="N/A"/>
    <s v=""/>
    <s v="Confirmed"/>
    <s v=""/>
    <x v="0"/>
    <x v="0"/>
    <m/>
    <x v="1"/>
    <x v="1"/>
    <m/>
    <n v="0"/>
    <x v="0"/>
    <s v=""/>
    <n v="18250225995.972618"/>
  </r>
  <r>
    <x v="0"/>
    <x v="29"/>
    <x v="29"/>
    <x v="3"/>
    <x v="0"/>
    <x v="2"/>
    <x v="10"/>
    <x v="8"/>
    <s v="Multi-Year"/>
    <x v="1"/>
    <s v="N/A"/>
    <s v=""/>
    <s v="Confirmed"/>
    <s v=""/>
    <x v="0"/>
    <x v="0"/>
    <m/>
    <x v="2"/>
    <x v="0"/>
    <m/>
    <n v="0"/>
    <x v="1"/>
    <s v="Moderate"/>
    <n v="5027591.1682657599"/>
  </r>
  <r>
    <x v="0"/>
    <x v="30"/>
    <x v="30"/>
    <x v="5"/>
    <x v="0"/>
    <x v="2"/>
    <x v="10"/>
    <x v="8"/>
    <s v="Multi-Year"/>
    <x v="1"/>
    <s v="N/A"/>
    <s v=""/>
    <s v="Confirmed"/>
    <s v=""/>
    <x v="0"/>
    <x v="0"/>
    <m/>
    <x v="0"/>
    <x v="0"/>
    <m/>
    <n v="3"/>
    <x v="0"/>
    <s v="Moderate"/>
    <n v="234645958.63289919"/>
  </r>
  <r>
    <x v="0"/>
    <x v="31"/>
    <x v="31"/>
    <x v="5"/>
    <x v="0"/>
    <x v="2"/>
    <x v="10"/>
    <x v="8"/>
    <s v="Multi-Year"/>
    <x v="1"/>
    <s v="N/A"/>
    <s v=""/>
    <s v="Confirmed"/>
    <s v=""/>
    <x v="0"/>
    <x v="0"/>
    <m/>
    <x v="2"/>
    <x v="0"/>
    <m/>
    <n v="2"/>
    <x v="0"/>
    <s v="In distress"/>
    <n v="91590910.247314155"/>
  </r>
  <r>
    <x v="0"/>
    <x v="32"/>
    <x v="32"/>
    <x v="6"/>
    <x v="0"/>
    <x v="2"/>
    <x v="10"/>
    <x v="8"/>
    <s v="Multi-Year"/>
    <x v="1"/>
    <s v="N/A"/>
    <s v=""/>
    <s v="Confirmed"/>
    <s v=""/>
    <x v="0"/>
    <x v="0"/>
    <m/>
    <x v="4"/>
    <x v="1"/>
    <m/>
    <n v="0"/>
    <x v="1"/>
    <s v="N/A"/>
    <n v="8560012.8840167802"/>
  </r>
  <r>
    <x v="0"/>
    <x v="33"/>
    <x v="33"/>
    <x v="4"/>
    <x v="0"/>
    <x v="2"/>
    <x v="10"/>
    <x v="8"/>
    <s v="Multi-Year"/>
    <x v="1"/>
    <s v="N/A"/>
    <s v=""/>
    <s v="Confirmed"/>
    <s v=""/>
    <x v="0"/>
    <x v="0"/>
    <m/>
    <x v="1"/>
    <x v="1"/>
    <m/>
    <n v="0"/>
    <x v="0"/>
    <s v="N/A"/>
    <n v="3292372960.3962669"/>
  </r>
  <r>
    <x v="0"/>
    <x v="34"/>
    <x v="34"/>
    <x v="5"/>
    <x v="0"/>
    <x v="2"/>
    <x v="10"/>
    <x v="8"/>
    <s v="Multi-Year"/>
    <x v="1"/>
    <s v="N/A"/>
    <s v=""/>
    <s v="Confirmed"/>
    <s v=""/>
    <x v="0"/>
    <x v="0"/>
    <m/>
    <x v="2"/>
    <x v="0"/>
    <m/>
    <n v="0"/>
    <x v="0"/>
    <s v="Moderate"/>
    <n v="519209981.22981054"/>
  </r>
  <r>
    <x v="0"/>
    <x v="35"/>
    <x v="35"/>
    <x v="1"/>
    <x v="0"/>
    <x v="2"/>
    <x v="10"/>
    <x v="8"/>
    <s v="Multi-Year"/>
    <x v="1"/>
    <s v="N/A"/>
    <s v=""/>
    <s v="Confirmed"/>
    <s v=""/>
    <x v="0"/>
    <x v="0"/>
    <m/>
    <x v="3"/>
    <x v="1"/>
    <m/>
    <n v="0"/>
    <x v="0"/>
    <s v=""/>
    <n v="3464739907.1604805"/>
  </r>
  <r>
    <x v="0"/>
    <x v="36"/>
    <x v="36"/>
    <x v="4"/>
    <x v="0"/>
    <x v="2"/>
    <x v="10"/>
    <x v="8"/>
    <s v="Multi-Year"/>
    <x v="1"/>
    <s v="N/A"/>
    <s v=""/>
    <s v="Confirmed"/>
    <s v=""/>
    <x v="0"/>
    <x v="0"/>
    <m/>
    <x v="1"/>
    <x v="1"/>
    <m/>
    <n v="0"/>
    <x v="1"/>
    <s v=""/>
    <n v="9948521252.2569065"/>
  </r>
  <r>
    <x v="0"/>
    <x v="37"/>
    <x v="37"/>
    <x v="2"/>
    <x v="0"/>
    <x v="2"/>
    <x v="10"/>
    <x v="8"/>
    <s v="Multi-Year"/>
    <x v="1"/>
    <s v="N/A"/>
    <s v=""/>
    <s v="Confirmed"/>
    <s v=""/>
    <x v="0"/>
    <x v="0"/>
    <m/>
    <x v="2"/>
    <x v="0"/>
    <m/>
    <n v="1"/>
    <x v="0"/>
    <s v="High"/>
    <n v="33679192.765657313"/>
  </r>
  <r>
    <x v="0"/>
    <x v="38"/>
    <x v="38"/>
    <x v="4"/>
    <x v="0"/>
    <x v="2"/>
    <x v="10"/>
    <x v="8"/>
    <s v="Multi-Year"/>
    <x v="1"/>
    <s v="N/A"/>
    <s v=""/>
    <s v="Confirmed"/>
    <s v=""/>
    <x v="0"/>
    <x v="0"/>
    <m/>
    <x v="1"/>
    <x v="0"/>
    <m/>
    <n v="0"/>
    <x v="1"/>
    <s v="…"/>
    <n v="22784494.365742501"/>
  </r>
  <r>
    <x v="0"/>
    <x v="39"/>
    <x v="39"/>
    <x v="4"/>
    <x v="0"/>
    <x v="2"/>
    <x v="10"/>
    <x v="8"/>
    <s v="Multi-Year"/>
    <x v="1"/>
    <s v="N/A"/>
    <s v=""/>
    <s v="Confirmed"/>
    <s v=""/>
    <x v="0"/>
    <x v="0"/>
    <m/>
    <x v="1"/>
    <x v="1"/>
    <m/>
    <n v="0"/>
    <x v="1"/>
    <s v=""/>
    <n v="2173208011.4858823"/>
  </r>
  <r>
    <x v="0"/>
    <x v="40"/>
    <x v="40"/>
    <x v="4"/>
    <x v="0"/>
    <x v="2"/>
    <x v="10"/>
    <x v="8"/>
    <s v="Multi-Year"/>
    <x v="1"/>
    <s v="N/A"/>
    <s v=""/>
    <s v="Confirmed"/>
    <s v=""/>
    <x v="0"/>
    <x v="0"/>
    <m/>
    <x v="1"/>
    <x v="1"/>
    <m/>
    <n v="0"/>
    <x v="0"/>
    <s v="N/A"/>
    <n v="4585736158.8323269"/>
  </r>
  <r>
    <x v="0"/>
    <x v="41"/>
    <x v="41"/>
    <x v="2"/>
    <x v="0"/>
    <x v="2"/>
    <x v="10"/>
    <x v="8"/>
    <s v="Multi-Year"/>
    <x v="1"/>
    <s v="N/A"/>
    <s v=""/>
    <s v="Confirmed"/>
    <s v=""/>
    <x v="0"/>
    <x v="0"/>
    <m/>
    <x v="2"/>
    <x v="0"/>
    <m/>
    <n v="0"/>
    <x v="0"/>
    <s v="N/A"/>
    <n v="3550291584.8645592"/>
  </r>
  <r>
    <x v="0"/>
    <x v="42"/>
    <x v="42"/>
    <x v="4"/>
    <x v="0"/>
    <x v="2"/>
    <x v="10"/>
    <x v="8"/>
    <s v="Multi-Year"/>
    <x v="1"/>
    <s v="N/A"/>
    <s v=""/>
    <s v="Confirmed"/>
    <s v=""/>
    <x v="0"/>
    <x v="0"/>
    <m/>
    <x v="2"/>
    <x v="0"/>
    <m/>
    <n v="0"/>
    <x v="0"/>
    <s v="N/A"/>
    <n v="1182840319.0410969"/>
  </r>
  <r>
    <x v="0"/>
    <x v="43"/>
    <x v="43"/>
    <x v="4"/>
    <x v="0"/>
    <x v="2"/>
    <x v="10"/>
    <x v="8"/>
    <s v="Multi-Year"/>
    <x v="1"/>
    <s v="N/A"/>
    <s v=""/>
    <s v="Confirmed"/>
    <s v=""/>
    <x v="0"/>
    <x v="0"/>
    <m/>
    <x v="1"/>
    <x v="1"/>
    <m/>
    <n v="0"/>
    <x v="0"/>
    <s v=""/>
    <n v="81728347.604567245"/>
  </r>
  <r>
    <x v="0"/>
    <x v="44"/>
    <x v="44"/>
    <x v="3"/>
    <x v="0"/>
    <x v="2"/>
    <x v="10"/>
    <x v="8"/>
    <s v="Multi-Year"/>
    <x v="1"/>
    <s v="N/A"/>
    <s v=""/>
    <s v="Confirmed"/>
    <s v=""/>
    <x v="0"/>
    <x v="0"/>
    <m/>
    <x v="0"/>
    <x v="0"/>
    <m/>
    <n v="2"/>
    <x v="0"/>
    <s v="N/A"/>
    <n v="12787914.977715338"/>
  </r>
  <r>
    <x v="0"/>
    <x v="45"/>
    <x v="45"/>
    <x v="3"/>
    <x v="0"/>
    <x v="2"/>
    <x v="10"/>
    <x v="8"/>
    <s v="Multi-Year"/>
    <x v="1"/>
    <s v="N/A"/>
    <s v=""/>
    <s v="Confirmed"/>
    <s v=""/>
    <x v="0"/>
    <x v="0"/>
    <m/>
    <x v="2"/>
    <x v="0"/>
    <m/>
    <n v="2"/>
    <x v="0"/>
    <s v="N/A"/>
    <n v="101271737.65410839"/>
  </r>
  <r>
    <x v="0"/>
    <x v="46"/>
    <x v="46"/>
    <x v="3"/>
    <x v="0"/>
    <x v="2"/>
    <x v="10"/>
    <x v="8"/>
    <s v="Multi-Year"/>
    <x v="1"/>
    <s v="N/A"/>
    <s v=""/>
    <s v="Confirmed"/>
    <s v=""/>
    <x v="0"/>
    <x v="0"/>
    <m/>
    <x v="0"/>
    <x v="0"/>
    <m/>
    <n v="3"/>
    <x v="0"/>
    <s v="High"/>
    <n v="618344226.71759331"/>
  </r>
  <r>
    <x v="0"/>
    <x v="47"/>
    <x v="47"/>
    <x v="6"/>
    <x v="0"/>
    <x v="2"/>
    <x v="10"/>
    <x v="8"/>
    <s v="Multi-Year"/>
    <x v="1"/>
    <s v="N/A"/>
    <n v="0"/>
    <s v="Confirmed"/>
    <s v=""/>
    <x v="0"/>
    <x v="0"/>
    <m/>
    <x v="1"/>
    <x v="0"/>
    <m/>
    <n v="0"/>
    <x v="1"/>
    <s v="…"/>
    <n v="129483872.95906857"/>
  </r>
  <r>
    <x v="0"/>
    <x v="48"/>
    <x v="48"/>
    <x v="5"/>
    <x v="0"/>
    <x v="2"/>
    <x v="10"/>
    <x v="8"/>
    <s v="Multi-Year"/>
    <x v="1"/>
    <s v="N/A"/>
    <s v=""/>
    <s v="Confirmed"/>
    <s v=""/>
    <x v="0"/>
    <x v="0"/>
    <m/>
    <x v="1"/>
    <x v="1"/>
    <m/>
    <n v="0"/>
    <x v="0"/>
    <s v="N/A"/>
    <n v="271184658.35014349"/>
  </r>
  <r>
    <x v="0"/>
    <x v="49"/>
    <x v="49"/>
    <x v="5"/>
    <x v="0"/>
    <x v="2"/>
    <x v="10"/>
    <x v="8"/>
    <s v="Multi-Year"/>
    <x v="1"/>
    <s v="N/A"/>
    <s v=""/>
    <s v="Confirmed"/>
    <s v=""/>
    <x v="0"/>
    <x v="0"/>
    <m/>
    <x v="0"/>
    <x v="0"/>
    <m/>
    <n v="0"/>
    <x v="0"/>
    <s v="High"/>
    <n v="15455265.086884515"/>
  </r>
  <r>
    <x v="0"/>
    <x v="50"/>
    <x v="50"/>
    <x v="1"/>
    <x v="0"/>
    <x v="2"/>
    <x v="10"/>
    <x v="8"/>
    <s v="Multi-Year"/>
    <x v="1"/>
    <s v="N/A"/>
    <s v=""/>
    <s v="Confirmed"/>
    <s v=""/>
    <x v="0"/>
    <x v="0"/>
    <m/>
    <x v="1"/>
    <x v="1"/>
    <m/>
    <n v="0"/>
    <x v="0"/>
    <s v="N/A"/>
    <n v="494021502.525527"/>
  </r>
  <r>
    <x v="0"/>
    <x v="51"/>
    <x v="51"/>
    <x v="5"/>
    <x v="0"/>
    <x v="2"/>
    <x v="10"/>
    <x v="8"/>
    <s v="Multi-Year"/>
    <x v="1"/>
    <s v="N/A"/>
    <s v=""/>
    <s v="Confirmed"/>
    <s v=""/>
    <x v="0"/>
    <x v="0"/>
    <m/>
    <x v="2"/>
    <x v="0"/>
    <m/>
    <n v="0"/>
    <x v="0"/>
    <s v="High"/>
    <n v="902005621.73836684"/>
  </r>
  <r>
    <x v="0"/>
    <x v="52"/>
    <x v="52"/>
    <x v="4"/>
    <x v="0"/>
    <x v="2"/>
    <x v="10"/>
    <x v="8"/>
    <s v="Multi-Year"/>
    <x v="1"/>
    <s v="N/A"/>
    <s v=""/>
    <s v="Confirmed"/>
    <s v=""/>
    <x v="0"/>
    <x v="0"/>
    <m/>
    <x v="1"/>
    <x v="0"/>
    <m/>
    <n v="0"/>
    <x v="1"/>
    <s v="In distress"/>
    <n v="20201670.142996579"/>
  </r>
  <r>
    <x v="0"/>
    <x v="53"/>
    <x v="53"/>
    <x v="4"/>
    <x v="0"/>
    <x v="2"/>
    <x v="10"/>
    <x v="8"/>
    <s v="Multi-Year"/>
    <x v="1"/>
    <s v="N/A"/>
    <s v=""/>
    <s v="Confirmed"/>
    <s v=""/>
    <x v="0"/>
    <x v="0"/>
    <m/>
    <x v="1"/>
    <x v="1"/>
    <m/>
    <n v="0"/>
    <x v="0"/>
    <s v=""/>
    <n v="1612434649.6948864"/>
  </r>
  <r>
    <x v="0"/>
    <x v="54"/>
    <x v="54"/>
    <x v="5"/>
    <x v="0"/>
    <x v="2"/>
    <x v="10"/>
    <x v="8"/>
    <s v="Multi-Year"/>
    <x v="1"/>
    <s v="N/A"/>
    <s v=""/>
    <s v="Confirmed"/>
    <s v=""/>
    <x v="0"/>
    <x v="0"/>
    <m/>
    <x v="0"/>
    <x v="0"/>
    <m/>
    <n v="0"/>
    <x v="0"/>
    <s v="Moderate"/>
    <n v="78203134.118229344"/>
  </r>
  <r>
    <x v="0"/>
    <x v="55"/>
    <x v="55"/>
    <x v="5"/>
    <x v="0"/>
    <x v="2"/>
    <x v="10"/>
    <x v="8"/>
    <s v="Multi-Year"/>
    <x v="1"/>
    <s v="N/A"/>
    <s v=""/>
    <s v="Confirmed"/>
    <s v=""/>
    <x v="0"/>
    <x v="0"/>
    <m/>
    <x v="0"/>
    <x v="0"/>
    <m/>
    <n v="2"/>
    <x v="1"/>
    <s v="High"/>
    <n v="9151637.7411015611"/>
  </r>
  <r>
    <x v="0"/>
    <x v="56"/>
    <x v="56"/>
    <x v="4"/>
    <x v="0"/>
    <x v="2"/>
    <x v="10"/>
    <x v="8"/>
    <s v="Multi-Year"/>
    <x v="1"/>
    <s v="N/A"/>
    <s v=""/>
    <s v="Confirmed"/>
    <s v=""/>
    <x v="0"/>
    <x v="0"/>
    <m/>
    <x v="1"/>
    <x v="0"/>
    <m/>
    <n v="0"/>
    <x v="1"/>
    <s v="Moderate"/>
    <n v="142455920.02856269"/>
  </r>
  <r>
    <x v="0"/>
    <x v="57"/>
    <x v="57"/>
    <x v="4"/>
    <x v="0"/>
    <x v="2"/>
    <x v="10"/>
    <x v="8"/>
    <s v="Multi-Year"/>
    <x v="1"/>
    <s v="N/A"/>
    <s v=""/>
    <s v="Confirmed"/>
    <s v=""/>
    <x v="0"/>
    <x v="0"/>
    <m/>
    <x v="2"/>
    <x v="0"/>
    <m/>
    <n v="1"/>
    <x v="1"/>
    <s v="High"/>
    <n v="85611818.171245083"/>
  </r>
  <r>
    <x v="0"/>
    <x v="58"/>
    <x v="58"/>
    <x v="4"/>
    <x v="0"/>
    <x v="2"/>
    <x v="10"/>
    <x v="8"/>
    <s v="Multi-Year"/>
    <x v="1"/>
    <s v="N/A"/>
    <s v=""/>
    <s v="Confirmed"/>
    <s v=""/>
    <x v="0"/>
    <x v="0"/>
    <m/>
    <x v="2"/>
    <x v="0"/>
    <m/>
    <n v="0"/>
    <x v="0"/>
    <s v="Low"/>
    <n v="680289736.30082119"/>
  </r>
  <r>
    <x v="0"/>
    <x v="59"/>
    <x v="59"/>
    <x v="0"/>
    <x v="0"/>
    <x v="2"/>
    <x v="10"/>
    <x v="8"/>
    <s v="Multi-Year"/>
    <x v="1"/>
    <s v="N/A"/>
    <s v=""/>
    <s v="Confirmed"/>
    <s v=""/>
    <x v="0"/>
    <x v="0"/>
    <m/>
    <x v="2"/>
    <x v="0"/>
    <m/>
    <n v="0"/>
    <x v="0"/>
    <s v="N/A"/>
    <n v="26554332750.47023"/>
  </r>
  <r>
    <x v="0"/>
    <x v="60"/>
    <x v="60"/>
    <x v="6"/>
    <x v="0"/>
    <x v="2"/>
    <x v="10"/>
    <x v="8"/>
    <s v="Multi-Year"/>
    <x v="1"/>
    <s v="N/A"/>
    <n v="5452817"/>
    <s v="Confirmed"/>
    <s v=""/>
    <x v="0"/>
    <x v="0"/>
    <m/>
    <x v="2"/>
    <x v="0"/>
    <m/>
    <n v="0"/>
    <x v="0"/>
    <s v="N/A"/>
    <n v="14745961064.890842"/>
  </r>
  <r>
    <x v="0"/>
    <x v="61"/>
    <x v="61"/>
    <x v="2"/>
    <x v="0"/>
    <x v="2"/>
    <x v="10"/>
    <x v="8"/>
    <s v="Multi-Year"/>
    <x v="1"/>
    <s v="N/A"/>
    <s v=""/>
    <s v="Confirmed"/>
    <s v=""/>
    <x v="0"/>
    <x v="0"/>
    <m/>
    <x v="2"/>
    <x v="1"/>
    <m/>
    <n v="0"/>
    <x v="0"/>
    <s v="N/A"/>
    <n v="18194076299.786381"/>
  </r>
  <r>
    <x v="0"/>
    <x v="62"/>
    <x v="62"/>
    <x v="2"/>
    <x v="0"/>
    <x v="2"/>
    <x v="10"/>
    <x v="8"/>
    <s v="Multi-Year"/>
    <x v="1"/>
    <s v="N/A"/>
    <s v=""/>
    <s v="Confirmed"/>
    <s v=""/>
    <x v="0"/>
    <x v="0"/>
    <m/>
    <x v="1"/>
    <x v="1"/>
    <m/>
    <n v="0"/>
    <x v="0"/>
    <s v="N/A"/>
    <n v="4428819387.769825"/>
  </r>
  <r>
    <x v="0"/>
    <x v="63"/>
    <x v="63"/>
    <x v="4"/>
    <x v="0"/>
    <x v="2"/>
    <x v="10"/>
    <x v="8"/>
    <s v="Multi-Year"/>
    <x v="1"/>
    <s v="N/A"/>
    <s v=""/>
    <s v="Confirmed"/>
    <s v=""/>
    <x v="0"/>
    <x v="0"/>
    <m/>
    <x v="1"/>
    <x v="1"/>
    <m/>
    <n v="0"/>
    <x v="1"/>
    <s v=""/>
    <n v="611739560.62679195"/>
  </r>
  <r>
    <x v="0"/>
    <x v="64"/>
    <x v="64"/>
    <x v="2"/>
    <x v="0"/>
    <x v="2"/>
    <x v="10"/>
    <x v="8"/>
    <s v="Multi-Year"/>
    <x v="1"/>
    <s v="N/A"/>
    <s v=""/>
    <s v="Confirmed"/>
    <s v=""/>
    <x v="0"/>
    <x v="0"/>
    <m/>
    <x v="1"/>
    <x v="1"/>
    <m/>
    <n v="0"/>
    <x v="0"/>
    <s v="N/A"/>
    <n v="1617913383.0481031"/>
  </r>
  <r>
    <x v="0"/>
    <x v="65"/>
    <x v="65"/>
    <x v="1"/>
    <x v="0"/>
    <x v="2"/>
    <x v="10"/>
    <x v="8"/>
    <s v="Multi-Year"/>
    <x v="1"/>
    <s v="N/A"/>
    <s v=""/>
    <s v="Confirmed"/>
    <s v=""/>
    <x v="0"/>
    <x v="0"/>
    <m/>
    <x v="1"/>
    <x v="1"/>
    <m/>
    <n v="0"/>
    <x v="0"/>
    <s v=""/>
    <n v="3074419112.4562683"/>
  </r>
  <r>
    <x v="0"/>
    <x v="66"/>
    <x v="66"/>
    <x v="3"/>
    <x v="0"/>
    <x v="2"/>
    <x v="10"/>
    <x v="8"/>
    <s v="Multi-Year"/>
    <x v="1"/>
    <s v="N/A"/>
    <s v=""/>
    <s v="Confirmed"/>
    <s v=""/>
    <x v="0"/>
    <x v="0"/>
    <m/>
    <x v="2"/>
    <x v="0"/>
    <m/>
    <n v="0"/>
    <x v="0"/>
    <s v="High"/>
    <n v="1914014279.8929913"/>
  </r>
  <r>
    <x v="0"/>
    <x v="67"/>
    <x v="67"/>
    <x v="6"/>
    <x v="0"/>
    <x v="2"/>
    <x v="10"/>
    <x v="8"/>
    <s v="Multi-Year"/>
    <x v="1"/>
    <s v="N/A"/>
    <n v="6148491"/>
    <s v="Confirmed"/>
    <s v=""/>
    <x v="0"/>
    <x v="0"/>
    <m/>
    <x v="2"/>
    <x v="0"/>
    <m/>
    <n v="0"/>
    <x v="1"/>
    <s v="High"/>
    <n v="17422005.762907442"/>
  </r>
  <r>
    <x v="0"/>
    <x v="68"/>
    <x v="68"/>
    <x v="6"/>
    <x v="0"/>
    <x v="2"/>
    <x v="10"/>
    <x v="8"/>
    <s v="Multi-Year"/>
    <x v="1"/>
    <s v="N/A"/>
    <s v=""/>
    <s v="Confirmed"/>
    <s v=""/>
    <x v="0"/>
    <x v="0"/>
    <m/>
    <x v="0"/>
    <x v="0"/>
    <m/>
    <n v="0"/>
    <x v="0"/>
    <s v="N/A"/>
    <s v=""/>
  </r>
  <r>
    <x v="0"/>
    <x v="69"/>
    <x v="69"/>
    <x v="1"/>
    <x v="0"/>
    <x v="2"/>
    <x v="10"/>
    <x v="8"/>
    <s v="Multi-Year"/>
    <x v="1"/>
    <s v="N/A"/>
    <s v=""/>
    <s v="Confirmed"/>
    <s v=""/>
    <x v="0"/>
    <x v="0"/>
    <m/>
    <x v="1"/>
    <x v="0"/>
    <m/>
    <n v="0"/>
    <x v="0"/>
    <s v="…"/>
    <s v=""/>
  </r>
  <r>
    <x v="0"/>
    <x v="70"/>
    <x v="70"/>
    <x v="1"/>
    <x v="0"/>
    <x v="2"/>
    <x v="10"/>
    <x v="8"/>
    <s v="Multi-Year"/>
    <x v="1"/>
    <s v="N/A"/>
    <s v=""/>
    <s v="Confirmed"/>
    <s v=""/>
    <x v="0"/>
    <x v="0"/>
    <m/>
    <x v="2"/>
    <x v="0"/>
    <m/>
    <n v="2"/>
    <x v="0"/>
    <s v="Moderate"/>
    <n v="231506834.84347546"/>
  </r>
  <r>
    <x v="0"/>
    <x v="71"/>
    <x v="71"/>
    <x v="6"/>
    <x v="0"/>
    <x v="2"/>
    <x v="10"/>
    <x v="8"/>
    <s v="Multi-Year"/>
    <x v="1"/>
    <s v="N/A"/>
    <n v="2711076"/>
    <s v="Confirmed"/>
    <s v=""/>
    <x v="0"/>
    <x v="0"/>
    <m/>
    <x v="2"/>
    <x v="0"/>
    <m/>
    <n v="0"/>
    <x v="0"/>
    <s v="High"/>
    <n v="156059428.62944782"/>
  </r>
  <r>
    <x v="0"/>
    <x v="72"/>
    <x v="72"/>
    <x v="2"/>
    <x v="0"/>
    <x v="2"/>
    <x v="10"/>
    <x v="8"/>
    <s v="Multi-Year"/>
    <x v="1"/>
    <s v="N/A"/>
    <s v=""/>
    <s v="Confirmed"/>
    <s v=""/>
    <x v="0"/>
    <x v="0"/>
    <m/>
    <x v="1"/>
    <x v="1"/>
    <m/>
    <n v="0"/>
    <x v="0"/>
    <s v="N/A"/>
    <n v="2355391507.1635861"/>
  </r>
  <r>
    <x v="0"/>
    <x v="73"/>
    <x v="73"/>
    <x v="3"/>
    <x v="0"/>
    <x v="2"/>
    <x v="10"/>
    <x v="8"/>
    <s v="Multi-Year"/>
    <x v="1"/>
    <s v="N/A"/>
    <s v=""/>
    <s v="Confirmed"/>
    <s v=""/>
    <x v="0"/>
    <x v="0"/>
    <m/>
    <x v="2"/>
    <x v="0"/>
    <m/>
    <n v="0"/>
    <x v="0"/>
    <s v="Moderate"/>
    <n v="152760919.7684873"/>
  </r>
  <r>
    <x v="0"/>
    <x v="74"/>
    <x v="74"/>
    <x v="5"/>
    <x v="0"/>
    <x v="2"/>
    <x v="10"/>
    <x v="8"/>
    <s v="Multi-Year"/>
    <x v="1"/>
    <s v="N/A"/>
    <s v=""/>
    <s v="Confirmed"/>
    <s v=""/>
    <x v="0"/>
    <x v="0"/>
    <m/>
    <x v="0"/>
    <x v="0"/>
    <m/>
    <n v="0"/>
    <x v="0"/>
    <s v="High"/>
    <n v="55072006.864440605"/>
  </r>
  <r>
    <x v="0"/>
    <x v="75"/>
    <x v="75"/>
    <x v="2"/>
    <x v="0"/>
    <x v="2"/>
    <x v="10"/>
    <x v="8"/>
    <s v="Multi-Year"/>
    <x v="1"/>
    <s v="N/A"/>
    <s v=""/>
    <s v="Confirmed"/>
    <s v=""/>
    <x v="0"/>
    <x v="0"/>
    <m/>
    <x v="1"/>
    <x v="1"/>
    <m/>
    <n v="0"/>
    <x v="0"/>
    <s v="N/A"/>
    <s v=""/>
  </r>
  <r>
    <x v="0"/>
    <x v="76"/>
    <x v="76"/>
    <x v="3"/>
    <x v="0"/>
    <x v="2"/>
    <x v="10"/>
    <x v="8"/>
    <s v="Multi-Year"/>
    <x v="1"/>
    <s v="N/A"/>
    <s v=""/>
    <s v="Confirmed"/>
    <s v=""/>
    <x v="0"/>
    <x v="0"/>
    <m/>
    <x v="0"/>
    <x v="0"/>
    <m/>
    <n v="2"/>
    <x v="0"/>
    <s v="Moderate"/>
    <n v="206914157.05429548"/>
  </r>
  <r>
    <x v="0"/>
    <x v="77"/>
    <x v="77"/>
    <x v="3"/>
    <x v="0"/>
    <x v="2"/>
    <x v="10"/>
    <x v="8"/>
    <s v="Multi-Year"/>
    <x v="1"/>
    <s v="N/A"/>
    <s v=""/>
    <s v="Confirmed"/>
    <s v=""/>
    <x v="0"/>
    <x v="0"/>
    <m/>
    <x v="0"/>
    <x v="0"/>
    <m/>
    <n v="2"/>
    <x v="0"/>
    <s v="High"/>
    <n v="185999915.02066413"/>
  </r>
  <r>
    <x v="0"/>
    <x v="78"/>
    <x v="78"/>
    <x v="6"/>
    <x v="0"/>
    <x v="2"/>
    <x v="10"/>
    <x v="8"/>
    <s v="Multi-Year"/>
    <x v="1"/>
    <s v="N/A"/>
    <n v="10290519"/>
    <s v="Confirmed"/>
    <s v=""/>
    <x v="0"/>
    <x v="0"/>
    <m/>
    <x v="1"/>
    <x v="1"/>
    <m/>
    <n v="0"/>
    <x v="0"/>
    <s v=""/>
    <n v="6893755763.2501726"/>
  </r>
  <r>
    <x v="0"/>
    <x v="79"/>
    <x v="79"/>
    <x v="0"/>
    <x v="0"/>
    <x v="2"/>
    <x v="10"/>
    <x v="8"/>
    <s v="Multi-Year"/>
    <x v="1"/>
    <s v="N/A"/>
    <s v=""/>
    <s v="Confirmed"/>
    <s v=""/>
    <x v="0"/>
    <x v="0"/>
    <m/>
    <x v="1"/>
    <x v="0"/>
    <m/>
    <n v="0"/>
    <x v="1"/>
    <s v="High"/>
    <n v="354560231.58276606"/>
  </r>
  <r>
    <x v="0"/>
    <x v="80"/>
    <x v="80"/>
    <x v="5"/>
    <x v="0"/>
    <x v="2"/>
    <x v="10"/>
    <x v="8"/>
    <s v="Multi-Year"/>
    <x v="1"/>
    <s v="N/A"/>
    <s v=""/>
    <s v="Confirmed"/>
    <s v=""/>
    <x v="0"/>
    <x v="0"/>
    <m/>
    <x v="0"/>
    <x v="0"/>
    <m/>
    <n v="1"/>
    <x v="0"/>
    <s v="Moderate"/>
    <n v="188169167.56540567"/>
  </r>
  <r>
    <x v="0"/>
    <x v="81"/>
    <x v="81"/>
    <x v="6"/>
    <x v="0"/>
    <x v="2"/>
    <x v="10"/>
    <x v="8"/>
    <s v="Multi-Year"/>
    <x v="1"/>
    <s v="N/A"/>
    <s v=""/>
    <s v="Confirmed"/>
    <s v=""/>
    <x v="0"/>
    <x v="0"/>
    <m/>
    <x v="1"/>
    <x v="0"/>
    <m/>
    <n v="0"/>
    <x v="1"/>
    <s v=""/>
    <n v="16312106.556340856"/>
  </r>
  <r>
    <x v="0"/>
    <x v="82"/>
    <x v="82"/>
    <x v="5"/>
    <x v="0"/>
    <x v="2"/>
    <x v="10"/>
    <x v="8"/>
    <s v="Multi-Year"/>
    <x v="1"/>
    <s v="N/A"/>
    <s v=""/>
    <s v="Confirmed"/>
    <s v=""/>
    <x v="0"/>
    <x v="0"/>
    <m/>
    <x v="2"/>
    <x v="0"/>
    <m/>
    <n v="2"/>
    <x v="0"/>
    <s v="High"/>
    <n v="86083833.534053758"/>
  </r>
  <r>
    <x v="0"/>
    <x v="83"/>
    <x v="83"/>
    <x v="3"/>
    <x v="0"/>
    <x v="2"/>
    <x v="10"/>
    <x v="8"/>
    <s v="Multi-Year"/>
    <x v="1"/>
    <s v="N/A"/>
    <s v=""/>
    <s v="Confirmed"/>
    <s v=""/>
    <x v="0"/>
    <x v="0"/>
    <m/>
    <x v="1"/>
    <x v="1"/>
    <m/>
    <n v="0"/>
    <x v="1"/>
    <s v="N/A"/>
    <n v="357220835.93762809"/>
  </r>
  <r>
    <x v="0"/>
    <x v="84"/>
    <x v="84"/>
    <x v="4"/>
    <x v="0"/>
    <x v="2"/>
    <x v="10"/>
    <x v="8"/>
    <s v="Multi-Year"/>
    <x v="1"/>
    <s v="N/A"/>
    <s v=""/>
    <s v="Confirmed"/>
    <s v=""/>
    <x v="0"/>
    <x v="0"/>
    <m/>
    <x v="1"/>
    <x v="1"/>
    <m/>
    <n v="0"/>
    <x v="0"/>
    <s v=""/>
    <n v="32831598153.796387"/>
  </r>
  <r>
    <x v="0"/>
    <x v="85"/>
    <x v="85"/>
    <x v="6"/>
    <x v="0"/>
    <x v="2"/>
    <x v="10"/>
    <x v="8"/>
    <s v="Multi-Year"/>
    <x v="1"/>
    <s v="N/A"/>
    <s v=""/>
    <s v="Confirmed"/>
    <s v=""/>
    <x v="0"/>
    <x v="0"/>
    <m/>
    <x v="2"/>
    <x v="0"/>
    <m/>
    <n v="0"/>
    <x v="1"/>
    <s v="High"/>
    <n v="12329056.093798399"/>
  </r>
  <r>
    <x v="0"/>
    <x v="86"/>
    <x v="86"/>
    <x v="1"/>
    <x v="0"/>
    <x v="2"/>
    <x v="10"/>
    <x v="8"/>
    <s v="Multi-Year"/>
    <x v="1"/>
    <s v="N/A"/>
    <s v=""/>
    <s v="Confirmed"/>
    <s v=""/>
    <x v="0"/>
    <x v="0"/>
    <m/>
    <x v="1"/>
    <x v="0"/>
    <m/>
    <n v="0"/>
    <x v="0"/>
    <s v="Low"/>
    <n v="426639742.85328001"/>
  </r>
  <r>
    <x v="0"/>
    <x v="87"/>
    <x v="87"/>
    <x v="6"/>
    <x v="0"/>
    <x v="2"/>
    <x v="10"/>
    <x v="8"/>
    <s v="Multi-Year"/>
    <x v="1"/>
    <s v="N/A"/>
    <s v=""/>
    <s v="Confirmed"/>
    <s v=""/>
    <x v="0"/>
    <x v="0"/>
    <m/>
    <x v="2"/>
    <x v="0"/>
    <m/>
    <n v="0"/>
    <x v="0"/>
    <s v="…"/>
    <n v="288519671.85870522"/>
  </r>
  <r>
    <x v="0"/>
    <x v="88"/>
    <x v="88"/>
    <x v="1"/>
    <x v="0"/>
    <x v="2"/>
    <x v="10"/>
    <x v="8"/>
    <s v="Multi-Year"/>
    <x v="1"/>
    <s v="N/A"/>
    <s v=""/>
    <s v="Confirmed"/>
    <s v=""/>
    <x v="0"/>
    <x v="0"/>
    <m/>
    <x v="1"/>
    <x v="1"/>
    <m/>
    <n v="0"/>
    <x v="0"/>
    <s v="N/A"/>
    <n v="275606560.78491527"/>
  </r>
  <r>
    <x v="0"/>
    <x v="89"/>
    <x v="89"/>
    <x v="2"/>
    <x v="0"/>
    <x v="2"/>
    <x v="10"/>
    <x v="8"/>
    <s v="Multi-Year"/>
    <x v="1"/>
    <s v="N/A"/>
    <s v=""/>
    <s v="Confirmed"/>
    <s v=""/>
    <x v="0"/>
    <x v="0"/>
    <m/>
    <x v="2"/>
    <x v="0"/>
    <m/>
    <n v="0"/>
    <x v="0"/>
    <s v="N/A"/>
    <n v="2530937679.3725696"/>
  </r>
  <r>
    <x v="0"/>
    <x v="90"/>
    <x v="90"/>
    <x v="3"/>
    <x v="0"/>
    <x v="2"/>
    <x v="10"/>
    <x v="8"/>
    <s v="Multi-Year"/>
    <x v="1"/>
    <s v="N/A"/>
    <s v=""/>
    <s v="Confirmed"/>
    <s v=""/>
    <x v="0"/>
    <x v="0"/>
    <m/>
    <x v="0"/>
    <x v="0"/>
    <m/>
    <n v="0"/>
    <x v="0"/>
    <s v="In distress"/>
    <n v="251432156.86255455"/>
  </r>
  <r>
    <x v="0"/>
    <x v="91"/>
    <x v="91"/>
    <x v="6"/>
    <x v="0"/>
    <x v="2"/>
    <x v="10"/>
    <x v="8"/>
    <s v="Multi-Year"/>
    <x v="1"/>
    <s v="N/A"/>
    <n v="2956038"/>
    <s v="Confirmed"/>
    <s v=""/>
    <x v="0"/>
    <x v="0"/>
    <m/>
    <x v="2"/>
    <x v="0"/>
    <m/>
    <n v="0"/>
    <x v="0"/>
    <s v="Low"/>
    <n v="471534500.60109437"/>
  </r>
  <r>
    <x v="0"/>
    <x v="92"/>
    <x v="92"/>
    <x v="3"/>
    <x v="0"/>
    <x v="2"/>
    <x v="10"/>
    <x v="8"/>
    <s v="Multi-Year"/>
    <x v="1"/>
    <s v="N/A"/>
    <s v=""/>
    <s v="Confirmed"/>
    <s v=""/>
    <x v="0"/>
    <x v="0"/>
    <m/>
    <x v="1"/>
    <x v="1"/>
    <m/>
    <n v="0"/>
    <x v="0"/>
    <s v=""/>
    <n v="531677611.80447447"/>
  </r>
  <r>
    <x v="0"/>
    <x v="93"/>
    <x v="93"/>
    <x v="6"/>
    <x v="0"/>
    <x v="2"/>
    <x v="10"/>
    <x v="8"/>
    <s v="Multi-Year"/>
    <x v="1"/>
    <s v="N/A"/>
    <n v="0"/>
    <s v="Confirmed"/>
    <s v=""/>
    <x v="0"/>
    <x v="0"/>
    <m/>
    <x v="3"/>
    <x v="1"/>
    <m/>
    <n v="0"/>
    <x v="1"/>
    <s v=""/>
    <n v="8528751.6418357007"/>
  </r>
  <r>
    <x v="0"/>
    <x v="94"/>
    <x v="94"/>
    <x v="0"/>
    <x v="0"/>
    <x v="2"/>
    <x v="10"/>
    <x v="8"/>
    <s v="Multi-Year"/>
    <x v="1"/>
    <s v="N/A"/>
    <s v=""/>
    <s v="Confirmed"/>
    <s v=""/>
    <x v="0"/>
    <x v="0"/>
    <m/>
    <x v="2"/>
    <x v="0"/>
    <m/>
    <n v="0"/>
    <x v="0"/>
    <s v="Low"/>
    <n v="407084543.19089872"/>
  </r>
  <r>
    <x v="0"/>
    <x v="95"/>
    <x v="95"/>
    <x v="4"/>
    <x v="0"/>
    <x v="2"/>
    <x v="10"/>
    <x v="8"/>
    <s v="Multi-Year"/>
    <x v="1"/>
    <s v="N/A"/>
    <s v=""/>
    <s v="Confirmed"/>
    <s v=""/>
    <x v="0"/>
    <x v="0"/>
    <m/>
    <x v="2"/>
    <x v="0"/>
    <m/>
    <n v="0"/>
    <x v="0"/>
    <s v="Moderate"/>
    <n v="671998341.93592453"/>
  </r>
  <r>
    <x v="0"/>
    <x v="96"/>
    <x v="96"/>
    <x v="5"/>
    <x v="0"/>
    <x v="2"/>
    <x v="10"/>
    <x v="8"/>
    <s v="Multi-Year"/>
    <x v="1"/>
    <s v="N/A"/>
    <s v=""/>
    <s v="Confirmed"/>
    <s v=""/>
    <x v="0"/>
    <x v="0"/>
    <m/>
    <x v="0"/>
    <x v="0"/>
    <m/>
    <n v="1"/>
    <x v="0"/>
    <s v="Moderate"/>
    <n v="226203289.67158964"/>
  </r>
  <r>
    <x v="0"/>
    <x v="97"/>
    <x v="97"/>
    <x v="5"/>
    <x v="0"/>
    <x v="2"/>
    <x v="10"/>
    <x v="8"/>
    <s v="Multi-Year"/>
    <x v="1"/>
    <s v="N/A"/>
    <s v=""/>
    <s v="Confirmed"/>
    <s v=""/>
    <x v="0"/>
    <x v="0"/>
    <m/>
    <x v="2"/>
    <x v="0"/>
    <m/>
    <n v="3"/>
    <x v="0"/>
    <s v="…"/>
    <n v="2438881113.1244688"/>
  </r>
  <r>
    <x v="0"/>
    <x v="98"/>
    <x v="98"/>
    <x v="1"/>
    <x v="0"/>
    <x v="2"/>
    <x v="10"/>
    <x v="8"/>
    <s v="Multi-Year"/>
    <x v="1"/>
    <s v="N/A"/>
    <s v=""/>
    <s v="Confirmed"/>
    <s v=""/>
    <x v="0"/>
    <x v="0"/>
    <m/>
    <x v="1"/>
    <x v="1"/>
    <m/>
    <n v="0"/>
    <x v="0"/>
    <s v=""/>
    <n v="476517795.73174149"/>
  </r>
  <r>
    <x v="0"/>
    <x v="99"/>
    <x v="99"/>
    <x v="0"/>
    <x v="0"/>
    <x v="2"/>
    <x v="10"/>
    <x v="8"/>
    <s v="Multi-Year"/>
    <x v="1"/>
    <s v="N/A"/>
    <s v=""/>
    <s v="Confirmed"/>
    <s v=""/>
    <x v="0"/>
    <x v="0"/>
    <m/>
    <x v="2"/>
    <x v="0"/>
    <m/>
    <n v="0"/>
    <x v="0"/>
    <s v="…"/>
    <n v="3233351297.7679496"/>
  </r>
  <r>
    <x v="0"/>
    <x v="100"/>
    <x v="100"/>
    <x v="4"/>
    <x v="0"/>
    <x v="2"/>
    <x v="10"/>
    <x v="8"/>
    <s v="Multi-Year"/>
    <x v="1"/>
    <s v="N/A"/>
    <s v=""/>
    <s v="Confirmed"/>
    <s v=""/>
    <x v="0"/>
    <x v="0"/>
    <m/>
    <x v="3"/>
    <x v="1"/>
    <m/>
    <n v="0"/>
    <x v="1"/>
    <s v=""/>
    <n v="18180646.808608256"/>
  </r>
  <r>
    <x v="0"/>
    <x v="101"/>
    <x v="101"/>
    <x v="4"/>
    <x v="0"/>
    <x v="2"/>
    <x v="10"/>
    <x v="8"/>
    <s v="Multi-Year"/>
    <x v="1"/>
    <s v="N/A"/>
    <s v=""/>
    <s v="Confirmed"/>
    <s v=""/>
    <x v="0"/>
    <x v="0"/>
    <m/>
    <x v="1"/>
    <x v="1"/>
    <m/>
    <n v="0"/>
    <x v="0"/>
    <s v="N/A"/>
    <n v="3020530707.3485303"/>
  </r>
  <r>
    <x v="0"/>
    <x v="102"/>
    <x v="102"/>
    <x v="6"/>
    <x v="0"/>
    <x v="2"/>
    <x v="10"/>
    <x v="8"/>
    <s v="Multi-Year"/>
    <x v="1"/>
    <s v="N/A"/>
    <n v="0"/>
    <s v="Confirmed"/>
    <s v=""/>
    <x v="0"/>
    <x v="0"/>
    <m/>
    <x v="2"/>
    <x v="0"/>
    <m/>
    <n v="1"/>
    <x v="1"/>
    <s v="High"/>
    <n v="384406316.46074712"/>
  </r>
  <r>
    <x v="0"/>
    <x v="103"/>
    <x v="103"/>
    <x v="4"/>
    <x v="0"/>
    <x v="2"/>
    <x v="10"/>
    <x v="8"/>
    <s v="Multi-Year"/>
    <x v="1"/>
    <s v="N/A"/>
    <s v=""/>
    <s v="Confirmed"/>
    <s v=""/>
    <x v="0"/>
    <x v="0"/>
    <m/>
    <x v="1"/>
    <x v="1"/>
    <m/>
    <n v="0"/>
    <x v="0"/>
    <s v=""/>
    <n v="1218747108.9554784"/>
  </r>
  <r>
    <x v="0"/>
    <x v="104"/>
    <x v="104"/>
    <x v="4"/>
    <x v="0"/>
    <x v="2"/>
    <x v="10"/>
    <x v="8"/>
    <s v="Multi-Year"/>
    <x v="1"/>
    <s v="N/A"/>
    <s v=""/>
    <s v="Confirmed"/>
    <s v=""/>
    <x v="0"/>
    <x v="0"/>
    <m/>
    <x v="1"/>
    <x v="1"/>
    <m/>
    <n v="0"/>
    <x v="0"/>
    <s v=""/>
    <n v="7392665952.5895758"/>
  </r>
  <r>
    <x v="0"/>
    <x v="105"/>
    <x v="105"/>
    <x v="6"/>
    <x v="0"/>
    <x v="2"/>
    <x v="10"/>
    <x v="8"/>
    <s v="Multi-Year"/>
    <x v="1"/>
    <s v="N/A"/>
    <n v="0"/>
    <s v="Confirmed"/>
    <s v=""/>
    <x v="0"/>
    <x v="0"/>
    <m/>
    <x v="2"/>
    <x v="0"/>
    <m/>
    <n v="0"/>
    <x v="0"/>
    <s v="N/A"/>
    <n v="4754985988.6004429"/>
  </r>
  <r>
    <x v="0"/>
    <x v="106"/>
    <x v="106"/>
    <x v="1"/>
    <x v="0"/>
    <x v="2"/>
    <x v="10"/>
    <x v="8"/>
    <s v="Multi-Year"/>
    <x v="1"/>
    <s v="N/A"/>
    <s v=""/>
    <s v="Confirmed"/>
    <s v=""/>
    <x v="0"/>
    <x v="0"/>
    <m/>
    <x v="3"/>
    <x v="1"/>
    <m/>
    <n v="0"/>
    <x v="0"/>
    <s v=""/>
    <n v="26422210443.037273"/>
  </r>
  <r>
    <x v="0"/>
    <x v="107"/>
    <x v="107"/>
    <x v="1"/>
    <x v="0"/>
    <x v="2"/>
    <x v="10"/>
    <x v="8"/>
    <s v="Multi-Year"/>
    <x v="1"/>
    <s v="N/A"/>
    <s v=""/>
    <s v="Confirmed"/>
    <s v=""/>
    <x v="0"/>
    <x v="0"/>
    <m/>
    <x v="1"/>
    <x v="1"/>
    <m/>
    <n v="0"/>
    <x v="0"/>
    <s v=""/>
    <n v="10696495313.15033"/>
  </r>
  <r>
    <x v="0"/>
    <x v="108"/>
    <x v="108"/>
    <x v="1"/>
    <x v="0"/>
    <x v="2"/>
    <x v="10"/>
    <x v="8"/>
    <s v="Multi-Year"/>
    <x v="1"/>
    <s v="N/A"/>
    <s v=""/>
    <s v="Confirmed"/>
    <s v=""/>
    <x v="0"/>
    <x v="0"/>
    <m/>
    <x v="1"/>
    <x v="1"/>
    <m/>
    <n v="0"/>
    <x v="0"/>
    <s v=""/>
    <n v="52769713433.240509"/>
  </r>
  <r>
    <x v="0"/>
    <x v="109"/>
    <x v="109"/>
    <x v="3"/>
    <x v="0"/>
    <x v="2"/>
    <x v="10"/>
    <x v="8"/>
    <s v="Multi-Year"/>
    <x v="1"/>
    <s v="N/A"/>
    <s v=""/>
    <s v="Confirmed"/>
    <s v=""/>
    <x v="0"/>
    <x v="0"/>
    <m/>
    <x v="0"/>
    <x v="0"/>
    <m/>
    <n v="0"/>
    <x v="0"/>
    <s v="Moderate"/>
    <n v="225799814.51943746"/>
  </r>
  <r>
    <x v="0"/>
    <x v="110"/>
    <x v="110"/>
    <x v="6"/>
    <x v="0"/>
    <x v="2"/>
    <x v="10"/>
    <x v="8"/>
    <s v="Multi-Year"/>
    <x v="1"/>
    <s v="N/A"/>
    <n v="0"/>
    <s v="Confirmed"/>
    <s v=""/>
    <x v="0"/>
    <x v="0"/>
    <m/>
    <x v="2"/>
    <x v="0"/>
    <m/>
    <n v="0"/>
    <x v="1"/>
    <s v="High"/>
    <n v="32192988.027009469"/>
  </r>
  <r>
    <x v="0"/>
    <x v="111"/>
    <x v="111"/>
    <x v="5"/>
    <x v="0"/>
    <x v="2"/>
    <x v="10"/>
    <x v="8"/>
    <s v="Multi-Year"/>
    <x v="1"/>
    <s v="N/A"/>
    <s v=""/>
    <s v="Confirmed"/>
    <s v=""/>
    <x v="0"/>
    <x v="0"/>
    <m/>
    <x v="2"/>
    <x v="0"/>
    <m/>
    <n v="0"/>
    <x v="1"/>
    <s v="In distress"/>
    <n v="11633535.136477679"/>
  </r>
  <r>
    <x v="0"/>
    <x v="112"/>
    <x v="112"/>
    <x v="5"/>
    <x v="0"/>
    <x v="2"/>
    <x v="10"/>
    <x v="8"/>
    <s v="Multi-Year"/>
    <x v="1"/>
    <s v="N/A"/>
    <s v=""/>
    <s v="Confirmed"/>
    <s v=""/>
    <x v="0"/>
    <x v="0"/>
    <m/>
    <x v="2"/>
    <x v="0"/>
    <m/>
    <n v="2"/>
    <x v="0"/>
    <s v="Moderate"/>
    <n v="222008693.93354639"/>
  </r>
  <r>
    <x v="0"/>
    <x v="113"/>
    <x v="113"/>
    <x v="1"/>
    <x v="0"/>
    <x v="2"/>
    <x v="10"/>
    <x v="8"/>
    <s v="Multi-Year"/>
    <x v="1"/>
    <s v="N/A"/>
    <s v=""/>
    <s v="Confirmed"/>
    <s v=""/>
    <x v="0"/>
    <x v="0"/>
    <m/>
    <x v="1"/>
    <x v="1"/>
    <m/>
    <n v="0"/>
    <x v="0"/>
    <s v=""/>
    <n v="2564993795.1894679"/>
  </r>
  <r>
    <x v="0"/>
    <x v="114"/>
    <x v="114"/>
    <x v="3"/>
    <x v="0"/>
    <x v="2"/>
    <x v="10"/>
    <x v="8"/>
    <s v="Multi-Year"/>
    <x v="1"/>
    <s v="N/A"/>
    <s v=""/>
    <s v="Confirmed"/>
    <s v=""/>
    <x v="0"/>
    <x v="0"/>
    <m/>
    <x v="3"/>
    <x v="1"/>
    <m/>
    <n v="0"/>
    <x v="1"/>
    <s v="N/A"/>
    <n v="60237542.945069775"/>
  </r>
  <r>
    <x v="0"/>
    <x v="115"/>
    <x v="115"/>
    <x v="5"/>
    <x v="0"/>
    <x v="2"/>
    <x v="10"/>
    <x v="8"/>
    <s v="Multi-Year"/>
    <x v="1"/>
    <s v="N/A"/>
    <s v=""/>
    <s v="Confirmed"/>
    <s v=""/>
    <x v="0"/>
    <x v="0"/>
    <m/>
    <x v="0"/>
    <x v="0"/>
    <m/>
    <n v="0"/>
    <x v="0"/>
    <s v="High"/>
    <n v="63738640.538260505"/>
  </r>
  <r>
    <x v="0"/>
    <x v="116"/>
    <x v="116"/>
    <x v="6"/>
    <x v="0"/>
    <x v="2"/>
    <x v="10"/>
    <x v="8"/>
    <s v="Multi-Year"/>
    <x v="1"/>
    <s v="N/A"/>
    <n v="0"/>
    <s v="Confirmed"/>
    <s v=""/>
    <x v="0"/>
    <x v="0"/>
    <m/>
    <x v="2"/>
    <x v="0"/>
    <m/>
    <n v="0"/>
    <x v="1"/>
    <s v="Moderate"/>
    <n v="49012774.055630356"/>
  </r>
  <r>
    <x v="0"/>
    <x v="117"/>
    <x v="117"/>
    <x v="3"/>
    <x v="0"/>
    <x v="2"/>
    <x v="10"/>
    <x v="8"/>
    <s v="Multi-Year"/>
    <x v="1"/>
    <s v="N/A"/>
    <s v=""/>
    <s v="Confirmed"/>
    <s v=""/>
    <x v="0"/>
    <x v="0"/>
    <m/>
    <x v="0"/>
    <x v="0"/>
    <m/>
    <n v="1"/>
    <x v="0"/>
    <s v="In distress"/>
    <s v=""/>
  </r>
  <r>
    <x v="0"/>
    <x v="118"/>
    <x v="118"/>
    <x v="3"/>
    <x v="0"/>
    <x v="2"/>
    <x v="10"/>
    <x v="8"/>
    <s v="Multi-Year"/>
    <x v="1"/>
    <s v="N/A"/>
    <s v=""/>
    <s v="Confirmed"/>
    <s v=""/>
    <x v="0"/>
    <x v="0"/>
    <m/>
    <x v="1"/>
    <x v="1"/>
    <m/>
    <n v="0"/>
    <x v="0"/>
    <s v="N/A"/>
    <n v="16429121142.784708"/>
  </r>
  <r>
    <x v="0"/>
    <x v="119"/>
    <x v="119"/>
    <x v="3"/>
    <x v="0"/>
    <x v="2"/>
    <x v="10"/>
    <x v="8"/>
    <s v="Multi-Year"/>
    <x v="1"/>
    <s v="N/A"/>
    <s v=""/>
    <s v="Confirmed"/>
    <s v=""/>
    <x v="0"/>
    <x v="0"/>
    <m/>
    <x v="0"/>
    <x v="0"/>
    <m/>
    <n v="1"/>
    <x v="0"/>
    <s v="High"/>
    <n v="31684581.76217727"/>
  </r>
  <r>
    <x v="0"/>
    <x v="120"/>
    <x v="120"/>
    <x v="0"/>
    <x v="0"/>
    <x v="2"/>
    <x v="10"/>
    <x v="8"/>
    <s v="Multi-Year"/>
    <x v="1"/>
    <s v="N/A"/>
    <s v=""/>
    <s v="Confirmed"/>
    <s v=""/>
    <x v="0"/>
    <x v="0"/>
    <m/>
    <x v="2"/>
    <x v="0"/>
    <m/>
    <n v="0"/>
    <x v="0"/>
    <s v="N/A"/>
    <n v="1373621563.5182886"/>
  </r>
  <r>
    <x v="0"/>
    <x v="121"/>
    <x v="121"/>
    <x v="4"/>
    <x v="0"/>
    <x v="2"/>
    <x v="10"/>
    <x v="8"/>
    <s v="Multi-Year"/>
    <x v="1"/>
    <s v="N/A"/>
    <s v=""/>
    <s v="Confirmed"/>
    <s v=""/>
    <x v="0"/>
    <x v="0"/>
    <m/>
    <x v="3"/>
    <x v="1"/>
    <m/>
    <n v="0"/>
    <x v="1"/>
    <s v=""/>
    <n v="24214370.889062837"/>
  </r>
  <r>
    <x v="0"/>
    <x v="122"/>
    <x v="122"/>
    <x v="4"/>
    <x v="0"/>
    <x v="2"/>
    <x v="10"/>
    <x v="8"/>
    <s v="Multi-Year"/>
    <x v="1"/>
    <s v="N/A"/>
    <s v=""/>
    <s v="Confirmed"/>
    <s v=""/>
    <x v="0"/>
    <x v="0"/>
    <m/>
    <x v="1"/>
    <x v="0"/>
    <m/>
    <n v="0"/>
    <x v="1"/>
    <s v="…"/>
    <n v="39941279.609447442"/>
  </r>
  <r>
    <x v="0"/>
    <x v="123"/>
    <x v="123"/>
    <x v="4"/>
    <x v="0"/>
    <x v="2"/>
    <x v="10"/>
    <x v="8"/>
    <s v="Multi-Year"/>
    <x v="1"/>
    <s v="N/A"/>
    <s v=""/>
    <s v="Confirmed"/>
    <s v=""/>
    <x v="0"/>
    <x v="0"/>
    <m/>
    <x v="1"/>
    <x v="0"/>
    <m/>
    <n v="0"/>
    <x v="1"/>
    <s v="High"/>
    <n v="24761675.260059897"/>
  </r>
  <r>
    <x v="0"/>
    <x v="124"/>
    <x v="124"/>
    <x v="2"/>
    <x v="0"/>
    <x v="2"/>
    <x v="10"/>
    <x v="8"/>
    <s v="Multi-Year"/>
    <x v="1"/>
    <s v="N/A"/>
    <s v=""/>
    <s v="Confirmed"/>
    <s v=""/>
    <x v="0"/>
    <x v="0"/>
    <m/>
    <x v="2"/>
    <x v="0"/>
    <m/>
    <n v="0"/>
    <x v="0"/>
    <s v="N/A"/>
    <s v=""/>
  </r>
  <r>
    <x v="0"/>
    <x v="125"/>
    <x v="125"/>
    <x v="2"/>
    <x v="0"/>
    <x v="2"/>
    <x v="10"/>
    <x v="8"/>
    <s v="Multi-Year"/>
    <x v="1"/>
    <s v="N/A"/>
    <s v=""/>
    <s v="Confirmed"/>
    <s v=""/>
    <x v="0"/>
    <x v="0"/>
    <m/>
    <x v="0"/>
    <x v="0"/>
    <m/>
    <n v="1"/>
    <x v="0"/>
    <s v="N/A"/>
    <n v="577156172.71229994"/>
  </r>
  <r>
    <x v="0"/>
    <x v="126"/>
    <x v="126"/>
    <x v="6"/>
    <x v="0"/>
    <x v="2"/>
    <x v="10"/>
    <x v="8"/>
    <s v="Multi-Year"/>
    <x v="1"/>
    <s v="N/A"/>
    <s v=""/>
    <s v="Confirmed"/>
    <s v=""/>
    <x v="0"/>
    <x v="0"/>
    <m/>
    <x v="1"/>
    <x v="1"/>
    <m/>
    <n v="0"/>
    <x v="1"/>
    <s v=""/>
    <n v="180052034.19851837"/>
  </r>
  <r>
    <x v="0"/>
    <x v="127"/>
    <x v="127"/>
    <x v="2"/>
    <x v="0"/>
    <x v="2"/>
    <x v="10"/>
    <x v="8"/>
    <s v="Multi-Year"/>
    <x v="1"/>
    <s v="N/A"/>
    <s v=""/>
    <s v="Confirmed"/>
    <s v=""/>
    <x v="0"/>
    <x v="0"/>
    <m/>
    <x v="0"/>
    <x v="0"/>
    <m/>
    <n v="1"/>
    <x v="0"/>
    <s v="N/A"/>
    <s v=""/>
  </r>
  <r>
    <x v="0"/>
    <x v="128"/>
    <x v="128"/>
    <x v="1"/>
    <x v="0"/>
    <x v="2"/>
    <x v="10"/>
    <x v="8"/>
    <s v="Multi-Year"/>
    <x v="1"/>
    <s v="N/A"/>
    <s v=""/>
    <s v="Confirmed"/>
    <s v=""/>
    <x v="0"/>
    <x v="0"/>
    <m/>
    <x v="2"/>
    <x v="0"/>
    <m/>
    <n v="0"/>
    <x v="0"/>
    <s v="High"/>
    <n v="147296124.32232863"/>
  </r>
  <r>
    <x v="0"/>
    <x v="129"/>
    <x v="129"/>
    <x v="3"/>
    <x v="0"/>
    <x v="2"/>
    <x v="10"/>
    <x v="8"/>
    <s v="Multi-Year"/>
    <x v="1"/>
    <s v="N/A"/>
    <s v=""/>
    <s v="Confirmed"/>
    <s v=""/>
    <x v="0"/>
    <x v="0"/>
    <m/>
    <x v="2"/>
    <x v="0"/>
    <m/>
    <n v="0"/>
    <x v="0"/>
    <s v="…"/>
    <n v="890576536.83065879"/>
  </r>
  <r>
    <x v="0"/>
    <x v="130"/>
    <x v="130"/>
    <x v="6"/>
    <x v="0"/>
    <x v="2"/>
    <x v="10"/>
    <x v="8"/>
    <s v="Multi-Year"/>
    <x v="1"/>
    <s v="N/A"/>
    <s v=""/>
    <s v="Confirmed"/>
    <s v=""/>
    <x v="0"/>
    <x v="0"/>
    <m/>
    <x v="1"/>
    <x v="1"/>
    <m/>
    <n v="0"/>
    <x v="0"/>
    <s v=""/>
    <n v="14611129792.346064"/>
  </r>
  <r>
    <x v="0"/>
    <x v="131"/>
    <x v="131"/>
    <x v="6"/>
    <x v="0"/>
    <x v="2"/>
    <x v="10"/>
    <x v="8"/>
    <s v="Multi-Year"/>
    <x v="1"/>
    <s v="N/A"/>
    <n v="2678432"/>
    <s v="Confirmed"/>
    <s v=""/>
    <x v="0"/>
    <x v="0"/>
    <m/>
    <x v="2"/>
    <x v="0"/>
    <m/>
    <n v="0"/>
    <x v="1"/>
    <s v="Low"/>
    <n v="72046877.233008593"/>
  </r>
  <r>
    <x v="0"/>
    <x v="132"/>
    <x v="132"/>
    <x v="5"/>
    <x v="0"/>
    <x v="2"/>
    <x v="10"/>
    <x v="8"/>
    <s v="Multi-Year"/>
    <x v="1"/>
    <s v="N/A"/>
    <s v=""/>
    <s v="Confirmed"/>
    <s v=""/>
    <x v="0"/>
    <x v="0"/>
    <m/>
    <x v="0"/>
    <x v="0"/>
    <m/>
    <n v="0"/>
    <x v="0"/>
    <s v="High"/>
    <n v="56248139.267255567"/>
  </r>
  <r>
    <x v="0"/>
    <x v="133"/>
    <x v="133"/>
    <x v="6"/>
    <x v="0"/>
    <x v="2"/>
    <x v="10"/>
    <x v="8"/>
    <s v="Multi-Year"/>
    <x v="1"/>
    <s v="N/A"/>
    <n v="0"/>
    <s v="Confirmed"/>
    <s v=""/>
    <x v="0"/>
    <x v="0"/>
    <m/>
    <x v="1"/>
    <x v="0"/>
    <m/>
    <n v="0"/>
    <x v="1"/>
    <s v="High"/>
    <n v="15464031.712942109"/>
  </r>
  <r>
    <x v="0"/>
    <x v="134"/>
    <x v="134"/>
    <x v="4"/>
    <x v="0"/>
    <x v="2"/>
    <x v="10"/>
    <x v="8"/>
    <s v="Multi-Year"/>
    <x v="1"/>
    <s v="N/A"/>
    <s v=""/>
    <s v="Confirmed"/>
    <s v=""/>
    <x v="0"/>
    <x v="0"/>
    <m/>
    <x v="3"/>
    <x v="1"/>
    <m/>
    <n v="0"/>
    <x v="1"/>
    <s v="N/A"/>
    <n v="769564399.33249676"/>
  </r>
  <r>
    <x v="0"/>
    <x v="135"/>
    <x v="135"/>
    <x v="2"/>
    <x v="0"/>
    <x v="2"/>
    <x v="10"/>
    <x v="8"/>
    <s v="Multi-Year"/>
    <x v="1"/>
    <s v="N/A"/>
    <s v=""/>
    <s v="Confirmed"/>
    <s v=""/>
    <x v="0"/>
    <x v="0"/>
    <m/>
    <x v="2"/>
    <x v="0"/>
    <m/>
    <n v="0"/>
    <x v="0"/>
    <s v="N/A"/>
    <n v="1668954539.7630196"/>
  </r>
  <r>
    <x v="0"/>
    <x v="136"/>
    <x v="136"/>
    <x v="1"/>
    <x v="0"/>
    <x v="2"/>
    <x v="10"/>
    <x v="8"/>
    <s v="Multi-Year"/>
    <x v="1"/>
    <s v="N/A"/>
    <s v=""/>
    <s v="Confirmed"/>
    <s v=""/>
    <x v="0"/>
    <x v="0"/>
    <m/>
    <x v="1"/>
    <x v="1"/>
    <m/>
    <n v="0"/>
    <x v="0"/>
    <s v=""/>
    <n v="24840920016.18832"/>
  </r>
  <r>
    <x v="0"/>
    <x v="137"/>
    <x v="137"/>
    <x v="1"/>
    <x v="0"/>
    <x v="2"/>
    <x v="10"/>
    <x v="8"/>
    <s v="Multi-Year"/>
    <x v="1"/>
    <s v="N/A"/>
    <s v=""/>
    <s v="Confirmed"/>
    <s v=""/>
    <x v="0"/>
    <x v="0"/>
    <m/>
    <x v="1"/>
    <x v="1"/>
    <m/>
    <n v="0"/>
    <x v="0"/>
    <s v="N/A"/>
    <n v="487888462.83720118"/>
  </r>
  <r>
    <x v="0"/>
    <x v="138"/>
    <x v="138"/>
    <x v="6"/>
    <x v="0"/>
    <x v="2"/>
    <x v="10"/>
    <x v="8"/>
    <s v="Multi-Year"/>
    <x v="1"/>
    <s v="N/A"/>
    <n v="0"/>
    <s v="Confirmed"/>
    <s v=""/>
    <x v="0"/>
    <x v="0"/>
    <m/>
    <x v="1"/>
    <x v="0"/>
    <m/>
    <n v="0"/>
    <x v="1"/>
    <s v="…"/>
    <n v="6365061.1736073596"/>
  </r>
  <r>
    <x v="0"/>
    <x v="139"/>
    <x v="139"/>
    <x v="3"/>
    <x v="0"/>
    <x v="2"/>
    <x v="10"/>
    <x v="8"/>
    <s v="Multi-Year"/>
    <x v="1"/>
    <s v="N/A"/>
    <s v=""/>
    <s v="Confirmed"/>
    <s v=""/>
    <x v="0"/>
    <x v="0"/>
    <m/>
    <x v="0"/>
    <x v="0"/>
    <m/>
    <n v="2"/>
    <x v="0"/>
    <s v="Low"/>
    <n v="291799092.90196139"/>
  </r>
  <r>
    <x v="0"/>
    <x v="140"/>
    <x v="140"/>
    <x v="1"/>
    <x v="0"/>
    <x v="2"/>
    <x v="10"/>
    <x v="8"/>
    <s v="Multi-Year"/>
    <x v="1"/>
    <s v="N/A"/>
    <s v=""/>
    <s v="Confirmed"/>
    <s v=""/>
    <x v="0"/>
    <x v="0"/>
    <m/>
    <x v="2"/>
    <x v="0"/>
    <m/>
    <n v="0"/>
    <x v="0"/>
    <s v="N/A"/>
    <n v="4844815340.2135534"/>
  </r>
  <r>
    <x v="0"/>
    <x v="141"/>
    <x v="141"/>
    <x v="4"/>
    <x v="0"/>
    <x v="2"/>
    <x v="10"/>
    <x v="8"/>
    <s v="Multi-Year"/>
    <x v="1"/>
    <s v="N/A"/>
    <s v=""/>
    <s v="Confirmed"/>
    <s v=""/>
    <x v="0"/>
    <x v="0"/>
    <m/>
    <x v="3"/>
    <x v="1"/>
    <m/>
    <n v="0"/>
    <x v="0"/>
    <s v=""/>
    <n v="4001891446.6871672"/>
  </r>
  <r>
    <x v="0"/>
    <x v="142"/>
    <x v="142"/>
    <x v="1"/>
    <x v="0"/>
    <x v="2"/>
    <x v="10"/>
    <x v="8"/>
    <s v="Multi-Year"/>
    <x v="1"/>
    <s v="N/A"/>
    <s v=""/>
    <s v="Confirmed"/>
    <s v=""/>
    <x v="0"/>
    <x v="0"/>
    <m/>
    <x v="2"/>
    <x v="0"/>
    <m/>
    <n v="0"/>
    <x v="0"/>
    <s v="Low"/>
    <n v="1019800630.5853213"/>
  </r>
  <r>
    <x v="0"/>
    <x v="143"/>
    <x v="143"/>
    <x v="6"/>
    <x v="0"/>
    <x v="2"/>
    <x v="10"/>
    <x v="8"/>
    <s v="Multi-Year"/>
    <x v="1"/>
    <s v="N/A"/>
    <n v="0"/>
    <s v="Confirmed"/>
    <s v=""/>
    <x v="0"/>
    <x v="0"/>
    <m/>
    <x v="2"/>
    <x v="0"/>
    <m/>
    <n v="0"/>
    <x v="1"/>
    <s v="Moderate"/>
    <n v="19578671.310841195"/>
  </r>
  <r>
    <x v="0"/>
    <x v="144"/>
    <x v="144"/>
    <x v="4"/>
    <x v="0"/>
    <x v="2"/>
    <x v="10"/>
    <x v="8"/>
    <s v="Multi-Year"/>
    <x v="1"/>
    <s v="N/A"/>
    <s v=""/>
    <s v="Confirmed"/>
    <s v=""/>
    <x v="0"/>
    <x v="0"/>
    <m/>
    <x v="4"/>
    <x v="1"/>
    <m/>
    <n v="0"/>
    <x v="0"/>
    <s v="N/A"/>
    <n v="3551452001.0684834"/>
  </r>
  <r>
    <x v="0"/>
    <x v="145"/>
    <x v="145"/>
    <x v="6"/>
    <x v="0"/>
    <x v="2"/>
    <x v="10"/>
    <x v="8"/>
    <s v="Multi-Year"/>
    <x v="1"/>
    <s v="N/A"/>
    <n v="0"/>
    <s v="Confirmed"/>
    <s v=""/>
    <x v="0"/>
    <x v="0"/>
    <m/>
    <x v="2"/>
    <x v="0"/>
    <m/>
    <n v="0"/>
    <x v="0"/>
    <s v="N/A"/>
    <n v="6603048821.7575006"/>
  </r>
  <r>
    <x v="0"/>
    <x v="146"/>
    <x v="146"/>
    <x v="2"/>
    <x v="0"/>
    <x v="2"/>
    <x v="10"/>
    <x v="8"/>
    <s v="Multi-Year"/>
    <x v="1"/>
    <s v="N/A"/>
    <s v=""/>
    <s v="Confirmed"/>
    <s v=""/>
    <x v="0"/>
    <x v="0"/>
    <m/>
    <x v="0"/>
    <x v="0"/>
    <m/>
    <n v="1"/>
    <x v="0"/>
    <s v="…"/>
    <s v=""/>
  </r>
  <r>
    <x v="0"/>
    <x v="147"/>
    <x v="147"/>
    <x v="3"/>
    <x v="0"/>
    <x v="2"/>
    <x v="10"/>
    <x v="8"/>
    <s v="Multi-Year"/>
    <x v="1"/>
    <s v="N/A"/>
    <s v=""/>
    <s v="Confirmed"/>
    <s v=""/>
    <x v="0"/>
    <x v="0"/>
    <m/>
    <x v="2"/>
    <x v="0"/>
    <m/>
    <n v="0"/>
    <x v="0"/>
    <s v="High"/>
    <n v="515352723.9821828"/>
  </r>
  <r>
    <x v="0"/>
    <x v="148"/>
    <x v="148"/>
    <x v="3"/>
    <x v="0"/>
    <x v="2"/>
    <x v="10"/>
    <x v="8"/>
    <s v="Multi-Year"/>
    <x v="1"/>
    <s v="N/A"/>
    <s v=""/>
    <s v="Confirmed"/>
    <s v=""/>
    <x v="0"/>
    <x v="0"/>
    <m/>
    <x v="2"/>
    <x v="0"/>
    <m/>
    <n v="0"/>
    <x v="0"/>
    <s v="N/A"/>
    <n v="566711742.22428358"/>
  </r>
  <r>
    <x v="0"/>
    <x v="0"/>
    <x v="0"/>
    <x v="0"/>
    <x v="0"/>
    <x v="2"/>
    <x v="10"/>
    <x v="8"/>
    <n v="2021"/>
    <x v="1"/>
    <s v="N/A"/>
    <s v=""/>
    <s v="Confirmed"/>
    <s v=""/>
    <x v="1"/>
    <x v="1"/>
    <m/>
    <x v="0"/>
    <x v="0"/>
    <m/>
    <n v="1"/>
    <x v="0"/>
    <s v="High"/>
    <n v="95829480.719269618"/>
  </r>
  <r>
    <x v="0"/>
    <x v="1"/>
    <x v="1"/>
    <x v="1"/>
    <x v="0"/>
    <x v="2"/>
    <x v="10"/>
    <x v="8"/>
    <n v="2021"/>
    <x v="1"/>
    <s v="N/A"/>
    <s v=""/>
    <s v="Confirmed"/>
    <s v=""/>
    <x v="1"/>
    <x v="1"/>
    <m/>
    <x v="1"/>
    <x v="1"/>
    <m/>
    <n v="0"/>
    <x v="0"/>
    <s v=""/>
    <n v="427904035.52443534"/>
  </r>
  <r>
    <x v="0"/>
    <x v="2"/>
    <x v="2"/>
    <x v="2"/>
    <x v="0"/>
    <x v="2"/>
    <x v="10"/>
    <x v="8"/>
    <n v="2021"/>
    <x v="1"/>
    <s v="N/A"/>
    <s v=""/>
    <s v="Confirmed"/>
    <s v=""/>
    <x v="1"/>
    <x v="1"/>
    <m/>
    <x v="2"/>
    <x v="0"/>
    <m/>
    <n v="0"/>
    <x v="0"/>
    <s v="N/A"/>
    <n v="7113361022.7267885"/>
  </r>
  <r>
    <x v="0"/>
    <x v="3"/>
    <x v="3"/>
    <x v="3"/>
    <x v="0"/>
    <x v="2"/>
    <x v="10"/>
    <x v="8"/>
    <n v="2021"/>
    <x v="1"/>
    <s v="N/A"/>
    <s v=""/>
    <s v="Confirmed"/>
    <s v=""/>
    <x v="1"/>
    <x v="1"/>
    <m/>
    <x v="2"/>
    <x v="0"/>
    <m/>
    <n v="0"/>
    <x v="0"/>
    <s v="…"/>
    <n v="1131865946.5875781"/>
  </r>
  <r>
    <x v="0"/>
    <x v="4"/>
    <x v="4"/>
    <x v="4"/>
    <x v="0"/>
    <x v="2"/>
    <x v="10"/>
    <x v="8"/>
    <n v="2021"/>
    <x v="1"/>
    <s v="N/A"/>
    <s v=""/>
    <s v="Confirmed"/>
    <s v=""/>
    <x v="1"/>
    <x v="1"/>
    <m/>
    <x v="3"/>
    <x v="1"/>
    <m/>
    <n v="0"/>
    <x v="1"/>
    <s v=""/>
    <n v="46777779.823447868"/>
  </r>
  <r>
    <x v="0"/>
    <x v="5"/>
    <x v="5"/>
    <x v="4"/>
    <x v="0"/>
    <x v="2"/>
    <x v="10"/>
    <x v="8"/>
    <n v="2021"/>
    <x v="1"/>
    <s v="N/A"/>
    <s v=""/>
    <s v="Confirmed"/>
    <s v=""/>
    <x v="1"/>
    <x v="1"/>
    <m/>
    <x v="1"/>
    <x v="1"/>
    <m/>
    <n v="0"/>
    <x v="0"/>
    <s v=""/>
    <n v="30725305777.596794"/>
  </r>
  <r>
    <x v="0"/>
    <x v="6"/>
    <x v="6"/>
    <x v="1"/>
    <x v="0"/>
    <x v="2"/>
    <x v="10"/>
    <x v="8"/>
    <n v="2021"/>
    <x v="1"/>
    <s v="N/A"/>
    <s v=""/>
    <s v="Confirmed"/>
    <s v=""/>
    <x v="1"/>
    <x v="1"/>
    <m/>
    <x v="1"/>
    <x v="1"/>
    <m/>
    <n v="0"/>
    <x v="0"/>
    <s v=""/>
    <n v="153815827.8380394"/>
  </r>
  <r>
    <x v="0"/>
    <x v="7"/>
    <x v="7"/>
    <x v="1"/>
    <x v="0"/>
    <x v="2"/>
    <x v="10"/>
    <x v="8"/>
    <n v="2021"/>
    <x v="1"/>
    <s v="N/A"/>
    <s v=""/>
    <s v="Confirmed"/>
    <s v=""/>
    <x v="1"/>
    <x v="1"/>
    <m/>
    <x v="1"/>
    <x v="1"/>
    <m/>
    <n v="0"/>
    <x v="0"/>
    <s v="N/A"/>
    <n v="437525105.31216973"/>
  </r>
  <r>
    <x v="0"/>
    <x v="8"/>
    <x v="8"/>
    <x v="4"/>
    <x v="0"/>
    <x v="2"/>
    <x v="10"/>
    <x v="8"/>
    <n v="2021"/>
    <x v="1"/>
    <s v="N/A"/>
    <s v=""/>
    <s v="Confirmed"/>
    <s v=""/>
    <x v="1"/>
    <x v="1"/>
    <m/>
    <x v="3"/>
    <x v="1"/>
    <m/>
    <n v="0"/>
    <x v="1"/>
    <s v=""/>
    <n v="149463302.00602186"/>
  </r>
  <r>
    <x v="0"/>
    <x v="9"/>
    <x v="9"/>
    <x v="0"/>
    <x v="0"/>
    <x v="2"/>
    <x v="10"/>
    <x v="8"/>
    <n v="2021"/>
    <x v="1"/>
    <s v="N/A"/>
    <s v=""/>
    <s v="Confirmed"/>
    <s v=""/>
    <x v="1"/>
    <x v="1"/>
    <m/>
    <x v="2"/>
    <x v="0"/>
    <m/>
    <n v="0"/>
    <x v="0"/>
    <s v="Low"/>
    <n v="1148322593.9600098"/>
  </r>
  <r>
    <x v="0"/>
    <x v="10"/>
    <x v="10"/>
    <x v="1"/>
    <x v="0"/>
    <x v="2"/>
    <x v="10"/>
    <x v="8"/>
    <n v="2021"/>
    <x v="1"/>
    <s v="N/A"/>
    <s v=""/>
    <s v="Confirmed"/>
    <s v=""/>
    <x v="1"/>
    <x v="1"/>
    <m/>
    <x v="1"/>
    <x v="1"/>
    <m/>
    <n v="0"/>
    <x v="0"/>
    <s v=""/>
    <n v="2371102058.1093163"/>
  </r>
  <r>
    <x v="0"/>
    <x v="11"/>
    <x v="11"/>
    <x v="4"/>
    <x v="0"/>
    <x v="2"/>
    <x v="10"/>
    <x v="8"/>
    <n v="2021"/>
    <x v="1"/>
    <s v="N/A"/>
    <s v=""/>
    <s v="Confirmed"/>
    <s v=""/>
    <x v="1"/>
    <x v="1"/>
    <m/>
    <x v="2"/>
    <x v="1"/>
    <m/>
    <n v="0"/>
    <x v="1"/>
    <s v="N/A"/>
    <n v="75151620.005215243"/>
  </r>
  <r>
    <x v="0"/>
    <x v="12"/>
    <x v="12"/>
    <x v="5"/>
    <x v="0"/>
    <x v="2"/>
    <x v="10"/>
    <x v="8"/>
    <n v="2021"/>
    <x v="1"/>
    <s v="N/A"/>
    <s v=""/>
    <s v="Confirmed"/>
    <s v=""/>
    <x v="1"/>
    <x v="1"/>
    <m/>
    <x v="2"/>
    <x v="0"/>
    <m/>
    <n v="0"/>
    <x v="0"/>
    <s v="Moderate"/>
    <n v="69958487.197715744"/>
  </r>
  <r>
    <x v="0"/>
    <x v="13"/>
    <x v="13"/>
    <x v="0"/>
    <x v="0"/>
    <x v="2"/>
    <x v="10"/>
    <x v="8"/>
    <n v="2021"/>
    <x v="1"/>
    <s v="N/A"/>
    <s v=""/>
    <s v="Confirmed"/>
    <s v=""/>
    <x v="1"/>
    <x v="1"/>
    <m/>
    <x v="2"/>
    <x v="0"/>
    <m/>
    <n v="0"/>
    <x v="0"/>
    <s v="…"/>
    <n v="61654608.560629159"/>
  </r>
  <r>
    <x v="0"/>
    <x v="14"/>
    <x v="14"/>
    <x v="4"/>
    <x v="0"/>
    <x v="2"/>
    <x v="10"/>
    <x v="8"/>
    <n v="2021"/>
    <x v="1"/>
    <s v="N/A"/>
    <s v=""/>
    <s v="Confirmed"/>
    <s v=""/>
    <x v="1"/>
    <x v="1"/>
    <m/>
    <x v="2"/>
    <x v="0"/>
    <m/>
    <n v="0"/>
    <x v="0"/>
    <s v="N/A"/>
    <n v="1806638707.7615163"/>
  </r>
  <r>
    <x v="0"/>
    <x v="15"/>
    <x v="15"/>
    <x v="1"/>
    <x v="0"/>
    <x v="2"/>
    <x v="10"/>
    <x v="8"/>
    <n v="2021"/>
    <x v="1"/>
    <s v="N/A"/>
    <s v=""/>
    <s v="Confirmed"/>
    <s v=""/>
    <x v="1"/>
    <x v="1"/>
    <m/>
    <x v="1"/>
    <x v="1"/>
    <m/>
    <n v="0"/>
    <x v="0"/>
    <s v="N/A"/>
    <n v="1252696525.0627904"/>
  </r>
  <r>
    <x v="0"/>
    <x v="16"/>
    <x v="16"/>
    <x v="3"/>
    <x v="0"/>
    <x v="2"/>
    <x v="10"/>
    <x v="8"/>
    <n v="2021"/>
    <x v="1"/>
    <s v="N/A"/>
    <s v=""/>
    <s v="Confirmed"/>
    <s v=""/>
    <x v="1"/>
    <x v="1"/>
    <m/>
    <x v="1"/>
    <x v="1"/>
    <m/>
    <n v="0"/>
    <x v="0"/>
    <s v=""/>
    <n v="843425084.07334602"/>
  </r>
  <r>
    <x v="0"/>
    <x v="17"/>
    <x v="17"/>
    <x v="4"/>
    <x v="0"/>
    <x v="2"/>
    <x v="10"/>
    <x v="8"/>
    <n v="2021"/>
    <x v="1"/>
    <s v="N/A"/>
    <s v=""/>
    <s v="Confirmed"/>
    <s v=""/>
    <x v="1"/>
    <x v="1"/>
    <m/>
    <x v="1"/>
    <x v="1"/>
    <m/>
    <n v="0"/>
    <x v="0"/>
    <s v="N/A"/>
    <n v="74055620038.853683"/>
  </r>
  <r>
    <x v="0"/>
    <x v="18"/>
    <x v="18"/>
    <x v="1"/>
    <x v="0"/>
    <x v="2"/>
    <x v="10"/>
    <x v="8"/>
    <n v="2021"/>
    <x v="1"/>
    <s v="N/A"/>
    <s v=""/>
    <s v="Confirmed"/>
    <s v=""/>
    <x v="1"/>
    <x v="1"/>
    <m/>
    <x v="1"/>
    <x v="1"/>
    <m/>
    <n v="0"/>
    <x v="0"/>
    <s v=""/>
    <n v="2803357765.5888777"/>
  </r>
  <r>
    <x v="0"/>
    <x v="19"/>
    <x v="19"/>
    <x v="5"/>
    <x v="0"/>
    <x v="2"/>
    <x v="10"/>
    <x v="8"/>
    <n v="2021"/>
    <x v="1"/>
    <s v="N/A"/>
    <s v=""/>
    <s v="Confirmed"/>
    <s v=""/>
    <x v="1"/>
    <x v="1"/>
    <m/>
    <x v="0"/>
    <x v="0"/>
    <m/>
    <n v="2"/>
    <x v="0"/>
    <s v="Moderate"/>
    <n v="337927779.25510043"/>
  </r>
  <r>
    <x v="0"/>
    <x v="20"/>
    <x v="20"/>
    <x v="3"/>
    <x v="0"/>
    <x v="2"/>
    <x v="10"/>
    <x v="8"/>
    <n v="2021"/>
    <x v="1"/>
    <s v="N/A"/>
    <s v=""/>
    <s v="Confirmed"/>
    <s v=""/>
    <x v="1"/>
    <x v="1"/>
    <m/>
    <x v="0"/>
    <x v="0"/>
    <m/>
    <n v="2"/>
    <x v="0"/>
    <s v="…"/>
    <n v="65979512.47399316"/>
  </r>
  <r>
    <x v="0"/>
    <x v="21"/>
    <x v="21"/>
    <x v="5"/>
    <x v="0"/>
    <x v="2"/>
    <x v="10"/>
    <x v="8"/>
    <n v="2021"/>
    <x v="1"/>
    <s v="N/A"/>
    <s v=""/>
    <s v="Confirmed"/>
    <s v=""/>
    <x v="1"/>
    <x v="1"/>
    <m/>
    <x v="2"/>
    <x v="0"/>
    <m/>
    <n v="0"/>
    <x v="1"/>
    <s v="High"/>
    <n v="63748362.778827004"/>
  </r>
  <r>
    <x v="0"/>
    <x v="22"/>
    <x v="22"/>
    <x v="6"/>
    <x v="0"/>
    <x v="2"/>
    <x v="10"/>
    <x v="8"/>
    <n v="2021"/>
    <x v="1"/>
    <s v="N/A"/>
    <n v="1642589"/>
    <s v="Confirmed"/>
    <s v=""/>
    <x v="1"/>
    <x v="1"/>
    <m/>
    <x v="2"/>
    <x v="0"/>
    <m/>
    <n v="0"/>
    <x v="0"/>
    <s v="Low"/>
    <n v="313039649.45369786"/>
  </r>
  <r>
    <x v="0"/>
    <x v="23"/>
    <x v="23"/>
    <x v="5"/>
    <x v="0"/>
    <x v="2"/>
    <x v="10"/>
    <x v="8"/>
    <n v="2021"/>
    <x v="1"/>
    <s v="N/A"/>
    <s v=""/>
    <s v="Confirmed"/>
    <s v=""/>
    <x v="1"/>
    <x v="1"/>
    <m/>
    <x v="2"/>
    <x v="0"/>
    <m/>
    <n v="2"/>
    <x v="0"/>
    <s v="High"/>
    <n v="81361801.477472037"/>
  </r>
  <r>
    <x v="0"/>
    <x v="24"/>
    <x v="24"/>
    <x v="5"/>
    <x v="0"/>
    <x v="2"/>
    <x v="10"/>
    <x v="8"/>
    <n v="2021"/>
    <x v="1"/>
    <s v="N/A"/>
    <s v=""/>
    <s v="Confirmed"/>
    <s v=""/>
    <x v="1"/>
    <x v="1"/>
    <m/>
    <x v="0"/>
    <x v="0"/>
    <m/>
    <n v="1"/>
    <x v="0"/>
    <s v="High"/>
    <s v=""/>
  </r>
  <r>
    <x v="0"/>
    <x v="25"/>
    <x v="25"/>
    <x v="5"/>
    <x v="0"/>
    <x v="2"/>
    <x v="10"/>
    <x v="8"/>
    <n v="2021"/>
    <x v="1"/>
    <s v="N/A"/>
    <s v=""/>
    <s v="Confirmed"/>
    <s v=""/>
    <x v="1"/>
    <x v="1"/>
    <m/>
    <x v="0"/>
    <x v="0"/>
    <m/>
    <n v="1"/>
    <x v="0"/>
    <s v="High"/>
    <n v="76939306.715636879"/>
  </r>
  <r>
    <x v="0"/>
    <x v="26"/>
    <x v="26"/>
    <x v="4"/>
    <x v="0"/>
    <x v="2"/>
    <x v="10"/>
    <x v="8"/>
    <n v="2021"/>
    <x v="1"/>
    <s v="N/A"/>
    <s v=""/>
    <s v="Confirmed"/>
    <s v=""/>
    <x v="1"/>
    <x v="1"/>
    <m/>
    <x v="3"/>
    <x v="1"/>
    <m/>
    <n v="0"/>
    <x v="0"/>
    <s v=""/>
    <n v="13859708717.682571"/>
  </r>
  <r>
    <x v="0"/>
    <x v="27"/>
    <x v="27"/>
    <x v="6"/>
    <x v="0"/>
    <x v="2"/>
    <x v="10"/>
    <x v="8"/>
    <n v="2021"/>
    <x v="1"/>
    <s v="N/A"/>
    <s v=""/>
    <s v="Confirmed"/>
    <s v=""/>
    <x v="1"/>
    <x v="1"/>
    <m/>
    <x v="1"/>
    <x v="1"/>
    <m/>
    <n v="0"/>
    <x v="0"/>
    <s v=""/>
    <n v="403567160707.7016"/>
  </r>
  <r>
    <x v="0"/>
    <x v="28"/>
    <x v="28"/>
    <x v="4"/>
    <x v="0"/>
    <x v="2"/>
    <x v="10"/>
    <x v="8"/>
    <n v="2021"/>
    <x v="1"/>
    <s v="N/A"/>
    <s v=""/>
    <s v="Confirmed"/>
    <s v=""/>
    <x v="1"/>
    <x v="1"/>
    <m/>
    <x v="1"/>
    <x v="1"/>
    <m/>
    <n v="0"/>
    <x v="0"/>
    <s v=""/>
    <n v="18250225995.972618"/>
  </r>
  <r>
    <x v="0"/>
    <x v="29"/>
    <x v="29"/>
    <x v="3"/>
    <x v="0"/>
    <x v="2"/>
    <x v="10"/>
    <x v="8"/>
    <n v="2021"/>
    <x v="1"/>
    <s v="N/A"/>
    <s v=""/>
    <s v="Confirmed"/>
    <s v=""/>
    <x v="1"/>
    <x v="1"/>
    <m/>
    <x v="2"/>
    <x v="0"/>
    <m/>
    <n v="0"/>
    <x v="1"/>
    <s v="Moderate"/>
    <n v="5027591.1682657599"/>
  </r>
  <r>
    <x v="0"/>
    <x v="30"/>
    <x v="30"/>
    <x v="5"/>
    <x v="0"/>
    <x v="2"/>
    <x v="10"/>
    <x v="8"/>
    <n v="2021"/>
    <x v="1"/>
    <s v="N/A"/>
    <s v=""/>
    <s v="Confirmed"/>
    <s v=""/>
    <x v="1"/>
    <x v="1"/>
    <m/>
    <x v="0"/>
    <x v="0"/>
    <m/>
    <n v="3"/>
    <x v="0"/>
    <s v="Moderate"/>
    <n v="234645958.63289919"/>
  </r>
  <r>
    <x v="0"/>
    <x v="31"/>
    <x v="31"/>
    <x v="5"/>
    <x v="0"/>
    <x v="2"/>
    <x v="10"/>
    <x v="8"/>
    <n v="2021"/>
    <x v="1"/>
    <s v="N/A"/>
    <s v=""/>
    <s v="Confirmed"/>
    <s v=""/>
    <x v="1"/>
    <x v="1"/>
    <m/>
    <x v="2"/>
    <x v="0"/>
    <m/>
    <n v="2"/>
    <x v="0"/>
    <s v="In distress"/>
    <n v="91590910.247314155"/>
  </r>
  <r>
    <x v="0"/>
    <x v="32"/>
    <x v="32"/>
    <x v="6"/>
    <x v="0"/>
    <x v="2"/>
    <x v="10"/>
    <x v="8"/>
    <n v="2021"/>
    <x v="1"/>
    <s v="N/A"/>
    <s v=""/>
    <s v="Confirmed"/>
    <s v=""/>
    <x v="1"/>
    <x v="1"/>
    <m/>
    <x v="4"/>
    <x v="1"/>
    <m/>
    <n v="0"/>
    <x v="1"/>
    <s v="N/A"/>
    <n v="8560012.8840167802"/>
  </r>
  <r>
    <x v="0"/>
    <x v="33"/>
    <x v="33"/>
    <x v="4"/>
    <x v="0"/>
    <x v="2"/>
    <x v="10"/>
    <x v="8"/>
    <n v="2021"/>
    <x v="1"/>
    <s v="N/A"/>
    <s v=""/>
    <s v="Confirmed"/>
    <s v=""/>
    <x v="1"/>
    <x v="1"/>
    <m/>
    <x v="1"/>
    <x v="1"/>
    <m/>
    <n v="0"/>
    <x v="0"/>
    <s v="N/A"/>
    <n v="3292372960.3962669"/>
  </r>
  <r>
    <x v="0"/>
    <x v="34"/>
    <x v="34"/>
    <x v="5"/>
    <x v="0"/>
    <x v="2"/>
    <x v="10"/>
    <x v="8"/>
    <n v="2021"/>
    <x v="1"/>
    <s v="N/A"/>
    <s v=""/>
    <s v="Confirmed"/>
    <s v=""/>
    <x v="1"/>
    <x v="1"/>
    <m/>
    <x v="2"/>
    <x v="0"/>
    <m/>
    <n v="0"/>
    <x v="0"/>
    <s v="Moderate"/>
    <n v="519209981.22981054"/>
  </r>
  <r>
    <x v="0"/>
    <x v="35"/>
    <x v="35"/>
    <x v="1"/>
    <x v="0"/>
    <x v="2"/>
    <x v="10"/>
    <x v="8"/>
    <n v="2021"/>
    <x v="1"/>
    <s v="N/A"/>
    <s v=""/>
    <s v="Confirmed"/>
    <s v=""/>
    <x v="1"/>
    <x v="1"/>
    <m/>
    <x v="3"/>
    <x v="1"/>
    <m/>
    <n v="0"/>
    <x v="0"/>
    <s v=""/>
    <n v="3464739907.1604805"/>
  </r>
  <r>
    <x v="0"/>
    <x v="36"/>
    <x v="36"/>
    <x v="4"/>
    <x v="0"/>
    <x v="2"/>
    <x v="10"/>
    <x v="8"/>
    <n v="2021"/>
    <x v="1"/>
    <s v="N/A"/>
    <s v=""/>
    <s v="Confirmed"/>
    <s v=""/>
    <x v="1"/>
    <x v="1"/>
    <m/>
    <x v="1"/>
    <x v="1"/>
    <m/>
    <n v="0"/>
    <x v="1"/>
    <s v=""/>
    <n v="9948521252.2569065"/>
  </r>
  <r>
    <x v="0"/>
    <x v="37"/>
    <x v="37"/>
    <x v="2"/>
    <x v="0"/>
    <x v="2"/>
    <x v="10"/>
    <x v="8"/>
    <n v="2021"/>
    <x v="1"/>
    <s v="N/A"/>
    <s v=""/>
    <s v="Confirmed"/>
    <s v=""/>
    <x v="1"/>
    <x v="1"/>
    <m/>
    <x v="2"/>
    <x v="0"/>
    <m/>
    <n v="1"/>
    <x v="0"/>
    <s v="High"/>
    <n v="33679192.765657313"/>
  </r>
  <r>
    <x v="0"/>
    <x v="38"/>
    <x v="38"/>
    <x v="4"/>
    <x v="0"/>
    <x v="2"/>
    <x v="10"/>
    <x v="8"/>
    <n v="2021"/>
    <x v="1"/>
    <s v="N/A"/>
    <s v=""/>
    <s v="Confirmed"/>
    <s v=""/>
    <x v="1"/>
    <x v="1"/>
    <m/>
    <x v="1"/>
    <x v="0"/>
    <m/>
    <n v="0"/>
    <x v="1"/>
    <s v="…"/>
    <n v="22784494.365742501"/>
  </r>
  <r>
    <x v="0"/>
    <x v="39"/>
    <x v="39"/>
    <x v="4"/>
    <x v="0"/>
    <x v="2"/>
    <x v="10"/>
    <x v="8"/>
    <n v="2021"/>
    <x v="1"/>
    <s v="N/A"/>
    <s v=""/>
    <s v="Confirmed"/>
    <s v=""/>
    <x v="1"/>
    <x v="1"/>
    <m/>
    <x v="1"/>
    <x v="1"/>
    <m/>
    <n v="0"/>
    <x v="1"/>
    <s v=""/>
    <n v="2173208011.4858823"/>
  </r>
  <r>
    <x v="0"/>
    <x v="40"/>
    <x v="40"/>
    <x v="4"/>
    <x v="0"/>
    <x v="2"/>
    <x v="10"/>
    <x v="8"/>
    <n v="2021"/>
    <x v="1"/>
    <s v="N/A"/>
    <s v=""/>
    <s v="Confirmed"/>
    <s v=""/>
    <x v="1"/>
    <x v="1"/>
    <m/>
    <x v="1"/>
    <x v="1"/>
    <m/>
    <n v="0"/>
    <x v="0"/>
    <s v="N/A"/>
    <n v="4585736158.8323269"/>
  </r>
  <r>
    <x v="0"/>
    <x v="41"/>
    <x v="41"/>
    <x v="2"/>
    <x v="0"/>
    <x v="2"/>
    <x v="10"/>
    <x v="8"/>
    <n v="2021"/>
    <x v="1"/>
    <s v="N/A"/>
    <s v=""/>
    <s v="Confirmed"/>
    <s v=""/>
    <x v="1"/>
    <x v="1"/>
    <m/>
    <x v="2"/>
    <x v="0"/>
    <m/>
    <n v="0"/>
    <x v="0"/>
    <s v="N/A"/>
    <n v="3550291584.8645592"/>
  </r>
  <r>
    <x v="0"/>
    <x v="42"/>
    <x v="42"/>
    <x v="4"/>
    <x v="0"/>
    <x v="2"/>
    <x v="10"/>
    <x v="8"/>
    <n v="2021"/>
    <x v="1"/>
    <s v="N/A"/>
    <s v=""/>
    <s v="Confirmed"/>
    <s v=""/>
    <x v="1"/>
    <x v="1"/>
    <m/>
    <x v="2"/>
    <x v="0"/>
    <m/>
    <n v="0"/>
    <x v="0"/>
    <s v="N/A"/>
    <n v="1182840319.0410969"/>
  </r>
  <r>
    <x v="0"/>
    <x v="43"/>
    <x v="43"/>
    <x v="4"/>
    <x v="0"/>
    <x v="2"/>
    <x v="10"/>
    <x v="8"/>
    <n v="2021"/>
    <x v="1"/>
    <s v="N/A"/>
    <s v=""/>
    <s v="Confirmed"/>
    <s v=""/>
    <x v="1"/>
    <x v="1"/>
    <m/>
    <x v="1"/>
    <x v="1"/>
    <m/>
    <n v="0"/>
    <x v="0"/>
    <s v=""/>
    <n v="81728347.604567245"/>
  </r>
  <r>
    <x v="0"/>
    <x v="44"/>
    <x v="44"/>
    <x v="3"/>
    <x v="0"/>
    <x v="2"/>
    <x v="10"/>
    <x v="8"/>
    <n v="2021"/>
    <x v="1"/>
    <s v="N/A"/>
    <s v=""/>
    <s v="Confirmed"/>
    <s v=""/>
    <x v="1"/>
    <x v="1"/>
    <m/>
    <x v="0"/>
    <x v="0"/>
    <m/>
    <n v="2"/>
    <x v="0"/>
    <s v="N/A"/>
    <n v="12787914.977715338"/>
  </r>
  <r>
    <x v="0"/>
    <x v="45"/>
    <x v="45"/>
    <x v="3"/>
    <x v="0"/>
    <x v="2"/>
    <x v="10"/>
    <x v="8"/>
    <n v="2021"/>
    <x v="1"/>
    <s v="N/A"/>
    <s v=""/>
    <s v="Confirmed"/>
    <s v=""/>
    <x v="1"/>
    <x v="1"/>
    <m/>
    <x v="2"/>
    <x v="0"/>
    <m/>
    <n v="2"/>
    <x v="0"/>
    <s v="N/A"/>
    <n v="101271737.65410839"/>
  </r>
  <r>
    <x v="0"/>
    <x v="46"/>
    <x v="46"/>
    <x v="3"/>
    <x v="0"/>
    <x v="2"/>
    <x v="10"/>
    <x v="8"/>
    <n v="2021"/>
    <x v="1"/>
    <s v="N/A"/>
    <s v=""/>
    <s v="Confirmed"/>
    <s v=""/>
    <x v="1"/>
    <x v="1"/>
    <m/>
    <x v="0"/>
    <x v="0"/>
    <m/>
    <n v="3"/>
    <x v="0"/>
    <s v="High"/>
    <n v="618344226.71759331"/>
  </r>
  <r>
    <x v="0"/>
    <x v="47"/>
    <x v="47"/>
    <x v="6"/>
    <x v="0"/>
    <x v="2"/>
    <x v="10"/>
    <x v="8"/>
    <n v="2021"/>
    <x v="1"/>
    <s v="N/A"/>
    <n v="3904500"/>
    <s v="Confirmed"/>
    <s v=""/>
    <x v="1"/>
    <x v="1"/>
    <m/>
    <x v="1"/>
    <x v="0"/>
    <m/>
    <n v="0"/>
    <x v="1"/>
    <s v="…"/>
    <n v="129483872.95906857"/>
  </r>
  <r>
    <x v="0"/>
    <x v="48"/>
    <x v="48"/>
    <x v="5"/>
    <x v="0"/>
    <x v="2"/>
    <x v="10"/>
    <x v="8"/>
    <n v="2021"/>
    <x v="1"/>
    <s v="N/A"/>
    <s v=""/>
    <s v="Confirmed"/>
    <s v=""/>
    <x v="1"/>
    <x v="1"/>
    <m/>
    <x v="1"/>
    <x v="1"/>
    <m/>
    <n v="0"/>
    <x v="0"/>
    <s v="N/A"/>
    <n v="271184658.35014349"/>
  </r>
  <r>
    <x v="0"/>
    <x v="49"/>
    <x v="49"/>
    <x v="5"/>
    <x v="0"/>
    <x v="2"/>
    <x v="10"/>
    <x v="8"/>
    <n v="2021"/>
    <x v="1"/>
    <s v="N/A"/>
    <s v=""/>
    <s v="Confirmed"/>
    <s v=""/>
    <x v="1"/>
    <x v="1"/>
    <m/>
    <x v="0"/>
    <x v="0"/>
    <m/>
    <n v="0"/>
    <x v="0"/>
    <s v="High"/>
    <n v="15455265.086884515"/>
  </r>
  <r>
    <x v="0"/>
    <x v="50"/>
    <x v="50"/>
    <x v="1"/>
    <x v="0"/>
    <x v="2"/>
    <x v="10"/>
    <x v="8"/>
    <n v="2021"/>
    <x v="1"/>
    <s v="N/A"/>
    <s v=""/>
    <s v="Confirmed"/>
    <s v=""/>
    <x v="1"/>
    <x v="1"/>
    <m/>
    <x v="1"/>
    <x v="1"/>
    <m/>
    <n v="0"/>
    <x v="0"/>
    <s v="N/A"/>
    <n v="494021502.525527"/>
  </r>
  <r>
    <x v="0"/>
    <x v="51"/>
    <x v="51"/>
    <x v="5"/>
    <x v="0"/>
    <x v="2"/>
    <x v="10"/>
    <x v="8"/>
    <n v="2021"/>
    <x v="1"/>
    <s v="N/A"/>
    <s v=""/>
    <s v="Confirmed"/>
    <s v=""/>
    <x v="1"/>
    <x v="1"/>
    <m/>
    <x v="2"/>
    <x v="0"/>
    <m/>
    <n v="0"/>
    <x v="0"/>
    <s v="High"/>
    <n v="902005621.73836684"/>
  </r>
  <r>
    <x v="0"/>
    <x v="52"/>
    <x v="52"/>
    <x v="4"/>
    <x v="0"/>
    <x v="2"/>
    <x v="10"/>
    <x v="8"/>
    <n v="2021"/>
    <x v="1"/>
    <s v="N/A"/>
    <s v=""/>
    <s v="Confirmed"/>
    <s v=""/>
    <x v="1"/>
    <x v="1"/>
    <m/>
    <x v="1"/>
    <x v="0"/>
    <m/>
    <n v="0"/>
    <x v="1"/>
    <s v="In distress"/>
    <n v="20201670.142996579"/>
  </r>
  <r>
    <x v="0"/>
    <x v="53"/>
    <x v="53"/>
    <x v="4"/>
    <x v="0"/>
    <x v="2"/>
    <x v="10"/>
    <x v="8"/>
    <n v="2021"/>
    <x v="1"/>
    <s v="N/A"/>
    <s v=""/>
    <s v="Confirmed"/>
    <s v=""/>
    <x v="1"/>
    <x v="1"/>
    <m/>
    <x v="1"/>
    <x v="1"/>
    <m/>
    <n v="0"/>
    <x v="0"/>
    <s v=""/>
    <n v="1612434649.6948864"/>
  </r>
  <r>
    <x v="0"/>
    <x v="54"/>
    <x v="54"/>
    <x v="5"/>
    <x v="0"/>
    <x v="2"/>
    <x v="10"/>
    <x v="8"/>
    <n v="2021"/>
    <x v="1"/>
    <s v="N/A"/>
    <s v=""/>
    <s v="Confirmed"/>
    <s v=""/>
    <x v="1"/>
    <x v="1"/>
    <m/>
    <x v="0"/>
    <x v="0"/>
    <m/>
    <n v="0"/>
    <x v="0"/>
    <s v="Moderate"/>
    <n v="78203134.118229344"/>
  </r>
  <r>
    <x v="0"/>
    <x v="55"/>
    <x v="55"/>
    <x v="5"/>
    <x v="0"/>
    <x v="2"/>
    <x v="10"/>
    <x v="8"/>
    <n v="2021"/>
    <x v="1"/>
    <s v="N/A"/>
    <s v=""/>
    <s v="Confirmed"/>
    <s v=""/>
    <x v="1"/>
    <x v="1"/>
    <m/>
    <x v="0"/>
    <x v="0"/>
    <m/>
    <n v="2"/>
    <x v="1"/>
    <s v="High"/>
    <n v="9151637.7411015611"/>
  </r>
  <r>
    <x v="0"/>
    <x v="56"/>
    <x v="56"/>
    <x v="4"/>
    <x v="0"/>
    <x v="2"/>
    <x v="10"/>
    <x v="8"/>
    <n v="2021"/>
    <x v="1"/>
    <s v="N/A"/>
    <s v=""/>
    <s v="Confirmed"/>
    <s v=""/>
    <x v="1"/>
    <x v="1"/>
    <m/>
    <x v="1"/>
    <x v="0"/>
    <m/>
    <n v="0"/>
    <x v="1"/>
    <s v="Moderate"/>
    <n v="142455920.02856269"/>
  </r>
  <r>
    <x v="0"/>
    <x v="57"/>
    <x v="57"/>
    <x v="4"/>
    <x v="0"/>
    <x v="2"/>
    <x v="10"/>
    <x v="8"/>
    <n v="2021"/>
    <x v="1"/>
    <s v="N/A"/>
    <s v=""/>
    <s v="Confirmed"/>
    <s v=""/>
    <x v="1"/>
    <x v="1"/>
    <m/>
    <x v="2"/>
    <x v="0"/>
    <m/>
    <n v="1"/>
    <x v="1"/>
    <s v="High"/>
    <n v="85611818.171245083"/>
  </r>
  <r>
    <x v="0"/>
    <x v="58"/>
    <x v="58"/>
    <x v="4"/>
    <x v="0"/>
    <x v="2"/>
    <x v="10"/>
    <x v="8"/>
    <n v="2021"/>
    <x v="1"/>
    <s v="N/A"/>
    <s v=""/>
    <s v="Confirmed"/>
    <s v=""/>
    <x v="1"/>
    <x v="1"/>
    <m/>
    <x v="2"/>
    <x v="0"/>
    <m/>
    <n v="0"/>
    <x v="0"/>
    <s v="Low"/>
    <n v="680289736.30082119"/>
  </r>
  <r>
    <x v="0"/>
    <x v="59"/>
    <x v="59"/>
    <x v="0"/>
    <x v="0"/>
    <x v="2"/>
    <x v="10"/>
    <x v="8"/>
    <n v="2021"/>
    <x v="1"/>
    <s v="N/A"/>
    <s v=""/>
    <s v="Confirmed"/>
    <s v=""/>
    <x v="1"/>
    <x v="1"/>
    <m/>
    <x v="2"/>
    <x v="0"/>
    <m/>
    <n v="0"/>
    <x v="0"/>
    <s v="N/A"/>
    <n v="26554332750.47023"/>
  </r>
  <r>
    <x v="0"/>
    <x v="60"/>
    <x v="60"/>
    <x v="6"/>
    <x v="0"/>
    <x v="2"/>
    <x v="10"/>
    <x v="8"/>
    <n v="2021"/>
    <x v="1"/>
    <s v="N/A"/>
    <n v="774593"/>
    <s v="Confirmed"/>
    <s v=""/>
    <x v="1"/>
    <x v="1"/>
    <m/>
    <x v="2"/>
    <x v="0"/>
    <m/>
    <n v="0"/>
    <x v="0"/>
    <s v="N/A"/>
    <n v="14745961064.890842"/>
  </r>
  <r>
    <x v="0"/>
    <x v="61"/>
    <x v="61"/>
    <x v="2"/>
    <x v="0"/>
    <x v="2"/>
    <x v="10"/>
    <x v="8"/>
    <n v="2021"/>
    <x v="1"/>
    <s v="N/A"/>
    <s v=""/>
    <s v="Confirmed"/>
    <s v=""/>
    <x v="1"/>
    <x v="1"/>
    <m/>
    <x v="2"/>
    <x v="1"/>
    <m/>
    <n v="0"/>
    <x v="0"/>
    <s v="N/A"/>
    <n v="18194076299.786381"/>
  </r>
  <r>
    <x v="0"/>
    <x v="62"/>
    <x v="62"/>
    <x v="2"/>
    <x v="0"/>
    <x v="2"/>
    <x v="10"/>
    <x v="8"/>
    <n v="2021"/>
    <x v="1"/>
    <s v="N/A"/>
    <s v=""/>
    <s v="Confirmed"/>
    <s v=""/>
    <x v="1"/>
    <x v="1"/>
    <m/>
    <x v="1"/>
    <x v="1"/>
    <m/>
    <n v="0"/>
    <x v="0"/>
    <s v="N/A"/>
    <n v="4428819387.769825"/>
  </r>
  <r>
    <x v="0"/>
    <x v="63"/>
    <x v="63"/>
    <x v="4"/>
    <x v="0"/>
    <x v="2"/>
    <x v="10"/>
    <x v="8"/>
    <n v="2021"/>
    <x v="1"/>
    <s v="N/A"/>
    <s v=""/>
    <s v="Confirmed"/>
    <s v=""/>
    <x v="1"/>
    <x v="1"/>
    <m/>
    <x v="1"/>
    <x v="1"/>
    <m/>
    <n v="0"/>
    <x v="1"/>
    <s v=""/>
    <n v="611739560.62679195"/>
  </r>
  <r>
    <x v="0"/>
    <x v="64"/>
    <x v="64"/>
    <x v="2"/>
    <x v="0"/>
    <x v="2"/>
    <x v="10"/>
    <x v="8"/>
    <n v="2021"/>
    <x v="1"/>
    <s v="N/A"/>
    <s v=""/>
    <s v="Confirmed"/>
    <s v=""/>
    <x v="1"/>
    <x v="1"/>
    <m/>
    <x v="1"/>
    <x v="1"/>
    <m/>
    <n v="0"/>
    <x v="0"/>
    <s v="N/A"/>
    <n v="1617913383.0481031"/>
  </r>
  <r>
    <x v="0"/>
    <x v="65"/>
    <x v="65"/>
    <x v="1"/>
    <x v="0"/>
    <x v="2"/>
    <x v="10"/>
    <x v="8"/>
    <n v="2021"/>
    <x v="1"/>
    <s v="N/A"/>
    <s v=""/>
    <s v="Confirmed"/>
    <s v=""/>
    <x v="1"/>
    <x v="1"/>
    <m/>
    <x v="1"/>
    <x v="1"/>
    <m/>
    <n v="0"/>
    <x v="0"/>
    <s v=""/>
    <n v="3074419112.4562683"/>
  </r>
  <r>
    <x v="0"/>
    <x v="66"/>
    <x v="66"/>
    <x v="3"/>
    <x v="0"/>
    <x v="2"/>
    <x v="10"/>
    <x v="8"/>
    <n v="2021"/>
    <x v="1"/>
    <s v="N/A"/>
    <s v=""/>
    <s v="Confirmed"/>
    <s v=""/>
    <x v="1"/>
    <x v="1"/>
    <m/>
    <x v="2"/>
    <x v="0"/>
    <m/>
    <n v="0"/>
    <x v="0"/>
    <s v="High"/>
    <n v="1914014279.8929913"/>
  </r>
  <r>
    <x v="0"/>
    <x v="67"/>
    <x v="67"/>
    <x v="6"/>
    <x v="0"/>
    <x v="2"/>
    <x v="10"/>
    <x v="8"/>
    <n v="2021"/>
    <x v="1"/>
    <s v="N/A"/>
    <n v="0"/>
    <s v="Confirmed"/>
    <s v=""/>
    <x v="1"/>
    <x v="1"/>
    <m/>
    <x v="2"/>
    <x v="0"/>
    <m/>
    <n v="0"/>
    <x v="1"/>
    <s v="High"/>
    <n v="17422005.762907442"/>
  </r>
  <r>
    <x v="0"/>
    <x v="68"/>
    <x v="68"/>
    <x v="6"/>
    <x v="0"/>
    <x v="2"/>
    <x v="10"/>
    <x v="8"/>
    <n v="2021"/>
    <x v="1"/>
    <s v="N/A"/>
    <s v=""/>
    <s v="Confirmed"/>
    <s v=""/>
    <x v="1"/>
    <x v="1"/>
    <m/>
    <x v="0"/>
    <x v="0"/>
    <m/>
    <n v="0"/>
    <x v="0"/>
    <s v="N/A"/>
    <s v=""/>
  </r>
  <r>
    <x v="0"/>
    <x v="69"/>
    <x v="69"/>
    <x v="1"/>
    <x v="0"/>
    <x v="2"/>
    <x v="10"/>
    <x v="8"/>
    <n v="2021"/>
    <x v="1"/>
    <s v="N/A"/>
    <s v=""/>
    <s v="Confirmed"/>
    <s v=""/>
    <x v="1"/>
    <x v="1"/>
    <m/>
    <x v="1"/>
    <x v="0"/>
    <m/>
    <n v="0"/>
    <x v="0"/>
    <s v="…"/>
    <s v=""/>
  </r>
  <r>
    <x v="0"/>
    <x v="70"/>
    <x v="70"/>
    <x v="1"/>
    <x v="0"/>
    <x v="2"/>
    <x v="10"/>
    <x v="8"/>
    <n v="2021"/>
    <x v="1"/>
    <s v="N/A"/>
    <s v=""/>
    <s v="Confirmed"/>
    <s v=""/>
    <x v="1"/>
    <x v="1"/>
    <m/>
    <x v="2"/>
    <x v="0"/>
    <m/>
    <n v="2"/>
    <x v="0"/>
    <s v="Moderate"/>
    <n v="231506834.84347546"/>
  </r>
  <r>
    <x v="0"/>
    <x v="71"/>
    <x v="71"/>
    <x v="6"/>
    <x v="0"/>
    <x v="2"/>
    <x v="10"/>
    <x v="8"/>
    <n v="2021"/>
    <x v="1"/>
    <s v="N/A"/>
    <n v="2661863"/>
    <s v="Confirmed"/>
    <s v=""/>
    <x v="1"/>
    <x v="1"/>
    <m/>
    <x v="2"/>
    <x v="0"/>
    <m/>
    <n v="0"/>
    <x v="0"/>
    <s v="High"/>
    <n v="156059428.62944782"/>
  </r>
  <r>
    <x v="0"/>
    <x v="72"/>
    <x v="72"/>
    <x v="2"/>
    <x v="0"/>
    <x v="2"/>
    <x v="10"/>
    <x v="8"/>
    <n v="2021"/>
    <x v="1"/>
    <s v="N/A"/>
    <s v=""/>
    <s v="Confirmed"/>
    <s v=""/>
    <x v="1"/>
    <x v="1"/>
    <m/>
    <x v="1"/>
    <x v="1"/>
    <m/>
    <n v="0"/>
    <x v="0"/>
    <s v="N/A"/>
    <n v="2355391507.1635861"/>
  </r>
  <r>
    <x v="0"/>
    <x v="73"/>
    <x v="73"/>
    <x v="3"/>
    <x v="0"/>
    <x v="2"/>
    <x v="10"/>
    <x v="8"/>
    <n v="2021"/>
    <x v="1"/>
    <s v="N/A"/>
    <s v=""/>
    <s v="Confirmed"/>
    <s v=""/>
    <x v="1"/>
    <x v="1"/>
    <m/>
    <x v="2"/>
    <x v="0"/>
    <m/>
    <n v="0"/>
    <x v="0"/>
    <s v="Moderate"/>
    <n v="152760919.7684873"/>
  </r>
  <r>
    <x v="0"/>
    <x v="74"/>
    <x v="74"/>
    <x v="5"/>
    <x v="0"/>
    <x v="2"/>
    <x v="10"/>
    <x v="8"/>
    <n v="2021"/>
    <x v="1"/>
    <s v="N/A"/>
    <s v=""/>
    <s v="Confirmed"/>
    <s v=""/>
    <x v="1"/>
    <x v="1"/>
    <m/>
    <x v="0"/>
    <x v="0"/>
    <m/>
    <n v="0"/>
    <x v="0"/>
    <s v="High"/>
    <n v="55072006.864440605"/>
  </r>
  <r>
    <x v="0"/>
    <x v="75"/>
    <x v="75"/>
    <x v="2"/>
    <x v="0"/>
    <x v="2"/>
    <x v="10"/>
    <x v="8"/>
    <n v="2021"/>
    <x v="1"/>
    <s v="N/A"/>
    <s v=""/>
    <s v="Confirmed"/>
    <s v=""/>
    <x v="1"/>
    <x v="1"/>
    <m/>
    <x v="1"/>
    <x v="1"/>
    <m/>
    <n v="0"/>
    <x v="0"/>
    <s v="N/A"/>
    <s v=""/>
  </r>
  <r>
    <x v="0"/>
    <x v="76"/>
    <x v="76"/>
    <x v="3"/>
    <x v="0"/>
    <x v="2"/>
    <x v="10"/>
    <x v="8"/>
    <n v="2021"/>
    <x v="1"/>
    <s v="N/A"/>
    <s v=""/>
    <s v="Confirmed"/>
    <s v=""/>
    <x v="1"/>
    <x v="1"/>
    <m/>
    <x v="0"/>
    <x v="0"/>
    <m/>
    <n v="2"/>
    <x v="0"/>
    <s v="Moderate"/>
    <n v="206914157.05429548"/>
  </r>
  <r>
    <x v="0"/>
    <x v="77"/>
    <x v="77"/>
    <x v="3"/>
    <x v="0"/>
    <x v="2"/>
    <x v="10"/>
    <x v="8"/>
    <n v="2021"/>
    <x v="1"/>
    <s v="N/A"/>
    <s v=""/>
    <s v="Confirmed"/>
    <s v=""/>
    <x v="1"/>
    <x v="1"/>
    <m/>
    <x v="0"/>
    <x v="0"/>
    <m/>
    <n v="2"/>
    <x v="0"/>
    <s v="High"/>
    <n v="185999915.02066413"/>
  </r>
  <r>
    <x v="0"/>
    <x v="78"/>
    <x v="78"/>
    <x v="6"/>
    <x v="0"/>
    <x v="2"/>
    <x v="10"/>
    <x v="8"/>
    <n v="2021"/>
    <x v="1"/>
    <s v="N/A"/>
    <n v="128581"/>
    <s v="Confirmed"/>
    <s v=""/>
    <x v="1"/>
    <x v="1"/>
    <m/>
    <x v="1"/>
    <x v="1"/>
    <m/>
    <n v="0"/>
    <x v="0"/>
    <s v=""/>
    <n v="6893755763.2501726"/>
  </r>
  <r>
    <x v="0"/>
    <x v="79"/>
    <x v="79"/>
    <x v="0"/>
    <x v="0"/>
    <x v="2"/>
    <x v="10"/>
    <x v="8"/>
    <n v="2021"/>
    <x v="1"/>
    <s v="N/A"/>
    <s v=""/>
    <s v="Confirmed"/>
    <s v=""/>
    <x v="1"/>
    <x v="1"/>
    <m/>
    <x v="1"/>
    <x v="0"/>
    <m/>
    <n v="0"/>
    <x v="1"/>
    <s v="High"/>
    <n v="354560231.58276606"/>
  </r>
  <r>
    <x v="0"/>
    <x v="80"/>
    <x v="80"/>
    <x v="5"/>
    <x v="0"/>
    <x v="2"/>
    <x v="10"/>
    <x v="8"/>
    <n v="2021"/>
    <x v="1"/>
    <s v="N/A"/>
    <s v=""/>
    <s v="Confirmed"/>
    <s v=""/>
    <x v="1"/>
    <x v="1"/>
    <m/>
    <x v="0"/>
    <x v="0"/>
    <m/>
    <n v="1"/>
    <x v="0"/>
    <s v="Moderate"/>
    <n v="188169167.56540567"/>
  </r>
  <r>
    <x v="0"/>
    <x v="81"/>
    <x v="81"/>
    <x v="6"/>
    <x v="0"/>
    <x v="2"/>
    <x v="10"/>
    <x v="8"/>
    <n v="2021"/>
    <x v="1"/>
    <s v="N/A"/>
    <s v=""/>
    <s v="Confirmed"/>
    <s v=""/>
    <x v="1"/>
    <x v="1"/>
    <m/>
    <x v="1"/>
    <x v="0"/>
    <m/>
    <n v="0"/>
    <x v="1"/>
    <s v=""/>
    <n v="16312106.556340856"/>
  </r>
  <r>
    <x v="0"/>
    <x v="82"/>
    <x v="82"/>
    <x v="5"/>
    <x v="0"/>
    <x v="2"/>
    <x v="10"/>
    <x v="8"/>
    <n v="2021"/>
    <x v="1"/>
    <s v="N/A"/>
    <s v=""/>
    <s v="Confirmed"/>
    <s v=""/>
    <x v="1"/>
    <x v="1"/>
    <m/>
    <x v="2"/>
    <x v="0"/>
    <m/>
    <n v="2"/>
    <x v="0"/>
    <s v="High"/>
    <n v="86083833.534053758"/>
  </r>
  <r>
    <x v="0"/>
    <x v="83"/>
    <x v="83"/>
    <x v="3"/>
    <x v="0"/>
    <x v="2"/>
    <x v="10"/>
    <x v="8"/>
    <n v="2021"/>
    <x v="1"/>
    <s v="N/A"/>
    <s v=""/>
    <s v="Confirmed"/>
    <s v=""/>
    <x v="1"/>
    <x v="1"/>
    <m/>
    <x v="1"/>
    <x v="1"/>
    <m/>
    <n v="0"/>
    <x v="1"/>
    <s v="N/A"/>
    <n v="357220835.93762809"/>
  </r>
  <r>
    <x v="0"/>
    <x v="84"/>
    <x v="84"/>
    <x v="4"/>
    <x v="0"/>
    <x v="2"/>
    <x v="10"/>
    <x v="8"/>
    <n v="2021"/>
    <x v="1"/>
    <s v="N/A"/>
    <s v=""/>
    <s v="Confirmed"/>
    <s v=""/>
    <x v="1"/>
    <x v="1"/>
    <m/>
    <x v="1"/>
    <x v="1"/>
    <m/>
    <n v="0"/>
    <x v="0"/>
    <s v=""/>
    <n v="32831598153.796387"/>
  </r>
  <r>
    <x v="0"/>
    <x v="85"/>
    <x v="85"/>
    <x v="6"/>
    <x v="0"/>
    <x v="2"/>
    <x v="10"/>
    <x v="8"/>
    <n v="2021"/>
    <x v="1"/>
    <s v="N/A"/>
    <s v=""/>
    <s v="Confirmed"/>
    <s v=""/>
    <x v="1"/>
    <x v="1"/>
    <m/>
    <x v="2"/>
    <x v="0"/>
    <m/>
    <n v="0"/>
    <x v="1"/>
    <s v="High"/>
    <n v="12329056.093798399"/>
  </r>
  <r>
    <x v="0"/>
    <x v="86"/>
    <x v="86"/>
    <x v="1"/>
    <x v="0"/>
    <x v="2"/>
    <x v="10"/>
    <x v="8"/>
    <n v="2021"/>
    <x v="1"/>
    <s v="N/A"/>
    <s v=""/>
    <s v="Confirmed"/>
    <s v=""/>
    <x v="1"/>
    <x v="1"/>
    <m/>
    <x v="1"/>
    <x v="0"/>
    <m/>
    <n v="0"/>
    <x v="0"/>
    <s v="Low"/>
    <n v="426639742.85328001"/>
  </r>
  <r>
    <x v="0"/>
    <x v="87"/>
    <x v="87"/>
    <x v="6"/>
    <x v="0"/>
    <x v="2"/>
    <x v="10"/>
    <x v="8"/>
    <n v="2021"/>
    <x v="1"/>
    <s v="N/A"/>
    <s v=""/>
    <s v="Confirmed"/>
    <s v=""/>
    <x v="1"/>
    <x v="1"/>
    <m/>
    <x v="2"/>
    <x v="0"/>
    <m/>
    <n v="0"/>
    <x v="0"/>
    <s v="…"/>
    <n v="288519671.85870522"/>
  </r>
  <r>
    <x v="0"/>
    <x v="88"/>
    <x v="88"/>
    <x v="1"/>
    <x v="0"/>
    <x v="2"/>
    <x v="10"/>
    <x v="8"/>
    <n v="2021"/>
    <x v="1"/>
    <s v="N/A"/>
    <s v=""/>
    <s v="Confirmed"/>
    <s v=""/>
    <x v="1"/>
    <x v="1"/>
    <m/>
    <x v="1"/>
    <x v="1"/>
    <m/>
    <n v="0"/>
    <x v="0"/>
    <s v="N/A"/>
    <n v="275606560.78491527"/>
  </r>
  <r>
    <x v="0"/>
    <x v="89"/>
    <x v="89"/>
    <x v="2"/>
    <x v="0"/>
    <x v="2"/>
    <x v="10"/>
    <x v="8"/>
    <n v="2021"/>
    <x v="1"/>
    <s v="N/A"/>
    <s v=""/>
    <s v="Confirmed"/>
    <s v=""/>
    <x v="1"/>
    <x v="1"/>
    <m/>
    <x v="2"/>
    <x v="0"/>
    <m/>
    <n v="0"/>
    <x v="0"/>
    <s v="N/A"/>
    <n v="2530937679.3725696"/>
  </r>
  <r>
    <x v="0"/>
    <x v="90"/>
    <x v="90"/>
    <x v="3"/>
    <x v="0"/>
    <x v="2"/>
    <x v="10"/>
    <x v="8"/>
    <n v="2021"/>
    <x v="1"/>
    <s v="N/A"/>
    <s v=""/>
    <s v="Confirmed"/>
    <s v=""/>
    <x v="1"/>
    <x v="1"/>
    <m/>
    <x v="0"/>
    <x v="0"/>
    <m/>
    <n v="0"/>
    <x v="0"/>
    <s v="In distress"/>
    <n v="251432156.86255455"/>
  </r>
  <r>
    <x v="0"/>
    <x v="91"/>
    <x v="91"/>
    <x v="6"/>
    <x v="0"/>
    <x v="2"/>
    <x v="10"/>
    <x v="8"/>
    <n v="2021"/>
    <x v="1"/>
    <s v="N/A"/>
    <n v="0"/>
    <s v="Confirmed"/>
    <s v=""/>
    <x v="1"/>
    <x v="1"/>
    <m/>
    <x v="2"/>
    <x v="0"/>
    <m/>
    <n v="0"/>
    <x v="0"/>
    <s v="Low"/>
    <n v="471534500.60109437"/>
  </r>
  <r>
    <x v="0"/>
    <x v="92"/>
    <x v="92"/>
    <x v="3"/>
    <x v="0"/>
    <x v="2"/>
    <x v="10"/>
    <x v="8"/>
    <n v="2021"/>
    <x v="1"/>
    <s v="N/A"/>
    <s v=""/>
    <s v="Confirmed"/>
    <s v=""/>
    <x v="1"/>
    <x v="1"/>
    <m/>
    <x v="1"/>
    <x v="1"/>
    <m/>
    <n v="0"/>
    <x v="0"/>
    <s v=""/>
    <n v="531677611.80447447"/>
  </r>
  <r>
    <x v="0"/>
    <x v="93"/>
    <x v="93"/>
    <x v="6"/>
    <x v="0"/>
    <x v="2"/>
    <x v="10"/>
    <x v="8"/>
    <n v="2021"/>
    <x v="1"/>
    <s v="N/A"/>
    <n v="0"/>
    <s v="Confirmed"/>
    <s v=""/>
    <x v="1"/>
    <x v="1"/>
    <m/>
    <x v="3"/>
    <x v="1"/>
    <m/>
    <n v="0"/>
    <x v="1"/>
    <s v=""/>
    <n v="8528751.6418357007"/>
  </r>
  <r>
    <x v="0"/>
    <x v="94"/>
    <x v="94"/>
    <x v="0"/>
    <x v="0"/>
    <x v="2"/>
    <x v="10"/>
    <x v="8"/>
    <n v="2021"/>
    <x v="1"/>
    <s v="N/A"/>
    <s v=""/>
    <s v="Confirmed"/>
    <s v=""/>
    <x v="1"/>
    <x v="1"/>
    <m/>
    <x v="2"/>
    <x v="0"/>
    <m/>
    <n v="0"/>
    <x v="0"/>
    <s v="Low"/>
    <n v="407084543.19089872"/>
  </r>
  <r>
    <x v="0"/>
    <x v="95"/>
    <x v="95"/>
    <x v="4"/>
    <x v="0"/>
    <x v="2"/>
    <x v="10"/>
    <x v="8"/>
    <n v="2021"/>
    <x v="1"/>
    <s v="N/A"/>
    <s v=""/>
    <s v="Confirmed"/>
    <s v=""/>
    <x v="1"/>
    <x v="1"/>
    <m/>
    <x v="2"/>
    <x v="0"/>
    <m/>
    <n v="0"/>
    <x v="0"/>
    <s v="Moderate"/>
    <n v="671998341.93592453"/>
  </r>
  <r>
    <x v="0"/>
    <x v="96"/>
    <x v="96"/>
    <x v="5"/>
    <x v="0"/>
    <x v="2"/>
    <x v="10"/>
    <x v="8"/>
    <n v="2021"/>
    <x v="1"/>
    <s v="N/A"/>
    <s v=""/>
    <s v="Confirmed"/>
    <s v=""/>
    <x v="1"/>
    <x v="1"/>
    <m/>
    <x v="0"/>
    <x v="0"/>
    <m/>
    <n v="1"/>
    <x v="0"/>
    <s v="Moderate"/>
    <n v="226203289.67158964"/>
  </r>
  <r>
    <x v="0"/>
    <x v="97"/>
    <x v="97"/>
    <x v="5"/>
    <x v="0"/>
    <x v="2"/>
    <x v="10"/>
    <x v="8"/>
    <n v="2021"/>
    <x v="1"/>
    <s v="N/A"/>
    <s v=""/>
    <s v="Confirmed"/>
    <s v=""/>
    <x v="1"/>
    <x v="1"/>
    <m/>
    <x v="2"/>
    <x v="0"/>
    <m/>
    <n v="3"/>
    <x v="0"/>
    <s v="…"/>
    <n v="2438881113.1244688"/>
  </r>
  <r>
    <x v="0"/>
    <x v="98"/>
    <x v="98"/>
    <x v="1"/>
    <x v="0"/>
    <x v="2"/>
    <x v="10"/>
    <x v="8"/>
    <n v="2021"/>
    <x v="1"/>
    <s v="N/A"/>
    <s v=""/>
    <s v="Confirmed"/>
    <s v=""/>
    <x v="1"/>
    <x v="1"/>
    <m/>
    <x v="1"/>
    <x v="1"/>
    <m/>
    <n v="0"/>
    <x v="0"/>
    <s v=""/>
    <n v="476517795.73174149"/>
  </r>
  <r>
    <x v="0"/>
    <x v="99"/>
    <x v="99"/>
    <x v="0"/>
    <x v="0"/>
    <x v="2"/>
    <x v="10"/>
    <x v="8"/>
    <n v="2021"/>
    <x v="1"/>
    <s v="N/A"/>
    <s v=""/>
    <s v="Confirmed"/>
    <s v=""/>
    <x v="1"/>
    <x v="1"/>
    <m/>
    <x v="2"/>
    <x v="0"/>
    <m/>
    <n v="0"/>
    <x v="0"/>
    <s v="…"/>
    <n v="3233351297.7679496"/>
  </r>
  <r>
    <x v="0"/>
    <x v="100"/>
    <x v="100"/>
    <x v="4"/>
    <x v="0"/>
    <x v="2"/>
    <x v="10"/>
    <x v="8"/>
    <n v="2021"/>
    <x v="1"/>
    <s v="N/A"/>
    <s v=""/>
    <s v="Confirmed"/>
    <s v=""/>
    <x v="1"/>
    <x v="1"/>
    <m/>
    <x v="3"/>
    <x v="1"/>
    <m/>
    <n v="0"/>
    <x v="1"/>
    <s v=""/>
    <n v="18180646.808608256"/>
  </r>
  <r>
    <x v="0"/>
    <x v="101"/>
    <x v="101"/>
    <x v="4"/>
    <x v="0"/>
    <x v="2"/>
    <x v="10"/>
    <x v="8"/>
    <n v="2021"/>
    <x v="1"/>
    <s v="N/A"/>
    <s v=""/>
    <s v="Confirmed"/>
    <s v=""/>
    <x v="1"/>
    <x v="1"/>
    <m/>
    <x v="1"/>
    <x v="1"/>
    <m/>
    <n v="0"/>
    <x v="0"/>
    <s v="N/A"/>
    <n v="3020530707.3485303"/>
  </r>
  <r>
    <x v="0"/>
    <x v="102"/>
    <x v="102"/>
    <x v="6"/>
    <x v="0"/>
    <x v="2"/>
    <x v="10"/>
    <x v="8"/>
    <n v="2021"/>
    <x v="1"/>
    <s v="N/A"/>
    <n v="0"/>
    <s v="Confirmed"/>
    <s v=""/>
    <x v="1"/>
    <x v="1"/>
    <m/>
    <x v="2"/>
    <x v="0"/>
    <m/>
    <n v="1"/>
    <x v="1"/>
    <s v="High"/>
    <n v="384406316.46074712"/>
  </r>
  <r>
    <x v="0"/>
    <x v="103"/>
    <x v="103"/>
    <x v="4"/>
    <x v="0"/>
    <x v="2"/>
    <x v="10"/>
    <x v="8"/>
    <n v="2021"/>
    <x v="1"/>
    <s v="N/A"/>
    <s v=""/>
    <s v="Confirmed"/>
    <s v=""/>
    <x v="1"/>
    <x v="1"/>
    <m/>
    <x v="1"/>
    <x v="1"/>
    <m/>
    <n v="0"/>
    <x v="0"/>
    <s v=""/>
    <n v="1218747108.9554784"/>
  </r>
  <r>
    <x v="0"/>
    <x v="104"/>
    <x v="104"/>
    <x v="4"/>
    <x v="0"/>
    <x v="2"/>
    <x v="10"/>
    <x v="8"/>
    <n v="2021"/>
    <x v="1"/>
    <s v="N/A"/>
    <s v=""/>
    <s v="Confirmed"/>
    <s v=""/>
    <x v="1"/>
    <x v="1"/>
    <m/>
    <x v="1"/>
    <x v="1"/>
    <m/>
    <n v="0"/>
    <x v="0"/>
    <s v=""/>
    <n v="7392665952.5895758"/>
  </r>
  <r>
    <x v="0"/>
    <x v="105"/>
    <x v="105"/>
    <x v="6"/>
    <x v="0"/>
    <x v="2"/>
    <x v="10"/>
    <x v="8"/>
    <n v="2021"/>
    <x v="1"/>
    <s v="N/A"/>
    <n v="0"/>
    <s v="Confirmed"/>
    <s v=""/>
    <x v="1"/>
    <x v="1"/>
    <m/>
    <x v="2"/>
    <x v="0"/>
    <m/>
    <n v="0"/>
    <x v="0"/>
    <s v="N/A"/>
    <n v="4754985988.6004429"/>
  </r>
  <r>
    <x v="0"/>
    <x v="106"/>
    <x v="106"/>
    <x v="1"/>
    <x v="0"/>
    <x v="2"/>
    <x v="10"/>
    <x v="8"/>
    <n v="2021"/>
    <x v="1"/>
    <s v="N/A"/>
    <s v=""/>
    <s v="Confirmed"/>
    <s v=""/>
    <x v="1"/>
    <x v="1"/>
    <m/>
    <x v="3"/>
    <x v="1"/>
    <m/>
    <n v="0"/>
    <x v="0"/>
    <s v=""/>
    <n v="26422210443.037273"/>
  </r>
  <r>
    <x v="0"/>
    <x v="107"/>
    <x v="107"/>
    <x v="1"/>
    <x v="0"/>
    <x v="2"/>
    <x v="10"/>
    <x v="8"/>
    <n v="2021"/>
    <x v="1"/>
    <s v="N/A"/>
    <s v=""/>
    <s v="Confirmed"/>
    <s v=""/>
    <x v="1"/>
    <x v="1"/>
    <m/>
    <x v="1"/>
    <x v="1"/>
    <m/>
    <n v="0"/>
    <x v="0"/>
    <s v=""/>
    <n v="10696495313.15033"/>
  </r>
  <r>
    <x v="0"/>
    <x v="108"/>
    <x v="108"/>
    <x v="1"/>
    <x v="0"/>
    <x v="2"/>
    <x v="10"/>
    <x v="8"/>
    <n v="2021"/>
    <x v="1"/>
    <s v="N/A"/>
    <s v=""/>
    <s v="Confirmed"/>
    <s v=""/>
    <x v="1"/>
    <x v="1"/>
    <m/>
    <x v="1"/>
    <x v="1"/>
    <m/>
    <n v="0"/>
    <x v="0"/>
    <s v=""/>
    <n v="52769713433.240509"/>
  </r>
  <r>
    <x v="0"/>
    <x v="109"/>
    <x v="109"/>
    <x v="3"/>
    <x v="0"/>
    <x v="2"/>
    <x v="10"/>
    <x v="8"/>
    <n v="2021"/>
    <x v="1"/>
    <s v="N/A"/>
    <s v=""/>
    <s v="Confirmed"/>
    <s v=""/>
    <x v="1"/>
    <x v="1"/>
    <m/>
    <x v="0"/>
    <x v="0"/>
    <m/>
    <n v="0"/>
    <x v="0"/>
    <s v="Moderate"/>
    <n v="225799814.51943746"/>
  </r>
  <r>
    <x v="0"/>
    <x v="110"/>
    <x v="110"/>
    <x v="6"/>
    <x v="0"/>
    <x v="2"/>
    <x v="10"/>
    <x v="8"/>
    <n v="2021"/>
    <x v="1"/>
    <s v="N/A"/>
    <n v="0"/>
    <s v="Confirmed"/>
    <s v=""/>
    <x v="1"/>
    <x v="1"/>
    <m/>
    <x v="2"/>
    <x v="0"/>
    <m/>
    <n v="0"/>
    <x v="1"/>
    <s v="High"/>
    <n v="32192988.027009469"/>
  </r>
  <r>
    <x v="0"/>
    <x v="111"/>
    <x v="111"/>
    <x v="5"/>
    <x v="0"/>
    <x v="2"/>
    <x v="10"/>
    <x v="8"/>
    <n v="2021"/>
    <x v="1"/>
    <s v="N/A"/>
    <s v=""/>
    <s v="Confirmed"/>
    <s v=""/>
    <x v="1"/>
    <x v="1"/>
    <m/>
    <x v="2"/>
    <x v="0"/>
    <m/>
    <n v="0"/>
    <x v="1"/>
    <s v="In distress"/>
    <n v="11633535.136477679"/>
  </r>
  <r>
    <x v="0"/>
    <x v="112"/>
    <x v="112"/>
    <x v="5"/>
    <x v="0"/>
    <x v="2"/>
    <x v="10"/>
    <x v="8"/>
    <n v="2021"/>
    <x v="1"/>
    <s v="N/A"/>
    <s v=""/>
    <s v="Confirmed"/>
    <s v=""/>
    <x v="1"/>
    <x v="1"/>
    <m/>
    <x v="2"/>
    <x v="0"/>
    <m/>
    <n v="2"/>
    <x v="0"/>
    <s v="Moderate"/>
    <n v="222008693.93354639"/>
  </r>
  <r>
    <x v="0"/>
    <x v="113"/>
    <x v="113"/>
    <x v="1"/>
    <x v="0"/>
    <x v="2"/>
    <x v="10"/>
    <x v="8"/>
    <n v="2021"/>
    <x v="1"/>
    <s v="N/A"/>
    <s v=""/>
    <s v="Confirmed"/>
    <s v=""/>
    <x v="1"/>
    <x v="1"/>
    <m/>
    <x v="1"/>
    <x v="1"/>
    <m/>
    <n v="0"/>
    <x v="0"/>
    <s v=""/>
    <n v="2564993795.1894679"/>
  </r>
  <r>
    <x v="0"/>
    <x v="114"/>
    <x v="114"/>
    <x v="3"/>
    <x v="0"/>
    <x v="2"/>
    <x v="10"/>
    <x v="8"/>
    <n v="2021"/>
    <x v="1"/>
    <s v="N/A"/>
    <s v=""/>
    <s v="Confirmed"/>
    <s v=""/>
    <x v="1"/>
    <x v="1"/>
    <m/>
    <x v="3"/>
    <x v="1"/>
    <m/>
    <n v="0"/>
    <x v="1"/>
    <s v="N/A"/>
    <n v="60237542.945069775"/>
  </r>
  <r>
    <x v="0"/>
    <x v="115"/>
    <x v="115"/>
    <x v="5"/>
    <x v="0"/>
    <x v="2"/>
    <x v="10"/>
    <x v="8"/>
    <n v="2021"/>
    <x v="1"/>
    <s v="N/A"/>
    <s v=""/>
    <s v="Confirmed"/>
    <s v=""/>
    <x v="1"/>
    <x v="1"/>
    <m/>
    <x v="0"/>
    <x v="0"/>
    <m/>
    <n v="0"/>
    <x v="0"/>
    <s v="High"/>
    <n v="63738640.538260505"/>
  </r>
  <r>
    <x v="0"/>
    <x v="116"/>
    <x v="116"/>
    <x v="6"/>
    <x v="0"/>
    <x v="2"/>
    <x v="10"/>
    <x v="8"/>
    <n v="2021"/>
    <x v="1"/>
    <s v="N/A"/>
    <n v="0"/>
    <s v="Confirmed"/>
    <s v=""/>
    <x v="1"/>
    <x v="1"/>
    <m/>
    <x v="2"/>
    <x v="0"/>
    <m/>
    <n v="0"/>
    <x v="1"/>
    <s v="Moderate"/>
    <n v="49012774.055630356"/>
  </r>
  <r>
    <x v="0"/>
    <x v="117"/>
    <x v="117"/>
    <x v="3"/>
    <x v="0"/>
    <x v="2"/>
    <x v="10"/>
    <x v="8"/>
    <n v="2021"/>
    <x v="1"/>
    <s v="N/A"/>
    <s v=""/>
    <s v="Confirmed"/>
    <s v=""/>
    <x v="1"/>
    <x v="1"/>
    <m/>
    <x v="0"/>
    <x v="0"/>
    <m/>
    <n v="1"/>
    <x v="0"/>
    <s v="In distress"/>
    <s v=""/>
  </r>
  <r>
    <x v="0"/>
    <x v="118"/>
    <x v="118"/>
    <x v="3"/>
    <x v="0"/>
    <x v="2"/>
    <x v="10"/>
    <x v="8"/>
    <n v="2021"/>
    <x v="1"/>
    <s v="N/A"/>
    <s v=""/>
    <s v="Confirmed"/>
    <s v=""/>
    <x v="1"/>
    <x v="1"/>
    <m/>
    <x v="1"/>
    <x v="1"/>
    <m/>
    <n v="0"/>
    <x v="0"/>
    <s v="N/A"/>
    <n v="16429121142.784708"/>
  </r>
  <r>
    <x v="0"/>
    <x v="119"/>
    <x v="119"/>
    <x v="3"/>
    <x v="0"/>
    <x v="2"/>
    <x v="10"/>
    <x v="8"/>
    <n v="2021"/>
    <x v="1"/>
    <s v="N/A"/>
    <s v=""/>
    <s v="Confirmed"/>
    <s v=""/>
    <x v="1"/>
    <x v="1"/>
    <m/>
    <x v="0"/>
    <x v="0"/>
    <m/>
    <n v="1"/>
    <x v="0"/>
    <s v="High"/>
    <n v="31684581.76217727"/>
  </r>
  <r>
    <x v="0"/>
    <x v="120"/>
    <x v="120"/>
    <x v="0"/>
    <x v="0"/>
    <x v="2"/>
    <x v="10"/>
    <x v="8"/>
    <n v="2021"/>
    <x v="1"/>
    <s v="N/A"/>
    <s v=""/>
    <s v="Confirmed"/>
    <s v=""/>
    <x v="1"/>
    <x v="1"/>
    <m/>
    <x v="2"/>
    <x v="0"/>
    <m/>
    <n v="0"/>
    <x v="0"/>
    <s v="N/A"/>
    <n v="1373621563.5182886"/>
  </r>
  <r>
    <x v="0"/>
    <x v="121"/>
    <x v="121"/>
    <x v="4"/>
    <x v="0"/>
    <x v="2"/>
    <x v="10"/>
    <x v="8"/>
    <n v="2021"/>
    <x v="1"/>
    <s v="N/A"/>
    <s v=""/>
    <s v="Confirmed"/>
    <s v=""/>
    <x v="1"/>
    <x v="1"/>
    <m/>
    <x v="3"/>
    <x v="1"/>
    <m/>
    <n v="0"/>
    <x v="1"/>
    <s v=""/>
    <n v="24214370.889062837"/>
  </r>
  <r>
    <x v="0"/>
    <x v="122"/>
    <x v="122"/>
    <x v="4"/>
    <x v="0"/>
    <x v="2"/>
    <x v="10"/>
    <x v="8"/>
    <n v="2021"/>
    <x v="1"/>
    <s v="N/A"/>
    <s v=""/>
    <s v="Confirmed"/>
    <s v=""/>
    <x v="1"/>
    <x v="1"/>
    <m/>
    <x v="1"/>
    <x v="0"/>
    <m/>
    <n v="0"/>
    <x v="1"/>
    <s v="…"/>
    <n v="39941279.609447442"/>
  </r>
  <r>
    <x v="0"/>
    <x v="123"/>
    <x v="123"/>
    <x v="4"/>
    <x v="0"/>
    <x v="2"/>
    <x v="10"/>
    <x v="8"/>
    <n v="2021"/>
    <x v="1"/>
    <s v="N/A"/>
    <s v=""/>
    <s v="Confirmed"/>
    <s v=""/>
    <x v="1"/>
    <x v="1"/>
    <m/>
    <x v="1"/>
    <x v="0"/>
    <m/>
    <n v="0"/>
    <x v="1"/>
    <s v="High"/>
    <n v="24761675.260059897"/>
  </r>
  <r>
    <x v="0"/>
    <x v="124"/>
    <x v="124"/>
    <x v="2"/>
    <x v="0"/>
    <x v="2"/>
    <x v="10"/>
    <x v="8"/>
    <n v="2021"/>
    <x v="1"/>
    <s v="N/A"/>
    <s v=""/>
    <s v="Confirmed"/>
    <s v=""/>
    <x v="1"/>
    <x v="1"/>
    <m/>
    <x v="2"/>
    <x v="0"/>
    <m/>
    <n v="0"/>
    <x v="0"/>
    <s v="N/A"/>
    <s v=""/>
  </r>
  <r>
    <x v="0"/>
    <x v="125"/>
    <x v="125"/>
    <x v="2"/>
    <x v="0"/>
    <x v="2"/>
    <x v="10"/>
    <x v="8"/>
    <n v="2021"/>
    <x v="1"/>
    <s v="N/A"/>
    <s v=""/>
    <s v="Confirmed"/>
    <s v=""/>
    <x v="1"/>
    <x v="1"/>
    <m/>
    <x v="0"/>
    <x v="0"/>
    <m/>
    <n v="1"/>
    <x v="0"/>
    <s v="N/A"/>
    <n v="577156172.71229994"/>
  </r>
  <r>
    <x v="0"/>
    <x v="126"/>
    <x v="126"/>
    <x v="6"/>
    <x v="0"/>
    <x v="2"/>
    <x v="10"/>
    <x v="8"/>
    <n v="2021"/>
    <x v="1"/>
    <s v="N/A"/>
    <s v=""/>
    <s v="Confirmed"/>
    <s v=""/>
    <x v="1"/>
    <x v="1"/>
    <m/>
    <x v="1"/>
    <x v="1"/>
    <m/>
    <n v="0"/>
    <x v="1"/>
    <s v=""/>
    <n v="180052034.19851837"/>
  </r>
  <r>
    <x v="0"/>
    <x v="127"/>
    <x v="127"/>
    <x v="2"/>
    <x v="0"/>
    <x v="2"/>
    <x v="10"/>
    <x v="8"/>
    <n v="2021"/>
    <x v="1"/>
    <s v="N/A"/>
    <s v=""/>
    <s v="Confirmed"/>
    <s v=""/>
    <x v="1"/>
    <x v="1"/>
    <m/>
    <x v="0"/>
    <x v="0"/>
    <m/>
    <n v="1"/>
    <x v="0"/>
    <s v="N/A"/>
    <s v=""/>
  </r>
  <r>
    <x v="0"/>
    <x v="128"/>
    <x v="128"/>
    <x v="1"/>
    <x v="0"/>
    <x v="2"/>
    <x v="10"/>
    <x v="8"/>
    <n v="2021"/>
    <x v="1"/>
    <s v="N/A"/>
    <s v=""/>
    <s v="Confirmed"/>
    <s v=""/>
    <x v="1"/>
    <x v="1"/>
    <m/>
    <x v="2"/>
    <x v="0"/>
    <m/>
    <n v="0"/>
    <x v="0"/>
    <s v="High"/>
    <n v="147296124.32232863"/>
  </r>
  <r>
    <x v="0"/>
    <x v="129"/>
    <x v="129"/>
    <x v="3"/>
    <x v="0"/>
    <x v="2"/>
    <x v="10"/>
    <x v="8"/>
    <n v="2021"/>
    <x v="1"/>
    <s v="N/A"/>
    <s v=""/>
    <s v="Confirmed"/>
    <s v=""/>
    <x v="1"/>
    <x v="1"/>
    <m/>
    <x v="2"/>
    <x v="0"/>
    <m/>
    <n v="0"/>
    <x v="0"/>
    <s v="…"/>
    <n v="890576536.83065879"/>
  </r>
  <r>
    <x v="0"/>
    <x v="130"/>
    <x v="130"/>
    <x v="6"/>
    <x v="0"/>
    <x v="2"/>
    <x v="10"/>
    <x v="8"/>
    <n v="2021"/>
    <x v="1"/>
    <s v="N/A"/>
    <s v=""/>
    <s v="Confirmed"/>
    <s v=""/>
    <x v="1"/>
    <x v="1"/>
    <m/>
    <x v="1"/>
    <x v="1"/>
    <m/>
    <n v="0"/>
    <x v="0"/>
    <s v=""/>
    <n v="14611129792.346064"/>
  </r>
  <r>
    <x v="0"/>
    <x v="131"/>
    <x v="131"/>
    <x v="6"/>
    <x v="0"/>
    <x v="2"/>
    <x v="10"/>
    <x v="8"/>
    <n v="2021"/>
    <x v="1"/>
    <s v="N/A"/>
    <n v="0"/>
    <s v="Confirmed"/>
    <s v=""/>
    <x v="1"/>
    <x v="1"/>
    <m/>
    <x v="2"/>
    <x v="0"/>
    <m/>
    <n v="0"/>
    <x v="1"/>
    <s v="Low"/>
    <n v="72046877.233008593"/>
  </r>
  <r>
    <x v="0"/>
    <x v="132"/>
    <x v="132"/>
    <x v="5"/>
    <x v="0"/>
    <x v="2"/>
    <x v="10"/>
    <x v="8"/>
    <n v="2021"/>
    <x v="1"/>
    <s v="N/A"/>
    <s v=""/>
    <s v="Confirmed"/>
    <s v=""/>
    <x v="1"/>
    <x v="1"/>
    <m/>
    <x v="0"/>
    <x v="0"/>
    <m/>
    <n v="0"/>
    <x v="0"/>
    <s v="High"/>
    <n v="56248139.267255567"/>
  </r>
  <r>
    <x v="0"/>
    <x v="133"/>
    <x v="133"/>
    <x v="6"/>
    <x v="0"/>
    <x v="2"/>
    <x v="10"/>
    <x v="8"/>
    <n v="2021"/>
    <x v="1"/>
    <s v="N/A"/>
    <n v="0"/>
    <s v="Confirmed"/>
    <s v=""/>
    <x v="1"/>
    <x v="1"/>
    <m/>
    <x v="1"/>
    <x v="0"/>
    <m/>
    <n v="0"/>
    <x v="1"/>
    <s v="High"/>
    <n v="15464031.712942109"/>
  </r>
  <r>
    <x v="0"/>
    <x v="134"/>
    <x v="134"/>
    <x v="4"/>
    <x v="0"/>
    <x v="2"/>
    <x v="10"/>
    <x v="8"/>
    <n v="2021"/>
    <x v="1"/>
    <s v="N/A"/>
    <s v=""/>
    <s v="Confirmed"/>
    <s v=""/>
    <x v="1"/>
    <x v="1"/>
    <m/>
    <x v="3"/>
    <x v="1"/>
    <m/>
    <n v="0"/>
    <x v="1"/>
    <s v="N/A"/>
    <n v="769564399.33249676"/>
  </r>
  <r>
    <x v="0"/>
    <x v="135"/>
    <x v="135"/>
    <x v="2"/>
    <x v="0"/>
    <x v="2"/>
    <x v="10"/>
    <x v="8"/>
    <n v="2021"/>
    <x v="1"/>
    <s v="N/A"/>
    <s v=""/>
    <s v="Confirmed"/>
    <s v=""/>
    <x v="1"/>
    <x v="1"/>
    <m/>
    <x v="2"/>
    <x v="0"/>
    <m/>
    <n v="0"/>
    <x v="0"/>
    <s v="N/A"/>
    <n v="1668954539.7630196"/>
  </r>
  <r>
    <x v="0"/>
    <x v="136"/>
    <x v="136"/>
    <x v="1"/>
    <x v="0"/>
    <x v="2"/>
    <x v="10"/>
    <x v="8"/>
    <n v="2021"/>
    <x v="1"/>
    <s v="N/A"/>
    <s v=""/>
    <s v="Confirmed"/>
    <s v=""/>
    <x v="1"/>
    <x v="1"/>
    <m/>
    <x v="1"/>
    <x v="1"/>
    <m/>
    <n v="0"/>
    <x v="0"/>
    <s v=""/>
    <n v="24840920016.18832"/>
  </r>
  <r>
    <x v="0"/>
    <x v="137"/>
    <x v="137"/>
    <x v="1"/>
    <x v="0"/>
    <x v="2"/>
    <x v="10"/>
    <x v="8"/>
    <n v="2021"/>
    <x v="1"/>
    <s v="N/A"/>
    <s v=""/>
    <s v="Confirmed"/>
    <s v=""/>
    <x v="1"/>
    <x v="1"/>
    <m/>
    <x v="1"/>
    <x v="1"/>
    <m/>
    <n v="0"/>
    <x v="0"/>
    <s v="N/A"/>
    <n v="487888462.83720118"/>
  </r>
  <r>
    <x v="0"/>
    <x v="138"/>
    <x v="138"/>
    <x v="6"/>
    <x v="0"/>
    <x v="2"/>
    <x v="10"/>
    <x v="8"/>
    <n v="2021"/>
    <x v="1"/>
    <s v="N/A"/>
    <n v="0"/>
    <s v="Confirmed"/>
    <s v=""/>
    <x v="1"/>
    <x v="1"/>
    <m/>
    <x v="1"/>
    <x v="0"/>
    <m/>
    <n v="0"/>
    <x v="1"/>
    <s v="…"/>
    <n v="6365061.1736073596"/>
  </r>
  <r>
    <x v="0"/>
    <x v="139"/>
    <x v="139"/>
    <x v="3"/>
    <x v="0"/>
    <x v="2"/>
    <x v="10"/>
    <x v="8"/>
    <n v="2021"/>
    <x v="1"/>
    <s v="N/A"/>
    <s v=""/>
    <s v="Confirmed"/>
    <s v=""/>
    <x v="1"/>
    <x v="1"/>
    <m/>
    <x v="0"/>
    <x v="0"/>
    <m/>
    <n v="2"/>
    <x v="0"/>
    <s v="Low"/>
    <n v="291799092.90196139"/>
  </r>
  <r>
    <x v="0"/>
    <x v="140"/>
    <x v="140"/>
    <x v="1"/>
    <x v="0"/>
    <x v="2"/>
    <x v="10"/>
    <x v="8"/>
    <n v="2021"/>
    <x v="1"/>
    <s v="N/A"/>
    <s v=""/>
    <s v="Confirmed"/>
    <s v=""/>
    <x v="1"/>
    <x v="1"/>
    <m/>
    <x v="2"/>
    <x v="0"/>
    <m/>
    <n v="0"/>
    <x v="0"/>
    <s v="N/A"/>
    <n v="4844815340.2135534"/>
  </r>
  <r>
    <x v="0"/>
    <x v="141"/>
    <x v="141"/>
    <x v="4"/>
    <x v="0"/>
    <x v="2"/>
    <x v="10"/>
    <x v="8"/>
    <n v="2021"/>
    <x v="1"/>
    <s v="N/A"/>
    <s v=""/>
    <s v="Confirmed"/>
    <s v=""/>
    <x v="1"/>
    <x v="1"/>
    <m/>
    <x v="3"/>
    <x v="1"/>
    <m/>
    <n v="0"/>
    <x v="0"/>
    <s v=""/>
    <n v="4001891446.6871672"/>
  </r>
  <r>
    <x v="0"/>
    <x v="142"/>
    <x v="142"/>
    <x v="1"/>
    <x v="0"/>
    <x v="2"/>
    <x v="10"/>
    <x v="8"/>
    <n v="2021"/>
    <x v="1"/>
    <s v="N/A"/>
    <s v=""/>
    <s v="Confirmed"/>
    <s v=""/>
    <x v="1"/>
    <x v="1"/>
    <m/>
    <x v="2"/>
    <x v="0"/>
    <m/>
    <n v="0"/>
    <x v="0"/>
    <s v="Low"/>
    <n v="1019800630.5853213"/>
  </r>
  <r>
    <x v="0"/>
    <x v="143"/>
    <x v="143"/>
    <x v="6"/>
    <x v="0"/>
    <x v="2"/>
    <x v="10"/>
    <x v="8"/>
    <n v="2021"/>
    <x v="1"/>
    <s v="N/A"/>
    <n v="0"/>
    <s v="Confirmed"/>
    <s v=""/>
    <x v="1"/>
    <x v="1"/>
    <m/>
    <x v="2"/>
    <x v="0"/>
    <m/>
    <n v="0"/>
    <x v="1"/>
    <s v="Moderate"/>
    <n v="19578671.310841195"/>
  </r>
  <r>
    <x v="0"/>
    <x v="144"/>
    <x v="144"/>
    <x v="4"/>
    <x v="0"/>
    <x v="2"/>
    <x v="10"/>
    <x v="8"/>
    <n v="2021"/>
    <x v="1"/>
    <s v="N/A"/>
    <s v=""/>
    <s v="Confirmed"/>
    <s v=""/>
    <x v="1"/>
    <x v="1"/>
    <m/>
    <x v="4"/>
    <x v="1"/>
    <m/>
    <n v="0"/>
    <x v="0"/>
    <s v="N/A"/>
    <n v="3551452001.0684834"/>
  </r>
  <r>
    <x v="0"/>
    <x v="145"/>
    <x v="145"/>
    <x v="6"/>
    <x v="0"/>
    <x v="2"/>
    <x v="10"/>
    <x v="8"/>
    <n v="2021"/>
    <x v="1"/>
    <s v="N/A"/>
    <n v="6164384"/>
    <s v="Confirmed"/>
    <s v=""/>
    <x v="1"/>
    <x v="1"/>
    <m/>
    <x v="2"/>
    <x v="0"/>
    <m/>
    <n v="0"/>
    <x v="0"/>
    <s v="N/A"/>
    <n v="6603048821.7575006"/>
  </r>
  <r>
    <x v="0"/>
    <x v="146"/>
    <x v="146"/>
    <x v="2"/>
    <x v="0"/>
    <x v="2"/>
    <x v="10"/>
    <x v="8"/>
    <n v="2021"/>
    <x v="1"/>
    <s v="N/A"/>
    <s v=""/>
    <s v="Confirmed"/>
    <s v=""/>
    <x v="1"/>
    <x v="1"/>
    <m/>
    <x v="0"/>
    <x v="0"/>
    <m/>
    <n v="1"/>
    <x v="0"/>
    <s v="…"/>
    <s v=""/>
  </r>
  <r>
    <x v="0"/>
    <x v="147"/>
    <x v="147"/>
    <x v="3"/>
    <x v="0"/>
    <x v="2"/>
    <x v="10"/>
    <x v="8"/>
    <n v="2021"/>
    <x v="1"/>
    <s v="N/A"/>
    <s v=""/>
    <s v="Confirmed"/>
    <s v=""/>
    <x v="1"/>
    <x v="1"/>
    <m/>
    <x v="2"/>
    <x v="0"/>
    <m/>
    <n v="0"/>
    <x v="0"/>
    <s v="High"/>
    <n v="515352723.9821828"/>
  </r>
  <r>
    <x v="0"/>
    <x v="148"/>
    <x v="148"/>
    <x v="3"/>
    <x v="0"/>
    <x v="2"/>
    <x v="10"/>
    <x v="8"/>
    <n v="2021"/>
    <x v="1"/>
    <s v="N/A"/>
    <s v=""/>
    <s v="Confirmed"/>
    <s v=""/>
    <x v="1"/>
    <x v="1"/>
    <m/>
    <x v="2"/>
    <x v="0"/>
    <m/>
    <n v="0"/>
    <x v="0"/>
    <s v="N/A"/>
    <n v="566711742.22428358"/>
  </r>
  <r>
    <x v="0"/>
    <x v="0"/>
    <x v="0"/>
    <x v="0"/>
    <x v="0"/>
    <x v="2"/>
    <x v="11"/>
    <x v="8"/>
    <s v="Multi-Year"/>
    <x v="1"/>
    <s v="N/A"/>
    <n v="0"/>
    <s v="Confirmed"/>
    <s v=""/>
    <x v="1"/>
    <x v="0"/>
    <m/>
    <x v="0"/>
    <x v="0"/>
    <m/>
    <n v="1"/>
    <x v="0"/>
    <s v="High"/>
    <n v="95829480.719269618"/>
  </r>
  <r>
    <x v="0"/>
    <x v="1"/>
    <x v="1"/>
    <x v="1"/>
    <x v="0"/>
    <x v="2"/>
    <x v="11"/>
    <x v="8"/>
    <s v="Multi-Year"/>
    <x v="1"/>
    <s v="N/A"/>
    <n v="0"/>
    <s v="Confirmed"/>
    <s v=""/>
    <x v="1"/>
    <x v="0"/>
    <m/>
    <x v="1"/>
    <x v="1"/>
    <m/>
    <n v="0"/>
    <x v="0"/>
    <s v=""/>
    <n v="427904035.52443534"/>
  </r>
  <r>
    <x v="0"/>
    <x v="2"/>
    <x v="2"/>
    <x v="2"/>
    <x v="0"/>
    <x v="2"/>
    <x v="11"/>
    <x v="8"/>
    <s v="Multi-Year"/>
    <x v="1"/>
    <s v="N/A"/>
    <n v="0"/>
    <s v="Confirmed"/>
    <s v=""/>
    <x v="1"/>
    <x v="0"/>
    <m/>
    <x v="2"/>
    <x v="0"/>
    <m/>
    <n v="0"/>
    <x v="0"/>
    <s v="N/A"/>
    <n v="7113361022.7267885"/>
  </r>
  <r>
    <x v="0"/>
    <x v="3"/>
    <x v="3"/>
    <x v="3"/>
    <x v="0"/>
    <x v="2"/>
    <x v="11"/>
    <x v="8"/>
    <s v="Multi-Year"/>
    <x v="1"/>
    <s v="N/A"/>
    <n v="0"/>
    <s v="Confirmed"/>
    <s v=""/>
    <x v="1"/>
    <x v="0"/>
    <m/>
    <x v="2"/>
    <x v="0"/>
    <m/>
    <n v="0"/>
    <x v="0"/>
    <s v="…"/>
    <n v="1131865946.5875781"/>
  </r>
  <r>
    <x v="0"/>
    <x v="4"/>
    <x v="4"/>
    <x v="4"/>
    <x v="0"/>
    <x v="2"/>
    <x v="11"/>
    <x v="8"/>
    <s v="Multi-Year"/>
    <x v="1"/>
    <s v="N/A"/>
    <n v="0"/>
    <s v="Confirmed"/>
    <s v=""/>
    <x v="1"/>
    <x v="0"/>
    <m/>
    <x v="3"/>
    <x v="1"/>
    <m/>
    <n v="0"/>
    <x v="1"/>
    <s v=""/>
    <n v="46777779.823447868"/>
  </r>
  <r>
    <x v="0"/>
    <x v="5"/>
    <x v="5"/>
    <x v="4"/>
    <x v="0"/>
    <x v="2"/>
    <x v="11"/>
    <x v="8"/>
    <s v="Multi-Year"/>
    <x v="1"/>
    <s v="N/A"/>
    <n v="0"/>
    <s v="Confirmed"/>
    <s v=""/>
    <x v="1"/>
    <x v="0"/>
    <m/>
    <x v="1"/>
    <x v="1"/>
    <m/>
    <n v="0"/>
    <x v="0"/>
    <s v=""/>
    <n v="30725305777.596794"/>
  </r>
  <r>
    <x v="0"/>
    <x v="6"/>
    <x v="6"/>
    <x v="1"/>
    <x v="0"/>
    <x v="2"/>
    <x v="11"/>
    <x v="8"/>
    <s v="Multi-Year"/>
    <x v="1"/>
    <s v="N/A"/>
    <n v="0"/>
    <s v="Confirmed"/>
    <s v=""/>
    <x v="1"/>
    <x v="0"/>
    <m/>
    <x v="1"/>
    <x v="1"/>
    <m/>
    <n v="0"/>
    <x v="0"/>
    <s v=""/>
    <n v="153815827.8380394"/>
  </r>
  <r>
    <x v="0"/>
    <x v="7"/>
    <x v="7"/>
    <x v="1"/>
    <x v="0"/>
    <x v="2"/>
    <x v="11"/>
    <x v="8"/>
    <s v="Multi-Year"/>
    <x v="1"/>
    <s v="N/A"/>
    <n v="0"/>
    <s v="Confirmed"/>
    <s v=""/>
    <x v="1"/>
    <x v="0"/>
    <m/>
    <x v="1"/>
    <x v="1"/>
    <m/>
    <n v="0"/>
    <x v="0"/>
    <s v="N/A"/>
    <n v="437525105.31216973"/>
  </r>
  <r>
    <x v="0"/>
    <x v="8"/>
    <x v="8"/>
    <x v="4"/>
    <x v="0"/>
    <x v="2"/>
    <x v="11"/>
    <x v="8"/>
    <s v="Multi-Year"/>
    <x v="1"/>
    <s v="N/A"/>
    <n v="0"/>
    <s v="Confirmed"/>
    <s v=""/>
    <x v="1"/>
    <x v="0"/>
    <m/>
    <x v="3"/>
    <x v="1"/>
    <m/>
    <n v="0"/>
    <x v="1"/>
    <s v=""/>
    <n v="149463302.00602186"/>
  </r>
  <r>
    <x v="0"/>
    <x v="9"/>
    <x v="9"/>
    <x v="0"/>
    <x v="0"/>
    <x v="2"/>
    <x v="11"/>
    <x v="8"/>
    <s v="Multi-Year"/>
    <x v="1"/>
    <s v="N/A"/>
    <n v="0"/>
    <s v="Confirmed"/>
    <s v=""/>
    <x v="1"/>
    <x v="0"/>
    <m/>
    <x v="2"/>
    <x v="0"/>
    <m/>
    <n v="0"/>
    <x v="0"/>
    <s v="Low"/>
    <n v="1148322593.9600098"/>
  </r>
  <r>
    <x v="0"/>
    <x v="10"/>
    <x v="10"/>
    <x v="1"/>
    <x v="0"/>
    <x v="2"/>
    <x v="11"/>
    <x v="8"/>
    <s v="Multi-Year"/>
    <x v="1"/>
    <s v="N/A"/>
    <n v="0"/>
    <s v="Confirmed"/>
    <s v=""/>
    <x v="1"/>
    <x v="0"/>
    <m/>
    <x v="1"/>
    <x v="1"/>
    <m/>
    <n v="0"/>
    <x v="0"/>
    <s v=""/>
    <n v="2371102058.1093163"/>
  </r>
  <r>
    <x v="0"/>
    <x v="11"/>
    <x v="11"/>
    <x v="4"/>
    <x v="0"/>
    <x v="2"/>
    <x v="11"/>
    <x v="8"/>
    <s v="Multi-Year"/>
    <x v="1"/>
    <s v="N/A"/>
    <n v="0"/>
    <s v="Confirmed"/>
    <s v=""/>
    <x v="1"/>
    <x v="0"/>
    <m/>
    <x v="2"/>
    <x v="1"/>
    <m/>
    <n v="0"/>
    <x v="1"/>
    <s v="N/A"/>
    <n v="75151620.005215243"/>
  </r>
  <r>
    <x v="0"/>
    <x v="12"/>
    <x v="12"/>
    <x v="5"/>
    <x v="0"/>
    <x v="2"/>
    <x v="11"/>
    <x v="8"/>
    <s v="Multi-Year"/>
    <x v="1"/>
    <s v="N/A"/>
    <n v="0"/>
    <s v="Confirmed"/>
    <s v=""/>
    <x v="1"/>
    <x v="0"/>
    <m/>
    <x v="2"/>
    <x v="0"/>
    <m/>
    <n v="0"/>
    <x v="0"/>
    <s v="Moderate"/>
    <n v="69958487.197715744"/>
  </r>
  <r>
    <x v="0"/>
    <x v="13"/>
    <x v="13"/>
    <x v="0"/>
    <x v="0"/>
    <x v="2"/>
    <x v="11"/>
    <x v="8"/>
    <s v="Multi-Year"/>
    <x v="1"/>
    <s v="N/A"/>
    <n v="0"/>
    <s v="Confirmed"/>
    <s v=""/>
    <x v="1"/>
    <x v="0"/>
    <m/>
    <x v="2"/>
    <x v="0"/>
    <m/>
    <n v="0"/>
    <x v="0"/>
    <s v="…"/>
    <n v="61654608.560629159"/>
  </r>
  <r>
    <x v="0"/>
    <x v="14"/>
    <x v="14"/>
    <x v="4"/>
    <x v="0"/>
    <x v="2"/>
    <x v="11"/>
    <x v="8"/>
    <s v="Multi-Year"/>
    <x v="1"/>
    <s v="N/A"/>
    <n v="0"/>
    <s v="Confirmed"/>
    <s v=""/>
    <x v="1"/>
    <x v="0"/>
    <m/>
    <x v="2"/>
    <x v="0"/>
    <m/>
    <n v="0"/>
    <x v="0"/>
    <s v="N/A"/>
    <n v="1806638707.7615163"/>
  </r>
  <r>
    <x v="0"/>
    <x v="15"/>
    <x v="15"/>
    <x v="1"/>
    <x v="0"/>
    <x v="2"/>
    <x v="11"/>
    <x v="8"/>
    <s v="Multi-Year"/>
    <x v="1"/>
    <s v="N/A"/>
    <n v="0"/>
    <s v="Confirmed"/>
    <s v=""/>
    <x v="1"/>
    <x v="0"/>
    <m/>
    <x v="1"/>
    <x v="1"/>
    <m/>
    <n v="0"/>
    <x v="0"/>
    <s v="N/A"/>
    <n v="1252696525.0627904"/>
  </r>
  <r>
    <x v="0"/>
    <x v="16"/>
    <x v="16"/>
    <x v="3"/>
    <x v="0"/>
    <x v="2"/>
    <x v="11"/>
    <x v="8"/>
    <s v="Multi-Year"/>
    <x v="1"/>
    <s v="N/A"/>
    <n v="0"/>
    <s v="Confirmed"/>
    <s v=""/>
    <x v="1"/>
    <x v="0"/>
    <m/>
    <x v="1"/>
    <x v="1"/>
    <m/>
    <n v="0"/>
    <x v="0"/>
    <s v=""/>
    <n v="843425084.07334602"/>
  </r>
  <r>
    <x v="0"/>
    <x v="17"/>
    <x v="17"/>
    <x v="4"/>
    <x v="0"/>
    <x v="2"/>
    <x v="11"/>
    <x v="8"/>
    <s v="Multi-Year"/>
    <x v="1"/>
    <s v="N/A"/>
    <n v="0"/>
    <s v="Confirmed"/>
    <s v=""/>
    <x v="1"/>
    <x v="0"/>
    <m/>
    <x v="1"/>
    <x v="1"/>
    <m/>
    <n v="0"/>
    <x v="0"/>
    <s v="N/A"/>
    <n v="74055620038.853683"/>
  </r>
  <r>
    <x v="0"/>
    <x v="18"/>
    <x v="18"/>
    <x v="1"/>
    <x v="0"/>
    <x v="2"/>
    <x v="11"/>
    <x v="8"/>
    <s v="Multi-Year"/>
    <x v="1"/>
    <s v="N/A"/>
    <n v="0"/>
    <s v="Confirmed"/>
    <s v=""/>
    <x v="1"/>
    <x v="0"/>
    <m/>
    <x v="1"/>
    <x v="1"/>
    <m/>
    <n v="0"/>
    <x v="0"/>
    <s v=""/>
    <n v="2803357765.5888777"/>
  </r>
  <r>
    <x v="0"/>
    <x v="19"/>
    <x v="19"/>
    <x v="5"/>
    <x v="0"/>
    <x v="2"/>
    <x v="11"/>
    <x v="8"/>
    <s v="Multi-Year"/>
    <x v="1"/>
    <s v="N/A"/>
    <n v="0"/>
    <s v="Confirmed"/>
    <s v=""/>
    <x v="1"/>
    <x v="0"/>
    <m/>
    <x v="0"/>
    <x v="0"/>
    <m/>
    <n v="2"/>
    <x v="0"/>
    <s v="Moderate"/>
    <n v="337927779.25510043"/>
  </r>
  <r>
    <x v="0"/>
    <x v="20"/>
    <x v="20"/>
    <x v="3"/>
    <x v="0"/>
    <x v="2"/>
    <x v="11"/>
    <x v="8"/>
    <s v="Multi-Year"/>
    <x v="1"/>
    <s v="N/A"/>
    <n v="0"/>
    <s v="Confirmed"/>
    <s v=""/>
    <x v="1"/>
    <x v="0"/>
    <m/>
    <x v="0"/>
    <x v="0"/>
    <m/>
    <n v="2"/>
    <x v="0"/>
    <s v="…"/>
    <n v="65979512.47399316"/>
  </r>
  <r>
    <x v="0"/>
    <x v="21"/>
    <x v="21"/>
    <x v="5"/>
    <x v="0"/>
    <x v="2"/>
    <x v="11"/>
    <x v="8"/>
    <s v="Multi-Year"/>
    <x v="1"/>
    <s v="N/A"/>
    <n v="0"/>
    <s v="Confirmed"/>
    <s v=""/>
    <x v="1"/>
    <x v="0"/>
    <m/>
    <x v="2"/>
    <x v="0"/>
    <m/>
    <n v="0"/>
    <x v="1"/>
    <s v="High"/>
    <n v="63748362.778827004"/>
  </r>
  <r>
    <x v="0"/>
    <x v="22"/>
    <x v="22"/>
    <x v="6"/>
    <x v="0"/>
    <x v="2"/>
    <x v="11"/>
    <x v="8"/>
    <s v="Multi-Year"/>
    <x v="1"/>
    <s v="N/A"/>
    <n v="0"/>
    <s v="Confirmed"/>
    <s v=""/>
    <x v="1"/>
    <x v="0"/>
    <m/>
    <x v="2"/>
    <x v="0"/>
    <m/>
    <n v="0"/>
    <x v="0"/>
    <s v="Low"/>
    <n v="313039649.45369786"/>
  </r>
  <r>
    <x v="0"/>
    <x v="23"/>
    <x v="23"/>
    <x v="5"/>
    <x v="0"/>
    <x v="2"/>
    <x v="11"/>
    <x v="8"/>
    <s v="Multi-Year"/>
    <x v="1"/>
    <s v="N/A"/>
    <n v="0"/>
    <s v="Confirmed"/>
    <s v=""/>
    <x v="1"/>
    <x v="0"/>
    <m/>
    <x v="2"/>
    <x v="0"/>
    <m/>
    <n v="2"/>
    <x v="0"/>
    <s v="High"/>
    <n v="81361801.477472037"/>
  </r>
  <r>
    <x v="0"/>
    <x v="24"/>
    <x v="24"/>
    <x v="5"/>
    <x v="0"/>
    <x v="2"/>
    <x v="11"/>
    <x v="8"/>
    <s v="Multi-Year"/>
    <x v="1"/>
    <s v="N/A"/>
    <n v="0"/>
    <s v="Confirmed"/>
    <s v=""/>
    <x v="1"/>
    <x v="0"/>
    <m/>
    <x v="0"/>
    <x v="0"/>
    <m/>
    <n v="1"/>
    <x v="0"/>
    <s v="High"/>
    <s v=""/>
  </r>
  <r>
    <x v="0"/>
    <x v="25"/>
    <x v="25"/>
    <x v="5"/>
    <x v="0"/>
    <x v="2"/>
    <x v="11"/>
    <x v="8"/>
    <s v="Multi-Year"/>
    <x v="1"/>
    <s v="N/A"/>
    <n v="0"/>
    <s v="Confirmed"/>
    <s v=""/>
    <x v="1"/>
    <x v="0"/>
    <m/>
    <x v="0"/>
    <x v="0"/>
    <m/>
    <n v="1"/>
    <x v="0"/>
    <s v="High"/>
    <n v="76939306.715636879"/>
  </r>
  <r>
    <x v="0"/>
    <x v="26"/>
    <x v="26"/>
    <x v="4"/>
    <x v="0"/>
    <x v="2"/>
    <x v="11"/>
    <x v="8"/>
    <s v="Multi-Year"/>
    <x v="1"/>
    <s v="N/A"/>
    <n v="0"/>
    <s v="Confirmed"/>
    <s v=""/>
    <x v="1"/>
    <x v="0"/>
    <m/>
    <x v="3"/>
    <x v="1"/>
    <m/>
    <n v="0"/>
    <x v="0"/>
    <s v=""/>
    <n v="13859708717.682571"/>
  </r>
  <r>
    <x v="0"/>
    <x v="27"/>
    <x v="27"/>
    <x v="6"/>
    <x v="0"/>
    <x v="2"/>
    <x v="11"/>
    <x v="8"/>
    <s v="Multi-Year"/>
    <x v="1"/>
    <s v="N/A"/>
    <n v="0"/>
    <s v="Confirmed"/>
    <s v=""/>
    <x v="1"/>
    <x v="0"/>
    <m/>
    <x v="1"/>
    <x v="1"/>
    <m/>
    <n v="0"/>
    <x v="0"/>
    <s v=""/>
    <n v="403567160707.7016"/>
  </r>
  <r>
    <x v="0"/>
    <x v="28"/>
    <x v="28"/>
    <x v="4"/>
    <x v="0"/>
    <x v="2"/>
    <x v="11"/>
    <x v="8"/>
    <s v="Multi-Year"/>
    <x v="1"/>
    <s v="N/A"/>
    <n v="0"/>
    <s v="Confirmed"/>
    <s v=""/>
    <x v="1"/>
    <x v="0"/>
    <m/>
    <x v="1"/>
    <x v="1"/>
    <m/>
    <n v="0"/>
    <x v="0"/>
    <s v=""/>
    <n v="18250225995.972618"/>
  </r>
  <r>
    <x v="0"/>
    <x v="29"/>
    <x v="29"/>
    <x v="3"/>
    <x v="0"/>
    <x v="2"/>
    <x v="11"/>
    <x v="8"/>
    <s v="Multi-Year"/>
    <x v="1"/>
    <s v="N/A"/>
    <n v="0"/>
    <s v="Confirmed"/>
    <s v=""/>
    <x v="1"/>
    <x v="0"/>
    <m/>
    <x v="2"/>
    <x v="0"/>
    <m/>
    <n v="0"/>
    <x v="1"/>
    <s v="Moderate"/>
    <n v="5027591.1682657599"/>
  </r>
  <r>
    <x v="0"/>
    <x v="30"/>
    <x v="30"/>
    <x v="5"/>
    <x v="0"/>
    <x v="2"/>
    <x v="11"/>
    <x v="8"/>
    <s v="Multi-Year"/>
    <x v="1"/>
    <s v="N/A"/>
    <n v="0"/>
    <s v="Confirmed"/>
    <s v=""/>
    <x v="1"/>
    <x v="0"/>
    <m/>
    <x v="0"/>
    <x v="0"/>
    <m/>
    <n v="3"/>
    <x v="0"/>
    <s v="Moderate"/>
    <n v="234645958.63289919"/>
  </r>
  <r>
    <x v="0"/>
    <x v="31"/>
    <x v="31"/>
    <x v="5"/>
    <x v="0"/>
    <x v="2"/>
    <x v="11"/>
    <x v="8"/>
    <s v="Multi-Year"/>
    <x v="1"/>
    <s v="N/A"/>
    <n v="0"/>
    <s v="Confirmed"/>
    <s v=""/>
    <x v="1"/>
    <x v="0"/>
    <m/>
    <x v="2"/>
    <x v="0"/>
    <m/>
    <n v="2"/>
    <x v="0"/>
    <s v="In distress"/>
    <n v="91590910.247314155"/>
  </r>
  <r>
    <x v="0"/>
    <x v="32"/>
    <x v="32"/>
    <x v="6"/>
    <x v="0"/>
    <x v="2"/>
    <x v="11"/>
    <x v="8"/>
    <s v="Multi-Year"/>
    <x v="1"/>
    <s v="N/A"/>
    <n v="0"/>
    <s v="Confirmed"/>
    <s v=""/>
    <x v="1"/>
    <x v="0"/>
    <m/>
    <x v="4"/>
    <x v="1"/>
    <m/>
    <n v="0"/>
    <x v="1"/>
    <s v="N/A"/>
    <n v="8560012.8840167802"/>
  </r>
  <r>
    <x v="0"/>
    <x v="33"/>
    <x v="33"/>
    <x v="4"/>
    <x v="0"/>
    <x v="2"/>
    <x v="11"/>
    <x v="8"/>
    <s v="Multi-Year"/>
    <x v="1"/>
    <s v="N/A"/>
    <n v="0"/>
    <s v="Confirmed"/>
    <s v=""/>
    <x v="1"/>
    <x v="0"/>
    <m/>
    <x v="1"/>
    <x v="1"/>
    <m/>
    <n v="0"/>
    <x v="0"/>
    <s v="N/A"/>
    <n v="3292372960.3962669"/>
  </r>
  <r>
    <x v="0"/>
    <x v="34"/>
    <x v="34"/>
    <x v="5"/>
    <x v="0"/>
    <x v="2"/>
    <x v="11"/>
    <x v="8"/>
    <s v="Multi-Year"/>
    <x v="1"/>
    <s v="N/A"/>
    <n v="0"/>
    <s v="Confirmed"/>
    <s v=""/>
    <x v="1"/>
    <x v="0"/>
    <m/>
    <x v="2"/>
    <x v="0"/>
    <m/>
    <n v="0"/>
    <x v="0"/>
    <s v="Moderate"/>
    <n v="519209981.22981054"/>
  </r>
  <r>
    <x v="0"/>
    <x v="35"/>
    <x v="35"/>
    <x v="1"/>
    <x v="0"/>
    <x v="2"/>
    <x v="11"/>
    <x v="8"/>
    <s v="Multi-Year"/>
    <x v="1"/>
    <s v="N/A"/>
    <n v="0"/>
    <s v="Confirmed"/>
    <s v=""/>
    <x v="1"/>
    <x v="0"/>
    <m/>
    <x v="3"/>
    <x v="1"/>
    <m/>
    <n v="0"/>
    <x v="0"/>
    <s v=""/>
    <n v="3464739907.1604805"/>
  </r>
  <r>
    <x v="0"/>
    <x v="36"/>
    <x v="36"/>
    <x v="4"/>
    <x v="0"/>
    <x v="2"/>
    <x v="11"/>
    <x v="8"/>
    <s v="Multi-Year"/>
    <x v="1"/>
    <s v="N/A"/>
    <n v="0"/>
    <s v="Confirmed"/>
    <s v=""/>
    <x v="1"/>
    <x v="0"/>
    <m/>
    <x v="1"/>
    <x v="1"/>
    <m/>
    <n v="0"/>
    <x v="1"/>
    <s v=""/>
    <n v="9948521252.2569065"/>
  </r>
  <r>
    <x v="0"/>
    <x v="37"/>
    <x v="37"/>
    <x v="2"/>
    <x v="0"/>
    <x v="2"/>
    <x v="11"/>
    <x v="8"/>
    <s v="Multi-Year"/>
    <x v="1"/>
    <s v="N/A"/>
    <n v="0"/>
    <s v="Confirmed"/>
    <s v=""/>
    <x v="1"/>
    <x v="0"/>
    <m/>
    <x v="2"/>
    <x v="0"/>
    <m/>
    <n v="1"/>
    <x v="0"/>
    <s v="High"/>
    <n v="33679192.765657313"/>
  </r>
  <r>
    <x v="0"/>
    <x v="38"/>
    <x v="38"/>
    <x v="4"/>
    <x v="0"/>
    <x v="2"/>
    <x v="11"/>
    <x v="8"/>
    <s v="Multi-Year"/>
    <x v="1"/>
    <s v="N/A"/>
    <n v="0"/>
    <s v="Confirmed"/>
    <s v=""/>
    <x v="1"/>
    <x v="0"/>
    <m/>
    <x v="1"/>
    <x v="0"/>
    <m/>
    <n v="0"/>
    <x v="1"/>
    <s v="…"/>
    <n v="22784494.365742501"/>
  </r>
  <r>
    <x v="0"/>
    <x v="39"/>
    <x v="39"/>
    <x v="4"/>
    <x v="0"/>
    <x v="2"/>
    <x v="11"/>
    <x v="8"/>
    <s v="Multi-Year"/>
    <x v="1"/>
    <s v="N/A"/>
    <n v="0"/>
    <s v="Confirmed"/>
    <s v=""/>
    <x v="1"/>
    <x v="0"/>
    <m/>
    <x v="1"/>
    <x v="1"/>
    <m/>
    <n v="0"/>
    <x v="1"/>
    <s v=""/>
    <n v="2173208011.4858823"/>
  </r>
  <r>
    <x v="0"/>
    <x v="40"/>
    <x v="40"/>
    <x v="4"/>
    <x v="0"/>
    <x v="2"/>
    <x v="11"/>
    <x v="8"/>
    <s v="Multi-Year"/>
    <x v="1"/>
    <s v="N/A"/>
    <n v="0"/>
    <s v="Confirmed"/>
    <s v=""/>
    <x v="1"/>
    <x v="0"/>
    <m/>
    <x v="1"/>
    <x v="1"/>
    <m/>
    <n v="0"/>
    <x v="0"/>
    <s v="N/A"/>
    <n v="4585736158.8323269"/>
  </r>
  <r>
    <x v="0"/>
    <x v="41"/>
    <x v="41"/>
    <x v="2"/>
    <x v="0"/>
    <x v="2"/>
    <x v="11"/>
    <x v="8"/>
    <s v="Multi-Year"/>
    <x v="1"/>
    <s v="N/A"/>
    <n v="0"/>
    <s v="Confirmed"/>
    <s v=""/>
    <x v="1"/>
    <x v="0"/>
    <m/>
    <x v="2"/>
    <x v="0"/>
    <m/>
    <n v="0"/>
    <x v="0"/>
    <s v="N/A"/>
    <n v="3550291584.8645592"/>
  </r>
  <r>
    <x v="0"/>
    <x v="42"/>
    <x v="42"/>
    <x v="4"/>
    <x v="0"/>
    <x v="2"/>
    <x v="11"/>
    <x v="8"/>
    <s v="Multi-Year"/>
    <x v="1"/>
    <s v="N/A"/>
    <n v="0"/>
    <s v="Confirmed"/>
    <s v=""/>
    <x v="1"/>
    <x v="0"/>
    <m/>
    <x v="2"/>
    <x v="0"/>
    <m/>
    <n v="0"/>
    <x v="0"/>
    <s v="N/A"/>
    <n v="1182840319.0410969"/>
  </r>
  <r>
    <x v="0"/>
    <x v="43"/>
    <x v="43"/>
    <x v="4"/>
    <x v="0"/>
    <x v="2"/>
    <x v="11"/>
    <x v="8"/>
    <s v="Multi-Year"/>
    <x v="1"/>
    <s v="N/A"/>
    <n v="0"/>
    <s v="Confirmed"/>
    <s v=""/>
    <x v="1"/>
    <x v="0"/>
    <m/>
    <x v="1"/>
    <x v="1"/>
    <m/>
    <n v="0"/>
    <x v="0"/>
    <s v=""/>
    <n v="81728347.604567245"/>
  </r>
  <r>
    <x v="0"/>
    <x v="44"/>
    <x v="44"/>
    <x v="3"/>
    <x v="0"/>
    <x v="2"/>
    <x v="11"/>
    <x v="8"/>
    <s v="Multi-Year"/>
    <x v="1"/>
    <s v="N/A"/>
    <n v="0"/>
    <s v="Confirmed"/>
    <s v=""/>
    <x v="1"/>
    <x v="0"/>
    <m/>
    <x v="0"/>
    <x v="0"/>
    <m/>
    <n v="2"/>
    <x v="0"/>
    <s v="N/A"/>
    <n v="12787914.977715338"/>
  </r>
  <r>
    <x v="0"/>
    <x v="45"/>
    <x v="45"/>
    <x v="3"/>
    <x v="0"/>
    <x v="2"/>
    <x v="11"/>
    <x v="8"/>
    <s v="Multi-Year"/>
    <x v="1"/>
    <s v="N/A"/>
    <n v="0"/>
    <s v="Confirmed"/>
    <s v=""/>
    <x v="1"/>
    <x v="0"/>
    <m/>
    <x v="2"/>
    <x v="0"/>
    <m/>
    <n v="2"/>
    <x v="0"/>
    <s v="N/A"/>
    <n v="101271737.65410839"/>
  </r>
  <r>
    <x v="0"/>
    <x v="46"/>
    <x v="46"/>
    <x v="3"/>
    <x v="0"/>
    <x v="2"/>
    <x v="11"/>
    <x v="8"/>
    <s v="Multi-Year"/>
    <x v="1"/>
    <s v="N/A"/>
    <n v="0"/>
    <s v="Confirmed"/>
    <s v=""/>
    <x v="1"/>
    <x v="0"/>
    <m/>
    <x v="0"/>
    <x v="0"/>
    <m/>
    <n v="3"/>
    <x v="0"/>
    <s v="High"/>
    <n v="618344226.71759331"/>
  </r>
  <r>
    <x v="0"/>
    <x v="47"/>
    <x v="47"/>
    <x v="6"/>
    <x v="0"/>
    <x v="2"/>
    <x v="11"/>
    <x v="8"/>
    <s v="Multi-Year"/>
    <x v="1"/>
    <s v="N/A"/>
    <n v="1000000"/>
    <s v="Confirmed"/>
    <s v=""/>
    <x v="1"/>
    <x v="0"/>
    <m/>
    <x v="1"/>
    <x v="0"/>
    <m/>
    <n v="0"/>
    <x v="1"/>
    <s v="…"/>
    <n v="129483872.95906857"/>
  </r>
  <r>
    <x v="0"/>
    <x v="48"/>
    <x v="48"/>
    <x v="5"/>
    <x v="0"/>
    <x v="2"/>
    <x v="11"/>
    <x v="8"/>
    <s v="Multi-Year"/>
    <x v="1"/>
    <s v="N/A"/>
    <n v="0"/>
    <s v="Confirmed"/>
    <s v=""/>
    <x v="1"/>
    <x v="0"/>
    <m/>
    <x v="1"/>
    <x v="1"/>
    <m/>
    <n v="0"/>
    <x v="0"/>
    <s v="N/A"/>
    <n v="271184658.35014349"/>
  </r>
  <r>
    <x v="0"/>
    <x v="49"/>
    <x v="49"/>
    <x v="5"/>
    <x v="0"/>
    <x v="2"/>
    <x v="11"/>
    <x v="8"/>
    <s v="Multi-Year"/>
    <x v="1"/>
    <s v="N/A"/>
    <n v="0"/>
    <s v="Confirmed"/>
    <s v=""/>
    <x v="1"/>
    <x v="0"/>
    <m/>
    <x v="0"/>
    <x v="0"/>
    <m/>
    <n v="0"/>
    <x v="0"/>
    <s v="High"/>
    <n v="15455265.086884515"/>
  </r>
  <r>
    <x v="0"/>
    <x v="50"/>
    <x v="50"/>
    <x v="1"/>
    <x v="0"/>
    <x v="2"/>
    <x v="11"/>
    <x v="8"/>
    <s v="Multi-Year"/>
    <x v="1"/>
    <s v="N/A"/>
    <n v="0"/>
    <s v="Confirmed"/>
    <s v=""/>
    <x v="1"/>
    <x v="0"/>
    <m/>
    <x v="1"/>
    <x v="1"/>
    <m/>
    <n v="0"/>
    <x v="0"/>
    <s v="N/A"/>
    <n v="494021502.525527"/>
  </r>
  <r>
    <x v="0"/>
    <x v="51"/>
    <x v="51"/>
    <x v="5"/>
    <x v="0"/>
    <x v="2"/>
    <x v="11"/>
    <x v="8"/>
    <s v="Multi-Year"/>
    <x v="1"/>
    <s v="N/A"/>
    <n v="0"/>
    <s v="Confirmed"/>
    <s v=""/>
    <x v="1"/>
    <x v="0"/>
    <m/>
    <x v="2"/>
    <x v="0"/>
    <m/>
    <n v="0"/>
    <x v="0"/>
    <s v="High"/>
    <n v="902005621.73836684"/>
  </r>
  <r>
    <x v="0"/>
    <x v="52"/>
    <x v="52"/>
    <x v="4"/>
    <x v="0"/>
    <x v="2"/>
    <x v="11"/>
    <x v="8"/>
    <s v="Multi-Year"/>
    <x v="1"/>
    <s v="N/A"/>
    <n v="0"/>
    <s v="Confirmed"/>
    <s v=""/>
    <x v="1"/>
    <x v="0"/>
    <m/>
    <x v="1"/>
    <x v="0"/>
    <m/>
    <n v="0"/>
    <x v="1"/>
    <s v="In distress"/>
    <n v="20201670.142996579"/>
  </r>
  <r>
    <x v="0"/>
    <x v="53"/>
    <x v="53"/>
    <x v="4"/>
    <x v="0"/>
    <x v="2"/>
    <x v="11"/>
    <x v="8"/>
    <s v="Multi-Year"/>
    <x v="1"/>
    <s v="N/A"/>
    <n v="0"/>
    <s v="Confirmed"/>
    <s v=""/>
    <x v="1"/>
    <x v="0"/>
    <m/>
    <x v="1"/>
    <x v="1"/>
    <m/>
    <n v="0"/>
    <x v="0"/>
    <s v=""/>
    <n v="1612434649.6948864"/>
  </r>
  <r>
    <x v="0"/>
    <x v="54"/>
    <x v="54"/>
    <x v="5"/>
    <x v="0"/>
    <x v="2"/>
    <x v="11"/>
    <x v="8"/>
    <s v="Multi-Year"/>
    <x v="1"/>
    <s v="N/A"/>
    <n v="0"/>
    <s v="Confirmed"/>
    <s v=""/>
    <x v="1"/>
    <x v="0"/>
    <m/>
    <x v="0"/>
    <x v="0"/>
    <m/>
    <n v="0"/>
    <x v="0"/>
    <s v="Moderate"/>
    <n v="78203134.118229344"/>
  </r>
  <r>
    <x v="0"/>
    <x v="55"/>
    <x v="55"/>
    <x v="5"/>
    <x v="0"/>
    <x v="2"/>
    <x v="11"/>
    <x v="8"/>
    <s v="Multi-Year"/>
    <x v="1"/>
    <s v="N/A"/>
    <n v="0"/>
    <s v="Confirmed"/>
    <s v=""/>
    <x v="1"/>
    <x v="0"/>
    <m/>
    <x v="0"/>
    <x v="0"/>
    <m/>
    <n v="2"/>
    <x v="1"/>
    <s v="High"/>
    <n v="9151637.7411015611"/>
  </r>
  <r>
    <x v="0"/>
    <x v="56"/>
    <x v="56"/>
    <x v="4"/>
    <x v="0"/>
    <x v="2"/>
    <x v="11"/>
    <x v="8"/>
    <s v="Multi-Year"/>
    <x v="1"/>
    <s v="N/A"/>
    <n v="0"/>
    <s v="Confirmed"/>
    <s v=""/>
    <x v="1"/>
    <x v="0"/>
    <m/>
    <x v="1"/>
    <x v="0"/>
    <m/>
    <n v="0"/>
    <x v="1"/>
    <s v="Moderate"/>
    <n v="142455920.02856269"/>
  </r>
  <r>
    <x v="0"/>
    <x v="57"/>
    <x v="57"/>
    <x v="4"/>
    <x v="0"/>
    <x v="2"/>
    <x v="11"/>
    <x v="8"/>
    <s v="Multi-Year"/>
    <x v="1"/>
    <s v="N/A"/>
    <n v="0"/>
    <s v="Confirmed"/>
    <s v=""/>
    <x v="1"/>
    <x v="0"/>
    <m/>
    <x v="2"/>
    <x v="0"/>
    <m/>
    <n v="1"/>
    <x v="1"/>
    <s v="High"/>
    <n v="85611818.171245083"/>
  </r>
  <r>
    <x v="0"/>
    <x v="58"/>
    <x v="58"/>
    <x v="4"/>
    <x v="0"/>
    <x v="2"/>
    <x v="11"/>
    <x v="8"/>
    <s v="Multi-Year"/>
    <x v="1"/>
    <s v="N/A"/>
    <n v="0"/>
    <s v="Confirmed"/>
    <s v=""/>
    <x v="1"/>
    <x v="0"/>
    <m/>
    <x v="2"/>
    <x v="0"/>
    <m/>
    <n v="0"/>
    <x v="0"/>
    <s v="Low"/>
    <n v="680289736.30082119"/>
  </r>
  <r>
    <x v="0"/>
    <x v="59"/>
    <x v="59"/>
    <x v="0"/>
    <x v="0"/>
    <x v="2"/>
    <x v="11"/>
    <x v="8"/>
    <s v="Multi-Year"/>
    <x v="1"/>
    <s v="N/A"/>
    <n v="0"/>
    <s v="Confirmed"/>
    <s v=""/>
    <x v="1"/>
    <x v="0"/>
    <m/>
    <x v="2"/>
    <x v="0"/>
    <m/>
    <n v="0"/>
    <x v="0"/>
    <s v="N/A"/>
    <n v="26554332750.47023"/>
  </r>
  <r>
    <x v="0"/>
    <x v="60"/>
    <x v="60"/>
    <x v="6"/>
    <x v="0"/>
    <x v="2"/>
    <x v="11"/>
    <x v="8"/>
    <s v="Multi-Year"/>
    <x v="1"/>
    <s v="N/A"/>
    <n v="3230725"/>
    <s v="Confirmed"/>
    <s v=""/>
    <x v="1"/>
    <x v="0"/>
    <m/>
    <x v="2"/>
    <x v="0"/>
    <m/>
    <n v="0"/>
    <x v="0"/>
    <s v="N/A"/>
    <n v="14745961064.890842"/>
  </r>
  <r>
    <x v="0"/>
    <x v="61"/>
    <x v="61"/>
    <x v="2"/>
    <x v="0"/>
    <x v="2"/>
    <x v="11"/>
    <x v="8"/>
    <s v="Multi-Year"/>
    <x v="1"/>
    <s v="N/A"/>
    <n v="0"/>
    <s v="Confirmed"/>
    <s v=""/>
    <x v="1"/>
    <x v="0"/>
    <m/>
    <x v="2"/>
    <x v="1"/>
    <m/>
    <n v="0"/>
    <x v="0"/>
    <s v="N/A"/>
    <n v="18194076299.786381"/>
  </r>
  <r>
    <x v="0"/>
    <x v="62"/>
    <x v="62"/>
    <x v="2"/>
    <x v="0"/>
    <x v="2"/>
    <x v="11"/>
    <x v="8"/>
    <s v="Multi-Year"/>
    <x v="1"/>
    <s v="N/A"/>
    <n v="0"/>
    <s v="Confirmed"/>
    <s v=""/>
    <x v="1"/>
    <x v="0"/>
    <m/>
    <x v="1"/>
    <x v="1"/>
    <m/>
    <n v="0"/>
    <x v="0"/>
    <s v="N/A"/>
    <n v="4428819387.769825"/>
  </r>
  <r>
    <x v="0"/>
    <x v="63"/>
    <x v="63"/>
    <x v="4"/>
    <x v="0"/>
    <x v="2"/>
    <x v="11"/>
    <x v="8"/>
    <s v="Multi-Year"/>
    <x v="1"/>
    <s v="N/A"/>
    <n v="0"/>
    <s v="Confirmed"/>
    <s v=""/>
    <x v="1"/>
    <x v="0"/>
    <m/>
    <x v="1"/>
    <x v="1"/>
    <m/>
    <n v="0"/>
    <x v="1"/>
    <s v=""/>
    <n v="611739560.62679195"/>
  </r>
  <r>
    <x v="0"/>
    <x v="64"/>
    <x v="64"/>
    <x v="2"/>
    <x v="0"/>
    <x v="2"/>
    <x v="11"/>
    <x v="8"/>
    <s v="Multi-Year"/>
    <x v="1"/>
    <s v="N/A"/>
    <n v="0"/>
    <s v="Confirmed"/>
    <s v=""/>
    <x v="1"/>
    <x v="0"/>
    <m/>
    <x v="1"/>
    <x v="1"/>
    <m/>
    <n v="0"/>
    <x v="0"/>
    <s v="N/A"/>
    <n v="1617913383.0481031"/>
  </r>
  <r>
    <x v="0"/>
    <x v="65"/>
    <x v="65"/>
    <x v="1"/>
    <x v="0"/>
    <x v="2"/>
    <x v="11"/>
    <x v="8"/>
    <s v="Multi-Year"/>
    <x v="1"/>
    <s v="N/A"/>
    <n v="0"/>
    <s v="Confirmed"/>
    <s v=""/>
    <x v="1"/>
    <x v="0"/>
    <m/>
    <x v="1"/>
    <x v="1"/>
    <m/>
    <n v="0"/>
    <x v="0"/>
    <s v=""/>
    <n v="3074419112.4562683"/>
  </r>
  <r>
    <x v="0"/>
    <x v="66"/>
    <x v="66"/>
    <x v="3"/>
    <x v="0"/>
    <x v="2"/>
    <x v="11"/>
    <x v="8"/>
    <s v="Multi-Year"/>
    <x v="1"/>
    <s v="N/A"/>
    <n v="0"/>
    <s v="Confirmed"/>
    <s v=""/>
    <x v="1"/>
    <x v="0"/>
    <m/>
    <x v="2"/>
    <x v="0"/>
    <m/>
    <n v="0"/>
    <x v="0"/>
    <s v="High"/>
    <n v="1914014279.8929913"/>
  </r>
  <r>
    <x v="0"/>
    <x v="67"/>
    <x v="67"/>
    <x v="6"/>
    <x v="0"/>
    <x v="2"/>
    <x v="11"/>
    <x v="8"/>
    <s v="Multi-Year"/>
    <x v="1"/>
    <s v="N/A"/>
    <n v="4750"/>
    <s v="Confirmed"/>
    <s v=""/>
    <x v="1"/>
    <x v="0"/>
    <m/>
    <x v="2"/>
    <x v="0"/>
    <m/>
    <n v="0"/>
    <x v="1"/>
    <s v="High"/>
    <n v="17422005.762907442"/>
  </r>
  <r>
    <x v="0"/>
    <x v="68"/>
    <x v="68"/>
    <x v="6"/>
    <x v="0"/>
    <x v="2"/>
    <x v="11"/>
    <x v="8"/>
    <s v="Multi-Year"/>
    <x v="1"/>
    <s v="N/A"/>
    <n v="0"/>
    <s v="Confirmed"/>
    <s v=""/>
    <x v="1"/>
    <x v="0"/>
    <m/>
    <x v="0"/>
    <x v="0"/>
    <m/>
    <n v="0"/>
    <x v="0"/>
    <s v="N/A"/>
    <s v=""/>
  </r>
  <r>
    <x v="0"/>
    <x v="69"/>
    <x v="69"/>
    <x v="1"/>
    <x v="0"/>
    <x v="2"/>
    <x v="11"/>
    <x v="8"/>
    <s v="Multi-Year"/>
    <x v="1"/>
    <s v="N/A"/>
    <n v="0"/>
    <s v="Confirmed"/>
    <s v=""/>
    <x v="1"/>
    <x v="0"/>
    <m/>
    <x v="1"/>
    <x v="0"/>
    <m/>
    <n v="0"/>
    <x v="0"/>
    <s v="…"/>
    <s v=""/>
  </r>
  <r>
    <x v="0"/>
    <x v="70"/>
    <x v="70"/>
    <x v="1"/>
    <x v="0"/>
    <x v="2"/>
    <x v="11"/>
    <x v="8"/>
    <s v="Multi-Year"/>
    <x v="1"/>
    <s v="N/A"/>
    <n v="0"/>
    <s v="Confirmed"/>
    <s v=""/>
    <x v="1"/>
    <x v="0"/>
    <m/>
    <x v="2"/>
    <x v="0"/>
    <m/>
    <n v="2"/>
    <x v="0"/>
    <s v="Moderate"/>
    <n v="231506834.84347546"/>
  </r>
  <r>
    <x v="0"/>
    <x v="71"/>
    <x v="71"/>
    <x v="6"/>
    <x v="0"/>
    <x v="2"/>
    <x v="11"/>
    <x v="8"/>
    <s v="Multi-Year"/>
    <x v="1"/>
    <s v="N/A"/>
    <n v="0"/>
    <s v="Confirmed"/>
    <s v=""/>
    <x v="1"/>
    <x v="0"/>
    <m/>
    <x v="2"/>
    <x v="0"/>
    <m/>
    <n v="0"/>
    <x v="0"/>
    <s v="High"/>
    <n v="156059428.62944782"/>
  </r>
  <r>
    <x v="0"/>
    <x v="72"/>
    <x v="72"/>
    <x v="2"/>
    <x v="0"/>
    <x v="2"/>
    <x v="11"/>
    <x v="8"/>
    <s v="Multi-Year"/>
    <x v="1"/>
    <s v="N/A"/>
    <n v="0"/>
    <s v="Confirmed"/>
    <s v=""/>
    <x v="1"/>
    <x v="0"/>
    <m/>
    <x v="1"/>
    <x v="1"/>
    <m/>
    <n v="0"/>
    <x v="0"/>
    <s v="N/A"/>
    <n v="2355391507.1635861"/>
  </r>
  <r>
    <x v="0"/>
    <x v="73"/>
    <x v="73"/>
    <x v="3"/>
    <x v="0"/>
    <x v="2"/>
    <x v="11"/>
    <x v="8"/>
    <s v="Multi-Year"/>
    <x v="1"/>
    <s v="N/A"/>
    <n v="0"/>
    <s v="Confirmed"/>
    <s v=""/>
    <x v="1"/>
    <x v="0"/>
    <m/>
    <x v="2"/>
    <x v="0"/>
    <m/>
    <n v="0"/>
    <x v="0"/>
    <s v="Moderate"/>
    <n v="152760919.7684873"/>
  </r>
  <r>
    <x v="0"/>
    <x v="74"/>
    <x v="74"/>
    <x v="5"/>
    <x v="0"/>
    <x v="2"/>
    <x v="11"/>
    <x v="8"/>
    <s v="Multi-Year"/>
    <x v="1"/>
    <s v="N/A"/>
    <n v="0"/>
    <s v="Confirmed"/>
    <s v=""/>
    <x v="1"/>
    <x v="0"/>
    <m/>
    <x v="0"/>
    <x v="0"/>
    <m/>
    <n v="0"/>
    <x v="0"/>
    <s v="High"/>
    <n v="55072006.864440605"/>
  </r>
  <r>
    <x v="0"/>
    <x v="75"/>
    <x v="75"/>
    <x v="2"/>
    <x v="0"/>
    <x v="2"/>
    <x v="11"/>
    <x v="8"/>
    <s v="Multi-Year"/>
    <x v="1"/>
    <s v="N/A"/>
    <n v="0"/>
    <s v="Confirmed"/>
    <s v=""/>
    <x v="1"/>
    <x v="0"/>
    <m/>
    <x v="1"/>
    <x v="1"/>
    <m/>
    <n v="0"/>
    <x v="0"/>
    <s v="N/A"/>
    <s v=""/>
  </r>
  <r>
    <x v="0"/>
    <x v="76"/>
    <x v="76"/>
    <x v="3"/>
    <x v="0"/>
    <x v="2"/>
    <x v="11"/>
    <x v="8"/>
    <s v="Multi-Year"/>
    <x v="1"/>
    <s v="N/A"/>
    <n v="0"/>
    <s v="Confirmed"/>
    <s v=""/>
    <x v="1"/>
    <x v="0"/>
    <m/>
    <x v="0"/>
    <x v="0"/>
    <m/>
    <n v="2"/>
    <x v="0"/>
    <s v="Moderate"/>
    <n v="206914157.05429548"/>
  </r>
  <r>
    <x v="0"/>
    <x v="77"/>
    <x v="77"/>
    <x v="3"/>
    <x v="0"/>
    <x v="2"/>
    <x v="11"/>
    <x v="8"/>
    <s v="Multi-Year"/>
    <x v="1"/>
    <s v="N/A"/>
    <n v="0"/>
    <s v="Confirmed"/>
    <s v=""/>
    <x v="1"/>
    <x v="0"/>
    <m/>
    <x v="0"/>
    <x v="0"/>
    <m/>
    <n v="2"/>
    <x v="0"/>
    <s v="High"/>
    <n v="185999915.02066413"/>
  </r>
  <r>
    <x v="0"/>
    <x v="78"/>
    <x v="78"/>
    <x v="6"/>
    <x v="0"/>
    <x v="2"/>
    <x v="11"/>
    <x v="8"/>
    <s v="Multi-Year"/>
    <x v="1"/>
    <s v="N/A"/>
    <n v="0"/>
    <s v="Confirmed"/>
    <s v=""/>
    <x v="1"/>
    <x v="0"/>
    <m/>
    <x v="1"/>
    <x v="1"/>
    <m/>
    <n v="0"/>
    <x v="0"/>
    <s v=""/>
    <n v="6893755763.2501726"/>
  </r>
  <r>
    <x v="0"/>
    <x v="79"/>
    <x v="79"/>
    <x v="0"/>
    <x v="0"/>
    <x v="2"/>
    <x v="11"/>
    <x v="8"/>
    <s v="Multi-Year"/>
    <x v="1"/>
    <s v="N/A"/>
    <n v="0"/>
    <s v="Confirmed"/>
    <s v=""/>
    <x v="1"/>
    <x v="0"/>
    <m/>
    <x v="1"/>
    <x v="0"/>
    <m/>
    <n v="0"/>
    <x v="1"/>
    <s v="High"/>
    <n v="354560231.58276606"/>
  </r>
  <r>
    <x v="0"/>
    <x v="80"/>
    <x v="80"/>
    <x v="5"/>
    <x v="0"/>
    <x v="2"/>
    <x v="11"/>
    <x v="8"/>
    <s v="Multi-Year"/>
    <x v="1"/>
    <s v="N/A"/>
    <n v="0"/>
    <s v="Confirmed"/>
    <s v=""/>
    <x v="1"/>
    <x v="0"/>
    <m/>
    <x v="0"/>
    <x v="0"/>
    <m/>
    <n v="1"/>
    <x v="0"/>
    <s v="Moderate"/>
    <n v="188169167.56540567"/>
  </r>
  <r>
    <x v="0"/>
    <x v="81"/>
    <x v="81"/>
    <x v="6"/>
    <x v="0"/>
    <x v="2"/>
    <x v="11"/>
    <x v="8"/>
    <s v="Multi-Year"/>
    <x v="1"/>
    <s v="N/A"/>
    <n v="0"/>
    <s v="Confirmed"/>
    <s v=""/>
    <x v="1"/>
    <x v="0"/>
    <m/>
    <x v="1"/>
    <x v="0"/>
    <m/>
    <n v="0"/>
    <x v="1"/>
    <s v=""/>
    <n v="16312106.556340856"/>
  </r>
  <r>
    <x v="0"/>
    <x v="82"/>
    <x v="82"/>
    <x v="5"/>
    <x v="0"/>
    <x v="2"/>
    <x v="11"/>
    <x v="8"/>
    <s v="Multi-Year"/>
    <x v="1"/>
    <s v="N/A"/>
    <n v="0"/>
    <s v="Confirmed"/>
    <s v=""/>
    <x v="1"/>
    <x v="0"/>
    <m/>
    <x v="2"/>
    <x v="0"/>
    <m/>
    <n v="2"/>
    <x v="0"/>
    <s v="High"/>
    <n v="86083833.534053758"/>
  </r>
  <r>
    <x v="0"/>
    <x v="83"/>
    <x v="83"/>
    <x v="3"/>
    <x v="0"/>
    <x v="2"/>
    <x v="11"/>
    <x v="8"/>
    <s v="Multi-Year"/>
    <x v="1"/>
    <s v="N/A"/>
    <n v="0"/>
    <s v="Confirmed"/>
    <s v=""/>
    <x v="1"/>
    <x v="0"/>
    <m/>
    <x v="1"/>
    <x v="1"/>
    <m/>
    <n v="0"/>
    <x v="1"/>
    <s v="N/A"/>
    <n v="357220835.93762809"/>
  </r>
  <r>
    <x v="0"/>
    <x v="84"/>
    <x v="84"/>
    <x v="4"/>
    <x v="0"/>
    <x v="2"/>
    <x v="11"/>
    <x v="8"/>
    <s v="Multi-Year"/>
    <x v="1"/>
    <s v="N/A"/>
    <n v="0"/>
    <s v="Confirmed"/>
    <s v=""/>
    <x v="1"/>
    <x v="0"/>
    <m/>
    <x v="1"/>
    <x v="1"/>
    <m/>
    <n v="0"/>
    <x v="0"/>
    <s v=""/>
    <n v="32831598153.796387"/>
  </r>
  <r>
    <x v="0"/>
    <x v="85"/>
    <x v="85"/>
    <x v="6"/>
    <x v="0"/>
    <x v="2"/>
    <x v="11"/>
    <x v="8"/>
    <s v="Multi-Year"/>
    <x v="1"/>
    <s v="N/A"/>
    <n v="0"/>
    <s v="Confirmed"/>
    <s v=""/>
    <x v="1"/>
    <x v="0"/>
    <m/>
    <x v="2"/>
    <x v="0"/>
    <m/>
    <n v="0"/>
    <x v="1"/>
    <s v="High"/>
    <n v="12329056.093798399"/>
  </r>
  <r>
    <x v="0"/>
    <x v="86"/>
    <x v="86"/>
    <x v="1"/>
    <x v="0"/>
    <x v="2"/>
    <x v="11"/>
    <x v="8"/>
    <s v="Multi-Year"/>
    <x v="1"/>
    <s v="N/A"/>
    <n v="0"/>
    <s v="Confirmed"/>
    <s v=""/>
    <x v="1"/>
    <x v="0"/>
    <m/>
    <x v="1"/>
    <x v="0"/>
    <m/>
    <n v="0"/>
    <x v="0"/>
    <s v="Low"/>
    <n v="426639742.85328001"/>
  </r>
  <r>
    <x v="0"/>
    <x v="87"/>
    <x v="87"/>
    <x v="6"/>
    <x v="0"/>
    <x v="2"/>
    <x v="11"/>
    <x v="8"/>
    <s v="Multi-Year"/>
    <x v="1"/>
    <s v="N/A"/>
    <n v="0"/>
    <s v="Confirmed"/>
    <s v=""/>
    <x v="1"/>
    <x v="0"/>
    <m/>
    <x v="2"/>
    <x v="0"/>
    <m/>
    <n v="0"/>
    <x v="0"/>
    <s v="…"/>
    <n v="288519671.85870522"/>
  </r>
  <r>
    <x v="0"/>
    <x v="88"/>
    <x v="88"/>
    <x v="1"/>
    <x v="0"/>
    <x v="2"/>
    <x v="11"/>
    <x v="8"/>
    <s v="Multi-Year"/>
    <x v="1"/>
    <s v="N/A"/>
    <n v="0"/>
    <s v="Confirmed"/>
    <s v=""/>
    <x v="1"/>
    <x v="0"/>
    <m/>
    <x v="1"/>
    <x v="1"/>
    <m/>
    <n v="0"/>
    <x v="0"/>
    <s v="N/A"/>
    <n v="275606560.78491527"/>
  </r>
  <r>
    <x v="0"/>
    <x v="89"/>
    <x v="89"/>
    <x v="2"/>
    <x v="0"/>
    <x v="2"/>
    <x v="11"/>
    <x v="8"/>
    <s v="Multi-Year"/>
    <x v="1"/>
    <s v="N/A"/>
    <n v="0"/>
    <s v="Confirmed"/>
    <s v=""/>
    <x v="1"/>
    <x v="0"/>
    <m/>
    <x v="2"/>
    <x v="0"/>
    <m/>
    <n v="0"/>
    <x v="0"/>
    <s v="N/A"/>
    <n v="2530937679.3725696"/>
  </r>
  <r>
    <x v="0"/>
    <x v="90"/>
    <x v="90"/>
    <x v="3"/>
    <x v="0"/>
    <x v="2"/>
    <x v="11"/>
    <x v="8"/>
    <s v="Multi-Year"/>
    <x v="1"/>
    <s v="N/A"/>
    <n v="0"/>
    <s v="Confirmed"/>
    <s v=""/>
    <x v="1"/>
    <x v="0"/>
    <m/>
    <x v="0"/>
    <x v="0"/>
    <m/>
    <n v="0"/>
    <x v="0"/>
    <s v="In distress"/>
    <n v="251432156.86255455"/>
  </r>
  <r>
    <x v="0"/>
    <x v="91"/>
    <x v="91"/>
    <x v="6"/>
    <x v="0"/>
    <x v="2"/>
    <x v="11"/>
    <x v="8"/>
    <s v="Multi-Year"/>
    <x v="1"/>
    <s v="N/A"/>
    <n v="0"/>
    <s v="Confirmed"/>
    <s v=""/>
    <x v="1"/>
    <x v="0"/>
    <m/>
    <x v="2"/>
    <x v="0"/>
    <m/>
    <n v="0"/>
    <x v="0"/>
    <s v="Low"/>
    <n v="471534500.60109437"/>
  </r>
  <r>
    <x v="0"/>
    <x v="92"/>
    <x v="92"/>
    <x v="3"/>
    <x v="0"/>
    <x v="2"/>
    <x v="11"/>
    <x v="8"/>
    <s v="Multi-Year"/>
    <x v="1"/>
    <s v="N/A"/>
    <n v="0"/>
    <s v="Confirmed"/>
    <s v=""/>
    <x v="1"/>
    <x v="0"/>
    <m/>
    <x v="1"/>
    <x v="1"/>
    <m/>
    <n v="0"/>
    <x v="0"/>
    <s v=""/>
    <n v="531677611.80447447"/>
  </r>
  <r>
    <x v="0"/>
    <x v="93"/>
    <x v="93"/>
    <x v="6"/>
    <x v="0"/>
    <x v="2"/>
    <x v="11"/>
    <x v="8"/>
    <s v="Multi-Year"/>
    <x v="1"/>
    <s v="N/A"/>
    <n v="0"/>
    <s v="Confirmed"/>
    <s v=""/>
    <x v="1"/>
    <x v="0"/>
    <m/>
    <x v="3"/>
    <x v="1"/>
    <m/>
    <n v="0"/>
    <x v="1"/>
    <s v=""/>
    <n v="8528751.6418357007"/>
  </r>
  <r>
    <x v="0"/>
    <x v="94"/>
    <x v="94"/>
    <x v="0"/>
    <x v="0"/>
    <x v="2"/>
    <x v="11"/>
    <x v="8"/>
    <s v="Multi-Year"/>
    <x v="1"/>
    <s v="N/A"/>
    <n v="729927"/>
    <s v="Confirmed"/>
    <s v=""/>
    <x v="1"/>
    <x v="0"/>
    <m/>
    <x v="2"/>
    <x v="0"/>
    <m/>
    <n v="0"/>
    <x v="0"/>
    <s v="Low"/>
    <n v="407084543.19089872"/>
  </r>
  <r>
    <x v="0"/>
    <x v="95"/>
    <x v="95"/>
    <x v="4"/>
    <x v="0"/>
    <x v="2"/>
    <x v="11"/>
    <x v="8"/>
    <s v="Multi-Year"/>
    <x v="1"/>
    <s v="N/A"/>
    <n v="0"/>
    <s v="Confirmed"/>
    <s v=""/>
    <x v="1"/>
    <x v="0"/>
    <m/>
    <x v="2"/>
    <x v="0"/>
    <m/>
    <n v="0"/>
    <x v="0"/>
    <s v="Moderate"/>
    <n v="671998341.93592453"/>
  </r>
  <r>
    <x v="0"/>
    <x v="96"/>
    <x v="96"/>
    <x v="5"/>
    <x v="0"/>
    <x v="2"/>
    <x v="11"/>
    <x v="8"/>
    <s v="Multi-Year"/>
    <x v="1"/>
    <s v="N/A"/>
    <n v="0"/>
    <s v="Confirmed"/>
    <s v=""/>
    <x v="1"/>
    <x v="0"/>
    <m/>
    <x v="0"/>
    <x v="0"/>
    <m/>
    <n v="1"/>
    <x v="0"/>
    <s v="Moderate"/>
    <n v="226203289.67158964"/>
  </r>
  <r>
    <x v="0"/>
    <x v="97"/>
    <x v="97"/>
    <x v="5"/>
    <x v="0"/>
    <x v="2"/>
    <x v="11"/>
    <x v="8"/>
    <s v="Multi-Year"/>
    <x v="1"/>
    <s v="N/A"/>
    <n v="0"/>
    <s v="Confirmed"/>
    <s v=""/>
    <x v="1"/>
    <x v="0"/>
    <m/>
    <x v="2"/>
    <x v="0"/>
    <m/>
    <n v="3"/>
    <x v="0"/>
    <s v="…"/>
    <n v="2438881113.1244688"/>
  </r>
  <r>
    <x v="0"/>
    <x v="98"/>
    <x v="98"/>
    <x v="1"/>
    <x v="0"/>
    <x v="2"/>
    <x v="11"/>
    <x v="8"/>
    <s v="Multi-Year"/>
    <x v="1"/>
    <s v="N/A"/>
    <n v="0"/>
    <s v="Confirmed"/>
    <s v=""/>
    <x v="1"/>
    <x v="0"/>
    <m/>
    <x v="1"/>
    <x v="1"/>
    <m/>
    <n v="0"/>
    <x v="0"/>
    <s v=""/>
    <n v="476517795.73174149"/>
  </r>
  <r>
    <x v="0"/>
    <x v="99"/>
    <x v="99"/>
    <x v="0"/>
    <x v="0"/>
    <x v="2"/>
    <x v="11"/>
    <x v="8"/>
    <s v="Multi-Year"/>
    <x v="1"/>
    <s v="N/A"/>
    <n v="0"/>
    <s v="Confirmed"/>
    <s v=""/>
    <x v="1"/>
    <x v="0"/>
    <m/>
    <x v="2"/>
    <x v="0"/>
    <m/>
    <n v="0"/>
    <x v="0"/>
    <s v="…"/>
    <n v="3233351297.7679496"/>
  </r>
  <r>
    <x v="0"/>
    <x v="100"/>
    <x v="100"/>
    <x v="4"/>
    <x v="0"/>
    <x v="2"/>
    <x v="11"/>
    <x v="8"/>
    <s v="Multi-Year"/>
    <x v="1"/>
    <s v="N/A"/>
    <n v="0"/>
    <s v="Confirmed"/>
    <s v=""/>
    <x v="1"/>
    <x v="0"/>
    <m/>
    <x v="3"/>
    <x v="1"/>
    <m/>
    <n v="0"/>
    <x v="1"/>
    <s v=""/>
    <n v="18180646.808608256"/>
  </r>
  <r>
    <x v="0"/>
    <x v="101"/>
    <x v="101"/>
    <x v="4"/>
    <x v="0"/>
    <x v="2"/>
    <x v="11"/>
    <x v="8"/>
    <s v="Multi-Year"/>
    <x v="1"/>
    <s v="N/A"/>
    <n v="0"/>
    <s v="Confirmed"/>
    <s v=""/>
    <x v="1"/>
    <x v="0"/>
    <m/>
    <x v="1"/>
    <x v="1"/>
    <m/>
    <n v="0"/>
    <x v="0"/>
    <s v="N/A"/>
    <n v="3020530707.3485303"/>
  </r>
  <r>
    <x v="0"/>
    <x v="102"/>
    <x v="102"/>
    <x v="6"/>
    <x v="0"/>
    <x v="2"/>
    <x v="11"/>
    <x v="8"/>
    <s v="Multi-Year"/>
    <x v="1"/>
    <s v="N/A"/>
    <n v="2112690"/>
    <s v="Confirmed"/>
    <s v=""/>
    <x v="1"/>
    <x v="0"/>
    <m/>
    <x v="2"/>
    <x v="0"/>
    <m/>
    <n v="1"/>
    <x v="1"/>
    <s v="High"/>
    <n v="384406316.46074712"/>
  </r>
  <r>
    <x v="0"/>
    <x v="103"/>
    <x v="103"/>
    <x v="4"/>
    <x v="0"/>
    <x v="2"/>
    <x v="11"/>
    <x v="8"/>
    <s v="Multi-Year"/>
    <x v="1"/>
    <s v="N/A"/>
    <n v="0"/>
    <s v="Confirmed"/>
    <s v=""/>
    <x v="1"/>
    <x v="0"/>
    <m/>
    <x v="1"/>
    <x v="1"/>
    <m/>
    <n v="0"/>
    <x v="0"/>
    <s v=""/>
    <n v="1218747108.9554784"/>
  </r>
  <r>
    <x v="0"/>
    <x v="104"/>
    <x v="104"/>
    <x v="4"/>
    <x v="0"/>
    <x v="2"/>
    <x v="11"/>
    <x v="8"/>
    <s v="Multi-Year"/>
    <x v="1"/>
    <s v="N/A"/>
    <n v="0"/>
    <s v="Confirmed"/>
    <s v=""/>
    <x v="1"/>
    <x v="0"/>
    <m/>
    <x v="1"/>
    <x v="1"/>
    <m/>
    <n v="0"/>
    <x v="0"/>
    <s v=""/>
    <n v="7392665952.5895758"/>
  </r>
  <r>
    <x v="0"/>
    <x v="105"/>
    <x v="105"/>
    <x v="6"/>
    <x v="0"/>
    <x v="2"/>
    <x v="11"/>
    <x v="8"/>
    <s v="Multi-Year"/>
    <x v="1"/>
    <s v="N/A"/>
    <n v="0"/>
    <s v="Confirmed"/>
    <s v=""/>
    <x v="1"/>
    <x v="0"/>
    <m/>
    <x v="2"/>
    <x v="0"/>
    <m/>
    <n v="0"/>
    <x v="0"/>
    <s v="N/A"/>
    <n v="4754985988.6004429"/>
  </r>
  <r>
    <x v="0"/>
    <x v="106"/>
    <x v="106"/>
    <x v="1"/>
    <x v="0"/>
    <x v="2"/>
    <x v="11"/>
    <x v="8"/>
    <s v="Multi-Year"/>
    <x v="1"/>
    <s v="N/A"/>
    <n v="0"/>
    <s v="Confirmed"/>
    <s v=""/>
    <x v="1"/>
    <x v="0"/>
    <m/>
    <x v="3"/>
    <x v="1"/>
    <m/>
    <n v="0"/>
    <x v="0"/>
    <s v=""/>
    <n v="26422210443.037273"/>
  </r>
  <r>
    <x v="0"/>
    <x v="107"/>
    <x v="107"/>
    <x v="1"/>
    <x v="0"/>
    <x v="2"/>
    <x v="11"/>
    <x v="8"/>
    <s v="Multi-Year"/>
    <x v="1"/>
    <s v="N/A"/>
    <n v="0"/>
    <s v="Confirmed"/>
    <s v=""/>
    <x v="1"/>
    <x v="0"/>
    <m/>
    <x v="1"/>
    <x v="1"/>
    <m/>
    <n v="0"/>
    <x v="0"/>
    <s v=""/>
    <n v="10696495313.15033"/>
  </r>
  <r>
    <x v="0"/>
    <x v="108"/>
    <x v="108"/>
    <x v="1"/>
    <x v="0"/>
    <x v="2"/>
    <x v="11"/>
    <x v="8"/>
    <s v="Multi-Year"/>
    <x v="1"/>
    <s v="N/A"/>
    <n v="0"/>
    <s v="Confirmed"/>
    <s v=""/>
    <x v="1"/>
    <x v="0"/>
    <m/>
    <x v="1"/>
    <x v="1"/>
    <m/>
    <n v="0"/>
    <x v="0"/>
    <s v=""/>
    <n v="52769713433.240509"/>
  </r>
  <r>
    <x v="0"/>
    <x v="109"/>
    <x v="109"/>
    <x v="3"/>
    <x v="0"/>
    <x v="2"/>
    <x v="11"/>
    <x v="8"/>
    <s v="Multi-Year"/>
    <x v="1"/>
    <s v="N/A"/>
    <n v="0"/>
    <s v="Confirmed"/>
    <s v=""/>
    <x v="1"/>
    <x v="0"/>
    <m/>
    <x v="0"/>
    <x v="0"/>
    <m/>
    <n v="0"/>
    <x v="0"/>
    <s v="Moderate"/>
    <n v="225799814.51943746"/>
  </r>
  <r>
    <x v="0"/>
    <x v="110"/>
    <x v="110"/>
    <x v="6"/>
    <x v="0"/>
    <x v="2"/>
    <x v="11"/>
    <x v="8"/>
    <s v="Multi-Year"/>
    <x v="1"/>
    <s v="N/A"/>
    <n v="25462"/>
    <s v="Confirmed"/>
    <s v=""/>
    <x v="1"/>
    <x v="0"/>
    <m/>
    <x v="2"/>
    <x v="0"/>
    <m/>
    <n v="0"/>
    <x v="1"/>
    <s v="High"/>
    <n v="32192988.027009469"/>
  </r>
  <r>
    <x v="0"/>
    <x v="111"/>
    <x v="111"/>
    <x v="5"/>
    <x v="0"/>
    <x v="2"/>
    <x v="11"/>
    <x v="8"/>
    <s v="Multi-Year"/>
    <x v="1"/>
    <s v="N/A"/>
    <n v="0"/>
    <s v="Confirmed"/>
    <s v=""/>
    <x v="1"/>
    <x v="0"/>
    <m/>
    <x v="2"/>
    <x v="0"/>
    <m/>
    <n v="0"/>
    <x v="1"/>
    <s v="In distress"/>
    <n v="11633535.136477679"/>
  </r>
  <r>
    <x v="0"/>
    <x v="112"/>
    <x v="112"/>
    <x v="5"/>
    <x v="0"/>
    <x v="2"/>
    <x v="11"/>
    <x v="8"/>
    <s v="Multi-Year"/>
    <x v="1"/>
    <s v="N/A"/>
    <n v="0"/>
    <s v="Confirmed"/>
    <s v=""/>
    <x v="1"/>
    <x v="0"/>
    <m/>
    <x v="2"/>
    <x v="0"/>
    <m/>
    <n v="2"/>
    <x v="0"/>
    <s v="Moderate"/>
    <n v="222008693.93354639"/>
  </r>
  <r>
    <x v="0"/>
    <x v="113"/>
    <x v="113"/>
    <x v="1"/>
    <x v="0"/>
    <x v="2"/>
    <x v="11"/>
    <x v="8"/>
    <s v="Multi-Year"/>
    <x v="1"/>
    <s v="N/A"/>
    <n v="0"/>
    <s v="Confirmed"/>
    <s v=""/>
    <x v="1"/>
    <x v="0"/>
    <m/>
    <x v="1"/>
    <x v="1"/>
    <m/>
    <n v="0"/>
    <x v="0"/>
    <s v=""/>
    <n v="2564993795.1894679"/>
  </r>
  <r>
    <x v="0"/>
    <x v="114"/>
    <x v="114"/>
    <x v="3"/>
    <x v="0"/>
    <x v="2"/>
    <x v="11"/>
    <x v="8"/>
    <s v="Multi-Year"/>
    <x v="1"/>
    <s v="N/A"/>
    <n v="0"/>
    <s v="Confirmed"/>
    <s v=""/>
    <x v="1"/>
    <x v="0"/>
    <m/>
    <x v="3"/>
    <x v="1"/>
    <m/>
    <n v="0"/>
    <x v="1"/>
    <s v="N/A"/>
    <n v="60237542.945069775"/>
  </r>
  <r>
    <x v="0"/>
    <x v="115"/>
    <x v="115"/>
    <x v="5"/>
    <x v="0"/>
    <x v="2"/>
    <x v="11"/>
    <x v="8"/>
    <s v="Multi-Year"/>
    <x v="1"/>
    <s v="N/A"/>
    <n v="0"/>
    <s v="Confirmed"/>
    <s v=""/>
    <x v="1"/>
    <x v="0"/>
    <m/>
    <x v="0"/>
    <x v="0"/>
    <m/>
    <n v="0"/>
    <x v="0"/>
    <s v="High"/>
    <n v="63738640.538260505"/>
  </r>
  <r>
    <x v="0"/>
    <x v="116"/>
    <x v="116"/>
    <x v="6"/>
    <x v="0"/>
    <x v="2"/>
    <x v="11"/>
    <x v="8"/>
    <s v="Multi-Year"/>
    <x v="1"/>
    <s v="N/A"/>
    <n v="107682"/>
    <s v="Confirmed"/>
    <s v=""/>
    <x v="1"/>
    <x v="0"/>
    <m/>
    <x v="2"/>
    <x v="0"/>
    <m/>
    <n v="0"/>
    <x v="1"/>
    <s v="Moderate"/>
    <n v="49012774.055630356"/>
  </r>
  <r>
    <x v="0"/>
    <x v="117"/>
    <x v="117"/>
    <x v="3"/>
    <x v="0"/>
    <x v="2"/>
    <x v="11"/>
    <x v="8"/>
    <s v="Multi-Year"/>
    <x v="1"/>
    <s v="N/A"/>
    <n v="0"/>
    <s v="Confirmed"/>
    <s v=""/>
    <x v="1"/>
    <x v="0"/>
    <m/>
    <x v="0"/>
    <x v="0"/>
    <m/>
    <n v="1"/>
    <x v="0"/>
    <s v="In distress"/>
    <s v=""/>
  </r>
  <r>
    <x v="0"/>
    <x v="118"/>
    <x v="118"/>
    <x v="3"/>
    <x v="0"/>
    <x v="2"/>
    <x v="11"/>
    <x v="8"/>
    <s v="Multi-Year"/>
    <x v="1"/>
    <s v="N/A"/>
    <n v="0"/>
    <s v="Confirmed"/>
    <s v=""/>
    <x v="1"/>
    <x v="0"/>
    <m/>
    <x v="1"/>
    <x v="1"/>
    <m/>
    <n v="0"/>
    <x v="0"/>
    <s v="N/A"/>
    <n v="16429121142.784708"/>
  </r>
  <r>
    <x v="0"/>
    <x v="119"/>
    <x v="119"/>
    <x v="3"/>
    <x v="0"/>
    <x v="2"/>
    <x v="11"/>
    <x v="8"/>
    <s v="Multi-Year"/>
    <x v="1"/>
    <s v="N/A"/>
    <n v="0"/>
    <s v="Confirmed"/>
    <s v=""/>
    <x v="1"/>
    <x v="0"/>
    <m/>
    <x v="0"/>
    <x v="0"/>
    <m/>
    <n v="1"/>
    <x v="0"/>
    <s v="High"/>
    <n v="31684581.76217727"/>
  </r>
  <r>
    <x v="0"/>
    <x v="120"/>
    <x v="120"/>
    <x v="0"/>
    <x v="0"/>
    <x v="2"/>
    <x v="11"/>
    <x v="8"/>
    <s v="Multi-Year"/>
    <x v="1"/>
    <s v="N/A"/>
    <n v="0"/>
    <s v="Confirmed"/>
    <s v=""/>
    <x v="1"/>
    <x v="0"/>
    <m/>
    <x v="2"/>
    <x v="0"/>
    <m/>
    <n v="0"/>
    <x v="0"/>
    <s v="N/A"/>
    <n v="1373621563.5182886"/>
  </r>
  <r>
    <x v="0"/>
    <x v="121"/>
    <x v="121"/>
    <x v="4"/>
    <x v="0"/>
    <x v="2"/>
    <x v="11"/>
    <x v="8"/>
    <s v="Multi-Year"/>
    <x v="1"/>
    <s v="N/A"/>
    <n v="0"/>
    <s v="Confirmed"/>
    <s v=""/>
    <x v="1"/>
    <x v="0"/>
    <m/>
    <x v="3"/>
    <x v="1"/>
    <m/>
    <n v="0"/>
    <x v="1"/>
    <s v=""/>
    <n v="24214370.889062837"/>
  </r>
  <r>
    <x v="0"/>
    <x v="122"/>
    <x v="122"/>
    <x v="4"/>
    <x v="0"/>
    <x v="2"/>
    <x v="11"/>
    <x v="8"/>
    <s v="Multi-Year"/>
    <x v="1"/>
    <s v="N/A"/>
    <n v="0"/>
    <s v="Confirmed"/>
    <s v=""/>
    <x v="1"/>
    <x v="0"/>
    <m/>
    <x v="1"/>
    <x v="0"/>
    <m/>
    <n v="0"/>
    <x v="1"/>
    <s v="…"/>
    <n v="39941279.609447442"/>
  </r>
  <r>
    <x v="0"/>
    <x v="123"/>
    <x v="123"/>
    <x v="4"/>
    <x v="0"/>
    <x v="2"/>
    <x v="11"/>
    <x v="8"/>
    <s v="Multi-Year"/>
    <x v="1"/>
    <s v="N/A"/>
    <n v="0"/>
    <s v="Confirmed"/>
    <s v=""/>
    <x v="1"/>
    <x v="0"/>
    <m/>
    <x v="1"/>
    <x v="0"/>
    <m/>
    <n v="0"/>
    <x v="1"/>
    <s v="High"/>
    <n v="24761675.260059897"/>
  </r>
  <r>
    <x v="0"/>
    <x v="124"/>
    <x v="124"/>
    <x v="2"/>
    <x v="0"/>
    <x v="2"/>
    <x v="11"/>
    <x v="8"/>
    <s v="Multi-Year"/>
    <x v="1"/>
    <s v="N/A"/>
    <n v="0"/>
    <s v="Confirmed"/>
    <s v=""/>
    <x v="1"/>
    <x v="0"/>
    <m/>
    <x v="2"/>
    <x v="0"/>
    <m/>
    <n v="0"/>
    <x v="0"/>
    <s v="N/A"/>
    <s v=""/>
  </r>
  <r>
    <x v="0"/>
    <x v="125"/>
    <x v="125"/>
    <x v="2"/>
    <x v="0"/>
    <x v="2"/>
    <x v="11"/>
    <x v="8"/>
    <s v="Multi-Year"/>
    <x v="1"/>
    <s v="N/A"/>
    <n v="0"/>
    <s v="Confirmed"/>
    <s v=""/>
    <x v="1"/>
    <x v="0"/>
    <m/>
    <x v="0"/>
    <x v="0"/>
    <m/>
    <n v="1"/>
    <x v="0"/>
    <s v="N/A"/>
    <n v="577156172.71229994"/>
  </r>
  <r>
    <x v="0"/>
    <x v="126"/>
    <x v="126"/>
    <x v="6"/>
    <x v="0"/>
    <x v="2"/>
    <x v="11"/>
    <x v="8"/>
    <s v="Multi-Year"/>
    <x v="1"/>
    <s v="N/A"/>
    <n v="0"/>
    <s v="Confirmed"/>
    <s v=""/>
    <x v="1"/>
    <x v="0"/>
    <m/>
    <x v="1"/>
    <x v="1"/>
    <m/>
    <n v="0"/>
    <x v="1"/>
    <s v=""/>
    <n v="180052034.19851837"/>
  </r>
  <r>
    <x v="0"/>
    <x v="127"/>
    <x v="127"/>
    <x v="2"/>
    <x v="0"/>
    <x v="2"/>
    <x v="11"/>
    <x v="8"/>
    <s v="Multi-Year"/>
    <x v="1"/>
    <s v="N/A"/>
    <n v="0"/>
    <s v="Confirmed"/>
    <s v=""/>
    <x v="1"/>
    <x v="0"/>
    <m/>
    <x v="0"/>
    <x v="0"/>
    <m/>
    <n v="1"/>
    <x v="0"/>
    <s v="N/A"/>
    <s v=""/>
  </r>
  <r>
    <x v="0"/>
    <x v="128"/>
    <x v="128"/>
    <x v="1"/>
    <x v="0"/>
    <x v="2"/>
    <x v="11"/>
    <x v="8"/>
    <s v="Multi-Year"/>
    <x v="1"/>
    <s v="N/A"/>
    <n v="0"/>
    <s v="Confirmed"/>
    <s v=""/>
    <x v="1"/>
    <x v="0"/>
    <m/>
    <x v="2"/>
    <x v="0"/>
    <m/>
    <n v="0"/>
    <x v="0"/>
    <s v="High"/>
    <n v="147296124.32232863"/>
  </r>
  <r>
    <x v="0"/>
    <x v="129"/>
    <x v="129"/>
    <x v="3"/>
    <x v="0"/>
    <x v="2"/>
    <x v="11"/>
    <x v="8"/>
    <s v="Multi-Year"/>
    <x v="1"/>
    <s v="N/A"/>
    <n v="0"/>
    <s v="Confirmed"/>
    <s v=""/>
    <x v="1"/>
    <x v="0"/>
    <m/>
    <x v="2"/>
    <x v="0"/>
    <m/>
    <n v="0"/>
    <x v="0"/>
    <s v="…"/>
    <n v="890576536.83065879"/>
  </r>
  <r>
    <x v="0"/>
    <x v="130"/>
    <x v="130"/>
    <x v="6"/>
    <x v="0"/>
    <x v="2"/>
    <x v="11"/>
    <x v="8"/>
    <s v="Multi-Year"/>
    <x v="1"/>
    <s v="N/A"/>
    <n v="0"/>
    <s v="Confirmed"/>
    <s v=""/>
    <x v="1"/>
    <x v="0"/>
    <m/>
    <x v="1"/>
    <x v="1"/>
    <m/>
    <n v="0"/>
    <x v="0"/>
    <s v=""/>
    <n v="14611129792.346064"/>
  </r>
  <r>
    <x v="0"/>
    <x v="131"/>
    <x v="131"/>
    <x v="6"/>
    <x v="0"/>
    <x v="2"/>
    <x v="11"/>
    <x v="8"/>
    <s v="Multi-Year"/>
    <x v="1"/>
    <s v="N/A"/>
    <n v="0"/>
    <s v="Confirmed"/>
    <s v=""/>
    <x v="1"/>
    <x v="0"/>
    <m/>
    <x v="2"/>
    <x v="0"/>
    <m/>
    <n v="0"/>
    <x v="1"/>
    <s v="Low"/>
    <n v="72046877.233008593"/>
  </r>
  <r>
    <x v="0"/>
    <x v="132"/>
    <x v="132"/>
    <x v="5"/>
    <x v="0"/>
    <x v="2"/>
    <x v="11"/>
    <x v="8"/>
    <s v="Multi-Year"/>
    <x v="1"/>
    <s v="N/A"/>
    <n v="0"/>
    <s v="Confirmed"/>
    <s v=""/>
    <x v="1"/>
    <x v="0"/>
    <m/>
    <x v="0"/>
    <x v="0"/>
    <m/>
    <n v="0"/>
    <x v="0"/>
    <s v="High"/>
    <n v="56248139.267255567"/>
  </r>
  <r>
    <x v="0"/>
    <x v="133"/>
    <x v="133"/>
    <x v="6"/>
    <x v="0"/>
    <x v="2"/>
    <x v="11"/>
    <x v="8"/>
    <s v="Multi-Year"/>
    <x v="1"/>
    <s v="N/A"/>
    <n v="23028"/>
    <s v="Confirmed"/>
    <s v=""/>
    <x v="1"/>
    <x v="0"/>
    <m/>
    <x v="1"/>
    <x v="0"/>
    <m/>
    <n v="0"/>
    <x v="1"/>
    <s v="High"/>
    <n v="15464031.712942109"/>
  </r>
  <r>
    <x v="0"/>
    <x v="134"/>
    <x v="134"/>
    <x v="4"/>
    <x v="0"/>
    <x v="2"/>
    <x v="11"/>
    <x v="8"/>
    <s v="Multi-Year"/>
    <x v="1"/>
    <s v="N/A"/>
    <n v="0"/>
    <s v="Confirmed"/>
    <s v=""/>
    <x v="1"/>
    <x v="0"/>
    <m/>
    <x v="3"/>
    <x v="1"/>
    <m/>
    <n v="0"/>
    <x v="1"/>
    <s v="N/A"/>
    <n v="769564399.33249676"/>
  </r>
  <r>
    <x v="0"/>
    <x v="135"/>
    <x v="135"/>
    <x v="2"/>
    <x v="0"/>
    <x v="2"/>
    <x v="11"/>
    <x v="8"/>
    <s v="Multi-Year"/>
    <x v="1"/>
    <s v="N/A"/>
    <n v="0"/>
    <s v="Confirmed"/>
    <s v=""/>
    <x v="1"/>
    <x v="0"/>
    <m/>
    <x v="2"/>
    <x v="0"/>
    <m/>
    <n v="0"/>
    <x v="0"/>
    <s v="N/A"/>
    <n v="1668954539.7630196"/>
  </r>
  <r>
    <x v="0"/>
    <x v="136"/>
    <x v="136"/>
    <x v="1"/>
    <x v="0"/>
    <x v="2"/>
    <x v="11"/>
    <x v="8"/>
    <s v="Multi-Year"/>
    <x v="1"/>
    <s v="N/A"/>
    <n v="0"/>
    <s v="Confirmed"/>
    <s v=""/>
    <x v="1"/>
    <x v="0"/>
    <m/>
    <x v="1"/>
    <x v="1"/>
    <m/>
    <n v="0"/>
    <x v="0"/>
    <s v=""/>
    <n v="24840920016.18832"/>
  </r>
  <r>
    <x v="0"/>
    <x v="137"/>
    <x v="137"/>
    <x v="1"/>
    <x v="0"/>
    <x v="2"/>
    <x v="11"/>
    <x v="8"/>
    <s v="Multi-Year"/>
    <x v="1"/>
    <s v="N/A"/>
    <n v="0"/>
    <s v="Confirmed"/>
    <s v=""/>
    <x v="1"/>
    <x v="0"/>
    <m/>
    <x v="1"/>
    <x v="1"/>
    <m/>
    <n v="0"/>
    <x v="0"/>
    <s v="N/A"/>
    <n v="487888462.83720118"/>
  </r>
  <r>
    <x v="0"/>
    <x v="138"/>
    <x v="138"/>
    <x v="6"/>
    <x v="0"/>
    <x v="2"/>
    <x v="11"/>
    <x v="8"/>
    <s v="Multi-Year"/>
    <x v="1"/>
    <s v="N/A"/>
    <n v="0"/>
    <s v="Confirmed"/>
    <s v=""/>
    <x v="1"/>
    <x v="0"/>
    <m/>
    <x v="1"/>
    <x v="0"/>
    <m/>
    <n v="0"/>
    <x v="1"/>
    <s v="…"/>
    <n v="6365061.1736073596"/>
  </r>
  <r>
    <x v="0"/>
    <x v="139"/>
    <x v="139"/>
    <x v="3"/>
    <x v="0"/>
    <x v="2"/>
    <x v="11"/>
    <x v="8"/>
    <s v="Multi-Year"/>
    <x v="1"/>
    <s v="N/A"/>
    <n v="0"/>
    <s v="Confirmed"/>
    <s v=""/>
    <x v="1"/>
    <x v="0"/>
    <m/>
    <x v="0"/>
    <x v="0"/>
    <m/>
    <n v="2"/>
    <x v="0"/>
    <s v="Low"/>
    <n v="291799092.90196139"/>
  </r>
  <r>
    <x v="0"/>
    <x v="140"/>
    <x v="140"/>
    <x v="1"/>
    <x v="0"/>
    <x v="2"/>
    <x v="11"/>
    <x v="8"/>
    <s v="Multi-Year"/>
    <x v="1"/>
    <s v="N/A"/>
    <n v="0"/>
    <s v="Confirmed"/>
    <s v=""/>
    <x v="1"/>
    <x v="0"/>
    <m/>
    <x v="2"/>
    <x v="0"/>
    <m/>
    <n v="0"/>
    <x v="0"/>
    <s v="N/A"/>
    <n v="4844815340.2135534"/>
  </r>
  <r>
    <x v="0"/>
    <x v="141"/>
    <x v="141"/>
    <x v="4"/>
    <x v="0"/>
    <x v="2"/>
    <x v="11"/>
    <x v="8"/>
    <s v="Multi-Year"/>
    <x v="1"/>
    <s v="N/A"/>
    <n v="0"/>
    <s v="Confirmed"/>
    <s v=""/>
    <x v="1"/>
    <x v="0"/>
    <m/>
    <x v="3"/>
    <x v="1"/>
    <m/>
    <n v="0"/>
    <x v="0"/>
    <s v=""/>
    <n v="4001891446.6871672"/>
  </r>
  <r>
    <x v="0"/>
    <x v="142"/>
    <x v="142"/>
    <x v="1"/>
    <x v="0"/>
    <x v="2"/>
    <x v="11"/>
    <x v="8"/>
    <s v="Multi-Year"/>
    <x v="1"/>
    <s v="N/A"/>
    <n v="0"/>
    <s v="Confirmed"/>
    <s v=""/>
    <x v="1"/>
    <x v="0"/>
    <m/>
    <x v="2"/>
    <x v="0"/>
    <m/>
    <n v="0"/>
    <x v="0"/>
    <s v="Low"/>
    <n v="1019800630.5853213"/>
  </r>
  <r>
    <x v="0"/>
    <x v="143"/>
    <x v="143"/>
    <x v="6"/>
    <x v="0"/>
    <x v="2"/>
    <x v="11"/>
    <x v="8"/>
    <s v="Multi-Year"/>
    <x v="1"/>
    <s v="N/A"/>
    <n v="42755"/>
    <s v="Confirmed"/>
    <s v=""/>
    <x v="1"/>
    <x v="0"/>
    <m/>
    <x v="2"/>
    <x v="0"/>
    <m/>
    <n v="0"/>
    <x v="1"/>
    <s v="Moderate"/>
    <n v="19578671.310841195"/>
  </r>
  <r>
    <x v="0"/>
    <x v="144"/>
    <x v="144"/>
    <x v="4"/>
    <x v="0"/>
    <x v="2"/>
    <x v="11"/>
    <x v="8"/>
    <s v="Multi-Year"/>
    <x v="1"/>
    <s v="N/A"/>
    <n v="0"/>
    <s v="Confirmed"/>
    <s v=""/>
    <x v="1"/>
    <x v="0"/>
    <m/>
    <x v="4"/>
    <x v="1"/>
    <m/>
    <n v="0"/>
    <x v="0"/>
    <s v="N/A"/>
    <n v="3551452001.0684834"/>
  </r>
  <r>
    <x v="0"/>
    <x v="145"/>
    <x v="145"/>
    <x v="6"/>
    <x v="0"/>
    <x v="2"/>
    <x v="11"/>
    <x v="8"/>
    <s v="Multi-Year"/>
    <x v="1"/>
    <s v="N/A"/>
    <n v="0"/>
    <s v="Confirmed"/>
    <s v=""/>
    <x v="1"/>
    <x v="0"/>
    <m/>
    <x v="2"/>
    <x v="0"/>
    <m/>
    <n v="0"/>
    <x v="0"/>
    <s v="N/A"/>
    <n v="6603048821.7575006"/>
  </r>
  <r>
    <x v="0"/>
    <x v="146"/>
    <x v="146"/>
    <x v="2"/>
    <x v="0"/>
    <x v="2"/>
    <x v="11"/>
    <x v="8"/>
    <s v="Multi-Year"/>
    <x v="1"/>
    <s v="N/A"/>
    <n v="0"/>
    <s v="Confirmed"/>
    <s v=""/>
    <x v="1"/>
    <x v="0"/>
    <m/>
    <x v="0"/>
    <x v="0"/>
    <m/>
    <n v="1"/>
    <x v="0"/>
    <s v="…"/>
    <s v=""/>
  </r>
  <r>
    <x v="0"/>
    <x v="147"/>
    <x v="147"/>
    <x v="3"/>
    <x v="0"/>
    <x v="2"/>
    <x v="11"/>
    <x v="8"/>
    <s v="Multi-Year"/>
    <x v="1"/>
    <s v="N/A"/>
    <n v="0"/>
    <s v="Confirmed"/>
    <s v=""/>
    <x v="1"/>
    <x v="0"/>
    <m/>
    <x v="2"/>
    <x v="0"/>
    <m/>
    <n v="0"/>
    <x v="0"/>
    <s v="High"/>
    <n v="515352723.9821828"/>
  </r>
  <r>
    <x v="0"/>
    <x v="148"/>
    <x v="148"/>
    <x v="3"/>
    <x v="0"/>
    <x v="2"/>
    <x v="11"/>
    <x v="8"/>
    <s v="Multi-Year"/>
    <x v="1"/>
    <s v="N/A"/>
    <n v="0"/>
    <s v="Confirmed"/>
    <s v=""/>
    <x v="1"/>
    <x v="0"/>
    <m/>
    <x v="2"/>
    <x v="0"/>
    <m/>
    <n v="0"/>
    <x v="0"/>
    <s v="N/A"/>
    <n v="566711742.22428358"/>
  </r>
  <r>
    <x v="0"/>
    <x v="0"/>
    <x v="0"/>
    <x v="0"/>
    <x v="0"/>
    <x v="2"/>
    <x v="12"/>
    <x v="8"/>
    <n v="2021"/>
    <x v="1"/>
    <s v="N/A"/>
    <n v="0"/>
    <s v="Confirmed"/>
    <s v=""/>
    <x v="1"/>
    <x v="0"/>
    <m/>
    <x v="0"/>
    <x v="0"/>
    <m/>
    <n v="1"/>
    <x v="0"/>
    <s v="High"/>
    <n v="95829480.719269618"/>
  </r>
  <r>
    <x v="0"/>
    <x v="1"/>
    <x v="1"/>
    <x v="1"/>
    <x v="0"/>
    <x v="2"/>
    <x v="12"/>
    <x v="8"/>
    <n v="2021"/>
    <x v="1"/>
    <s v="N/A"/>
    <n v="0"/>
    <s v="Confirmed"/>
    <s v=""/>
    <x v="1"/>
    <x v="0"/>
    <m/>
    <x v="1"/>
    <x v="1"/>
    <m/>
    <n v="0"/>
    <x v="0"/>
    <s v=""/>
    <n v="427904035.52443534"/>
  </r>
  <r>
    <x v="0"/>
    <x v="2"/>
    <x v="2"/>
    <x v="2"/>
    <x v="0"/>
    <x v="2"/>
    <x v="12"/>
    <x v="8"/>
    <n v="2021"/>
    <x v="1"/>
    <s v="N/A"/>
    <n v="0"/>
    <s v="Confirmed"/>
    <s v=""/>
    <x v="1"/>
    <x v="0"/>
    <m/>
    <x v="2"/>
    <x v="0"/>
    <m/>
    <n v="0"/>
    <x v="0"/>
    <s v="N/A"/>
    <n v="7113361022.7267885"/>
  </r>
  <r>
    <x v="0"/>
    <x v="3"/>
    <x v="3"/>
    <x v="3"/>
    <x v="0"/>
    <x v="2"/>
    <x v="12"/>
    <x v="8"/>
    <n v="2021"/>
    <x v="1"/>
    <s v="N/A"/>
    <n v="0"/>
    <s v="Confirmed"/>
    <s v=""/>
    <x v="1"/>
    <x v="0"/>
    <m/>
    <x v="2"/>
    <x v="0"/>
    <m/>
    <n v="0"/>
    <x v="0"/>
    <s v="…"/>
    <n v="1131865946.5875781"/>
  </r>
  <r>
    <x v="0"/>
    <x v="4"/>
    <x v="4"/>
    <x v="4"/>
    <x v="0"/>
    <x v="2"/>
    <x v="12"/>
    <x v="8"/>
    <n v="2021"/>
    <x v="1"/>
    <s v="N/A"/>
    <n v="0"/>
    <s v="Confirmed"/>
    <s v=""/>
    <x v="1"/>
    <x v="0"/>
    <m/>
    <x v="3"/>
    <x v="1"/>
    <m/>
    <n v="0"/>
    <x v="1"/>
    <s v=""/>
    <n v="46777779.823447868"/>
  </r>
  <r>
    <x v="0"/>
    <x v="5"/>
    <x v="5"/>
    <x v="4"/>
    <x v="0"/>
    <x v="2"/>
    <x v="12"/>
    <x v="8"/>
    <n v="2021"/>
    <x v="1"/>
    <s v="N/A"/>
    <n v="0"/>
    <s v="Confirmed"/>
    <s v=""/>
    <x v="1"/>
    <x v="0"/>
    <m/>
    <x v="1"/>
    <x v="1"/>
    <m/>
    <n v="0"/>
    <x v="0"/>
    <s v=""/>
    <n v="30725305777.596794"/>
  </r>
  <r>
    <x v="0"/>
    <x v="6"/>
    <x v="6"/>
    <x v="1"/>
    <x v="0"/>
    <x v="2"/>
    <x v="12"/>
    <x v="8"/>
    <n v="2021"/>
    <x v="1"/>
    <s v="N/A"/>
    <n v="0"/>
    <s v="Confirmed"/>
    <s v=""/>
    <x v="1"/>
    <x v="0"/>
    <m/>
    <x v="1"/>
    <x v="1"/>
    <m/>
    <n v="0"/>
    <x v="0"/>
    <s v=""/>
    <n v="153815827.8380394"/>
  </r>
  <r>
    <x v="0"/>
    <x v="7"/>
    <x v="7"/>
    <x v="1"/>
    <x v="0"/>
    <x v="2"/>
    <x v="12"/>
    <x v="8"/>
    <n v="2021"/>
    <x v="1"/>
    <s v="N/A"/>
    <n v="0"/>
    <s v="Confirmed"/>
    <s v=""/>
    <x v="1"/>
    <x v="0"/>
    <m/>
    <x v="1"/>
    <x v="1"/>
    <m/>
    <n v="0"/>
    <x v="0"/>
    <s v="N/A"/>
    <n v="437525105.31216973"/>
  </r>
  <r>
    <x v="0"/>
    <x v="8"/>
    <x v="8"/>
    <x v="4"/>
    <x v="0"/>
    <x v="2"/>
    <x v="12"/>
    <x v="8"/>
    <n v="2021"/>
    <x v="1"/>
    <s v="N/A"/>
    <n v="0"/>
    <s v="Confirmed"/>
    <s v=""/>
    <x v="1"/>
    <x v="0"/>
    <m/>
    <x v="3"/>
    <x v="1"/>
    <m/>
    <n v="0"/>
    <x v="1"/>
    <s v=""/>
    <n v="149463302.00602186"/>
  </r>
  <r>
    <x v="0"/>
    <x v="9"/>
    <x v="9"/>
    <x v="0"/>
    <x v="0"/>
    <x v="2"/>
    <x v="12"/>
    <x v="8"/>
    <n v="2021"/>
    <x v="1"/>
    <s v="N/A"/>
    <n v="0"/>
    <s v="Confirmed"/>
    <s v=""/>
    <x v="1"/>
    <x v="0"/>
    <m/>
    <x v="2"/>
    <x v="0"/>
    <m/>
    <n v="0"/>
    <x v="0"/>
    <s v="Low"/>
    <n v="1148322593.9600098"/>
  </r>
  <r>
    <x v="0"/>
    <x v="10"/>
    <x v="10"/>
    <x v="1"/>
    <x v="0"/>
    <x v="2"/>
    <x v="12"/>
    <x v="8"/>
    <n v="2021"/>
    <x v="1"/>
    <s v="N/A"/>
    <n v="0"/>
    <s v="Confirmed"/>
    <s v=""/>
    <x v="1"/>
    <x v="0"/>
    <m/>
    <x v="1"/>
    <x v="1"/>
    <m/>
    <n v="0"/>
    <x v="0"/>
    <s v=""/>
    <n v="2371102058.1093163"/>
  </r>
  <r>
    <x v="0"/>
    <x v="11"/>
    <x v="11"/>
    <x v="4"/>
    <x v="0"/>
    <x v="2"/>
    <x v="12"/>
    <x v="8"/>
    <n v="2021"/>
    <x v="1"/>
    <s v="N/A"/>
    <n v="0"/>
    <s v="Confirmed"/>
    <s v=""/>
    <x v="1"/>
    <x v="0"/>
    <m/>
    <x v="2"/>
    <x v="1"/>
    <m/>
    <n v="0"/>
    <x v="1"/>
    <s v="N/A"/>
    <n v="75151620.005215243"/>
  </r>
  <r>
    <x v="0"/>
    <x v="12"/>
    <x v="12"/>
    <x v="5"/>
    <x v="0"/>
    <x v="2"/>
    <x v="12"/>
    <x v="8"/>
    <n v="2021"/>
    <x v="1"/>
    <s v="N/A"/>
    <n v="0"/>
    <s v="Confirmed"/>
    <s v=""/>
    <x v="1"/>
    <x v="0"/>
    <m/>
    <x v="2"/>
    <x v="0"/>
    <m/>
    <n v="0"/>
    <x v="0"/>
    <s v="Moderate"/>
    <n v="69958487.197715744"/>
  </r>
  <r>
    <x v="0"/>
    <x v="13"/>
    <x v="13"/>
    <x v="0"/>
    <x v="0"/>
    <x v="2"/>
    <x v="12"/>
    <x v="8"/>
    <n v="2021"/>
    <x v="1"/>
    <s v="N/A"/>
    <n v="0"/>
    <s v="Confirmed"/>
    <s v=""/>
    <x v="1"/>
    <x v="0"/>
    <m/>
    <x v="2"/>
    <x v="0"/>
    <m/>
    <n v="0"/>
    <x v="0"/>
    <s v="…"/>
    <n v="61654608.560629159"/>
  </r>
  <r>
    <x v="0"/>
    <x v="14"/>
    <x v="14"/>
    <x v="4"/>
    <x v="0"/>
    <x v="2"/>
    <x v="12"/>
    <x v="8"/>
    <n v="2021"/>
    <x v="1"/>
    <s v="N/A"/>
    <n v="0"/>
    <s v="Confirmed"/>
    <s v=""/>
    <x v="1"/>
    <x v="0"/>
    <m/>
    <x v="2"/>
    <x v="0"/>
    <m/>
    <n v="0"/>
    <x v="0"/>
    <s v="N/A"/>
    <n v="1806638707.7615163"/>
  </r>
  <r>
    <x v="0"/>
    <x v="15"/>
    <x v="15"/>
    <x v="1"/>
    <x v="0"/>
    <x v="2"/>
    <x v="12"/>
    <x v="8"/>
    <n v="2021"/>
    <x v="1"/>
    <s v="N/A"/>
    <n v="0"/>
    <s v="Confirmed"/>
    <s v=""/>
    <x v="1"/>
    <x v="0"/>
    <m/>
    <x v="1"/>
    <x v="1"/>
    <m/>
    <n v="0"/>
    <x v="0"/>
    <s v="N/A"/>
    <n v="1252696525.0627904"/>
  </r>
  <r>
    <x v="0"/>
    <x v="16"/>
    <x v="16"/>
    <x v="3"/>
    <x v="0"/>
    <x v="2"/>
    <x v="12"/>
    <x v="8"/>
    <n v="2021"/>
    <x v="1"/>
    <s v="N/A"/>
    <n v="0"/>
    <s v="Confirmed"/>
    <s v=""/>
    <x v="1"/>
    <x v="0"/>
    <m/>
    <x v="1"/>
    <x v="1"/>
    <m/>
    <n v="0"/>
    <x v="0"/>
    <s v=""/>
    <n v="843425084.07334602"/>
  </r>
  <r>
    <x v="0"/>
    <x v="17"/>
    <x v="17"/>
    <x v="4"/>
    <x v="0"/>
    <x v="2"/>
    <x v="12"/>
    <x v="8"/>
    <n v="2021"/>
    <x v="1"/>
    <s v="N/A"/>
    <n v="0"/>
    <s v="Confirmed"/>
    <s v=""/>
    <x v="1"/>
    <x v="0"/>
    <m/>
    <x v="1"/>
    <x v="1"/>
    <m/>
    <n v="0"/>
    <x v="0"/>
    <s v="N/A"/>
    <n v="74055620038.853683"/>
  </r>
  <r>
    <x v="0"/>
    <x v="18"/>
    <x v="18"/>
    <x v="1"/>
    <x v="0"/>
    <x v="2"/>
    <x v="12"/>
    <x v="8"/>
    <n v="2021"/>
    <x v="1"/>
    <s v="N/A"/>
    <n v="0"/>
    <s v="Confirmed"/>
    <s v=""/>
    <x v="1"/>
    <x v="0"/>
    <m/>
    <x v="1"/>
    <x v="1"/>
    <m/>
    <n v="0"/>
    <x v="0"/>
    <s v=""/>
    <n v="2803357765.5888777"/>
  </r>
  <r>
    <x v="0"/>
    <x v="19"/>
    <x v="19"/>
    <x v="5"/>
    <x v="0"/>
    <x v="2"/>
    <x v="12"/>
    <x v="8"/>
    <n v="2021"/>
    <x v="1"/>
    <s v="N/A"/>
    <n v="0"/>
    <s v="Confirmed"/>
    <s v=""/>
    <x v="1"/>
    <x v="0"/>
    <m/>
    <x v="0"/>
    <x v="0"/>
    <m/>
    <n v="2"/>
    <x v="0"/>
    <s v="Moderate"/>
    <n v="337927779.25510043"/>
  </r>
  <r>
    <x v="0"/>
    <x v="20"/>
    <x v="20"/>
    <x v="3"/>
    <x v="0"/>
    <x v="2"/>
    <x v="12"/>
    <x v="8"/>
    <n v="2021"/>
    <x v="1"/>
    <s v="N/A"/>
    <n v="0"/>
    <s v="Confirmed"/>
    <s v=""/>
    <x v="1"/>
    <x v="0"/>
    <m/>
    <x v="0"/>
    <x v="0"/>
    <m/>
    <n v="2"/>
    <x v="0"/>
    <s v="…"/>
    <n v="65979512.47399316"/>
  </r>
  <r>
    <x v="0"/>
    <x v="21"/>
    <x v="21"/>
    <x v="5"/>
    <x v="0"/>
    <x v="2"/>
    <x v="12"/>
    <x v="8"/>
    <n v="2021"/>
    <x v="1"/>
    <s v="N/A"/>
    <n v="0"/>
    <s v="Confirmed"/>
    <s v=""/>
    <x v="1"/>
    <x v="0"/>
    <m/>
    <x v="2"/>
    <x v="0"/>
    <m/>
    <n v="0"/>
    <x v="1"/>
    <s v="High"/>
    <n v="63748362.778827004"/>
  </r>
  <r>
    <x v="0"/>
    <x v="22"/>
    <x v="22"/>
    <x v="6"/>
    <x v="0"/>
    <x v="2"/>
    <x v="12"/>
    <x v="8"/>
    <n v="2021"/>
    <x v="1"/>
    <s v="N/A"/>
    <n v="0"/>
    <s v="Confirmed"/>
    <s v=""/>
    <x v="1"/>
    <x v="0"/>
    <m/>
    <x v="2"/>
    <x v="0"/>
    <m/>
    <n v="0"/>
    <x v="0"/>
    <s v="Low"/>
    <n v="313039649.45369786"/>
  </r>
  <r>
    <x v="0"/>
    <x v="23"/>
    <x v="23"/>
    <x v="5"/>
    <x v="0"/>
    <x v="2"/>
    <x v="12"/>
    <x v="8"/>
    <n v="2021"/>
    <x v="1"/>
    <s v="N/A"/>
    <n v="0"/>
    <s v="Confirmed"/>
    <s v=""/>
    <x v="1"/>
    <x v="0"/>
    <m/>
    <x v="2"/>
    <x v="0"/>
    <m/>
    <n v="2"/>
    <x v="0"/>
    <s v="High"/>
    <n v="81361801.477472037"/>
  </r>
  <r>
    <x v="0"/>
    <x v="24"/>
    <x v="24"/>
    <x v="5"/>
    <x v="0"/>
    <x v="2"/>
    <x v="12"/>
    <x v="8"/>
    <n v="2021"/>
    <x v="1"/>
    <s v="N/A"/>
    <n v="0"/>
    <s v="Confirmed"/>
    <s v=""/>
    <x v="1"/>
    <x v="0"/>
    <m/>
    <x v="0"/>
    <x v="0"/>
    <m/>
    <n v="1"/>
    <x v="0"/>
    <s v="High"/>
    <s v=""/>
  </r>
  <r>
    <x v="0"/>
    <x v="25"/>
    <x v="25"/>
    <x v="5"/>
    <x v="0"/>
    <x v="2"/>
    <x v="12"/>
    <x v="8"/>
    <n v="2021"/>
    <x v="1"/>
    <s v="N/A"/>
    <n v="0"/>
    <s v="Confirmed"/>
    <s v=""/>
    <x v="1"/>
    <x v="0"/>
    <m/>
    <x v="0"/>
    <x v="0"/>
    <m/>
    <n v="1"/>
    <x v="0"/>
    <s v="High"/>
    <n v="76939306.715636879"/>
  </r>
  <r>
    <x v="0"/>
    <x v="26"/>
    <x v="26"/>
    <x v="4"/>
    <x v="0"/>
    <x v="2"/>
    <x v="12"/>
    <x v="8"/>
    <n v="2021"/>
    <x v="1"/>
    <s v="N/A"/>
    <n v="0"/>
    <s v="Confirmed"/>
    <s v=""/>
    <x v="1"/>
    <x v="0"/>
    <m/>
    <x v="3"/>
    <x v="1"/>
    <m/>
    <n v="0"/>
    <x v="0"/>
    <s v=""/>
    <n v="13859708717.682571"/>
  </r>
  <r>
    <x v="0"/>
    <x v="27"/>
    <x v="27"/>
    <x v="6"/>
    <x v="0"/>
    <x v="2"/>
    <x v="12"/>
    <x v="8"/>
    <n v="2021"/>
    <x v="1"/>
    <s v="N/A"/>
    <n v="0"/>
    <s v="Confirmed"/>
    <s v=""/>
    <x v="1"/>
    <x v="0"/>
    <m/>
    <x v="1"/>
    <x v="1"/>
    <m/>
    <n v="0"/>
    <x v="0"/>
    <s v=""/>
    <n v="403567160707.7016"/>
  </r>
  <r>
    <x v="0"/>
    <x v="28"/>
    <x v="28"/>
    <x v="4"/>
    <x v="0"/>
    <x v="2"/>
    <x v="12"/>
    <x v="8"/>
    <n v="2021"/>
    <x v="1"/>
    <s v="N/A"/>
    <n v="0"/>
    <s v="Confirmed"/>
    <s v=""/>
    <x v="1"/>
    <x v="0"/>
    <m/>
    <x v="1"/>
    <x v="1"/>
    <m/>
    <n v="0"/>
    <x v="0"/>
    <s v=""/>
    <n v="18250225995.972618"/>
  </r>
  <r>
    <x v="0"/>
    <x v="29"/>
    <x v="29"/>
    <x v="3"/>
    <x v="0"/>
    <x v="2"/>
    <x v="12"/>
    <x v="8"/>
    <n v="2021"/>
    <x v="1"/>
    <s v="N/A"/>
    <n v="0"/>
    <s v="Confirmed"/>
    <s v=""/>
    <x v="1"/>
    <x v="0"/>
    <m/>
    <x v="2"/>
    <x v="0"/>
    <m/>
    <n v="0"/>
    <x v="1"/>
    <s v="Moderate"/>
    <n v="5027591.1682657599"/>
  </r>
  <r>
    <x v="0"/>
    <x v="30"/>
    <x v="30"/>
    <x v="5"/>
    <x v="0"/>
    <x v="2"/>
    <x v="12"/>
    <x v="8"/>
    <n v="2021"/>
    <x v="1"/>
    <s v="N/A"/>
    <n v="0"/>
    <s v="Confirmed"/>
    <s v=""/>
    <x v="1"/>
    <x v="0"/>
    <m/>
    <x v="0"/>
    <x v="0"/>
    <m/>
    <n v="3"/>
    <x v="0"/>
    <s v="Moderate"/>
    <n v="234645958.63289919"/>
  </r>
  <r>
    <x v="0"/>
    <x v="31"/>
    <x v="31"/>
    <x v="5"/>
    <x v="0"/>
    <x v="2"/>
    <x v="12"/>
    <x v="8"/>
    <n v="2021"/>
    <x v="1"/>
    <s v="N/A"/>
    <n v="0"/>
    <s v="Confirmed"/>
    <s v=""/>
    <x v="1"/>
    <x v="0"/>
    <m/>
    <x v="2"/>
    <x v="0"/>
    <m/>
    <n v="2"/>
    <x v="0"/>
    <s v="In distress"/>
    <n v="91590910.247314155"/>
  </r>
  <r>
    <x v="0"/>
    <x v="32"/>
    <x v="32"/>
    <x v="6"/>
    <x v="0"/>
    <x v="2"/>
    <x v="12"/>
    <x v="8"/>
    <n v="2021"/>
    <x v="1"/>
    <s v="N/A"/>
    <n v="0"/>
    <s v="Confirmed"/>
    <s v=""/>
    <x v="1"/>
    <x v="0"/>
    <m/>
    <x v="4"/>
    <x v="1"/>
    <m/>
    <n v="0"/>
    <x v="1"/>
    <s v="N/A"/>
    <n v="8560012.8840167802"/>
  </r>
  <r>
    <x v="0"/>
    <x v="33"/>
    <x v="33"/>
    <x v="4"/>
    <x v="0"/>
    <x v="2"/>
    <x v="12"/>
    <x v="8"/>
    <n v="2021"/>
    <x v="1"/>
    <s v="N/A"/>
    <n v="0"/>
    <s v="Confirmed"/>
    <s v=""/>
    <x v="1"/>
    <x v="0"/>
    <m/>
    <x v="1"/>
    <x v="1"/>
    <m/>
    <n v="0"/>
    <x v="0"/>
    <s v="N/A"/>
    <n v="3292372960.3962669"/>
  </r>
  <r>
    <x v="0"/>
    <x v="34"/>
    <x v="34"/>
    <x v="5"/>
    <x v="0"/>
    <x v="2"/>
    <x v="12"/>
    <x v="8"/>
    <n v="2021"/>
    <x v="1"/>
    <s v="N/A"/>
    <n v="0"/>
    <s v="Confirmed"/>
    <s v=""/>
    <x v="1"/>
    <x v="0"/>
    <m/>
    <x v="2"/>
    <x v="0"/>
    <m/>
    <n v="0"/>
    <x v="0"/>
    <s v="Moderate"/>
    <n v="519209981.22981054"/>
  </r>
  <r>
    <x v="0"/>
    <x v="35"/>
    <x v="35"/>
    <x v="1"/>
    <x v="0"/>
    <x v="2"/>
    <x v="12"/>
    <x v="8"/>
    <n v="2021"/>
    <x v="1"/>
    <s v="N/A"/>
    <n v="0"/>
    <s v="Confirmed"/>
    <s v=""/>
    <x v="1"/>
    <x v="0"/>
    <m/>
    <x v="3"/>
    <x v="1"/>
    <m/>
    <n v="0"/>
    <x v="0"/>
    <s v=""/>
    <n v="3464739907.1604805"/>
  </r>
  <r>
    <x v="0"/>
    <x v="36"/>
    <x v="36"/>
    <x v="4"/>
    <x v="0"/>
    <x v="2"/>
    <x v="12"/>
    <x v="8"/>
    <n v="2021"/>
    <x v="1"/>
    <s v="N/A"/>
    <n v="0"/>
    <s v="Confirmed"/>
    <s v=""/>
    <x v="1"/>
    <x v="0"/>
    <m/>
    <x v="1"/>
    <x v="1"/>
    <m/>
    <n v="0"/>
    <x v="1"/>
    <s v=""/>
    <n v="9948521252.2569065"/>
  </r>
  <r>
    <x v="0"/>
    <x v="37"/>
    <x v="37"/>
    <x v="2"/>
    <x v="0"/>
    <x v="2"/>
    <x v="12"/>
    <x v="8"/>
    <n v="2021"/>
    <x v="1"/>
    <s v="N/A"/>
    <n v="0"/>
    <s v="Confirmed"/>
    <s v=""/>
    <x v="1"/>
    <x v="0"/>
    <m/>
    <x v="2"/>
    <x v="0"/>
    <m/>
    <n v="1"/>
    <x v="0"/>
    <s v="High"/>
    <n v="33679192.765657313"/>
  </r>
  <r>
    <x v="0"/>
    <x v="38"/>
    <x v="38"/>
    <x v="4"/>
    <x v="0"/>
    <x v="2"/>
    <x v="12"/>
    <x v="8"/>
    <n v="2021"/>
    <x v="1"/>
    <s v="N/A"/>
    <n v="0"/>
    <s v="Confirmed"/>
    <s v=""/>
    <x v="1"/>
    <x v="0"/>
    <m/>
    <x v="1"/>
    <x v="0"/>
    <m/>
    <n v="0"/>
    <x v="1"/>
    <s v="…"/>
    <n v="22784494.365742501"/>
  </r>
  <r>
    <x v="0"/>
    <x v="39"/>
    <x v="39"/>
    <x v="4"/>
    <x v="0"/>
    <x v="2"/>
    <x v="12"/>
    <x v="8"/>
    <n v="2021"/>
    <x v="1"/>
    <s v="N/A"/>
    <n v="0"/>
    <s v="Confirmed"/>
    <s v=""/>
    <x v="1"/>
    <x v="0"/>
    <m/>
    <x v="1"/>
    <x v="1"/>
    <m/>
    <n v="0"/>
    <x v="1"/>
    <s v=""/>
    <n v="2173208011.4858823"/>
  </r>
  <r>
    <x v="0"/>
    <x v="40"/>
    <x v="40"/>
    <x v="4"/>
    <x v="0"/>
    <x v="2"/>
    <x v="12"/>
    <x v="8"/>
    <n v="2021"/>
    <x v="1"/>
    <s v="N/A"/>
    <n v="0"/>
    <s v="Confirmed"/>
    <s v=""/>
    <x v="1"/>
    <x v="0"/>
    <m/>
    <x v="1"/>
    <x v="1"/>
    <m/>
    <n v="0"/>
    <x v="0"/>
    <s v="N/A"/>
    <n v="4585736158.8323269"/>
  </r>
  <r>
    <x v="0"/>
    <x v="41"/>
    <x v="41"/>
    <x v="2"/>
    <x v="0"/>
    <x v="2"/>
    <x v="12"/>
    <x v="8"/>
    <n v="2021"/>
    <x v="1"/>
    <s v="N/A"/>
    <n v="0"/>
    <s v="Confirmed"/>
    <s v=""/>
    <x v="1"/>
    <x v="0"/>
    <m/>
    <x v="2"/>
    <x v="0"/>
    <m/>
    <n v="0"/>
    <x v="0"/>
    <s v="N/A"/>
    <n v="3550291584.8645592"/>
  </r>
  <r>
    <x v="0"/>
    <x v="42"/>
    <x v="42"/>
    <x v="4"/>
    <x v="0"/>
    <x v="2"/>
    <x v="12"/>
    <x v="8"/>
    <n v="2021"/>
    <x v="1"/>
    <s v="N/A"/>
    <n v="0"/>
    <s v="Confirmed"/>
    <s v=""/>
    <x v="1"/>
    <x v="0"/>
    <m/>
    <x v="2"/>
    <x v="0"/>
    <m/>
    <n v="0"/>
    <x v="0"/>
    <s v="N/A"/>
    <n v="1182840319.0410969"/>
  </r>
  <r>
    <x v="0"/>
    <x v="43"/>
    <x v="43"/>
    <x v="4"/>
    <x v="0"/>
    <x v="2"/>
    <x v="12"/>
    <x v="8"/>
    <n v="2021"/>
    <x v="1"/>
    <s v="N/A"/>
    <n v="0"/>
    <s v="Confirmed"/>
    <s v=""/>
    <x v="1"/>
    <x v="0"/>
    <m/>
    <x v="1"/>
    <x v="1"/>
    <m/>
    <n v="0"/>
    <x v="0"/>
    <s v=""/>
    <n v="81728347.604567245"/>
  </r>
  <r>
    <x v="0"/>
    <x v="44"/>
    <x v="44"/>
    <x v="3"/>
    <x v="0"/>
    <x v="2"/>
    <x v="12"/>
    <x v="8"/>
    <n v="2021"/>
    <x v="1"/>
    <s v="N/A"/>
    <n v="0"/>
    <s v="Confirmed"/>
    <s v=""/>
    <x v="1"/>
    <x v="0"/>
    <m/>
    <x v="0"/>
    <x v="0"/>
    <m/>
    <n v="2"/>
    <x v="0"/>
    <s v="N/A"/>
    <n v="12787914.977715338"/>
  </r>
  <r>
    <x v="0"/>
    <x v="45"/>
    <x v="45"/>
    <x v="3"/>
    <x v="0"/>
    <x v="2"/>
    <x v="12"/>
    <x v="8"/>
    <n v="2021"/>
    <x v="1"/>
    <s v="N/A"/>
    <n v="0"/>
    <s v="Confirmed"/>
    <s v=""/>
    <x v="1"/>
    <x v="0"/>
    <m/>
    <x v="2"/>
    <x v="0"/>
    <m/>
    <n v="2"/>
    <x v="0"/>
    <s v="N/A"/>
    <n v="101271737.65410839"/>
  </r>
  <r>
    <x v="0"/>
    <x v="46"/>
    <x v="46"/>
    <x v="3"/>
    <x v="0"/>
    <x v="2"/>
    <x v="12"/>
    <x v="8"/>
    <n v="2021"/>
    <x v="1"/>
    <s v="N/A"/>
    <n v="0"/>
    <s v="Confirmed"/>
    <s v=""/>
    <x v="1"/>
    <x v="0"/>
    <m/>
    <x v="0"/>
    <x v="0"/>
    <m/>
    <n v="3"/>
    <x v="0"/>
    <s v="High"/>
    <n v="618344226.71759331"/>
  </r>
  <r>
    <x v="0"/>
    <x v="47"/>
    <x v="47"/>
    <x v="6"/>
    <x v="0"/>
    <x v="2"/>
    <x v="12"/>
    <x v="8"/>
    <n v="2021"/>
    <x v="1"/>
    <s v="N/A"/>
    <n v="0"/>
    <s v="Confirmed"/>
    <s v=""/>
    <x v="1"/>
    <x v="0"/>
    <m/>
    <x v="1"/>
    <x v="0"/>
    <m/>
    <n v="0"/>
    <x v="1"/>
    <s v="…"/>
    <n v="129483872.95906857"/>
  </r>
  <r>
    <x v="0"/>
    <x v="48"/>
    <x v="48"/>
    <x v="5"/>
    <x v="0"/>
    <x v="2"/>
    <x v="12"/>
    <x v="8"/>
    <n v="2021"/>
    <x v="1"/>
    <s v="N/A"/>
    <n v="0"/>
    <s v="Confirmed"/>
    <s v=""/>
    <x v="1"/>
    <x v="0"/>
    <m/>
    <x v="1"/>
    <x v="1"/>
    <m/>
    <n v="0"/>
    <x v="0"/>
    <s v="N/A"/>
    <n v="271184658.35014349"/>
  </r>
  <r>
    <x v="0"/>
    <x v="49"/>
    <x v="49"/>
    <x v="5"/>
    <x v="0"/>
    <x v="2"/>
    <x v="12"/>
    <x v="8"/>
    <n v="2021"/>
    <x v="1"/>
    <s v="N/A"/>
    <n v="0"/>
    <s v="Confirmed"/>
    <s v=""/>
    <x v="1"/>
    <x v="0"/>
    <m/>
    <x v="0"/>
    <x v="0"/>
    <m/>
    <n v="0"/>
    <x v="0"/>
    <s v="High"/>
    <n v="15455265.086884515"/>
  </r>
  <r>
    <x v="0"/>
    <x v="50"/>
    <x v="50"/>
    <x v="1"/>
    <x v="0"/>
    <x v="2"/>
    <x v="12"/>
    <x v="8"/>
    <n v="2021"/>
    <x v="1"/>
    <s v="N/A"/>
    <n v="0"/>
    <s v="Confirmed"/>
    <s v=""/>
    <x v="1"/>
    <x v="0"/>
    <m/>
    <x v="1"/>
    <x v="1"/>
    <m/>
    <n v="0"/>
    <x v="0"/>
    <s v="N/A"/>
    <n v="494021502.525527"/>
  </r>
  <r>
    <x v="0"/>
    <x v="51"/>
    <x v="51"/>
    <x v="5"/>
    <x v="0"/>
    <x v="2"/>
    <x v="12"/>
    <x v="8"/>
    <n v="2021"/>
    <x v="1"/>
    <s v="N/A"/>
    <n v="0"/>
    <s v="Confirmed"/>
    <s v=""/>
    <x v="1"/>
    <x v="0"/>
    <m/>
    <x v="2"/>
    <x v="0"/>
    <m/>
    <n v="0"/>
    <x v="0"/>
    <s v="High"/>
    <n v="902005621.73836684"/>
  </r>
  <r>
    <x v="0"/>
    <x v="52"/>
    <x v="52"/>
    <x v="4"/>
    <x v="0"/>
    <x v="2"/>
    <x v="12"/>
    <x v="8"/>
    <n v="2021"/>
    <x v="1"/>
    <s v="N/A"/>
    <n v="0"/>
    <s v="Confirmed"/>
    <s v=""/>
    <x v="1"/>
    <x v="0"/>
    <m/>
    <x v="1"/>
    <x v="0"/>
    <m/>
    <n v="0"/>
    <x v="1"/>
    <s v="In distress"/>
    <n v="20201670.142996579"/>
  </r>
  <r>
    <x v="0"/>
    <x v="53"/>
    <x v="53"/>
    <x v="4"/>
    <x v="0"/>
    <x v="2"/>
    <x v="12"/>
    <x v="8"/>
    <n v="2021"/>
    <x v="1"/>
    <s v="N/A"/>
    <n v="0"/>
    <s v="Confirmed"/>
    <s v=""/>
    <x v="1"/>
    <x v="0"/>
    <m/>
    <x v="1"/>
    <x v="1"/>
    <m/>
    <n v="0"/>
    <x v="0"/>
    <s v=""/>
    <n v="1612434649.6948864"/>
  </r>
  <r>
    <x v="0"/>
    <x v="54"/>
    <x v="54"/>
    <x v="5"/>
    <x v="0"/>
    <x v="2"/>
    <x v="12"/>
    <x v="8"/>
    <n v="2021"/>
    <x v="1"/>
    <s v="N/A"/>
    <n v="0"/>
    <s v="Confirmed"/>
    <s v=""/>
    <x v="1"/>
    <x v="0"/>
    <m/>
    <x v="0"/>
    <x v="0"/>
    <m/>
    <n v="0"/>
    <x v="0"/>
    <s v="Moderate"/>
    <n v="78203134.118229344"/>
  </r>
  <r>
    <x v="0"/>
    <x v="55"/>
    <x v="55"/>
    <x v="5"/>
    <x v="0"/>
    <x v="2"/>
    <x v="12"/>
    <x v="8"/>
    <n v="2021"/>
    <x v="1"/>
    <s v="N/A"/>
    <n v="0"/>
    <s v="Confirmed"/>
    <s v=""/>
    <x v="1"/>
    <x v="0"/>
    <m/>
    <x v="0"/>
    <x v="0"/>
    <m/>
    <n v="2"/>
    <x v="1"/>
    <s v="High"/>
    <n v="9151637.7411015611"/>
  </r>
  <r>
    <x v="0"/>
    <x v="56"/>
    <x v="56"/>
    <x v="4"/>
    <x v="0"/>
    <x v="2"/>
    <x v="12"/>
    <x v="8"/>
    <n v="2021"/>
    <x v="1"/>
    <s v="N/A"/>
    <n v="0"/>
    <s v="Confirmed"/>
    <s v=""/>
    <x v="1"/>
    <x v="0"/>
    <m/>
    <x v="1"/>
    <x v="0"/>
    <m/>
    <n v="0"/>
    <x v="1"/>
    <s v="Moderate"/>
    <n v="142455920.02856269"/>
  </r>
  <r>
    <x v="0"/>
    <x v="57"/>
    <x v="57"/>
    <x v="4"/>
    <x v="0"/>
    <x v="2"/>
    <x v="12"/>
    <x v="8"/>
    <n v="2021"/>
    <x v="1"/>
    <s v="N/A"/>
    <n v="49489.62"/>
    <s v="Confirmed"/>
    <s v=""/>
    <x v="1"/>
    <x v="0"/>
    <m/>
    <x v="2"/>
    <x v="0"/>
    <m/>
    <n v="1"/>
    <x v="1"/>
    <s v="High"/>
    <n v="85611818.171245083"/>
  </r>
  <r>
    <x v="0"/>
    <x v="58"/>
    <x v="58"/>
    <x v="4"/>
    <x v="0"/>
    <x v="2"/>
    <x v="12"/>
    <x v="8"/>
    <n v="2021"/>
    <x v="1"/>
    <s v="N/A"/>
    <n v="0"/>
    <s v="Confirmed"/>
    <s v=""/>
    <x v="1"/>
    <x v="0"/>
    <m/>
    <x v="2"/>
    <x v="0"/>
    <m/>
    <n v="0"/>
    <x v="0"/>
    <s v="Low"/>
    <n v="680289736.30082119"/>
  </r>
  <r>
    <x v="0"/>
    <x v="59"/>
    <x v="59"/>
    <x v="0"/>
    <x v="0"/>
    <x v="2"/>
    <x v="12"/>
    <x v="8"/>
    <n v="2021"/>
    <x v="1"/>
    <s v="N/A"/>
    <n v="0"/>
    <s v="Confirmed"/>
    <s v=""/>
    <x v="1"/>
    <x v="0"/>
    <m/>
    <x v="2"/>
    <x v="0"/>
    <m/>
    <n v="0"/>
    <x v="0"/>
    <s v="N/A"/>
    <n v="26554332750.47023"/>
  </r>
  <r>
    <x v="0"/>
    <x v="60"/>
    <x v="60"/>
    <x v="6"/>
    <x v="0"/>
    <x v="2"/>
    <x v="12"/>
    <x v="8"/>
    <n v="2021"/>
    <x v="1"/>
    <s v="N/A"/>
    <n v="0"/>
    <s v="Confirmed"/>
    <s v=""/>
    <x v="1"/>
    <x v="0"/>
    <m/>
    <x v="2"/>
    <x v="0"/>
    <m/>
    <n v="0"/>
    <x v="0"/>
    <s v="N/A"/>
    <n v="14745961064.890842"/>
  </r>
  <r>
    <x v="0"/>
    <x v="61"/>
    <x v="61"/>
    <x v="2"/>
    <x v="0"/>
    <x v="2"/>
    <x v="12"/>
    <x v="8"/>
    <n v="2021"/>
    <x v="1"/>
    <s v="N/A"/>
    <n v="0"/>
    <s v="Confirmed"/>
    <s v=""/>
    <x v="1"/>
    <x v="0"/>
    <m/>
    <x v="2"/>
    <x v="1"/>
    <m/>
    <n v="0"/>
    <x v="0"/>
    <s v="N/A"/>
    <n v="18194076299.786381"/>
  </r>
  <r>
    <x v="0"/>
    <x v="62"/>
    <x v="62"/>
    <x v="2"/>
    <x v="0"/>
    <x v="2"/>
    <x v="12"/>
    <x v="8"/>
    <n v="2021"/>
    <x v="1"/>
    <s v="N/A"/>
    <n v="0"/>
    <s v="Confirmed"/>
    <s v=""/>
    <x v="1"/>
    <x v="0"/>
    <m/>
    <x v="1"/>
    <x v="1"/>
    <m/>
    <n v="0"/>
    <x v="0"/>
    <s v="N/A"/>
    <n v="4428819387.769825"/>
  </r>
  <r>
    <x v="0"/>
    <x v="63"/>
    <x v="63"/>
    <x v="4"/>
    <x v="0"/>
    <x v="2"/>
    <x v="12"/>
    <x v="8"/>
    <n v="2021"/>
    <x v="1"/>
    <s v="N/A"/>
    <n v="0"/>
    <s v="Confirmed"/>
    <s v=""/>
    <x v="1"/>
    <x v="0"/>
    <m/>
    <x v="1"/>
    <x v="1"/>
    <m/>
    <n v="0"/>
    <x v="1"/>
    <s v=""/>
    <n v="611739560.62679195"/>
  </r>
  <r>
    <x v="0"/>
    <x v="64"/>
    <x v="64"/>
    <x v="2"/>
    <x v="0"/>
    <x v="2"/>
    <x v="12"/>
    <x v="8"/>
    <n v="2021"/>
    <x v="1"/>
    <s v="N/A"/>
    <n v="0"/>
    <s v="Confirmed"/>
    <s v=""/>
    <x v="1"/>
    <x v="0"/>
    <m/>
    <x v="1"/>
    <x v="1"/>
    <m/>
    <n v="0"/>
    <x v="0"/>
    <s v="N/A"/>
    <n v="1617913383.0481031"/>
  </r>
  <r>
    <x v="0"/>
    <x v="65"/>
    <x v="65"/>
    <x v="1"/>
    <x v="0"/>
    <x v="2"/>
    <x v="12"/>
    <x v="8"/>
    <n v="2021"/>
    <x v="1"/>
    <s v="N/A"/>
    <n v="0"/>
    <s v="Confirmed"/>
    <s v=""/>
    <x v="1"/>
    <x v="0"/>
    <m/>
    <x v="1"/>
    <x v="1"/>
    <m/>
    <n v="0"/>
    <x v="0"/>
    <s v=""/>
    <n v="3074419112.4562683"/>
  </r>
  <r>
    <x v="0"/>
    <x v="66"/>
    <x v="66"/>
    <x v="3"/>
    <x v="0"/>
    <x v="2"/>
    <x v="12"/>
    <x v="8"/>
    <n v="2021"/>
    <x v="1"/>
    <s v="N/A"/>
    <n v="0"/>
    <s v="Confirmed"/>
    <s v=""/>
    <x v="1"/>
    <x v="0"/>
    <m/>
    <x v="2"/>
    <x v="0"/>
    <m/>
    <n v="0"/>
    <x v="0"/>
    <s v="High"/>
    <n v="1914014279.8929913"/>
  </r>
  <r>
    <x v="0"/>
    <x v="67"/>
    <x v="67"/>
    <x v="6"/>
    <x v="0"/>
    <x v="2"/>
    <x v="12"/>
    <x v="8"/>
    <n v="2021"/>
    <x v="1"/>
    <s v="N/A"/>
    <n v="0"/>
    <s v="Confirmed"/>
    <s v=""/>
    <x v="1"/>
    <x v="0"/>
    <m/>
    <x v="2"/>
    <x v="0"/>
    <m/>
    <n v="0"/>
    <x v="1"/>
    <s v="High"/>
    <n v="17422005.762907442"/>
  </r>
  <r>
    <x v="0"/>
    <x v="68"/>
    <x v="68"/>
    <x v="6"/>
    <x v="0"/>
    <x v="2"/>
    <x v="12"/>
    <x v="8"/>
    <n v="2021"/>
    <x v="1"/>
    <s v="N/A"/>
    <n v="0"/>
    <s v="Confirmed"/>
    <s v=""/>
    <x v="1"/>
    <x v="0"/>
    <m/>
    <x v="0"/>
    <x v="0"/>
    <m/>
    <n v="0"/>
    <x v="0"/>
    <s v="N/A"/>
    <s v=""/>
  </r>
  <r>
    <x v="0"/>
    <x v="69"/>
    <x v="69"/>
    <x v="1"/>
    <x v="0"/>
    <x v="2"/>
    <x v="12"/>
    <x v="8"/>
    <n v="2021"/>
    <x v="1"/>
    <s v="N/A"/>
    <n v="0"/>
    <s v="Confirmed"/>
    <s v=""/>
    <x v="1"/>
    <x v="0"/>
    <m/>
    <x v="1"/>
    <x v="0"/>
    <m/>
    <n v="0"/>
    <x v="0"/>
    <s v="…"/>
    <s v=""/>
  </r>
  <r>
    <x v="0"/>
    <x v="70"/>
    <x v="70"/>
    <x v="1"/>
    <x v="0"/>
    <x v="2"/>
    <x v="12"/>
    <x v="8"/>
    <n v="2021"/>
    <x v="1"/>
    <s v="N/A"/>
    <n v="0"/>
    <s v="Confirmed"/>
    <s v=""/>
    <x v="1"/>
    <x v="0"/>
    <m/>
    <x v="2"/>
    <x v="0"/>
    <m/>
    <n v="2"/>
    <x v="0"/>
    <s v="Moderate"/>
    <n v="231506834.84347546"/>
  </r>
  <r>
    <x v="0"/>
    <x v="71"/>
    <x v="71"/>
    <x v="6"/>
    <x v="0"/>
    <x v="2"/>
    <x v="12"/>
    <x v="8"/>
    <n v="2021"/>
    <x v="1"/>
    <s v="N/A"/>
    <n v="0"/>
    <s v="Confirmed"/>
    <s v=""/>
    <x v="1"/>
    <x v="0"/>
    <m/>
    <x v="2"/>
    <x v="0"/>
    <m/>
    <n v="0"/>
    <x v="0"/>
    <s v="High"/>
    <n v="156059428.62944782"/>
  </r>
  <r>
    <x v="0"/>
    <x v="72"/>
    <x v="72"/>
    <x v="2"/>
    <x v="0"/>
    <x v="2"/>
    <x v="12"/>
    <x v="8"/>
    <n v="2021"/>
    <x v="1"/>
    <s v="N/A"/>
    <n v="394444"/>
    <s v="Confirmed"/>
    <s v=""/>
    <x v="1"/>
    <x v="0"/>
    <m/>
    <x v="1"/>
    <x v="1"/>
    <m/>
    <n v="0"/>
    <x v="0"/>
    <s v="N/A"/>
    <n v="2355391507.1635861"/>
  </r>
  <r>
    <x v="0"/>
    <x v="73"/>
    <x v="73"/>
    <x v="3"/>
    <x v="0"/>
    <x v="2"/>
    <x v="12"/>
    <x v="8"/>
    <n v="2021"/>
    <x v="1"/>
    <s v="N/A"/>
    <n v="0"/>
    <s v="Confirmed"/>
    <s v=""/>
    <x v="1"/>
    <x v="0"/>
    <m/>
    <x v="2"/>
    <x v="0"/>
    <m/>
    <n v="0"/>
    <x v="0"/>
    <s v="Moderate"/>
    <n v="152760919.7684873"/>
  </r>
  <r>
    <x v="0"/>
    <x v="74"/>
    <x v="74"/>
    <x v="5"/>
    <x v="0"/>
    <x v="2"/>
    <x v="12"/>
    <x v="8"/>
    <n v="2021"/>
    <x v="1"/>
    <s v="N/A"/>
    <n v="0"/>
    <s v="Confirmed"/>
    <s v=""/>
    <x v="1"/>
    <x v="0"/>
    <m/>
    <x v="0"/>
    <x v="0"/>
    <m/>
    <n v="0"/>
    <x v="0"/>
    <s v="High"/>
    <n v="55072006.864440605"/>
  </r>
  <r>
    <x v="0"/>
    <x v="75"/>
    <x v="75"/>
    <x v="2"/>
    <x v="0"/>
    <x v="2"/>
    <x v="12"/>
    <x v="8"/>
    <n v="2021"/>
    <x v="1"/>
    <s v="N/A"/>
    <n v="0"/>
    <s v="Confirmed"/>
    <s v=""/>
    <x v="1"/>
    <x v="0"/>
    <m/>
    <x v="1"/>
    <x v="1"/>
    <m/>
    <n v="0"/>
    <x v="0"/>
    <s v="N/A"/>
    <s v=""/>
  </r>
  <r>
    <x v="0"/>
    <x v="76"/>
    <x v="76"/>
    <x v="3"/>
    <x v="0"/>
    <x v="2"/>
    <x v="12"/>
    <x v="8"/>
    <n v="2021"/>
    <x v="1"/>
    <s v="N/A"/>
    <n v="0"/>
    <s v="Confirmed"/>
    <s v=""/>
    <x v="1"/>
    <x v="0"/>
    <m/>
    <x v="0"/>
    <x v="0"/>
    <m/>
    <n v="2"/>
    <x v="0"/>
    <s v="Moderate"/>
    <n v="206914157.05429548"/>
  </r>
  <r>
    <x v="0"/>
    <x v="77"/>
    <x v="77"/>
    <x v="3"/>
    <x v="0"/>
    <x v="2"/>
    <x v="12"/>
    <x v="8"/>
    <n v="2021"/>
    <x v="1"/>
    <s v="N/A"/>
    <n v="0"/>
    <s v="Confirmed"/>
    <s v=""/>
    <x v="1"/>
    <x v="0"/>
    <m/>
    <x v="0"/>
    <x v="0"/>
    <m/>
    <n v="2"/>
    <x v="0"/>
    <s v="High"/>
    <n v="185999915.02066413"/>
  </r>
  <r>
    <x v="0"/>
    <x v="78"/>
    <x v="78"/>
    <x v="6"/>
    <x v="0"/>
    <x v="2"/>
    <x v="12"/>
    <x v="8"/>
    <n v="2021"/>
    <x v="1"/>
    <s v="N/A"/>
    <n v="0"/>
    <s v="Confirmed"/>
    <s v=""/>
    <x v="1"/>
    <x v="0"/>
    <m/>
    <x v="1"/>
    <x v="1"/>
    <m/>
    <n v="0"/>
    <x v="0"/>
    <s v=""/>
    <n v="6893755763.2501726"/>
  </r>
  <r>
    <x v="0"/>
    <x v="79"/>
    <x v="79"/>
    <x v="0"/>
    <x v="0"/>
    <x v="2"/>
    <x v="12"/>
    <x v="8"/>
    <n v="2021"/>
    <x v="1"/>
    <s v="N/A"/>
    <n v="0"/>
    <s v="Confirmed"/>
    <s v=""/>
    <x v="1"/>
    <x v="0"/>
    <m/>
    <x v="1"/>
    <x v="0"/>
    <m/>
    <n v="0"/>
    <x v="1"/>
    <s v="High"/>
    <n v="354560231.58276606"/>
  </r>
  <r>
    <x v="0"/>
    <x v="80"/>
    <x v="80"/>
    <x v="5"/>
    <x v="0"/>
    <x v="2"/>
    <x v="12"/>
    <x v="8"/>
    <n v="2021"/>
    <x v="1"/>
    <s v="N/A"/>
    <n v="0"/>
    <s v="Confirmed"/>
    <s v=""/>
    <x v="1"/>
    <x v="0"/>
    <m/>
    <x v="0"/>
    <x v="0"/>
    <m/>
    <n v="1"/>
    <x v="0"/>
    <s v="Moderate"/>
    <n v="188169167.56540567"/>
  </r>
  <r>
    <x v="0"/>
    <x v="81"/>
    <x v="81"/>
    <x v="6"/>
    <x v="0"/>
    <x v="2"/>
    <x v="12"/>
    <x v="8"/>
    <n v="2021"/>
    <x v="1"/>
    <s v="N/A"/>
    <n v="0"/>
    <s v="Confirmed"/>
    <s v=""/>
    <x v="1"/>
    <x v="0"/>
    <m/>
    <x v="1"/>
    <x v="0"/>
    <m/>
    <n v="0"/>
    <x v="1"/>
    <s v=""/>
    <n v="16312106.556340856"/>
  </r>
  <r>
    <x v="0"/>
    <x v="82"/>
    <x v="82"/>
    <x v="5"/>
    <x v="0"/>
    <x v="2"/>
    <x v="12"/>
    <x v="8"/>
    <n v="2021"/>
    <x v="1"/>
    <s v="N/A"/>
    <n v="0"/>
    <s v="Confirmed"/>
    <s v=""/>
    <x v="1"/>
    <x v="0"/>
    <m/>
    <x v="2"/>
    <x v="0"/>
    <m/>
    <n v="2"/>
    <x v="0"/>
    <s v="High"/>
    <n v="86083833.534053758"/>
  </r>
  <r>
    <x v="0"/>
    <x v="83"/>
    <x v="83"/>
    <x v="3"/>
    <x v="0"/>
    <x v="2"/>
    <x v="12"/>
    <x v="8"/>
    <n v="2021"/>
    <x v="1"/>
    <s v="N/A"/>
    <n v="0"/>
    <s v="Confirmed"/>
    <s v=""/>
    <x v="1"/>
    <x v="0"/>
    <m/>
    <x v="1"/>
    <x v="1"/>
    <m/>
    <n v="0"/>
    <x v="1"/>
    <s v="N/A"/>
    <n v="357220835.93762809"/>
  </r>
  <r>
    <x v="0"/>
    <x v="84"/>
    <x v="84"/>
    <x v="4"/>
    <x v="0"/>
    <x v="2"/>
    <x v="12"/>
    <x v="8"/>
    <n v="2021"/>
    <x v="1"/>
    <s v="N/A"/>
    <n v="0"/>
    <s v="Confirmed"/>
    <s v=""/>
    <x v="1"/>
    <x v="0"/>
    <m/>
    <x v="1"/>
    <x v="1"/>
    <m/>
    <n v="0"/>
    <x v="0"/>
    <s v=""/>
    <n v="32831598153.796387"/>
  </r>
  <r>
    <x v="0"/>
    <x v="85"/>
    <x v="85"/>
    <x v="6"/>
    <x v="0"/>
    <x v="2"/>
    <x v="12"/>
    <x v="8"/>
    <n v="2021"/>
    <x v="1"/>
    <s v="N/A"/>
    <n v="0"/>
    <s v="Confirmed"/>
    <s v=""/>
    <x v="1"/>
    <x v="0"/>
    <m/>
    <x v="2"/>
    <x v="0"/>
    <m/>
    <n v="0"/>
    <x v="1"/>
    <s v="High"/>
    <n v="12329056.093798399"/>
  </r>
  <r>
    <x v="0"/>
    <x v="86"/>
    <x v="86"/>
    <x v="1"/>
    <x v="0"/>
    <x v="2"/>
    <x v="12"/>
    <x v="8"/>
    <n v="2021"/>
    <x v="1"/>
    <s v="N/A"/>
    <n v="0"/>
    <s v="Confirmed"/>
    <s v=""/>
    <x v="1"/>
    <x v="0"/>
    <m/>
    <x v="1"/>
    <x v="0"/>
    <m/>
    <n v="0"/>
    <x v="0"/>
    <s v="Low"/>
    <n v="426639742.85328001"/>
  </r>
  <r>
    <x v="0"/>
    <x v="87"/>
    <x v="87"/>
    <x v="6"/>
    <x v="0"/>
    <x v="2"/>
    <x v="12"/>
    <x v="8"/>
    <n v="2021"/>
    <x v="1"/>
    <s v="N/A"/>
    <n v="0"/>
    <s v="Confirmed"/>
    <s v=""/>
    <x v="1"/>
    <x v="0"/>
    <m/>
    <x v="2"/>
    <x v="0"/>
    <m/>
    <n v="0"/>
    <x v="0"/>
    <s v="…"/>
    <n v="288519671.85870522"/>
  </r>
  <r>
    <x v="0"/>
    <x v="88"/>
    <x v="88"/>
    <x v="1"/>
    <x v="0"/>
    <x v="2"/>
    <x v="12"/>
    <x v="8"/>
    <n v="2021"/>
    <x v="1"/>
    <s v="N/A"/>
    <n v="0"/>
    <s v="Confirmed"/>
    <s v=""/>
    <x v="1"/>
    <x v="0"/>
    <m/>
    <x v="1"/>
    <x v="1"/>
    <m/>
    <n v="0"/>
    <x v="0"/>
    <s v="N/A"/>
    <n v="275606560.78491527"/>
  </r>
  <r>
    <x v="0"/>
    <x v="89"/>
    <x v="89"/>
    <x v="2"/>
    <x v="0"/>
    <x v="2"/>
    <x v="12"/>
    <x v="8"/>
    <n v="2021"/>
    <x v="1"/>
    <s v="N/A"/>
    <n v="0"/>
    <s v="Confirmed"/>
    <s v=""/>
    <x v="1"/>
    <x v="0"/>
    <m/>
    <x v="2"/>
    <x v="0"/>
    <m/>
    <n v="0"/>
    <x v="0"/>
    <s v="N/A"/>
    <n v="2530937679.3725696"/>
  </r>
  <r>
    <x v="0"/>
    <x v="90"/>
    <x v="90"/>
    <x v="3"/>
    <x v="0"/>
    <x v="2"/>
    <x v="12"/>
    <x v="8"/>
    <n v="2021"/>
    <x v="1"/>
    <s v="N/A"/>
    <n v="0"/>
    <s v="Confirmed"/>
    <s v=""/>
    <x v="1"/>
    <x v="0"/>
    <m/>
    <x v="0"/>
    <x v="0"/>
    <m/>
    <n v="0"/>
    <x v="0"/>
    <s v="In distress"/>
    <n v="251432156.86255455"/>
  </r>
  <r>
    <x v="0"/>
    <x v="91"/>
    <x v="91"/>
    <x v="6"/>
    <x v="0"/>
    <x v="2"/>
    <x v="12"/>
    <x v="8"/>
    <n v="2021"/>
    <x v="1"/>
    <s v="N/A"/>
    <n v="0"/>
    <s v="Confirmed"/>
    <s v=""/>
    <x v="1"/>
    <x v="0"/>
    <m/>
    <x v="2"/>
    <x v="0"/>
    <m/>
    <n v="0"/>
    <x v="0"/>
    <s v="Low"/>
    <n v="471534500.60109437"/>
  </r>
  <r>
    <x v="0"/>
    <x v="92"/>
    <x v="92"/>
    <x v="3"/>
    <x v="0"/>
    <x v="2"/>
    <x v="12"/>
    <x v="8"/>
    <n v="2021"/>
    <x v="1"/>
    <s v="N/A"/>
    <n v="0"/>
    <s v="Confirmed"/>
    <s v=""/>
    <x v="1"/>
    <x v="0"/>
    <m/>
    <x v="1"/>
    <x v="1"/>
    <m/>
    <n v="0"/>
    <x v="0"/>
    <s v=""/>
    <n v="531677611.80447447"/>
  </r>
  <r>
    <x v="0"/>
    <x v="93"/>
    <x v="93"/>
    <x v="6"/>
    <x v="0"/>
    <x v="2"/>
    <x v="12"/>
    <x v="8"/>
    <n v="2021"/>
    <x v="1"/>
    <s v="N/A"/>
    <n v="0"/>
    <s v="Confirmed"/>
    <s v=""/>
    <x v="1"/>
    <x v="0"/>
    <m/>
    <x v="3"/>
    <x v="1"/>
    <m/>
    <n v="0"/>
    <x v="1"/>
    <s v=""/>
    <n v="8528751.6418357007"/>
  </r>
  <r>
    <x v="0"/>
    <x v="94"/>
    <x v="94"/>
    <x v="0"/>
    <x v="0"/>
    <x v="2"/>
    <x v="12"/>
    <x v="8"/>
    <n v="2021"/>
    <x v="1"/>
    <s v="N/A"/>
    <n v="0"/>
    <s v="Confirmed"/>
    <s v=""/>
    <x v="1"/>
    <x v="0"/>
    <m/>
    <x v="2"/>
    <x v="0"/>
    <m/>
    <n v="0"/>
    <x v="0"/>
    <s v="Low"/>
    <n v="407084543.19089872"/>
  </r>
  <r>
    <x v="0"/>
    <x v="95"/>
    <x v="95"/>
    <x v="4"/>
    <x v="0"/>
    <x v="2"/>
    <x v="12"/>
    <x v="8"/>
    <n v="2021"/>
    <x v="1"/>
    <s v="N/A"/>
    <n v="0"/>
    <s v="Confirmed"/>
    <s v=""/>
    <x v="1"/>
    <x v="0"/>
    <m/>
    <x v="2"/>
    <x v="0"/>
    <m/>
    <n v="0"/>
    <x v="0"/>
    <s v="Moderate"/>
    <n v="671998341.93592453"/>
  </r>
  <r>
    <x v="0"/>
    <x v="96"/>
    <x v="96"/>
    <x v="5"/>
    <x v="0"/>
    <x v="2"/>
    <x v="12"/>
    <x v="8"/>
    <n v="2021"/>
    <x v="1"/>
    <s v="N/A"/>
    <n v="0"/>
    <s v="Confirmed"/>
    <s v=""/>
    <x v="1"/>
    <x v="0"/>
    <m/>
    <x v="0"/>
    <x v="0"/>
    <m/>
    <n v="1"/>
    <x v="0"/>
    <s v="Moderate"/>
    <n v="226203289.67158964"/>
  </r>
  <r>
    <x v="0"/>
    <x v="97"/>
    <x v="97"/>
    <x v="5"/>
    <x v="0"/>
    <x v="2"/>
    <x v="12"/>
    <x v="8"/>
    <n v="2021"/>
    <x v="1"/>
    <s v="N/A"/>
    <n v="0"/>
    <s v="Confirmed"/>
    <s v=""/>
    <x v="1"/>
    <x v="0"/>
    <m/>
    <x v="2"/>
    <x v="0"/>
    <m/>
    <n v="3"/>
    <x v="0"/>
    <s v="…"/>
    <n v="2438881113.1244688"/>
  </r>
  <r>
    <x v="0"/>
    <x v="98"/>
    <x v="98"/>
    <x v="1"/>
    <x v="0"/>
    <x v="2"/>
    <x v="12"/>
    <x v="8"/>
    <n v="2021"/>
    <x v="1"/>
    <s v="N/A"/>
    <n v="0"/>
    <s v="Confirmed"/>
    <s v=""/>
    <x v="1"/>
    <x v="0"/>
    <m/>
    <x v="1"/>
    <x v="1"/>
    <m/>
    <n v="0"/>
    <x v="0"/>
    <s v=""/>
    <n v="476517795.73174149"/>
  </r>
  <r>
    <x v="0"/>
    <x v="99"/>
    <x v="99"/>
    <x v="0"/>
    <x v="0"/>
    <x v="2"/>
    <x v="12"/>
    <x v="8"/>
    <n v="2021"/>
    <x v="1"/>
    <s v="N/A"/>
    <n v="0"/>
    <s v="Confirmed"/>
    <s v=""/>
    <x v="1"/>
    <x v="0"/>
    <m/>
    <x v="2"/>
    <x v="0"/>
    <m/>
    <n v="0"/>
    <x v="0"/>
    <s v="…"/>
    <n v="3233351297.7679496"/>
  </r>
  <r>
    <x v="0"/>
    <x v="100"/>
    <x v="100"/>
    <x v="4"/>
    <x v="0"/>
    <x v="2"/>
    <x v="12"/>
    <x v="8"/>
    <n v="2021"/>
    <x v="1"/>
    <s v="N/A"/>
    <n v="0"/>
    <s v="Confirmed"/>
    <s v=""/>
    <x v="1"/>
    <x v="0"/>
    <m/>
    <x v="3"/>
    <x v="1"/>
    <m/>
    <n v="0"/>
    <x v="1"/>
    <s v=""/>
    <n v="18180646.808608256"/>
  </r>
  <r>
    <x v="0"/>
    <x v="101"/>
    <x v="101"/>
    <x v="4"/>
    <x v="0"/>
    <x v="2"/>
    <x v="12"/>
    <x v="8"/>
    <n v="2021"/>
    <x v="1"/>
    <s v="N/A"/>
    <n v="0"/>
    <s v="Confirmed"/>
    <s v=""/>
    <x v="1"/>
    <x v="0"/>
    <m/>
    <x v="1"/>
    <x v="1"/>
    <m/>
    <n v="0"/>
    <x v="0"/>
    <s v="N/A"/>
    <n v="3020530707.3485303"/>
  </r>
  <r>
    <x v="0"/>
    <x v="102"/>
    <x v="102"/>
    <x v="6"/>
    <x v="0"/>
    <x v="2"/>
    <x v="12"/>
    <x v="8"/>
    <n v="2021"/>
    <x v="1"/>
    <s v="N/A"/>
    <n v="0"/>
    <s v="Confirmed"/>
    <s v=""/>
    <x v="1"/>
    <x v="0"/>
    <m/>
    <x v="2"/>
    <x v="0"/>
    <m/>
    <n v="1"/>
    <x v="1"/>
    <s v="High"/>
    <n v="384406316.46074712"/>
  </r>
  <r>
    <x v="0"/>
    <x v="103"/>
    <x v="103"/>
    <x v="4"/>
    <x v="0"/>
    <x v="2"/>
    <x v="12"/>
    <x v="8"/>
    <n v="2021"/>
    <x v="1"/>
    <s v="N/A"/>
    <n v="0"/>
    <s v="Confirmed"/>
    <s v=""/>
    <x v="1"/>
    <x v="0"/>
    <m/>
    <x v="1"/>
    <x v="1"/>
    <m/>
    <n v="0"/>
    <x v="0"/>
    <s v=""/>
    <n v="1218747108.9554784"/>
  </r>
  <r>
    <x v="0"/>
    <x v="104"/>
    <x v="104"/>
    <x v="4"/>
    <x v="0"/>
    <x v="2"/>
    <x v="12"/>
    <x v="8"/>
    <n v="2021"/>
    <x v="1"/>
    <s v="N/A"/>
    <n v="0"/>
    <s v="Confirmed"/>
    <s v=""/>
    <x v="1"/>
    <x v="0"/>
    <m/>
    <x v="1"/>
    <x v="1"/>
    <m/>
    <n v="0"/>
    <x v="0"/>
    <s v=""/>
    <n v="7392665952.5895758"/>
  </r>
  <r>
    <x v="0"/>
    <x v="105"/>
    <x v="105"/>
    <x v="6"/>
    <x v="0"/>
    <x v="2"/>
    <x v="12"/>
    <x v="8"/>
    <n v="2021"/>
    <x v="1"/>
    <s v="N/A"/>
    <n v="0"/>
    <s v="Confirmed"/>
    <s v=""/>
    <x v="1"/>
    <x v="0"/>
    <m/>
    <x v="2"/>
    <x v="0"/>
    <m/>
    <n v="0"/>
    <x v="0"/>
    <s v="N/A"/>
    <n v="4754985988.6004429"/>
  </r>
  <r>
    <x v="0"/>
    <x v="106"/>
    <x v="106"/>
    <x v="1"/>
    <x v="0"/>
    <x v="2"/>
    <x v="12"/>
    <x v="8"/>
    <n v="2021"/>
    <x v="1"/>
    <s v="N/A"/>
    <n v="0"/>
    <s v="Confirmed"/>
    <s v=""/>
    <x v="1"/>
    <x v="0"/>
    <m/>
    <x v="3"/>
    <x v="1"/>
    <m/>
    <n v="0"/>
    <x v="0"/>
    <s v=""/>
    <n v="26422210443.037273"/>
  </r>
  <r>
    <x v="0"/>
    <x v="107"/>
    <x v="107"/>
    <x v="1"/>
    <x v="0"/>
    <x v="2"/>
    <x v="12"/>
    <x v="8"/>
    <n v="2021"/>
    <x v="1"/>
    <s v="N/A"/>
    <n v="0"/>
    <s v="Confirmed"/>
    <s v=""/>
    <x v="1"/>
    <x v="0"/>
    <m/>
    <x v="1"/>
    <x v="1"/>
    <m/>
    <n v="0"/>
    <x v="0"/>
    <s v=""/>
    <n v="10696495313.15033"/>
  </r>
  <r>
    <x v="0"/>
    <x v="108"/>
    <x v="108"/>
    <x v="1"/>
    <x v="0"/>
    <x v="2"/>
    <x v="12"/>
    <x v="8"/>
    <n v="2021"/>
    <x v="1"/>
    <s v="N/A"/>
    <n v="0"/>
    <s v="Confirmed"/>
    <s v=""/>
    <x v="1"/>
    <x v="0"/>
    <m/>
    <x v="1"/>
    <x v="1"/>
    <m/>
    <n v="0"/>
    <x v="0"/>
    <s v=""/>
    <n v="52769713433.240509"/>
  </r>
  <r>
    <x v="0"/>
    <x v="109"/>
    <x v="109"/>
    <x v="3"/>
    <x v="0"/>
    <x v="2"/>
    <x v="12"/>
    <x v="8"/>
    <n v="2021"/>
    <x v="1"/>
    <s v="N/A"/>
    <n v="0"/>
    <s v="Confirmed"/>
    <s v=""/>
    <x v="1"/>
    <x v="0"/>
    <m/>
    <x v="0"/>
    <x v="0"/>
    <m/>
    <n v="0"/>
    <x v="0"/>
    <s v="Moderate"/>
    <n v="225799814.51943746"/>
  </r>
  <r>
    <x v="0"/>
    <x v="110"/>
    <x v="110"/>
    <x v="6"/>
    <x v="0"/>
    <x v="2"/>
    <x v="12"/>
    <x v="8"/>
    <n v="2021"/>
    <x v="1"/>
    <s v="N/A"/>
    <n v="0"/>
    <s v="Confirmed"/>
    <s v=""/>
    <x v="1"/>
    <x v="0"/>
    <m/>
    <x v="2"/>
    <x v="0"/>
    <m/>
    <n v="0"/>
    <x v="1"/>
    <s v="High"/>
    <n v="32192988.027009469"/>
  </r>
  <r>
    <x v="0"/>
    <x v="111"/>
    <x v="111"/>
    <x v="5"/>
    <x v="0"/>
    <x v="2"/>
    <x v="12"/>
    <x v="8"/>
    <n v="2021"/>
    <x v="1"/>
    <s v="N/A"/>
    <n v="0"/>
    <s v="Confirmed"/>
    <s v=""/>
    <x v="1"/>
    <x v="0"/>
    <m/>
    <x v="2"/>
    <x v="0"/>
    <m/>
    <n v="0"/>
    <x v="1"/>
    <s v="In distress"/>
    <n v="11633535.136477679"/>
  </r>
  <r>
    <x v="0"/>
    <x v="112"/>
    <x v="112"/>
    <x v="5"/>
    <x v="0"/>
    <x v="2"/>
    <x v="12"/>
    <x v="8"/>
    <n v="2021"/>
    <x v="1"/>
    <s v="N/A"/>
    <n v="0"/>
    <s v="Confirmed"/>
    <s v=""/>
    <x v="1"/>
    <x v="0"/>
    <m/>
    <x v="2"/>
    <x v="0"/>
    <m/>
    <n v="2"/>
    <x v="0"/>
    <s v="Moderate"/>
    <n v="222008693.93354639"/>
  </r>
  <r>
    <x v="0"/>
    <x v="113"/>
    <x v="113"/>
    <x v="1"/>
    <x v="0"/>
    <x v="2"/>
    <x v="12"/>
    <x v="8"/>
    <n v="2021"/>
    <x v="1"/>
    <s v="N/A"/>
    <n v="0"/>
    <s v="Confirmed"/>
    <s v=""/>
    <x v="1"/>
    <x v="0"/>
    <m/>
    <x v="1"/>
    <x v="1"/>
    <m/>
    <n v="0"/>
    <x v="0"/>
    <s v=""/>
    <n v="2564993795.1894679"/>
  </r>
  <r>
    <x v="0"/>
    <x v="114"/>
    <x v="114"/>
    <x v="3"/>
    <x v="0"/>
    <x v="2"/>
    <x v="12"/>
    <x v="8"/>
    <n v="2021"/>
    <x v="1"/>
    <s v="N/A"/>
    <n v="0"/>
    <s v="Confirmed"/>
    <s v=""/>
    <x v="1"/>
    <x v="0"/>
    <m/>
    <x v="3"/>
    <x v="1"/>
    <m/>
    <n v="0"/>
    <x v="1"/>
    <s v="N/A"/>
    <n v="60237542.945069775"/>
  </r>
  <r>
    <x v="0"/>
    <x v="115"/>
    <x v="115"/>
    <x v="5"/>
    <x v="0"/>
    <x v="2"/>
    <x v="12"/>
    <x v="8"/>
    <n v="2021"/>
    <x v="1"/>
    <s v="N/A"/>
    <n v="0"/>
    <s v="Confirmed"/>
    <s v=""/>
    <x v="1"/>
    <x v="0"/>
    <m/>
    <x v="0"/>
    <x v="0"/>
    <m/>
    <n v="0"/>
    <x v="0"/>
    <s v="High"/>
    <n v="63738640.538260505"/>
  </r>
  <r>
    <x v="0"/>
    <x v="116"/>
    <x v="116"/>
    <x v="6"/>
    <x v="0"/>
    <x v="2"/>
    <x v="12"/>
    <x v="8"/>
    <n v="2021"/>
    <x v="1"/>
    <s v="N/A"/>
    <n v="0"/>
    <s v="Confirmed"/>
    <s v=""/>
    <x v="1"/>
    <x v="0"/>
    <m/>
    <x v="2"/>
    <x v="0"/>
    <m/>
    <n v="0"/>
    <x v="1"/>
    <s v="Moderate"/>
    <n v="49012774.055630356"/>
  </r>
  <r>
    <x v="0"/>
    <x v="117"/>
    <x v="117"/>
    <x v="3"/>
    <x v="0"/>
    <x v="2"/>
    <x v="12"/>
    <x v="8"/>
    <n v="2021"/>
    <x v="1"/>
    <s v="N/A"/>
    <n v="0"/>
    <s v="Confirmed"/>
    <s v=""/>
    <x v="1"/>
    <x v="0"/>
    <m/>
    <x v="0"/>
    <x v="0"/>
    <m/>
    <n v="1"/>
    <x v="0"/>
    <s v="In distress"/>
    <s v=""/>
  </r>
  <r>
    <x v="0"/>
    <x v="118"/>
    <x v="118"/>
    <x v="3"/>
    <x v="0"/>
    <x v="2"/>
    <x v="12"/>
    <x v="8"/>
    <n v="2021"/>
    <x v="1"/>
    <s v="N/A"/>
    <n v="0"/>
    <s v="Confirmed"/>
    <s v=""/>
    <x v="1"/>
    <x v="0"/>
    <m/>
    <x v="1"/>
    <x v="1"/>
    <m/>
    <n v="0"/>
    <x v="0"/>
    <s v="N/A"/>
    <n v="16429121142.784708"/>
  </r>
  <r>
    <x v="0"/>
    <x v="119"/>
    <x v="119"/>
    <x v="3"/>
    <x v="0"/>
    <x v="2"/>
    <x v="12"/>
    <x v="8"/>
    <n v="2021"/>
    <x v="1"/>
    <s v="N/A"/>
    <n v="0"/>
    <s v="Confirmed"/>
    <s v=""/>
    <x v="1"/>
    <x v="0"/>
    <m/>
    <x v="0"/>
    <x v="0"/>
    <m/>
    <n v="1"/>
    <x v="0"/>
    <s v="High"/>
    <n v="31684581.76217727"/>
  </r>
  <r>
    <x v="0"/>
    <x v="120"/>
    <x v="120"/>
    <x v="0"/>
    <x v="0"/>
    <x v="2"/>
    <x v="12"/>
    <x v="8"/>
    <n v="2021"/>
    <x v="1"/>
    <s v="N/A"/>
    <n v="0"/>
    <s v="Confirmed"/>
    <s v=""/>
    <x v="1"/>
    <x v="0"/>
    <m/>
    <x v="2"/>
    <x v="0"/>
    <m/>
    <n v="0"/>
    <x v="0"/>
    <s v="N/A"/>
    <n v="1373621563.5182886"/>
  </r>
  <r>
    <x v="0"/>
    <x v="121"/>
    <x v="121"/>
    <x v="4"/>
    <x v="0"/>
    <x v="2"/>
    <x v="12"/>
    <x v="8"/>
    <n v="2021"/>
    <x v="1"/>
    <s v="N/A"/>
    <n v="0"/>
    <s v="Confirmed"/>
    <s v=""/>
    <x v="1"/>
    <x v="0"/>
    <m/>
    <x v="3"/>
    <x v="1"/>
    <m/>
    <n v="0"/>
    <x v="1"/>
    <s v=""/>
    <n v="24214370.889062837"/>
  </r>
  <r>
    <x v="0"/>
    <x v="122"/>
    <x v="122"/>
    <x v="4"/>
    <x v="0"/>
    <x v="2"/>
    <x v="12"/>
    <x v="8"/>
    <n v="2021"/>
    <x v="1"/>
    <s v="N/A"/>
    <n v="0"/>
    <s v="Confirmed"/>
    <s v=""/>
    <x v="1"/>
    <x v="0"/>
    <m/>
    <x v="1"/>
    <x v="0"/>
    <m/>
    <n v="0"/>
    <x v="1"/>
    <s v="…"/>
    <n v="39941279.609447442"/>
  </r>
  <r>
    <x v="0"/>
    <x v="123"/>
    <x v="123"/>
    <x v="4"/>
    <x v="0"/>
    <x v="2"/>
    <x v="12"/>
    <x v="8"/>
    <n v="2021"/>
    <x v="1"/>
    <s v="N/A"/>
    <n v="0"/>
    <s v="Confirmed"/>
    <s v=""/>
    <x v="1"/>
    <x v="0"/>
    <m/>
    <x v="1"/>
    <x v="0"/>
    <m/>
    <n v="0"/>
    <x v="1"/>
    <s v="High"/>
    <n v="24761675.260059897"/>
  </r>
  <r>
    <x v="0"/>
    <x v="124"/>
    <x v="124"/>
    <x v="2"/>
    <x v="0"/>
    <x v="2"/>
    <x v="12"/>
    <x v="8"/>
    <n v="2021"/>
    <x v="1"/>
    <s v="N/A"/>
    <n v="0"/>
    <s v="Confirmed"/>
    <s v=""/>
    <x v="1"/>
    <x v="0"/>
    <m/>
    <x v="2"/>
    <x v="0"/>
    <m/>
    <n v="0"/>
    <x v="0"/>
    <s v="N/A"/>
    <s v=""/>
  </r>
  <r>
    <x v="0"/>
    <x v="125"/>
    <x v="125"/>
    <x v="2"/>
    <x v="0"/>
    <x v="2"/>
    <x v="12"/>
    <x v="8"/>
    <n v="2021"/>
    <x v="1"/>
    <s v="N/A"/>
    <n v="0"/>
    <s v="Confirmed"/>
    <s v=""/>
    <x v="1"/>
    <x v="0"/>
    <m/>
    <x v="0"/>
    <x v="0"/>
    <m/>
    <n v="1"/>
    <x v="0"/>
    <s v="N/A"/>
    <n v="577156172.71229994"/>
  </r>
  <r>
    <x v="0"/>
    <x v="126"/>
    <x v="126"/>
    <x v="6"/>
    <x v="0"/>
    <x v="2"/>
    <x v="12"/>
    <x v="8"/>
    <n v="2021"/>
    <x v="1"/>
    <s v="N/A"/>
    <n v="0"/>
    <s v="Confirmed"/>
    <s v=""/>
    <x v="1"/>
    <x v="0"/>
    <m/>
    <x v="1"/>
    <x v="1"/>
    <m/>
    <n v="0"/>
    <x v="1"/>
    <s v=""/>
    <n v="180052034.19851837"/>
  </r>
  <r>
    <x v="0"/>
    <x v="127"/>
    <x v="127"/>
    <x v="2"/>
    <x v="0"/>
    <x v="2"/>
    <x v="12"/>
    <x v="8"/>
    <n v="2021"/>
    <x v="1"/>
    <s v="N/A"/>
    <n v="0"/>
    <s v="Confirmed"/>
    <s v=""/>
    <x v="1"/>
    <x v="0"/>
    <m/>
    <x v="0"/>
    <x v="0"/>
    <m/>
    <n v="1"/>
    <x v="0"/>
    <s v="N/A"/>
    <s v=""/>
  </r>
  <r>
    <x v="0"/>
    <x v="128"/>
    <x v="128"/>
    <x v="1"/>
    <x v="0"/>
    <x v="2"/>
    <x v="12"/>
    <x v="8"/>
    <n v="2021"/>
    <x v="1"/>
    <s v="N/A"/>
    <n v="0"/>
    <s v="Confirmed"/>
    <s v=""/>
    <x v="1"/>
    <x v="0"/>
    <m/>
    <x v="2"/>
    <x v="0"/>
    <m/>
    <n v="0"/>
    <x v="0"/>
    <s v="High"/>
    <n v="147296124.32232863"/>
  </r>
  <r>
    <x v="0"/>
    <x v="129"/>
    <x v="129"/>
    <x v="3"/>
    <x v="0"/>
    <x v="2"/>
    <x v="12"/>
    <x v="8"/>
    <n v="2021"/>
    <x v="1"/>
    <s v="N/A"/>
    <n v="0"/>
    <s v="Confirmed"/>
    <s v=""/>
    <x v="1"/>
    <x v="0"/>
    <m/>
    <x v="2"/>
    <x v="0"/>
    <m/>
    <n v="0"/>
    <x v="0"/>
    <s v="…"/>
    <n v="890576536.83065879"/>
  </r>
  <r>
    <x v="0"/>
    <x v="130"/>
    <x v="130"/>
    <x v="6"/>
    <x v="0"/>
    <x v="2"/>
    <x v="12"/>
    <x v="8"/>
    <n v="2021"/>
    <x v="1"/>
    <s v="N/A"/>
    <n v="0"/>
    <s v="Confirmed"/>
    <s v=""/>
    <x v="1"/>
    <x v="0"/>
    <m/>
    <x v="1"/>
    <x v="1"/>
    <m/>
    <n v="0"/>
    <x v="0"/>
    <s v=""/>
    <n v="14611129792.346064"/>
  </r>
  <r>
    <x v="0"/>
    <x v="131"/>
    <x v="131"/>
    <x v="6"/>
    <x v="0"/>
    <x v="2"/>
    <x v="12"/>
    <x v="8"/>
    <n v="2021"/>
    <x v="1"/>
    <s v="N/A"/>
    <n v="0"/>
    <s v="Confirmed"/>
    <s v=""/>
    <x v="1"/>
    <x v="0"/>
    <m/>
    <x v="2"/>
    <x v="0"/>
    <m/>
    <n v="0"/>
    <x v="1"/>
    <s v="Low"/>
    <n v="72046877.233008593"/>
  </r>
  <r>
    <x v="0"/>
    <x v="132"/>
    <x v="132"/>
    <x v="5"/>
    <x v="0"/>
    <x v="2"/>
    <x v="12"/>
    <x v="8"/>
    <n v="2021"/>
    <x v="1"/>
    <s v="N/A"/>
    <n v="0"/>
    <s v="Confirmed"/>
    <s v=""/>
    <x v="1"/>
    <x v="0"/>
    <m/>
    <x v="0"/>
    <x v="0"/>
    <m/>
    <n v="0"/>
    <x v="0"/>
    <s v="High"/>
    <n v="56248139.267255567"/>
  </r>
  <r>
    <x v="0"/>
    <x v="133"/>
    <x v="133"/>
    <x v="6"/>
    <x v="0"/>
    <x v="2"/>
    <x v="12"/>
    <x v="8"/>
    <n v="2021"/>
    <x v="1"/>
    <s v="N/A"/>
    <n v="0"/>
    <s v="Confirmed"/>
    <s v=""/>
    <x v="1"/>
    <x v="0"/>
    <m/>
    <x v="1"/>
    <x v="0"/>
    <m/>
    <n v="0"/>
    <x v="1"/>
    <s v="High"/>
    <n v="15464031.712942109"/>
  </r>
  <r>
    <x v="0"/>
    <x v="134"/>
    <x v="134"/>
    <x v="4"/>
    <x v="0"/>
    <x v="2"/>
    <x v="12"/>
    <x v="8"/>
    <n v="2021"/>
    <x v="1"/>
    <s v="N/A"/>
    <n v="0"/>
    <s v="Confirmed"/>
    <s v=""/>
    <x v="1"/>
    <x v="0"/>
    <m/>
    <x v="3"/>
    <x v="1"/>
    <m/>
    <n v="0"/>
    <x v="1"/>
    <s v="N/A"/>
    <n v="769564399.33249676"/>
  </r>
  <r>
    <x v="0"/>
    <x v="135"/>
    <x v="135"/>
    <x v="2"/>
    <x v="0"/>
    <x v="2"/>
    <x v="12"/>
    <x v="8"/>
    <n v="2021"/>
    <x v="1"/>
    <s v="N/A"/>
    <n v="0"/>
    <s v="Confirmed"/>
    <s v=""/>
    <x v="1"/>
    <x v="0"/>
    <m/>
    <x v="2"/>
    <x v="0"/>
    <m/>
    <n v="0"/>
    <x v="0"/>
    <s v="N/A"/>
    <n v="1668954539.7630196"/>
  </r>
  <r>
    <x v="0"/>
    <x v="136"/>
    <x v="136"/>
    <x v="1"/>
    <x v="0"/>
    <x v="2"/>
    <x v="12"/>
    <x v="8"/>
    <n v="2021"/>
    <x v="1"/>
    <s v="N/A"/>
    <n v="0"/>
    <s v="Confirmed"/>
    <s v=""/>
    <x v="1"/>
    <x v="0"/>
    <m/>
    <x v="1"/>
    <x v="1"/>
    <m/>
    <n v="0"/>
    <x v="0"/>
    <s v=""/>
    <n v="24840920016.18832"/>
  </r>
  <r>
    <x v="0"/>
    <x v="137"/>
    <x v="137"/>
    <x v="1"/>
    <x v="0"/>
    <x v="2"/>
    <x v="12"/>
    <x v="8"/>
    <n v="2021"/>
    <x v="1"/>
    <s v="N/A"/>
    <n v="0"/>
    <s v="Confirmed"/>
    <s v=""/>
    <x v="1"/>
    <x v="0"/>
    <m/>
    <x v="1"/>
    <x v="1"/>
    <m/>
    <n v="0"/>
    <x v="0"/>
    <s v="N/A"/>
    <n v="487888462.83720118"/>
  </r>
  <r>
    <x v="0"/>
    <x v="138"/>
    <x v="138"/>
    <x v="6"/>
    <x v="0"/>
    <x v="2"/>
    <x v="12"/>
    <x v="8"/>
    <n v="2021"/>
    <x v="1"/>
    <s v="N/A"/>
    <n v="0"/>
    <s v="Confirmed"/>
    <s v=""/>
    <x v="1"/>
    <x v="0"/>
    <m/>
    <x v="1"/>
    <x v="0"/>
    <m/>
    <n v="0"/>
    <x v="1"/>
    <s v="…"/>
    <n v="6365061.1736073596"/>
  </r>
  <r>
    <x v="0"/>
    <x v="139"/>
    <x v="139"/>
    <x v="3"/>
    <x v="0"/>
    <x v="2"/>
    <x v="12"/>
    <x v="8"/>
    <n v="2021"/>
    <x v="1"/>
    <s v="N/A"/>
    <n v="0"/>
    <s v="Confirmed"/>
    <s v=""/>
    <x v="1"/>
    <x v="0"/>
    <m/>
    <x v="0"/>
    <x v="0"/>
    <m/>
    <n v="2"/>
    <x v="0"/>
    <s v="Low"/>
    <n v="291799092.90196139"/>
  </r>
  <r>
    <x v="0"/>
    <x v="140"/>
    <x v="140"/>
    <x v="1"/>
    <x v="0"/>
    <x v="2"/>
    <x v="12"/>
    <x v="8"/>
    <n v="2021"/>
    <x v="1"/>
    <s v="N/A"/>
    <n v="0"/>
    <s v="Confirmed"/>
    <s v=""/>
    <x v="1"/>
    <x v="0"/>
    <m/>
    <x v="2"/>
    <x v="0"/>
    <m/>
    <n v="0"/>
    <x v="0"/>
    <s v="N/A"/>
    <n v="4844815340.2135534"/>
  </r>
  <r>
    <x v="0"/>
    <x v="141"/>
    <x v="141"/>
    <x v="4"/>
    <x v="0"/>
    <x v="2"/>
    <x v="12"/>
    <x v="8"/>
    <n v="2021"/>
    <x v="1"/>
    <s v="N/A"/>
    <n v="0"/>
    <s v="Confirmed"/>
    <s v=""/>
    <x v="1"/>
    <x v="0"/>
    <m/>
    <x v="3"/>
    <x v="1"/>
    <m/>
    <n v="0"/>
    <x v="0"/>
    <s v=""/>
    <n v="4001891446.6871672"/>
  </r>
  <r>
    <x v="0"/>
    <x v="142"/>
    <x v="142"/>
    <x v="1"/>
    <x v="0"/>
    <x v="2"/>
    <x v="12"/>
    <x v="8"/>
    <n v="2021"/>
    <x v="1"/>
    <s v="N/A"/>
    <n v="0"/>
    <s v="Confirmed"/>
    <s v=""/>
    <x v="1"/>
    <x v="0"/>
    <m/>
    <x v="2"/>
    <x v="0"/>
    <m/>
    <n v="0"/>
    <x v="0"/>
    <s v="Low"/>
    <n v="1019800630.5853213"/>
  </r>
  <r>
    <x v="0"/>
    <x v="143"/>
    <x v="143"/>
    <x v="6"/>
    <x v="0"/>
    <x v="2"/>
    <x v="12"/>
    <x v="8"/>
    <n v="2021"/>
    <x v="1"/>
    <s v="N/A"/>
    <n v="0"/>
    <s v="Confirmed"/>
    <s v=""/>
    <x v="1"/>
    <x v="0"/>
    <m/>
    <x v="2"/>
    <x v="0"/>
    <m/>
    <n v="0"/>
    <x v="1"/>
    <s v="Moderate"/>
    <n v="19578671.310841195"/>
  </r>
  <r>
    <x v="0"/>
    <x v="144"/>
    <x v="144"/>
    <x v="4"/>
    <x v="0"/>
    <x v="2"/>
    <x v="12"/>
    <x v="8"/>
    <n v="2021"/>
    <x v="1"/>
    <s v="N/A"/>
    <n v="0"/>
    <s v="Confirmed"/>
    <s v=""/>
    <x v="1"/>
    <x v="0"/>
    <m/>
    <x v="4"/>
    <x v="1"/>
    <m/>
    <n v="0"/>
    <x v="0"/>
    <s v="N/A"/>
    <n v="3551452001.0684834"/>
  </r>
  <r>
    <x v="0"/>
    <x v="145"/>
    <x v="145"/>
    <x v="6"/>
    <x v="0"/>
    <x v="2"/>
    <x v="12"/>
    <x v="8"/>
    <n v="2021"/>
    <x v="1"/>
    <s v="N/A"/>
    <n v="0"/>
    <s v="Confirmed"/>
    <s v=""/>
    <x v="1"/>
    <x v="0"/>
    <m/>
    <x v="2"/>
    <x v="0"/>
    <m/>
    <n v="0"/>
    <x v="0"/>
    <s v="N/A"/>
    <n v="6603048821.7575006"/>
  </r>
  <r>
    <x v="0"/>
    <x v="146"/>
    <x v="146"/>
    <x v="2"/>
    <x v="0"/>
    <x v="2"/>
    <x v="12"/>
    <x v="8"/>
    <n v="2021"/>
    <x v="1"/>
    <s v="N/A"/>
    <n v="0"/>
    <s v="Confirmed"/>
    <s v=""/>
    <x v="1"/>
    <x v="0"/>
    <m/>
    <x v="0"/>
    <x v="0"/>
    <m/>
    <n v="1"/>
    <x v="0"/>
    <s v="…"/>
    <s v=""/>
  </r>
  <r>
    <x v="0"/>
    <x v="147"/>
    <x v="147"/>
    <x v="3"/>
    <x v="0"/>
    <x v="2"/>
    <x v="12"/>
    <x v="8"/>
    <n v="2021"/>
    <x v="1"/>
    <s v="N/A"/>
    <n v="0"/>
    <s v="Confirmed"/>
    <s v=""/>
    <x v="1"/>
    <x v="0"/>
    <m/>
    <x v="2"/>
    <x v="0"/>
    <m/>
    <n v="0"/>
    <x v="0"/>
    <s v="High"/>
    <n v="515352723.9821828"/>
  </r>
  <r>
    <x v="0"/>
    <x v="148"/>
    <x v="148"/>
    <x v="3"/>
    <x v="0"/>
    <x v="2"/>
    <x v="12"/>
    <x v="8"/>
    <n v="2021"/>
    <x v="1"/>
    <s v="N/A"/>
    <n v="0"/>
    <s v="Confirmed"/>
    <s v=""/>
    <x v="1"/>
    <x v="0"/>
    <m/>
    <x v="2"/>
    <x v="0"/>
    <m/>
    <n v="0"/>
    <x v="0"/>
    <s v="N/A"/>
    <n v="566711742.22428358"/>
  </r>
  <r>
    <x v="0"/>
    <x v="0"/>
    <x v="0"/>
    <x v="0"/>
    <x v="0"/>
    <x v="2"/>
    <x v="13"/>
    <x v="8"/>
    <n v="2021"/>
    <x v="1"/>
    <s v="N/A"/>
    <n v="0"/>
    <s v="Confirmed"/>
    <m/>
    <x v="1"/>
    <x v="0"/>
    <m/>
    <x v="0"/>
    <x v="0"/>
    <m/>
    <n v="1"/>
    <x v="0"/>
    <s v="High"/>
    <n v="95829480.719269618"/>
  </r>
  <r>
    <x v="0"/>
    <x v="1"/>
    <x v="1"/>
    <x v="1"/>
    <x v="0"/>
    <x v="2"/>
    <x v="13"/>
    <x v="8"/>
    <n v="2021"/>
    <x v="1"/>
    <s v="N/A"/>
    <n v="0"/>
    <s v="Confirmed"/>
    <m/>
    <x v="1"/>
    <x v="0"/>
    <m/>
    <x v="1"/>
    <x v="1"/>
    <m/>
    <n v="0"/>
    <x v="0"/>
    <s v=""/>
    <n v="427904035.52443534"/>
  </r>
  <r>
    <x v="0"/>
    <x v="2"/>
    <x v="2"/>
    <x v="2"/>
    <x v="0"/>
    <x v="2"/>
    <x v="13"/>
    <x v="8"/>
    <n v="2021"/>
    <x v="1"/>
    <s v="N/A"/>
    <n v="0"/>
    <s v="Confirmed"/>
    <m/>
    <x v="1"/>
    <x v="0"/>
    <m/>
    <x v="2"/>
    <x v="0"/>
    <m/>
    <n v="0"/>
    <x v="0"/>
    <s v="N/A"/>
    <n v="7113361022.7267885"/>
  </r>
  <r>
    <x v="0"/>
    <x v="3"/>
    <x v="3"/>
    <x v="3"/>
    <x v="0"/>
    <x v="2"/>
    <x v="13"/>
    <x v="8"/>
    <n v="2021"/>
    <x v="1"/>
    <s v="N/A"/>
    <n v="0"/>
    <s v="Confirmed"/>
    <m/>
    <x v="1"/>
    <x v="0"/>
    <m/>
    <x v="2"/>
    <x v="0"/>
    <m/>
    <n v="0"/>
    <x v="0"/>
    <s v="…"/>
    <n v="1131865946.5875781"/>
  </r>
  <r>
    <x v="0"/>
    <x v="4"/>
    <x v="4"/>
    <x v="4"/>
    <x v="0"/>
    <x v="2"/>
    <x v="13"/>
    <x v="8"/>
    <n v="2021"/>
    <x v="1"/>
    <s v="N/A"/>
    <n v="0"/>
    <s v="Confirmed"/>
    <m/>
    <x v="1"/>
    <x v="0"/>
    <m/>
    <x v="3"/>
    <x v="1"/>
    <m/>
    <n v="0"/>
    <x v="1"/>
    <s v=""/>
    <n v="46777779.823447868"/>
  </r>
  <r>
    <x v="0"/>
    <x v="5"/>
    <x v="5"/>
    <x v="4"/>
    <x v="0"/>
    <x v="2"/>
    <x v="13"/>
    <x v="8"/>
    <n v="2021"/>
    <x v="1"/>
    <s v="N/A"/>
    <n v="0"/>
    <s v="Confirmed"/>
    <m/>
    <x v="1"/>
    <x v="0"/>
    <m/>
    <x v="1"/>
    <x v="1"/>
    <m/>
    <n v="0"/>
    <x v="0"/>
    <s v=""/>
    <n v="30725305777.596794"/>
  </r>
  <r>
    <x v="0"/>
    <x v="6"/>
    <x v="6"/>
    <x v="1"/>
    <x v="0"/>
    <x v="2"/>
    <x v="13"/>
    <x v="8"/>
    <n v="2021"/>
    <x v="1"/>
    <s v="N/A"/>
    <n v="0"/>
    <s v="Confirmed"/>
    <m/>
    <x v="1"/>
    <x v="0"/>
    <m/>
    <x v="1"/>
    <x v="1"/>
    <m/>
    <n v="0"/>
    <x v="0"/>
    <s v=""/>
    <n v="153815827.8380394"/>
  </r>
  <r>
    <x v="0"/>
    <x v="7"/>
    <x v="7"/>
    <x v="1"/>
    <x v="0"/>
    <x v="2"/>
    <x v="13"/>
    <x v="8"/>
    <n v="2021"/>
    <x v="1"/>
    <s v="N/A"/>
    <n v="0"/>
    <s v="Confirmed"/>
    <m/>
    <x v="1"/>
    <x v="0"/>
    <m/>
    <x v="1"/>
    <x v="1"/>
    <m/>
    <n v="0"/>
    <x v="0"/>
    <s v="N/A"/>
    <n v="437525105.31216973"/>
  </r>
  <r>
    <x v="0"/>
    <x v="8"/>
    <x v="8"/>
    <x v="4"/>
    <x v="0"/>
    <x v="2"/>
    <x v="13"/>
    <x v="8"/>
    <n v="2021"/>
    <x v="1"/>
    <s v="N/A"/>
    <n v="0"/>
    <s v="Confirmed"/>
    <m/>
    <x v="1"/>
    <x v="0"/>
    <m/>
    <x v="3"/>
    <x v="1"/>
    <m/>
    <n v="0"/>
    <x v="1"/>
    <s v=""/>
    <n v="149463302.00602186"/>
  </r>
  <r>
    <x v="0"/>
    <x v="9"/>
    <x v="9"/>
    <x v="0"/>
    <x v="0"/>
    <x v="2"/>
    <x v="13"/>
    <x v="8"/>
    <n v="2021"/>
    <x v="1"/>
    <s v="N/A"/>
    <n v="0"/>
    <s v="Confirmed"/>
    <m/>
    <x v="1"/>
    <x v="0"/>
    <m/>
    <x v="2"/>
    <x v="0"/>
    <m/>
    <n v="0"/>
    <x v="0"/>
    <s v="Low"/>
    <n v="1148322593.9600098"/>
  </r>
  <r>
    <x v="0"/>
    <x v="10"/>
    <x v="10"/>
    <x v="1"/>
    <x v="0"/>
    <x v="2"/>
    <x v="13"/>
    <x v="8"/>
    <n v="2021"/>
    <x v="1"/>
    <s v="N/A"/>
    <n v="0"/>
    <s v="Confirmed"/>
    <m/>
    <x v="1"/>
    <x v="0"/>
    <m/>
    <x v="1"/>
    <x v="1"/>
    <m/>
    <n v="0"/>
    <x v="0"/>
    <s v=""/>
    <n v="2371102058.1093163"/>
  </r>
  <r>
    <x v="0"/>
    <x v="11"/>
    <x v="11"/>
    <x v="4"/>
    <x v="0"/>
    <x v="2"/>
    <x v="13"/>
    <x v="8"/>
    <n v="2021"/>
    <x v="1"/>
    <s v="N/A"/>
    <n v="0"/>
    <s v="Confirmed"/>
    <m/>
    <x v="1"/>
    <x v="0"/>
    <m/>
    <x v="2"/>
    <x v="1"/>
    <m/>
    <n v="0"/>
    <x v="1"/>
    <s v="N/A"/>
    <n v="75151620.005215243"/>
  </r>
  <r>
    <x v="0"/>
    <x v="12"/>
    <x v="12"/>
    <x v="5"/>
    <x v="0"/>
    <x v="2"/>
    <x v="13"/>
    <x v="8"/>
    <n v="2021"/>
    <x v="1"/>
    <s v="N/A"/>
    <n v="0"/>
    <s v="Confirmed"/>
    <m/>
    <x v="1"/>
    <x v="0"/>
    <m/>
    <x v="2"/>
    <x v="0"/>
    <m/>
    <n v="0"/>
    <x v="0"/>
    <s v="Moderate"/>
    <n v="69958487.197715744"/>
  </r>
  <r>
    <x v="0"/>
    <x v="13"/>
    <x v="13"/>
    <x v="0"/>
    <x v="0"/>
    <x v="2"/>
    <x v="13"/>
    <x v="8"/>
    <n v="2021"/>
    <x v="1"/>
    <s v="N/A"/>
    <n v="0"/>
    <s v="Confirmed"/>
    <m/>
    <x v="1"/>
    <x v="0"/>
    <m/>
    <x v="2"/>
    <x v="0"/>
    <m/>
    <n v="0"/>
    <x v="0"/>
    <s v="…"/>
    <n v="61654608.560629159"/>
  </r>
  <r>
    <x v="0"/>
    <x v="14"/>
    <x v="14"/>
    <x v="4"/>
    <x v="0"/>
    <x v="2"/>
    <x v="13"/>
    <x v="8"/>
    <n v="2021"/>
    <x v="1"/>
    <s v="N/A"/>
    <n v="0"/>
    <s v="Confirmed"/>
    <m/>
    <x v="1"/>
    <x v="0"/>
    <m/>
    <x v="2"/>
    <x v="0"/>
    <m/>
    <n v="0"/>
    <x v="0"/>
    <s v="N/A"/>
    <n v="1806638707.7615163"/>
  </r>
  <r>
    <x v="0"/>
    <x v="15"/>
    <x v="15"/>
    <x v="1"/>
    <x v="0"/>
    <x v="2"/>
    <x v="13"/>
    <x v="8"/>
    <n v="2021"/>
    <x v="1"/>
    <s v="N/A"/>
    <n v="0"/>
    <s v="Confirmed"/>
    <m/>
    <x v="1"/>
    <x v="0"/>
    <m/>
    <x v="1"/>
    <x v="1"/>
    <m/>
    <n v="0"/>
    <x v="0"/>
    <s v="N/A"/>
    <n v="1252696525.0627904"/>
  </r>
  <r>
    <x v="0"/>
    <x v="16"/>
    <x v="16"/>
    <x v="3"/>
    <x v="0"/>
    <x v="2"/>
    <x v="13"/>
    <x v="8"/>
    <n v="2021"/>
    <x v="1"/>
    <s v="N/A"/>
    <n v="0"/>
    <s v="Confirmed"/>
    <m/>
    <x v="1"/>
    <x v="0"/>
    <m/>
    <x v="1"/>
    <x v="1"/>
    <m/>
    <n v="0"/>
    <x v="0"/>
    <s v=""/>
    <n v="843425084.07334602"/>
  </r>
  <r>
    <x v="0"/>
    <x v="17"/>
    <x v="17"/>
    <x v="4"/>
    <x v="0"/>
    <x v="2"/>
    <x v="13"/>
    <x v="8"/>
    <n v="2021"/>
    <x v="1"/>
    <s v="N/A"/>
    <n v="0"/>
    <s v="Confirmed"/>
    <m/>
    <x v="1"/>
    <x v="0"/>
    <m/>
    <x v="1"/>
    <x v="1"/>
    <m/>
    <n v="0"/>
    <x v="0"/>
    <s v="N/A"/>
    <n v="74055620038.853683"/>
  </r>
  <r>
    <x v="0"/>
    <x v="18"/>
    <x v="18"/>
    <x v="1"/>
    <x v="0"/>
    <x v="2"/>
    <x v="13"/>
    <x v="8"/>
    <n v="2021"/>
    <x v="1"/>
    <s v="N/A"/>
    <n v="0"/>
    <s v="Confirmed"/>
    <m/>
    <x v="1"/>
    <x v="0"/>
    <m/>
    <x v="1"/>
    <x v="1"/>
    <m/>
    <n v="0"/>
    <x v="0"/>
    <s v=""/>
    <n v="2803357765.5888777"/>
  </r>
  <r>
    <x v="0"/>
    <x v="19"/>
    <x v="19"/>
    <x v="5"/>
    <x v="0"/>
    <x v="2"/>
    <x v="13"/>
    <x v="8"/>
    <n v="2021"/>
    <x v="1"/>
    <s v="N/A"/>
    <n v="0"/>
    <s v="Confirmed"/>
    <m/>
    <x v="1"/>
    <x v="0"/>
    <m/>
    <x v="0"/>
    <x v="0"/>
    <m/>
    <n v="2"/>
    <x v="0"/>
    <s v="Moderate"/>
    <n v="337927779.25510043"/>
  </r>
  <r>
    <x v="0"/>
    <x v="20"/>
    <x v="20"/>
    <x v="3"/>
    <x v="0"/>
    <x v="2"/>
    <x v="13"/>
    <x v="8"/>
    <n v="2021"/>
    <x v="1"/>
    <s v="N/A"/>
    <n v="0"/>
    <s v="Confirmed"/>
    <m/>
    <x v="1"/>
    <x v="0"/>
    <m/>
    <x v="0"/>
    <x v="0"/>
    <m/>
    <n v="2"/>
    <x v="0"/>
    <s v="…"/>
    <n v="65979512.47399316"/>
  </r>
  <r>
    <x v="0"/>
    <x v="21"/>
    <x v="21"/>
    <x v="5"/>
    <x v="0"/>
    <x v="2"/>
    <x v="13"/>
    <x v="8"/>
    <n v="2021"/>
    <x v="1"/>
    <s v="N/A"/>
    <n v="0"/>
    <s v="Confirmed"/>
    <m/>
    <x v="1"/>
    <x v="0"/>
    <m/>
    <x v="2"/>
    <x v="0"/>
    <m/>
    <n v="0"/>
    <x v="1"/>
    <s v="High"/>
    <n v="63748362.778827004"/>
  </r>
  <r>
    <x v="0"/>
    <x v="22"/>
    <x v="22"/>
    <x v="6"/>
    <x v="0"/>
    <x v="2"/>
    <x v="13"/>
    <x v="8"/>
    <n v="2021"/>
    <x v="1"/>
    <s v="N/A"/>
    <n v="279000"/>
    <s v="Confirmed"/>
    <m/>
    <x v="1"/>
    <x v="0"/>
    <m/>
    <x v="2"/>
    <x v="0"/>
    <m/>
    <n v="0"/>
    <x v="0"/>
    <s v="Low"/>
    <n v="313039649.45369786"/>
  </r>
  <r>
    <x v="0"/>
    <x v="23"/>
    <x v="23"/>
    <x v="5"/>
    <x v="0"/>
    <x v="2"/>
    <x v="13"/>
    <x v="8"/>
    <n v="2021"/>
    <x v="1"/>
    <s v="N/A"/>
    <n v="0"/>
    <s v="Confirmed"/>
    <m/>
    <x v="1"/>
    <x v="0"/>
    <m/>
    <x v="2"/>
    <x v="0"/>
    <m/>
    <n v="2"/>
    <x v="0"/>
    <s v="High"/>
    <n v="81361801.477472037"/>
  </r>
  <r>
    <x v="0"/>
    <x v="24"/>
    <x v="24"/>
    <x v="5"/>
    <x v="0"/>
    <x v="2"/>
    <x v="13"/>
    <x v="8"/>
    <n v="2021"/>
    <x v="1"/>
    <s v="N/A"/>
    <n v="0"/>
    <s v="Confirmed"/>
    <m/>
    <x v="1"/>
    <x v="0"/>
    <m/>
    <x v="0"/>
    <x v="0"/>
    <m/>
    <n v="1"/>
    <x v="0"/>
    <s v="High"/>
    <s v=""/>
  </r>
  <r>
    <x v="0"/>
    <x v="25"/>
    <x v="25"/>
    <x v="5"/>
    <x v="0"/>
    <x v="2"/>
    <x v="13"/>
    <x v="8"/>
    <n v="2021"/>
    <x v="1"/>
    <s v="N/A"/>
    <n v="0"/>
    <s v="Confirmed"/>
    <m/>
    <x v="1"/>
    <x v="0"/>
    <m/>
    <x v="0"/>
    <x v="0"/>
    <m/>
    <n v="1"/>
    <x v="0"/>
    <s v="High"/>
    <n v="76939306.715636879"/>
  </r>
  <r>
    <x v="0"/>
    <x v="26"/>
    <x v="26"/>
    <x v="4"/>
    <x v="0"/>
    <x v="2"/>
    <x v="13"/>
    <x v="8"/>
    <n v="2021"/>
    <x v="1"/>
    <s v="N/A"/>
    <n v="0"/>
    <s v="Confirmed"/>
    <m/>
    <x v="1"/>
    <x v="0"/>
    <m/>
    <x v="3"/>
    <x v="1"/>
    <m/>
    <n v="0"/>
    <x v="0"/>
    <s v=""/>
    <n v="13859708717.682571"/>
  </r>
  <r>
    <x v="0"/>
    <x v="27"/>
    <x v="27"/>
    <x v="6"/>
    <x v="0"/>
    <x v="2"/>
    <x v="13"/>
    <x v="8"/>
    <n v="2021"/>
    <x v="1"/>
    <s v="N/A"/>
    <n v="0"/>
    <s v="Confirmed"/>
    <m/>
    <x v="1"/>
    <x v="0"/>
    <m/>
    <x v="1"/>
    <x v="1"/>
    <m/>
    <n v="0"/>
    <x v="0"/>
    <s v=""/>
    <n v="403567160707.7016"/>
  </r>
  <r>
    <x v="0"/>
    <x v="28"/>
    <x v="28"/>
    <x v="4"/>
    <x v="0"/>
    <x v="2"/>
    <x v="13"/>
    <x v="8"/>
    <n v="2021"/>
    <x v="1"/>
    <s v="N/A"/>
    <n v="0"/>
    <s v="Confirmed"/>
    <m/>
    <x v="1"/>
    <x v="0"/>
    <m/>
    <x v="1"/>
    <x v="1"/>
    <m/>
    <n v="0"/>
    <x v="0"/>
    <s v=""/>
    <n v="18250225995.972618"/>
  </r>
  <r>
    <x v="0"/>
    <x v="29"/>
    <x v="29"/>
    <x v="3"/>
    <x v="0"/>
    <x v="2"/>
    <x v="13"/>
    <x v="8"/>
    <n v="2021"/>
    <x v="1"/>
    <s v="N/A"/>
    <n v="0"/>
    <s v="Confirmed"/>
    <m/>
    <x v="1"/>
    <x v="0"/>
    <m/>
    <x v="2"/>
    <x v="0"/>
    <m/>
    <n v="0"/>
    <x v="1"/>
    <s v="Moderate"/>
    <n v="5027591.1682657599"/>
  </r>
  <r>
    <x v="0"/>
    <x v="30"/>
    <x v="30"/>
    <x v="5"/>
    <x v="0"/>
    <x v="2"/>
    <x v="13"/>
    <x v="8"/>
    <n v="2021"/>
    <x v="1"/>
    <s v="N/A"/>
    <n v="0"/>
    <s v="Confirmed"/>
    <m/>
    <x v="1"/>
    <x v="0"/>
    <m/>
    <x v="0"/>
    <x v="0"/>
    <m/>
    <n v="3"/>
    <x v="0"/>
    <s v="Moderate"/>
    <n v="234645958.63289919"/>
  </r>
  <r>
    <x v="0"/>
    <x v="31"/>
    <x v="31"/>
    <x v="5"/>
    <x v="0"/>
    <x v="2"/>
    <x v="13"/>
    <x v="8"/>
    <n v="2021"/>
    <x v="1"/>
    <s v="N/A"/>
    <n v="0"/>
    <s v="Confirmed"/>
    <m/>
    <x v="1"/>
    <x v="0"/>
    <m/>
    <x v="2"/>
    <x v="0"/>
    <m/>
    <n v="2"/>
    <x v="0"/>
    <s v="In distress"/>
    <n v="91590910.247314155"/>
  </r>
  <r>
    <x v="0"/>
    <x v="32"/>
    <x v="32"/>
    <x v="6"/>
    <x v="0"/>
    <x v="2"/>
    <x v="13"/>
    <x v="8"/>
    <n v="2021"/>
    <x v="1"/>
    <s v="N/A"/>
    <n v="0"/>
    <s v="Confirmed"/>
    <m/>
    <x v="1"/>
    <x v="0"/>
    <m/>
    <x v="4"/>
    <x v="1"/>
    <m/>
    <n v="0"/>
    <x v="1"/>
    <s v="N/A"/>
    <n v="8560012.8840167802"/>
  </r>
  <r>
    <x v="0"/>
    <x v="33"/>
    <x v="33"/>
    <x v="4"/>
    <x v="0"/>
    <x v="2"/>
    <x v="13"/>
    <x v="8"/>
    <n v="2021"/>
    <x v="1"/>
    <s v="N/A"/>
    <n v="0"/>
    <s v="Confirmed"/>
    <m/>
    <x v="1"/>
    <x v="0"/>
    <m/>
    <x v="1"/>
    <x v="1"/>
    <m/>
    <n v="0"/>
    <x v="0"/>
    <s v="N/A"/>
    <n v="3292372960.3962669"/>
  </r>
  <r>
    <x v="0"/>
    <x v="34"/>
    <x v="34"/>
    <x v="5"/>
    <x v="0"/>
    <x v="2"/>
    <x v="13"/>
    <x v="8"/>
    <n v="2021"/>
    <x v="1"/>
    <s v="N/A"/>
    <n v="0"/>
    <s v="Confirmed"/>
    <m/>
    <x v="1"/>
    <x v="0"/>
    <m/>
    <x v="2"/>
    <x v="0"/>
    <m/>
    <n v="0"/>
    <x v="0"/>
    <s v="Moderate"/>
    <n v="519209981.22981054"/>
  </r>
  <r>
    <x v="0"/>
    <x v="35"/>
    <x v="35"/>
    <x v="1"/>
    <x v="0"/>
    <x v="2"/>
    <x v="13"/>
    <x v="8"/>
    <n v="2021"/>
    <x v="1"/>
    <s v="N/A"/>
    <n v="0"/>
    <s v="Confirmed"/>
    <m/>
    <x v="1"/>
    <x v="0"/>
    <m/>
    <x v="3"/>
    <x v="1"/>
    <m/>
    <n v="0"/>
    <x v="0"/>
    <s v=""/>
    <n v="3464739907.1604805"/>
  </r>
  <r>
    <x v="0"/>
    <x v="36"/>
    <x v="36"/>
    <x v="4"/>
    <x v="0"/>
    <x v="2"/>
    <x v="13"/>
    <x v="8"/>
    <n v="2021"/>
    <x v="1"/>
    <s v="N/A"/>
    <n v="0"/>
    <s v="Confirmed"/>
    <m/>
    <x v="1"/>
    <x v="0"/>
    <m/>
    <x v="1"/>
    <x v="1"/>
    <m/>
    <n v="0"/>
    <x v="1"/>
    <s v=""/>
    <n v="9948521252.2569065"/>
  </r>
  <r>
    <x v="0"/>
    <x v="37"/>
    <x v="37"/>
    <x v="2"/>
    <x v="0"/>
    <x v="2"/>
    <x v="13"/>
    <x v="8"/>
    <n v="2021"/>
    <x v="1"/>
    <s v="N/A"/>
    <n v="0"/>
    <s v="Confirmed"/>
    <m/>
    <x v="1"/>
    <x v="0"/>
    <m/>
    <x v="2"/>
    <x v="0"/>
    <m/>
    <n v="1"/>
    <x v="0"/>
    <s v="High"/>
    <n v="33679192.765657313"/>
  </r>
  <r>
    <x v="0"/>
    <x v="38"/>
    <x v="38"/>
    <x v="4"/>
    <x v="0"/>
    <x v="2"/>
    <x v="13"/>
    <x v="8"/>
    <n v="2021"/>
    <x v="1"/>
    <s v="N/A"/>
    <n v="0"/>
    <s v="Confirmed"/>
    <m/>
    <x v="1"/>
    <x v="0"/>
    <m/>
    <x v="1"/>
    <x v="0"/>
    <m/>
    <n v="0"/>
    <x v="1"/>
    <s v="…"/>
    <n v="22784494.365742501"/>
  </r>
  <r>
    <x v="0"/>
    <x v="39"/>
    <x v="39"/>
    <x v="4"/>
    <x v="0"/>
    <x v="2"/>
    <x v="13"/>
    <x v="8"/>
    <n v="2021"/>
    <x v="1"/>
    <s v="N/A"/>
    <n v="0"/>
    <s v="Confirmed"/>
    <m/>
    <x v="1"/>
    <x v="0"/>
    <m/>
    <x v="1"/>
    <x v="1"/>
    <m/>
    <n v="0"/>
    <x v="1"/>
    <s v=""/>
    <n v="2173208011.4858823"/>
  </r>
  <r>
    <x v="0"/>
    <x v="40"/>
    <x v="40"/>
    <x v="4"/>
    <x v="0"/>
    <x v="2"/>
    <x v="13"/>
    <x v="8"/>
    <n v="2021"/>
    <x v="1"/>
    <s v="N/A"/>
    <n v="0"/>
    <s v="Confirmed"/>
    <m/>
    <x v="1"/>
    <x v="0"/>
    <m/>
    <x v="1"/>
    <x v="1"/>
    <m/>
    <n v="0"/>
    <x v="0"/>
    <s v="N/A"/>
    <n v="4585736158.8323269"/>
  </r>
  <r>
    <x v="0"/>
    <x v="41"/>
    <x v="41"/>
    <x v="2"/>
    <x v="0"/>
    <x v="2"/>
    <x v="13"/>
    <x v="8"/>
    <n v="2021"/>
    <x v="1"/>
    <s v="N/A"/>
    <n v="0"/>
    <s v="Confirmed"/>
    <m/>
    <x v="1"/>
    <x v="0"/>
    <m/>
    <x v="2"/>
    <x v="0"/>
    <m/>
    <n v="0"/>
    <x v="0"/>
    <s v="N/A"/>
    <n v="3550291584.8645592"/>
  </r>
  <r>
    <x v="0"/>
    <x v="42"/>
    <x v="42"/>
    <x v="4"/>
    <x v="0"/>
    <x v="2"/>
    <x v="13"/>
    <x v="8"/>
    <n v="2021"/>
    <x v="1"/>
    <s v="N/A"/>
    <n v="40000"/>
    <s v="Confirmed"/>
    <m/>
    <x v="1"/>
    <x v="0"/>
    <m/>
    <x v="2"/>
    <x v="0"/>
    <m/>
    <n v="0"/>
    <x v="0"/>
    <s v="N/A"/>
    <n v="1182840319.0410969"/>
  </r>
  <r>
    <x v="0"/>
    <x v="43"/>
    <x v="43"/>
    <x v="4"/>
    <x v="0"/>
    <x v="2"/>
    <x v="13"/>
    <x v="8"/>
    <n v="2021"/>
    <x v="1"/>
    <s v="N/A"/>
    <n v="0"/>
    <s v="Confirmed"/>
    <m/>
    <x v="1"/>
    <x v="0"/>
    <m/>
    <x v="1"/>
    <x v="1"/>
    <m/>
    <n v="0"/>
    <x v="0"/>
    <s v=""/>
    <n v="81728347.604567245"/>
  </r>
  <r>
    <x v="0"/>
    <x v="44"/>
    <x v="44"/>
    <x v="3"/>
    <x v="0"/>
    <x v="2"/>
    <x v="13"/>
    <x v="8"/>
    <n v="2021"/>
    <x v="1"/>
    <s v="N/A"/>
    <n v="0"/>
    <s v="Confirmed"/>
    <m/>
    <x v="1"/>
    <x v="0"/>
    <m/>
    <x v="0"/>
    <x v="0"/>
    <m/>
    <n v="2"/>
    <x v="0"/>
    <s v="N/A"/>
    <n v="12787914.977715338"/>
  </r>
  <r>
    <x v="0"/>
    <x v="45"/>
    <x v="45"/>
    <x v="3"/>
    <x v="0"/>
    <x v="2"/>
    <x v="13"/>
    <x v="8"/>
    <n v="2021"/>
    <x v="1"/>
    <s v="N/A"/>
    <n v="0"/>
    <s v="Confirmed"/>
    <m/>
    <x v="1"/>
    <x v="0"/>
    <m/>
    <x v="2"/>
    <x v="0"/>
    <m/>
    <n v="2"/>
    <x v="0"/>
    <s v="N/A"/>
    <n v="101271737.65410839"/>
  </r>
  <r>
    <x v="0"/>
    <x v="46"/>
    <x v="46"/>
    <x v="3"/>
    <x v="0"/>
    <x v="2"/>
    <x v="13"/>
    <x v="8"/>
    <n v="2021"/>
    <x v="1"/>
    <s v="N/A"/>
    <n v="0"/>
    <s v="Confirmed"/>
    <m/>
    <x v="1"/>
    <x v="0"/>
    <m/>
    <x v="0"/>
    <x v="0"/>
    <m/>
    <n v="3"/>
    <x v="0"/>
    <s v="High"/>
    <n v="618344226.71759331"/>
  </r>
  <r>
    <x v="0"/>
    <x v="47"/>
    <x v="47"/>
    <x v="6"/>
    <x v="0"/>
    <x v="2"/>
    <x v="13"/>
    <x v="8"/>
    <n v="2021"/>
    <x v="1"/>
    <s v="N/A"/>
    <n v="0"/>
    <s v="Confirmed"/>
    <m/>
    <x v="1"/>
    <x v="0"/>
    <m/>
    <x v="1"/>
    <x v="0"/>
    <m/>
    <n v="0"/>
    <x v="1"/>
    <s v="…"/>
    <n v="129483872.95906857"/>
  </r>
  <r>
    <x v="0"/>
    <x v="48"/>
    <x v="48"/>
    <x v="5"/>
    <x v="0"/>
    <x v="2"/>
    <x v="13"/>
    <x v="8"/>
    <n v="2021"/>
    <x v="1"/>
    <s v="N/A"/>
    <n v="0"/>
    <s v="Confirmed"/>
    <m/>
    <x v="1"/>
    <x v="0"/>
    <m/>
    <x v="1"/>
    <x v="1"/>
    <m/>
    <n v="0"/>
    <x v="0"/>
    <s v="N/A"/>
    <n v="271184658.35014349"/>
  </r>
  <r>
    <x v="0"/>
    <x v="49"/>
    <x v="49"/>
    <x v="5"/>
    <x v="0"/>
    <x v="2"/>
    <x v="13"/>
    <x v="8"/>
    <n v="2021"/>
    <x v="1"/>
    <s v="N/A"/>
    <n v="0"/>
    <s v="Confirmed"/>
    <m/>
    <x v="1"/>
    <x v="0"/>
    <m/>
    <x v="0"/>
    <x v="0"/>
    <m/>
    <n v="0"/>
    <x v="0"/>
    <s v="High"/>
    <n v="15455265.086884515"/>
  </r>
  <r>
    <x v="0"/>
    <x v="50"/>
    <x v="50"/>
    <x v="1"/>
    <x v="0"/>
    <x v="2"/>
    <x v="13"/>
    <x v="8"/>
    <n v="2021"/>
    <x v="1"/>
    <s v="N/A"/>
    <n v="0"/>
    <s v="Confirmed"/>
    <m/>
    <x v="1"/>
    <x v="0"/>
    <m/>
    <x v="1"/>
    <x v="1"/>
    <m/>
    <n v="0"/>
    <x v="0"/>
    <s v="N/A"/>
    <n v="494021502.525527"/>
  </r>
  <r>
    <x v="0"/>
    <x v="51"/>
    <x v="51"/>
    <x v="5"/>
    <x v="0"/>
    <x v="2"/>
    <x v="13"/>
    <x v="8"/>
    <n v="2021"/>
    <x v="1"/>
    <s v="N/A"/>
    <n v="0"/>
    <s v="Confirmed"/>
    <m/>
    <x v="1"/>
    <x v="0"/>
    <m/>
    <x v="2"/>
    <x v="0"/>
    <m/>
    <n v="0"/>
    <x v="0"/>
    <s v="High"/>
    <n v="902005621.73836684"/>
  </r>
  <r>
    <x v="0"/>
    <x v="52"/>
    <x v="52"/>
    <x v="4"/>
    <x v="0"/>
    <x v="2"/>
    <x v="13"/>
    <x v="8"/>
    <n v="2021"/>
    <x v="1"/>
    <s v="N/A"/>
    <n v="0"/>
    <s v="Confirmed"/>
    <m/>
    <x v="1"/>
    <x v="0"/>
    <m/>
    <x v="1"/>
    <x v="0"/>
    <m/>
    <n v="0"/>
    <x v="1"/>
    <s v="In distress"/>
    <n v="20201670.142996579"/>
  </r>
  <r>
    <x v="0"/>
    <x v="53"/>
    <x v="53"/>
    <x v="4"/>
    <x v="0"/>
    <x v="2"/>
    <x v="13"/>
    <x v="8"/>
    <n v="2021"/>
    <x v="1"/>
    <s v="N/A"/>
    <n v="0"/>
    <s v="Confirmed"/>
    <m/>
    <x v="1"/>
    <x v="0"/>
    <m/>
    <x v="1"/>
    <x v="1"/>
    <m/>
    <n v="0"/>
    <x v="0"/>
    <s v=""/>
    <n v="1612434649.6948864"/>
  </r>
  <r>
    <x v="0"/>
    <x v="54"/>
    <x v="54"/>
    <x v="5"/>
    <x v="0"/>
    <x v="2"/>
    <x v="13"/>
    <x v="8"/>
    <n v="2021"/>
    <x v="1"/>
    <s v="N/A"/>
    <n v="0"/>
    <s v="Confirmed"/>
    <m/>
    <x v="1"/>
    <x v="0"/>
    <m/>
    <x v="0"/>
    <x v="0"/>
    <m/>
    <n v="0"/>
    <x v="0"/>
    <s v="Moderate"/>
    <n v="78203134.118229344"/>
  </r>
  <r>
    <x v="0"/>
    <x v="55"/>
    <x v="55"/>
    <x v="5"/>
    <x v="0"/>
    <x v="2"/>
    <x v="13"/>
    <x v="8"/>
    <n v="2021"/>
    <x v="1"/>
    <s v="N/A"/>
    <n v="0"/>
    <s v="Confirmed"/>
    <m/>
    <x v="1"/>
    <x v="0"/>
    <m/>
    <x v="0"/>
    <x v="0"/>
    <m/>
    <n v="2"/>
    <x v="1"/>
    <s v="High"/>
    <n v="9151637.7411015611"/>
  </r>
  <r>
    <x v="0"/>
    <x v="56"/>
    <x v="56"/>
    <x v="4"/>
    <x v="0"/>
    <x v="2"/>
    <x v="13"/>
    <x v="8"/>
    <n v="2021"/>
    <x v="1"/>
    <s v="N/A"/>
    <n v="0"/>
    <s v="Confirmed"/>
    <m/>
    <x v="1"/>
    <x v="0"/>
    <m/>
    <x v="1"/>
    <x v="0"/>
    <m/>
    <n v="0"/>
    <x v="1"/>
    <s v="Moderate"/>
    <n v="142455920.02856269"/>
  </r>
  <r>
    <x v="0"/>
    <x v="57"/>
    <x v="57"/>
    <x v="4"/>
    <x v="0"/>
    <x v="2"/>
    <x v="13"/>
    <x v="8"/>
    <n v="2021"/>
    <x v="1"/>
    <s v="N/A"/>
    <n v="0"/>
    <s v="Confirmed"/>
    <m/>
    <x v="1"/>
    <x v="0"/>
    <m/>
    <x v="2"/>
    <x v="0"/>
    <m/>
    <n v="1"/>
    <x v="1"/>
    <s v="High"/>
    <n v="85611818.171245083"/>
  </r>
  <r>
    <x v="0"/>
    <x v="58"/>
    <x v="58"/>
    <x v="4"/>
    <x v="0"/>
    <x v="2"/>
    <x v="13"/>
    <x v="8"/>
    <n v="2021"/>
    <x v="1"/>
    <s v="N/A"/>
    <n v="0"/>
    <s v="Confirmed"/>
    <m/>
    <x v="1"/>
    <x v="0"/>
    <m/>
    <x v="2"/>
    <x v="0"/>
    <m/>
    <n v="0"/>
    <x v="0"/>
    <s v="Low"/>
    <n v="680289736.30082119"/>
  </r>
  <r>
    <x v="0"/>
    <x v="59"/>
    <x v="59"/>
    <x v="0"/>
    <x v="0"/>
    <x v="2"/>
    <x v="13"/>
    <x v="8"/>
    <n v="2021"/>
    <x v="1"/>
    <s v="N/A"/>
    <n v="0"/>
    <s v="Confirmed"/>
    <m/>
    <x v="1"/>
    <x v="0"/>
    <m/>
    <x v="2"/>
    <x v="0"/>
    <m/>
    <n v="0"/>
    <x v="0"/>
    <s v="N/A"/>
    <n v="26554332750.47023"/>
  </r>
  <r>
    <x v="0"/>
    <x v="60"/>
    <x v="60"/>
    <x v="6"/>
    <x v="0"/>
    <x v="2"/>
    <x v="13"/>
    <x v="8"/>
    <n v="2021"/>
    <x v="1"/>
    <s v="N/A"/>
    <n v="0"/>
    <s v="Confirmed"/>
    <m/>
    <x v="1"/>
    <x v="0"/>
    <m/>
    <x v="2"/>
    <x v="0"/>
    <m/>
    <n v="0"/>
    <x v="0"/>
    <s v="N/A"/>
    <n v="14745961064.890842"/>
  </r>
  <r>
    <x v="0"/>
    <x v="61"/>
    <x v="61"/>
    <x v="2"/>
    <x v="0"/>
    <x v="2"/>
    <x v="13"/>
    <x v="8"/>
    <n v="2021"/>
    <x v="1"/>
    <s v="N/A"/>
    <n v="0"/>
    <s v="Confirmed"/>
    <m/>
    <x v="1"/>
    <x v="0"/>
    <m/>
    <x v="2"/>
    <x v="1"/>
    <m/>
    <n v="0"/>
    <x v="0"/>
    <s v="N/A"/>
    <n v="18194076299.786381"/>
  </r>
  <r>
    <x v="0"/>
    <x v="62"/>
    <x v="62"/>
    <x v="2"/>
    <x v="0"/>
    <x v="2"/>
    <x v="13"/>
    <x v="8"/>
    <n v="2021"/>
    <x v="1"/>
    <s v="N/A"/>
    <n v="0"/>
    <s v="Confirmed"/>
    <m/>
    <x v="1"/>
    <x v="0"/>
    <m/>
    <x v="1"/>
    <x v="1"/>
    <m/>
    <n v="0"/>
    <x v="0"/>
    <s v="N/A"/>
    <n v="4428819387.769825"/>
  </r>
  <r>
    <x v="0"/>
    <x v="63"/>
    <x v="63"/>
    <x v="4"/>
    <x v="0"/>
    <x v="2"/>
    <x v="13"/>
    <x v="8"/>
    <n v="2021"/>
    <x v="1"/>
    <s v="N/A"/>
    <n v="0"/>
    <s v="Confirmed"/>
    <m/>
    <x v="1"/>
    <x v="0"/>
    <m/>
    <x v="1"/>
    <x v="1"/>
    <m/>
    <n v="0"/>
    <x v="1"/>
    <s v=""/>
    <n v="611739560.62679195"/>
  </r>
  <r>
    <x v="0"/>
    <x v="64"/>
    <x v="64"/>
    <x v="2"/>
    <x v="0"/>
    <x v="2"/>
    <x v="13"/>
    <x v="8"/>
    <n v="2021"/>
    <x v="1"/>
    <s v="N/A"/>
    <n v="0"/>
    <s v="Confirmed"/>
    <m/>
    <x v="1"/>
    <x v="0"/>
    <m/>
    <x v="1"/>
    <x v="1"/>
    <m/>
    <n v="0"/>
    <x v="0"/>
    <s v="N/A"/>
    <n v="1617913383.0481031"/>
  </r>
  <r>
    <x v="0"/>
    <x v="65"/>
    <x v="65"/>
    <x v="1"/>
    <x v="0"/>
    <x v="2"/>
    <x v="13"/>
    <x v="8"/>
    <n v="2021"/>
    <x v="1"/>
    <s v="N/A"/>
    <n v="0"/>
    <s v="Confirmed"/>
    <m/>
    <x v="1"/>
    <x v="0"/>
    <m/>
    <x v="1"/>
    <x v="1"/>
    <m/>
    <n v="0"/>
    <x v="0"/>
    <s v=""/>
    <n v="3074419112.4562683"/>
  </r>
  <r>
    <x v="0"/>
    <x v="66"/>
    <x v="66"/>
    <x v="3"/>
    <x v="0"/>
    <x v="2"/>
    <x v="13"/>
    <x v="8"/>
    <n v="2021"/>
    <x v="1"/>
    <s v="N/A"/>
    <n v="0"/>
    <s v="Confirmed"/>
    <m/>
    <x v="1"/>
    <x v="0"/>
    <m/>
    <x v="2"/>
    <x v="0"/>
    <m/>
    <n v="0"/>
    <x v="0"/>
    <s v="High"/>
    <n v="1914014279.8929913"/>
  </r>
  <r>
    <x v="0"/>
    <x v="67"/>
    <x v="67"/>
    <x v="6"/>
    <x v="0"/>
    <x v="2"/>
    <x v="13"/>
    <x v="8"/>
    <n v="2021"/>
    <x v="1"/>
    <s v="N/A"/>
    <n v="0"/>
    <s v="Confirmed"/>
    <m/>
    <x v="1"/>
    <x v="0"/>
    <m/>
    <x v="2"/>
    <x v="0"/>
    <m/>
    <n v="0"/>
    <x v="1"/>
    <s v="High"/>
    <n v="17422005.762907442"/>
  </r>
  <r>
    <x v="0"/>
    <x v="68"/>
    <x v="68"/>
    <x v="6"/>
    <x v="0"/>
    <x v="2"/>
    <x v="13"/>
    <x v="8"/>
    <n v="2021"/>
    <x v="1"/>
    <s v="N/A"/>
    <n v="0"/>
    <s v="Confirmed"/>
    <m/>
    <x v="1"/>
    <x v="0"/>
    <m/>
    <x v="0"/>
    <x v="0"/>
    <m/>
    <n v="0"/>
    <x v="0"/>
    <s v="N/A"/>
    <s v=""/>
  </r>
  <r>
    <x v="0"/>
    <x v="69"/>
    <x v="69"/>
    <x v="1"/>
    <x v="0"/>
    <x v="2"/>
    <x v="13"/>
    <x v="8"/>
    <n v="2021"/>
    <x v="1"/>
    <s v="N/A"/>
    <n v="0"/>
    <s v="Confirmed"/>
    <m/>
    <x v="1"/>
    <x v="0"/>
    <m/>
    <x v="1"/>
    <x v="0"/>
    <m/>
    <n v="0"/>
    <x v="0"/>
    <s v="…"/>
    <s v=""/>
  </r>
  <r>
    <x v="0"/>
    <x v="70"/>
    <x v="70"/>
    <x v="1"/>
    <x v="0"/>
    <x v="2"/>
    <x v="13"/>
    <x v="8"/>
    <n v="2021"/>
    <x v="1"/>
    <s v="N/A"/>
    <n v="0"/>
    <s v="Confirmed"/>
    <m/>
    <x v="1"/>
    <x v="0"/>
    <m/>
    <x v="2"/>
    <x v="0"/>
    <m/>
    <n v="2"/>
    <x v="0"/>
    <s v="Moderate"/>
    <n v="231506834.84347546"/>
  </r>
  <r>
    <x v="0"/>
    <x v="71"/>
    <x v="71"/>
    <x v="6"/>
    <x v="0"/>
    <x v="2"/>
    <x v="13"/>
    <x v="8"/>
    <n v="2021"/>
    <x v="1"/>
    <s v="N/A"/>
    <n v="0"/>
    <s v="Confirmed"/>
    <m/>
    <x v="1"/>
    <x v="0"/>
    <m/>
    <x v="2"/>
    <x v="0"/>
    <m/>
    <n v="0"/>
    <x v="0"/>
    <s v="High"/>
    <n v="156059428.62944782"/>
  </r>
  <r>
    <x v="0"/>
    <x v="72"/>
    <x v="72"/>
    <x v="2"/>
    <x v="0"/>
    <x v="2"/>
    <x v="13"/>
    <x v="8"/>
    <n v="2021"/>
    <x v="1"/>
    <s v="N/A"/>
    <n v="0"/>
    <s v="Confirmed"/>
    <m/>
    <x v="1"/>
    <x v="0"/>
    <m/>
    <x v="1"/>
    <x v="1"/>
    <m/>
    <n v="0"/>
    <x v="0"/>
    <s v="N/A"/>
    <n v="2355391507.1635861"/>
  </r>
  <r>
    <x v="0"/>
    <x v="73"/>
    <x v="73"/>
    <x v="3"/>
    <x v="0"/>
    <x v="2"/>
    <x v="13"/>
    <x v="8"/>
    <n v="2021"/>
    <x v="1"/>
    <s v="N/A"/>
    <n v="0"/>
    <s v="Confirmed"/>
    <m/>
    <x v="1"/>
    <x v="0"/>
    <m/>
    <x v="2"/>
    <x v="0"/>
    <m/>
    <n v="0"/>
    <x v="0"/>
    <s v="Moderate"/>
    <n v="152760919.7684873"/>
  </r>
  <r>
    <x v="0"/>
    <x v="74"/>
    <x v="74"/>
    <x v="5"/>
    <x v="0"/>
    <x v="2"/>
    <x v="13"/>
    <x v="8"/>
    <n v="2021"/>
    <x v="1"/>
    <s v="N/A"/>
    <n v="0"/>
    <s v="Confirmed"/>
    <m/>
    <x v="1"/>
    <x v="0"/>
    <m/>
    <x v="0"/>
    <x v="0"/>
    <m/>
    <n v="0"/>
    <x v="0"/>
    <s v="High"/>
    <n v="55072006.864440605"/>
  </r>
  <r>
    <x v="0"/>
    <x v="75"/>
    <x v="75"/>
    <x v="2"/>
    <x v="0"/>
    <x v="2"/>
    <x v="13"/>
    <x v="8"/>
    <n v="2021"/>
    <x v="1"/>
    <s v="N/A"/>
    <n v="0"/>
    <s v="Confirmed"/>
    <m/>
    <x v="1"/>
    <x v="0"/>
    <m/>
    <x v="1"/>
    <x v="1"/>
    <m/>
    <n v="0"/>
    <x v="0"/>
    <s v="N/A"/>
    <s v=""/>
  </r>
  <r>
    <x v="0"/>
    <x v="76"/>
    <x v="76"/>
    <x v="3"/>
    <x v="0"/>
    <x v="2"/>
    <x v="13"/>
    <x v="8"/>
    <n v="2021"/>
    <x v="1"/>
    <s v="N/A"/>
    <n v="0"/>
    <s v="Confirmed"/>
    <m/>
    <x v="1"/>
    <x v="0"/>
    <m/>
    <x v="0"/>
    <x v="0"/>
    <m/>
    <n v="2"/>
    <x v="0"/>
    <s v="Moderate"/>
    <n v="206914157.05429548"/>
  </r>
  <r>
    <x v="0"/>
    <x v="77"/>
    <x v="77"/>
    <x v="3"/>
    <x v="0"/>
    <x v="2"/>
    <x v="13"/>
    <x v="8"/>
    <n v="2021"/>
    <x v="1"/>
    <s v="N/A"/>
    <n v="0"/>
    <s v="Confirmed"/>
    <m/>
    <x v="1"/>
    <x v="0"/>
    <m/>
    <x v="0"/>
    <x v="0"/>
    <m/>
    <n v="2"/>
    <x v="0"/>
    <s v="High"/>
    <n v="185999915.02066413"/>
  </r>
  <r>
    <x v="0"/>
    <x v="78"/>
    <x v="78"/>
    <x v="6"/>
    <x v="0"/>
    <x v="2"/>
    <x v="13"/>
    <x v="8"/>
    <n v="2021"/>
    <x v="1"/>
    <s v="N/A"/>
    <n v="0"/>
    <s v="Confirmed"/>
    <m/>
    <x v="1"/>
    <x v="0"/>
    <m/>
    <x v="1"/>
    <x v="1"/>
    <m/>
    <n v="0"/>
    <x v="0"/>
    <s v=""/>
    <n v="6893755763.2501726"/>
  </r>
  <r>
    <x v="0"/>
    <x v="79"/>
    <x v="79"/>
    <x v="0"/>
    <x v="0"/>
    <x v="2"/>
    <x v="13"/>
    <x v="8"/>
    <n v="2021"/>
    <x v="1"/>
    <s v="N/A"/>
    <n v="0"/>
    <s v="Confirmed"/>
    <m/>
    <x v="1"/>
    <x v="0"/>
    <m/>
    <x v="1"/>
    <x v="0"/>
    <m/>
    <n v="0"/>
    <x v="1"/>
    <s v="High"/>
    <n v="354560231.58276606"/>
  </r>
  <r>
    <x v="0"/>
    <x v="80"/>
    <x v="80"/>
    <x v="5"/>
    <x v="0"/>
    <x v="2"/>
    <x v="13"/>
    <x v="8"/>
    <n v="2021"/>
    <x v="1"/>
    <s v="N/A"/>
    <n v="0"/>
    <s v="Confirmed"/>
    <m/>
    <x v="1"/>
    <x v="0"/>
    <m/>
    <x v="0"/>
    <x v="0"/>
    <m/>
    <n v="1"/>
    <x v="0"/>
    <s v="Moderate"/>
    <n v="188169167.56540567"/>
  </r>
  <r>
    <x v="0"/>
    <x v="81"/>
    <x v="81"/>
    <x v="6"/>
    <x v="0"/>
    <x v="2"/>
    <x v="13"/>
    <x v="8"/>
    <n v="2021"/>
    <x v="1"/>
    <s v="N/A"/>
    <n v="0"/>
    <s v="Confirmed"/>
    <m/>
    <x v="1"/>
    <x v="0"/>
    <m/>
    <x v="1"/>
    <x v="0"/>
    <m/>
    <n v="0"/>
    <x v="1"/>
    <s v=""/>
    <n v="16312106.556340856"/>
  </r>
  <r>
    <x v="0"/>
    <x v="82"/>
    <x v="82"/>
    <x v="5"/>
    <x v="0"/>
    <x v="2"/>
    <x v="13"/>
    <x v="8"/>
    <n v="2021"/>
    <x v="1"/>
    <s v="N/A"/>
    <n v="0"/>
    <s v="Confirmed"/>
    <m/>
    <x v="1"/>
    <x v="0"/>
    <m/>
    <x v="2"/>
    <x v="0"/>
    <m/>
    <n v="2"/>
    <x v="0"/>
    <s v="High"/>
    <n v="86083833.534053758"/>
  </r>
  <r>
    <x v="0"/>
    <x v="83"/>
    <x v="83"/>
    <x v="3"/>
    <x v="0"/>
    <x v="2"/>
    <x v="13"/>
    <x v="8"/>
    <n v="2021"/>
    <x v="1"/>
    <s v="N/A"/>
    <n v="0"/>
    <s v="Confirmed"/>
    <m/>
    <x v="1"/>
    <x v="0"/>
    <m/>
    <x v="1"/>
    <x v="1"/>
    <m/>
    <n v="0"/>
    <x v="1"/>
    <s v="N/A"/>
    <n v="357220835.93762809"/>
  </r>
  <r>
    <x v="0"/>
    <x v="84"/>
    <x v="84"/>
    <x v="4"/>
    <x v="0"/>
    <x v="2"/>
    <x v="13"/>
    <x v="8"/>
    <n v="2021"/>
    <x v="1"/>
    <s v="N/A"/>
    <n v="0"/>
    <s v="Confirmed"/>
    <m/>
    <x v="1"/>
    <x v="0"/>
    <m/>
    <x v="1"/>
    <x v="1"/>
    <m/>
    <n v="0"/>
    <x v="0"/>
    <s v=""/>
    <n v="32831598153.796387"/>
  </r>
  <r>
    <x v="0"/>
    <x v="85"/>
    <x v="85"/>
    <x v="6"/>
    <x v="0"/>
    <x v="2"/>
    <x v="13"/>
    <x v="8"/>
    <n v="2021"/>
    <x v="1"/>
    <s v="N/A"/>
    <n v="0"/>
    <s v="Confirmed"/>
    <m/>
    <x v="1"/>
    <x v="0"/>
    <m/>
    <x v="2"/>
    <x v="0"/>
    <m/>
    <n v="0"/>
    <x v="1"/>
    <s v="High"/>
    <n v="12329056.093798399"/>
  </r>
  <r>
    <x v="0"/>
    <x v="86"/>
    <x v="86"/>
    <x v="1"/>
    <x v="0"/>
    <x v="2"/>
    <x v="13"/>
    <x v="8"/>
    <n v="2021"/>
    <x v="1"/>
    <s v="N/A"/>
    <n v="0"/>
    <s v="Confirmed"/>
    <m/>
    <x v="1"/>
    <x v="0"/>
    <m/>
    <x v="1"/>
    <x v="0"/>
    <m/>
    <n v="0"/>
    <x v="0"/>
    <s v="Low"/>
    <n v="426639742.85328001"/>
  </r>
  <r>
    <x v="0"/>
    <x v="87"/>
    <x v="87"/>
    <x v="6"/>
    <x v="0"/>
    <x v="2"/>
    <x v="13"/>
    <x v="8"/>
    <n v="2021"/>
    <x v="1"/>
    <s v="N/A"/>
    <n v="0"/>
    <s v="Confirmed"/>
    <m/>
    <x v="1"/>
    <x v="0"/>
    <m/>
    <x v="2"/>
    <x v="0"/>
    <m/>
    <n v="0"/>
    <x v="0"/>
    <s v="…"/>
    <n v="288519671.85870522"/>
  </r>
  <r>
    <x v="0"/>
    <x v="88"/>
    <x v="88"/>
    <x v="1"/>
    <x v="0"/>
    <x v="2"/>
    <x v="13"/>
    <x v="8"/>
    <n v="2021"/>
    <x v="1"/>
    <s v="N/A"/>
    <n v="0"/>
    <s v="Confirmed"/>
    <m/>
    <x v="1"/>
    <x v="0"/>
    <m/>
    <x v="1"/>
    <x v="1"/>
    <m/>
    <n v="0"/>
    <x v="0"/>
    <s v="N/A"/>
    <n v="275606560.78491527"/>
  </r>
  <r>
    <x v="0"/>
    <x v="89"/>
    <x v="89"/>
    <x v="2"/>
    <x v="0"/>
    <x v="2"/>
    <x v="13"/>
    <x v="8"/>
    <n v="2021"/>
    <x v="1"/>
    <s v="N/A"/>
    <n v="0"/>
    <s v="Confirmed"/>
    <m/>
    <x v="1"/>
    <x v="0"/>
    <m/>
    <x v="2"/>
    <x v="0"/>
    <m/>
    <n v="0"/>
    <x v="0"/>
    <s v="N/A"/>
    <n v="2530937679.3725696"/>
  </r>
  <r>
    <x v="0"/>
    <x v="90"/>
    <x v="90"/>
    <x v="3"/>
    <x v="0"/>
    <x v="2"/>
    <x v="13"/>
    <x v="8"/>
    <n v="2021"/>
    <x v="1"/>
    <s v="N/A"/>
    <n v="0"/>
    <s v="Confirmed"/>
    <m/>
    <x v="1"/>
    <x v="0"/>
    <m/>
    <x v="0"/>
    <x v="0"/>
    <m/>
    <n v="0"/>
    <x v="0"/>
    <s v="In distress"/>
    <n v="251432156.86255455"/>
  </r>
  <r>
    <x v="0"/>
    <x v="91"/>
    <x v="91"/>
    <x v="6"/>
    <x v="0"/>
    <x v="2"/>
    <x v="13"/>
    <x v="8"/>
    <n v="2021"/>
    <x v="1"/>
    <s v="N/A"/>
    <n v="0"/>
    <s v="Confirmed"/>
    <m/>
    <x v="1"/>
    <x v="0"/>
    <m/>
    <x v="2"/>
    <x v="0"/>
    <m/>
    <n v="0"/>
    <x v="0"/>
    <s v="Low"/>
    <n v="471534500.60109437"/>
  </r>
  <r>
    <x v="0"/>
    <x v="92"/>
    <x v="92"/>
    <x v="3"/>
    <x v="0"/>
    <x v="2"/>
    <x v="13"/>
    <x v="8"/>
    <n v="2021"/>
    <x v="1"/>
    <s v="N/A"/>
    <n v="0"/>
    <s v="Confirmed"/>
    <m/>
    <x v="1"/>
    <x v="0"/>
    <m/>
    <x v="1"/>
    <x v="1"/>
    <m/>
    <n v="0"/>
    <x v="0"/>
    <s v=""/>
    <n v="531677611.80447447"/>
  </r>
  <r>
    <x v="0"/>
    <x v="93"/>
    <x v="93"/>
    <x v="6"/>
    <x v="0"/>
    <x v="2"/>
    <x v="13"/>
    <x v="8"/>
    <n v="2021"/>
    <x v="1"/>
    <s v="N/A"/>
    <n v="0"/>
    <s v="Confirmed"/>
    <m/>
    <x v="1"/>
    <x v="0"/>
    <m/>
    <x v="3"/>
    <x v="1"/>
    <m/>
    <n v="0"/>
    <x v="1"/>
    <s v=""/>
    <n v="8528751.6418357007"/>
  </r>
  <r>
    <x v="0"/>
    <x v="94"/>
    <x v="94"/>
    <x v="0"/>
    <x v="0"/>
    <x v="2"/>
    <x v="13"/>
    <x v="8"/>
    <n v="2021"/>
    <x v="1"/>
    <s v="N/A"/>
    <n v="0"/>
    <s v="Confirmed"/>
    <m/>
    <x v="1"/>
    <x v="0"/>
    <m/>
    <x v="2"/>
    <x v="0"/>
    <m/>
    <n v="0"/>
    <x v="0"/>
    <s v="Low"/>
    <n v="407084543.19089872"/>
  </r>
  <r>
    <x v="0"/>
    <x v="95"/>
    <x v="95"/>
    <x v="4"/>
    <x v="0"/>
    <x v="2"/>
    <x v="13"/>
    <x v="8"/>
    <n v="2021"/>
    <x v="1"/>
    <s v="N/A"/>
    <n v="0"/>
    <s v="Confirmed"/>
    <m/>
    <x v="1"/>
    <x v="0"/>
    <m/>
    <x v="2"/>
    <x v="0"/>
    <m/>
    <n v="0"/>
    <x v="0"/>
    <s v="Moderate"/>
    <n v="671998341.93592453"/>
  </r>
  <r>
    <x v="0"/>
    <x v="96"/>
    <x v="96"/>
    <x v="5"/>
    <x v="0"/>
    <x v="2"/>
    <x v="13"/>
    <x v="8"/>
    <n v="2021"/>
    <x v="1"/>
    <s v="N/A"/>
    <n v="0"/>
    <s v="Confirmed"/>
    <m/>
    <x v="1"/>
    <x v="0"/>
    <m/>
    <x v="0"/>
    <x v="0"/>
    <m/>
    <n v="1"/>
    <x v="0"/>
    <s v="Moderate"/>
    <n v="226203289.67158964"/>
  </r>
  <r>
    <x v="0"/>
    <x v="97"/>
    <x v="97"/>
    <x v="5"/>
    <x v="0"/>
    <x v="2"/>
    <x v="13"/>
    <x v="8"/>
    <n v="2021"/>
    <x v="1"/>
    <s v="N/A"/>
    <n v="0"/>
    <s v="Confirmed"/>
    <m/>
    <x v="1"/>
    <x v="0"/>
    <m/>
    <x v="2"/>
    <x v="0"/>
    <m/>
    <n v="3"/>
    <x v="0"/>
    <s v="…"/>
    <n v="2438881113.1244688"/>
  </r>
  <r>
    <x v="0"/>
    <x v="98"/>
    <x v="98"/>
    <x v="1"/>
    <x v="0"/>
    <x v="2"/>
    <x v="13"/>
    <x v="8"/>
    <n v="2021"/>
    <x v="1"/>
    <s v="N/A"/>
    <n v="0"/>
    <s v="Confirmed"/>
    <m/>
    <x v="1"/>
    <x v="0"/>
    <m/>
    <x v="1"/>
    <x v="1"/>
    <m/>
    <n v="0"/>
    <x v="0"/>
    <s v=""/>
    <n v="476517795.73174149"/>
  </r>
  <r>
    <x v="0"/>
    <x v="99"/>
    <x v="99"/>
    <x v="0"/>
    <x v="0"/>
    <x v="2"/>
    <x v="13"/>
    <x v="8"/>
    <n v="2021"/>
    <x v="1"/>
    <s v="N/A"/>
    <n v="0"/>
    <s v="Confirmed"/>
    <m/>
    <x v="1"/>
    <x v="0"/>
    <m/>
    <x v="2"/>
    <x v="0"/>
    <m/>
    <n v="0"/>
    <x v="0"/>
    <s v="…"/>
    <n v="3233351297.7679496"/>
  </r>
  <r>
    <x v="0"/>
    <x v="100"/>
    <x v="100"/>
    <x v="4"/>
    <x v="0"/>
    <x v="2"/>
    <x v="13"/>
    <x v="8"/>
    <n v="2021"/>
    <x v="1"/>
    <s v="N/A"/>
    <n v="0"/>
    <s v="Confirmed"/>
    <m/>
    <x v="1"/>
    <x v="0"/>
    <m/>
    <x v="3"/>
    <x v="1"/>
    <m/>
    <n v="0"/>
    <x v="1"/>
    <s v=""/>
    <n v="18180646.808608256"/>
  </r>
  <r>
    <x v="0"/>
    <x v="101"/>
    <x v="101"/>
    <x v="4"/>
    <x v="0"/>
    <x v="2"/>
    <x v="13"/>
    <x v="8"/>
    <n v="2021"/>
    <x v="1"/>
    <s v="N/A"/>
    <n v="0"/>
    <s v="Confirmed"/>
    <m/>
    <x v="1"/>
    <x v="0"/>
    <m/>
    <x v="1"/>
    <x v="1"/>
    <m/>
    <n v="0"/>
    <x v="0"/>
    <s v="N/A"/>
    <n v="3020530707.3485303"/>
  </r>
  <r>
    <x v="0"/>
    <x v="102"/>
    <x v="102"/>
    <x v="6"/>
    <x v="0"/>
    <x v="2"/>
    <x v="13"/>
    <x v="8"/>
    <n v="2021"/>
    <x v="1"/>
    <s v="N/A"/>
    <n v="0"/>
    <s v="Confirmed"/>
    <m/>
    <x v="1"/>
    <x v="0"/>
    <m/>
    <x v="2"/>
    <x v="0"/>
    <m/>
    <n v="1"/>
    <x v="1"/>
    <s v="High"/>
    <n v="384406316.46074712"/>
  </r>
  <r>
    <x v="0"/>
    <x v="103"/>
    <x v="103"/>
    <x v="4"/>
    <x v="0"/>
    <x v="2"/>
    <x v="13"/>
    <x v="8"/>
    <n v="2021"/>
    <x v="1"/>
    <s v="N/A"/>
    <n v="0"/>
    <s v="Confirmed"/>
    <m/>
    <x v="1"/>
    <x v="0"/>
    <m/>
    <x v="1"/>
    <x v="1"/>
    <m/>
    <n v="0"/>
    <x v="0"/>
    <s v=""/>
    <n v="1218747108.9554784"/>
  </r>
  <r>
    <x v="0"/>
    <x v="104"/>
    <x v="104"/>
    <x v="4"/>
    <x v="0"/>
    <x v="2"/>
    <x v="13"/>
    <x v="8"/>
    <n v="2021"/>
    <x v="1"/>
    <s v="N/A"/>
    <n v="0"/>
    <s v="Confirmed"/>
    <m/>
    <x v="1"/>
    <x v="0"/>
    <m/>
    <x v="1"/>
    <x v="1"/>
    <m/>
    <n v="0"/>
    <x v="0"/>
    <s v=""/>
    <n v="7392665952.5895758"/>
  </r>
  <r>
    <x v="0"/>
    <x v="105"/>
    <x v="105"/>
    <x v="6"/>
    <x v="0"/>
    <x v="2"/>
    <x v="13"/>
    <x v="8"/>
    <n v="2021"/>
    <x v="1"/>
    <s v="N/A"/>
    <n v="0"/>
    <s v="Confirmed"/>
    <m/>
    <x v="1"/>
    <x v="0"/>
    <m/>
    <x v="2"/>
    <x v="0"/>
    <m/>
    <n v="0"/>
    <x v="0"/>
    <s v="N/A"/>
    <n v="4754985988.6004429"/>
  </r>
  <r>
    <x v="0"/>
    <x v="106"/>
    <x v="106"/>
    <x v="1"/>
    <x v="0"/>
    <x v="2"/>
    <x v="13"/>
    <x v="8"/>
    <n v="2021"/>
    <x v="1"/>
    <s v="N/A"/>
    <n v="0"/>
    <s v="Confirmed"/>
    <m/>
    <x v="1"/>
    <x v="0"/>
    <m/>
    <x v="3"/>
    <x v="1"/>
    <m/>
    <n v="0"/>
    <x v="0"/>
    <s v=""/>
    <n v="26422210443.037273"/>
  </r>
  <r>
    <x v="0"/>
    <x v="107"/>
    <x v="107"/>
    <x v="1"/>
    <x v="0"/>
    <x v="2"/>
    <x v="13"/>
    <x v="8"/>
    <n v="2021"/>
    <x v="1"/>
    <s v="N/A"/>
    <n v="0"/>
    <s v="Confirmed"/>
    <m/>
    <x v="1"/>
    <x v="0"/>
    <m/>
    <x v="1"/>
    <x v="1"/>
    <m/>
    <n v="0"/>
    <x v="0"/>
    <s v=""/>
    <n v="10696495313.15033"/>
  </r>
  <r>
    <x v="0"/>
    <x v="108"/>
    <x v="108"/>
    <x v="1"/>
    <x v="0"/>
    <x v="2"/>
    <x v="13"/>
    <x v="8"/>
    <n v="2021"/>
    <x v="1"/>
    <s v="N/A"/>
    <n v="0"/>
    <s v="Confirmed"/>
    <m/>
    <x v="1"/>
    <x v="0"/>
    <m/>
    <x v="1"/>
    <x v="1"/>
    <m/>
    <n v="0"/>
    <x v="0"/>
    <s v=""/>
    <n v="52769713433.240509"/>
  </r>
  <r>
    <x v="0"/>
    <x v="109"/>
    <x v="109"/>
    <x v="3"/>
    <x v="0"/>
    <x v="2"/>
    <x v="13"/>
    <x v="8"/>
    <n v="2021"/>
    <x v="1"/>
    <s v="N/A"/>
    <n v="0"/>
    <s v="Confirmed"/>
    <m/>
    <x v="1"/>
    <x v="0"/>
    <m/>
    <x v="0"/>
    <x v="0"/>
    <m/>
    <n v="0"/>
    <x v="0"/>
    <s v="Moderate"/>
    <n v="225799814.51943746"/>
  </r>
  <r>
    <x v="0"/>
    <x v="110"/>
    <x v="110"/>
    <x v="6"/>
    <x v="0"/>
    <x v="2"/>
    <x v="13"/>
    <x v="8"/>
    <n v="2021"/>
    <x v="1"/>
    <s v="N/A"/>
    <n v="0"/>
    <s v="Confirmed"/>
    <m/>
    <x v="1"/>
    <x v="0"/>
    <m/>
    <x v="2"/>
    <x v="0"/>
    <m/>
    <n v="0"/>
    <x v="1"/>
    <s v="High"/>
    <n v="32192988.027009469"/>
  </r>
  <r>
    <x v="0"/>
    <x v="111"/>
    <x v="111"/>
    <x v="5"/>
    <x v="0"/>
    <x v="2"/>
    <x v="13"/>
    <x v="8"/>
    <n v="2021"/>
    <x v="1"/>
    <s v="N/A"/>
    <n v="0"/>
    <s v="Confirmed"/>
    <m/>
    <x v="1"/>
    <x v="0"/>
    <m/>
    <x v="2"/>
    <x v="0"/>
    <m/>
    <n v="0"/>
    <x v="1"/>
    <s v="In distress"/>
    <n v="11633535.136477679"/>
  </r>
  <r>
    <x v="0"/>
    <x v="112"/>
    <x v="112"/>
    <x v="5"/>
    <x v="0"/>
    <x v="2"/>
    <x v="13"/>
    <x v="8"/>
    <n v="2021"/>
    <x v="1"/>
    <s v="N/A"/>
    <n v="0"/>
    <s v="Confirmed"/>
    <m/>
    <x v="1"/>
    <x v="0"/>
    <m/>
    <x v="2"/>
    <x v="0"/>
    <m/>
    <n v="2"/>
    <x v="0"/>
    <s v="Moderate"/>
    <n v="222008693.93354639"/>
  </r>
  <r>
    <x v="0"/>
    <x v="113"/>
    <x v="113"/>
    <x v="1"/>
    <x v="0"/>
    <x v="2"/>
    <x v="13"/>
    <x v="8"/>
    <n v="2021"/>
    <x v="1"/>
    <s v="N/A"/>
    <n v="0"/>
    <s v="Confirmed"/>
    <m/>
    <x v="1"/>
    <x v="0"/>
    <m/>
    <x v="1"/>
    <x v="1"/>
    <m/>
    <n v="0"/>
    <x v="0"/>
    <s v=""/>
    <n v="2564993795.1894679"/>
  </r>
  <r>
    <x v="0"/>
    <x v="114"/>
    <x v="114"/>
    <x v="3"/>
    <x v="0"/>
    <x v="2"/>
    <x v="13"/>
    <x v="8"/>
    <n v="2021"/>
    <x v="1"/>
    <s v="N/A"/>
    <n v="0"/>
    <s v="Confirmed"/>
    <m/>
    <x v="1"/>
    <x v="0"/>
    <m/>
    <x v="3"/>
    <x v="1"/>
    <m/>
    <n v="0"/>
    <x v="1"/>
    <s v="N/A"/>
    <n v="60237542.945069775"/>
  </r>
  <r>
    <x v="0"/>
    <x v="115"/>
    <x v="115"/>
    <x v="5"/>
    <x v="0"/>
    <x v="2"/>
    <x v="13"/>
    <x v="8"/>
    <n v="2021"/>
    <x v="1"/>
    <s v="N/A"/>
    <n v="0"/>
    <s v="Confirmed"/>
    <m/>
    <x v="1"/>
    <x v="0"/>
    <m/>
    <x v="0"/>
    <x v="0"/>
    <m/>
    <n v="0"/>
    <x v="0"/>
    <s v="High"/>
    <n v="63738640.538260505"/>
  </r>
  <r>
    <x v="0"/>
    <x v="116"/>
    <x v="116"/>
    <x v="6"/>
    <x v="0"/>
    <x v="2"/>
    <x v="13"/>
    <x v="8"/>
    <n v="2021"/>
    <x v="1"/>
    <s v="N/A"/>
    <n v="0"/>
    <s v="Confirmed"/>
    <m/>
    <x v="1"/>
    <x v="0"/>
    <m/>
    <x v="2"/>
    <x v="0"/>
    <m/>
    <n v="0"/>
    <x v="1"/>
    <s v="Moderate"/>
    <n v="49012774.055630356"/>
  </r>
  <r>
    <x v="0"/>
    <x v="117"/>
    <x v="117"/>
    <x v="3"/>
    <x v="0"/>
    <x v="2"/>
    <x v="13"/>
    <x v="8"/>
    <n v="2021"/>
    <x v="1"/>
    <s v="N/A"/>
    <n v="0"/>
    <s v="Confirmed"/>
    <m/>
    <x v="1"/>
    <x v="0"/>
    <m/>
    <x v="0"/>
    <x v="0"/>
    <m/>
    <n v="1"/>
    <x v="0"/>
    <s v="In distress"/>
    <s v=""/>
  </r>
  <r>
    <x v="0"/>
    <x v="118"/>
    <x v="118"/>
    <x v="3"/>
    <x v="0"/>
    <x v="2"/>
    <x v="13"/>
    <x v="8"/>
    <n v="2021"/>
    <x v="1"/>
    <s v="N/A"/>
    <n v="0"/>
    <s v="Confirmed"/>
    <m/>
    <x v="1"/>
    <x v="0"/>
    <m/>
    <x v="1"/>
    <x v="1"/>
    <m/>
    <n v="0"/>
    <x v="0"/>
    <s v="N/A"/>
    <n v="16429121142.784708"/>
  </r>
  <r>
    <x v="0"/>
    <x v="119"/>
    <x v="119"/>
    <x v="3"/>
    <x v="0"/>
    <x v="2"/>
    <x v="13"/>
    <x v="8"/>
    <n v="2021"/>
    <x v="1"/>
    <s v="N/A"/>
    <n v="0"/>
    <s v="Confirmed"/>
    <m/>
    <x v="1"/>
    <x v="0"/>
    <m/>
    <x v="0"/>
    <x v="0"/>
    <m/>
    <n v="1"/>
    <x v="0"/>
    <s v="High"/>
    <n v="31684581.76217727"/>
  </r>
  <r>
    <x v="0"/>
    <x v="120"/>
    <x v="120"/>
    <x v="0"/>
    <x v="0"/>
    <x v="2"/>
    <x v="13"/>
    <x v="8"/>
    <n v="2021"/>
    <x v="1"/>
    <s v="N/A"/>
    <n v="0"/>
    <s v="Confirmed"/>
    <m/>
    <x v="1"/>
    <x v="0"/>
    <m/>
    <x v="2"/>
    <x v="0"/>
    <m/>
    <n v="0"/>
    <x v="0"/>
    <s v="N/A"/>
    <n v="1373621563.5182886"/>
  </r>
  <r>
    <x v="0"/>
    <x v="121"/>
    <x v="121"/>
    <x v="4"/>
    <x v="0"/>
    <x v="2"/>
    <x v="13"/>
    <x v="8"/>
    <n v="2021"/>
    <x v="1"/>
    <s v="N/A"/>
    <n v="0"/>
    <s v="Confirmed"/>
    <m/>
    <x v="1"/>
    <x v="0"/>
    <m/>
    <x v="3"/>
    <x v="1"/>
    <m/>
    <n v="0"/>
    <x v="1"/>
    <s v=""/>
    <n v="24214370.889062837"/>
  </r>
  <r>
    <x v="0"/>
    <x v="122"/>
    <x v="122"/>
    <x v="4"/>
    <x v="0"/>
    <x v="2"/>
    <x v="13"/>
    <x v="8"/>
    <n v="2021"/>
    <x v="1"/>
    <s v="N/A"/>
    <n v="0"/>
    <s v="Confirmed"/>
    <m/>
    <x v="1"/>
    <x v="0"/>
    <m/>
    <x v="1"/>
    <x v="0"/>
    <m/>
    <n v="0"/>
    <x v="1"/>
    <s v="…"/>
    <n v="39941279.609447442"/>
  </r>
  <r>
    <x v="0"/>
    <x v="123"/>
    <x v="123"/>
    <x v="4"/>
    <x v="0"/>
    <x v="2"/>
    <x v="13"/>
    <x v="8"/>
    <n v="2021"/>
    <x v="1"/>
    <s v="N/A"/>
    <n v="0"/>
    <s v="Confirmed"/>
    <m/>
    <x v="1"/>
    <x v="0"/>
    <m/>
    <x v="1"/>
    <x v="0"/>
    <m/>
    <n v="0"/>
    <x v="1"/>
    <s v="High"/>
    <n v="24761675.260059897"/>
  </r>
  <r>
    <x v="0"/>
    <x v="124"/>
    <x v="124"/>
    <x v="2"/>
    <x v="0"/>
    <x v="2"/>
    <x v="13"/>
    <x v="8"/>
    <n v="2021"/>
    <x v="1"/>
    <s v="N/A"/>
    <n v="0"/>
    <s v="Confirmed"/>
    <m/>
    <x v="1"/>
    <x v="0"/>
    <m/>
    <x v="2"/>
    <x v="0"/>
    <m/>
    <n v="0"/>
    <x v="0"/>
    <s v="N/A"/>
    <s v=""/>
  </r>
  <r>
    <x v="0"/>
    <x v="125"/>
    <x v="125"/>
    <x v="2"/>
    <x v="0"/>
    <x v="2"/>
    <x v="13"/>
    <x v="8"/>
    <n v="2021"/>
    <x v="1"/>
    <s v="N/A"/>
    <n v="0"/>
    <s v="Confirmed"/>
    <m/>
    <x v="1"/>
    <x v="0"/>
    <m/>
    <x v="0"/>
    <x v="0"/>
    <m/>
    <n v="1"/>
    <x v="0"/>
    <s v="N/A"/>
    <n v="577156172.71229994"/>
  </r>
  <r>
    <x v="0"/>
    <x v="126"/>
    <x v="126"/>
    <x v="6"/>
    <x v="0"/>
    <x v="2"/>
    <x v="13"/>
    <x v="8"/>
    <n v="2021"/>
    <x v="1"/>
    <s v="N/A"/>
    <n v="0"/>
    <s v="Confirmed"/>
    <m/>
    <x v="1"/>
    <x v="0"/>
    <m/>
    <x v="1"/>
    <x v="1"/>
    <m/>
    <n v="0"/>
    <x v="1"/>
    <s v=""/>
    <n v="180052034.19851837"/>
  </r>
  <r>
    <x v="0"/>
    <x v="127"/>
    <x v="127"/>
    <x v="2"/>
    <x v="0"/>
    <x v="2"/>
    <x v="13"/>
    <x v="8"/>
    <n v="2021"/>
    <x v="1"/>
    <s v="N/A"/>
    <n v="0"/>
    <s v="Confirmed"/>
    <m/>
    <x v="1"/>
    <x v="0"/>
    <m/>
    <x v="0"/>
    <x v="0"/>
    <m/>
    <n v="1"/>
    <x v="0"/>
    <s v="N/A"/>
    <s v=""/>
  </r>
  <r>
    <x v="0"/>
    <x v="128"/>
    <x v="128"/>
    <x v="1"/>
    <x v="0"/>
    <x v="2"/>
    <x v="13"/>
    <x v="8"/>
    <n v="2021"/>
    <x v="1"/>
    <s v="N/A"/>
    <n v="0"/>
    <s v="Confirmed"/>
    <m/>
    <x v="1"/>
    <x v="0"/>
    <m/>
    <x v="2"/>
    <x v="0"/>
    <m/>
    <n v="0"/>
    <x v="0"/>
    <s v="High"/>
    <n v="147296124.32232863"/>
  </r>
  <r>
    <x v="0"/>
    <x v="129"/>
    <x v="129"/>
    <x v="3"/>
    <x v="0"/>
    <x v="2"/>
    <x v="13"/>
    <x v="8"/>
    <n v="2021"/>
    <x v="1"/>
    <s v="N/A"/>
    <n v="0"/>
    <s v="Confirmed"/>
    <m/>
    <x v="1"/>
    <x v="0"/>
    <m/>
    <x v="2"/>
    <x v="0"/>
    <m/>
    <n v="0"/>
    <x v="0"/>
    <s v="…"/>
    <n v="890576536.83065879"/>
  </r>
  <r>
    <x v="0"/>
    <x v="130"/>
    <x v="130"/>
    <x v="6"/>
    <x v="0"/>
    <x v="2"/>
    <x v="13"/>
    <x v="8"/>
    <n v="2021"/>
    <x v="1"/>
    <s v="N/A"/>
    <n v="0"/>
    <s v="Confirmed"/>
    <m/>
    <x v="1"/>
    <x v="0"/>
    <m/>
    <x v="1"/>
    <x v="1"/>
    <m/>
    <n v="0"/>
    <x v="0"/>
    <s v=""/>
    <n v="14611129792.346064"/>
  </r>
  <r>
    <x v="0"/>
    <x v="131"/>
    <x v="131"/>
    <x v="6"/>
    <x v="0"/>
    <x v="2"/>
    <x v="13"/>
    <x v="8"/>
    <n v="2021"/>
    <x v="1"/>
    <s v="N/A"/>
    <n v="0"/>
    <s v="Confirmed"/>
    <m/>
    <x v="1"/>
    <x v="0"/>
    <m/>
    <x v="2"/>
    <x v="0"/>
    <m/>
    <n v="0"/>
    <x v="1"/>
    <s v="Low"/>
    <n v="72046877.233008593"/>
  </r>
  <r>
    <x v="0"/>
    <x v="132"/>
    <x v="132"/>
    <x v="5"/>
    <x v="0"/>
    <x v="2"/>
    <x v="13"/>
    <x v="8"/>
    <n v="2021"/>
    <x v="1"/>
    <s v="N/A"/>
    <n v="0"/>
    <s v="Confirmed"/>
    <m/>
    <x v="1"/>
    <x v="0"/>
    <m/>
    <x v="0"/>
    <x v="0"/>
    <m/>
    <n v="0"/>
    <x v="0"/>
    <s v="High"/>
    <n v="56248139.267255567"/>
  </r>
  <r>
    <x v="0"/>
    <x v="133"/>
    <x v="133"/>
    <x v="6"/>
    <x v="0"/>
    <x v="2"/>
    <x v="13"/>
    <x v="8"/>
    <n v="2021"/>
    <x v="1"/>
    <s v="N/A"/>
    <n v="0"/>
    <s v="Confirmed"/>
    <m/>
    <x v="1"/>
    <x v="0"/>
    <m/>
    <x v="1"/>
    <x v="0"/>
    <m/>
    <n v="0"/>
    <x v="1"/>
    <s v="High"/>
    <n v="15464031.712942109"/>
  </r>
  <r>
    <x v="0"/>
    <x v="134"/>
    <x v="134"/>
    <x v="4"/>
    <x v="0"/>
    <x v="2"/>
    <x v="13"/>
    <x v="8"/>
    <n v="2021"/>
    <x v="1"/>
    <s v="N/A"/>
    <n v="0"/>
    <s v="Confirmed"/>
    <m/>
    <x v="1"/>
    <x v="0"/>
    <m/>
    <x v="3"/>
    <x v="1"/>
    <m/>
    <n v="0"/>
    <x v="1"/>
    <s v="N/A"/>
    <n v="769564399.33249676"/>
  </r>
  <r>
    <x v="0"/>
    <x v="135"/>
    <x v="135"/>
    <x v="2"/>
    <x v="0"/>
    <x v="2"/>
    <x v="13"/>
    <x v="8"/>
    <n v="2021"/>
    <x v="1"/>
    <s v="N/A"/>
    <n v="0"/>
    <s v="Confirmed"/>
    <m/>
    <x v="1"/>
    <x v="0"/>
    <m/>
    <x v="2"/>
    <x v="0"/>
    <m/>
    <n v="0"/>
    <x v="0"/>
    <s v="N/A"/>
    <n v="1668954539.7630196"/>
  </r>
  <r>
    <x v="0"/>
    <x v="136"/>
    <x v="136"/>
    <x v="1"/>
    <x v="0"/>
    <x v="2"/>
    <x v="13"/>
    <x v="8"/>
    <n v="2021"/>
    <x v="1"/>
    <s v="N/A"/>
    <n v="0"/>
    <s v="Confirmed"/>
    <m/>
    <x v="1"/>
    <x v="0"/>
    <m/>
    <x v="1"/>
    <x v="1"/>
    <m/>
    <n v="0"/>
    <x v="0"/>
    <s v=""/>
    <n v="24840920016.18832"/>
  </r>
  <r>
    <x v="0"/>
    <x v="137"/>
    <x v="137"/>
    <x v="1"/>
    <x v="0"/>
    <x v="2"/>
    <x v="13"/>
    <x v="8"/>
    <n v="2021"/>
    <x v="1"/>
    <s v="N/A"/>
    <n v="0"/>
    <s v="Confirmed"/>
    <m/>
    <x v="1"/>
    <x v="0"/>
    <m/>
    <x v="1"/>
    <x v="1"/>
    <m/>
    <n v="0"/>
    <x v="0"/>
    <s v="N/A"/>
    <n v="487888462.83720118"/>
  </r>
  <r>
    <x v="0"/>
    <x v="138"/>
    <x v="138"/>
    <x v="6"/>
    <x v="0"/>
    <x v="2"/>
    <x v="13"/>
    <x v="8"/>
    <n v="2021"/>
    <x v="1"/>
    <s v="N/A"/>
    <n v="0"/>
    <s v="Confirmed"/>
    <m/>
    <x v="1"/>
    <x v="0"/>
    <m/>
    <x v="1"/>
    <x v="0"/>
    <m/>
    <n v="0"/>
    <x v="1"/>
    <s v="…"/>
    <n v="6365061.1736073596"/>
  </r>
  <r>
    <x v="0"/>
    <x v="139"/>
    <x v="139"/>
    <x v="3"/>
    <x v="0"/>
    <x v="2"/>
    <x v="13"/>
    <x v="8"/>
    <n v="2021"/>
    <x v="1"/>
    <s v="N/A"/>
    <n v="0"/>
    <s v="Confirmed"/>
    <m/>
    <x v="1"/>
    <x v="0"/>
    <m/>
    <x v="0"/>
    <x v="0"/>
    <m/>
    <n v="2"/>
    <x v="0"/>
    <s v="Low"/>
    <n v="291799092.90196139"/>
  </r>
  <r>
    <x v="0"/>
    <x v="140"/>
    <x v="140"/>
    <x v="1"/>
    <x v="0"/>
    <x v="2"/>
    <x v="13"/>
    <x v="8"/>
    <n v="2021"/>
    <x v="1"/>
    <s v="N/A"/>
    <n v="0"/>
    <s v="Confirmed"/>
    <m/>
    <x v="1"/>
    <x v="0"/>
    <m/>
    <x v="2"/>
    <x v="0"/>
    <m/>
    <n v="0"/>
    <x v="0"/>
    <s v="N/A"/>
    <n v="4844815340.2135534"/>
  </r>
  <r>
    <x v="0"/>
    <x v="141"/>
    <x v="141"/>
    <x v="4"/>
    <x v="0"/>
    <x v="2"/>
    <x v="13"/>
    <x v="8"/>
    <n v="2021"/>
    <x v="1"/>
    <s v="N/A"/>
    <n v="0"/>
    <s v="Confirmed"/>
    <m/>
    <x v="1"/>
    <x v="0"/>
    <m/>
    <x v="3"/>
    <x v="1"/>
    <m/>
    <n v="0"/>
    <x v="0"/>
    <s v=""/>
    <n v="4001891446.6871672"/>
  </r>
  <r>
    <x v="0"/>
    <x v="142"/>
    <x v="142"/>
    <x v="1"/>
    <x v="0"/>
    <x v="2"/>
    <x v="13"/>
    <x v="8"/>
    <n v="2021"/>
    <x v="1"/>
    <s v="N/A"/>
    <n v="0"/>
    <s v="Confirmed"/>
    <m/>
    <x v="1"/>
    <x v="0"/>
    <m/>
    <x v="2"/>
    <x v="0"/>
    <m/>
    <n v="0"/>
    <x v="0"/>
    <s v="Low"/>
    <n v="1019800630.5853213"/>
  </r>
  <r>
    <x v="0"/>
    <x v="143"/>
    <x v="143"/>
    <x v="6"/>
    <x v="0"/>
    <x v="2"/>
    <x v="13"/>
    <x v="8"/>
    <n v="2021"/>
    <x v="1"/>
    <s v="N/A"/>
    <n v="0"/>
    <s v="Confirmed"/>
    <m/>
    <x v="1"/>
    <x v="0"/>
    <m/>
    <x v="2"/>
    <x v="0"/>
    <m/>
    <n v="0"/>
    <x v="1"/>
    <s v="Moderate"/>
    <n v="19578671.310841195"/>
  </r>
  <r>
    <x v="0"/>
    <x v="144"/>
    <x v="144"/>
    <x v="4"/>
    <x v="0"/>
    <x v="2"/>
    <x v="13"/>
    <x v="8"/>
    <n v="2021"/>
    <x v="1"/>
    <s v="N/A"/>
    <n v="103218.84"/>
    <s v="Confirmed"/>
    <m/>
    <x v="1"/>
    <x v="0"/>
    <m/>
    <x v="4"/>
    <x v="1"/>
    <m/>
    <n v="0"/>
    <x v="0"/>
    <s v="N/A"/>
    <n v="3551452001.0684834"/>
  </r>
  <r>
    <x v="0"/>
    <x v="145"/>
    <x v="145"/>
    <x v="6"/>
    <x v="0"/>
    <x v="2"/>
    <x v="13"/>
    <x v="8"/>
    <n v="2021"/>
    <x v="1"/>
    <s v="N/A"/>
    <n v="0"/>
    <s v="Confirmed"/>
    <m/>
    <x v="1"/>
    <x v="0"/>
    <m/>
    <x v="2"/>
    <x v="0"/>
    <m/>
    <n v="0"/>
    <x v="0"/>
    <s v="N/A"/>
    <n v="6603048821.7575006"/>
  </r>
  <r>
    <x v="0"/>
    <x v="146"/>
    <x v="146"/>
    <x v="2"/>
    <x v="0"/>
    <x v="2"/>
    <x v="13"/>
    <x v="8"/>
    <n v="2021"/>
    <x v="1"/>
    <s v="N/A"/>
    <n v="0"/>
    <s v="Confirmed"/>
    <m/>
    <x v="1"/>
    <x v="0"/>
    <m/>
    <x v="0"/>
    <x v="0"/>
    <m/>
    <n v="1"/>
    <x v="0"/>
    <s v="…"/>
    <s v=""/>
  </r>
  <r>
    <x v="0"/>
    <x v="147"/>
    <x v="147"/>
    <x v="3"/>
    <x v="0"/>
    <x v="2"/>
    <x v="13"/>
    <x v="8"/>
    <n v="2021"/>
    <x v="1"/>
    <s v="N/A"/>
    <n v="0"/>
    <s v="Confirmed"/>
    <m/>
    <x v="1"/>
    <x v="0"/>
    <m/>
    <x v="2"/>
    <x v="0"/>
    <m/>
    <n v="0"/>
    <x v="0"/>
    <s v="High"/>
    <n v="515352723.9821828"/>
  </r>
  <r>
    <x v="0"/>
    <x v="148"/>
    <x v="148"/>
    <x v="3"/>
    <x v="0"/>
    <x v="2"/>
    <x v="13"/>
    <x v="8"/>
    <n v="2021"/>
    <x v="1"/>
    <s v="N/A"/>
    <n v="0"/>
    <s v="Confirmed"/>
    <m/>
    <x v="1"/>
    <x v="0"/>
    <m/>
    <x v="2"/>
    <x v="0"/>
    <m/>
    <n v="0"/>
    <x v="0"/>
    <s v="N/A"/>
    <n v="566711742.22428358"/>
  </r>
  <r>
    <x v="0"/>
    <x v="0"/>
    <x v="0"/>
    <x v="0"/>
    <x v="0"/>
    <x v="2"/>
    <x v="14"/>
    <x v="8"/>
    <n v="2021"/>
    <x v="1"/>
    <s v="N/A"/>
    <n v="0"/>
    <s v="Confirmed"/>
    <s v=""/>
    <x v="1"/>
    <x v="0"/>
    <m/>
    <x v="0"/>
    <x v="0"/>
    <m/>
    <n v="1"/>
    <x v="0"/>
    <s v="High"/>
    <n v="95829480.719269618"/>
  </r>
  <r>
    <x v="0"/>
    <x v="1"/>
    <x v="1"/>
    <x v="1"/>
    <x v="0"/>
    <x v="2"/>
    <x v="14"/>
    <x v="8"/>
    <n v="2021"/>
    <x v="1"/>
    <s v="N/A"/>
    <n v="0"/>
    <s v="Confirmed"/>
    <s v=""/>
    <x v="1"/>
    <x v="0"/>
    <m/>
    <x v="1"/>
    <x v="1"/>
    <m/>
    <n v="0"/>
    <x v="0"/>
    <s v=""/>
    <n v="427904035.52443534"/>
  </r>
  <r>
    <x v="0"/>
    <x v="2"/>
    <x v="2"/>
    <x v="2"/>
    <x v="0"/>
    <x v="2"/>
    <x v="14"/>
    <x v="8"/>
    <n v="2021"/>
    <x v="1"/>
    <s v="N/A"/>
    <n v="0"/>
    <s v="Confirmed"/>
    <s v=""/>
    <x v="1"/>
    <x v="0"/>
    <m/>
    <x v="2"/>
    <x v="0"/>
    <m/>
    <n v="0"/>
    <x v="0"/>
    <s v="N/A"/>
    <n v="7113361022.7267885"/>
  </r>
  <r>
    <x v="0"/>
    <x v="3"/>
    <x v="3"/>
    <x v="3"/>
    <x v="0"/>
    <x v="2"/>
    <x v="14"/>
    <x v="8"/>
    <n v="2021"/>
    <x v="1"/>
    <s v="N/A"/>
    <n v="0"/>
    <s v="Confirmed"/>
    <s v=""/>
    <x v="1"/>
    <x v="0"/>
    <m/>
    <x v="2"/>
    <x v="0"/>
    <m/>
    <n v="0"/>
    <x v="0"/>
    <s v="…"/>
    <n v="1131865946.5875781"/>
  </r>
  <r>
    <x v="0"/>
    <x v="4"/>
    <x v="4"/>
    <x v="4"/>
    <x v="0"/>
    <x v="2"/>
    <x v="14"/>
    <x v="8"/>
    <n v="2021"/>
    <x v="1"/>
    <s v="N/A"/>
    <n v="0"/>
    <s v="Confirmed"/>
    <s v=""/>
    <x v="1"/>
    <x v="0"/>
    <m/>
    <x v="3"/>
    <x v="1"/>
    <m/>
    <n v="0"/>
    <x v="1"/>
    <s v=""/>
    <n v="46777779.823447868"/>
  </r>
  <r>
    <x v="0"/>
    <x v="5"/>
    <x v="5"/>
    <x v="4"/>
    <x v="0"/>
    <x v="2"/>
    <x v="14"/>
    <x v="8"/>
    <n v="2021"/>
    <x v="1"/>
    <s v="N/A"/>
    <n v="0"/>
    <s v="Confirmed"/>
    <s v=""/>
    <x v="1"/>
    <x v="0"/>
    <m/>
    <x v="1"/>
    <x v="1"/>
    <m/>
    <n v="0"/>
    <x v="0"/>
    <s v=""/>
    <n v="30725305777.596794"/>
  </r>
  <r>
    <x v="0"/>
    <x v="6"/>
    <x v="6"/>
    <x v="1"/>
    <x v="0"/>
    <x v="2"/>
    <x v="14"/>
    <x v="8"/>
    <n v="2021"/>
    <x v="1"/>
    <s v="N/A"/>
    <n v="0"/>
    <s v="Confirmed"/>
    <s v=""/>
    <x v="1"/>
    <x v="0"/>
    <m/>
    <x v="1"/>
    <x v="1"/>
    <m/>
    <n v="0"/>
    <x v="0"/>
    <s v=""/>
    <n v="153815827.8380394"/>
  </r>
  <r>
    <x v="0"/>
    <x v="7"/>
    <x v="7"/>
    <x v="1"/>
    <x v="0"/>
    <x v="2"/>
    <x v="14"/>
    <x v="8"/>
    <n v="2021"/>
    <x v="1"/>
    <s v="N/A"/>
    <n v="0"/>
    <s v="Confirmed"/>
    <s v=""/>
    <x v="1"/>
    <x v="0"/>
    <m/>
    <x v="1"/>
    <x v="1"/>
    <m/>
    <n v="0"/>
    <x v="0"/>
    <s v="N/A"/>
    <n v="437525105.31216973"/>
  </r>
  <r>
    <x v="0"/>
    <x v="8"/>
    <x v="8"/>
    <x v="4"/>
    <x v="0"/>
    <x v="2"/>
    <x v="14"/>
    <x v="8"/>
    <n v="2021"/>
    <x v="1"/>
    <s v="N/A"/>
    <n v="0"/>
    <s v="Confirmed"/>
    <s v=""/>
    <x v="1"/>
    <x v="0"/>
    <m/>
    <x v="3"/>
    <x v="1"/>
    <m/>
    <n v="0"/>
    <x v="1"/>
    <s v=""/>
    <n v="149463302.00602186"/>
  </r>
  <r>
    <x v="0"/>
    <x v="9"/>
    <x v="9"/>
    <x v="0"/>
    <x v="0"/>
    <x v="2"/>
    <x v="14"/>
    <x v="8"/>
    <n v="2021"/>
    <x v="1"/>
    <s v="N/A"/>
    <n v="0"/>
    <s v="Confirmed"/>
    <s v=""/>
    <x v="1"/>
    <x v="0"/>
    <m/>
    <x v="2"/>
    <x v="0"/>
    <m/>
    <n v="0"/>
    <x v="0"/>
    <s v="Low"/>
    <n v="1148322593.9600098"/>
  </r>
  <r>
    <x v="0"/>
    <x v="10"/>
    <x v="10"/>
    <x v="1"/>
    <x v="0"/>
    <x v="2"/>
    <x v="14"/>
    <x v="8"/>
    <n v="2021"/>
    <x v="1"/>
    <s v="N/A"/>
    <n v="0"/>
    <s v="Confirmed"/>
    <s v=""/>
    <x v="1"/>
    <x v="0"/>
    <m/>
    <x v="1"/>
    <x v="1"/>
    <m/>
    <n v="0"/>
    <x v="0"/>
    <s v=""/>
    <n v="2371102058.1093163"/>
  </r>
  <r>
    <x v="0"/>
    <x v="11"/>
    <x v="11"/>
    <x v="4"/>
    <x v="0"/>
    <x v="2"/>
    <x v="14"/>
    <x v="8"/>
    <n v="2021"/>
    <x v="1"/>
    <s v="N/A"/>
    <n v="0"/>
    <s v="Confirmed"/>
    <s v=""/>
    <x v="1"/>
    <x v="0"/>
    <m/>
    <x v="2"/>
    <x v="1"/>
    <m/>
    <n v="0"/>
    <x v="1"/>
    <s v="N/A"/>
    <n v="75151620.005215243"/>
  </r>
  <r>
    <x v="0"/>
    <x v="12"/>
    <x v="12"/>
    <x v="5"/>
    <x v="0"/>
    <x v="2"/>
    <x v="14"/>
    <x v="8"/>
    <n v="2021"/>
    <x v="1"/>
    <s v="N/A"/>
    <n v="0"/>
    <s v="Confirmed"/>
    <s v=""/>
    <x v="1"/>
    <x v="0"/>
    <m/>
    <x v="2"/>
    <x v="0"/>
    <m/>
    <n v="0"/>
    <x v="0"/>
    <s v="Moderate"/>
    <n v="69958487.197715744"/>
  </r>
  <r>
    <x v="0"/>
    <x v="13"/>
    <x v="13"/>
    <x v="0"/>
    <x v="0"/>
    <x v="2"/>
    <x v="14"/>
    <x v="8"/>
    <n v="2021"/>
    <x v="1"/>
    <s v="N/A"/>
    <n v="0"/>
    <s v="Confirmed"/>
    <s v=""/>
    <x v="1"/>
    <x v="0"/>
    <m/>
    <x v="2"/>
    <x v="0"/>
    <m/>
    <n v="0"/>
    <x v="0"/>
    <s v="…"/>
    <n v="61654608.560629159"/>
  </r>
  <r>
    <x v="0"/>
    <x v="14"/>
    <x v="14"/>
    <x v="4"/>
    <x v="0"/>
    <x v="2"/>
    <x v="14"/>
    <x v="8"/>
    <n v="2021"/>
    <x v="1"/>
    <s v="N/A"/>
    <n v="0"/>
    <s v="Confirmed"/>
    <s v=""/>
    <x v="1"/>
    <x v="0"/>
    <m/>
    <x v="2"/>
    <x v="0"/>
    <m/>
    <n v="0"/>
    <x v="0"/>
    <s v="N/A"/>
    <n v="1806638707.7615163"/>
  </r>
  <r>
    <x v="0"/>
    <x v="15"/>
    <x v="15"/>
    <x v="1"/>
    <x v="0"/>
    <x v="2"/>
    <x v="14"/>
    <x v="8"/>
    <n v="2021"/>
    <x v="1"/>
    <s v="N/A"/>
    <n v="0"/>
    <s v="Confirmed"/>
    <s v=""/>
    <x v="1"/>
    <x v="0"/>
    <m/>
    <x v="1"/>
    <x v="1"/>
    <m/>
    <n v="0"/>
    <x v="0"/>
    <s v="N/A"/>
    <n v="1252696525.0627904"/>
  </r>
  <r>
    <x v="0"/>
    <x v="16"/>
    <x v="16"/>
    <x v="3"/>
    <x v="0"/>
    <x v="2"/>
    <x v="14"/>
    <x v="8"/>
    <n v="2021"/>
    <x v="1"/>
    <s v="N/A"/>
    <n v="0"/>
    <s v="Confirmed"/>
    <s v=""/>
    <x v="1"/>
    <x v="0"/>
    <m/>
    <x v="1"/>
    <x v="1"/>
    <m/>
    <n v="0"/>
    <x v="0"/>
    <s v=""/>
    <n v="843425084.07334602"/>
  </r>
  <r>
    <x v="0"/>
    <x v="17"/>
    <x v="17"/>
    <x v="4"/>
    <x v="0"/>
    <x v="2"/>
    <x v="14"/>
    <x v="8"/>
    <n v="2021"/>
    <x v="1"/>
    <s v="N/A"/>
    <n v="0"/>
    <s v="Confirmed"/>
    <s v=""/>
    <x v="1"/>
    <x v="0"/>
    <m/>
    <x v="1"/>
    <x v="1"/>
    <m/>
    <n v="0"/>
    <x v="0"/>
    <s v="N/A"/>
    <n v="74055620038.853683"/>
  </r>
  <r>
    <x v="0"/>
    <x v="18"/>
    <x v="18"/>
    <x v="1"/>
    <x v="0"/>
    <x v="2"/>
    <x v="14"/>
    <x v="8"/>
    <n v="2021"/>
    <x v="1"/>
    <s v="N/A"/>
    <n v="0"/>
    <s v="Confirmed"/>
    <s v=""/>
    <x v="1"/>
    <x v="0"/>
    <m/>
    <x v="1"/>
    <x v="1"/>
    <m/>
    <n v="0"/>
    <x v="0"/>
    <s v=""/>
    <n v="2803357765.5888777"/>
  </r>
  <r>
    <x v="0"/>
    <x v="19"/>
    <x v="19"/>
    <x v="5"/>
    <x v="0"/>
    <x v="2"/>
    <x v="14"/>
    <x v="8"/>
    <n v="2021"/>
    <x v="1"/>
    <s v="N/A"/>
    <n v="0"/>
    <s v="Confirmed"/>
    <s v=""/>
    <x v="1"/>
    <x v="0"/>
    <m/>
    <x v="0"/>
    <x v="0"/>
    <m/>
    <n v="2"/>
    <x v="0"/>
    <s v="Moderate"/>
    <n v="337927779.25510043"/>
  </r>
  <r>
    <x v="0"/>
    <x v="20"/>
    <x v="20"/>
    <x v="3"/>
    <x v="0"/>
    <x v="2"/>
    <x v="14"/>
    <x v="8"/>
    <n v="2021"/>
    <x v="1"/>
    <s v="N/A"/>
    <n v="0"/>
    <s v="Confirmed"/>
    <s v=""/>
    <x v="1"/>
    <x v="0"/>
    <m/>
    <x v="0"/>
    <x v="0"/>
    <m/>
    <n v="2"/>
    <x v="0"/>
    <s v="…"/>
    <n v="65979512.47399316"/>
  </r>
  <r>
    <x v="0"/>
    <x v="21"/>
    <x v="21"/>
    <x v="5"/>
    <x v="0"/>
    <x v="2"/>
    <x v="14"/>
    <x v="8"/>
    <n v="2021"/>
    <x v="1"/>
    <s v="N/A"/>
    <n v="0"/>
    <s v="Confirmed"/>
    <s v=""/>
    <x v="1"/>
    <x v="0"/>
    <m/>
    <x v="2"/>
    <x v="0"/>
    <m/>
    <n v="0"/>
    <x v="1"/>
    <s v="High"/>
    <n v="63748362.778827004"/>
  </r>
  <r>
    <x v="0"/>
    <x v="22"/>
    <x v="22"/>
    <x v="6"/>
    <x v="0"/>
    <x v="2"/>
    <x v="14"/>
    <x v="8"/>
    <n v="2021"/>
    <x v="1"/>
    <s v="N/A"/>
    <n v="0"/>
    <s v="Confirmed"/>
    <s v=""/>
    <x v="1"/>
    <x v="0"/>
    <m/>
    <x v="2"/>
    <x v="0"/>
    <m/>
    <n v="0"/>
    <x v="0"/>
    <s v="Low"/>
    <n v="313039649.45369786"/>
  </r>
  <r>
    <x v="0"/>
    <x v="23"/>
    <x v="23"/>
    <x v="5"/>
    <x v="0"/>
    <x v="2"/>
    <x v="14"/>
    <x v="8"/>
    <n v="2021"/>
    <x v="1"/>
    <s v="N/A"/>
    <n v="0"/>
    <s v="Confirmed"/>
    <s v=""/>
    <x v="1"/>
    <x v="0"/>
    <m/>
    <x v="2"/>
    <x v="0"/>
    <m/>
    <n v="2"/>
    <x v="0"/>
    <s v="High"/>
    <n v="81361801.477472037"/>
  </r>
  <r>
    <x v="0"/>
    <x v="24"/>
    <x v="24"/>
    <x v="5"/>
    <x v="0"/>
    <x v="2"/>
    <x v="14"/>
    <x v="8"/>
    <n v="2021"/>
    <x v="1"/>
    <s v="N/A"/>
    <n v="0"/>
    <s v="Confirmed"/>
    <s v=""/>
    <x v="1"/>
    <x v="0"/>
    <m/>
    <x v="0"/>
    <x v="0"/>
    <m/>
    <n v="1"/>
    <x v="0"/>
    <s v="High"/>
    <s v=""/>
  </r>
  <r>
    <x v="0"/>
    <x v="25"/>
    <x v="25"/>
    <x v="5"/>
    <x v="0"/>
    <x v="2"/>
    <x v="14"/>
    <x v="8"/>
    <n v="2021"/>
    <x v="1"/>
    <s v="N/A"/>
    <n v="0"/>
    <s v="Confirmed"/>
    <s v=""/>
    <x v="1"/>
    <x v="0"/>
    <m/>
    <x v="0"/>
    <x v="0"/>
    <m/>
    <n v="1"/>
    <x v="0"/>
    <s v="High"/>
    <n v="76939306.715636879"/>
  </r>
  <r>
    <x v="0"/>
    <x v="26"/>
    <x v="26"/>
    <x v="4"/>
    <x v="0"/>
    <x v="2"/>
    <x v="14"/>
    <x v="8"/>
    <n v="2021"/>
    <x v="1"/>
    <s v="N/A"/>
    <n v="0"/>
    <s v="Confirmed"/>
    <s v=""/>
    <x v="1"/>
    <x v="0"/>
    <m/>
    <x v="3"/>
    <x v="1"/>
    <m/>
    <n v="0"/>
    <x v="0"/>
    <s v=""/>
    <n v="13859708717.682571"/>
  </r>
  <r>
    <x v="0"/>
    <x v="27"/>
    <x v="27"/>
    <x v="6"/>
    <x v="0"/>
    <x v="2"/>
    <x v="14"/>
    <x v="8"/>
    <n v="2021"/>
    <x v="1"/>
    <s v="N/A"/>
    <n v="0"/>
    <s v="Confirmed"/>
    <s v=""/>
    <x v="1"/>
    <x v="0"/>
    <m/>
    <x v="1"/>
    <x v="1"/>
    <m/>
    <n v="0"/>
    <x v="0"/>
    <s v=""/>
    <n v="403567160707.7016"/>
  </r>
  <r>
    <x v="0"/>
    <x v="28"/>
    <x v="28"/>
    <x v="4"/>
    <x v="0"/>
    <x v="2"/>
    <x v="14"/>
    <x v="8"/>
    <n v="2021"/>
    <x v="1"/>
    <s v="N/A"/>
    <n v="0"/>
    <s v="Confirmed"/>
    <s v=""/>
    <x v="1"/>
    <x v="0"/>
    <m/>
    <x v="1"/>
    <x v="1"/>
    <m/>
    <n v="0"/>
    <x v="0"/>
    <s v=""/>
    <n v="18250225995.972618"/>
  </r>
  <r>
    <x v="0"/>
    <x v="29"/>
    <x v="29"/>
    <x v="3"/>
    <x v="0"/>
    <x v="2"/>
    <x v="14"/>
    <x v="8"/>
    <n v="2021"/>
    <x v="1"/>
    <s v="N/A"/>
    <n v="0"/>
    <s v="Confirmed"/>
    <s v=""/>
    <x v="1"/>
    <x v="0"/>
    <m/>
    <x v="2"/>
    <x v="0"/>
    <m/>
    <n v="0"/>
    <x v="1"/>
    <s v="Moderate"/>
    <n v="5027591.1682657599"/>
  </r>
  <r>
    <x v="0"/>
    <x v="30"/>
    <x v="30"/>
    <x v="5"/>
    <x v="0"/>
    <x v="2"/>
    <x v="14"/>
    <x v="8"/>
    <n v="2021"/>
    <x v="1"/>
    <s v="N/A"/>
    <n v="0"/>
    <s v="Confirmed"/>
    <s v=""/>
    <x v="1"/>
    <x v="0"/>
    <m/>
    <x v="0"/>
    <x v="0"/>
    <m/>
    <n v="3"/>
    <x v="0"/>
    <s v="Moderate"/>
    <n v="234645958.63289919"/>
  </r>
  <r>
    <x v="0"/>
    <x v="31"/>
    <x v="31"/>
    <x v="5"/>
    <x v="0"/>
    <x v="2"/>
    <x v="14"/>
    <x v="8"/>
    <n v="2021"/>
    <x v="1"/>
    <s v="N/A"/>
    <n v="0"/>
    <s v="Confirmed"/>
    <s v=""/>
    <x v="1"/>
    <x v="0"/>
    <m/>
    <x v="2"/>
    <x v="0"/>
    <m/>
    <n v="2"/>
    <x v="0"/>
    <s v="In distress"/>
    <n v="91590910.247314155"/>
  </r>
  <r>
    <x v="0"/>
    <x v="32"/>
    <x v="32"/>
    <x v="6"/>
    <x v="0"/>
    <x v="2"/>
    <x v="14"/>
    <x v="8"/>
    <n v="2021"/>
    <x v="1"/>
    <s v="N/A"/>
    <n v="0"/>
    <s v="Confirmed"/>
    <s v=""/>
    <x v="1"/>
    <x v="0"/>
    <m/>
    <x v="4"/>
    <x v="1"/>
    <m/>
    <n v="0"/>
    <x v="1"/>
    <s v="N/A"/>
    <n v="8560012.8840167802"/>
  </r>
  <r>
    <x v="0"/>
    <x v="33"/>
    <x v="33"/>
    <x v="4"/>
    <x v="0"/>
    <x v="2"/>
    <x v="14"/>
    <x v="8"/>
    <n v="2021"/>
    <x v="1"/>
    <s v="N/A"/>
    <n v="0"/>
    <s v="Confirmed"/>
    <s v=""/>
    <x v="1"/>
    <x v="0"/>
    <m/>
    <x v="1"/>
    <x v="1"/>
    <m/>
    <n v="0"/>
    <x v="0"/>
    <s v="N/A"/>
    <n v="3292372960.3962669"/>
  </r>
  <r>
    <x v="0"/>
    <x v="34"/>
    <x v="34"/>
    <x v="5"/>
    <x v="0"/>
    <x v="2"/>
    <x v="14"/>
    <x v="8"/>
    <n v="2021"/>
    <x v="1"/>
    <s v="N/A"/>
    <n v="0"/>
    <s v="Confirmed"/>
    <s v=""/>
    <x v="1"/>
    <x v="0"/>
    <m/>
    <x v="2"/>
    <x v="0"/>
    <m/>
    <n v="0"/>
    <x v="0"/>
    <s v="Moderate"/>
    <n v="519209981.22981054"/>
  </r>
  <r>
    <x v="0"/>
    <x v="35"/>
    <x v="35"/>
    <x v="1"/>
    <x v="0"/>
    <x v="2"/>
    <x v="14"/>
    <x v="8"/>
    <n v="2021"/>
    <x v="1"/>
    <s v="N/A"/>
    <n v="0"/>
    <s v="Confirmed"/>
    <s v=""/>
    <x v="1"/>
    <x v="0"/>
    <m/>
    <x v="3"/>
    <x v="1"/>
    <m/>
    <n v="0"/>
    <x v="0"/>
    <s v=""/>
    <n v="3464739907.1604805"/>
  </r>
  <r>
    <x v="0"/>
    <x v="36"/>
    <x v="36"/>
    <x v="4"/>
    <x v="0"/>
    <x v="2"/>
    <x v="14"/>
    <x v="8"/>
    <n v="2021"/>
    <x v="1"/>
    <s v="N/A"/>
    <n v="0"/>
    <s v="Confirmed"/>
    <s v=""/>
    <x v="1"/>
    <x v="0"/>
    <m/>
    <x v="1"/>
    <x v="1"/>
    <m/>
    <n v="0"/>
    <x v="1"/>
    <s v=""/>
    <n v="9948521252.2569065"/>
  </r>
  <r>
    <x v="0"/>
    <x v="37"/>
    <x v="37"/>
    <x v="2"/>
    <x v="0"/>
    <x v="2"/>
    <x v="14"/>
    <x v="8"/>
    <n v="2021"/>
    <x v="1"/>
    <s v="N/A"/>
    <n v="0"/>
    <s v="Confirmed"/>
    <s v=""/>
    <x v="1"/>
    <x v="0"/>
    <m/>
    <x v="2"/>
    <x v="0"/>
    <m/>
    <n v="1"/>
    <x v="0"/>
    <s v="High"/>
    <n v="33679192.765657313"/>
  </r>
  <r>
    <x v="0"/>
    <x v="38"/>
    <x v="38"/>
    <x v="4"/>
    <x v="0"/>
    <x v="2"/>
    <x v="14"/>
    <x v="8"/>
    <n v="2021"/>
    <x v="1"/>
    <s v="N/A"/>
    <n v="0"/>
    <s v="Confirmed"/>
    <s v=""/>
    <x v="1"/>
    <x v="0"/>
    <m/>
    <x v="1"/>
    <x v="0"/>
    <m/>
    <n v="0"/>
    <x v="1"/>
    <s v="…"/>
    <n v="22784494.365742501"/>
  </r>
  <r>
    <x v="0"/>
    <x v="39"/>
    <x v="39"/>
    <x v="4"/>
    <x v="0"/>
    <x v="2"/>
    <x v="14"/>
    <x v="8"/>
    <n v="2021"/>
    <x v="1"/>
    <s v="N/A"/>
    <n v="0"/>
    <s v="Confirmed"/>
    <s v=""/>
    <x v="1"/>
    <x v="0"/>
    <m/>
    <x v="1"/>
    <x v="1"/>
    <m/>
    <n v="0"/>
    <x v="1"/>
    <s v=""/>
    <n v="2173208011.4858823"/>
  </r>
  <r>
    <x v="0"/>
    <x v="40"/>
    <x v="40"/>
    <x v="4"/>
    <x v="0"/>
    <x v="2"/>
    <x v="14"/>
    <x v="8"/>
    <n v="2021"/>
    <x v="1"/>
    <s v="N/A"/>
    <n v="0"/>
    <s v="Confirmed"/>
    <s v=""/>
    <x v="1"/>
    <x v="0"/>
    <m/>
    <x v="1"/>
    <x v="1"/>
    <m/>
    <n v="0"/>
    <x v="0"/>
    <s v="N/A"/>
    <n v="4585736158.8323269"/>
  </r>
  <r>
    <x v="0"/>
    <x v="41"/>
    <x v="41"/>
    <x v="2"/>
    <x v="0"/>
    <x v="2"/>
    <x v="14"/>
    <x v="8"/>
    <n v="2021"/>
    <x v="1"/>
    <s v="N/A"/>
    <n v="0"/>
    <s v="Confirmed"/>
    <s v=""/>
    <x v="1"/>
    <x v="0"/>
    <m/>
    <x v="2"/>
    <x v="0"/>
    <m/>
    <n v="0"/>
    <x v="0"/>
    <s v="N/A"/>
    <n v="3550291584.8645592"/>
  </r>
  <r>
    <x v="0"/>
    <x v="42"/>
    <x v="42"/>
    <x v="4"/>
    <x v="0"/>
    <x v="2"/>
    <x v="14"/>
    <x v="8"/>
    <n v="2021"/>
    <x v="1"/>
    <s v="N/A"/>
    <n v="0"/>
    <s v="Confirmed"/>
    <s v=""/>
    <x v="1"/>
    <x v="0"/>
    <m/>
    <x v="2"/>
    <x v="0"/>
    <m/>
    <n v="0"/>
    <x v="0"/>
    <s v="N/A"/>
    <n v="1182840319.0410969"/>
  </r>
  <r>
    <x v="0"/>
    <x v="43"/>
    <x v="43"/>
    <x v="4"/>
    <x v="0"/>
    <x v="2"/>
    <x v="14"/>
    <x v="8"/>
    <n v="2021"/>
    <x v="1"/>
    <s v="N/A"/>
    <n v="0"/>
    <s v="Confirmed"/>
    <s v=""/>
    <x v="1"/>
    <x v="0"/>
    <m/>
    <x v="1"/>
    <x v="1"/>
    <m/>
    <n v="0"/>
    <x v="0"/>
    <s v=""/>
    <n v="81728347.604567245"/>
  </r>
  <r>
    <x v="0"/>
    <x v="44"/>
    <x v="44"/>
    <x v="3"/>
    <x v="0"/>
    <x v="2"/>
    <x v="14"/>
    <x v="8"/>
    <n v="2021"/>
    <x v="1"/>
    <s v="N/A"/>
    <n v="0"/>
    <s v="Confirmed"/>
    <s v=""/>
    <x v="1"/>
    <x v="0"/>
    <m/>
    <x v="0"/>
    <x v="0"/>
    <m/>
    <n v="2"/>
    <x v="0"/>
    <s v="N/A"/>
    <n v="12787914.977715338"/>
  </r>
  <r>
    <x v="0"/>
    <x v="45"/>
    <x v="45"/>
    <x v="3"/>
    <x v="0"/>
    <x v="2"/>
    <x v="14"/>
    <x v="8"/>
    <n v="2021"/>
    <x v="1"/>
    <s v="N/A"/>
    <n v="0"/>
    <s v="Confirmed"/>
    <s v=""/>
    <x v="1"/>
    <x v="0"/>
    <m/>
    <x v="2"/>
    <x v="0"/>
    <m/>
    <n v="2"/>
    <x v="0"/>
    <s v="N/A"/>
    <n v="101271737.65410839"/>
  </r>
  <r>
    <x v="0"/>
    <x v="46"/>
    <x v="46"/>
    <x v="3"/>
    <x v="0"/>
    <x v="2"/>
    <x v="14"/>
    <x v="8"/>
    <n v="2021"/>
    <x v="1"/>
    <s v="N/A"/>
    <n v="0"/>
    <s v="Confirmed"/>
    <s v=""/>
    <x v="1"/>
    <x v="0"/>
    <m/>
    <x v="0"/>
    <x v="0"/>
    <m/>
    <n v="3"/>
    <x v="0"/>
    <s v="High"/>
    <n v="618344226.71759331"/>
  </r>
  <r>
    <x v="0"/>
    <x v="47"/>
    <x v="47"/>
    <x v="6"/>
    <x v="0"/>
    <x v="2"/>
    <x v="14"/>
    <x v="8"/>
    <n v="2021"/>
    <x v="1"/>
    <s v="N/A"/>
    <n v="0"/>
    <s v="Confirmed"/>
    <s v=""/>
    <x v="1"/>
    <x v="0"/>
    <m/>
    <x v="1"/>
    <x v="0"/>
    <m/>
    <n v="0"/>
    <x v="1"/>
    <s v="…"/>
    <n v="129483872.95906857"/>
  </r>
  <r>
    <x v="0"/>
    <x v="48"/>
    <x v="48"/>
    <x v="5"/>
    <x v="0"/>
    <x v="2"/>
    <x v="14"/>
    <x v="8"/>
    <n v="2021"/>
    <x v="1"/>
    <s v="N/A"/>
    <n v="0"/>
    <s v="Confirmed"/>
    <s v=""/>
    <x v="1"/>
    <x v="0"/>
    <m/>
    <x v="1"/>
    <x v="1"/>
    <m/>
    <n v="0"/>
    <x v="0"/>
    <s v="N/A"/>
    <n v="271184658.35014349"/>
  </r>
  <r>
    <x v="0"/>
    <x v="49"/>
    <x v="49"/>
    <x v="5"/>
    <x v="0"/>
    <x v="2"/>
    <x v="14"/>
    <x v="8"/>
    <n v="2021"/>
    <x v="1"/>
    <s v="N/A"/>
    <n v="0"/>
    <s v="Confirmed"/>
    <s v=""/>
    <x v="1"/>
    <x v="0"/>
    <m/>
    <x v="0"/>
    <x v="0"/>
    <m/>
    <n v="0"/>
    <x v="0"/>
    <s v="High"/>
    <n v="15455265.086884515"/>
  </r>
  <r>
    <x v="0"/>
    <x v="50"/>
    <x v="50"/>
    <x v="1"/>
    <x v="0"/>
    <x v="2"/>
    <x v="14"/>
    <x v="8"/>
    <n v="2021"/>
    <x v="1"/>
    <s v="N/A"/>
    <n v="0"/>
    <s v="Confirmed"/>
    <s v=""/>
    <x v="1"/>
    <x v="0"/>
    <m/>
    <x v="1"/>
    <x v="1"/>
    <m/>
    <n v="0"/>
    <x v="0"/>
    <s v="N/A"/>
    <n v="494021502.525527"/>
  </r>
  <r>
    <x v="0"/>
    <x v="51"/>
    <x v="51"/>
    <x v="5"/>
    <x v="0"/>
    <x v="2"/>
    <x v="14"/>
    <x v="8"/>
    <n v="2021"/>
    <x v="1"/>
    <s v="N/A"/>
    <n v="0"/>
    <s v="Confirmed"/>
    <s v=""/>
    <x v="1"/>
    <x v="0"/>
    <m/>
    <x v="2"/>
    <x v="0"/>
    <m/>
    <n v="0"/>
    <x v="0"/>
    <s v="High"/>
    <n v="902005621.73836684"/>
  </r>
  <r>
    <x v="0"/>
    <x v="52"/>
    <x v="52"/>
    <x v="4"/>
    <x v="0"/>
    <x v="2"/>
    <x v="14"/>
    <x v="8"/>
    <n v="2021"/>
    <x v="1"/>
    <s v="N/A"/>
    <n v="0"/>
    <s v="Confirmed"/>
    <s v=""/>
    <x v="1"/>
    <x v="0"/>
    <m/>
    <x v="1"/>
    <x v="0"/>
    <m/>
    <n v="0"/>
    <x v="1"/>
    <s v="In distress"/>
    <n v="20201670.142996579"/>
  </r>
  <r>
    <x v="0"/>
    <x v="53"/>
    <x v="53"/>
    <x v="4"/>
    <x v="0"/>
    <x v="2"/>
    <x v="14"/>
    <x v="8"/>
    <n v="2021"/>
    <x v="1"/>
    <s v="N/A"/>
    <n v="0"/>
    <s v="Confirmed"/>
    <s v=""/>
    <x v="1"/>
    <x v="0"/>
    <m/>
    <x v="1"/>
    <x v="1"/>
    <m/>
    <n v="0"/>
    <x v="0"/>
    <s v=""/>
    <n v="1612434649.6948864"/>
  </r>
  <r>
    <x v="0"/>
    <x v="54"/>
    <x v="54"/>
    <x v="5"/>
    <x v="0"/>
    <x v="2"/>
    <x v="14"/>
    <x v="8"/>
    <n v="2021"/>
    <x v="1"/>
    <s v="N/A"/>
    <n v="0"/>
    <s v="Confirmed"/>
    <s v=""/>
    <x v="1"/>
    <x v="0"/>
    <m/>
    <x v="0"/>
    <x v="0"/>
    <m/>
    <n v="0"/>
    <x v="0"/>
    <s v="Moderate"/>
    <n v="78203134.118229344"/>
  </r>
  <r>
    <x v="0"/>
    <x v="55"/>
    <x v="55"/>
    <x v="5"/>
    <x v="0"/>
    <x v="2"/>
    <x v="14"/>
    <x v="8"/>
    <n v="2021"/>
    <x v="1"/>
    <s v="N/A"/>
    <n v="0"/>
    <s v="Confirmed"/>
    <s v=""/>
    <x v="1"/>
    <x v="0"/>
    <m/>
    <x v="0"/>
    <x v="0"/>
    <m/>
    <n v="2"/>
    <x v="1"/>
    <s v="High"/>
    <n v="9151637.7411015611"/>
  </r>
  <r>
    <x v="0"/>
    <x v="56"/>
    <x v="56"/>
    <x v="4"/>
    <x v="0"/>
    <x v="2"/>
    <x v="14"/>
    <x v="8"/>
    <n v="2021"/>
    <x v="1"/>
    <s v="N/A"/>
    <n v="0"/>
    <s v="Confirmed"/>
    <s v=""/>
    <x v="1"/>
    <x v="0"/>
    <m/>
    <x v="1"/>
    <x v="0"/>
    <m/>
    <n v="0"/>
    <x v="1"/>
    <s v="Moderate"/>
    <n v="142455920.02856269"/>
  </r>
  <r>
    <x v="0"/>
    <x v="57"/>
    <x v="57"/>
    <x v="4"/>
    <x v="0"/>
    <x v="2"/>
    <x v="14"/>
    <x v="8"/>
    <n v="2021"/>
    <x v="1"/>
    <s v="N/A"/>
    <n v="0"/>
    <s v="Confirmed"/>
    <s v=""/>
    <x v="1"/>
    <x v="0"/>
    <m/>
    <x v="2"/>
    <x v="0"/>
    <m/>
    <n v="1"/>
    <x v="1"/>
    <s v="High"/>
    <n v="85611818.171245083"/>
  </r>
  <r>
    <x v="0"/>
    <x v="58"/>
    <x v="58"/>
    <x v="4"/>
    <x v="0"/>
    <x v="2"/>
    <x v="14"/>
    <x v="8"/>
    <n v="2021"/>
    <x v="1"/>
    <s v="N/A"/>
    <n v="0"/>
    <s v="Confirmed"/>
    <s v=""/>
    <x v="1"/>
    <x v="0"/>
    <m/>
    <x v="2"/>
    <x v="0"/>
    <m/>
    <n v="0"/>
    <x v="0"/>
    <s v="Low"/>
    <n v="680289736.30082119"/>
  </r>
  <r>
    <x v="0"/>
    <x v="59"/>
    <x v="59"/>
    <x v="0"/>
    <x v="0"/>
    <x v="2"/>
    <x v="14"/>
    <x v="8"/>
    <n v="2021"/>
    <x v="1"/>
    <s v="N/A"/>
    <n v="0"/>
    <s v="Confirmed"/>
    <s v=""/>
    <x v="1"/>
    <x v="0"/>
    <m/>
    <x v="2"/>
    <x v="0"/>
    <m/>
    <n v="0"/>
    <x v="0"/>
    <s v="N/A"/>
    <n v="26554332750.47023"/>
  </r>
  <r>
    <x v="0"/>
    <x v="60"/>
    <x v="60"/>
    <x v="6"/>
    <x v="0"/>
    <x v="2"/>
    <x v="14"/>
    <x v="8"/>
    <n v="2021"/>
    <x v="1"/>
    <s v="N/A"/>
    <n v="0"/>
    <s v="Confirmed"/>
    <s v=""/>
    <x v="1"/>
    <x v="0"/>
    <m/>
    <x v="2"/>
    <x v="0"/>
    <m/>
    <n v="0"/>
    <x v="0"/>
    <s v="N/A"/>
    <n v="14745961064.890842"/>
  </r>
  <r>
    <x v="0"/>
    <x v="61"/>
    <x v="61"/>
    <x v="2"/>
    <x v="0"/>
    <x v="2"/>
    <x v="14"/>
    <x v="8"/>
    <n v="2021"/>
    <x v="1"/>
    <s v="N/A"/>
    <n v="0"/>
    <s v="Confirmed"/>
    <s v=""/>
    <x v="1"/>
    <x v="0"/>
    <m/>
    <x v="2"/>
    <x v="1"/>
    <m/>
    <n v="0"/>
    <x v="0"/>
    <s v="N/A"/>
    <n v="18194076299.786381"/>
  </r>
  <r>
    <x v="0"/>
    <x v="62"/>
    <x v="62"/>
    <x v="2"/>
    <x v="0"/>
    <x v="2"/>
    <x v="14"/>
    <x v="8"/>
    <n v="2021"/>
    <x v="1"/>
    <s v="N/A"/>
    <n v="0"/>
    <s v="Confirmed"/>
    <s v=""/>
    <x v="1"/>
    <x v="0"/>
    <m/>
    <x v="1"/>
    <x v="1"/>
    <m/>
    <n v="0"/>
    <x v="0"/>
    <s v="N/A"/>
    <n v="4428819387.769825"/>
  </r>
  <r>
    <x v="0"/>
    <x v="63"/>
    <x v="63"/>
    <x v="4"/>
    <x v="0"/>
    <x v="2"/>
    <x v="14"/>
    <x v="8"/>
    <n v="2021"/>
    <x v="1"/>
    <s v="N/A"/>
    <n v="0"/>
    <s v="Confirmed"/>
    <s v=""/>
    <x v="1"/>
    <x v="0"/>
    <m/>
    <x v="1"/>
    <x v="1"/>
    <m/>
    <n v="0"/>
    <x v="1"/>
    <s v=""/>
    <n v="611739560.62679195"/>
  </r>
  <r>
    <x v="0"/>
    <x v="64"/>
    <x v="64"/>
    <x v="2"/>
    <x v="0"/>
    <x v="2"/>
    <x v="14"/>
    <x v="8"/>
    <n v="2021"/>
    <x v="1"/>
    <s v="N/A"/>
    <n v="0"/>
    <s v="Confirmed"/>
    <s v=""/>
    <x v="1"/>
    <x v="0"/>
    <m/>
    <x v="1"/>
    <x v="1"/>
    <m/>
    <n v="0"/>
    <x v="0"/>
    <s v="N/A"/>
    <n v="1617913383.0481031"/>
  </r>
  <r>
    <x v="0"/>
    <x v="65"/>
    <x v="65"/>
    <x v="1"/>
    <x v="0"/>
    <x v="2"/>
    <x v="14"/>
    <x v="8"/>
    <n v="2021"/>
    <x v="1"/>
    <s v="N/A"/>
    <n v="0"/>
    <s v="Confirmed"/>
    <s v=""/>
    <x v="1"/>
    <x v="0"/>
    <m/>
    <x v="1"/>
    <x v="1"/>
    <m/>
    <n v="0"/>
    <x v="0"/>
    <s v=""/>
    <n v="3074419112.4562683"/>
  </r>
  <r>
    <x v="0"/>
    <x v="66"/>
    <x v="66"/>
    <x v="3"/>
    <x v="0"/>
    <x v="2"/>
    <x v="14"/>
    <x v="8"/>
    <n v="2021"/>
    <x v="1"/>
    <s v="N/A"/>
    <n v="0"/>
    <s v="Confirmed"/>
    <s v=""/>
    <x v="1"/>
    <x v="0"/>
    <m/>
    <x v="2"/>
    <x v="0"/>
    <m/>
    <n v="0"/>
    <x v="0"/>
    <s v="High"/>
    <n v="1914014279.8929913"/>
  </r>
  <r>
    <x v="0"/>
    <x v="67"/>
    <x v="67"/>
    <x v="6"/>
    <x v="0"/>
    <x v="2"/>
    <x v="14"/>
    <x v="8"/>
    <n v="2021"/>
    <x v="1"/>
    <s v="N/A"/>
    <n v="0"/>
    <s v="Confirmed"/>
    <s v=""/>
    <x v="1"/>
    <x v="0"/>
    <m/>
    <x v="2"/>
    <x v="0"/>
    <m/>
    <n v="0"/>
    <x v="1"/>
    <s v="High"/>
    <n v="17422005.762907442"/>
  </r>
  <r>
    <x v="0"/>
    <x v="68"/>
    <x v="68"/>
    <x v="6"/>
    <x v="0"/>
    <x v="2"/>
    <x v="14"/>
    <x v="8"/>
    <n v="2021"/>
    <x v="1"/>
    <s v="N/A"/>
    <n v="0"/>
    <s v="Confirmed"/>
    <s v=""/>
    <x v="1"/>
    <x v="0"/>
    <m/>
    <x v="0"/>
    <x v="0"/>
    <m/>
    <n v="0"/>
    <x v="0"/>
    <s v="N/A"/>
    <s v=""/>
  </r>
  <r>
    <x v="0"/>
    <x v="69"/>
    <x v="69"/>
    <x v="1"/>
    <x v="0"/>
    <x v="2"/>
    <x v="14"/>
    <x v="8"/>
    <n v="2021"/>
    <x v="1"/>
    <s v="N/A"/>
    <n v="0"/>
    <s v="Confirmed"/>
    <s v=""/>
    <x v="1"/>
    <x v="0"/>
    <m/>
    <x v="1"/>
    <x v="0"/>
    <m/>
    <n v="0"/>
    <x v="0"/>
    <s v="…"/>
    <s v=""/>
  </r>
  <r>
    <x v="0"/>
    <x v="70"/>
    <x v="70"/>
    <x v="1"/>
    <x v="0"/>
    <x v="2"/>
    <x v="14"/>
    <x v="8"/>
    <n v="2021"/>
    <x v="1"/>
    <s v="N/A"/>
    <n v="0"/>
    <s v="Confirmed"/>
    <s v=""/>
    <x v="1"/>
    <x v="0"/>
    <m/>
    <x v="2"/>
    <x v="0"/>
    <m/>
    <n v="2"/>
    <x v="0"/>
    <s v="Moderate"/>
    <n v="231506834.84347546"/>
  </r>
  <r>
    <x v="0"/>
    <x v="71"/>
    <x v="71"/>
    <x v="6"/>
    <x v="0"/>
    <x v="2"/>
    <x v="14"/>
    <x v="8"/>
    <n v="2021"/>
    <x v="1"/>
    <s v="N/A"/>
    <n v="0"/>
    <s v="Confirmed"/>
    <s v=""/>
    <x v="1"/>
    <x v="0"/>
    <m/>
    <x v="2"/>
    <x v="0"/>
    <m/>
    <n v="0"/>
    <x v="0"/>
    <s v="High"/>
    <n v="156059428.62944782"/>
  </r>
  <r>
    <x v="0"/>
    <x v="72"/>
    <x v="72"/>
    <x v="2"/>
    <x v="0"/>
    <x v="2"/>
    <x v="14"/>
    <x v="8"/>
    <n v="2021"/>
    <x v="1"/>
    <s v="N/A"/>
    <n v="0"/>
    <s v="Confirmed"/>
    <s v=""/>
    <x v="1"/>
    <x v="0"/>
    <m/>
    <x v="1"/>
    <x v="1"/>
    <m/>
    <n v="0"/>
    <x v="0"/>
    <s v="N/A"/>
    <n v="2355391507.1635861"/>
  </r>
  <r>
    <x v="0"/>
    <x v="73"/>
    <x v="73"/>
    <x v="3"/>
    <x v="0"/>
    <x v="2"/>
    <x v="14"/>
    <x v="8"/>
    <n v="2021"/>
    <x v="1"/>
    <s v="N/A"/>
    <n v="0"/>
    <s v="Confirmed"/>
    <s v=""/>
    <x v="1"/>
    <x v="0"/>
    <m/>
    <x v="2"/>
    <x v="0"/>
    <m/>
    <n v="0"/>
    <x v="0"/>
    <s v="Moderate"/>
    <n v="152760919.7684873"/>
  </r>
  <r>
    <x v="0"/>
    <x v="74"/>
    <x v="74"/>
    <x v="5"/>
    <x v="0"/>
    <x v="2"/>
    <x v="14"/>
    <x v="8"/>
    <n v="2021"/>
    <x v="1"/>
    <s v="N/A"/>
    <n v="0"/>
    <s v="Confirmed"/>
    <s v=""/>
    <x v="1"/>
    <x v="0"/>
    <m/>
    <x v="0"/>
    <x v="0"/>
    <m/>
    <n v="0"/>
    <x v="0"/>
    <s v="High"/>
    <n v="55072006.864440605"/>
  </r>
  <r>
    <x v="0"/>
    <x v="75"/>
    <x v="75"/>
    <x v="2"/>
    <x v="0"/>
    <x v="2"/>
    <x v="14"/>
    <x v="8"/>
    <n v="2021"/>
    <x v="1"/>
    <s v="N/A"/>
    <n v="0"/>
    <s v="Confirmed"/>
    <s v=""/>
    <x v="1"/>
    <x v="0"/>
    <m/>
    <x v="1"/>
    <x v="1"/>
    <m/>
    <n v="0"/>
    <x v="0"/>
    <s v="N/A"/>
    <s v=""/>
  </r>
  <r>
    <x v="0"/>
    <x v="76"/>
    <x v="76"/>
    <x v="3"/>
    <x v="0"/>
    <x v="2"/>
    <x v="14"/>
    <x v="8"/>
    <n v="2021"/>
    <x v="1"/>
    <s v="N/A"/>
    <n v="0"/>
    <s v="Confirmed"/>
    <s v=""/>
    <x v="1"/>
    <x v="0"/>
    <m/>
    <x v="0"/>
    <x v="0"/>
    <m/>
    <n v="2"/>
    <x v="0"/>
    <s v="Moderate"/>
    <n v="206914157.05429548"/>
  </r>
  <r>
    <x v="0"/>
    <x v="77"/>
    <x v="77"/>
    <x v="3"/>
    <x v="0"/>
    <x v="2"/>
    <x v="14"/>
    <x v="8"/>
    <n v="2021"/>
    <x v="1"/>
    <s v="N/A"/>
    <n v="0"/>
    <s v="Confirmed"/>
    <s v=""/>
    <x v="1"/>
    <x v="0"/>
    <m/>
    <x v="0"/>
    <x v="0"/>
    <m/>
    <n v="2"/>
    <x v="0"/>
    <s v="High"/>
    <n v="185999915.02066413"/>
  </r>
  <r>
    <x v="0"/>
    <x v="78"/>
    <x v="78"/>
    <x v="6"/>
    <x v="0"/>
    <x v="2"/>
    <x v="14"/>
    <x v="8"/>
    <n v="2021"/>
    <x v="1"/>
    <s v="N/A"/>
    <n v="0"/>
    <s v="Confirmed"/>
    <s v=""/>
    <x v="1"/>
    <x v="0"/>
    <m/>
    <x v="1"/>
    <x v="1"/>
    <m/>
    <n v="0"/>
    <x v="0"/>
    <s v=""/>
    <n v="6893755763.2501726"/>
  </r>
  <r>
    <x v="0"/>
    <x v="79"/>
    <x v="79"/>
    <x v="0"/>
    <x v="0"/>
    <x v="2"/>
    <x v="14"/>
    <x v="8"/>
    <n v="2021"/>
    <x v="1"/>
    <s v="N/A"/>
    <n v="0"/>
    <s v="Confirmed"/>
    <s v=""/>
    <x v="1"/>
    <x v="0"/>
    <m/>
    <x v="1"/>
    <x v="0"/>
    <m/>
    <n v="0"/>
    <x v="1"/>
    <s v="High"/>
    <n v="354560231.58276606"/>
  </r>
  <r>
    <x v="0"/>
    <x v="80"/>
    <x v="80"/>
    <x v="5"/>
    <x v="0"/>
    <x v="2"/>
    <x v="14"/>
    <x v="8"/>
    <n v="2021"/>
    <x v="1"/>
    <s v="N/A"/>
    <n v="0"/>
    <s v="Confirmed"/>
    <s v=""/>
    <x v="1"/>
    <x v="0"/>
    <m/>
    <x v="0"/>
    <x v="0"/>
    <m/>
    <n v="1"/>
    <x v="0"/>
    <s v="Moderate"/>
    <n v="188169167.56540567"/>
  </r>
  <r>
    <x v="0"/>
    <x v="81"/>
    <x v="81"/>
    <x v="6"/>
    <x v="0"/>
    <x v="2"/>
    <x v="14"/>
    <x v="8"/>
    <n v="2021"/>
    <x v="1"/>
    <s v="N/A"/>
    <n v="0"/>
    <s v="Confirmed"/>
    <s v=""/>
    <x v="1"/>
    <x v="0"/>
    <m/>
    <x v="1"/>
    <x v="0"/>
    <m/>
    <n v="0"/>
    <x v="1"/>
    <s v=""/>
    <n v="16312106.556340856"/>
  </r>
  <r>
    <x v="0"/>
    <x v="82"/>
    <x v="82"/>
    <x v="5"/>
    <x v="0"/>
    <x v="2"/>
    <x v="14"/>
    <x v="8"/>
    <n v="2021"/>
    <x v="1"/>
    <s v="N/A"/>
    <n v="0"/>
    <s v="Confirmed"/>
    <s v=""/>
    <x v="1"/>
    <x v="0"/>
    <m/>
    <x v="2"/>
    <x v="0"/>
    <m/>
    <n v="2"/>
    <x v="0"/>
    <s v="High"/>
    <n v="86083833.534053758"/>
  </r>
  <r>
    <x v="0"/>
    <x v="83"/>
    <x v="83"/>
    <x v="3"/>
    <x v="0"/>
    <x v="2"/>
    <x v="14"/>
    <x v="8"/>
    <n v="2021"/>
    <x v="1"/>
    <s v="N/A"/>
    <n v="0"/>
    <s v="Confirmed"/>
    <s v=""/>
    <x v="1"/>
    <x v="0"/>
    <m/>
    <x v="1"/>
    <x v="1"/>
    <m/>
    <n v="0"/>
    <x v="1"/>
    <s v="N/A"/>
    <n v="357220835.93762809"/>
  </r>
  <r>
    <x v="0"/>
    <x v="84"/>
    <x v="84"/>
    <x v="4"/>
    <x v="0"/>
    <x v="2"/>
    <x v="14"/>
    <x v="8"/>
    <n v="2021"/>
    <x v="1"/>
    <s v="N/A"/>
    <n v="0"/>
    <s v="Confirmed"/>
    <s v=""/>
    <x v="1"/>
    <x v="0"/>
    <m/>
    <x v="1"/>
    <x v="1"/>
    <m/>
    <n v="0"/>
    <x v="0"/>
    <s v=""/>
    <n v="32831598153.796387"/>
  </r>
  <r>
    <x v="0"/>
    <x v="85"/>
    <x v="85"/>
    <x v="6"/>
    <x v="0"/>
    <x v="2"/>
    <x v="14"/>
    <x v="8"/>
    <n v="2021"/>
    <x v="1"/>
    <s v="N/A"/>
    <n v="0"/>
    <s v="Confirmed"/>
    <s v=""/>
    <x v="1"/>
    <x v="0"/>
    <m/>
    <x v="2"/>
    <x v="0"/>
    <m/>
    <n v="0"/>
    <x v="1"/>
    <s v="High"/>
    <n v="12329056.093798399"/>
  </r>
  <r>
    <x v="0"/>
    <x v="86"/>
    <x v="86"/>
    <x v="1"/>
    <x v="0"/>
    <x v="2"/>
    <x v="14"/>
    <x v="8"/>
    <n v="2021"/>
    <x v="1"/>
    <s v="N/A"/>
    <n v="0"/>
    <s v="Confirmed"/>
    <s v=""/>
    <x v="1"/>
    <x v="0"/>
    <m/>
    <x v="1"/>
    <x v="0"/>
    <m/>
    <n v="0"/>
    <x v="0"/>
    <s v="Low"/>
    <n v="426639742.85328001"/>
  </r>
  <r>
    <x v="0"/>
    <x v="87"/>
    <x v="87"/>
    <x v="6"/>
    <x v="0"/>
    <x v="2"/>
    <x v="14"/>
    <x v="8"/>
    <n v="2021"/>
    <x v="1"/>
    <s v="N/A"/>
    <n v="0"/>
    <s v="Confirmed"/>
    <s v=""/>
    <x v="1"/>
    <x v="0"/>
    <m/>
    <x v="2"/>
    <x v="0"/>
    <m/>
    <n v="0"/>
    <x v="0"/>
    <s v="…"/>
    <n v="288519671.85870522"/>
  </r>
  <r>
    <x v="0"/>
    <x v="88"/>
    <x v="88"/>
    <x v="1"/>
    <x v="0"/>
    <x v="2"/>
    <x v="14"/>
    <x v="8"/>
    <n v="2021"/>
    <x v="1"/>
    <s v="N/A"/>
    <n v="0"/>
    <s v="Confirmed"/>
    <s v=""/>
    <x v="1"/>
    <x v="0"/>
    <m/>
    <x v="1"/>
    <x v="1"/>
    <m/>
    <n v="0"/>
    <x v="0"/>
    <s v="N/A"/>
    <n v="275606560.78491527"/>
  </r>
  <r>
    <x v="0"/>
    <x v="89"/>
    <x v="89"/>
    <x v="2"/>
    <x v="0"/>
    <x v="2"/>
    <x v="14"/>
    <x v="8"/>
    <n v="2021"/>
    <x v="1"/>
    <s v="N/A"/>
    <n v="0"/>
    <s v="Confirmed"/>
    <s v=""/>
    <x v="1"/>
    <x v="0"/>
    <m/>
    <x v="2"/>
    <x v="0"/>
    <m/>
    <n v="0"/>
    <x v="0"/>
    <s v="N/A"/>
    <n v="2530937679.3725696"/>
  </r>
  <r>
    <x v="0"/>
    <x v="90"/>
    <x v="90"/>
    <x v="3"/>
    <x v="0"/>
    <x v="2"/>
    <x v="14"/>
    <x v="8"/>
    <n v="2021"/>
    <x v="1"/>
    <s v="N/A"/>
    <n v="0"/>
    <s v="Confirmed"/>
    <s v=""/>
    <x v="1"/>
    <x v="0"/>
    <m/>
    <x v="0"/>
    <x v="0"/>
    <m/>
    <n v="0"/>
    <x v="0"/>
    <s v="In distress"/>
    <n v="251432156.86255455"/>
  </r>
  <r>
    <x v="0"/>
    <x v="91"/>
    <x v="91"/>
    <x v="6"/>
    <x v="0"/>
    <x v="2"/>
    <x v="14"/>
    <x v="8"/>
    <n v="2021"/>
    <x v="1"/>
    <s v="N/A"/>
    <n v="0"/>
    <s v="Confirmed"/>
    <s v=""/>
    <x v="1"/>
    <x v="0"/>
    <m/>
    <x v="2"/>
    <x v="0"/>
    <m/>
    <n v="0"/>
    <x v="0"/>
    <s v="Low"/>
    <n v="471534500.60109437"/>
  </r>
  <r>
    <x v="0"/>
    <x v="92"/>
    <x v="92"/>
    <x v="3"/>
    <x v="0"/>
    <x v="2"/>
    <x v="14"/>
    <x v="8"/>
    <n v="2021"/>
    <x v="1"/>
    <s v="N/A"/>
    <n v="0"/>
    <s v="Confirmed"/>
    <s v=""/>
    <x v="1"/>
    <x v="0"/>
    <m/>
    <x v="1"/>
    <x v="1"/>
    <m/>
    <n v="0"/>
    <x v="0"/>
    <s v=""/>
    <n v="531677611.80447447"/>
  </r>
  <r>
    <x v="0"/>
    <x v="93"/>
    <x v="93"/>
    <x v="6"/>
    <x v="0"/>
    <x v="2"/>
    <x v="14"/>
    <x v="8"/>
    <n v="2021"/>
    <x v="1"/>
    <s v="N/A"/>
    <n v="0"/>
    <s v="Confirmed"/>
    <s v=""/>
    <x v="1"/>
    <x v="0"/>
    <m/>
    <x v="3"/>
    <x v="1"/>
    <m/>
    <n v="0"/>
    <x v="1"/>
    <s v=""/>
    <n v="8528751.6418357007"/>
  </r>
  <r>
    <x v="0"/>
    <x v="94"/>
    <x v="94"/>
    <x v="0"/>
    <x v="0"/>
    <x v="2"/>
    <x v="14"/>
    <x v="8"/>
    <n v="2021"/>
    <x v="1"/>
    <s v="N/A"/>
    <n v="0"/>
    <s v="Confirmed"/>
    <s v=""/>
    <x v="1"/>
    <x v="0"/>
    <m/>
    <x v="2"/>
    <x v="0"/>
    <m/>
    <n v="0"/>
    <x v="0"/>
    <s v="Low"/>
    <n v="407084543.19089872"/>
  </r>
  <r>
    <x v="0"/>
    <x v="95"/>
    <x v="95"/>
    <x v="4"/>
    <x v="0"/>
    <x v="2"/>
    <x v="14"/>
    <x v="8"/>
    <n v="2021"/>
    <x v="1"/>
    <s v="N/A"/>
    <n v="0"/>
    <s v="Confirmed"/>
    <s v=""/>
    <x v="1"/>
    <x v="0"/>
    <m/>
    <x v="2"/>
    <x v="0"/>
    <m/>
    <n v="0"/>
    <x v="0"/>
    <s v="Moderate"/>
    <n v="671998341.93592453"/>
  </r>
  <r>
    <x v="0"/>
    <x v="96"/>
    <x v="96"/>
    <x v="5"/>
    <x v="0"/>
    <x v="2"/>
    <x v="14"/>
    <x v="8"/>
    <n v="2021"/>
    <x v="1"/>
    <s v="N/A"/>
    <n v="0"/>
    <s v="Confirmed"/>
    <s v=""/>
    <x v="1"/>
    <x v="0"/>
    <m/>
    <x v="0"/>
    <x v="0"/>
    <m/>
    <n v="1"/>
    <x v="0"/>
    <s v="Moderate"/>
    <n v="226203289.67158964"/>
  </r>
  <r>
    <x v="0"/>
    <x v="97"/>
    <x v="97"/>
    <x v="5"/>
    <x v="0"/>
    <x v="2"/>
    <x v="14"/>
    <x v="8"/>
    <n v="2021"/>
    <x v="1"/>
    <s v="N/A"/>
    <n v="0"/>
    <s v="Confirmed"/>
    <s v=""/>
    <x v="1"/>
    <x v="0"/>
    <m/>
    <x v="2"/>
    <x v="0"/>
    <m/>
    <n v="3"/>
    <x v="0"/>
    <s v="…"/>
    <n v="2438881113.1244688"/>
  </r>
  <r>
    <x v="0"/>
    <x v="98"/>
    <x v="98"/>
    <x v="1"/>
    <x v="0"/>
    <x v="2"/>
    <x v="14"/>
    <x v="8"/>
    <n v="2021"/>
    <x v="1"/>
    <s v="N/A"/>
    <n v="0"/>
    <s v="Confirmed"/>
    <s v=""/>
    <x v="1"/>
    <x v="0"/>
    <m/>
    <x v="1"/>
    <x v="1"/>
    <m/>
    <n v="0"/>
    <x v="0"/>
    <s v=""/>
    <n v="476517795.73174149"/>
  </r>
  <r>
    <x v="0"/>
    <x v="99"/>
    <x v="99"/>
    <x v="0"/>
    <x v="0"/>
    <x v="2"/>
    <x v="14"/>
    <x v="8"/>
    <n v="2021"/>
    <x v="1"/>
    <s v="N/A"/>
    <n v="0"/>
    <s v="Confirmed"/>
    <s v=""/>
    <x v="1"/>
    <x v="0"/>
    <m/>
    <x v="2"/>
    <x v="0"/>
    <m/>
    <n v="0"/>
    <x v="0"/>
    <s v="…"/>
    <n v="3233351297.7679496"/>
  </r>
  <r>
    <x v="0"/>
    <x v="100"/>
    <x v="100"/>
    <x v="4"/>
    <x v="0"/>
    <x v="2"/>
    <x v="14"/>
    <x v="8"/>
    <n v="2021"/>
    <x v="1"/>
    <s v="N/A"/>
    <n v="0"/>
    <s v="Confirmed"/>
    <s v=""/>
    <x v="1"/>
    <x v="0"/>
    <m/>
    <x v="3"/>
    <x v="1"/>
    <m/>
    <n v="0"/>
    <x v="1"/>
    <s v=""/>
    <n v="18180646.808608256"/>
  </r>
  <r>
    <x v="0"/>
    <x v="101"/>
    <x v="101"/>
    <x v="4"/>
    <x v="0"/>
    <x v="2"/>
    <x v="14"/>
    <x v="8"/>
    <n v="2021"/>
    <x v="1"/>
    <s v="N/A"/>
    <n v="0"/>
    <s v="Confirmed"/>
    <s v=""/>
    <x v="1"/>
    <x v="0"/>
    <m/>
    <x v="1"/>
    <x v="1"/>
    <m/>
    <n v="0"/>
    <x v="0"/>
    <s v="N/A"/>
    <n v="3020530707.3485303"/>
  </r>
  <r>
    <x v="0"/>
    <x v="102"/>
    <x v="102"/>
    <x v="6"/>
    <x v="0"/>
    <x v="2"/>
    <x v="14"/>
    <x v="8"/>
    <n v="2021"/>
    <x v="1"/>
    <s v="N/A"/>
    <n v="0"/>
    <s v="Confirmed"/>
    <s v=""/>
    <x v="1"/>
    <x v="0"/>
    <m/>
    <x v="2"/>
    <x v="0"/>
    <m/>
    <n v="1"/>
    <x v="1"/>
    <s v="High"/>
    <n v="384406316.46074712"/>
  </r>
  <r>
    <x v="0"/>
    <x v="103"/>
    <x v="103"/>
    <x v="4"/>
    <x v="0"/>
    <x v="2"/>
    <x v="14"/>
    <x v="8"/>
    <n v="2021"/>
    <x v="1"/>
    <s v="N/A"/>
    <n v="0"/>
    <s v="Confirmed"/>
    <s v=""/>
    <x v="1"/>
    <x v="0"/>
    <m/>
    <x v="1"/>
    <x v="1"/>
    <m/>
    <n v="0"/>
    <x v="0"/>
    <s v=""/>
    <n v="1218747108.9554784"/>
  </r>
  <r>
    <x v="0"/>
    <x v="104"/>
    <x v="104"/>
    <x v="4"/>
    <x v="0"/>
    <x v="2"/>
    <x v="14"/>
    <x v="8"/>
    <n v="2021"/>
    <x v="1"/>
    <s v="N/A"/>
    <n v="0"/>
    <s v="Confirmed"/>
    <s v=""/>
    <x v="1"/>
    <x v="0"/>
    <m/>
    <x v="1"/>
    <x v="1"/>
    <m/>
    <n v="0"/>
    <x v="0"/>
    <s v=""/>
    <n v="7392665952.5895758"/>
  </r>
  <r>
    <x v="0"/>
    <x v="105"/>
    <x v="105"/>
    <x v="6"/>
    <x v="0"/>
    <x v="2"/>
    <x v="14"/>
    <x v="8"/>
    <n v="2021"/>
    <x v="1"/>
    <s v="N/A"/>
    <n v="0"/>
    <s v="Confirmed"/>
    <s v=""/>
    <x v="1"/>
    <x v="0"/>
    <m/>
    <x v="2"/>
    <x v="0"/>
    <m/>
    <n v="0"/>
    <x v="0"/>
    <s v="N/A"/>
    <n v="4754985988.6004429"/>
  </r>
  <r>
    <x v="0"/>
    <x v="106"/>
    <x v="106"/>
    <x v="1"/>
    <x v="0"/>
    <x v="2"/>
    <x v="14"/>
    <x v="8"/>
    <n v="2021"/>
    <x v="1"/>
    <s v="N/A"/>
    <n v="0"/>
    <s v="Confirmed"/>
    <s v=""/>
    <x v="1"/>
    <x v="0"/>
    <m/>
    <x v="3"/>
    <x v="1"/>
    <m/>
    <n v="0"/>
    <x v="0"/>
    <s v=""/>
    <n v="26422210443.037273"/>
  </r>
  <r>
    <x v="0"/>
    <x v="107"/>
    <x v="107"/>
    <x v="1"/>
    <x v="0"/>
    <x v="2"/>
    <x v="14"/>
    <x v="8"/>
    <n v="2021"/>
    <x v="1"/>
    <s v="N/A"/>
    <n v="0"/>
    <s v="Confirmed"/>
    <s v=""/>
    <x v="1"/>
    <x v="0"/>
    <m/>
    <x v="1"/>
    <x v="1"/>
    <m/>
    <n v="0"/>
    <x v="0"/>
    <s v=""/>
    <n v="10696495313.15033"/>
  </r>
  <r>
    <x v="0"/>
    <x v="108"/>
    <x v="108"/>
    <x v="1"/>
    <x v="0"/>
    <x v="2"/>
    <x v="14"/>
    <x v="8"/>
    <n v="2021"/>
    <x v="1"/>
    <s v="N/A"/>
    <n v="0"/>
    <s v="Confirmed"/>
    <s v=""/>
    <x v="1"/>
    <x v="0"/>
    <m/>
    <x v="1"/>
    <x v="1"/>
    <m/>
    <n v="0"/>
    <x v="0"/>
    <s v=""/>
    <n v="52769713433.240509"/>
  </r>
  <r>
    <x v="0"/>
    <x v="109"/>
    <x v="109"/>
    <x v="3"/>
    <x v="0"/>
    <x v="2"/>
    <x v="14"/>
    <x v="8"/>
    <n v="2021"/>
    <x v="1"/>
    <s v="N/A"/>
    <n v="0"/>
    <s v="Confirmed"/>
    <s v=""/>
    <x v="1"/>
    <x v="0"/>
    <m/>
    <x v="0"/>
    <x v="0"/>
    <m/>
    <n v="0"/>
    <x v="0"/>
    <s v="Moderate"/>
    <n v="225799814.51943746"/>
  </r>
  <r>
    <x v="0"/>
    <x v="110"/>
    <x v="110"/>
    <x v="6"/>
    <x v="0"/>
    <x v="2"/>
    <x v="14"/>
    <x v="8"/>
    <n v="2021"/>
    <x v="1"/>
    <s v="N/A"/>
    <n v="0"/>
    <s v="Confirmed"/>
    <s v=""/>
    <x v="1"/>
    <x v="0"/>
    <m/>
    <x v="2"/>
    <x v="0"/>
    <m/>
    <n v="0"/>
    <x v="1"/>
    <s v="High"/>
    <n v="32192988.027009469"/>
  </r>
  <r>
    <x v="0"/>
    <x v="111"/>
    <x v="111"/>
    <x v="5"/>
    <x v="0"/>
    <x v="2"/>
    <x v="14"/>
    <x v="8"/>
    <n v="2021"/>
    <x v="1"/>
    <s v="N/A"/>
    <n v="0"/>
    <s v="Confirmed"/>
    <s v=""/>
    <x v="1"/>
    <x v="0"/>
    <m/>
    <x v="2"/>
    <x v="0"/>
    <m/>
    <n v="0"/>
    <x v="1"/>
    <s v="In distress"/>
    <n v="11633535.136477679"/>
  </r>
  <r>
    <x v="0"/>
    <x v="112"/>
    <x v="112"/>
    <x v="5"/>
    <x v="0"/>
    <x v="2"/>
    <x v="14"/>
    <x v="8"/>
    <n v="2021"/>
    <x v="1"/>
    <s v="N/A"/>
    <n v="0"/>
    <s v="Confirmed"/>
    <s v=""/>
    <x v="1"/>
    <x v="0"/>
    <m/>
    <x v="2"/>
    <x v="0"/>
    <m/>
    <n v="2"/>
    <x v="0"/>
    <s v="Moderate"/>
    <n v="222008693.93354639"/>
  </r>
  <r>
    <x v="0"/>
    <x v="113"/>
    <x v="113"/>
    <x v="1"/>
    <x v="0"/>
    <x v="2"/>
    <x v="14"/>
    <x v="8"/>
    <n v="2021"/>
    <x v="1"/>
    <s v="N/A"/>
    <n v="0"/>
    <s v="Confirmed"/>
    <s v=""/>
    <x v="1"/>
    <x v="0"/>
    <m/>
    <x v="1"/>
    <x v="1"/>
    <m/>
    <n v="0"/>
    <x v="0"/>
    <s v=""/>
    <n v="2564993795.1894679"/>
  </r>
  <r>
    <x v="0"/>
    <x v="114"/>
    <x v="114"/>
    <x v="3"/>
    <x v="0"/>
    <x v="2"/>
    <x v="14"/>
    <x v="8"/>
    <n v="2021"/>
    <x v="1"/>
    <s v="N/A"/>
    <n v="0"/>
    <s v="Confirmed"/>
    <s v=""/>
    <x v="1"/>
    <x v="0"/>
    <m/>
    <x v="3"/>
    <x v="1"/>
    <m/>
    <n v="0"/>
    <x v="1"/>
    <s v="N/A"/>
    <n v="60237542.945069775"/>
  </r>
  <r>
    <x v="0"/>
    <x v="115"/>
    <x v="115"/>
    <x v="5"/>
    <x v="0"/>
    <x v="2"/>
    <x v="14"/>
    <x v="8"/>
    <n v="2021"/>
    <x v="1"/>
    <s v="N/A"/>
    <n v="0"/>
    <s v="Confirmed"/>
    <s v=""/>
    <x v="1"/>
    <x v="0"/>
    <m/>
    <x v="0"/>
    <x v="0"/>
    <m/>
    <n v="0"/>
    <x v="0"/>
    <s v="High"/>
    <n v="63738640.538260505"/>
  </r>
  <r>
    <x v="0"/>
    <x v="116"/>
    <x v="116"/>
    <x v="6"/>
    <x v="0"/>
    <x v="2"/>
    <x v="14"/>
    <x v="8"/>
    <n v="2021"/>
    <x v="1"/>
    <s v="N/A"/>
    <n v="0"/>
    <s v="Confirmed"/>
    <s v=""/>
    <x v="1"/>
    <x v="0"/>
    <m/>
    <x v="2"/>
    <x v="0"/>
    <m/>
    <n v="0"/>
    <x v="1"/>
    <s v="Moderate"/>
    <n v="49012774.055630356"/>
  </r>
  <r>
    <x v="0"/>
    <x v="117"/>
    <x v="117"/>
    <x v="3"/>
    <x v="0"/>
    <x v="2"/>
    <x v="14"/>
    <x v="8"/>
    <n v="2021"/>
    <x v="1"/>
    <s v="N/A"/>
    <n v="0"/>
    <s v="Confirmed"/>
    <s v=""/>
    <x v="1"/>
    <x v="0"/>
    <m/>
    <x v="0"/>
    <x v="0"/>
    <m/>
    <n v="1"/>
    <x v="0"/>
    <s v="In distress"/>
    <s v=""/>
  </r>
  <r>
    <x v="0"/>
    <x v="118"/>
    <x v="118"/>
    <x v="3"/>
    <x v="0"/>
    <x v="2"/>
    <x v="14"/>
    <x v="8"/>
    <n v="2021"/>
    <x v="1"/>
    <s v="N/A"/>
    <n v="0"/>
    <s v="Confirmed"/>
    <s v=""/>
    <x v="1"/>
    <x v="0"/>
    <m/>
    <x v="1"/>
    <x v="1"/>
    <m/>
    <n v="0"/>
    <x v="0"/>
    <s v="N/A"/>
    <n v="16429121142.784708"/>
  </r>
  <r>
    <x v="0"/>
    <x v="119"/>
    <x v="119"/>
    <x v="3"/>
    <x v="0"/>
    <x v="2"/>
    <x v="14"/>
    <x v="8"/>
    <n v="2021"/>
    <x v="1"/>
    <s v="N/A"/>
    <n v="0"/>
    <s v="Confirmed"/>
    <s v=""/>
    <x v="1"/>
    <x v="0"/>
    <m/>
    <x v="0"/>
    <x v="0"/>
    <m/>
    <n v="1"/>
    <x v="0"/>
    <s v="High"/>
    <n v="31684581.76217727"/>
  </r>
  <r>
    <x v="0"/>
    <x v="120"/>
    <x v="120"/>
    <x v="0"/>
    <x v="0"/>
    <x v="2"/>
    <x v="14"/>
    <x v="8"/>
    <n v="2021"/>
    <x v="1"/>
    <s v="N/A"/>
    <n v="0"/>
    <s v="Confirmed"/>
    <s v=""/>
    <x v="1"/>
    <x v="0"/>
    <m/>
    <x v="2"/>
    <x v="0"/>
    <m/>
    <n v="0"/>
    <x v="0"/>
    <s v="N/A"/>
    <n v="1373621563.5182886"/>
  </r>
  <r>
    <x v="0"/>
    <x v="121"/>
    <x v="121"/>
    <x v="4"/>
    <x v="0"/>
    <x v="2"/>
    <x v="14"/>
    <x v="8"/>
    <n v="2021"/>
    <x v="1"/>
    <s v="N/A"/>
    <n v="0"/>
    <s v="Confirmed"/>
    <s v=""/>
    <x v="1"/>
    <x v="0"/>
    <m/>
    <x v="3"/>
    <x v="1"/>
    <m/>
    <n v="0"/>
    <x v="1"/>
    <s v=""/>
    <n v="24214370.889062837"/>
  </r>
  <r>
    <x v="0"/>
    <x v="122"/>
    <x v="122"/>
    <x v="4"/>
    <x v="0"/>
    <x v="2"/>
    <x v="14"/>
    <x v="8"/>
    <n v="2021"/>
    <x v="1"/>
    <s v="N/A"/>
    <n v="0"/>
    <s v="Confirmed"/>
    <s v=""/>
    <x v="1"/>
    <x v="0"/>
    <m/>
    <x v="1"/>
    <x v="0"/>
    <m/>
    <n v="0"/>
    <x v="1"/>
    <s v="…"/>
    <n v="39941279.609447442"/>
  </r>
  <r>
    <x v="0"/>
    <x v="123"/>
    <x v="123"/>
    <x v="4"/>
    <x v="0"/>
    <x v="2"/>
    <x v="14"/>
    <x v="8"/>
    <n v="2021"/>
    <x v="1"/>
    <s v="N/A"/>
    <n v="0"/>
    <s v="Confirmed"/>
    <s v=""/>
    <x v="1"/>
    <x v="0"/>
    <m/>
    <x v="1"/>
    <x v="0"/>
    <m/>
    <n v="0"/>
    <x v="1"/>
    <s v="High"/>
    <n v="24761675.260059897"/>
  </r>
  <r>
    <x v="0"/>
    <x v="124"/>
    <x v="124"/>
    <x v="2"/>
    <x v="0"/>
    <x v="2"/>
    <x v="14"/>
    <x v="8"/>
    <n v="2021"/>
    <x v="1"/>
    <s v="N/A"/>
    <n v="0"/>
    <s v="Confirmed"/>
    <s v=""/>
    <x v="1"/>
    <x v="0"/>
    <m/>
    <x v="2"/>
    <x v="0"/>
    <m/>
    <n v="0"/>
    <x v="0"/>
    <s v="N/A"/>
    <s v=""/>
  </r>
  <r>
    <x v="0"/>
    <x v="125"/>
    <x v="125"/>
    <x v="2"/>
    <x v="0"/>
    <x v="2"/>
    <x v="14"/>
    <x v="8"/>
    <n v="2021"/>
    <x v="1"/>
    <s v="N/A"/>
    <n v="0"/>
    <s v="Confirmed"/>
    <s v=""/>
    <x v="1"/>
    <x v="0"/>
    <m/>
    <x v="0"/>
    <x v="0"/>
    <m/>
    <n v="1"/>
    <x v="0"/>
    <s v="N/A"/>
    <n v="577156172.71229994"/>
  </r>
  <r>
    <x v="0"/>
    <x v="126"/>
    <x v="126"/>
    <x v="6"/>
    <x v="0"/>
    <x v="2"/>
    <x v="14"/>
    <x v="8"/>
    <n v="2021"/>
    <x v="1"/>
    <s v="N/A"/>
    <n v="0"/>
    <s v="Confirmed"/>
    <s v=""/>
    <x v="1"/>
    <x v="0"/>
    <m/>
    <x v="1"/>
    <x v="1"/>
    <m/>
    <n v="0"/>
    <x v="1"/>
    <s v=""/>
    <n v="180052034.19851837"/>
  </r>
  <r>
    <x v="0"/>
    <x v="127"/>
    <x v="127"/>
    <x v="2"/>
    <x v="0"/>
    <x v="2"/>
    <x v="14"/>
    <x v="8"/>
    <n v="2021"/>
    <x v="1"/>
    <s v="N/A"/>
    <n v="0"/>
    <s v="Confirmed"/>
    <s v=""/>
    <x v="1"/>
    <x v="0"/>
    <m/>
    <x v="0"/>
    <x v="0"/>
    <m/>
    <n v="1"/>
    <x v="0"/>
    <s v="N/A"/>
    <s v=""/>
  </r>
  <r>
    <x v="0"/>
    <x v="128"/>
    <x v="128"/>
    <x v="1"/>
    <x v="0"/>
    <x v="2"/>
    <x v="14"/>
    <x v="8"/>
    <n v="2021"/>
    <x v="1"/>
    <s v="N/A"/>
    <n v="0"/>
    <s v="Confirmed"/>
    <s v=""/>
    <x v="1"/>
    <x v="0"/>
    <m/>
    <x v="2"/>
    <x v="0"/>
    <m/>
    <n v="0"/>
    <x v="0"/>
    <s v="High"/>
    <n v="147296124.32232863"/>
  </r>
  <r>
    <x v="0"/>
    <x v="129"/>
    <x v="129"/>
    <x v="3"/>
    <x v="0"/>
    <x v="2"/>
    <x v="14"/>
    <x v="8"/>
    <n v="2021"/>
    <x v="1"/>
    <s v="N/A"/>
    <n v="0"/>
    <s v="Confirmed"/>
    <s v=""/>
    <x v="1"/>
    <x v="0"/>
    <m/>
    <x v="2"/>
    <x v="0"/>
    <m/>
    <n v="0"/>
    <x v="0"/>
    <s v="…"/>
    <n v="890576536.83065879"/>
  </r>
  <r>
    <x v="0"/>
    <x v="130"/>
    <x v="130"/>
    <x v="6"/>
    <x v="0"/>
    <x v="2"/>
    <x v="14"/>
    <x v="8"/>
    <n v="2021"/>
    <x v="1"/>
    <s v="N/A"/>
    <n v="0"/>
    <s v="Confirmed"/>
    <s v=""/>
    <x v="1"/>
    <x v="0"/>
    <m/>
    <x v="1"/>
    <x v="1"/>
    <m/>
    <n v="0"/>
    <x v="0"/>
    <s v=""/>
    <n v="14611129792.346064"/>
  </r>
  <r>
    <x v="0"/>
    <x v="131"/>
    <x v="131"/>
    <x v="6"/>
    <x v="0"/>
    <x v="2"/>
    <x v="14"/>
    <x v="8"/>
    <n v="2021"/>
    <x v="1"/>
    <s v="N/A"/>
    <n v="0"/>
    <s v="Confirmed"/>
    <s v=""/>
    <x v="1"/>
    <x v="0"/>
    <m/>
    <x v="2"/>
    <x v="0"/>
    <m/>
    <n v="0"/>
    <x v="1"/>
    <s v="Low"/>
    <n v="72046877.233008593"/>
  </r>
  <r>
    <x v="0"/>
    <x v="132"/>
    <x v="132"/>
    <x v="5"/>
    <x v="0"/>
    <x v="2"/>
    <x v="14"/>
    <x v="8"/>
    <n v="2021"/>
    <x v="1"/>
    <s v="N/A"/>
    <n v="0"/>
    <s v="Confirmed"/>
    <s v=""/>
    <x v="1"/>
    <x v="0"/>
    <m/>
    <x v="0"/>
    <x v="0"/>
    <m/>
    <n v="0"/>
    <x v="0"/>
    <s v="High"/>
    <n v="56248139.267255567"/>
  </r>
  <r>
    <x v="0"/>
    <x v="133"/>
    <x v="133"/>
    <x v="6"/>
    <x v="0"/>
    <x v="2"/>
    <x v="14"/>
    <x v="8"/>
    <n v="2021"/>
    <x v="1"/>
    <s v="N/A"/>
    <n v="0"/>
    <s v="Confirmed"/>
    <s v=""/>
    <x v="1"/>
    <x v="0"/>
    <m/>
    <x v="1"/>
    <x v="0"/>
    <m/>
    <n v="0"/>
    <x v="1"/>
    <s v="High"/>
    <n v="15464031.712942109"/>
  </r>
  <r>
    <x v="0"/>
    <x v="134"/>
    <x v="134"/>
    <x v="4"/>
    <x v="0"/>
    <x v="2"/>
    <x v="14"/>
    <x v="8"/>
    <n v="2021"/>
    <x v="1"/>
    <s v="N/A"/>
    <n v="0"/>
    <s v="Confirmed"/>
    <s v=""/>
    <x v="1"/>
    <x v="0"/>
    <m/>
    <x v="3"/>
    <x v="1"/>
    <m/>
    <n v="0"/>
    <x v="1"/>
    <s v="N/A"/>
    <n v="769564399.33249676"/>
  </r>
  <r>
    <x v="0"/>
    <x v="135"/>
    <x v="135"/>
    <x v="2"/>
    <x v="0"/>
    <x v="2"/>
    <x v="14"/>
    <x v="8"/>
    <n v="2021"/>
    <x v="1"/>
    <s v="N/A"/>
    <n v="0"/>
    <s v="Confirmed"/>
    <s v=""/>
    <x v="1"/>
    <x v="0"/>
    <m/>
    <x v="2"/>
    <x v="0"/>
    <m/>
    <n v="0"/>
    <x v="0"/>
    <s v="N/A"/>
    <n v="1668954539.7630196"/>
  </r>
  <r>
    <x v="0"/>
    <x v="136"/>
    <x v="136"/>
    <x v="1"/>
    <x v="0"/>
    <x v="2"/>
    <x v="14"/>
    <x v="8"/>
    <n v="2021"/>
    <x v="1"/>
    <s v="N/A"/>
    <n v="0"/>
    <s v="Confirmed"/>
    <s v=""/>
    <x v="1"/>
    <x v="0"/>
    <m/>
    <x v="1"/>
    <x v="1"/>
    <m/>
    <n v="0"/>
    <x v="0"/>
    <s v=""/>
    <n v="24840920016.18832"/>
  </r>
  <r>
    <x v="0"/>
    <x v="137"/>
    <x v="137"/>
    <x v="1"/>
    <x v="0"/>
    <x v="2"/>
    <x v="14"/>
    <x v="8"/>
    <n v="2021"/>
    <x v="1"/>
    <s v="N/A"/>
    <n v="0"/>
    <s v="Confirmed"/>
    <s v=""/>
    <x v="1"/>
    <x v="0"/>
    <m/>
    <x v="1"/>
    <x v="1"/>
    <m/>
    <n v="0"/>
    <x v="0"/>
    <s v="N/A"/>
    <n v="487888462.83720118"/>
  </r>
  <r>
    <x v="0"/>
    <x v="138"/>
    <x v="138"/>
    <x v="6"/>
    <x v="0"/>
    <x v="2"/>
    <x v="14"/>
    <x v="8"/>
    <n v="2021"/>
    <x v="1"/>
    <s v="N/A"/>
    <n v="0"/>
    <s v="Confirmed"/>
    <s v=""/>
    <x v="1"/>
    <x v="0"/>
    <m/>
    <x v="1"/>
    <x v="0"/>
    <m/>
    <n v="0"/>
    <x v="1"/>
    <s v="…"/>
    <n v="6365061.1736073596"/>
  </r>
  <r>
    <x v="0"/>
    <x v="139"/>
    <x v="139"/>
    <x v="3"/>
    <x v="0"/>
    <x v="2"/>
    <x v="14"/>
    <x v="8"/>
    <n v="2021"/>
    <x v="1"/>
    <s v="N/A"/>
    <n v="0"/>
    <s v="Confirmed"/>
    <s v=""/>
    <x v="1"/>
    <x v="0"/>
    <m/>
    <x v="0"/>
    <x v="0"/>
    <m/>
    <n v="2"/>
    <x v="0"/>
    <s v="Low"/>
    <n v="291799092.90196139"/>
  </r>
  <r>
    <x v="0"/>
    <x v="140"/>
    <x v="140"/>
    <x v="1"/>
    <x v="0"/>
    <x v="2"/>
    <x v="14"/>
    <x v="8"/>
    <n v="2021"/>
    <x v="1"/>
    <s v="N/A"/>
    <n v="0"/>
    <s v="Confirmed"/>
    <s v=""/>
    <x v="1"/>
    <x v="0"/>
    <m/>
    <x v="2"/>
    <x v="0"/>
    <m/>
    <n v="0"/>
    <x v="0"/>
    <s v="N/A"/>
    <n v="4844815340.2135534"/>
  </r>
  <r>
    <x v="0"/>
    <x v="141"/>
    <x v="141"/>
    <x v="4"/>
    <x v="0"/>
    <x v="2"/>
    <x v="14"/>
    <x v="8"/>
    <n v="2021"/>
    <x v="1"/>
    <s v="N/A"/>
    <n v="0"/>
    <s v="Confirmed"/>
    <s v=""/>
    <x v="1"/>
    <x v="0"/>
    <m/>
    <x v="3"/>
    <x v="1"/>
    <m/>
    <n v="0"/>
    <x v="0"/>
    <s v=""/>
    <n v="4001891446.6871672"/>
  </r>
  <r>
    <x v="0"/>
    <x v="142"/>
    <x v="142"/>
    <x v="1"/>
    <x v="0"/>
    <x v="2"/>
    <x v="14"/>
    <x v="8"/>
    <n v="2021"/>
    <x v="1"/>
    <s v="N/A"/>
    <n v="0"/>
    <s v="Confirmed"/>
    <s v=""/>
    <x v="1"/>
    <x v="0"/>
    <m/>
    <x v="2"/>
    <x v="0"/>
    <m/>
    <n v="0"/>
    <x v="0"/>
    <s v="Low"/>
    <n v="1019800630.5853213"/>
  </r>
  <r>
    <x v="0"/>
    <x v="143"/>
    <x v="143"/>
    <x v="6"/>
    <x v="0"/>
    <x v="2"/>
    <x v="14"/>
    <x v="8"/>
    <n v="2021"/>
    <x v="1"/>
    <s v="N/A"/>
    <n v="0"/>
    <s v="Confirmed"/>
    <s v=""/>
    <x v="1"/>
    <x v="0"/>
    <m/>
    <x v="2"/>
    <x v="0"/>
    <m/>
    <n v="0"/>
    <x v="1"/>
    <s v="Moderate"/>
    <n v="19578671.310841195"/>
  </r>
  <r>
    <x v="0"/>
    <x v="144"/>
    <x v="144"/>
    <x v="4"/>
    <x v="0"/>
    <x v="2"/>
    <x v="14"/>
    <x v="8"/>
    <n v="2021"/>
    <x v="1"/>
    <s v="N/A"/>
    <n v="216262"/>
    <s v="Confirmed"/>
    <s v=""/>
    <x v="1"/>
    <x v="0"/>
    <m/>
    <x v="4"/>
    <x v="1"/>
    <m/>
    <n v="0"/>
    <x v="0"/>
    <s v="N/A"/>
    <n v="3551452001.0684834"/>
  </r>
  <r>
    <x v="0"/>
    <x v="145"/>
    <x v="145"/>
    <x v="6"/>
    <x v="0"/>
    <x v="2"/>
    <x v="14"/>
    <x v="8"/>
    <n v="2021"/>
    <x v="1"/>
    <s v="N/A"/>
    <n v="0"/>
    <s v="Confirmed"/>
    <s v=""/>
    <x v="1"/>
    <x v="0"/>
    <m/>
    <x v="2"/>
    <x v="0"/>
    <m/>
    <n v="0"/>
    <x v="0"/>
    <s v="N/A"/>
    <n v="6603048821.7575006"/>
  </r>
  <r>
    <x v="0"/>
    <x v="146"/>
    <x v="146"/>
    <x v="2"/>
    <x v="0"/>
    <x v="2"/>
    <x v="14"/>
    <x v="8"/>
    <n v="2021"/>
    <x v="1"/>
    <s v="N/A"/>
    <n v="0"/>
    <s v="Confirmed"/>
    <s v=""/>
    <x v="1"/>
    <x v="0"/>
    <m/>
    <x v="0"/>
    <x v="0"/>
    <m/>
    <n v="1"/>
    <x v="0"/>
    <s v="…"/>
    <s v=""/>
  </r>
  <r>
    <x v="0"/>
    <x v="147"/>
    <x v="147"/>
    <x v="3"/>
    <x v="0"/>
    <x v="2"/>
    <x v="14"/>
    <x v="8"/>
    <n v="2021"/>
    <x v="1"/>
    <s v="N/A"/>
    <n v="0"/>
    <s v="Confirmed"/>
    <s v=""/>
    <x v="1"/>
    <x v="0"/>
    <m/>
    <x v="2"/>
    <x v="0"/>
    <m/>
    <n v="0"/>
    <x v="0"/>
    <s v="High"/>
    <n v="515352723.9821828"/>
  </r>
  <r>
    <x v="0"/>
    <x v="148"/>
    <x v="148"/>
    <x v="3"/>
    <x v="0"/>
    <x v="2"/>
    <x v="14"/>
    <x v="8"/>
    <n v="2021"/>
    <x v="1"/>
    <s v="N/A"/>
    <n v="0"/>
    <s v="Confirmed"/>
    <s v=""/>
    <x v="1"/>
    <x v="0"/>
    <m/>
    <x v="2"/>
    <x v="0"/>
    <m/>
    <n v="0"/>
    <x v="0"/>
    <s v="N/A"/>
    <n v="566711742.22428358"/>
  </r>
  <r>
    <x v="0"/>
    <x v="0"/>
    <x v="0"/>
    <x v="0"/>
    <x v="0"/>
    <x v="2"/>
    <x v="15"/>
    <x v="8"/>
    <n v="2021"/>
    <x v="1"/>
    <s v="N/A"/>
    <n v="0"/>
    <s v="Confirmed"/>
    <s v=""/>
    <x v="1"/>
    <x v="0"/>
    <m/>
    <x v="0"/>
    <x v="0"/>
    <m/>
    <n v="1"/>
    <x v="0"/>
    <s v="High"/>
    <n v="95829480.719269618"/>
  </r>
  <r>
    <x v="0"/>
    <x v="1"/>
    <x v="1"/>
    <x v="1"/>
    <x v="0"/>
    <x v="2"/>
    <x v="15"/>
    <x v="8"/>
    <n v="2021"/>
    <x v="1"/>
    <s v="N/A"/>
    <n v="0"/>
    <s v="Confirmed"/>
    <s v=""/>
    <x v="1"/>
    <x v="0"/>
    <m/>
    <x v="1"/>
    <x v="1"/>
    <m/>
    <n v="0"/>
    <x v="0"/>
    <s v=""/>
    <n v="427904035.52443534"/>
  </r>
  <r>
    <x v="0"/>
    <x v="2"/>
    <x v="2"/>
    <x v="2"/>
    <x v="0"/>
    <x v="2"/>
    <x v="15"/>
    <x v="8"/>
    <n v="2021"/>
    <x v="1"/>
    <s v="N/A"/>
    <n v="0"/>
    <s v="Confirmed"/>
    <s v=""/>
    <x v="1"/>
    <x v="0"/>
    <m/>
    <x v="2"/>
    <x v="0"/>
    <m/>
    <n v="0"/>
    <x v="0"/>
    <s v="N/A"/>
    <n v="7113361022.7267885"/>
  </r>
  <r>
    <x v="0"/>
    <x v="3"/>
    <x v="3"/>
    <x v="3"/>
    <x v="0"/>
    <x v="2"/>
    <x v="15"/>
    <x v="8"/>
    <n v="2021"/>
    <x v="1"/>
    <s v="N/A"/>
    <n v="0"/>
    <s v="Confirmed"/>
    <s v=""/>
    <x v="1"/>
    <x v="0"/>
    <m/>
    <x v="2"/>
    <x v="0"/>
    <m/>
    <n v="0"/>
    <x v="0"/>
    <s v="…"/>
    <n v="1131865946.5875781"/>
  </r>
  <r>
    <x v="0"/>
    <x v="4"/>
    <x v="4"/>
    <x v="4"/>
    <x v="0"/>
    <x v="2"/>
    <x v="15"/>
    <x v="8"/>
    <n v="2021"/>
    <x v="1"/>
    <s v="N/A"/>
    <n v="0"/>
    <s v="Confirmed"/>
    <s v=""/>
    <x v="1"/>
    <x v="0"/>
    <m/>
    <x v="3"/>
    <x v="1"/>
    <m/>
    <n v="0"/>
    <x v="1"/>
    <s v=""/>
    <n v="46777779.823447868"/>
  </r>
  <r>
    <x v="0"/>
    <x v="5"/>
    <x v="5"/>
    <x v="4"/>
    <x v="0"/>
    <x v="2"/>
    <x v="15"/>
    <x v="8"/>
    <n v="2021"/>
    <x v="1"/>
    <s v="N/A"/>
    <n v="0"/>
    <s v="Confirmed"/>
    <s v=""/>
    <x v="1"/>
    <x v="0"/>
    <m/>
    <x v="1"/>
    <x v="1"/>
    <m/>
    <n v="0"/>
    <x v="0"/>
    <s v=""/>
    <n v="30725305777.596794"/>
  </r>
  <r>
    <x v="0"/>
    <x v="6"/>
    <x v="6"/>
    <x v="1"/>
    <x v="0"/>
    <x v="2"/>
    <x v="15"/>
    <x v="8"/>
    <n v="2021"/>
    <x v="1"/>
    <s v="N/A"/>
    <n v="0"/>
    <s v="Confirmed"/>
    <s v=""/>
    <x v="1"/>
    <x v="0"/>
    <m/>
    <x v="1"/>
    <x v="1"/>
    <m/>
    <n v="0"/>
    <x v="0"/>
    <s v=""/>
    <n v="153815827.8380394"/>
  </r>
  <r>
    <x v="0"/>
    <x v="7"/>
    <x v="7"/>
    <x v="1"/>
    <x v="0"/>
    <x v="2"/>
    <x v="15"/>
    <x v="8"/>
    <n v="2021"/>
    <x v="1"/>
    <s v="N/A"/>
    <n v="0"/>
    <s v="Confirmed"/>
    <s v=""/>
    <x v="1"/>
    <x v="0"/>
    <m/>
    <x v="1"/>
    <x v="1"/>
    <m/>
    <n v="0"/>
    <x v="0"/>
    <s v="N/A"/>
    <n v="437525105.31216973"/>
  </r>
  <r>
    <x v="0"/>
    <x v="8"/>
    <x v="8"/>
    <x v="4"/>
    <x v="0"/>
    <x v="2"/>
    <x v="15"/>
    <x v="8"/>
    <n v="2021"/>
    <x v="1"/>
    <s v="N/A"/>
    <n v="0"/>
    <s v="Confirmed"/>
    <s v=""/>
    <x v="1"/>
    <x v="0"/>
    <m/>
    <x v="3"/>
    <x v="1"/>
    <m/>
    <n v="0"/>
    <x v="1"/>
    <s v=""/>
    <n v="149463302.00602186"/>
  </r>
  <r>
    <x v="0"/>
    <x v="9"/>
    <x v="9"/>
    <x v="0"/>
    <x v="0"/>
    <x v="2"/>
    <x v="15"/>
    <x v="8"/>
    <n v="2021"/>
    <x v="1"/>
    <s v="N/A"/>
    <n v="0"/>
    <s v="Confirmed"/>
    <s v=""/>
    <x v="1"/>
    <x v="0"/>
    <m/>
    <x v="2"/>
    <x v="0"/>
    <m/>
    <n v="0"/>
    <x v="0"/>
    <s v="Low"/>
    <n v="1148322593.9600098"/>
  </r>
  <r>
    <x v="0"/>
    <x v="10"/>
    <x v="10"/>
    <x v="1"/>
    <x v="0"/>
    <x v="2"/>
    <x v="15"/>
    <x v="8"/>
    <n v="2021"/>
    <x v="1"/>
    <s v="N/A"/>
    <n v="0"/>
    <s v="Confirmed"/>
    <s v=""/>
    <x v="1"/>
    <x v="0"/>
    <m/>
    <x v="1"/>
    <x v="1"/>
    <m/>
    <n v="0"/>
    <x v="0"/>
    <s v=""/>
    <n v="2371102058.1093163"/>
  </r>
  <r>
    <x v="0"/>
    <x v="11"/>
    <x v="11"/>
    <x v="4"/>
    <x v="0"/>
    <x v="2"/>
    <x v="15"/>
    <x v="8"/>
    <n v="2021"/>
    <x v="1"/>
    <s v="N/A"/>
    <n v="0"/>
    <s v="Confirmed"/>
    <s v=""/>
    <x v="1"/>
    <x v="0"/>
    <m/>
    <x v="2"/>
    <x v="1"/>
    <m/>
    <n v="0"/>
    <x v="1"/>
    <s v="N/A"/>
    <n v="75151620.005215243"/>
  </r>
  <r>
    <x v="0"/>
    <x v="12"/>
    <x v="12"/>
    <x v="5"/>
    <x v="0"/>
    <x v="2"/>
    <x v="15"/>
    <x v="8"/>
    <n v="2021"/>
    <x v="1"/>
    <s v="N/A"/>
    <n v="0"/>
    <s v="Confirmed"/>
    <s v=""/>
    <x v="1"/>
    <x v="0"/>
    <m/>
    <x v="2"/>
    <x v="0"/>
    <m/>
    <n v="0"/>
    <x v="0"/>
    <s v="Moderate"/>
    <n v="69958487.197715744"/>
  </r>
  <r>
    <x v="0"/>
    <x v="13"/>
    <x v="13"/>
    <x v="0"/>
    <x v="0"/>
    <x v="2"/>
    <x v="15"/>
    <x v="8"/>
    <n v="2021"/>
    <x v="1"/>
    <s v="N/A"/>
    <n v="0"/>
    <s v="Confirmed"/>
    <s v=""/>
    <x v="1"/>
    <x v="0"/>
    <m/>
    <x v="2"/>
    <x v="0"/>
    <m/>
    <n v="0"/>
    <x v="0"/>
    <s v="…"/>
    <n v="61654608.560629159"/>
  </r>
  <r>
    <x v="0"/>
    <x v="14"/>
    <x v="14"/>
    <x v="4"/>
    <x v="0"/>
    <x v="2"/>
    <x v="15"/>
    <x v="8"/>
    <n v="2021"/>
    <x v="1"/>
    <s v="N/A"/>
    <n v="0"/>
    <s v="Confirmed"/>
    <s v=""/>
    <x v="1"/>
    <x v="0"/>
    <m/>
    <x v="2"/>
    <x v="0"/>
    <m/>
    <n v="0"/>
    <x v="0"/>
    <s v="N/A"/>
    <n v="1806638707.7615163"/>
  </r>
  <r>
    <x v="0"/>
    <x v="15"/>
    <x v="15"/>
    <x v="1"/>
    <x v="0"/>
    <x v="2"/>
    <x v="15"/>
    <x v="8"/>
    <n v="2021"/>
    <x v="1"/>
    <s v="N/A"/>
    <n v="0"/>
    <s v="Confirmed"/>
    <s v=""/>
    <x v="1"/>
    <x v="0"/>
    <m/>
    <x v="1"/>
    <x v="1"/>
    <m/>
    <n v="0"/>
    <x v="0"/>
    <s v="N/A"/>
    <n v="1252696525.0627904"/>
  </r>
  <r>
    <x v="0"/>
    <x v="16"/>
    <x v="16"/>
    <x v="3"/>
    <x v="0"/>
    <x v="2"/>
    <x v="15"/>
    <x v="8"/>
    <n v="2021"/>
    <x v="1"/>
    <s v="N/A"/>
    <n v="0"/>
    <s v="Confirmed"/>
    <s v=""/>
    <x v="1"/>
    <x v="0"/>
    <m/>
    <x v="1"/>
    <x v="1"/>
    <m/>
    <n v="0"/>
    <x v="0"/>
    <s v=""/>
    <n v="843425084.07334602"/>
  </r>
  <r>
    <x v="0"/>
    <x v="17"/>
    <x v="17"/>
    <x v="4"/>
    <x v="0"/>
    <x v="2"/>
    <x v="15"/>
    <x v="8"/>
    <n v="2021"/>
    <x v="1"/>
    <s v="N/A"/>
    <n v="0"/>
    <s v="Confirmed"/>
    <s v=""/>
    <x v="1"/>
    <x v="0"/>
    <m/>
    <x v="1"/>
    <x v="1"/>
    <m/>
    <n v="0"/>
    <x v="0"/>
    <s v="N/A"/>
    <n v="74055620038.853683"/>
  </r>
  <r>
    <x v="0"/>
    <x v="18"/>
    <x v="18"/>
    <x v="1"/>
    <x v="0"/>
    <x v="2"/>
    <x v="15"/>
    <x v="8"/>
    <n v="2021"/>
    <x v="1"/>
    <s v="N/A"/>
    <n v="0"/>
    <s v="Confirmed"/>
    <s v=""/>
    <x v="1"/>
    <x v="0"/>
    <m/>
    <x v="1"/>
    <x v="1"/>
    <m/>
    <n v="0"/>
    <x v="0"/>
    <s v=""/>
    <n v="2803357765.5888777"/>
  </r>
  <r>
    <x v="0"/>
    <x v="19"/>
    <x v="19"/>
    <x v="5"/>
    <x v="0"/>
    <x v="2"/>
    <x v="15"/>
    <x v="8"/>
    <n v="2021"/>
    <x v="1"/>
    <s v="N/A"/>
    <n v="0"/>
    <s v="Confirmed"/>
    <s v=""/>
    <x v="1"/>
    <x v="0"/>
    <m/>
    <x v="0"/>
    <x v="0"/>
    <m/>
    <n v="2"/>
    <x v="0"/>
    <s v="Moderate"/>
    <n v="337927779.25510043"/>
  </r>
  <r>
    <x v="0"/>
    <x v="20"/>
    <x v="20"/>
    <x v="3"/>
    <x v="0"/>
    <x v="2"/>
    <x v="15"/>
    <x v="8"/>
    <n v="2021"/>
    <x v="1"/>
    <s v="N/A"/>
    <n v="0"/>
    <s v="Confirmed"/>
    <s v=""/>
    <x v="1"/>
    <x v="0"/>
    <m/>
    <x v="0"/>
    <x v="0"/>
    <m/>
    <n v="2"/>
    <x v="0"/>
    <s v="…"/>
    <n v="65979512.47399316"/>
  </r>
  <r>
    <x v="0"/>
    <x v="21"/>
    <x v="21"/>
    <x v="5"/>
    <x v="0"/>
    <x v="2"/>
    <x v="15"/>
    <x v="8"/>
    <n v="2021"/>
    <x v="1"/>
    <s v="N/A"/>
    <n v="0"/>
    <s v="Confirmed"/>
    <s v=""/>
    <x v="1"/>
    <x v="0"/>
    <m/>
    <x v="2"/>
    <x v="0"/>
    <m/>
    <n v="0"/>
    <x v="1"/>
    <s v="High"/>
    <n v="63748362.778827004"/>
  </r>
  <r>
    <x v="0"/>
    <x v="22"/>
    <x v="22"/>
    <x v="6"/>
    <x v="0"/>
    <x v="2"/>
    <x v="15"/>
    <x v="8"/>
    <n v="2021"/>
    <x v="1"/>
    <s v="N/A"/>
    <n v="0"/>
    <s v="Confirmed"/>
    <s v=""/>
    <x v="1"/>
    <x v="0"/>
    <m/>
    <x v="2"/>
    <x v="0"/>
    <m/>
    <n v="0"/>
    <x v="0"/>
    <s v="Low"/>
    <n v="313039649.45369786"/>
  </r>
  <r>
    <x v="0"/>
    <x v="23"/>
    <x v="23"/>
    <x v="5"/>
    <x v="0"/>
    <x v="2"/>
    <x v="15"/>
    <x v="8"/>
    <n v="2021"/>
    <x v="1"/>
    <s v="N/A"/>
    <n v="0"/>
    <s v="Confirmed"/>
    <s v=""/>
    <x v="1"/>
    <x v="0"/>
    <m/>
    <x v="2"/>
    <x v="0"/>
    <m/>
    <n v="2"/>
    <x v="0"/>
    <s v="High"/>
    <n v="81361801.477472037"/>
  </r>
  <r>
    <x v="0"/>
    <x v="24"/>
    <x v="24"/>
    <x v="5"/>
    <x v="0"/>
    <x v="2"/>
    <x v="15"/>
    <x v="8"/>
    <n v="2021"/>
    <x v="1"/>
    <s v="N/A"/>
    <n v="0"/>
    <s v="Confirmed"/>
    <s v=""/>
    <x v="1"/>
    <x v="0"/>
    <m/>
    <x v="0"/>
    <x v="0"/>
    <m/>
    <n v="1"/>
    <x v="0"/>
    <s v="High"/>
    <s v=""/>
  </r>
  <r>
    <x v="0"/>
    <x v="25"/>
    <x v="25"/>
    <x v="5"/>
    <x v="0"/>
    <x v="2"/>
    <x v="15"/>
    <x v="8"/>
    <n v="2021"/>
    <x v="1"/>
    <s v="N/A"/>
    <n v="0"/>
    <s v="Confirmed"/>
    <s v=""/>
    <x v="1"/>
    <x v="0"/>
    <m/>
    <x v="0"/>
    <x v="0"/>
    <m/>
    <n v="1"/>
    <x v="0"/>
    <s v="High"/>
    <n v="76939306.715636879"/>
  </r>
  <r>
    <x v="0"/>
    <x v="26"/>
    <x v="26"/>
    <x v="4"/>
    <x v="0"/>
    <x v="2"/>
    <x v="15"/>
    <x v="8"/>
    <n v="2021"/>
    <x v="1"/>
    <s v="N/A"/>
    <n v="0"/>
    <s v="Confirmed"/>
    <s v=""/>
    <x v="1"/>
    <x v="0"/>
    <m/>
    <x v="3"/>
    <x v="1"/>
    <m/>
    <n v="0"/>
    <x v="0"/>
    <s v=""/>
    <n v="13859708717.682571"/>
  </r>
  <r>
    <x v="0"/>
    <x v="27"/>
    <x v="27"/>
    <x v="6"/>
    <x v="0"/>
    <x v="2"/>
    <x v="15"/>
    <x v="8"/>
    <n v="2021"/>
    <x v="1"/>
    <s v="N/A"/>
    <n v="0"/>
    <s v="Confirmed"/>
    <s v=""/>
    <x v="1"/>
    <x v="0"/>
    <m/>
    <x v="1"/>
    <x v="1"/>
    <m/>
    <n v="0"/>
    <x v="0"/>
    <s v=""/>
    <n v="403567160707.7016"/>
  </r>
  <r>
    <x v="0"/>
    <x v="28"/>
    <x v="28"/>
    <x v="4"/>
    <x v="0"/>
    <x v="2"/>
    <x v="15"/>
    <x v="8"/>
    <n v="2021"/>
    <x v="1"/>
    <s v="N/A"/>
    <n v="0"/>
    <s v="Confirmed"/>
    <s v=""/>
    <x v="1"/>
    <x v="0"/>
    <m/>
    <x v="1"/>
    <x v="1"/>
    <m/>
    <n v="0"/>
    <x v="0"/>
    <s v=""/>
    <n v="18250225995.972618"/>
  </r>
  <r>
    <x v="0"/>
    <x v="29"/>
    <x v="29"/>
    <x v="3"/>
    <x v="0"/>
    <x v="2"/>
    <x v="15"/>
    <x v="8"/>
    <n v="2021"/>
    <x v="1"/>
    <s v="N/A"/>
    <n v="0"/>
    <s v="Confirmed"/>
    <s v=""/>
    <x v="1"/>
    <x v="0"/>
    <m/>
    <x v="2"/>
    <x v="0"/>
    <m/>
    <n v="0"/>
    <x v="1"/>
    <s v="Moderate"/>
    <n v="5027591.1682657599"/>
  </r>
  <r>
    <x v="0"/>
    <x v="30"/>
    <x v="30"/>
    <x v="5"/>
    <x v="0"/>
    <x v="2"/>
    <x v="15"/>
    <x v="8"/>
    <n v="2021"/>
    <x v="1"/>
    <s v="N/A"/>
    <n v="1997233"/>
    <s v="Confirmed"/>
    <s v=""/>
    <x v="1"/>
    <x v="0"/>
    <m/>
    <x v="0"/>
    <x v="0"/>
    <m/>
    <n v="3"/>
    <x v="0"/>
    <s v="Moderate"/>
    <n v="234645958.63289919"/>
  </r>
  <r>
    <x v="0"/>
    <x v="31"/>
    <x v="31"/>
    <x v="5"/>
    <x v="0"/>
    <x v="2"/>
    <x v="15"/>
    <x v="8"/>
    <n v="2021"/>
    <x v="1"/>
    <s v="N/A"/>
    <n v="0"/>
    <s v="Confirmed"/>
    <s v=""/>
    <x v="1"/>
    <x v="0"/>
    <m/>
    <x v="2"/>
    <x v="0"/>
    <m/>
    <n v="2"/>
    <x v="0"/>
    <s v="In distress"/>
    <n v="91590910.247314155"/>
  </r>
  <r>
    <x v="0"/>
    <x v="32"/>
    <x v="32"/>
    <x v="6"/>
    <x v="0"/>
    <x v="2"/>
    <x v="15"/>
    <x v="8"/>
    <n v="2021"/>
    <x v="1"/>
    <s v="N/A"/>
    <n v="0"/>
    <s v="Confirmed"/>
    <s v=""/>
    <x v="1"/>
    <x v="0"/>
    <m/>
    <x v="4"/>
    <x v="1"/>
    <m/>
    <n v="0"/>
    <x v="1"/>
    <s v="N/A"/>
    <n v="8560012.8840167802"/>
  </r>
  <r>
    <x v="0"/>
    <x v="33"/>
    <x v="33"/>
    <x v="4"/>
    <x v="0"/>
    <x v="2"/>
    <x v="15"/>
    <x v="8"/>
    <n v="2021"/>
    <x v="1"/>
    <s v="N/A"/>
    <n v="0"/>
    <s v="Confirmed"/>
    <s v=""/>
    <x v="1"/>
    <x v="0"/>
    <m/>
    <x v="1"/>
    <x v="1"/>
    <m/>
    <n v="0"/>
    <x v="0"/>
    <s v="N/A"/>
    <n v="3292372960.3962669"/>
  </r>
  <r>
    <x v="0"/>
    <x v="34"/>
    <x v="34"/>
    <x v="5"/>
    <x v="0"/>
    <x v="2"/>
    <x v="15"/>
    <x v="8"/>
    <n v="2021"/>
    <x v="1"/>
    <s v="N/A"/>
    <n v="0"/>
    <s v="Confirmed"/>
    <s v=""/>
    <x v="1"/>
    <x v="0"/>
    <m/>
    <x v="2"/>
    <x v="0"/>
    <m/>
    <n v="0"/>
    <x v="0"/>
    <s v="Moderate"/>
    <n v="519209981.22981054"/>
  </r>
  <r>
    <x v="0"/>
    <x v="35"/>
    <x v="35"/>
    <x v="1"/>
    <x v="0"/>
    <x v="2"/>
    <x v="15"/>
    <x v="8"/>
    <n v="2021"/>
    <x v="1"/>
    <s v="N/A"/>
    <n v="0"/>
    <s v="Confirmed"/>
    <s v=""/>
    <x v="1"/>
    <x v="0"/>
    <m/>
    <x v="3"/>
    <x v="1"/>
    <m/>
    <n v="0"/>
    <x v="0"/>
    <s v=""/>
    <n v="3464739907.1604805"/>
  </r>
  <r>
    <x v="0"/>
    <x v="36"/>
    <x v="36"/>
    <x v="4"/>
    <x v="0"/>
    <x v="2"/>
    <x v="15"/>
    <x v="8"/>
    <n v="2021"/>
    <x v="1"/>
    <s v="N/A"/>
    <n v="0"/>
    <s v="Confirmed"/>
    <s v=""/>
    <x v="1"/>
    <x v="0"/>
    <m/>
    <x v="1"/>
    <x v="1"/>
    <m/>
    <n v="0"/>
    <x v="1"/>
    <s v=""/>
    <n v="9948521252.2569065"/>
  </r>
  <r>
    <x v="0"/>
    <x v="37"/>
    <x v="37"/>
    <x v="2"/>
    <x v="0"/>
    <x v="2"/>
    <x v="15"/>
    <x v="8"/>
    <n v="2021"/>
    <x v="1"/>
    <s v="N/A"/>
    <n v="0"/>
    <s v="Confirmed"/>
    <s v=""/>
    <x v="1"/>
    <x v="0"/>
    <m/>
    <x v="2"/>
    <x v="0"/>
    <m/>
    <n v="1"/>
    <x v="0"/>
    <s v="High"/>
    <n v="33679192.765657313"/>
  </r>
  <r>
    <x v="0"/>
    <x v="38"/>
    <x v="38"/>
    <x v="4"/>
    <x v="0"/>
    <x v="2"/>
    <x v="15"/>
    <x v="8"/>
    <n v="2021"/>
    <x v="1"/>
    <s v="N/A"/>
    <n v="0"/>
    <s v="Confirmed"/>
    <s v=""/>
    <x v="1"/>
    <x v="0"/>
    <m/>
    <x v="1"/>
    <x v="0"/>
    <m/>
    <n v="0"/>
    <x v="1"/>
    <s v="…"/>
    <n v="22784494.365742501"/>
  </r>
  <r>
    <x v="0"/>
    <x v="39"/>
    <x v="39"/>
    <x v="4"/>
    <x v="0"/>
    <x v="2"/>
    <x v="15"/>
    <x v="8"/>
    <n v="2021"/>
    <x v="1"/>
    <s v="N/A"/>
    <n v="0"/>
    <s v="Confirmed"/>
    <s v=""/>
    <x v="1"/>
    <x v="0"/>
    <m/>
    <x v="1"/>
    <x v="1"/>
    <m/>
    <n v="0"/>
    <x v="1"/>
    <s v=""/>
    <n v="2173208011.4858823"/>
  </r>
  <r>
    <x v="0"/>
    <x v="40"/>
    <x v="40"/>
    <x v="4"/>
    <x v="0"/>
    <x v="2"/>
    <x v="15"/>
    <x v="8"/>
    <n v="2021"/>
    <x v="1"/>
    <s v="N/A"/>
    <n v="0"/>
    <s v="Confirmed"/>
    <s v=""/>
    <x v="1"/>
    <x v="0"/>
    <m/>
    <x v="1"/>
    <x v="1"/>
    <m/>
    <n v="0"/>
    <x v="0"/>
    <s v="N/A"/>
    <n v="4585736158.8323269"/>
  </r>
  <r>
    <x v="0"/>
    <x v="41"/>
    <x v="41"/>
    <x v="2"/>
    <x v="0"/>
    <x v="2"/>
    <x v="15"/>
    <x v="8"/>
    <n v="2021"/>
    <x v="1"/>
    <s v="N/A"/>
    <n v="0"/>
    <s v="Confirmed"/>
    <s v=""/>
    <x v="1"/>
    <x v="0"/>
    <m/>
    <x v="2"/>
    <x v="0"/>
    <m/>
    <n v="0"/>
    <x v="0"/>
    <s v="N/A"/>
    <n v="3550291584.8645592"/>
  </r>
  <r>
    <x v="0"/>
    <x v="42"/>
    <x v="42"/>
    <x v="4"/>
    <x v="0"/>
    <x v="2"/>
    <x v="15"/>
    <x v="8"/>
    <n v="2021"/>
    <x v="1"/>
    <s v="N/A"/>
    <n v="0"/>
    <s v="Confirmed"/>
    <s v=""/>
    <x v="1"/>
    <x v="0"/>
    <m/>
    <x v="2"/>
    <x v="0"/>
    <m/>
    <n v="0"/>
    <x v="0"/>
    <s v="N/A"/>
    <n v="1182840319.0410969"/>
  </r>
  <r>
    <x v="0"/>
    <x v="43"/>
    <x v="43"/>
    <x v="4"/>
    <x v="0"/>
    <x v="2"/>
    <x v="15"/>
    <x v="8"/>
    <n v="2021"/>
    <x v="1"/>
    <s v="N/A"/>
    <n v="0"/>
    <s v="Confirmed"/>
    <s v=""/>
    <x v="1"/>
    <x v="0"/>
    <m/>
    <x v="1"/>
    <x v="1"/>
    <m/>
    <n v="0"/>
    <x v="0"/>
    <s v=""/>
    <n v="81728347.604567245"/>
  </r>
  <r>
    <x v="0"/>
    <x v="44"/>
    <x v="44"/>
    <x v="3"/>
    <x v="0"/>
    <x v="2"/>
    <x v="15"/>
    <x v="8"/>
    <n v="2021"/>
    <x v="1"/>
    <s v="N/A"/>
    <n v="0"/>
    <s v="Confirmed"/>
    <s v=""/>
    <x v="1"/>
    <x v="0"/>
    <m/>
    <x v="0"/>
    <x v="0"/>
    <m/>
    <n v="2"/>
    <x v="0"/>
    <s v="N/A"/>
    <n v="12787914.977715338"/>
  </r>
  <r>
    <x v="0"/>
    <x v="45"/>
    <x v="45"/>
    <x v="3"/>
    <x v="0"/>
    <x v="2"/>
    <x v="15"/>
    <x v="8"/>
    <n v="2021"/>
    <x v="1"/>
    <s v="N/A"/>
    <n v="0"/>
    <s v="Confirmed"/>
    <s v=""/>
    <x v="1"/>
    <x v="0"/>
    <m/>
    <x v="2"/>
    <x v="0"/>
    <m/>
    <n v="2"/>
    <x v="0"/>
    <s v="N/A"/>
    <n v="101271737.65410839"/>
  </r>
  <r>
    <x v="0"/>
    <x v="46"/>
    <x v="46"/>
    <x v="3"/>
    <x v="0"/>
    <x v="2"/>
    <x v="15"/>
    <x v="8"/>
    <n v="2021"/>
    <x v="1"/>
    <s v="N/A"/>
    <n v="0"/>
    <s v="Confirmed"/>
    <s v=""/>
    <x v="1"/>
    <x v="0"/>
    <m/>
    <x v="0"/>
    <x v="0"/>
    <m/>
    <n v="3"/>
    <x v="0"/>
    <s v="High"/>
    <n v="618344226.71759331"/>
  </r>
  <r>
    <x v="0"/>
    <x v="47"/>
    <x v="47"/>
    <x v="6"/>
    <x v="0"/>
    <x v="2"/>
    <x v="15"/>
    <x v="8"/>
    <n v="2021"/>
    <x v="1"/>
    <s v="N/A"/>
    <n v="0"/>
    <s v="Confirmed"/>
    <s v=""/>
    <x v="1"/>
    <x v="0"/>
    <m/>
    <x v="1"/>
    <x v="0"/>
    <m/>
    <n v="0"/>
    <x v="1"/>
    <s v="…"/>
    <n v="129483872.95906857"/>
  </r>
  <r>
    <x v="0"/>
    <x v="48"/>
    <x v="48"/>
    <x v="5"/>
    <x v="0"/>
    <x v="2"/>
    <x v="15"/>
    <x v="8"/>
    <n v="2021"/>
    <x v="1"/>
    <s v="N/A"/>
    <n v="0"/>
    <s v="Confirmed"/>
    <s v=""/>
    <x v="1"/>
    <x v="0"/>
    <m/>
    <x v="1"/>
    <x v="1"/>
    <m/>
    <n v="0"/>
    <x v="0"/>
    <s v="N/A"/>
    <n v="271184658.35014349"/>
  </r>
  <r>
    <x v="0"/>
    <x v="49"/>
    <x v="49"/>
    <x v="5"/>
    <x v="0"/>
    <x v="2"/>
    <x v="15"/>
    <x v="8"/>
    <n v="2021"/>
    <x v="1"/>
    <s v="N/A"/>
    <n v="0"/>
    <s v="Confirmed"/>
    <s v=""/>
    <x v="1"/>
    <x v="0"/>
    <m/>
    <x v="0"/>
    <x v="0"/>
    <m/>
    <n v="0"/>
    <x v="0"/>
    <s v="High"/>
    <n v="15455265.086884515"/>
  </r>
  <r>
    <x v="0"/>
    <x v="50"/>
    <x v="50"/>
    <x v="1"/>
    <x v="0"/>
    <x v="2"/>
    <x v="15"/>
    <x v="8"/>
    <n v="2021"/>
    <x v="1"/>
    <s v="N/A"/>
    <n v="0"/>
    <s v="Confirmed"/>
    <s v=""/>
    <x v="1"/>
    <x v="0"/>
    <m/>
    <x v="1"/>
    <x v="1"/>
    <m/>
    <n v="0"/>
    <x v="0"/>
    <s v="N/A"/>
    <n v="494021502.525527"/>
  </r>
  <r>
    <x v="0"/>
    <x v="51"/>
    <x v="51"/>
    <x v="5"/>
    <x v="0"/>
    <x v="2"/>
    <x v="15"/>
    <x v="8"/>
    <n v="2021"/>
    <x v="1"/>
    <s v="N/A"/>
    <n v="0"/>
    <s v="Confirmed"/>
    <s v=""/>
    <x v="1"/>
    <x v="0"/>
    <m/>
    <x v="2"/>
    <x v="0"/>
    <m/>
    <n v="0"/>
    <x v="0"/>
    <s v="High"/>
    <n v="902005621.73836684"/>
  </r>
  <r>
    <x v="0"/>
    <x v="52"/>
    <x v="52"/>
    <x v="4"/>
    <x v="0"/>
    <x v="2"/>
    <x v="15"/>
    <x v="8"/>
    <n v="2021"/>
    <x v="1"/>
    <s v="N/A"/>
    <n v="0"/>
    <s v="Confirmed"/>
    <s v=""/>
    <x v="1"/>
    <x v="0"/>
    <m/>
    <x v="1"/>
    <x v="0"/>
    <m/>
    <n v="0"/>
    <x v="1"/>
    <s v="In distress"/>
    <n v="20201670.142996579"/>
  </r>
  <r>
    <x v="0"/>
    <x v="53"/>
    <x v="53"/>
    <x v="4"/>
    <x v="0"/>
    <x v="2"/>
    <x v="15"/>
    <x v="8"/>
    <n v="2021"/>
    <x v="1"/>
    <s v="N/A"/>
    <n v="0"/>
    <s v="Confirmed"/>
    <s v=""/>
    <x v="1"/>
    <x v="0"/>
    <m/>
    <x v="1"/>
    <x v="1"/>
    <m/>
    <n v="0"/>
    <x v="0"/>
    <s v=""/>
    <n v="1612434649.6948864"/>
  </r>
  <r>
    <x v="0"/>
    <x v="54"/>
    <x v="54"/>
    <x v="5"/>
    <x v="0"/>
    <x v="2"/>
    <x v="15"/>
    <x v="8"/>
    <n v="2021"/>
    <x v="1"/>
    <s v="N/A"/>
    <n v="0"/>
    <s v="Confirmed"/>
    <s v=""/>
    <x v="1"/>
    <x v="0"/>
    <m/>
    <x v="0"/>
    <x v="0"/>
    <m/>
    <n v="0"/>
    <x v="0"/>
    <s v="Moderate"/>
    <n v="78203134.118229344"/>
  </r>
  <r>
    <x v="0"/>
    <x v="55"/>
    <x v="55"/>
    <x v="5"/>
    <x v="0"/>
    <x v="2"/>
    <x v="15"/>
    <x v="8"/>
    <n v="2021"/>
    <x v="1"/>
    <s v="N/A"/>
    <n v="0"/>
    <s v="Confirmed"/>
    <s v=""/>
    <x v="1"/>
    <x v="0"/>
    <m/>
    <x v="0"/>
    <x v="0"/>
    <m/>
    <n v="2"/>
    <x v="1"/>
    <s v="High"/>
    <n v="9151637.7411015611"/>
  </r>
  <r>
    <x v="0"/>
    <x v="56"/>
    <x v="56"/>
    <x v="4"/>
    <x v="0"/>
    <x v="2"/>
    <x v="15"/>
    <x v="8"/>
    <n v="2021"/>
    <x v="1"/>
    <s v="N/A"/>
    <n v="0"/>
    <s v="Confirmed"/>
    <s v=""/>
    <x v="1"/>
    <x v="0"/>
    <m/>
    <x v="1"/>
    <x v="0"/>
    <m/>
    <n v="0"/>
    <x v="1"/>
    <s v="Moderate"/>
    <n v="142455920.02856269"/>
  </r>
  <r>
    <x v="0"/>
    <x v="57"/>
    <x v="57"/>
    <x v="4"/>
    <x v="0"/>
    <x v="2"/>
    <x v="15"/>
    <x v="8"/>
    <n v="2021"/>
    <x v="1"/>
    <s v="N/A"/>
    <n v="0"/>
    <s v="Confirmed"/>
    <s v=""/>
    <x v="1"/>
    <x v="0"/>
    <m/>
    <x v="2"/>
    <x v="0"/>
    <m/>
    <n v="1"/>
    <x v="1"/>
    <s v="High"/>
    <n v="85611818.171245083"/>
  </r>
  <r>
    <x v="0"/>
    <x v="58"/>
    <x v="58"/>
    <x v="4"/>
    <x v="0"/>
    <x v="2"/>
    <x v="15"/>
    <x v="8"/>
    <n v="2021"/>
    <x v="1"/>
    <s v="N/A"/>
    <n v="0"/>
    <s v="Confirmed"/>
    <s v=""/>
    <x v="1"/>
    <x v="0"/>
    <m/>
    <x v="2"/>
    <x v="0"/>
    <m/>
    <n v="0"/>
    <x v="0"/>
    <s v="Low"/>
    <n v="680289736.30082119"/>
  </r>
  <r>
    <x v="0"/>
    <x v="59"/>
    <x v="59"/>
    <x v="0"/>
    <x v="0"/>
    <x v="2"/>
    <x v="15"/>
    <x v="8"/>
    <n v="2021"/>
    <x v="1"/>
    <s v="N/A"/>
    <n v="0"/>
    <s v="Confirmed"/>
    <s v=""/>
    <x v="1"/>
    <x v="0"/>
    <m/>
    <x v="2"/>
    <x v="0"/>
    <m/>
    <n v="0"/>
    <x v="0"/>
    <s v="N/A"/>
    <n v="26554332750.47023"/>
  </r>
  <r>
    <x v="0"/>
    <x v="60"/>
    <x v="60"/>
    <x v="6"/>
    <x v="0"/>
    <x v="2"/>
    <x v="15"/>
    <x v="8"/>
    <n v="2021"/>
    <x v="1"/>
    <s v="N/A"/>
    <n v="0"/>
    <s v="Confirmed"/>
    <s v=""/>
    <x v="1"/>
    <x v="0"/>
    <m/>
    <x v="2"/>
    <x v="0"/>
    <m/>
    <n v="0"/>
    <x v="0"/>
    <s v="N/A"/>
    <n v="14745961064.890842"/>
  </r>
  <r>
    <x v="0"/>
    <x v="61"/>
    <x v="61"/>
    <x v="2"/>
    <x v="0"/>
    <x v="2"/>
    <x v="15"/>
    <x v="8"/>
    <n v="2021"/>
    <x v="1"/>
    <s v="N/A"/>
    <n v="0"/>
    <s v="Confirmed"/>
    <s v=""/>
    <x v="1"/>
    <x v="0"/>
    <m/>
    <x v="2"/>
    <x v="1"/>
    <m/>
    <n v="0"/>
    <x v="0"/>
    <s v="N/A"/>
    <n v="18194076299.786381"/>
  </r>
  <r>
    <x v="0"/>
    <x v="62"/>
    <x v="62"/>
    <x v="2"/>
    <x v="0"/>
    <x v="2"/>
    <x v="15"/>
    <x v="8"/>
    <n v="2021"/>
    <x v="1"/>
    <s v="N/A"/>
    <n v="0"/>
    <s v="Confirmed"/>
    <s v=""/>
    <x v="1"/>
    <x v="0"/>
    <m/>
    <x v="1"/>
    <x v="1"/>
    <m/>
    <n v="0"/>
    <x v="0"/>
    <s v="N/A"/>
    <n v="4428819387.769825"/>
  </r>
  <r>
    <x v="0"/>
    <x v="63"/>
    <x v="63"/>
    <x v="4"/>
    <x v="0"/>
    <x v="2"/>
    <x v="15"/>
    <x v="8"/>
    <n v="2021"/>
    <x v="1"/>
    <s v="N/A"/>
    <n v="0"/>
    <s v="Confirmed"/>
    <s v=""/>
    <x v="1"/>
    <x v="0"/>
    <m/>
    <x v="1"/>
    <x v="1"/>
    <m/>
    <n v="0"/>
    <x v="1"/>
    <s v=""/>
    <n v="611739560.62679195"/>
  </r>
  <r>
    <x v="0"/>
    <x v="64"/>
    <x v="64"/>
    <x v="2"/>
    <x v="0"/>
    <x v="2"/>
    <x v="15"/>
    <x v="8"/>
    <n v="2021"/>
    <x v="1"/>
    <s v="N/A"/>
    <n v="0"/>
    <s v="Confirmed"/>
    <s v=""/>
    <x v="1"/>
    <x v="0"/>
    <m/>
    <x v="1"/>
    <x v="1"/>
    <m/>
    <n v="0"/>
    <x v="0"/>
    <s v="N/A"/>
    <n v="1617913383.0481031"/>
  </r>
  <r>
    <x v="0"/>
    <x v="65"/>
    <x v="65"/>
    <x v="1"/>
    <x v="0"/>
    <x v="2"/>
    <x v="15"/>
    <x v="8"/>
    <n v="2021"/>
    <x v="1"/>
    <s v="N/A"/>
    <n v="0"/>
    <s v="Confirmed"/>
    <s v=""/>
    <x v="1"/>
    <x v="0"/>
    <m/>
    <x v="1"/>
    <x v="1"/>
    <m/>
    <n v="0"/>
    <x v="0"/>
    <s v=""/>
    <n v="3074419112.4562683"/>
  </r>
  <r>
    <x v="0"/>
    <x v="66"/>
    <x v="66"/>
    <x v="3"/>
    <x v="0"/>
    <x v="2"/>
    <x v="15"/>
    <x v="8"/>
    <n v="2021"/>
    <x v="1"/>
    <s v="N/A"/>
    <n v="0"/>
    <s v="Confirmed"/>
    <s v=""/>
    <x v="1"/>
    <x v="0"/>
    <m/>
    <x v="2"/>
    <x v="0"/>
    <m/>
    <n v="0"/>
    <x v="0"/>
    <s v="High"/>
    <n v="1914014279.8929913"/>
  </r>
  <r>
    <x v="0"/>
    <x v="67"/>
    <x v="67"/>
    <x v="6"/>
    <x v="0"/>
    <x v="2"/>
    <x v="15"/>
    <x v="8"/>
    <n v="2021"/>
    <x v="1"/>
    <s v="N/A"/>
    <n v="0"/>
    <s v="Confirmed"/>
    <s v=""/>
    <x v="1"/>
    <x v="0"/>
    <m/>
    <x v="2"/>
    <x v="0"/>
    <m/>
    <n v="0"/>
    <x v="1"/>
    <s v="High"/>
    <n v="17422005.762907442"/>
  </r>
  <r>
    <x v="0"/>
    <x v="68"/>
    <x v="68"/>
    <x v="6"/>
    <x v="0"/>
    <x v="2"/>
    <x v="15"/>
    <x v="8"/>
    <n v="2021"/>
    <x v="1"/>
    <s v="N/A"/>
    <n v="0"/>
    <s v="Confirmed"/>
    <s v=""/>
    <x v="1"/>
    <x v="0"/>
    <m/>
    <x v="0"/>
    <x v="0"/>
    <m/>
    <n v="0"/>
    <x v="0"/>
    <s v="N/A"/>
    <s v=""/>
  </r>
  <r>
    <x v="0"/>
    <x v="69"/>
    <x v="69"/>
    <x v="1"/>
    <x v="0"/>
    <x v="2"/>
    <x v="15"/>
    <x v="8"/>
    <n v="2021"/>
    <x v="1"/>
    <s v="N/A"/>
    <n v="0"/>
    <s v="Confirmed"/>
    <s v=""/>
    <x v="1"/>
    <x v="0"/>
    <m/>
    <x v="1"/>
    <x v="0"/>
    <m/>
    <n v="0"/>
    <x v="0"/>
    <s v="…"/>
    <s v=""/>
  </r>
  <r>
    <x v="0"/>
    <x v="70"/>
    <x v="70"/>
    <x v="1"/>
    <x v="0"/>
    <x v="2"/>
    <x v="15"/>
    <x v="8"/>
    <n v="2021"/>
    <x v="1"/>
    <s v="N/A"/>
    <n v="0"/>
    <s v="Confirmed"/>
    <s v=""/>
    <x v="1"/>
    <x v="0"/>
    <m/>
    <x v="2"/>
    <x v="0"/>
    <m/>
    <n v="2"/>
    <x v="0"/>
    <s v="Moderate"/>
    <n v="231506834.84347546"/>
  </r>
  <r>
    <x v="0"/>
    <x v="71"/>
    <x v="71"/>
    <x v="6"/>
    <x v="0"/>
    <x v="2"/>
    <x v="15"/>
    <x v="8"/>
    <n v="2021"/>
    <x v="1"/>
    <s v="N/A"/>
    <n v="0"/>
    <s v="Confirmed"/>
    <s v=""/>
    <x v="1"/>
    <x v="0"/>
    <m/>
    <x v="2"/>
    <x v="0"/>
    <m/>
    <n v="0"/>
    <x v="0"/>
    <s v="High"/>
    <n v="156059428.62944782"/>
  </r>
  <r>
    <x v="0"/>
    <x v="72"/>
    <x v="72"/>
    <x v="2"/>
    <x v="0"/>
    <x v="2"/>
    <x v="15"/>
    <x v="8"/>
    <n v="2021"/>
    <x v="1"/>
    <s v="N/A"/>
    <n v="0"/>
    <s v="Confirmed"/>
    <s v=""/>
    <x v="1"/>
    <x v="0"/>
    <m/>
    <x v="1"/>
    <x v="1"/>
    <m/>
    <n v="0"/>
    <x v="0"/>
    <s v="N/A"/>
    <n v="2355391507.1635861"/>
  </r>
  <r>
    <x v="0"/>
    <x v="73"/>
    <x v="73"/>
    <x v="3"/>
    <x v="0"/>
    <x v="2"/>
    <x v="15"/>
    <x v="8"/>
    <n v="2021"/>
    <x v="1"/>
    <s v="N/A"/>
    <n v="0"/>
    <s v="Confirmed"/>
    <s v=""/>
    <x v="1"/>
    <x v="0"/>
    <m/>
    <x v="2"/>
    <x v="0"/>
    <m/>
    <n v="0"/>
    <x v="0"/>
    <s v="Moderate"/>
    <n v="152760919.7684873"/>
  </r>
  <r>
    <x v="0"/>
    <x v="74"/>
    <x v="74"/>
    <x v="5"/>
    <x v="0"/>
    <x v="2"/>
    <x v="15"/>
    <x v="8"/>
    <n v="2021"/>
    <x v="1"/>
    <s v="N/A"/>
    <n v="0"/>
    <s v="Confirmed"/>
    <s v=""/>
    <x v="1"/>
    <x v="0"/>
    <m/>
    <x v="0"/>
    <x v="0"/>
    <m/>
    <n v="0"/>
    <x v="0"/>
    <s v="High"/>
    <n v="55072006.864440605"/>
  </r>
  <r>
    <x v="0"/>
    <x v="75"/>
    <x v="75"/>
    <x v="2"/>
    <x v="0"/>
    <x v="2"/>
    <x v="15"/>
    <x v="8"/>
    <n v="2021"/>
    <x v="1"/>
    <s v="N/A"/>
    <n v="0"/>
    <s v="Confirmed"/>
    <s v=""/>
    <x v="1"/>
    <x v="0"/>
    <m/>
    <x v="1"/>
    <x v="1"/>
    <m/>
    <n v="0"/>
    <x v="0"/>
    <s v="N/A"/>
    <s v=""/>
  </r>
  <r>
    <x v="0"/>
    <x v="76"/>
    <x v="76"/>
    <x v="3"/>
    <x v="0"/>
    <x v="2"/>
    <x v="15"/>
    <x v="8"/>
    <n v="2021"/>
    <x v="1"/>
    <s v="N/A"/>
    <n v="0"/>
    <s v="Confirmed"/>
    <s v=""/>
    <x v="1"/>
    <x v="0"/>
    <m/>
    <x v="0"/>
    <x v="0"/>
    <m/>
    <n v="2"/>
    <x v="0"/>
    <s v="Moderate"/>
    <n v="206914157.05429548"/>
  </r>
  <r>
    <x v="0"/>
    <x v="77"/>
    <x v="77"/>
    <x v="3"/>
    <x v="0"/>
    <x v="2"/>
    <x v="15"/>
    <x v="8"/>
    <n v="2021"/>
    <x v="1"/>
    <s v="N/A"/>
    <n v="0"/>
    <s v="Confirmed"/>
    <s v=""/>
    <x v="1"/>
    <x v="0"/>
    <m/>
    <x v="0"/>
    <x v="0"/>
    <m/>
    <n v="2"/>
    <x v="0"/>
    <s v="High"/>
    <n v="185999915.02066413"/>
  </r>
  <r>
    <x v="0"/>
    <x v="78"/>
    <x v="78"/>
    <x v="6"/>
    <x v="0"/>
    <x v="2"/>
    <x v="15"/>
    <x v="8"/>
    <n v="2021"/>
    <x v="1"/>
    <s v="N/A"/>
    <n v="0"/>
    <s v="Confirmed"/>
    <s v=""/>
    <x v="1"/>
    <x v="0"/>
    <m/>
    <x v="1"/>
    <x v="1"/>
    <m/>
    <n v="0"/>
    <x v="0"/>
    <s v=""/>
    <n v="6893755763.2501726"/>
  </r>
  <r>
    <x v="0"/>
    <x v="79"/>
    <x v="79"/>
    <x v="0"/>
    <x v="0"/>
    <x v="2"/>
    <x v="15"/>
    <x v="8"/>
    <n v="2021"/>
    <x v="1"/>
    <s v="N/A"/>
    <n v="0"/>
    <s v="Confirmed"/>
    <s v=""/>
    <x v="1"/>
    <x v="0"/>
    <m/>
    <x v="1"/>
    <x v="0"/>
    <m/>
    <n v="0"/>
    <x v="1"/>
    <s v="High"/>
    <n v="354560231.58276606"/>
  </r>
  <r>
    <x v="0"/>
    <x v="80"/>
    <x v="80"/>
    <x v="5"/>
    <x v="0"/>
    <x v="2"/>
    <x v="15"/>
    <x v="8"/>
    <n v="2021"/>
    <x v="1"/>
    <s v="N/A"/>
    <n v="0"/>
    <s v="Confirmed"/>
    <s v=""/>
    <x v="1"/>
    <x v="0"/>
    <m/>
    <x v="0"/>
    <x v="0"/>
    <m/>
    <n v="1"/>
    <x v="0"/>
    <s v="Moderate"/>
    <n v="188169167.56540567"/>
  </r>
  <r>
    <x v="0"/>
    <x v="81"/>
    <x v="81"/>
    <x v="6"/>
    <x v="0"/>
    <x v="2"/>
    <x v="15"/>
    <x v="8"/>
    <n v="2021"/>
    <x v="1"/>
    <s v="N/A"/>
    <n v="0"/>
    <s v="Confirmed"/>
    <s v=""/>
    <x v="1"/>
    <x v="0"/>
    <m/>
    <x v="1"/>
    <x v="0"/>
    <m/>
    <n v="0"/>
    <x v="1"/>
    <s v=""/>
    <n v="16312106.556340856"/>
  </r>
  <r>
    <x v="0"/>
    <x v="82"/>
    <x v="82"/>
    <x v="5"/>
    <x v="0"/>
    <x v="2"/>
    <x v="15"/>
    <x v="8"/>
    <n v="2021"/>
    <x v="1"/>
    <s v="N/A"/>
    <n v="0"/>
    <s v="Confirmed"/>
    <s v=""/>
    <x v="1"/>
    <x v="0"/>
    <m/>
    <x v="2"/>
    <x v="0"/>
    <m/>
    <n v="2"/>
    <x v="0"/>
    <s v="High"/>
    <n v="86083833.534053758"/>
  </r>
  <r>
    <x v="0"/>
    <x v="83"/>
    <x v="83"/>
    <x v="3"/>
    <x v="0"/>
    <x v="2"/>
    <x v="15"/>
    <x v="8"/>
    <n v="2021"/>
    <x v="1"/>
    <s v="N/A"/>
    <n v="0"/>
    <s v="Confirmed"/>
    <s v=""/>
    <x v="1"/>
    <x v="0"/>
    <m/>
    <x v="1"/>
    <x v="1"/>
    <m/>
    <n v="0"/>
    <x v="1"/>
    <s v="N/A"/>
    <n v="357220835.93762809"/>
  </r>
  <r>
    <x v="0"/>
    <x v="84"/>
    <x v="84"/>
    <x v="4"/>
    <x v="0"/>
    <x v="2"/>
    <x v="15"/>
    <x v="8"/>
    <n v="2021"/>
    <x v="1"/>
    <s v="N/A"/>
    <n v="0"/>
    <s v="Confirmed"/>
    <s v=""/>
    <x v="1"/>
    <x v="0"/>
    <m/>
    <x v="1"/>
    <x v="1"/>
    <m/>
    <n v="0"/>
    <x v="0"/>
    <s v=""/>
    <n v="32831598153.796387"/>
  </r>
  <r>
    <x v="0"/>
    <x v="85"/>
    <x v="85"/>
    <x v="6"/>
    <x v="0"/>
    <x v="2"/>
    <x v="15"/>
    <x v="8"/>
    <n v="2021"/>
    <x v="1"/>
    <s v="N/A"/>
    <n v="1730708"/>
    <s v="Confirmed"/>
    <s v=""/>
    <x v="0"/>
    <x v="0"/>
    <m/>
    <x v="2"/>
    <x v="0"/>
    <m/>
    <n v="0"/>
    <x v="1"/>
    <s v="High"/>
    <n v="12329056.093798399"/>
  </r>
  <r>
    <x v="0"/>
    <x v="86"/>
    <x v="86"/>
    <x v="1"/>
    <x v="0"/>
    <x v="2"/>
    <x v="15"/>
    <x v="8"/>
    <n v="2021"/>
    <x v="1"/>
    <s v="N/A"/>
    <n v="0"/>
    <s v="Confirmed"/>
    <s v=""/>
    <x v="1"/>
    <x v="0"/>
    <m/>
    <x v="1"/>
    <x v="0"/>
    <m/>
    <n v="0"/>
    <x v="0"/>
    <s v="Low"/>
    <n v="426639742.85328001"/>
  </r>
  <r>
    <x v="0"/>
    <x v="87"/>
    <x v="87"/>
    <x v="6"/>
    <x v="0"/>
    <x v="2"/>
    <x v="15"/>
    <x v="8"/>
    <n v="2021"/>
    <x v="1"/>
    <s v="N/A"/>
    <n v="0"/>
    <s v="Confirmed"/>
    <s v=""/>
    <x v="1"/>
    <x v="0"/>
    <m/>
    <x v="2"/>
    <x v="0"/>
    <m/>
    <n v="0"/>
    <x v="0"/>
    <s v="…"/>
    <n v="288519671.85870522"/>
  </r>
  <r>
    <x v="0"/>
    <x v="88"/>
    <x v="88"/>
    <x v="1"/>
    <x v="0"/>
    <x v="2"/>
    <x v="15"/>
    <x v="8"/>
    <n v="2021"/>
    <x v="1"/>
    <s v="N/A"/>
    <n v="0"/>
    <s v="Confirmed"/>
    <s v=""/>
    <x v="1"/>
    <x v="0"/>
    <m/>
    <x v="1"/>
    <x v="1"/>
    <m/>
    <n v="0"/>
    <x v="0"/>
    <s v="N/A"/>
    <n v="275606560.78491527"/>
  </r>
  <r>
    <x v="0"/>
    <x v="89"/>
    <x v="89"/>
    <x v="2"/>
    <x v="0"/>
    <x v="2"/>
    <x v="15"/>
    <x v="8"/>
    <n v="2021"/>
    <x v="1"/>
    <s v="N/A"/>
    <n v="0"/>
    <s v="Confirmed"/>
    <s v=""/>
    <x v="1"/>
    <x v="0"/>
    <m/>
    <x v="2"/>
    <x v="0"/>
    <m/>
    <n v="0"/>
    <x v="0"/>
    <s v="N/A"/>
    <n v="2530937679.3725696"/>
  </r>
  <r>
    <x v="0"/>
    <x v="90"/>
    <x v="90"/>
    <x v="3"/>
    <x v="0"/>
    <x v="2"/>
    <x v="15"/>
    <x v="8"/>
    <n v="2021"/>
    <x v="1"/>
    <s v="N/A"/>
    <n v="0"/>
    <s v="Confirmed"/>
    <s v=""/>
    <x v="1"/>
    <x v="0"/>
    <m/>
    <x v="0"/>
    <x v="0"/>
    <m/>
    <n v="0"/>
    <x v="0"/>
    <s v="In distress"/>
    <n v="251432156.86255455"/>
  </r>
  <r>
    <x v="0"/>
    <x v="91"/>
    <x v="91"/>
    <x v="6"/>
    <x v="0"/>
    <x v="2"/>
    <x v="15"/>
    <x v="8"/>
    <n v="2021"/>
    <x v="1"/>
    <s v="N/A"/>
    <n v="0"/>
    <s v="Confirmed"/>
    <s v=""/>
    <x v="1"/>
    <x v="0"/>
    <m/>
    <x v="2"/>
    <x v="0"/>
    <m/>
    <n v="0"/>
    <x v="0"/>
    <s v="Low"/>
    <n v="471534500.60109437"/>
  </r>
  <r>
    <x v="0"/>
    <x v="92"/>
    <x v="92"/>
    <x v="3"/>
    <x v="0"/>
    <x v="2"/>
    <x v="15"/>
    <x v="8"/>
    <n v="2021"/>
    <x v="1"/>
    <s v="N/A"/>
    <n v="0"/>
    <s v="Confirmed"/>
    <s v=""/>
    <x v="1"/>
    <x v="0"/>
    <m/>
    <x v="1"/>
    <x v="1"/>
    <m/>
    <n v="0"/>
    <x v="0"/>
    <s v=""/>
    <n v="531677611.80447447"/>
  </r>
  <r>
    <x v="0"/>
    <x v="93"/>
    <x v="93"/>
    <x v="6"/>
    <x v="0"/>
    <x v="2"/>
    <x v="15"/>
    <x v="8"/>
    <n v="2021"/>
    <x v="1"/>
    <s v="N/A"/>
    <n v="0"/>
    <s v="Confirmed"/>
    <s v=""/>
    <x v="1"/>
    <x v="0"/>
    <m/>
    <x v="3"/>
    <x v="1"/>
    <m/>
    <n v="0"/>
    <x v="1"/>
    <s v=""/>
    <n v="8528751.6418357007"/>
  </r>
  <r>
    <x v="0"/>
    <x v="94"/>
    <x v="94"/>
    <x v="0"/>
    <x v="0"/>
    <x v="2"/>
    <x v="15"/>
    <x v="8"/>
    <n v="2021"/>
    <x v="1"/>
    <s v="N/A"/>
    <n v="0"/>
    <s v="Confirmed"/>
    <s v=""/>
    <x v="1"/>
    <x v="0"/>
    <m/>
    <x v="2"/>
    <x v="0"/>
    <m/>
    <n v="0"/>
    <x v="0"/>
    <s v="Low"/>
    <n v="407084543.19089872"/>
  </r>
  <r>
    <x v="0"/>
    <x v="95"/>
    <x v="95"/>
    <x v="4"/>
    <x v="0"/>
    <x v="2"/>
    <x v="15"/>
    <x v="8"/>
    <n v="2021"/>
    <x v="1"/>
    <s v="N/A"/>
    <n v="0"/>
    <s v="Confirmed"/>
    <s v=""/>
    <x v="1"/>
    <x v="0"/>
    <m/>
    <x v="2"/>
    <x v="0"/>
    <m/>
    <n v="0"/>
    <x v="0"/>
    <s v="Moderate"/>
    <n v="671998341.93592453"/>
  </r>
  <r>
    <x v="0"/>
    <x v="96"/>
    <x v="96"/>
    <x v="5"/>
    <x v="0"/>
    <x v="2"/>
    <x v="15"/>
    <x v="8"/>
    <n v="2021"/>
    <x v="1"/>
    <s v="N/A"/>
    <n v="0"/>
    <s v="Confirmed"/>
    <s v=""/>
    <x v="1"/>
    <x v="0"/>
    <m/>
    <x v="0"/>
    <x v="0"/>
    <m/>
    <n v="1"/>
    <x v="0"/>
    <s v="Moderate"/>
    <n v="226203289.67158964"/>
  </r>
  <r>
    <x v="0"/>
    <x v="97"/>
    <x v="97"/>
    <x v="5"/>
    <x v="0"/>
    <x v="2"/>
    <x v="15"/>
    <x v="8"/>
    <n v="2021"/>
    <x v="1"/>
    <s v="N/A"/>
    <n v="0"/>
    <s v="Confirmed"/>
    <s v=""/>
    <x v="1"/>
    <x v="0"/>
    <m/>
    <x v="2"/>
    <x v="0"/>
    <m/>
    <n v="3"/>
    <x v="0"/>
    <s v="…"/>
    <n v="2438881113.1244688"/>
  </r>
  <r>
    <x v="0"/>
    <x v="98"/>
    <x v="98"/>
    <x v="1"/>
    <x v="0"/>
    <x v="2"/>
    <x v="15"/>
    <x v="8"/>
    <n v="2021"/>
    <x v="1"/>
    <s v="N/A"/>
    <n v="0"/>
    <s v="Confirmed"/>
    <s v=""/>
    <x v="1"/>
    <x v="0"/>
    <m/>
    <x v="1"/>
    <x v="1"/>
    <m/>
    <n v="0"/>
    <x v="0"/>
    <s v=""/>
    <n v="476517795.73174149"/>
  </r>
  <r>
    <x v="0"/>
    <x v="99"/>
    <x v="99"/>
    <x v="0"/>
    <x v="0"/>
    <x v="2"/>
    <x v="15"/>
    <x v="8"/>
    <n v="2021"/>
    <x v="1"/>
    <s v="N/A"/>
    <n v="0"/>
    <s v="Confirmed"/>
    <s v=""/>
    <x v="1"/>
    <x v="0"/>
    <m/>
    <x v="2"/>
    <x v="0"/>
    <m/>
    <n v="0"/>
    <x v="0"/>
    <s v="…"/>
    <n v="3233351297.7679496"/>
  </r>
  <r>
    <x v="0"/>
    <x v="100"/>
    <x v="100"/>
    <x v="4"/>
    <x v="0"/>
    <x v="2"/>
    <x v="15"/>
    <x v="8"/>
    <n v="2021"/>
    <x v="1"/>
    <s v="N/A"/>
    <n v="0"/>
    <s v="Confirmed"/>
    <s v=""/>
    <x v="1"/>
    <x v="0"/>
    <m/>
    <x v="3"/>
    <x v="1"/>
    <m/>
    <n v="0"/>
    <x v="1"/>
    <s v=""/>
    <n v="18180646.808608256"/>
  </r>
  <r>
    <x v="0"/>
    <x v="101"/>
    <x v="101"/>
    <x v="4"/>
    <x v="0"/>
    <x v="2"/>
    <x v="15"/>
    <x v="8"/>
    <n v="2021"/>
    <x v="1"/>
    <s v="N/A"/>
    <n v="0"/>
    <s v="Confirmed"/>
    <s v=""/>
    <x v="1"/>
    <x v="0"/>
    <m/>
    <x v="1"/>
    <x v="1"/>
    <m/>
    <n v="0"/>
    <x v="0"/>
    <s v="N/A"/>
    <n v="3020530707.3485303"/>
  </r>
  <r>
    <x v="0"/>
    <x v="102"/>
    <x v="102"/>
    <x v="6"/>
    <x v="0"/>
    <x v="2"/>
    <x v="15"/>
    <x v="8"/>
    <n v="2021"/>
    <x v="1"/>
    <s v="N/A"/>
    <n v="0"/>
    <s v="Confirmed"/>
    <s v=""/>
    <x v="1"/>
    <x v="0"/>
    <m/>
    <x v="2"/>
    <x v="0"/>
    <m/>
    <n v="1"/>
    <x v="1"/>
    <s v="High"/>
    <n v="384406316.46074712"/>
  </r>
  <r>
    <x v="0"/>
    <x v="103"/>
    <x v="103"/>
    <x v="4"/>
    <x v="0"/>
    <x v="2"/>
    <x v="15"/>
    <x v="8"/>
    <n v="2021"/>
    <x v="1"/>
    <s v="N/A"/>
    <n v="0"/>
    <s v="Confirmed"/>
    <s v=""/>
    <x v="1"/>
    <x v="0"/>
    <m/>
    <x v="1"/>
    <x v="1"/>
    <m/>
    <n v="0"/>
    <x v="0"/>
    <s v=""/>
    <n v="1218747108.9554784"/>
  </r>
  <r>
    <x v="0"/>
    <x v="104"/>
    <x v="104"/>
    <x v="4"/>
    <x v="0"/>
    <x v="2"/>
    <x v="15"/>
    <x v="8"/>
    <n v="2021"/>
    <x v="1"/>
    <s v="N/A"/>
    <n v="0"/>
    <s v="Confirmed"/>
    <s v=""/>
    <x v="1"/>
    <x v="0"/>
    <m/>
    <x v="1"/>
    <x v="1"/>
    <m/>
    <n v="0"/>
    <x v="0"/>
    <s v=""/>
    <n v="7392665952.5895758"/>
  </r>
  <r>
    <x v="0"/>
    <x v="105"/>
    <x v="105"/>
    <x v="6"/>
    <x v="0"/>
    <x v="2"/>
    <x v="15"/>
    <x v="8"/>
    <n v="2021"/>
    <x v="1"/>
    <s v="N/A"/>
    <n v="0"/>
    <s v="Confirmed"/>
    <s v=""/>
    <x v="1"/>
    <x v="0"/>
    <m/>
    <x v="2"/>
    <x v="0"/>
    <m/>
    <n v="0"/>
    <x v="0"/>
    <s v="N/A"/>
    <n v="4754985988.6004429"/>
  </r>
  <r>
    <x v="0"/>
    <x v="106"/>
    <x v="106"/>
    <x v="1"/>
    <x v="0"/>
    <x v="2"/>
    <x v="15"/>
    <x v="8"/>
    <n v="2021"/>
    <x v="1"/>
    <s v="N/A"/>
    <n v="0"/>
    <s v="Confirmed"/>
    <s v=""/>
    <x v="1"/>
    <x v="0"/>
    <m/>
    <x v="3"/>
    <x v="1"/>
    <m/>
    <n v="0"/>
    <x v="0"/>
    <s v=""/>
    <n v="26422210443.037273"/>
  </r>
  <r>
    <x v="0"/>
    <x v="107"/>
    <x v="107"/>
    <x v="1"/>
    <x v="0"/>
    <x v="2"/>
    <x v="15"/>
    <x v="8"/>
    <n v="2021"/>
    <x v="1"/>
    <s v="N/A"/>
    <n v="0"/>
    <s v="Confirmed"/>
    <s v=""/>
    <x v="1"/>
    <x v="0"/>
    <m/>
    <x v="1"/>
    <x v="1"/>
    <m/>
    <n v="0"/>
    <x v="0"/>
    <s v=""/>
    <n v="10696495313.15033"/>
  </r>
  <r>
    <x v="0"/>
    <x v="108"/>
    <x v="108"/>
    <x v="1"/>
    <x v="0"/>
    <x v="2"/>
    <x v="15"/>
    <x v="8"/>
    <n v="2021"/>
    <x v="1"/>
    <s v="N/A"/>
    <n v="0"/>
    <s v="Confirmed"/>
    <s v=""/>
    <x v="1"/>
    <x v="0"/>
    <m/>
    <x v="1"/>
    <x v="1"/>
    <m/>
    <n v="0"/>
    <x v="0"/>
    <s v=""/>
    <n v="52769713433.240509"/>
  </r>
  <r>
    <x v="0"/>
    <x v="109"/>
    <x v="109"/>
    <x v="3"/>
    <x v="0"/>
    <x v="2"/>
    <x v="15"/>
    <x v="8"/>
    <n v="2021"/>
    <x v="1"/>
    <s v="N/A"/>
    <n v="0"/>
    <s v="Confirmed"/>
    <s v=""/>
    <x v="1"/>
    <x v="0"/>
    <m/>
    <x v="0"/>
    <x v="0"/>
    <m/>
    <n v="0"/>
    <x v="0"/>
    <s v="Moderate"/>
    <n v="225799814.51943746"/>
  </r>
  <r>
    <x v="0"/>
    <x v="110"/>
    <x v="110"/>
    <x v="6"/>
    <x v="0"/>
    <x v="2"/>
    <x v="15"/>
    <x v="8"/>
    <n v="2021"/>
    <x v="1"/>
    <s v="N/A"/>
    <n v="0"/>
    <s v="Confirmed"/>
    <s v=""/>
    <x v="1"/>
    <x v="0"/>
    <m/>
    <x v="2"/>
    <x v="0"/>
    <m/>
    <n v="0"/>
    <x v="1"/>
    <s v="High"/>
    <n v="32192988.027009469"/>
  </r>
  <r>
    <x v="0"/>
    <x v="111"/>
    <x v="111"/>
    <x v="5"/>
    <x v="0"/>
    <x v="2"/>
    <x v="15"/>
    <x v="8"/>
    <n v="2021"/>
    <x v="1"/>
    <s v="N/A"/>
    <n v="0"/>
    <s v="Confirmed"/>
    <s v=""/>
    <x v="1"/>
    <x v="0"/>
    <m/>
    <x v="2"/>
    <x v="0"/>
    <m/>
    <n v="0"/>
    <x v="1"/>
    <s v="In distress"/>
    <n v="11633535.136477679"/>
  </r>
  <r>
    <x v="0"/>
    <x v="112"/>
    <x v="112"/>
    <x v="5"/>
    <x v="0"/>
    <x v="2"/>
    <x v="15"/>
    <x v="8"/>
    <n v="2021"/>
    <x v="1"/>
    <s v="N/A"/>
    <n v="0"/>
    <s v="Confirmed"/>
    <s v=""/>
    <x v="1"/>
    <x v="0"/>
    <m/>
    <x v="2"/>
    <x v="0"/>
    <m/>
    <n v="2"/>
    <x v="0"/>
    <s v="Moderate"/>
    <n v="222008693.93354639"/>
  </r>
  <r>
    <x v="0"/>
    <x v="113"/>
    <x v="113"/>
    <x v="1"/>
    <x v="0"/>
    <x v="2"/>
    <x v="15"/>
    <x v="8"/>
    <n v="2021"/>
    <x v="1"/>
    <s v="N/A"/>
    <n v="0"/>
    <s v="Confirmed"/>
    <s v=""/>
    <x v="1"/>
    <x v="0"/>
    <m/>
    <x v="1"/>
    <x v="1"/>
    <m/>
    <n v="0"/>
    <x v="0"/>
    <s v=""/>
    <n v="2564993795.1894679"/>
  </r>
  <r>
    <x v="0"/>
    <x v="114"/>
    <x v="114"/>
    <x v="3"/>
    <x v="0"/>
    <x v="2"/>
    <x v="15"/>
    <x v="8"/>
    <n v="2021"/>
    <x v="1"/>
    <s v="N/A"/>
    <n v="0"/>
    <s v="Confirmed"/>
    <s v=""/>
    <x v="1"/>
    <x v="0"/>
    <m/>
    <x v="3"/>
    <x v="1"/>
    <m/>
    <n v="0"/>
    <x v="1"/>
    <s v="N/A"/>
    <n v="60237542.945069775"/>
  </r>
  <r>
    <x v="0"/>
    <x v="115"/>
    <x v="115"/>
    <x v="5"/>
    <x v="0"/>
    <x v="2"/>
    <x v="15"/>
    <x v="8"/>
    <n v="2021"/>
    <x v="1"/>
    <s v="N/A"/>
    <n v="0"/>
    <s v="Confirmed"/>
    <s v=""/>
    <x v="1"/>
    <x v="0"/>
    <m/>
    <x v="0"/>
    <x v="0"/>
    <m/>
    <n v="0"/>
    <x v="0"/>
    <s v="High"/>
    <n v="63738640.538260505"/>
  </r>
  <r>
    <x v="0"/>
    <x v="116"/>
    <x v="116"/>
    <x v="6"/>
    <x v="0"/>
    <x v="2"/>
    <x v="15"/>
    <x v="8"/>
    <n v="2021"/>
    <x v="1"/>
    <s v="N/A"/>
    <n v="0"/>
    <s v="Confirmed"/>
    <s v=""/>
    <x v="1"/>
    <x v="0"/>
    <m/>
    <x v="2"/>
    <x v="0"/>
    <m/>
    <n v="0"/>
    <x v="1"/>
    <s v="Moderate"/>
    <n v="49012774.055630356"/>
  </r>
  <r>
    <x v="0"/>
    <x v="117"/>
    <x v="117"/>
    <x v="3"/>
    <x v="0"/>
    <x v="2"/>
    <x v="15"/>
    <x v="8"/>
    <n v="2021"/>
    <x v="1"/>
    <s v="N/A"/>
    <n v="0"/>
    <s v="Confirmed"/>
    <s v=""/>
    <x v="1"/>
    <x v="0"/>
    <m/>
    <x v="0"/>
    <x v="0"/>
    <m/>
    <n v="1"/>
    <x v="0"/>
    <s v="In distress"/>
    <s v=""/>
  </r>
  <r>
    <x v="0"/>
    <x v="118"/>
    <x v="118"/>
    <x v="3"/>
    <x v="0"/>
    <x v="2"/>
    <x v="15"/>
    <x v="8"/>
    <n v="2021"/>
    <x v="1"/>
    <s v="N/A"/>
    <n v="0"/>
    <s v="Confirmed"/>
    <s v=""/>
    <x v="1"/>
    <x v="0"/>
    <m/>
    <x v="1"/>
    <x v="1"/>
    <m/>
    <n v="0"/>
    <x v="0"/>
    <s v="N/A"/>
    <n v="16429121142.784708"/>
  </r>
  <r>
    <x v="0"/>
    <x v="119"/>
    <x v="119"/>
    <x v="3"/>
    <x v="0"/>
    <x v="2"/>
    <x v="15"/>
    <x v="8"/>
    <n v="2021"/>
    <x v="1"/>
    <s v="N/A"/>
    <n v="0"/>
    <s v="Confirmed"/>
    <s v=""/>
    <x v="1"/>
    <x v="0"/>
    <m/>
    <x v="0"/>
    <x v="0"/>
    <m/>
    <n v="1"/>
    <x v="0"/>
    <s v="High"/>
    <n v="31684581.76217727"/>
  </r>
  <r>
    <x v="0"/>
    <x v="120"/>
    <x v="120"/>
    <x v="0"/>
    <x v="0"/>
    <x v="2"/>
    <x v="15"/>
    <x v="8"/>
    <n v="2021"/>
    <x v="1"/>
    <s v="N/A"/>
    <n v="0"/>
    <s v="Confirmed"/>
    <s v=""/>
    <x v="1"/>
    <x v="0"/>
    <m/>
    <x v="2"/>
    <x v="0"/>
    <m/>
    <n v="0"/>
    <x v="0"/>
    <s v="N/A"/>
    <n v="1373621563.5182886"/>
  </r>
  <r>
    <x v="0"/>
    <x v="121"/>
    <x v="121"/>
    <x v="4"/>
    <x v="0"/>
    <x v="2"/>
    <x v="15"/>
    <x v="8"/>
    <n v="2021"/>
    <x v="1"/>
    <s v="N/A"/>
    <n v="0"/>
    <s v="Confirmed"/>
    <s v=""/>
    <x v="1"/>
    <x v="0"/>
    <m/>
    <x v="3"/>
    <x v="1"/>
    <m/>
    <n v="0"/>
    <x v="1"/>
    <s v=""/>
    <n v="24214370.889062837"/>
  </r>
  <r>
    <x v="0"/>
    <x v="122"/>
    <x v="122"/>
    <x v="4"/>
    <x v="0"/>
    <x v="2"/>
    <x v="15"/>
    <x v="8"/>
    <n v="2021"/>
    <x v="1"/>
    <s v="N/A"/>
    <n v="0"/>
    <s v="Confirmed"/>
    <s v=""/>
    <x v="1"/>
    <x v="0"/>
    <m/>
    <x v="1"/>
    <x v="0"/>
    <m/>
    <n v="0"/>
    <x v="1"/>
    <s v="…"/>
    <n v="39941279.609447442"/>
  </r>
  <r>
    <x v="0"/>
    <x v="123"/>
    <x v="123"/>
    <x v="4"/>
    <x v="0"/>
    <x v="2"/>
    <x v="15"/>
    <x v="8"/>
    <n v="2021"/>
    <x v="1"/>
    <s v="N/A"/>
    <n v="0"/>
    <s v="Confirmed"/>
    <s v=""/>
    <x v="1"/>
    <x v="0"/>
    <m/>
    <x v="1"/>
    <x v="0"/>
    <m/>
    <n v="0"/>
    <x v="1"/>
    <s v="High"/>
    <n v="24761675.260059897"/>
  </r>
  <r>
    <x v="0"/>
    <x v="124"/>
    <x v="124"/>
    <x v="2"/>
    <x v="0"/>
    <x v="2"/>
    <x v="15"/>
    <x v="8"/>
    <n v="2021"/>
    <x v="1"/>
    <s v="N/A"/>
    <n v="0"/>
    <s v="Confirmed"/>
    <s v=""/>
    <x v="1"/>
    <x v="0"/>
    <m/>
    <x v="2"/>
    <x v="0"/>
    <m/>
    <n v="0"/>
    <x v="0"/>
    <s v="N/A"/>
    <s v=""/>
  </r>
  <r>
    <x v="0"/>
    <x v="125"/>
    <x v="125"/>
    <x v="2"/>
    <x v="0"/>
    <x v="2"/>
    <x v="15"/>
    <x v="8"/>
    <n v="2021"/>
    <x v="1"/>
    <s v="N/A"/>
    <n v="0"/>
    <s v="Confirmed"/>
    <s v=""/>
    <x v="1"/>
    <x v="0"/>
    <m/>
    <x v="0"/>
    <x v="0"/>
    <m/>
    <n v="1"/>
    <x v="0"/>
    <s v="N/A"/>
    <n v="577156172.71229994"/>
  </r>
  <r>
    <x v="0"/>
    <x v="126"/>
    <x v="126"/>
    <x v="6"/>
    <x v="0"/>
    <x v="2"/>
    <x v="15"/>
    <x v="8"/>
    <n v="2021"/>
    <x v="1"/>
    <s v="N/A"/>
    <n v="0"/>
    <s v="Confirmed"/>
    <s v=""/>
    <x v="1"/>
    <x v="0"/>
    <m/>
    <x v="1"/>
    <x v="1"/>
    <m/>
    <n v="0"/>
    <x v="1"/>
    <s v=""/>
    <n v="180052034.19851837"/>
  </r>
  <r>
    <x v="0"/>
    <x v="127"/>
    <x v="127"/>
    <x v="2"/>
    <x v="0"/>
    <x v="2"/>
    <x v="15"/>
    <x v="8"/>
    <n v="2021"/>
    <x v="1"/>
    <s v="N/A"/>
    <n v="0"/>
    <s v="Confirmed"/>
    <s v=""/>
    <x v="1"/>
    <x v="0"/>
    <m/>
    <x v="0"/>
    <x v="0"/>
    <m/>
    <n v="1"/>
    <x v="0"/>
    <s v="N/A"/>
    <s v=""/>
  </r>
  <r>
    <x v="0"/>
    <x v="128"/>
    <x v="128"/>
    <x v="1"/>
    <x v="0"/>
    <x v="2"/>
    <x v="15"/>
    <x v="8"/>
    <n v="2021"/>
    <x v="1"/>
    <s v="N/A"/>
    <n v="0"/>
    <s v="Confirmed"/>
    <s v=""/>
    <x v="1"/>
    <x v="0"/>
    <m/>
    <x v="2"/>
    <x v="0"/>
    <m/>
    <n v="0"/>
    <x v="0"/>
    <s v="High"/>
    <n v="147296124.32232863"/>
  </r>
  <r>
    <x v="0"/>
    <x v="129"/>
    <x v="129"/>
    <x v="3"/>
    <x v="0"/>
    <x v="2"/>
    <x v="15"/>
    <x v="8"/>
    <n v="2021"/>
    <x v="1"/>
    <s v="N/A"/>
    <n v="0"/>
    <s v="Confirmed"/>
    <s v=""/>
    <x v="1"/>
    <x v="0"/>
    <m/>
    <x v="2"/>
    <x v="0"/>
    <m/>
    <n v="0"/>
    <x v="0"/>
    <s v="…"/>
    <n v="890576536.83065879"/>
  </r>
  <r>
    <x v="0"/>
    <x v="130"/>
    <x v="130"/>
    <x v="6"/>
    <x v="0"/>
    <x v="2"/>
    <x v="15"/>
    <x v="8"/>
    <n v="2021"/>
    <x v="1"/>
    <s v="N/A"/>
    <n v="0"/>
    <s v="Confirmed"/>
    <s v=""/>
    <x v="1"/>
    <x v="0"/>
    <m/>
    <x v="1"/>
    <x v="1"/>
    <m/>
    <n v="0"/>
    <x v="0"/>
    <s v=""/>
    <n v="14611129792.346064"/>
  </r>
  <r>
    <x v="0"/>
    <x v="131"/>
    <x v="131"/>
    <x v="6"/>
    <x v="0"/>
    <x v="2"/>
    <x v="15"/>
    <x v="8"/>
    <n v="2021"/>
    <x v="1"/>
    <s v="N/A"/>
    <n v="0"/>
    <s v="Confirmed"/>
    <s v=""/>
    <x v="1"/>
    <x v="0"/>
    <m/>
    <x v="2"/>
    <x v="0"/>
    <m/>
    <n v="0"/>
    <x v="1"/>
    <s v="Low"/>
    <n v="72046877.233008593"/>
  </r>
  <r>
    <x v="0"/>
    <x v="132"/>
    <x v="132"/>
    <x v="5"/>
    <x v="0"/>
    <x v="2"/>
    <x v="15"/>
    <x v="8"/>
    <n v="2021"/>
    <x v="1"/>
    <s v="N/A"/>
    <n v="0"/>
    <s v="Confirmed"/>
    <s v=""/>
    <x v="1"/>
    <x v="0"/>
    <m/>
    <x v="0"/>
    <x v="0"/>
    <m/>
    <n v="0"/>
    <x v="0"/>
    <s v="High"/>
    <n v="56248139.267255567"/>
  </r>
  <r>
    <x v="0"/>
    <x v="133"/>
    <x v="133"/>
    <x v="6"/>
    <x v="0"/>
    <x v="2"/>
    <x v="15"/>
    <x v="8"/>
    <n v="2021"/>
    <x v="1"/>
    <s v="N/A"/>
    <n v="0"/>
    <s v="Confirmed"/>
    <s v=""/>
    <x v="1"/>
    <x v="0"/>
    <m/>
    <x v="1"/>
    <x v="0"/>
    <m/>
    <n v="0"/>
    <x v="1"/>
    <s v="High"/>
    <n v="15464031.712942109"/>
  </r>
  <r>
    <x v="0"/>
    <x v="134"/>
    <x v="134"/>
    <x v="4"/>
    <x v="0"/>
    <x v="2"/>
    <x v="15"/>
    <x v="8"/>
    <n v="2021"/>
    <x v="1"/>
    <s v="N/A"/>
    <n v="0"/>
    <s v="Confirmed"/>
    <s v=""/>
    <x v="1"/>
    <x v="0"/>
    <m/>
    <x v="3"/>
    <x v="1"/>
    <m/>
    <n v="0"/>
    <x v="1"/>
    <s v="N/A"/>
    <n v="769564399.33249676"/>
  </r>
  <r>
    <x v="0"/>
    <x v="135"/>
    <x v="135"/>
    <x v="2"/>
    <x v="0"/>
    <x v="2"/>
    <x v="15"/>
    <x v="8"/>
    <n v="2021"/>
    <x v="1"/>
    <s v="N/A"/>
    <n v="0"/>
    <s v="Confirmed"/>
    <s v=""/>
    <x v="1"/>
    <x v="0"/>
    <m/>
    <x v="2"/>
    <x v="0"/>
    <m/>
    <n v="0"/>
    <x v="0"/>
    <s v="N/A"/>
    <n v="1668954539.7630196"/>
  </r>
  <r>
    <x v="0"/>
    <x v="136"/>
    <x v="136"/>
    <x v="1"/>
    <x v="0"/>
    <x v="2"/>
    <x v="15"/>
    <x v="8"/>
    <n v="2021"/>
    <x v="1"/>
    <s v="N/A"/>
    <n v="0"/>
    <s v="Confirmed"/>
    <s v=""/>
    <x v="1"/>
    <x v="0"/>
    <m/>
    <x v="1"/>
    <x v="1"/>
    <m/>
    <n v="0"/>
    <x v="0"/>
    <s v=""/>
    <n v="24840920016.18832"/>
  </r>
  <r>
    <x v="0"/>
    <x v="137"/>
    <x v="137"/>
    <x v="1"/>
    <x v="0"/>
    <x v="2"/>
    <x v="15"/>
    <x v="8"/>
    <n v="2021"/>
    <x v="1"/>
    <s v="N/A"/>
    <n v="0"/>
    <s v="Confirmed"/>
    <s v=""/>
    <x v="1"/>
    <x v="0"/>
    <m/>
    <x v="1"/>
    <x v="1"/>
    <m/>
    <n v="0"/>
    <x v="0"/>
    <s v="N/A"/>
    <n v="487888462.83720118"/>
  </r>
  <r>
    <x v="0"/>
    <x v="138"/>
    <x v="138"/>
    <x v="6"/>
    <x v="0"/>
    <x v="2"/>
    <x v="15"/>
    <x v="8"/>
    <n v="2021"/>
    <x v="1"/>
    <s v="N/A"/>
    <n v="0"/>
    <s v="Confirmed"/>
    <s v=""/>
    <x v="1"/>
    <x v="0"/>
    <m/>
    <x v="1"/>
    <x v="0"/>
    <m/>
    <n v="0"/>
    <x v="1"/>
    <s v="…"/>
    <n v="6365061.1736073596"/>
  </r>
  <r>
    <x v="0"/>
    <x v="139"/>
    <x v="139"/>
    <x v="3"/>
    <x v="0"/>
    <x v="2"/>
    <x v="15"/>
    <x v="8"/>
    <n v="2021"/>
    <x v="1"/>
    <s v="N/A"/>
    <n v="0"/>
    <s v="Confirmed"/>
    <s v=""/>
    <x v="1"/>
    <x v="0"/>
    <m/>
    <x v="0"/>
    <x v="0"/>
    <m/>
    <n v="2"/>
    <x v="0"/>
    <s v="Low"/>
    <n v="291799092.90196139"/>
  </r>
  <r>
    <x v="0"/>
    <x v="140"/>
    <x v="140"/>
    <x v="1"/>
    <x v="0"/>
    <x v="2"/>
    <x v="15"/>
    <x v="8"/>
    <n v="2021"/>
    <x v="1"/>
    <s v="N/A"/>
    <n v="0"/>
    <s v="Confirmed"/>
    <s v=""/>
    <x v="1"/>
    <x v="0"/>
    <m/>
    <x v="2"/>
    <x v="0"/>
    <m/>
    <n v="0"/>
    <x v="0"/>
    <s v="N/A"/>
    <n v="4844815340.2135534"/>
  </r>
  <r>
    <x v="0"/>
    <x v="141"/>
    <x v="141"/>
    <x v="4"/>
    <x v="0"/>
    <x v="2"/>
    <x v="15"/>
    <x v="8"/>
    <n v="2021"/>
    <x v="1"/>
    <s v="N/A"/>
    <n v="0"/>
    <s v="Confirmed"/>
    <s v=""/>
    <x v="1"/>
    <x v="0"/>
    <m/>
    <x v="3"/>
    <x v="1"/>
    <m/>
    <n v="0"/>
    <x v="0"/>
    <s v=""/>
    <n v="4001891446.6871672"/>
  </r>
  <r>
    <x v="0"/>
    <x v="142"/>
    <x v="142"/>
    <x v="1"/>
    <x v="0"/>
    <x v="2"/>
    <x v="15"/>
    <x v="8"/>
    <n v="2021"/>
    <x v="1"/>
    <s v="N/A"/>
    <n v="0"/>
    <s v="Confirmed"/>
    <s v=""/>
    <x v="1"/>
    <x v="0"/>
    <m/>
    <x v="2"/>
    <x v="0"/>
    <m/>
    <n v="0"/>
    <x v="0"/>
    <s v="Low"/>
    <n v="1019800630.5853213"/>
  </r>
  <r>
    <x v="0"/>
    <x v="143"/>
    <x v="143"/>
    <x v="6"/>
    <x v="0"/>
    <x v="2"/>
    <x v="15"/>
    <x v="8"/>
    <n v="2021"/>
    <x v="1"/>
    <s v="N/A"/>
    <n v="0"/>
    <s v="Confirmed"/>
    <s v=""/>
    <x v="1"/>
    <x v="0"/>
    <m/>
    <x v="2"/>
    <x v="0"/>
    <m/>
    <n v="0"/>
    <x v="1"/>
    <s v="Moderate"/>
    <n v="19578671.310841195"/>
  </r>
  <r>
    <x v="0"/>
    <x v="144"/>
    <x v="144"/>
    <x v="4"/>
    <x v="0"/>
    <x v="2"/>
    <x v="15"/>
    <x v="8"/>
    <n v="2021"/>
    <x v="1"/>
    <s v="N/A"/>
    <n v="0"/>
    <s v="Confirmed"/>
    <s v=""/>
    <x v="1"/>
    <x v="0"/>
    <m/>
    <x v="4"/>
    <x v="1"/>
    <m/>
    <n v="0"/>
    <x v="0"/>
    <s v="N/A"/>
    <n v="3551452001.0684834"/>
  </r>
  <r>
    <x v="0"/>
    <x v="145"/>
    <x v="145"/>
    <x v="6"/>
    <x v="0"/>
    <x v="2"/>
    <x v="15"/>
    <x v="8"/>
    <n v="2021"/>
    <x v="1"/>
    <s v="N/A"/>
    <n v="0"/>
    <s v="Confirmed"/>
    <s v=""/>
    <x v="1"/>
    <x v="0"/>
    <m/>
    <x v="2"/>
    <x v="0"/>
    <m/>
    <n v="0"/>
    <x v="0"/>
    <s v="N/A"/>
    <n v="6603048821.7575006"/>
  </r>
  <r>
    <x v="0"/>
    <x v="146"/>
    <x v="146"/>
    <x v="2"/>
    <x v="0"/>
    <x v="2"/>
    <x v="15"/>
    <x v="8"/>
    <n v="2021"/>
    <x v="1"/>
    <s v="N/A"/>
    <n v="0"/>
    <s v="Confirmed"/>
    <s v=""/>
    <x v="1"/>
    <x v="0"/>
    <m/>
    <x v="0"/>
    <x v="0"/>
    <m/>
    <n v="1"/>
    <x v="0"/>
    <s v="…"/>
    <s v=""/>
  </r>
  <r>
    <x v="0"/>
    <x v="147"/>
    <x v="147"/>
    <x v="3"/>
    <x v="0"/>
    <x v="2"/>
    <x v="15"/>
    <x v="8"/>
    <n v="2021"/>
    <x v="1"/>
    <s v="N/A"/>
    <n v="0"/>
    <s v="Confirmed"/>
    <s v=""/>
    <x v="1"/>
    <x v="0"/>
    <m/>
    <x v="2"/>
    <x v="0"/>
    <m/>
    <n v="0"/>
    <x v="0"/>
    <s v="High"/>
    <n v="515352723.9821828"/>
  </r>
  <r>
    <x v="0"/>
    <x v="148"/>
    <x v="148"/>
    <x v="3"/>
    <x v="0"/>
    <x v="2"/>
    <x v="15"/>
    <x v="8"/>
    <n v="2021"/>
    <x v="1"/>
    <s v="N/A"/>
    <n v="0"/>
    <s v="Confirmed"/>
    <s v=""/>
    <x v="1"/>
    <x v="0"/>
    <m/>
    <x v="2"/>
    <x v="0"/>
    <m/>
    <n v="0"/>
    <x v="0"/>
    <s v="N/A"/>
    <n v="566711742.22428358"/>
  </r>
  <r>
    <x v="0"/>
    <x v="0"/>
    <x v="0"/>
    <x v="0"/>
    <x v="0"/>
    <x v="3"/>
    <x v="16"/>
    <x v="8"/>
    <s v="Multi-Year"/>
    <x v="1"/>
    <s v="N/A"/>
    <n v="0"/>
    <s v="Confirmed"/>
    <s v=""/>
    <x v="1"/>
    <x v="0"/>
    <m/>
    <x v="0"/>
    <x v="0"/>
    <m/>
    <n v="1"/>
    <x v="0"/>
    <s v="High"/>
    <n v="95829480.719269618"/>
  </r>
  <r>
    <x v="0"/>
    <x v="1"/>
    <x v="1"/>
    <x v="1"/>
    <x v="0"/>
    <x v="3"/>
    <x v="16"/>
    <x v="8"/>
    <s v="Multi-Year"/>
    <x v="1"/>
    <s v="N/A"/>
    <n v="0"/>
    <s v="Confirmed"/>
    <s v=""/>
    <x v="1"/>
    <x v="0"/>
    <m/>
    <x v="1"/>
    <x v="1"/>
    <m/>
    <n v="0"/>
    <x v="0"/>
    <s v=""/>
    <n v="427904035.52443534"/>
  </r>
  <r>
    <x v="0"/>
    <x v="2"/>
    <x v="2"/>
    <x v="2"/>
    <x v="0"/>
    <x v="3"/>
    <x v="16"/>
    <x v="8"/>
    <s v="Multi-Year"/>
    <x v="1"/>
    <s v="N/A"/>
    <n v="0"/>
    <s v="Confirmed"/>
    <s v=""/>
    <x v="1"/>
    <x v="0"/>
    <m/>
    <x v="2"/>
    <x v="0"/>
    <m/>
    <n v="0"/>
    <x v="0"/>
    <s v="N/A"/>
    <n v="7113361022.7267885"/>
  </r>
  <r>
    <x v="0"/>
    <x v="3"/>
    <x v="3"/>
    <x v="3"/>
    <x v="0"/>
    <x v="3"/>
    <x v="16"/>
    <x v="8"/>
    <s v="Multi-Year"/>
    <x v="1"/>
    <s v="N/A"/>
    <n v="0"/>
    <s v="Confirmed"/>
    <s v=""/>
    <x v="1"/>
    <x v="0"/>
    <m/>
    <x v="2"/>
    <x v="0"/>
    <m/>
    <n v="0"/>
    <x v="0"/>
    <s v="…"/>
    <n v="1131865946.5875781"/>
  </r>
  <r>
    <x v="0"/>
    <x v="4"/>
    <x v="4"/>
    <x v="4"/>
    <x v="0"/>
    <x v="3"/>
    <x v="16"/>
    <x v="8"/>
    <s v="Multi-Year"/>
    <x v="1"/>
    <s v="N/A"/>
    <n v="0"/>
    <s v="Confirmed"/>
    <s v=""/>
    <x v="1"/>
    <x v="0"/>
    <m/>
    <x v="3"/>
    <x v="1"/>
    <m/>
    <n v="0"/>
    <x v="1"/>
    <s v=""/>
    <n v="46777779.823447868"/>
  </r>
  <r>
    <x v="0"/>
    <x v="5"/>
    <x v="5"/>
    <x v="4"/>
    <x v="0"/>
    <x v="3"/>
    <x v="16"/>
    <x v="8"/>
    <s v="Multi-Year"/>
    <x v="1"/>
    <s v="N/A"/>
    <n v="0"/>
    <s v="Confirmed"/>
    <s v=""/>
    <x v="1"/>
    <x v="0"/>
    <m/>
    <x v="1"/>
    <x v="1"/>
    <m/>
    <n v="0"/>
    <x v="0"/>
    <s v=""/>
    <n v="30725305777.596794"/>
  </r>
  <r>
    <x v="0"/>
    <x v="6"/>
    <x v="6"/>
    <x v="1"/>
    <x v="0"/>
    <x v="3"/>
    <x v="16"/>
    <x v="8"/>
    <s v="Multi-Year"/>
    <x v="1"/>
    <s v="N/A"/>
    <n v="0"/>
    <s v="Confirmed"/>
    <s v=""/>
    <x v="1"/>
    <x v="0"/>
    <m/>
    <x v="1"/>
    <x v="1"/>
    <m/>
    <n v="0"/>
    <x v="0"/>
    <s v=""/>
    <n v="153815827.8380394"/>
  </r>
  <r>
    <x v="0"/>
    <x v="7"/>
    <x v="7"/>
    <x v="1"/>
    <x v="0"/>
    <x v="3"/>
    <x v="16"/>
    <x v="8"/>
    <s v="Multi-Year"/>
    <x v="1"/>
    <s v="N/A"/>
    <n v="0"/>
    <s v="Confirmed"/>
    <s v=""/>
    <x v="1"/>
    <x v="0"/>
    <m/>
    <x v="1"/>
    <x v="1"/>
    <m/>
    <n v="0"/>
    <x v="0"/>
    <s v="N/A"/>
    <n v="437525105.31216973"/>
  </r>
  <r>
    <x v="0"/>
    <x v="8"/>
    <x v="8"/>
    <x v="4"/>
    <x v="0"/>
    <x v="3"/>
    <x v="16"/>
    <x v="8"/>
    <s v="Multi-Year"/>
    <x v="1"/>
    <s v="N/A"/>
    <n v="0"/>
    <s v="Confirmed"/>
    <s v=""/>
    <x v="1"/>
    <x v="0"/>
    <m/>
    <x v="3"/>
    <x v="1"/>
    <m/>
    <n v="0"/>
    <x v="1"/>
    <s v=""/>
    <n v="149463302.00602186"/>
  </r>
  <r>
    <x v="0"/>
    <x v="9"/>
    <x v="9"/>
    <x v="0"/>
    <x v="0"/>
    <x v="3"/>
    <x v="16"/>
    <x v="8"/>
    <s v="Multi-Year"/>
    <x v="1"/>
    <s v="N/A"/>
    <n v="0"/>
    <s v="Confirmed"/>
    <s v=""/>
    <x v="1"/>
    <x v="0"/>
    <m/>
    <x v="2"/>
    <x v="0"/>
    <m/>
    <n v="0"/>
    <x v="0"/>
    <s v="Low"/>
    <n v="1148322593.9600098"/>
  </r>
  <r>
    <x v="0"/>
    <x v="10"/>
    <x v="10"/>
    <x v="1"/>
    <x v="0"/>
    <x v="3"/>
    <x v="16"/>
    <x v="8"/>
    <s v="Multi-Year"/>
    <x v="1"/>
    <s v="N/A"/>
    <n v="0"/>
    <s v="Confirmed"/>
    <s v=""/>
    <x v="1"/>
    <x v="0"/>
    <m/>
    <x v="1"/>
    <x v="1"/>
    <m/>
    <n v="0"/>
    <x v="0"/>
    <s v=""/>
    <n v="2371102058.1093163"/>
  </r>
  <r>
    <x v="0"/>
    <x v="11"/>
    <x v="11"/>
    <x v="4"/>
    <x v="0"/>
    <x v="3"/>
    <x v="16"/>
    <x v="8"/>
    <s v="Multi-Year"/>
    <x v="1"/>
    <s v="N/A"/>
    <n v="0"/>
    <s v="Confirmed"/>
    <s v=""/>
    <x v="1"/>
    <x v="0"/>
    <m/>
    <x v="2"/>
    <x v="1"/>
    <m/>
    <n v="0"/>
    <x v="1"/>
    <s v="N/A"/>
    <n v="75151620.005215243"/>
  </r>
  <r>
    <x v="0"/>
    <x v="12"/>
    <x v="12"/>
    <x v="5"/>
    <x v="0"/>
    <x v="3"/>
    <x v="16"/>
    <x v="8"/>
    <s v="Multi-Year"/>
    <x v="1"/>
    <s v="N/A"/>
    <n v="0"/>
    <s v="Confirmed"/>
    <s v=""/>
    <x v="1"/>
    <x v="0"/>
    <m/>
    <x v="2"/>
    <x v="0"/>
    <m/>
    <n v="0"/>
    <x v="0"/>
    <s v="Moderate"/>
    <n v="69958487.197715744"/>
  </r>
  <r>
    <x v="0"/>
    <x v="13"/>
    <x v="13"/>
    <x v="0"/>
    <x v="0"/>
    <x v="3"/>
    <x v="16"/>
    <x v="8"/>
    <s v="Multi-Year"/>
    <x v="1"/>
    <s v="N/A"/>
    <n v="0"/>
    <s v="Confirmed"/>
    <s v=""/>
    <x v="1"/>
    <x v="0"/>
    <m/>
    <x v="2"/>
    <x v="0"/>
    <m/>
    <n v="0"/>
    <x v="0"/>
    <s v="…"/>
    <n v="61654608.560629159"/>
  </r>
  <r>
    <x v="0"/>
    <x v="14"/>
    <x v="14"/>
    <x v="4"/>
    <x v="0"/>
    <x v="3"/>
    <x v="16"/>
    <x v="8"/>
    <s v="Multi-Year"/>
    <x v="1"/>
    <s v="N/A"/>
    <n v="0"/>
    <s v="Confirmed"/>
    <s v=""/>
    <x v="1"/>
    <x v="0"/>
    <m/>
    <x v="2"/>
    <x v="0"/>
    <m/>
    <n v="0"/>
    <x v="0"/>
    <s v="N/A"/>
    <n v="1806638707.7615163"/>
  </r>
  <r>
    <x v="0"/>
    <x v="15"/>
    <x v="15"/>
    <x v="1"/>
    <x v="0"/>
    <x v="3"/>
    <x v="16"/>
    <x v="8"/>
    <s v="Multi-Year"/>
    <x v="1"/>
    <s v="N/A"/>
    <n v="0"/>
    <s v="Confirmed"/>
    <s v=""/>
    <x v="1"/>
    <x v="0"/>
    <m/>
    <x v="1"/>
    <x v="1"/>
    <m/>
    <n v="0"/>
    <x v="0"/>
    <s v="N/A"/>
    <n v="1252696525.0627904"/>
  </r>
  <r>
    <x v="0"/>
    <x v="16"/>
    <x v="16"/>
    <x v="3"/>
    <x v="0"/>
    <x v="3"/>
    <x v="16"/>
    <x v="8"/>
    <s v="Multi-Year"/>
    <x v="1"/>
    <s v="N/A"/>
    <n v="0"/>
    <s v="Confirmed"/>
    <s v=""/>
    <x v="1"/>
    <x v="0"/>
    <m/>
    <x v="1"/>
    <x v="1"/>
    <m/>
    <n v="0"/>
    <x v="0"/>
    <s v=""/>
    <n v="843425084.07334602"/>
  </r>
  <r>
    <x v="0"/>
    <x v="17"/>
    <x v="17"/>
    <x v="4"/>
    <x v="0"/>
    <x v="3"/>
    <x v="16"/>
    <x v="8"/>
    <s v="Multi-Year"/>
    <x v="1"/>
    <s v="N/A"/>
    <n v="0"/>
    <s v="Confirmed"/>
    <s v=""/>
    <x v="1"/>
    <x v="0"/>
    <m/>
    <x v="1"/>
    <x v="1"/>
    <m/>
    <n v="0"/>
    <x v="0"/>
    <s v="N/A"/>
    <n v="74055620038.853683"/>
  </r>
  <r>
    <x v="0"/>
    <x v="18"/>
    <x v="18"/>
    <x v="1"/>
    <x v="0"/>
    <x v="3"/>
    <x v="16"/>
    <x v="8"/>
    <s v="Multi-Year"/>
    <x v="1"/>
    <s v="N/A"/>
    <n v="0"/>
    <s v="Confirmed"/>
    <s v=""/>
    <x v="1"/>
    <x v="0"/>
    <m/>
    <x v="1"/>
    <x v="1"/>
    <m/>
    <n v="0"/>
    <x v="0"/>
    <s v=""/>
    <n v="2803357765.5888777"/>
  </r>
  <r>
    <x v="0"/>
    <x v="19"/>
    <x v="19"/>
    <x v="5"/>
    <x v="0"/>
    <x v="3"/>
    <x v="16"/>
    <x v="8"/>
    <s v="Multi-Year"/>
    <x v="1"/>
    <s v="N/A"/>
    <n v="1110635"/>
    <s v="Confirmed"/>
    <s v=""/>
    <x v="1"/>
    <x v="0"/>
    <m/>
    <x v="0"/>
    <x v="0"/>
    <m/>
    <n v="2"/>
    <x v="0"/>
    <s v="Moderate"/>
    <n v="337927779.25510043"/>
  </r>
  <r>
    <x v="0"/>
    <x v="20"/>
    <x v="20"/>
    <x v="3"/>
    <x v="0"/>
    <x v="3"/>
    <x v="16"/>
    <x v="8"/>
    <s v="Multi-Year"/>
    <x v="1"/>
    <s v="N/A"/>
    <n v="0"/>
    <s v="Confirmed"/>
    <s v=""/>
    <x v="1"/>
    <x v="0"/>
    <m/>
    <x v="0"/>
    <x v="0"/>
    <m/>
    <n v="2"/>
    <x v="0"/>
    <s v="…"/>
    <n v="65979512.47399316"/>
  </r>
  <r>
    <x v="0"/>
    <x v="21"/>
    <x v="21"/>
    <x v="5"/>
    <x v="0"/>
    <x v="3"/>
    <x v="16"/>
    <x v="8"/>
    <s v="Multi-Year"/>
    <x v="1"/>
    <s v="N/A"/>
    <n v="0"/>
    <s v="Confirmed"/>
    <s v=""/>
    <x v="1"/>
    <x v="0"/>
    <m/>
    <x v="2"/>
    <x v="0"/>
    <m/>
    <n v="0"/>
    <x v="1"/>
    <s v="High"/>
    <n v="63748362.778827004"/>
  </r>
  <r>
    <x v="0"/>
    <x v="22"/>
    <x v="22"/>
    <x v="6"/>
    <x v="0"/>
    <x v="3"/>
    <x v="16"/>
    <x v="8"/>
    <s v="Multi-Year"/>
    <x v="1"/>
    <s v="N/A"/>
    <n v="0"/>
    <s v="Confirmed"/>
    <s v=""/>
    <x v="1"/>
    <x v="0"/>
    <m/>
    <x v="2"/>
    <x v="0"/>
    <m/>
    <n v="0"/>
    <x v="0"/>
    <s v="Low"/>
    <n v="313039649.45369786"/>
  </r>
  <r>
    <x v="0"/>
    <x v="23"/>
    <x v="23"/>
    <x v="5"/>
    <x v="0"/>
    <x v="3"/>
    <x v="16"/>
    <x v="8"/>
    <s v="Multi-Year"/>
    <x v="1"/>
    <s v="N/A"/>
    <n v="0"/>
    <s v="Confirmed"/>
    <s v=""/>
    <x v="1"/>
    <x v="0"/>
    <m/>
    <x v="2"/>
    <x v="0"/>
    <m/>
    <n v="2"/>
    <x v="0"/>
    <s v="High"/>
    <n v="81361801.477472037"/>
  </r>
  <r>
    <x v="0"/>
    <x v="24"/>
    <x v="24"/>
    <x v="5"/>
    <x v="0"/>
    <x v="3"/>
    <x v="16"/>
    <x v="8"/>
    <s v="Multi-Year"/>
    <x v="1"/>
    <s v="N/A"/>
    <n v="1110635"/>
    <s v="Confirmed"/>
    <s v=""/>
    <x v="1"/>
    <x v="0"/>
    <m/>
    <x v="0"/>
    <x v="0"/>
    <m/>
    <n v="1"/>
    <x v="0"/>
    <s v="High"/>
    <s v=""/>
  </r>
  <r>
    <x v="0"/>
    <x v="25"/>
    <x v="25"/>
    <x v="5"/>
    <x v="0"/>
    <x v="3"/>
    <x v="16"/>
    <x v="8"/>
    <s v="Multi-Year"/>
    <x v="1"/>
    <s v="N/A"/>
    <n v="0"/>
    <s v="Confirmed"/>
    <s v=""/>
    <x v="1"/>
    <x v="0"/>
    <m/>
    <x v="0"/>
    <x v="0"/>
    <m/>
    <n v="1"/>
    <x v="0"/>
    <s v="High"/>
    <n v="76939306.715636879"/>
  </r>
  <r>
    <x v="0"/>
    <x v="26"/>
    <x v="26"/>
    <x v="4"/>
    <x v="0"/>
    <x v="3"/>
    <x v="16"/>
    <x v="8"/>
    <s v="Multi-Year"/>
    <x v="1"/>
    <s v="N/A"/>
    <n v="0"/>
    <s v="Confirmed"/>
    <s v=""/>
    <x v="1"/>
    <x v="0"/>
    <m/>
    <x v="3"/>
    <x v="1"/>
    <m/>
    <n v="0"/>
    <x v="0"/>
    <s v=""/>
    <n v="13859708717.682571"/>
  </r>
  <r>
    <x v="0"/>
    <x v="27"/>
    <x v="27"/>
    <x v="6"/>
    <x v="0"/>
    <x v="3"/>
    <x v="16"/>
    <x v="8"/>
    <s v="Multi-Year"/>
    <x v="1"/>
    <s v="N/A"/>
    <n v="0"/>
    <s v="Confirmed"/>
    <s v=""/>
    <x v="1"/>
    <x v="0"/>
    <m/>
    <x v="1"/>
    <x v="1"/>
    <m/>
    <n v="0"/>
    <x v="0"/>
    <s v=""/>
    <n v="403567160707.7016"/>
  </r>
  <r>
    <x v="0"/>
    <x v="28"/>
    <x v="28"/>
    <x v="4"/>
    <x v="0"/>
    <x v="3"/>
    <x v="16"/>
    <x v="8"/>
    <s v="Multi-Year"/>
    <x v="1"/>
    <s v="N/A"/>
    <n v="0"/>
    <s v="Confirmed"/>
    <s v=""/>
    <x v="1"/>
    <x v="0"/>
    <m/>
    <x v="1"/>
    <x v="1"/>
    <m/>
    <n v="0"/>
    <x v="0"/>
    <s v=""/>
    <n v="18250225995.972618"/>
  </r>
  <r>
    <x v="0"/>
    <x v="29"/>
    <x v="29"/>
    <x v="3"/>
    <x v="0"/>
    <x v="3"/>
    <x v="16"/>
    <x v="8"/>
    <s v="Multi-Year"/>
    <x v="1"/>
    <s v="N/A"/>
    <n v="0"/>
    <s v="Confirmed"/>
    <s v=""/>
    <x v="1"/>
    <x v="0"/>
    <m/>
    <x v="2"/>
    <x v="0"/>
    <m/>
    <n v="0"/>
    <x v="1"/>
    <s v="Moderate"/>
    <n v="5027591.1682657599"/>
  </r>
  <r>
    <x v="0"/>
    <x v="30"/>
    <x v="30"/>
    <x v="5"/>
    <x v="0"/>
    <x v="3"/>
    <x v="16"/>
    <x v="8"/>
    <s v="Multi-Year"/>
    <x v="1"/>
    <s v="N/A"/>
    <n v="1693999"/>
    <s v="Confirmed"/>
    <s v=""/>
    <x v="1"/>
    <x v="0"/>
    <m/>
    <x v="0"/>
    <x v="0"/>
    <m/>
    <n v="3"/>
    <x v="0"/>
    <s v="Moderate"/>
    <n v="234645958.63289919"/>
  </r>
  <r>
    <x v="0"/>
    <x v="31"/>
    <x v="31"/>
    <x v="5"/>
    <x v="0"/>
    <x v="3"/>
    <x v="16"/>
    <x v="8"/>
    <s v="Multi-Year"/>
    <x v="1"/>
    <s v="N/A"/>
    <n v="0"/>
    <s v="Confirmed"/>
    <s v=""/>
    <x v="1"/>
    <x v="0"/>
    <m/>
    <x v="2"/>
    <x v="0"/>
    <m/>
    <n v="2"/>
    <x v="0"/>
    <s v="In distress"/>
    <n v="91590910.247314155"/>
  </r>
  <r>
    <x v="0"/>
    <x v="32"/>
    <x v="32"/>
    <x v="6"/>
    <x v="0"/>
    <x v="3"/>
    <x v="16"/>
    <x v="8"/>
    <s v="Multi-Year"/>
    <x v="1"/>
    <s v="N/A"/>
    <n v="0"/>
    <s v="Confirmed"/>
    <s v=""/>
    <x v="1"/>
    <x v="0"/>
    <m/>
    <x v="4"/>
    <x v="1"/>
    <m/>
    <n v="0"/>
    <x v="1"/>
    <s v="N/A"/>
    <n v="8560012.8840167802"/>
  </r>
  <r>
    <x v="0"/>
    <x v="33"/>
    <x v="33"/>
    <x v="4"/>
    <x v="0"/>
    <x v="3"/>
    <x v="16"/>
    <x v="8"/>
    <s v="Multi-Year"/>
    <x v="1"/>
    <s v="N/A"/>
    <n v="0"/>
    <s v="Confirmed"/>
    <s v=""/>
    <x v="1"/>
    <x v="0"/>
    <m/>
    <x v="1"/>
    <x v="1"/>
    <m/>
    <n v="0"/>
    <x v="0"/>
    <s v="N/A"/>
    <n v="3292372960.3962669"/>
  </r>
  <r>
    <x v="0"/>
    <x v="34"/>
    <x v="34"/>
    <x v="5"/>
    <x v="0"/>
    <x v="3"/>
    <x v="16"/>
    <x v="8"/>
    <s v="Multi-Year"/>
    <x v="1"/>
    <s v="N/A"/>
    <n v="0"/>
    <s v="Confirmed"/>
    <s v=""/>
    <x v="1"/>
    <x v="0"/>
    <m/>
    <x v="2"/>
    <x v="0"/>
    <m/>
    <n v="0"/>
    <x v="0"/>
    <s v="Moderate"/>
    <n v="519209981.22981054"/>
  </r>
  <r>
    <x v="0"/>
    <x v="35"/>
    <x v="35"/>
    <x v="1"/>
    <x v="0"/>
    <x v="3"/>
    <x v="16"/>
    <x v="8"/>
    <s v="Multi-Year"/>
    <x v="1"/>
    <s v="N/A"/>
    <n v="0"/>
    <s v="Confirmed"/>
    <s v=""/>
    <x v="1"/>
    <x v="0"/>
    <m/>
    <x v="3"/>
    <x v="1"/>
    <m/>
    <n v="0"/>
    <x v="0"/>
    <s v=""/>
    <n v="3464739907.1604805"/>
  </r>
  <r>
    <x v="0"/>
    <x v="36"/>
    <x v="36"/>
    <x v="4"/>
    <x v="0"/>
    <x v="3"/>
    <x v="16"/>
    <x v="8"/>
    <s v="Multi-Year"/>
    <x v="1"/>
    <s v="N/A"/>
    <n v="0"/>
    <s v="Confirmed"/>
    <s v=""/>
    <x v="1"/>
    <x v="0"/>
    <m/>
    <x v="1"/>
    <x v="1"/>
    <m/>
    <n v="0"/>
    <x v="1"/>
    <s v=""/>
    <n v="9948521252.2569065"/>
  </r>
  <r>
    <x v="0"/>
    <x v="37"/>
    <x v="37"/>
    <x v="2"/>
    <x v="0"/>
    <x v="3"/>
    <x v="16"/>
    <x v="8"/>
    <s v="Multi-Year"/>
    <x v="1"/>
    <s v="N/A"/>
    <n v="0"/>
    <s v="Confirmed"/>
    <s v=""/>
    <x v="1"/>
    <x v="0"/>
    <m/>
    <x v="2"/>
    <x v="0"/>
    <m/>
    <n v="1"/>
    <x v="0"/>
    <s v="High"/>
    <n v="33679192.765657313"/>
  </r>
  <r>
    <x v="0"/>
    <x v="38"/>
    <x v="38"/>
    <x v="4"/>
    <x v="0"/>
    <x v="3"/>
    <x v="16"/>
    <x v="8"/>
    <s v="Multi-Year"/>
    <x v="1"/>
    <s v="N/A"/>
    <n v="0"/>
    <s v="Confirmed"/>
    <s v=""/>
    <x v="1"/>
    <x v="0"/>
    <m/>
    <x v="1"/>
    <x v="0"/>
    <m/>
    <n v="0"/>
    <x v="1"/>
    <s v="…"/>
    <n v="22784494.365742501"/>
  </r>
  <r>
    <x v="0"/>
    <x v="39"/>
    <x v="39"/>
    <x v="4"/>
    <x v="0"/>
    <x v="3"/>
    <x v="16"/>
    <x v="8"/>
    <s v="Multi-Year"/>
    <x v="1"/>
    <s v="N/A"/>
    <n v="0"/>
    <s v="Confirmed"/>
    <s v=""/>
    <x v="1"/>
    <x v="0"/>
    <m/>
    <x v="1"/>
    <x v="1"/>
    <m/>
    <n v="0"/>
    <x v="1"/>
    <s v=""/>
    <n v="2173208011.4858823"/>
  </r>
  <r>
    <x v="0"/>
    <x v="40"/>
    <x v="40"/>
    <x v="4"/>
    <x v="0"/>
    <x v="3"/>
    <x v="16"/>
    <x v="8"/>
    <s v="Multi-Year"/>
    <x v="1"/>
    <s v="N/A"/>
    <n v="0"/>
    <s v="Confirmed"/>
    <s v=""/>
    <x v="1"/>
    <x v="0"/>
    <m/>
    <x v="1"/>
    <x v="1"/>
    <m/>
    <n v="0"/>
    <x v="0"/>
    <s v="N/A"/>
    <n v="4585736158.8323269"/>
  </r>
  <r>
    <x v="0"/>
    <x v="41"/>
    <x v="41"/>
    <x v="2"/>
    <x v="0"/>
    <x v="3"/>
    <x v="16"/>
    <x v="8"/>
    <s v="Multi-Year"/>
    <x v="1"/>
    <s v="N/A"/>
    <n v="0"/>
    <s v="Confirmed"/>
    <s v=""/>
    <x v="1"/>
    <x v="0"/>
    <m/>
    <x v="2"/>
    <x v="0"/>
    <m/>
    <n v="0"/>
    <x v="0"/>
    <s v="N/A"/>
    <n v="3550291584.8645592"/>
  </r>
  <r>
    <x v="0"/>
    <x v="42"/>
    <x v="42"/>
    <x v="4"/>
    <x v="0"/>
    <x v="3"/>
    <x v="16"/>
    <x v="8"/>
    <s v="Multi-Year"/>
    <x v="1"/>
    <s v="N/A"/>
    <n v="0"/>
    <s v="Confirmed"/>
    <s v=""/>
    <x v="1"/>
    <x v="0"/>
    <m/>
    <x v="2"/>
    <x v="0"/>
    <m/>
    <n v="0"/>
    <x v="0"/>
    <s v="N/A"/>
    <n v="1182840319.0410969"/>
  </r>
  <r>
    <x v="0"/>
    <x v="43"/>
    <x v="43"/>
    <x v="4"/>
    <x v="0"/>
    <x v="3"/>
    <x v="16"/>
    <x v="8"/>
    <s v="Multi-Year"/>
    <x v="1"/>
    <s v="N/A"/>
    <n v="0"/>
    <s v="Confirmed"/>
    <s v=""/>
    <x v="1"/>
    <x v="0"/>
    <m/>
    <x v="1"/>
    <x v="1"/>
    <m/>
    <n v="0"/>
    <x v="0"/>
    <s v=""/>
    <n v="81728347.604567245"/>
  </r>
  <r>
    <x v="0"/>
    <x v="44"/>
    <x v="44"/>
    <x v="3"/>
    <x v="0"/>
    <x v="3"/>
    <x v="16"/>
    <x v="8"/>
    <s v="Multi-Year"/>
    <x v="1"/>
    <s v="N/A"/>
    <n v="0"/>
    <s v="Confirmed"/>
    <s v=""/>
    <x v="1"/>
    <x v="0"/>
    <m/>
    <x v="0"/>
    <x v="0"/>
    <m/>
    <n v="2"/>
    <x v="0"/>
    <s v="N/A"/>
    <n v="12787914.977715338"/>
  </r>
  <r>
    <x v="0"/>
    <x v="45"/>
    <x v="45"/>
    <x v="3"/>
    <x v="0"/>
    <x v="3"/>
    <x v="16"/>
    <x v="8"/>
    <s v="Multi-Year"/>
    <x v="1"/>
    <s v="N/A"/>
    <n v="783159"/>
    <s v="Confirmed"/>
    <s v=""/>
    <x v="1"/>
    <x v="0"/>
    <m/>
    <x v="2"/>
    <x v="0"/>
    <m/>
    <n v="2"/>
    <x v="0"/>
    <s v="N/A"/>
    <n v="101271737.65410839"/>
  </r>
  <r>
    <x v="0"/>
    <x v="46"/>
    <x v="46"/>
    <x v="3"/>
    <x v="0"/>
    <x v="3"/>
    <x v="16"/>
    <x v="8"/>
    <s v="Multi-Year"/>
    <x v="1"/>
    <s v="N/A"/>
    <n v="2791137"/>
    <s v="Confirmed"/>
    <s v=""/>
    <x v="1"/>
    <x v="0"/>
    <m/>
    <x v="0"/>
    <x v="0"/>
    <m/>
    <n v="3"/>
    <x v="0"/>
    <s v="High"/>
    <n v="618344226.71759331"/>
  </r>
  <r>
    <x v="0"/>
    <x v="47"/>
    <x v="47"/>
    <x v="6"/>
    <x v="0"/>
    <x v="3"/>
    <x v="16"/>
    <x v="8"/>
    <s v="Multi-Year"/>
    <x v="1"/>
    <s v="N/A"/>
    <n v="0"/>
    <s v="Confirmed"/>
    <s v=""/>
    <x v="1"/>
    <x v="0"/>
    <m/>
    <x v="1"/>
    <x v="0"/>
    <m/>
    <n v="0"/>
    <x v="1"/>
    <s v="…"/>
    <n v="129483872.95906857"/>
  </r>
  <r>
    <x v="0"/>
    <x v="48"/>
    <x v="48"/>
    <x v="5"/>
    <x v="0"/>
    <x v="3"/>
    <x v="16"/>
    <x v="8"/>
    <s v="Multi-Year"/>
    <x v="1"/>
    <s v="N/A"/>
    <n v="0"/>
    <s v="Confirmed"/>
    <s v=""/>
    <x v="1"/>
    <x v="0"/>
    <m/>
    <x v="1"/>
    <x v="1"/>
    <m/>
    <n v="0"/>
    <x v="0"/>
    <s v="N/A"/>
    <n v="271184658.35014349"/>
  </r>
  <r>
    <x v="0"/>
    <x v="49"/>
    <x v="49"/>
    <x v="5"/>
    <x v="0"/>
    <x v="3"/>
    <x v="16"/>
    <x v="8"/>
    <s v="Multi-Year"/>
    <x v="1"/>
    <s v="N/A"/>
    <n v="0"/>
    <s v="Confirmed"/>
    <s v=""/>
    <x v="1"/>
    <x v="0"/>
    <m/>
    <x v="0"/>
    <x v="0"/>
    <m/>
    <n v="0"/>
    <x v="0"/>
    <s v="High"/>
    <n v="15455265.086884515"/>
  </r>
  <r>
    <x v="0"/>
    <x v="50"/>
    <x v="50"/>
    <x v="1"/>
    <x v="0"/>
    <x v="3"/>
    <x v="16"/>
    <x v="8"/>
    <s v="Multi-Year"/>
    <x v="1"/>
    <s v="N/A"/>
    <n v="0"/>
    <s v="Confirmed"/>
    <s v=""/>
    <x v="1"/>
    <x v="0"/>
    <m/>
    <x v="1"/>
    <x v="1"/>
    <m/>
    <n v="0"/>
    <x v="0"/>
    <s v="N/A"/>
    <n v="494021502.525527"/>
  </r>
  <r>
    <x v="0"/>
    <x v="51"/>
    <x v="51"/>
    <x v="5"/>
    <x v="0"/>
    <x v="3"/>
    <x v="16"/>
    <x v="8"/>
    <s v="Multi-Year"/>
    <x v="1"/>
    <s v="N/A"/>
    <n v="0"/>
    <s v="Confirmed"/>
    <s v=""/>
    <x v="1"/>
    <x v="0"/>
    <m/>
    <x v="2"/>
    <x v="0"/>
    <m/>
    <n v="0"/>
    <x v="0"/>
    <s v="High"/>
    <n v="902005621.73836684"/>
  </r>
  <r>
    <x v="0"/>
    <x v="52"/>
    <x v="52"/>
    <x v="4"/>
    <x v="0"/>
    <x v="3"/>
    <x v="16"/>
    <x v="8"/>
    <s v="Multi-Year"/>
    <x v="1"/>
    <s v="N/A"/>
    <n v="0"/>
    <s v="Confirmed"/>
    <s v=""/>
    <x v="1"/>
    <x v="0"/>
    <m/>
    <x v="1"/>
    <x v="0"/>
    <m/>
    <n v="0"/>
    <x v="1"/>
    <s v="In distress"/>
    <n v="20201670.142996579"/>
  </r>
  <r>
    <x v="0"/>
    <x v="53"/>
    <x v="53"/>
    <x v="4"/>
    <x v="0"/>
    <x v="3"/>
    <x v="16"/>
    <x v="8"/>
    <s v="Multi-Year"/>
    <x v="1"/>
    <s v="N/A"/>
    <n v="0"/>
    <s v="Confirmed"/>
    <s v=""/>
    <x v="1"/>
    <x v="0"/>
    <m/>
    <x v="1"/>
    <x v="1"/>
    <m/>
    <n v="0"/>
    <x v="0"/>
    <s v=""/>
    <n v="1612434649.6948864"/>
  </r>
  <r>
    <x v="0"/>
    <x v="54"/>
    <x v="54"/>
    <x v="5"/>
    <x v="0"/>
    <x v="3"/>
    <x v="16"/>
    <x v="8"/>
    <s v="Multi-Year"/>
    <x v="1"/>
    <s v="N/A"/>
    <n v="0"/>
    <s v="Confirmed"/>
    <s v=""/>
    <x v="1"/>
    <x v="0"/>
    <m/>
    <x v="0"/>
    <x v="0"/>
    <m/>
    <n v="0"/>
    <x v="0"/>
    <s v="Moderate"/>
    <n v="78203134.118229344"/>
  </r>
  <r>
    <x v="0"/>
    <x v="55"/>
    <x v="55"/>
    <x v="5"/>
    <x v="0"/>
    <x v="3"/>
    <x v="16"/>
    <x v="8"/>
    <s v="Multi-Year"/>
    <x v="1"/>
    <s v="N/A"/>
    <n v="0"/>
    <s v="Confirmed"/>
    <s v=""/>
    <x v="1"/>
    <x v="0"/>
    <m/>
    <x v="0"/>
    <x v="0"/>
    <m/>
    <n v="2"/>
    <x v="1"/>
    <s v="High"/>
    <n v="9151637.7411015611"/>
  </r>
  <r>
    <x v="0"/>
    <x v="56"/>
    <x v="56"/>
    <x v="4"/>
    <x v="0"/>
    <x v="3"/>
    <x v="16"/>
    <x v="8"/>
    <s v="Multi-Year"/>
    <x v="1"/>
    <s v="N/A"/>
    <n v="0"/>
    <s v="Confirmed"/>
    <s v=""/>
    <x v="1"/>
    <x v="0"/>
    <m/>
    <x v="1"/>
    <x v="0"/>
    <m/>
    <n v="0"/>
    <x v="1"/>
    <s v="Moderate"/>
    <n v="142455920.02856269"/>
  </r>
  <r>
    <x v="0"/>
    <x v="57"/>
    <x v="57"/>
    <x v="4"/>
    <x v="0"/>
    <x v="3"/>
    <x v="16"/>
    <x v="8"/>
    <s v="Multi-Year"/>
    <x v="1"/>
    <s v="N/A"/>
    <n v="0"/>
    <s v="Confirmed"/>
    <s v=""/>
    <x v="1"/>
    <x v="0"/>
    <m/>
    <x v="2"/>
    <x v="0"/>
    <m/>
    <n v="1"/>
    <x v="1"/>
    <s v="High"/>
    <n v="85611818.171245083"/>
  </r>
  <r>
    <x v="0"/>
    <x v="58"/>
    <x v="58"/>
    <x v="4"/>
    <x v="0"/>
    <x v="3"/>
    <x v="16"/>
    <x v="8"/>
    <s v="Multi-Year"/>
    <x v="1"/>
    <s v="N/A"/>
    <n v="0"/>
    <s v="Confirmed"/>
    <s v=""/>
    <x v="1"/>
    <x v="0"/>
    <m/>
    <x v="2"/>
    <x v="0"/>
    <m/>
    <n v="0"/>
    <x v="0"/>
    <s v="Low"/>
    <n v="680289736.30082119"/>
  </r>
  <r>
    <x v="0"/>
    <x v="59"/>
    <x v="59"/>
    <x v="0"/>
    <x v="0"/>
    <x v="3"/>
    <x v="16"/>
    <x v="8"/>
    <s v="Multi-Year"/>
    <x v="1"/>
    <s v="N/A"/>
    <n v="0"/>
    <s v="Confirmed"/>
    <s v=""/>
    <x v="1"/>
    <x v="0"/>
    <m/>
    <x v="2"/>
    <x v="0"/>
    <m/>
    <n v="0"/>
    <x v="0"/>
    <s v="N/A"/>
    <n v="26554332750.47023"/>
  </r>
  <r>
    <x v="0"/>
    <x v="60"/>
    <x v="60"/>
    <x v="6"/>
    <x v="0"/>
    <x v="3"/>
    <x v="16"/>
    <x v="8"/>
    <s v="Multi-Year"/>
    <x v="1"/>
    <s v="N/A"/>
    <n v="0"/>
    <s v="Confirmed"/>
    <s v=""/>
    <x v="1"/>
    <x v="0"/>
    <m/>
    <x v="2"/>
    <x v="0"/>
    <m/>
    <n v="0"/>
    <x v="0"/>
    <s v="N/A"/>
    <n v="14745961064.890842"/>
  </r>
  <r>
    <x v="0"/>
    <x v="61"/>
    <x v="61"/>
    <x v="2"/>
    <x v="0"/>
    <x v="3"/>
    <x v="16"/>
    <x v="8"/>
    <s v="Multi-Year"/>
    <x v="1"/>
    <s v="N/A"/>
    <n v="0"/>
    <s v="Confirmed"/>
    <s v=""/>
    <x v="1"/>
    <x v="0"/>
    <m/>
    <x v="2"/>
    <x v="1"/>
    <m/>
    <n v="0"/>
    <x v="0"/>
    <s v="N/A"/>
    <n v="18194076299.786381"/>
  </r>
  <r>
    <x v="0"/>
    <x v="62"/>
    <x v="62"/>
    <x v="2"/>
    <x v="0"/>
    <x v="3"/>
    <x v="16"/>
    <x v="8"/>
    <s v="Multi-Year"/>
    <x v="1"/>
    <s v="N/A"/>
    <n v="0"/>
    <s v="Confirmed"/>
    <s v=""/>
    <x v="1"/>
    <x v="0"/>
    <m/>
    <x v="1"/>
    <x v="1"/>
    <m/>
    <n v="0"/>
    <x v="0"/>
    <s v="N/A"/>
    <n v="4428819387.769825"/>
  </r>
  <r>
    <x v="0"/>
    <x v="63"/>
    <x v="63"/>
    <x v="4"/>
    <x v="0"/>
    <x v="3"/>
    <x v="16"/>
    <x v="8"/>
    <s v="Multi-Year"/>
    <x v="1"/>
    <s v="N/A"/>
    <n v="0"/>
    <s v="Confirmed"/>
    <s v=""/>
    <x v="1"/>
    <x v="0"/>
    <m/>
    <x v="1"/>
    <x v="1"/>
    <m/>
    <n v="0"/>
    <x v="1"/>
    <s v=""/>
    <n v="611739560.62679195"/>
  </r>
  <r>
    <x v="0"/>
    <x v="64"/>
    <x v="64"/>
    <x v="2"/>
    <x v="0"/>
    <x v="3"/>
    <x v="16"/>
    <x v="8"/>
    <s v="Multi-Year"/>
    <x v="1"/>
    <s v="N/A"/>
    <n v="0"/>
    <s v="Confirmed"/>
    <s v=""/>
    <x v="1"/>
    <x v="0"/>
    <m/>
    <x v="1"/>
    <x v="1"/>
    <m/>
    <n v="0"/>
    <x v="0"/>
    <s v="N/A"/>
    <n v="1617913383.0481031"/>
  </r>
  <r>
    <x v="0"/>
    <x v="65"/>
    <x v="65"/>
    <x v="1"/>
    <x v="0"/>
    <x v="3"/>
    <x v="16"/>
    <x v="8"/>
    <s v="Multi-Year"/>
    <x v="1"/>
    <s v="N/A"/>
    <n v="0"/>
    <s v="Confirmed"/>
    <s v=""/>
    <x v="1"/>
    <x v="0"/>
    <m/>
    <x v="1"/>
    <x v="1"/>
    <m/>
    <n v="0"/>
    <x v="0"/>
    <s v=""/>
    <n v="3074419112.4562683"/>
  </r>
  <r>
    <x v="0"/>
    <x v="66"/>
    <x v="66"/>
    <x v="3"/>
    <x v="0"/>
    <x v="3"/>
    <x v="16"/>
    <x v="8"/>
    <s v="Multi-Year"/>
    <x v="1"/>
    <s v="N/A"/>
    <n v="0"/>
    <s v="Confirmed"/>
    <s v=""/>
    <x v="1"/>
    <x v="0"/>
    <m/>
    <x v="2"/>
    <x v="0"/>
    <m/>
    <n v="0"/>
    <x v="0"/>
    <s v="High"/>
    <n v="1914014279.8929913"/>
  </r>
  <r>
    <x v="0"/>
    <x v="67"/>
    <x v="67"/>
    <x v="6"/>
    <x v="0"/>
    <x v="3"/>
    <x v="16"/>
    <x v="8"/>
    <s v="Multi-Year"/>
    <x v="1"/>
    <s v="N/A"/>
    <n v="0"/>
    <s v="Confirmed"/>
    <s v=""/>
    <x v="1"/>
    <x v="0"/>
    <m/>
    <x v="2"/>
    <x v="0"/>
    <m/>
    <n v="0"/>
    <x v="1"/>
    <s v="High"/>
    <n v="17422005.762907442"/>
  </r>
  <r>
    <x v="0"/>
    <x v="68"/>
    <x v="68"/>
    <x v="6"/>
    <x v="0"/>
    <x v="3"/>
    <x v="16"/>
    <x v="8"/>
    <s v="Multi-Year"/>
    <x v="1"/>
    <s v="N/A"/>
    <n v="0"/>
    <s v="Confirmed"/>
    <s v=""/>
    <x v="1"/>
    <x v="0"/>
    <m/>
    <x v="0"/>
    <x v="0"/>
    <m/>
    <n v="0"/>
    <x v="0"/>
    <s v="N/A"/>
    <s v=""/>
  </r>
  <r>
    <x v="0"/>
    <x v="69"/>
    <x v="69"/>
    <x v="1"/>
    <x v="0"/>
    <x v="3"/>
    <x v="16"/>
    <x v="8"/>
    <s v="Multi-Year"/>
    <x v="1"/>
    <s v="N/A"/>
    <n v="0"/>
    <s v="Confirmed"/>
    <s v=""/>
    <x v="1"/>
    <x v="0"/>
    <m/>
    <x v="1"/>
    <x v="0"/>
    <m/>
    <n v="0"/>
    <x v="0"/>
    <s v="…"/>
    <s v=""/>
  </r>
  <r>
    <x v="0"/>
    <x v="70"/>
    <x v="70"/>
    <x v="1"/>
    <x v="0"/>
    <x v="3"/>
    <x v="16"/>
    <x v="8"/>
    <s v="Multi-Year"/>
    <x v="1"/>
    <s v="N/A"/>
    <n v="0"/>
    <s v="Confirmed"/>
    <s v=""/>
    <x v="1"/>
    <x v="0"/>
    <m/>
    <x v="2"/>
    <x v="0"/>
    <m/>
    <n v="2"/>
    <x v="0"/>
    <s v="Moderate"/>
    <n v="231506834.84347546"/>
  </r>
  <r>
    <x v="0"/>
    <x v="71"/>
    <x v="71"/>
    <x v="6"/>
    <x v="0"/>
    <x v="3"/>
    <x v="16"/>
    <x v="8"/>
    <s v="Multi-Year"/>
    <x v="1"/>
    <s v="N/A"/>
    <n v="0"/>
    <s v="Confirmed"/>
    <s v=""/>
    <x v="1"/>
    <x v="0"/>
    <m/>
    <x v="2"/>
    <x v="0"/>
    <m/>
    <n v="0"/>
    <x v="0"/>
    <s v="High"/>
    <n v="156059428.62944782"/>
  </r>
  <r>
    <x v="0"/>
    <x v="72"/>
    <x v="72"/>
    <x v="2"/>
    <x v="0"/>
    <x v="3"/>
    <x v="16"/>
    <x v="8"/>
    <s v="Multi-Year"/>
    <x v="1"/>
    <s v="N/A"/>
    <n v="0"/>
    <s v="Confirmed"/>
    <s v=""/>
    <x v="1"/>
    <x v="0"/>
    <m/>
    <x v="1"/>
    <x v="1"/>
    <m/>
    <n v="0"/>
    <x v="0"/>
    <s v="N/A"/>
    <n v="2355391507.1635861"/>
  </r>
  <r>
    <x v="0"/>
    <x v="73"/>
    <x v="73"/>
    <x v="3"/>
    <x v="0"/>
    <x v="3"/>
    <x v="16"/>
    <x v="8"/>
    <s v="Multi-Year"/>
    <x v="1"/>
    <s v="N/A"/>
    <n v="679123"/>
    <s v="Confirmed"/>
    <s v=""/>
    <x v="1"/>
    <x v="0"/>
    <m/>
    <x v="2"/>
    <x v="0"/>
    <m/>
    <n v="0"/>
    <x v="0"/>
    <s v="Moderate"/>
    <n v="152760919.7684873"/>
  </r>
  <r>
    <x v="0"/>
    <x v="74"/>
    <x v="74"/>
    <x v="5"/>
    <x v="0"/>
    <x v="3"/>
    <x v="16"/>
    <x v="8"/>
    <s v="Multi-Year"/>
    <x v="1"/>
    <s v="N/A"/>
    <n v="0"/>
    <s v="Confirmed"/>
    <s v=""/>
    <x v="1"/>
    <x v="0"/>
    <m/>
    <x v="0"/>
    <x v="0"/>
    <m/>
    <n v="0"/>
    <x v="0"/>
    <s v="High"/>
    <n v="55072006.864440605"/>
  </r>
  <r>
    <x v="0"/>
    <x v="75"/>
    <x v="75"/>
    <x v="2"/>
    <x v="0"/>
    <x v="3"/>
    <x v="16"/>
    <x v="8"/>
    <s v="Multi-Year"/>
    <x v="1"/>
    <s v="N/A"/>
    <n v="1789976"/>
    <s v="Confirmed"/>
    <s v=""/>
    <x v="1"/>
    <x v="0"/>
    <m/>
    <x v="1"/>
    <x v="1"/>
    <m/>
    <n v="0"/>
    <x v="0"/>
    <s v="N/A"/>
    <s v=""/>
  </r>
  <r>
    <x v="0"/>
    <x v="76"/>
    <x v="76"/>
    <x v="3"/>
    <x v="0"/>
    <x v="3"/>
    <x v="16"/>
    <x v="8"/>
    <s v="Multi-Year"/>
    <x v="1"/>
    <s v="N/A"/>
    <n v="1064350"/>
    <s v="Confirmed"/>
    <s v=""/>
    <x v="1"/>
    <x v="0"/>
    <m/>
    <x v="0"/>
    <x v="0"/>
    <m/>
    <n v="2"/>
    <x v="0"/>
    <s v="Moderate"/>
    <n v="206914157.05429548"/>
  </r>
  <r>
    <x v="0"/>
    <x v="77"/>
    <x v="77"/>
    <x v="3"/>
    <x v="0"/>
    <x v="3"/>
    <x v="16"/>
    <x v="8"/>
    <s v="Multi-Year"/>
    <x v="1"/>
    <s v="N/A"/>
    <n v="0"/>
    <s v="Confirmed"/>
    <s v=""/>
    <x v="1"/>
    <x v="0"/>
    <m/>
    <x v="0"/>
    <x v="0"/>
    <m/>
    <n v="2"/>
    <x v="0"/>
    <s v="High"/>
    <n v="185999915.02066413"/>
  </r>
  <r>
    <x v="0"/>
    <x v="78"/>
    <x v="78"/>
    <x v="6"/>
    <x v="0"/>
    <x v="3"/>
    <x v="16"/>
    <x v="8"/>
    <s v="Multi-Year"/>
    <x v="1"/>
    <s v="N/A"/>
    <n v="0"/>
    <s v="Confirmed"/>
    <s v=""/>
    <x v="1"/>
    <x v="0"/>
    <m/>
    <x v="1"/>
    <x v="1"/>
    <m/>
    <n v="0"/>
    <x v="0"/>
    <s v=""/>
    <n v="6893755763.2501726"/>
  </r>
  <r>
    <x v="0"/>
    <x v="79"/>
    <x v="79"/>
    <x v="0"/>
    <x v="0"/>
    <x v="3"/>
    <x v="16"/>
    <x v="8"/>
    <s v="Multi-Year"/>
    <x v="1"/>
    <s v="N/A"/>
    <n v="0"/>
    <s v="Confirmed"/>
    <s v=""/>
    <x v="1"/>
    <x v="0"/>
    <m/>
    <x v="1"/>
    <x v="0"/>
    <m/>
    <n v="0"/>
    <x v="1"/>
    <s v="High"/>
    <n v="354560231.58276606"/>
  </r>
  <r>
    <x v="0"/>
    <x v="80"/>
    <x v="80"/>
    <x v="5"/>
    <x v="0"/>
    <x v="3"/>
    <x v="16"/>
    <x v="8"/>
    <s v="Multi-Year"/>
    <x v="1"/>
    <s v="N/A"/>
    <n v="1110635"/>
    <s v="Confirmed"/>
    <s v=""/>
    <x v="1"/>
    <x v="0"/>
    <m/>
    <x v="0"/>
    <x v="0"/>
    <m/>
    <n v="1"/>
    <x v="0"/>
    <s v="Moderate"/>
    <n v="188169167.56540567"/>
  </r>
  <r>
    <x v="0"/>
    <x v="81"/>
    <x v="81"/>
    <x v="6"/>
    <x v="0"/>
    <x v="3"/>
    <x v="16"/>
    <x v="8"/>
    <s v="Multi-Year"/>
    <x v="1"/>
    <s v="N/A"/>
    <n v="0"/>
    <s v="Confirmed"/>
    <s v=""/>
    <x v="1"/>
    <x v="0"/>
    <m/>
    <x v="1"/>
    <x v="0"/>
    <m/>
    <n v="0"/>
    <x v="1"/>
    <s v=""/>
    <n v="16312106.556340856"/>
  </r>
  <r>
    <x v="0"/>
    <x v="82"/>
    <x v="82"/>
    <x v="5"/>
    <x v="0"/>
    <x v="3"/>
    <x v="16"/>
    <x v="8"/>
    <s v="Multi-Year"/>
    <x v="1"/>
    <s v="N/A"/>
    <n v="0"/>
    <s v="Confirmed"/>
    <s v=""/>
    <x v="1"/>
    <x v="0"/>
    <m/>
    <x v="2"/>
    <x v="0"/>
    <m/>
    <n v="2"/>
    <x v="0"/>
    <s v="High"/>
    <n v="86083833.534053758"/>
  </r>
  <r>
    <x v="0"/>
    <x v="83"/>
    <x v="83"/>
    <x v="3"/>
    <x v="0"/>
    <x v="3"/>
    <x v="16"/>
    <x v="8"/>
    <s v="Multi-Year"/>
    <x v="1"/>
    <s v="N/A"/>
    <n v="0"/>
    <s v="Confirmed"/>
    <s v=""/>
    <x v="1"/>
    <x v="0"/>
    <m/>
    <x v="1"/>
    <x v="1"/>
    <m/>
    <n v="0"/>
    <x v="1"/>
    <s v="N/A"/>
    <n v="357220835.93762809"/>
  </r>
  <r>
    <x v="0"/>
    <x v="84"/>
    <x v="84"/>
    <x v="4"/>
    <x v="0"/>
    <x v="3"/>
    <x v="16"/>
    <x v="8"/>
    <s v="Multi-Year"/>
    <x v="1"/>
    <s v="N/A"/>
    <n v="0"/>
    <s v="Confirmed"/>
    <s v=""/>
    <x v="1"/>
    <x v="0"/>
    <m/>
    <x v="1"/>
    <x v="1"/>
    <m/>
    <n v="0"/>
    <x v="0"/>
    <s v=""/>
    <n v="32831598153.796387"/>
  </r>
  <r>
    <x v="0"/>
    <x v="85"/>
    <x v="85"/>
    <x v="6"/>
    <x v="0"/>
    <x v="3"/>
    <x v="16"/>
    <x v="8"/>
    <s v="Multi-Year"/>
    <x v="1"/>
    <s v="N/A"/>
    <n v="0"/>
    <s v="Confirmed"/>
    <s v=""/>
    <x v="1"/>
    <x v="0"/>
    <m/>
    <x v="2"/>
    <x v="0"/>
    <m/>
    <n v="0"/>
    <x v="1"/>
    <s v="High"/>
    <n v="12329056.093798399"/>
  </r>
  <r>
    <x v="0"/>
    <x v="86"/>
    <x v="86"/>
    <x v="1"/>
    <x v="0"/>
    <x v="3"/>
    <x v="16"/>
    <x v="8"/>
    <s v="Multi-Year"/>
    <x v="1"/>
    <s v="N/A"/>
    <n v="0"/>
    <s v="Confirmed"/>
    <s v=""/>
    <x v="1"/>
    <x v="0"/>
    <m/>
    <x v="1"/>
    <x v="0"/>
    <m/>
    <n v="0"/>
    <x v="0"/>
    <s v="Low"/>
    <n v="426639742.85328001"/>
  </r>
  <r>
    <x v="0"/>
    <x v="87"/>
    <x v="87"/>
    <x v="6"/>
    <x v="0"/>
    <x v="3"/>
    <x v="16"/>
    <x v="8"/>
    <s v="Multi-Year"/>
    <x v="1"/>
    <s v="N/A"/>
    <n v="0"/>
    <s v="Confirmed"/>
    <s v=""/>
    <x v="1"/>
    <x v="0"/>
    <m/>
    <x v="2"/>
    <x v="0"/>
    <m/>
    <n v="0"/>
    <x v="0"/>
    <s v="…"/>
    <n v="288519671.85870522"/>
  </r>
  <r>
    <x v="0"/>
    <x v="88"/>
    <x v="88"/>
    <x v="1"/>
    <x v="0"/>
    <x v="3"/>
    <x v="16"/>
    <x v="8"/>
    <s v="Multi-Year"/>
    <x v="1"/>
    <s v="N/A"/>
    <n v="0"/>
    <s v="Confirmed"/>
    <s v=""/>
    <x v="1"/>
    <x v="0"/>
    <m/>
    <x v="1"/>
    <x v="1"/>
    <m/>
    <n v="0"/>
    <x v="0"/>
    <s v="N/A"/>
    <n v="275606560.78491527"/>
  </r>
  <r>
    <x v="0"/>
    <x v="89"/>
    <x v="89"/>
    <x v="2"/>
    <x v="0"/>
    <x v="3"/>
    <x v="16"/>
    <x v="8"/>
    <s v="Multi-Year"/>
    <x v="1"/>
    <s v="N/A"/>
    <n v="0"/>
    <s v="Confirmed"/>
    <s v=""/>
    <x v="1"/>
    <x v="0"/>
    <m/>
    <x v="2"/>
    <x v="0"/>
    <m/>
    <n v="0"/>
    <x v="0"/>
    <s v="N/A"/>
    <n v="2530937679.3725696"/>
  </r>
  <r>
    <x v="0"/>
    <x v="90"/>
    <x v="90"/>
    <x v="3"/>
    <x v="0"/>
    <x v="3"/>
    <x v="16"/>
    <x v="8"/>
    <s v="Multi-Year"/>
    <x v="1"/>
    <s v="N/A"/>
    <n v="0"/>
    <s v="Confirmed"/>
    <s v=""/>
    <x v="1"/>
    <x v="0"/>
    <m/>
    <x v="0"/>
    <x v="0"/>
    <m/>
    <n v="0"/>
    <x v="0"/>
    <s v="In distress"/>
    <n v="251432156.86255455"/>
  </r>
  <r>
    <x v="0"/>
    <x v="91"/>
    <x v="91"/>
    <x v="6"/>
    <x v="0"/>
    <x v="3"/>
    <x v="16"/>
    <x v="8"/>
    <s v="Multi-Year"/>
    <x v="1"/>
    <s v="N/A"/>
    <n v="0"/>
    <s v="Confirmed"/>
    <s v=""/>
    <x v="1"/>
    <x v="0"/>
    <m/>
    <x v="2"/>
    <x v="0"/>
    <m/>
    <n v="0"/>
    <x v="0"/>
    <s v="Low"/>
    <n v="471534500.60109437"/>
  </r>
  <r>
    <x v="0"/>
    <x v="92"/>
    <x v="92"/>
    <x v="3"/>
    <x v="0"/>
    <x v="3"/>
    <x v="16"/>
    <x v="8"/>
    <s v="Multi-Year"/>
    <x v="1"/>
    <s v="N/A"/>
    <n v="0"/>
    <s v="Confirmed"/>
    <s v=""/>
    <x v="1"/>
    <x v="0"/>
    <m/>
    <x v="1"/>
    <x v="1"/>
    <m/>
    <n v="0"/>
    <x v="0"/>
    <s v=""/>
    <n v="531677611.80447447"/>
  </r>
  <r>
    <x v="0"/>
    <x v="93"/>
    <x v="93"/>
    <x v="6"/>
    <x v="0"/>
    <x v="3"/>
    <x v="16"/>
    <x v="8"/>
    <s v="Multi-Year"/>
    <x v="1"/>
    <s v="N/A"/>
    <n v="0"/>
    <s v="Confirmed"/>
    <s v=""/>
    <x v="1"/>
    <x v="0"/>
    <m/>
    <x v="3"/>
    <x v="1"/>
    <m/>
    <n v="0"/>
    <x v="1"/>
    <s v=""/>
    <n v="8528751.6418357007"/>
  </r>
  <r>
    <x v="0"/>
    <x v="94"/>
    <x v="94"/>
    <x v="0"/>
    <x v="0"/>
    <x v="3"/>
    <x v="16"/>
    <x v="8"/>
    <s v="Multi-Year"/>
    <x v="1"/>
    <s v="N/A"/>
    <n v="0"/>
    <s v="Confirmed"/>
    <s v=""/>
    <x v="1"/>
    <x v="0"/>
    <m/>
    <x v="2"/>
    <x v="0"/>
    <m/>
    <n v="0"/>
    <x v="0"/>
    <s v="Low"/>
    <n v="407084543.19089872"/>
  </r>
  <r>
    <x v="0"/>
    <x v="95"/>
    <x v="95"/>
    <x v="4"/>
    <x v="0"/>
    <x v="3"/>
    <x v="16"/>
    <x v="8"/>
    <s v="Multi-Year"/>
    <x v="1"/>
    <s v="N/A"/>
    <n v="0"/>
    <s v="Confirmed"/>
    <s v=""/>
    <x v="1"/>
    <x v="0"/>
    <m/>
    <x v="2"/>
    <x v="0"/>
    <m/>
    <n v="0"/>
    <x v="0"/>
    <s v="Moderate"/>
    <n v="671998341.93592453"/>
  </r>
  <r>
    <x v="0"/>
    <x v="96"/>
    <x v="96"/>
    <x v="5"/>
    <x v="0"/>
    <x v="3"/>
    <x v="16"/>
    <x v="8"/>
    <s v="Multi-Year"/>
    <x v="1"/>
    <s v="N/A"/>
    <n v="0"/>
    <s v="Confirmed"/>
    <s v=""/>
    <x v="1"/>
    <x v="0"/>
    <m/>
    <x v="0"/>
    <x v="0"/>
    <m/>
    <n v="1"/>
    <x v="0"/>
    <s v="Moderate"/>
    <n v="226203289.67158964"/>
  </r>
  <r>
    <x v="0"/>
    <x v="97"/>
    <x v="97"/>
    <x v="5"/>
    <x v="0"/>
    <x v="3"/>
    <x v="16"/>
    <x v="8"/>
    <s v="Multi-Year"/>
    <x v="1"/>
    <s v="N/A"/>
    <n v="1693999"/>
    <s v="Confirmed"/>
    <s v=""/>
    <x v="1"/>
    <x v="0"/>
    <m/>
    <x v="2"/>
    <x v="0"/>
    <m/>
    <n v="3"/>
    <x v="0"/>
    <s v="…"/>
    <n v="2438881113.1244688"/>
  </r>
  <r>
    <x v="0"/>
    <x v="98"/>
    <x v="98"/>
    <x v="1"/>
    <x v="0"/>
    <x v="3"/>
    <x v="16"/>
    <x v="8"/>
    <s v="Multi-Year"/>
    <x v="1"/>
    <s v="N/A"/>
    <n v="0"/>
    <s v="Confirmed"/>
    <s v=""/>
    <x v="1"/>
    <x v="0"/>
    <m/>
    <x v="1"/>
    <x v="1"/>
    <m/>
    <n v="0"/>
    <x v="0"/>
    <s v=""/>
    <n v="476517795.73174149"/>
  </r>
  <r>
    <x v="0"/>
    <x v="99"/>
    <x v="99"/>
    <x v="0"/>
    <x v="0"/>
    <x v="3"/>
    <x v="16"/>
    <x v="8"/>
    <s v="Multi-Year"/>
    <x v="1"/>
    <s v="N/A"/>
    <n v="0"/>
    <s v="Confirmed"/>
    <s v=""/>
    <x v="1"/>
    <x v="0"/>
    <m/>
    <x v="2"/>
    <x v="0"/>
    <m/>
    <n v="0"/>
    <x v="0"/>
    <s v="…"/>
    <n v="3233351297.7679496"/>
  </r>
  <r>
    <x v="0"/>
    <x v="100"/>
    <x v="100"/>
    <x v="4"/>
    <x v="0"/>
    <x v="3"/>
    <x v="16"/>
    <x v="8"/>
    <s v="Multi-Year"/>
    <x v="1"/>
    <s v="N/A"/>
    <n v="0"/>
    <s v="Confirmed"/>
    <s v=""/>
    <x v="1"/>
    <x v="0"/>
    <m/>
    <x v="3"/>
    <x v="1"/>
    <m/>
    <n v="0"/>
    <x v="1"/>
    <s v=""/>
    <n v="18180646.808608256"/>
  </r>
  <r>
    <x v="0"/>
    <x v="101"/>
    <x v="101"/>
    <x v="4"/>
    <x v="0"/>
    <x v="3"/>
    <x v="16"/>
    <x v="8"/>
    <s v="Multi-Year"/>
    <x v="1"/>
    <s v="N/A"/>
    <n v="0"/>
    <s v="Confirmed"/>
    <s v=""/>
    <x v="1"/>
    <x v="0"/>
    <m/>
    <x v="1"/>
    <x v="1"/>
    <m/>
    <n v="0"/>
    <x v="0"/>
    <s v="N/A"/>
    <n v="3020530707.3485303"/>
  </r>
  <r>
    <x v="0"/>
    <x v="102"/>
    <x v="102"/>
    <x v="6"/>
    <x v="0"/>
    <x v="3"/>
    <x v="16"/>
    <x v="8"/>
    <s v="Multi-Year"/>
    <x v="1"/>
    <s v="N/A"/>
    <n v="0"/>
    <s v="Confirmed"/>
    <s v=""/>
    <x v="1"/>
    <x v="0"/>
    <m/>
    <x v="2"/>
    <x v="0"/>
    <m/>
    <n v="1"/>
    <x v="1"/>
    <s v="High"/>
    <n v="384406316.46074712"/>
  </r>
  <r>
    <x v="0"/>
    <x v="103"/>
    <x v="103"/>
    <x v="4"/>
    <x v="0"/>
    <x v="3"/>
    <x v="16"/>
    <x v="8"/>
    <s v="Multi-Year"/>
    <x v="1"/>
    <s v="N/A"/>
    <n v="0"/>
    <s v="Confirmed"/>
    <s v=""/>
    <x v="1"/>
    <x v="0"/>
    <m/>
    <x v="1"/>
    <x v="1"/>
    <m/>
    <n v="0"/>
    <x v="0"/>
    <s v=""/>
    <n v="1218747108.9554784"/>
  </r>
  <r>
    <x v="0"/>
    <x v="104"/>
    <x v="104"/>
    <x v="4"/>
    <x v="0"/>
    <x v="3"/>
    <x v="16"/>
    <x v="8"/>
    <s v="Multi-Year"/>
    <x v="1"/>
    <s v="N/A"/>
    <n v="0"/>
    <s v="Confirmed"/>
    <s v=""/>
    <x v="1"/>
    <x v="0"/>
    <m/>
    <x v="1"/>
    <x v="1"/>
    <m/>
    <n v="0"/>
    <x v="0"/>
    <s v=""/>
    <n v="7392665952.5895758"/>
  </r>
  <r>
    <x v="0"/>
    <x v="105"/>
    <x v="105"/>
    <x v="6"/>
    <x v="0"/>
    <x v="3"/>
    <x v="16"/>
    <x v="8"/>
    <s v="Multi-Year"/>
    <x v="1"/>
    <s v="N/A"/>
    <n v="0"/>
    <s v="Confirmed"/>
    <s v=""/>
    <x v="1"/>
    <x v="0"/>
    <m/>
    <x v="2"/>
    <x v="0"/>
    <m/>
    <n v="0"/>
    <x v="0"/>
    <s v="N/A"/>
    <n v="4754985988.6004429"/>
  </r>
  <r>
    <x v="0"/>
    <x v="106"/>
    <x v="106"/>
    <x v="1"/>
    <x v="0"/>
    <x v="3"/>
    <x v="16"/>
    <x v="8"/>
    <s v="Multi-Year"/>
    <x v="1"/>
    <s v="N/A"/>
    <n v="0"/>
    <s v="Confirmed"/>
    <s v=""/>
    <x v="1"/>
    <x v="0"/>
    <m/>
    <x v="3"/>
    <x v="1"/>
    <m/>
    <n v="0"/>
    <x v="0"/>
    <s v=""/>
    <n v="26422210443.037273"/>
  </r>
  <r>
    <x v="0"/>
    <x v="107"/>
    <x v="107"/>
    <x v="1"/>
    <x v="0"/>
    <x v="3"/>
    <x v="16"/>
    <x v="8"/>
    <s v="Multi-Year"/>
    <x v="1"/>
    <s v="N/A"/>
    <n v="0"/>
    <s v="Confirmed"/>
    <s v=""/>
    <x v="1"/>
    <x v="0"/>
    <m/>
    <x v="1"/>
    <x v="1"/>
    <m/>
    <n v="0"/>
    <x v="0"/>
    <s v=""/>
    <n v="10696495313.15033"/>
  </r>
  <r>
    <x v="0"/>
    <x v="108"/>
    <x v="108"/>
    <x v="1"/>
    <x v="0"/>
    <x v="3"/>
    <x v="16"/>
    <x v="8"/>
    <s v="Multi-Year"/>
    <x v="1"/>
    <s v="N/A"/>
    <n v="0"/>
    <s v="Confirmed"/>
    <s v=""/>
    <x v="1"/>
    <x v="0"/>
    <m/>
    <x v="1"/>
    <x v="1"/>
    <m/>
    <n v="0"/>
    <x v="0"/>
    <s v=""/>
    <n v="52769713433.240509"/>
  </r>
  <r>
    <x v="0"/>
    <x v="109"/>
    <x v="109"/>
    <x v="3"/>
    <x v="0"/>
    <x v="3"/>
    <x v="16"/>
    <x v="8"/>
    <s v="Multi-Year"/>
    <x v="1"/>
    <s v="N/A"/>
    <n v="0"/>
    <s v="Confirmed"/>
    <s v=""/>
    <x v="1"/>
    <x v="0"/>
    <m/>
    <x v="0"/>
    <x v="0"/>
    <m/>
    <n v="0"/>
    <x v="0"/>
    <s v="Moderate"/>
    <n v="225799814.51943746"/>
  </r>
  <r>
    <x v="0"/>
    <x v="110"/>
    <x v="110"/>
    <x v="6"/>
    <x v="0"/>
    <x v="3"/>
    <x v="16"/>
    <x v="8"/>
    <s v="Multi-Year"/>
    <x v="1"/>
    <s v="N/A"/>
    <n v="0"/>
    <s v="Confirmed"/>
    <s v=""/>
    <x v="1"/>
    <x v="0"/>
    <m/>
    <x v="2"/>
    <x v="0"/>
    <m/>
    <n v="0"/>
    <x v="1"/>
    <s v="High"/>
    <n v="32192988.027009469"/>
  </r>
  <r>
    <x v="0"/>
    <x v="111"/>
    <x v="111"/>
    <x v="5"/>
    <x v="0"/>
    <x v="3"/>
    <x v="16"/>
    <x v="8"/>
    <s v="Multi-Year"/>
    <x v="1"/>
    <s v="N/A"/>
    <n v="0"/>
    <s v="Confirmed"/>
    <s v=""/>
    <x v="1"/>
    <x v="0"/>
    <m/>
    <x v="2"/>
    <x v="0"/>
    <m/>
    <n v="0"/>
    <x v="1"/>
    <s v="In distress"/>
    <n v="11633535.136477679"/>
  </r>
  <r>
    <x v="0"/>
    <x v="112"/>
    <x v="112"/>
    <x v="5"/>
    <x v="0"/>
    <x v="3"/>
    <x v="16"/>
    <x v="8"/>
    <s v="Multi-Year"/>
    <x v="1"/>
    <s v="N/A"/>
    <n v="0"/>
    <s v="Confirmed"/>
    <s v=""/>
    <x v="1"/>
    <x v="0"/>
    <m/>
    <x v="2"/>
    <x v="0"/>
    <m/>
    <n v="2"/>
    <x v="0"/>
    <s v="Moderate"/>
    <n v="222008693.93354639"/>
  </r>
  <r>
    <x v="0"/>
    <x v="113"/>
    <x v="113"/>
    <x v="1"/>
    <x v="0"/>
    <x v="3"/>
    <x v="16"/>
    <x v="8"/>
    <s v="Multi-Year"/>
    <x v="1"/>
    <s v="N/A"/>
    <n v="0"/>
    <s v="Confirmed"/>
    <s v=""/>
    <x v="1"/>
    <x v="0"/>
    <m/>
    <x v="1"/>
    <x v="1"/>
    <m/>
    <n v="0"/>
    <x v="0"/>
    <s v=""/>
    <n v="2564993795.1894679"/>
  </r>
  <r>
    <x v="0"/>
    <x v="114"/>
    <x v="114"/>
    <x v="3"/>
    <x v="0"/>
    <x v="3"/>
    <x v="16"/>
    <x v="8"/>
    <s v="Multi-Year"/>
    <x v="1"/>
    <s v="N/A"/>
    <n v="0"/>
    <s v="Confirmed"/>
    <s v=""/>
    <x v="1"/>
    <x v="0"/>
    <m/>
    <x v="3"/>
    <x v="1"/>
    <m/>
    <n v="0"/>
    <x v="1"/>
    <s v="N/A"/>
    <n v="60237542.945069775"/>
  </r>
  <r>
    <x v="0"/>
    <x v="115"/>
    <x v="115"/>
    <x v="5"/>
    <x v="0"/>
    <x v="3"/>
    <x v="16"/>
    <x v="8"/>
    <s v="Multi-Year"/>
    <x v="1"/>
    <s v="N/A"/>
    <n v="0"/>
    <s v="Confirmed"/>
    <s v=""/>
    <x v="1"/>
    <x v="0"/>
    <m/>
    <x v="0"/>
    <x v="0"/>
    <m/>
    <n v="0"/>
    <x v="0"/>
    <s v="High"/>
    <n v="63738640.538260505"/>
  </r>
  <r>
    <x v="0"/>
    <x v="116"/>
    <x v="116"/>
    <x v="6"/>
    <x v="0"/>
    <x v="3"/>
    <x v="16"/>
    <x v="8"/>
    <s v="Multi-Year"/>
    <x v="1"/>
    <s v="N/A"/>
    <n v="0"/>
    <s v="Confirmed"/>
    <s v=""/>
    <x v="1"/>
    <x v="0"/>
    <m/>
    <x v="2"/>
    <x v="0"/>
    <m/>
    <n v="0"/>
    <x v="1"/>
    <s v="Moderate"/>
    <n v="49012774.055630356"/>
  </r>
  <r>
    <x v="0"/>
    <x v="117"/>
    <x v="117"/>
    <x v="3"/>
    <x v="0"/>
    <x v="3"/>
    <x v="16"/>
    <x v="8"/>
    <s v="Multi-Year"/>
    <x v="1"/>
    <s v="N/A"/>
    <n v="0"/>
    <s v="Confirmed"/>
    <s v=""/>
    <x v="1"/>
    <x v="0"/>
    <m/>
    <x v="0"/>
    <x v="0"/>
    <m/>
    <n v="1"/>
    <x v="0"/>
    <s v="In distress"/>
    <s v=""/>
  </r>
  <r>
    <x v="0"/>
    <x v="118"/>
    <x v="118"/>
    <x v="3"/>
    <x v="0"/>
    <x v="3"/>
    <x v="16"/>
    <x v="8"/>
    <s v="Multi-Year"/>
    <x v="1"/>
    <s v="N/A"/>
    <n v="0"/>
    <s v="Confirmed"/>
    <s v=""/>
    <x v="1"/>
    <x v="0"/>
    <m/>
    <x v="1"/>
    <x v="1"/>
    <m/>
    <n v="0"/>
    <x v="0"/>
    <s v="N/A"/>
    <n v="16429121142.784708"/>
  </r>
  <r>
    <x v="0"/>
    <x v="119"/>
    <x v="119"/>
    <x v="3"/>
    <x v="0"/>
    <x v="3"/>
    <x v="16"/>
    <x v="8"/>
    <s v="Multi-Year"/>
    <x v="1"/>
    <s v="N/A"/>
    <n v="1620781"/>
    <s v="Confirmed"/>
    <s v=""/>
    <x v="1"/>
    <x v="0"/>
    <m/>
    <x v="0"/>
    <x v="0"/>
    <m/>
    <n v="1"/>
    <x v="0"/>
    <s v="High"/>
    <n v="31684581.76217727"/>
  </r>
  <r>
    <x v="0"/>
    <x v="120"/>
    <x v="120"/>
    <x v="0"/>
    <x v="0"/>
    <x v="3"/>
    <x v="16"/>
    <x v="8"/>
    <s v="Multi-Year"/>
    <x v="1"/>
    <s v="N/A"/>
    <n v="0"/>
    <s v="Confirmed"/>
    <s v=""/>
    <x v="1"/>
    <x v="0"/>
    <m/>
    <x v="2"/>
    <x v="0"/>
    <m/>
    <n v="0"/>
    <x v="0"/>
    <s v="N/A"/>
    <n v="1373621563.5182886"/>
  </r>
  <r>
    <x v="0"/>
    <x v="121"/>
    <x v="121"/>
    <x v="4"/>
    <x v="0"/>
    <x v="3"/>
    <x v="16"/>
    <x v="8"/>
    <s v="Multi-Year"/>
    <x v="1"/>
    <s v="N/A"/>
    <n v="0"/>
    <s v="Confirmed"/>
    <s v=""/>
    <x v="1"/>
    <x v="0"/>
    <m/>
    <x v="3"/>
    <x v="1"/>
    <m/>
    <n v="0"/>
    <x v="1"/>
    <s v=""/>
    <n v="24214370.889062837"/>
  </r>
  <r>
    <x v="0"/>
    <x v="122"/>
    <x v="122"/>
    <x v="4"/>
    <x v="0"/>
    <x v="3"/>
    <x v="16"/>
    <x v="8"/>
    <s v="Multi-Year"/>
    <x v="1"/>
    <s v="N/A"/>
    <n v="0"/>
    <s v="Confirmed"/>
    <s v=""/>
    <x v="1"/>
    <x v="0"/>
    <m/>
    <x v="1"/>
    <x v="0"/>
    <m/>
    <n v="0"/>
    <x v="1"/>
    <s v="…"/>
    <n v="39941279.609447442"/>
  </r>
  <r>
    <x v="0"/>
    <x v="123"/>
    <x v="123"/>
    <x v="4"/>
    <x v="0"/>
    <x v="3"/>
    <x v="16"/>
    <x v="8"/>
    <s v="Multi-Year"/>
    <x v="1"/>
    <s v="N/A"/>
    <n v="0"/>
    <s v="Confirmed"/>
    <s v=""/>
    <x v="1"/>
    <x v="0"/>
    <m/>
    <x v="1"/>
    <x v="0"/>
    <m/>
    <n v="0"/>
    <x v="1"/>
    <s v="High"/>
    <n v="24761675.260059897"/>
  </r>
  <r>
    <x v="0"/>
    <x v="124"/>
    <x v="124"/>
    <x v="2"/>
    <x v="0"/>
    <x v="3"/>
    <x v="16"/>
    <x v="8"/>
    <s v="Multi-Year"/>
    <x v="1"/>
    <s v="N/A"/>
    <n v="0"/>
    <s v="Confirmed"/>
    <s v=""/>
    <x v="1"/>
    <x v="0"/>
    <m/>
    <x v="2"/>
    <x v="0"/>
    <m/>
    <n v="0"/>
    <x v="0"/>
    <s v="N/A"/>
    <s v=""/>
  </r>
  <r>
    <x v="0"/>
    <x v="125"/>
    <x v="125"/>
    <x v="2"/>
    <x v="0"/>
    <x v="3"/>
    <x v="16"/>
    <x v="8"/>
    <s v="Multi-Year"/>
    <x v="1"/>
    <s v="N/A"/>
    <n v="0"/>
    <s v="Confirmed"/>
    <s v=""/>
    <x v="1"/>
    <x v="0"/>
    <m/>
    <x v="0"/>
    <x v="0"/>
    <m/>
    <n v="1"/>
    <x v="0"/>
    <s v="N/A"/>
    <n v="577156172.71229994"/>
  </r>
  <r>
    <x v="0"/>
    <x v="126"/>
    <x v="126"/>
    <x v="6"/>
    <x v="0"/>
    <x v="3"/>
    <x v="16"/>
    <x v="8"/>
    <s v="Multi-Year"/>
    <x v="1"/>
    <s v="N/A"/>
    <n v="0"/>
    <s v="Confirmed"/>
    <s v=""/>
    <x v="1"/>
    <x v="0"/>
    <m/>
    <x v="1"/>
    <x v="1"/>
    <m/>
    <n v="0"/>
    <x v="1"/>
    <s v=""/>
    <n v="180052034.19851837"/>
  </r>
  <r>
    <x v="0"/>
    <x v="127"/>
    <x v="127"/>
    <x v="2"/>
    <x v="0"/>
    <x v="3"/>
    <x v="16"/>
    <x v="8"/>
    <s v="Multi-Year"/>
    <x v="1"/>
    <s v="N/A"/>
    <n v="0"/>
    <s v="Confirmed"/>
    <s v=""/>
    <x v="1"/>
    <x v="0"/>
    <m/>
    <x v="0"/>
    <x v="0"/>
    <m/>
    <n v="1"/>
    <x v="0"/>
    <s v="N/A"/>
    <s v=""/>
  </r>
  <r>
    <x v="0"/>
    <x v="128"/>
    <x v="128"/>
    <x v="1"/>
    <x v="0"/>
    <x v="3"/>
    <x v="16"/>
    <x v="8"/>
    <s v="Multi-Year"/>
    <x v="1"/>
    <s v="N/A"/>
    <n v="0"/>
    <s v="Confirmed"/>
    <s v=""/>
    <x v="1"/>
    <x v="0"/>
    <m/>
    <x v="2"/>
    <x v="0"/>
    <m/>
    <n v="0"/>
    <x v="0"/>
    <s v="High"/>
    <n v="147296124.32232863"/>
  </r>
  <r>
    <x v="0"/>
    <x v="129"/>
    <x v="129"/>
    <x v="3"/>
    <x v="0"/>
    <x v="3"/>
    <x v="16"/>
    <x v="8"/>
    <s v="Multi-Year"/>
    <x v="1"/>
    <s v="N/A"/>
    <n v="0"/>
    <s v="Confirmed"/>
    <s v=""/>
    <x v="1"/>
    <x v="0"/>
    <m/>
    <x v="2"/>
    <x v="0"/>
    <m/>
    <n v="0"/>
    <x v="0"/>
    <s v="…"/>
    <n v="890576536.83065879"/>
  </r>
  <r>
    <x v="0"/>
    <x v="130"/>
    <x v="130"/>
    <x v="6"/>
    <x v="0"/>
    <x v="3"/>
    <x v="16"/>
    <x v="8"/>
    <s v="Multi-Year"/>
    <x v="1"/>
    <s v="N/A"/>
    <n v="0"/>
    <s v="Confirmed"/>
    <s v=""/>
    <x v="1"/>
    <x v="0"/>
    <m/>
    <x v="1"/>
    <x v="1"/>
    <m/>
    <n v="0"/>
    <x v="0"/>
    <s v=""/>
    <n v="14611129792.346064"/>
  </r>
  <r>
    <x v="0"/>
    <x v="131"/>
    <x v="131"/>
    <x v="6"/>
    <x v="0"/>
    <x v="3"/>
    <x v="16"/>
    <x v="8"/>
    <s v="Multi-Year"/>
    <x v="1"/>
    <s v="N/A"/>
    <n v="0"/>
    <s v="Confirmed"/>
    <s v=""/>
    <x v="1"/>
    <x v="0"/>
    <m/>
    <x v="2"/>
    <x v="0"/>
    <m/>
    <n v="0"/>
    <x v="1"/>
    <s v="Low"/>
    <n v="72046877.233008593"/>
  </r>
  <r>
    <x v="0"/>
    <x v="132"/>
    <x v="132"/>
    <x v="5"/>
    <x v="0"/>
    <x v="3"/>
    <x v="16"/>
    <x v="8"/>
    <s v="Multi-Year"/>
    <x v="1"/>
    <s v="N/A"/>
    <n v="0"/>
    <s v="Confirmed"/>
    <s v=""/>
    <x v="1"/>
    <x v="0"/>
    <m/>
    <x v="0"/>
    <x v="0"/>
    <m/>
    <n v="0"/>
    <x v="0"/>
    <s v="High"/>
    <n v="56248139.267255567"/>
  </r>
  <r>
    <x v="0"/>
    <x v="133"/>
    <x v="133"/>
    <x v="6"/>
    <x v="0"/>
    <x v="3"/>
    <x v="16"/>
    <x v="8"/>
    <s v="Multi-Year"/>
    <x v="1"/>
    <s v="N/A"/>
    <n v="0"/>
    <s v="Confirmed"/>
    <s v=""/>
    <x v="1"/>
    <x v="0"/>
    <m/>
    <x v="1"/>
    <x v="0"/>
    <m/>
    <n v="0"/>
    <x v="1"/>
    <s v="High"/>
    <n v="15464031.712942109"/>
  </r>
  <r>
    <x v="0"/>
    <x v="134"/>
    <x v="134"/>
    <x v="4"/>
    <x v="0"/>
    <x v="3"/>
    <x v="16"/>
    <x v="8"/>
    <s v="Multi-Year"/>
    <x v="1"/>
    <s v="N/A"/>
    <n v="0"/>
    <s v="Confirmed"/>
    <s v=""/>
    <x v="1"/>
    <x v="0"/>
    <m/>
    <x v="3"/>
    <x v="1"/>
    <m/>
    <n v="0"/>
    <x v="1"/>
    <s v="N/A"/>
    <n v="769564399.33249676"/>
  </r>
  <r>
    <x v="0"/>
    <x v="135"/>
    <x v="135"/>
    <x v="2"/>
    <x v="0"/>
    <x v="3"/>
    <x v="16"/>
    <x v="8"/>
    <s v="Multi-Year"/>
    <x v="1"/>
    <s v="N/A"/>
    <n v="0"/>
    <s v="Confirmed"/>
    <s v=""/>
    <x v="1"/>
    <x v="0"/>
    <m/>
    <x v="2"/>
    <x v="0"/>
    <m/>
    <n v="0"/>
    <x v="0"/>
    <s v="N/A"/>
    <n v="1668954539.7630196"/>
  </r>
  <r>
    <x v="0"/>
    <x v="136"/>
    <x v="136"/>
    <x v="1"/>
    <x v="0"/>
    <x v="3"/>
    <x v="16"/>
    <x v="8"/>
    <s v="Multi-Year"/>
    <x v="1"/>
    <s v="N/A"/>
    <n v="0"/>
    <s v="Confirmed"/>
    <s v=""/>
    <x v="1"/>
    <x v="0"/>
    <m/>
    <x v="1"/>
    <x v="1"/>
    <m/>
    <n v="0"/>
    <x v="0"/>
    <s v=""/>
    <n v="24840920016.18832"/>
  </r>
  <r>
    <x v="0"/>
    <x v="137"/>
    <x v="137"/>
    <x v="1"/>
    <x v="0"/>
    <x v="3"/>
    <x v="16"/>
    <x v="8"/>
    <s v="Multi-Year"/>
    <x v="1"/>
    <s v="N/A"/>
    <n v="0"/>
    <s v="Confirmed"/>
    <s v=""/>
    <x v="1"/>
    <x v="0"/>
    <m/>
    <x v="1"/>
    <x v="1"/>
    <m/>
    <n v="0"/>
    <x v="0"/>
    <s v="N/A"/>
    <n v="487888462.83720118"/>
  </r>
  <r>
    <x v="0"/>
    <x v="138"/>
    <x v="138"/>
    <x v="6"/>
    <x v="0"/>
    <x v="3"/>
    <x v="16"/>
    <x v="8"/>
    <s v="Multi-Year"/>
    <x v="1"/>
    <s v="N/A"/>
    <n v="0"/>
    <s v="Confirmed"/>
    <s v=""/>
    <x v="1"/>
    <x v="0"/>
    <m/>
    <x v="1"/>
    <x v="0"/>
    <m/>
    <n v="0"/>
    <x v="1"/>
    <s v="…"/>
    <n v="6365061.1736073596"/>
  </r>
  <r>
    <x v="0"/>
    <x v="139"/>
    <x v="139"/>
    <x v="3"/>
    <x v="0"/>
    <x v="3"/>
    <x v="16"/>
    <x v="8"/>
    <s v="Multi-Year"/>
    <x v="1"/>
    <s v="N/A"/>
    <n v="929362"/>
    <s v="Confirmed"/>
    <s v=""/>
    <x v="1"/>
    <x v="0"/>
    <m/>
    <x v="0"/>
    <x v="0"/>
    <m/>
    <n v="2"/>
    <x v="0"/>
    <s v="Low"/>
    <n v="291799092.90196139"/>
  </r>
  <r>
    <x v="0"/>
    <x v="140"/>
    <x v="140"/>
    <x v="1"/>
    <x v="0"/>
    <x v="3"/>
    <x v="16"/>
    <x v="8"/>
    <s v="Multi-Year"/>
    <x v="1"/>
    <s v="N/A"/>
    <n v="0"/>
    <s v="Confirmed"/>
    <s v=""/>
    <x v="1"/>
    <x v="0"/>
    <m/>
    <x v="2"/>
    <x v="0"/>
    <m/>
    <n v="0"/>
    <x v="0"/>
    <s v="N/A"/>
    <n v="4844815340.2135534"/>
  </r>
  <r>
    <x v="0"/>
    <x v="141"/>
    <x v="141"/>
    <x v="4"/>
    <x v="0"/>
    <x v="3"/>
    <x v="16"/>
    <x v="8"/>
    <s v="Multi-Year"/>
    <x v="1"/>
    <s v="N/A"/>
    <n v="0"/>
    <s v="Confirmed"/>
    <s v=""/>
    <x v="1"/>
    <x v="0"/>
    <m/>
    <x v="3"/>
    <x v="1"/>
    <m/>
    <n v="0"/>
    <x v="0"/>
    <s v=""/>
    <n v="4001891446.6871672"/>
  </r>
  <r>
    <x v="0"/>
    <x v="142"/>
    <x v="142"/>
    <x v="1"/>
    <x v="0"/>
    <x v="3"/>
    <x v="16"/>
    <x v="8"/>
    <s v="Multi-Year"/>
    <x v="1"/>
    <s v="N/A"/>
    <n v="0"/>
    <s v="Confirmed"/>
    <s v=""/>
    <x v="1"/>
    <x v="0"/>
    <m/>
    <x v="2"/>
    <x v="0"/>
    <m/>
    <n v="0"/>
    <x v="0"/>
    <s v="Low"/>
    <n v="1019800630.5853213"/>
  </r>
  <r>
    <x v="0"/>
    <x v="143"/>
    <x v="143"/>
    <x v="6"/>
    <x v="0"/>
    <x v="3"/>
    <x v="16"/>
    <x v="8"/>
    <s v="Multi-Year"/>
    <x v="1"/>
    <s v="N/A"/>
    <n v="0"/>
    <s v="Confirmed"/>
    <s v=""/>
    <x v="1"/>
    <x v="0"/>
    <m/>
    <x v="2"/>
    <x v="0"/>
    <m/>
    <n v="0"/>
    <x v="1"/>
    <s v="Moderate"/>
    <n v="19578671.310841195"/>
  </r>
  <r>
    <x v="0"/>
    <x v="144"/>
    <x v="144"/>
    <x v="4"/>
    <x v="0"/>
    <x v="3"/>
    <x v="16"/>
    <x v="8"/>
    <s v="Multi-Year"/>
    <x v="1"/>
    <s v="N/A"/>
    <n v="0"/>
    <s v="Confirmed"/>
    <s v=""/>
    <x v="1"/>
    <x v="0"/>
    <m/>
    <x v="4"/>
    <x v="1"/>
    <m/>
    <n v="0"/>
    <x v="0"/>
    <s v="N/A"/>
    <n v="3551452001.0684834"/>
  </r>
  <r>
    <x v="0"/>
    <x v="145"/>
    <x v="145"/>
    <x v="6"/>
    <x v="0"/>
    <x v="3"/>
    <x v="16"/>
    <x v="8"/>
    <s v="Multi-Year"/>
    <x v="1"/>
    <s v="N/A"/>
    <n v="0"/>
    <s v="Confirmed"/>
    <s v=""/>
    <x v="1"/>
    <x v="0"/>
    <m/>
    <x v="2"/>
    <x v="0"/>
    <m/>
    <n v="0"/>
    <x v="0"/>
    <s v="N/A"/>
    <n v="6603048821.7575006"/>
  </r>
  <r>
    <x v="0"/>
    <x v="146"/>
    <x v="146"/>
    <x v="2"/>
    <x v="0"/>
    <x v="3"/>
    <x v="16"/>
    <x v="8"/>
    <s v="Multi-Year"/>
    <x v="1"/>
    <s v="N/A"/>
    <n v="0"/>
    <s v="Confirmed"/>
    <s v=""/>
    <x v="1"/>
    <x v="0"/>
    <m/>
    <x v="0"/>
    <x v="0"/>
    <m/>
    <n v="1"/>
    <x v="0"/>
    <s v="…"/>
    <s v=""/>
  </r>
  <r>
    <x v="0"/>
    <x v="147"/>
    <x v="147"/>
    <x v="3"/>
    <x v="0"/>
    <x v="3"/>
    <x v="16"/>
    <x v="8"/>
    <s v="Multi-Year"/>
    <x v="1"/>
    <s v="N/A"/>
    <n v="0"/>
    <s v="Confirmed"/>
    <s v=""/>
    <x v="1"/>
    <x v="0"/>
    <m/>
    <x v="2"/>
    <x v="0"/>
    <m/>
    <n v="0"/>
    <x v="0"/>
    <s v="High"/>
    <n v="515352723.9821828"/>
  </r>
  <r>
    <x v="0"/>
    <x v="148"/>
    <x v="148"/>
    <x v="3"/>
    <x v="0"/>
    <x v="3"/>
    <x v="16"/>
    <x v="8"/>
    <s v="Multi-Year"/>
    <x v="1"/>
    <s v="N/A"/>
    <n v="903950"/>
    <s v="Confirmed"/>
    <s v=""/>
    <x v="1"/>
    <x v="0"/>
    <m/>
    <x v="2"/>
    <x v="0"/>
    <m/>
    <n v="0"/>
    <x v="0"/>
    <s v="N/A"/>
    <n v="566711742.22428358"/>
  </r>
  <r>
    <x v="0"/>
    <x v="0"/>
    <x v="0"/>
    <x v="0"/>
    <x v="0"/>
    <x v="2"/>
    <x v="17"/>
    <x v="8"/>
    <s v="Multi-Year"/>
    <x v="1"/>
    <s v="Cold Chain"/>
    <n v="0"/>
    <s v="Confirmed"/>
    <s v=""/>
    <x v="1"/>
    <x v="0"/>
    <m/>
    <x v="0"/>
    <x v="0"/>
    <m/>
    <n v="1"/>
    <x v="0"/>
    <s v="High"/>
    <n v="95829480.719269618"/>
  </r>
  <r>
    <x v="0"/>
    <x v="1"/>
    <x v="1"/>
    <x v="1"/>
    <x v="0"/>
    <x v="2"/>
    <x v="17"/>
    <x v="8"/>
    <s v="Multi-Year"/>
    <x v="1"/>
    <s v="Cold Chain"/>
    <n v="0"/>
    <s v="Confirmed"/>
    <s v=""/>
    <x v="1"/>
    <x v="0"/>
    <m/>
    <x v="1"/>
    <x v="1"/>
    <m/>
    <n v="0"/>
    <x v="0"/>
    <s v=""/>
    <n v="427904035.52443534"/>
  </r>
  <r>
    <x v="0"/>
    <x v="2"/>
    <x v="2"/>
    <x v="2"/>
    <x v="0"/>
    <x v="2"/>
    <x v="17"/>
    <x v="8"/>
    <s v="Multi-Year"/>
    <x v="1"/>
    <s v="Cold Chain"/>
    <n v="625566"/>
    <s v="Confirmed"/>
    <s v=""/>
    <x v="1"/>
    <x v="0"/>
    <m/>
    <x v="2"/>
    <x v="0"/>
    <m/>
    <n v="0"/>
    <x v="0"/>
    <s v="N/A"/>
    <n v="7113361022.7267885"/>
  </r>
  <r>
    <x v="0"/>
    <x v="3"/>
    <x v="3"/>
    <x v="3"/>
    <x v="0"/>
    <x v="2"/>
    <x v="17"/>
    <x v="8"/>
    <s v="Multi-Year"/>
    <x v="1"/>
    <s v="Cold Chain"/>
    <n v="412890"/>
    <s v="Confirmed"/>
    <s v=""/>
    <x v="1"/>
    <x v="0"/>
    <m/>
    <x v="2"/>
    <x v="0"/>
    <m/>
    <n v="0"/>
    <x v="0"/>
    <s v="…"/>
    <n v="1131865946.5875781"/>
  </r>
  <r>
    <x v="0"/>
    <x v="4"/>
    <x v="4"/>
    <x v="4"/>
    <x v="0"/>
    <x v="2"/>
    <x v="17"/>
    <x v="8"/>
    <s v="Multi-Year"/>
    <x v="1"/>
    <s v="Cold Chain"/>
    <n v="0"/>
    <s v="Confirmed"/>
    <s v=""/>
    <x v="1"/>
    <x v="0"/>
    <m/>
    <x v="3"/>
    <x v="1"/>
    <m/>
    <n v="0"/>
    <x v="1"/>
    <s v=""/>
    <n v="46777779.823447868"/>
  </r>
  <r>
    <x v="0"/>
    <x v="5"/>
    <x v="5"/>
    <x v="4"/>
    <x v="0"/>
    <x v="2"/>
    <x v="17"/>
    <x v="8"/>
    <s v="Multi-Year"/>
    <x v="1"/>
    <s v="Cold Chain"/>
    <n v="0"/>
    <s v="Confirmed"/>
    <s v=""/>
    <x v="1"/>
    <x v="0"/>
    <m/>
    <x v="1"/>
    <x v="1"/>
    <m/>
    <n v="0"/>
    <x v="0"/>
    <s v=""/>
    <n v="30725305777.596794"/>
  </r>
  <r>
    <x v="0"/>
    <x v="6"/>
    <x v="6"/>
    <x v="1"/>
    <x v="0"/>
    <x v="2"/>
    <x v="17"/>
    <x v="8"/>
    <s v="Multi-Year"/>
    <x v="1"/>
    <s v="Cold Chain"/>
    <n v="0"/>
    <s v="Confirmed"/>
    <s v=""/>
    <x v="1"/>
    <x v="0"/>
    <m/>
    <x v="1"/>
    <x v="1"/>
    <m/>
    <n v="0"/>
    <x v="0"/>
    <s v=""/>
    <n v="153815827.8380394"/>
  </r>
  <r>
    <x v="0"/>
    <x v="7"/>
    <x v="7"/>
    <x v="1"/>
    <x v="0"/>
    <x v="2"/>
    <x v="17"/>
    <x v="8"/>
    <s v="Multi-Year"/>
    <x v="1"/>
    <s v="Cold Chain"/>
    <n v="0"/>
    <s v="Confirmed"/>
    <s v=""/>
    <x v="1"/>
    <x v="0"/>
    <m/>
    <x v="1"/>
    <x v="1"/>
    <m/>
    <n v="0"/>
    <x v="0"/>
    <s v="N/A"/>
    <n v="437525105.31216973"/>
  </r>
  <r>
    <x v="0"/>
    <x v="8"/>
    <x v="8"/>
    <x v="4"/>
    <x v="0"/>
    <x v="2"/>
    <x v="17"/>
    <x v="8"/>
    <s v="Multi-Year"/>
    <x v="1"/>
    <s v="Cold Chain"/>
    <n v="0"/>
    <s v="Confirmed"/>
    <s v=""/>
    <x v="1"/>
    <x v="0"/>
    <m/>
    <x v="3"/>
    <x v="1"/>
    <m/>
    <n v="0"/>
    <x v="1"/>
    <s v=""/>
    <n v="149463302.00602186"/>
  </r>
  <r>
    <x v="0"/>
    <x v="9"/>
    <x v="9"/>
    <x v="0"/>
    <x v="0"/>
    <x v="2"/>
    <x v="17"/>
    <x v="8"/>
    <s v="Multi-Year"/>
    <x v="1"/>
    <s v="Cold Chain"/>
    <n v="0"/>
    <s v="Confirmed"/>
    <s v=""/>
    <x v="1"/>
    <x v="0"/>
    <m/>
    <x v="2"/>
    <x v="0"/>
    <m/>
    <n v="0"/>
    <x v="0"/>
    <s v="Low"/>
    <n v="1148322593.9600098"/>
  </r>
  <r>
    <x v="0"/>
    <x v="10"/>
    <x v="10"/>
    <x v="1"/>
    <x v="0"/>
    <x v="2"/>
    <x v="17"/>
    <x v="8"/>
    <s v="Multi-Year"/>
    <x v="1"/>
    <s v="Cold Chain"/>
    <n v="0"/>
    <s v="Confirmed"/>
    <s v=""/>
    <x v="1"/>
    <x v="0"/>
    <m/>
    <x v="1"/>
    <x v="1"/>
    <m/>
    <n v="0"/>
    <x v="0"/>
    <s v=""/>
    <n v="2371102058.1093163"/>
  </r>
  <r>
    <x v="0"/>
    <x v="11"/>
    <x v="11"/>
    <x v="4"/>
    <x v="0"/>
    <x v="2"/>
    <x v="17"/>
    <x v="8"/>
    <s v="Multi-Year"/>
    <x v="1"/>
    <s v="Cold Chain"/>
    <n v="0"/>
    <s v="Confirmed"/>
    <s v=""/>
    <x v="1"/>
    <x v="0"/>
    <m/>
    <x v="2"/>
    <x v="1"/>
    <m/>
    <n v="0"/>
    <x v="1"/>
    <s v="N/A"/>
    <n v="75151620.005215243"/>
  </r>
  <r>
    <x v="0"/>
    <x v="12"/>
    <x v="12"/>
    <x v="5"/>
    <x v="0"/>
    <x v="2"/>
    <x v="17"/>
    <x v="8"/>
    <s v="Multi-Year"/>
    <x v="1"/>
    <s v="Cold Chain"/>
    <n v="0"/>
    <s v="Confirmed"/>
    <s v=""/>
    <x v="1"/>
    <x v="0"/>
    <m/>
    <x v="2"/>
    <x v="0"/>
    <m/>
    <n v="0"/>
    <x v="0"/>
    <s v="Moderate"/>
    <n v="69958487.197715744"/>
  </r>
  <r>
    <x v="0"/>
    <x v="13"/>
    <x v="13"/>
    <x v="0"/>
    <x v="0"/>
    <x v="2"/>
    <x v="17"/>
    <x v="8"/>
    <s v="Multi-Year"/>
    <x v="1"/>
    <s v="Cold Chain"/>
    <n v="923174"/>
    <s v="Confirmed"/>
    <s v=""/>
    <x v="1"/>
    <x v="0"/>
    <m/>
    <x v="2"/>
    <x v="0"/>
    <m/>
    <n v="0"/>
    <x v="0"/>
    <s v="…"/>
    <n v="61654608.560629159"/>
  </r>
  <r>
    <x v="0"/>
    <x v="14"/>
    <x v="14"/>
    <x v="4"/>
    <x v="0"/>
    <x v="2"/>
    <x v="17"/>
    <x v="8"/>
    <s v="Multi-Year"/>
    <x v="1"/>
    <s v="Cold Chain"/>
    <n v="0"/>
    <s v="Confirmed"/>
    <s v=""/>
    <x v="1"/>
    <x v="0"/>
    <m/>
    <x v="2"/>
    <x v="0"/>
    <m/>
    <n v="0"/>
    <x v="0"/>
    <s v="N/A"/>
    <n v="1806638707.7615163"/>
  </r>
  <r>
    <x v="0"/>
    <x v="15"/>
    <x v="15"/>
    <x v="1"/>
    <x v="0"/>
    <x v="2"/>
    <x v="17"/>
    <x v="8"/>
    <s v="Multi-Year"/>
    <x v="1"/>
    <s v="Cold Chain"/>
    <n v="0"/>
    <s v="Confirmed"/>
    <s v=""/>
    <x v="1"/>
    <x v="0"/>
    <m/>
    <x v="1"/>
    <x v="1"/>
    <m/>
    <n v="0"/>
    <x v="0"/>
    <s v="N/A"/>
    <n v="1252696525.0627904"/>
  </r>
  <r>
    <x v="0"/>
    <x v="16"/>
    <x v="16"/>
    <x v="3"/>
    <x v="0"/>
    <x v="2"/>
    <x v="17"/>
    <x v="8"/>
    <s v="Multi-Year"/>
    <x v="1"/>
    <s v="Cold Chain"/>
    <n v="0"/>
    <s v="Confirmed"/>
    <s v=""/>
    <x v="1"/>
    <x v="0"/>
    <m/>
    <x v="1"/>
    <x v="1"/>
    <m/>
    <n v="0"/>
    <x v="0"/>
    <s v=""/>
    <n v="843425084.07334602"/>
  </r>
  <r>
    <x v="0"/>
    <x v="17"/>
    <x v="17"/>
    <x v="4"/>
    <x v="0"/>
    <x v="2"/>
    <x v="17"/>
    <x v="8"/>
    <s v="Multi-Year"/>
    <x v="1"/>
    <s v="Cold Chain"/>
    <n v="0"/>
    <s v="Confirmed"/>
    <s v=""/>
    <x v="1"/>
    <x v="0"/>
    <m/>
    <x v="1"/>
    <x v="1"/>
    <m/>
    <n v="0"/>
    <x v="0"/>
    <s v="N/A"/>
    <n v="74055620038.853683"/>
  </r>
  <r>
    <x v="0"/>
    <x v="18"/>
    <x v="18"/>
    <x v="1"/>
    <x v="0"/>
    <x v="2"/>
    <x v="17"/>
    <x v="8"/>
    <s v="Multi-Year"/>
    <x v="1"/>
    <s v="Cold Chain"/>
    <n v="0"/>
    <s v="Confirmed"/>
    <s v=""/>
    <x v="1"/>
    <x v="0"/>
    <m/>
    <x v="1"/>
    <x v="1"/>
    <m/>
    <n v="0"/>
    <x v="0"/>
    <s v=""/>
    <n v="2803357765.5888777"/>
  </r>
  <r>
    <x v="0"/>
    <x v="19"/>
    <x v="19"/>
    <x v="5"/>
    <x v="0"/>
    <x v="2"/>
    <x v="17"/>
    <x v="8"/>
    <s v="Multi-Year"/>
    <x v="1"/>
    <s v="Cold Chain"/>
    <n v="0"/>
    <s v="Confirmed"/>
    <s v=""/>
    <x v="1"/>
    <x v="0"/>
    <m/>
    <x v="0"/>
    <x v="0"/>
    <m/>
    <n v="2"/>
    <x v="0"/>
    <s v="Moderate"/>
    <n v="337927779.25510043"/>
  </r>
  <r>
    <x v="0"/>
    <x v="20"/>
    <x v="20"/>
    <x v="3"/>
    <x v="0"/>
    <x v="2"/>
    <x v="17"/>
    <x v="8"/>
    <s v="Multi-Year"/>
    <x v="1"/>
    <s v="Cold Chain"/>
    <n v="0"/>
    <s v="Confirmed"/>
    <s v=""/>
    <x v="1"/>
    <x v="0"/>
    <m/>
    <x v="0"/>
    <x v="0"/>
    <m/>
    <n v="2"/>
    <x v="0"/>
    <s v="…"/>
    <n v="65979512.47399316"/>
  </r>
  <r>
    <x v="0"/>
    <x v="21"/>
    <x v="21"/>
    <x v="5"/>
    <x v="0"/>
    <x v="2"/>
    <x v="17"/>
    <x v="8"/>
    <s v="Multi-Year"/>
    <x v="1"/>
    <s v="Cold Chain"/>
    <n v="0"/>
    <s v="Confirmed"/>
    <s v=""/>
    <x v="1"/>
    <x v="0"/>
    <m/>
    <x v="2"/>
    <x v="0"/>
    <m/>
    <n v="0"/>
    <x v="1"/>
    <s v="High"/>
    <n v="63748362.778827004"/>
  </r>
  <r>
    <x v="0"/>
    <x v="22"/>
    <x v="22"/>
    <x v="6"/>
    <x v="0"/>
    <x v="2"/>
    <x v="17"/>
    <x v="8"/>
    <s v="Multi-Year"/>
    <x v="1"/>
    <s v="Cold Chain"/>
    <n v="615359"/>
    <s v="Confirmed"/>
    <s v=""/>
    <x v="1"/>
    <x v="0"/>
    <m/>
    <x v="2"/>
    <x v="0"/>
    <m/>
    <n v="0"/>
    <x v="0"/>
    <s v="Low"/>
    <n v="313039649.45369786"/>
  </r>
  <r>
    <x v="0"/>
    <x v="23"/>
    <x v="23"/>
    <x v="5"/>
    <x v="0"/>
    <x v="2"/>
    <x v="17"/>
    <x v="8"/>
    <s v="Multi-Year"/>
    <x v="1"/>
    <s v="Cold Chain"/>
    <n v="925640"/>
    <s v="Confirmed"/>
    <s v=""/>
    <x v="1"/>
    <x v="0"/>
    <m/>
    <x v="2"/>
    <x v="0"/>
    <m/>
    <n v="2"/>
    <x v="0"/>
    <s v="High"/>
    <n v="81361801.477472037"/>
  </r>
  <r>
    <x v="0"/>
    <x v="24"/>
    <x v="24"/>
    <x v="5"/>
    <x v="0"/>
    <x v="2"/>
    <x v="17"/>
    <x v="8"/>
    <s v="Multi-Year"/>
    <x v="1"/>
    <s v="Cold Chain"/>
    <n v="0"/>
    <s v="Confirmed"/>
    <s v=""/>
    <x v="1"/>
    <x v="0"/>
    <m/>
    <x v="0"/>
    <x v="0"/>
    <m/>
    <n v="1"/>
    <x v="0"/>
    <s v="High"/>
    <s v=""/>
  </r>
  <r>
    <x v="0"/>
    <x v="25"/>
    <x v="25"/>
    <x v="5"/>
    <x v="0"/>
    <x v="2"/>
    <x v="17"/>
    <x v="8"/>
    <s v="Multi-Year"/>
    <x v="1"/>
    <s v="Cold Chain"/>
    <n v="0"/>
    <s v="Confirmed"/>
    <s v=""/>
    <x v="1"/>
    <x v="0"/>
    <m/>
    <x v="0"/>
    <x v="0"/>
    <m/>
    <n v="1"/>
    <x v="0"/>
    <s v="High"/>
    <n v="76939306.715636879"/>
  </r>
  <r>
    <x v="0"/>
    <x v="26"/>
    <x v="26"/>
    <x v="4"/>
    <x v="0"/>
    <x v="2"/>
    <x v="17"/>
    <x v="8"/>
    <s v="Multi-Year"/>
    <x v="1"/>
    <s v="Cold Chain"/>
    <n v="0"/>
    <s v="Confirmed"/>
    <s v=""/>
    <x v="1"/>
    <x v="0"/>
    <m/>
    <x v="3"/>
    <x v="1"/>
    <m/>
    <n v="0"/>
    <x v="0"/>
    <s v=""/>
    <n v="13859708717.682571"/>
  </r>
  <r>
    <x v="0"/>
    <x v="27"/>
    <x v="27"/>
    <x v="6"/>
    <x v="0"/>
    <x v="2"/>
    <x v="17"/>
    <x v="8"/>
    <s v="Multi-Year"/>
    <x v="1"/>
    <s v="Cold Chain"/>
    <n v="0"/>
    <s v="Confirmed"/>
    <s v=""/>
    <x v="1"/>
    <x v="0"/>
    <m/>
    <x v="1"/>
    <x v="1"/>
    <m/>
    <n v="0"/>
    <x v="0"/>
    <s v=""/>
    <n v="403567160707.7016"/>
  </r>
  <r>
    <x v="0"/>
    <x v="28"/>
    <x v="28"/>
    <x v="4"/>
    <x v="0"/>
    <x v="2"/>
    <x v="17"/>
    <x v="8"/>
    <s v="Multi-Year"/>
    <x v="1"/>
    <s v="Cold Chain"/>
    <n v="0"/>
    <s v="Confirmed"/>
    <s v=""/>
    <x v="1"/>
    <x v="0"/>
    <m/>
    <x v="1"/>
    <x v="1"/>
    <m/>
    <n v="0"/>
    <x v="0"/>
    <s v=""/>
    <n v="18250225995.972618"/>
  </r>
  <r>
    <x v="0"/>
    <x v="29"/>
    <x v="29"/>
    <x v="3"/>
    <x v="0"/>
    <x v="2"/>
    <x v="17"/>
    <x v="8"/>
    <s v="Multi-Year"/>
    <x v="1"/>
    <s v="Cold Chain"/>
    <n v="0"/>
    <s v="Confirmed"/>
    <s v=""/>
    <x v="1"/>
    <x v="0"/>
    <m/>
    <x v="2"/>
    <x v="0"/>
    <m/>
    <n v="0"/>
    <x v="1"/>
    <s v="Moderate"/>
    <n v="5027591.1682657599"/>
  </r>
  <r>
    <x v="0"/>
    <x v="30"/>
    <x v="30"/>
    <x v="5"/>
    <x v="0"/>
    <x v="2"/>
    <x v="17"/>
    <x v="8"/>
    <s v="Multi-Year"/>
    <x v="1"/>
    <s v="Cold Chain"/>
    <n v="2313812"/>
    <s v="Confirmed"/>
    <s v=""/>
    <x v="1"/>
    <x v="0"/>
    <m/>
    <x v="0"/>
    <x v="0"/>
    <m/>
    <n v="3"/>
    <x v="0"/>
    <s v="Moderate"/>
    <n v="234645958.63289919"/>
  </r>
  <r>
    <x v="0"/>
    <x v="31"/>
    <x v="31"/>
    <x v="5"/>
    <x v="0"/>
    <x v="2"/>
    <x v="17"/>
    <x v="8"/>
    <s v="Multi-Year"/>
    <x v="1"/>
    <s v="Cold Chain"/>
    <n v="0"/>
    <s v="Confirmed"/>
    <s v=""/>
    <x v="1"/>
    <x v="0"/>
    <m/>
    <x v="2"/>
    <x v="0"/>
    <m/>
    <n v="2"/>
    <x v="0"/>
    <s v="In distress"/>
    <n v="91590910.247314155"/>
  </r>
  <r>
    <x v="0"/>
    <x v="32"/>
    <x v="32"/>
    <x v="6"/>
    <x v="0"/>
    <x v="2"/>
    <x v="17"/>
    <x v="8"/>
    <s v="Multi-Year"/>
    <x v="1"/>
    <s v="Cold Chain"/>
    <n v="198193"/>
    <s v="Confirmed"/>
    <s v=""/>
    <x v="1"/>
    <x v="0"/>
    <m/>
    <x v="4"/>
    <x v="1"/>
    <m/>
    <n v="0"/>
    <x v="1"/>
    <s v="N/A"/>
    <n v="8560012.8840167802"/>
  </r>
  <r>
    <x v="0"/>
    <x v="33"/>
    <x v="33"/>
    <x v="4"/>
    <x v="0"/>
    <x v="2"/>
    <x v="17"/>
    <x v="8"/>
    <s v="Multi-Year"/>
    <x v="1"/>
    <s v="Cold Chain"/>
    <n v="0"/>
    <s v="Confirmed"/>
    <s v=""/>
    <x v="1"/>
    <x v="0"/>
    <m/>
    <x v="1"/>
    <x v="1"/>
    <m/>
    <n v="0"/>
    <x v="0"/>
    <s v="N/A"/>
    <n v="3292372960.3962669"/>
  </r>
  <r>
    <x v="0"/>
    <x v="34"/>
    <x v="34"/>
    <x v="5"/>
    <x v="0"/>
    <x v="2"/>
    <x v="17"/>
    <x v="8"/>
    <s v="Multi-Year"/>
    <x v="1"/>
    <s v="Cold Chain"/>
    <n v="0"/>
    <s v="Confirmed"/>
    <s v=""/>
    <x v="1"/>
    <x v="0"/>
    <m/>
    <x v="2"/>
    <x v="0"/>
    <m/>
    <n v="0"/>
    <x v="0"/>
    <s v="Moderate"/>
    <n v="519209981.22981054"/>
  </r>
  <r>
    <x v="0"/>
    <x v="35"/>
    <x v="35"/>
    <x v="1"/>
    <x v="0"/>
    <x v="2"/>
    <x v="17"/>
    <x v="8"/>
    <s v="Multi-Year"/>
    <x v="1"/>
    <s v="Cold Chain"/>
    <n v="0"/>
    <s v="Confirmed"/>
    <s v=""/>
    <x v="1"/>
    <x v="0"/>
    <m/>
    <x v="3"/>
    <x v="1"/>
    <m/>
    <n v="0"/>
    <x v="0"/>
    <s v=""/>
    <n v="3464739907.1604805"/>
  </r>
  <r>
    <x v="0"/>
    <x v="36"/>
    <x v="36"/>
    <x v="4"/>
    <x v="0"/>
    <x v="2"/>
    <x v="17"/>
    <x v="8"/>
    <s v="Multi-Year"/>
    <x v="1"/>
    <s v="Cold Chain"/>
    <n v="0"/>
    <s v="Confirmed"/>
    <s v=""/>
    <x v="1"/>
    <x v="0"/>
    <m/>
    <x v="1"/>
    <x v="1"/>
    <m/>
    <n v="0"/>
    <x v="1"/>
    <s v=""/>
    <n v="9948521252.2569065"/>
  </r>
  <r>
    <x v="0"/>
    <x v="37"/>
    <x v="37"/>
    <x v="2"/>
    <x v="0"/>
    <x v="2"/>
    <x v="17"/>
    <x v="8"/>
    <s v="Multi-Year"/>
    <x v="1"/>
    <s v="Cold Chain"/>
    <n v="92553"/>
    <s v="Confirmed"/>
    <s v=""/>
    <x v="1"/>
    <x v="0"/>
    <m/>
    <x v="2"/>
    <x v="0"/>
    <m/>
    <n v="1"/>
    <x v="0"/>
    <s v="High"/>
    <n v="33679192.765657313"/>
  </r>
  <r>
    <x v="0"/>
    <x v="38"/>
    <x v="38"/>
    <x v="4"/>
    <x v="0"/>
    <x v="2"/>
    <x v="17"/>
    <x v="8"/>
    <s v="Multi-Year"/>
    <x v="1"/>
    <s v="Cold Chain"/>
    <n v="0"/>
    <s v="Confirmed"/>
    <s v=""/>
    <x v="1"/>
    <x v="0"/>
    <m/>
    <x v="1"/>
    <x v="0"/>
    <m/>
    <n v="0"/>
    <x v="1"/>
    <s v="…"/>
    <n v="22784494.365742501"/>
  </r>
  <r>
    <x v="0"/>
    <x v="39"/>
    <x v="39"/>
    <x v="4"/>
    <x v="0"/>
    <x v="2"/>
    <x v="17"/>
    <x v="8"/>
    <s v="Multi-Year"/>
    <x v="1"/>
    <s v="Cold Chain"/>
    <n v="0"/>
    <s v="Confirmed"/>
    <s v=""/>
    <x v="1"/>
    <x v="0"/>
    <m/>
    <x v="1"/>
    <x v="1"/>
    <m/>
    <n v="0"/>
    <x v="1"/>
    <s v=""/>
    <n v="2173208011.4858823"/>
  </r>
  <r>
    <x v="0"/>
    <x v="40"/>
    <x v="40"/>
    <x v="4"/>
    <x v="0"/>
    <x v="2"/>
    <x v="17"/>
    <x v="8"/>
    <s v="Multi-Year"/>
    <x v="1"/>
    <s v="Cold Chain"/>
    <n v="0"/>
    <s v="Confirmed"/>
    <s v=""/>
    <x v="1"/>
    <x v="0"/>
    <m/>
    <x v="1"/>
    <x v="1"/>
    <m/>
    <n v="0"/>
    <x v="0"/>
    <s v="N/A"/>
    <n v="4585736158.8323269"/>
  </r>
  <r>
    <x v="0"/>
    <x v="41"/>
    <x v="41"/>
    <x v="2"/>
    <x v="0"/>
    <x v="2"/>
    <x v="17"/>
    <x v="8"/>
    <s v="Multi-Year"/>
    <x v="1"/>
    <s v="Cold Chain"/>
    <n v="1546200"/>
    <s v="Confirmed"/>
    <s v=""/>
    <x v="1"/>
    <x v="0"/>
    <m/>
    <x v="2"/>
    <x v="0"/>
    <m/>
    <n v="0"/>
    <x v="0"/>
    <s v="N/A"/>
    <n v="3550291584.8645592"/>
  </r>
  <r>
    <x v="0"/>
    <x v="42"/>
    <x v="42"/>
    <x v="4"/>
    <x v="0"/>
    <x v="2"/>
    <x v="17"/>
    <x v="8"/>
    <s v="Multi-Year"/>
    <x v="1"/>
    <s v="Cold Chain"/>
    <n v="0"/>
    <s v="Confirmed"/>
    <s v=""/>
    <x v="1"/>
    <x v="0"/>
    <m/>
    <x v="2"/>
    <x v="0"/>
    <m/>
    <n v="0"/>
    <x v="0"/>
    <s v="N/A"/>
    <n v="1182840319.0410969"/>
  </r>
  <r>
    <x v="0"/>
    <x v="43"/>
    <x v="43"/>
    <x v="4"/>
    <x v="0"/>
    <x v="2"/>
    <x v="17"/>
    <x v="8"/>
    <s v="Multi-Year"/>
    <x v="1"/>
    <s v="Cold Chain"/>
    <n v="0"/>
    <s v="Confirmed"/>
    <s v=""/>
    <x v="1"/>
    <x v="0"/>
    <m/>
    <x v="1"/>
    <x v="1"/>
    <m/>
    <n v="0"/>
    <x v="0"/>
    <s v=""/>
    <n v="81728347.604567245"/>
  </r>
  <r>
    <x v="0"/>
    <x v="44"/>
    <x v="44"/>
    <x v="3"/>
    <x v="0"/>
    <x v="2"/>
    <x v="17"/>
    <x v="8"/>
    <s v="Multi-Year"/>
    <x v="1"/>
    <s v="Cold Chain"/>
    <n v="0"/>
    <s v="Confirmed"/>
    <s v=""/>
    <x v="1"/>
    <x v="0"/>
    <m/>
    <x v="0"/>
    <x v="0"/>
    <m/>
    <n v="2"/>
    <x v="0"/>
    <s v="N/A"/>
    <n v="12787914.977715338"/>
  </r>
  <r>
    <x v="0"/>
    <x v="45"/>
    <x v="45"/>
    <x v="3"/>
    <x v="0"/>
    <x v="2"/>
    <x v="17"/>
    <x v="8"/>
    <s v="Multi-Year"/>
    <x v="1"/>
    <s v="Cold Chain"/>
    <n v="109293"/>
    <s v="Confirmed"/>
    <s v=""/>
    <x v="1"/>
    <x v="0"/>
    <m/>
    <x v="2"/>
    <x v="0"/>
    <m/>
    <n v="2"/>
    <x v="0"/>
    <s v="N/A"/>
    <n v="101271737.65410839"/>
  </r>
  <r>
    <x v="0"/>
    <x v="46"/>
    <x v="46"/>
    <x v="3"/>
    <x v="0"/>
    <x v="2"/>
    <x v="17"/>
    <x v="8"/>
    <s v="Multi-Year"/>
    <x v="1"/>
    <s v="Cold Chain"/>
    <n v="1343285"/>
    <s v="Confirmed"/>
    <s v=""/>
    <x v="1"/>
    <x v="0"/>
    <m/>
    <x v="0"/>
    <x v="0"/>
    <m/>
    <n v="3"/>
    <x v="0"/>
    <s v="High"/>
    <n v="618344226.71759331"/>
  </r>
  <r>
    <x v="0"/>
    <x v="47"/>
    <x v="47"/>
    <x v="6"/>
    <x v="0"/>
    <x v="2"/>
    <x v="17"/>
    <x v="8"/>
    <s v="Multi-Year"/>
    <x v="1"/>
    <s v="Cold Chain"/>
    <n v="639730"/>
    <s v="Confirmed"/>
    <s v=""/>
    <x v="1"/>
    <x v="0"/>
    <m/>
    <x v="1"/>
    <x v="0"/>
    <m/>
    <n v="0"/>
    <x v="1"/>
    <s v="…"/>
    <n v="129483872.95906857"/>
  </r>
  <r>
    <x v="0"/>
    <x v="48"/>
    <x v="48"/>
    <x v="5"/>
    <x v="0"/>
    <x v="2"/>
    <x v="17"/>
    <x v="8"/>
    <s v="Multi-Year"/>
    <x v="1"/>
    <s v="Cold Chain"/>
    <n v="0"/>
    <s v="Confirmed"/>
    <s v=""/>
    <x v="1"/>
    <x v="0"/>
    <m/>
    <x v="1"/>
    <x v="1"/>
    <m/>
    <n v="0"/>
    <x v="0"/>
    <s v="N/A"/>
    <n v="271184658.35014349"/>
  </r>
  <r>
    <x v="0"/>
    <x v="49"/>
    <x v="49"/>
    <x v="5"/>
    <x v="0"/>
    <x v="2"/>
    <x v="17"/>
    <x v="8"/>
    <s v="Multi-Year"/>
    <x v="1"/>
    <s v="Cold Chain"/>
    <n v="0"/>
    <s v="Confirmed"/>
    <s v=""/>
    <x v="1"/>
    <x v="0"/>
    <m/>
    <x v="0"/>
    <x v="0"/>
    <m/>
    <n v="0"/>
    <x v="0"/>
    <s v="High"/>
    <n v="15455265.086884515"/>
  </r>
  <r>
    <x v="0"/>
    <x v="50"/>
    <x v="50"/>
    <x v="1"/>
    <x v="0"/>
    <x v="2"/>
    <x v="17"/>
    <x v="8"/>
    <s v="Multi-Year"/>
    <x v="1"/>
    <s v="Cold Chain"/>
    <n v="0"/>
    <s v="Confirmed"/>
    <s v=""/>
    <x v="1"/>
    <x v="0"/>
    <m/>
    <x v="1"/>
    <x v="1"/>
    <m/>
    <n v="0"/>
    <x v="0"/>
    <s v="N/A"/>
    <n v="494021502.525527"/>
  </r>
  <r>
    <x v="0"/>
    <x v="51"/>
    <x v="51"/>
    <x v="5"/>
    <x v="0"/>
    <x v="2"/>
    <x v="17"/>
    <x v="8"/>
    <s v="Multi-Year"/>
    <x v="1"/>
    <s v="Cold Chain"/>
    <n v="925925"/>
    <s v="Confirmed"/>
    <s v=""/>
    <x v="1"/>
    <x v="0"/>
    <m/>
    <x v="2"/>
    <x v="0"/>
    <m/>
    <n v="0"/>
    <x v="0"/>
    <s v="High"/>
    <n v="902005621.73836684"/>
  </r>
  <r>
    <x v="0"/>
    <x v="52"/>
    <x v="52"/>
    <x v="4"/>
    <x v="0"/>
    <x v="2"/>
    <x v="17"/>
    <x v="8"/>
    <s v="Multi-Year"/>
    <x v="1"/>
    <s v="Cold Chain"/>
    <n v="0"/>
    <s v="Confirmed"/>
    <s v=""/>
    <x v="1"/>
    <x v="0"/>
    <m/>
    <x v="1"/>
    <x v="0"/>
    <m/>
    <n v="0"/>
    <x v="1"/>
    <s v="In distress"/>
    <n v="20201670.142996579"/>
  </r>
  <r>
    <x v="0"/>
    <x v="53"/>
    <x v="53"/>
    <x v="4"/>
    <x v="0"/>
    <x v="2"/>
    <x v="17"/>
    <x v="8"/>
    <s v="Multi-Year"/>
    <x v="1"/>
    <s v="Cold Chain"/>
    <n v="1388889"/>
    <s v="Confirmed"/>
    <s v=""/>
    <x v="1"/>
    <x v="0"/>
    <m/>
    <x v="1"/>
    <x v="1"/>
    <m/>
    <n v="0"/>
    <x v="0"/>
    <s v=""/>
    <n v="1612434649.6948864"/>
  </r>
  <r>
    <x v="0"/>
    <x v="54"/>
    <x v="54"/>
    <x v="5"/>
    <x v="0"/>
    <x v="2"/>
    <x v="17"/>
    <x v="8"/>
    <s v="Multi-Year"/>
    <x v="1"/>
    <s v="Cold Chain"/>
    <n v="926346"/>
    <s v="Confirmed"/>
    <s v=""/>
    <x v="1"/>
    <x v="0"/>
    <m/>
    <x v="0"/>
    <x v="0"/>
    <m/>
    <n v="0"/>
    <x v="0"/>
    <s v="Moderate"/>
    <n v="78203134.118229344"/>
  </r>
  <r>
    <x v="0"/>
    <x v="55"/>
    <x v="55"/>
    <x v="5"/>
    <x v="0"/>
    <x v="2"/>
    <x v="17"/>
    <x v="8"/>
    <s v="Multi-Year"/>
    <x v="1"/>
    <s v="Cold Chain"/>
    <n v="0"/>
    <s v="Confirmed"/>
    <s v=""/>
    <x v="1"/>
    <x v="0"/>
    <m/>
    <x v="0"/>
    <x v="0"/>
    <m/>
    <n v="2"/>
    <x v="1"/>
    <s v="High"/>
    <n v="9151637.7411015611"/>
  </r>
  <r>
    <x v="0"/>
    <x v="56"/>
    <x v="56"/>
    <x v="4"/>
    <x v="0"/>
    <x v="2"/>
    <x v="17"/>
    <x v="8"/>
    <s v="Multi-Year"/>
    <x v="1"/>
    <s v="Cold Chain"/>
    <n v="0"/>
    <s v="Confirmed"/>
    <s v=""/>
    <x v="1"/>
    <x v="0"/>
    <m/>
    <x v="1"/>
    <x v="0"/>
    <m/>
    <n v="0"/>
    <x v="1"/>
    <s v="Moderate"/>
    <n v="142455920.02856269"/>
  </r>
  <r>
    <x v="0"/>
    <x v="57"/>
    <x v="57"/>
    <x v="4"/>
    <x v="0"/>
    <x v="2"/>
    <x v="17"/>
    <x v="8"/>
    <s v="Multi-Year"/>
    <x v="1"/>
    <s v="Cold Chain"/>
    <n v="1851852"/>
    <s v="Confirmed"/>
    <s v=""/>
    <x v="1"/>
    <x v="0"/>
    <m/>
    <x v="2"/>
    <x v="0"/>
    <m/>
    <n v="1"/>
    <x v="1"/>
    <s v="High"/>
    <n v="85611818.171245083"/>
  </r>
  <r>
    <x v="0"/>
    <x v="58"/>
    <x v="58"/>
    <x v="4"/>
    <x v="0"/>
    <x v="2"/>
    <x v="17"/>
    <x v="8"/>
    <s v="Multi-Year"/>
    <x v="1"/>
    <s v="Cold Chain"/>
    <n v="0"/>
    <s v="Confirmed"/>
    <s v=""/>
    <x v="1"/>
    <x v="0"/>
    <m/>
    <x v="2"/>
    <x v="0"/>
    <m/>
    <n v="0"/>
    <x v="0"/>
    <s v="Low"/>
    <n v="680289736.30082119"/>
  </r>
  <r>
    <x v="0"/>
    <x v="59"/>
    <x v="59"/>
    <x v="0"/>
    <x v="0"/>
    <x v="2"/>
    <x v="17"/>
    <x v="8"/>
    <s v="Multi-Year"/>
    <x v="1"/>
    <s v="Cold Chain"/>
    <n v="0"/>
    <s v="Confirmed"/>
    <s v=""/>
    <x v="1"/>
    <x v="0"/>
    <m/>
    <x v="2"/>
    <x v="0"/>
    <m/>
    <n v="0"/>
    <x v="0"/>
    <s v="N/A"/>
    <n v="26554332750.47023"/>
  </r>
  <r>
    <x v="0"/>
    <x v="60"/>
    <x v="60"/>
    <x v="6"/>
    <x v="0"/>
    <x v="2"/>
    <x v="17"/>
    <x v="8"/>
    <s v="Multi-Year"/>
    <x v="1"/>
    <s v="Cold Chain"/>
    <n v="3751813"/>
    <s v="Confirmed"/>
    <s v=""/>
    <x v="1"/>
    <x v="0"/>
    <m/>
    <x v="2"/>
    <x v="0"/>
    <m/>
    <n v="0"/>
    <x v="0"/>
    <s v="N/A"/>
    <n v="14745961064.890842"/>
  </r>
  <r>
    <x v="0"/>
    <x v="61"/>
    <x v="61"/>
    <x v="2"/>
    <x v="0"/>
    <x v="2"/>
    <x v="17"/>
    <x v="8"/>
    <s v="Multi-Year"/>
    <x v="1"/>
    <s v="Cold Chain"/>
    <n v="0"/>
    <s v="Confirmed"/>
    <s v=""/>
    <x v="1"/>
    <x v="0"/>
    <m/>
    <x v="2"/>
    <x v="1"/>
    <m/>
    <n v="0"/>
    <x v="0"/>
    <s v="N/A"/>
    <n v="18194076299.786381"/>
  </r>
  <r>
    <x v="0"/>
    <x v="62"/>
    <x v="62"/>
    <x v="2"/>
    <x v="0"/>
    <x v="2"/>
    <x v="17"/>
    <x v="8"/>
    <s v="Multi-Year"/>
    <x v="1"/>
    <s v="Cold Chain"/>
    <n v="0"/>
    <s v="Confirmed"/>
    <s v=""/>
    <x v="1"/>
    <x v="0"/>
    <m/>
    <x v="1"/>
    <x v="1"/>
    <m/>
    <n v="0"/>
    <x v="0"/>
    <s v="N/A"/>
    <n v="4428819387.769825"/>
  </r>
  <r>
    <x v="0"/>
    <x v="63"/>
    <x v="63"/>
    <x v="4"/>
    <x v="0"/>
    <x v="2"/>
    <x v="17"/>
    <x v="8"/>
    <s v="Multi-Year"/>
    <x v="1"/>
    <s v="Cold Chain"/>
    <n v="1129630"/>
    <s v="Confirmed"/>
    <s v=""/>
    <x v="1"/>
    <x v="0"/>
    <m/>
    <x v="1"/>
    <x v="1"/>
    <m/>
    <n v="0"/>
    <x v="1"/>
    <s v=""/>
    <n v="611739560.62679195"/>
  </r>
  <r>
    <x v="0"/>
    <x v="64"/>
    <x v="64"/>
    <x v="2"/>
    <x v="0"/>
    <x v="2"/>
    <x v="17"/>
    <x v="8"/>
    <s v="Multi-Year"/>
    <x v="1"/>
    <s v="Cold Chain"/>
    <n v="0"/>
    <s v="Confirmed"/>
    <s v=""/>
    <x v="1"/>
    <x v="0"/>
    <m/>
    <x v="1"/>
    <x v="1"/>
    <m/>
    <n v="0"/>
    <x v="0"/>
    <s v="N/A"/>
    <n v="1617913383.0481031"/>
  </r>
  <r>
    <x v="0"/>
    <x v="65"/>
    <x v="65"/>
    <x v="1"/>
    <x v="0"/>
    <x v="2"/>
    <x v="17"/>
    <x v="8"/>
    <s v="Multi-Year"/>
    <x v="1"/>
    <s v="Cold Chain"/>
    <n v="0"/>
    <s v="Confirmed"/>
    <s v=""/>
    <x v="1"/>
    <x v="0"/>
    <m/>
    <x v="1"/>
    <x v="1"/>
    <m/>
    <n v="0"/>
    <x v="0"/>
    <s v=""/>
    <n v="3074419112.4562683"/>
  </r>
  <r>
    <x v="0"/>
    <x v="66"/>
    <x v="66"/>
    <x v="3"/>
    <x v="0"/>
    <x v="2"/>
    <x v="17"/>
    <x v="8"/>
    <s v="Multi-Year"/>
    <x v="1"/>
    <s v="Cold Chain"/>
    <n v="1337969"/>
    <s v="Confirmed"/>
    <s v=""/>
    <x v="1"/>
    <x v="0"/>
    <m/>
    <x v="2"/>
    <x v="0"/>
    <m/>
    <n v="0"/>
    <x v="0"/>
    <s v="High"/>
    <n v="1914014279.8929913"/>
  </r>
  <r>
    <x v="0"/>
    <x v="67"/>
    <x v="67"/>
    <x v="6"/>
    <x v="0"/>
    <x v="2"/>
    <x v="17"/>
    <x v="8"/>
    <s v="Multi-Year"/>
    <x v="1"/>
    <s v="Cold Chain"/>
    <n v="0"/>
    <s v="Confirmed"/>
    <s v=""/>
    <x v="1"/>
    <x v="0"/>
    <m/>
    <x v="2"/>
    <x v="0"/>
    <m/>
    <n v="0"/>
    <x v="1"/>
    <s v="High"/>
    <n v="17422005.762907442"/>
  </r>
  <r>
    <x v="0"/>
    <x v="68"/>
    <x v="68"/>
    <x v="6"/>
    <x v="0"/>
    <x v="2"/>
    <x v="17"/>
    <x v="8"/>
    <s v="Multi-Year"/>
    <x v="1"/>
    <s v="Cold Chain"/>
    <n v="0"/>
    <s v="Confirmed"/>
    <s v=""/>
    <x v="1"/>
    <x v="0"/>
    <m/>
    <x v="0"/>
    <x v="0"/>
    <m/>
    <n v="0"/>
    <x v="0"/>
    <s v="N/A"/>
    <s v=""/>
  </r>
  <r>
    <x v="0"/>
    <x v="69"/>
    <x v="69"/>
    <x v="1"/>
    <x v="0"/>
    <x v="2"/>
    <x v="17"/>
    <x v="8"/>
    <s v="Multi-Year"/>
    <x v="1"/>
    <s v="Cold Chain"/>
    <n v="0"/>
    <s v="Confirmed"/>
    <s v=""/>
    <x v="1"/>
    <x v="0"/>
    <m/>
    <x v="1"/>
    <x v="0"/>
    <m/>
    <n v="0"/>
    <x v="0"/>
    <s v="…"/>
    <s v=""/>
  </r>
  <r>
    <x v="0"/>
    <x v="70"/>
    <x v="70"/>
    <x v="1"/>
    <x v="0"/>
    <x v="2"/>
    <x v="17"/>
    <x v="8"/>
    <s v="Multi-Year"/>
    <x v="1"/>
    <s v="Cold Chain"/>
    <n v="0"/>
    <s v="Confirmed"/>
    <s v=""/>
    <x v="1"/>
    <x v="0"/>
    <m/>
    <x v="2"/>
    <x v="0"/>
    <m/>
    <n v="2"/>
    <x v="0"/>
    <s v="Moderate"/>
    <n v="231506834.84347546"/>
  </r>
  <r>
    <x v="0"/>
    <x v="71"/>
    <x v="71"/>
    <x v="6"/>
    <x v="0"/>
    <x v="2"/>
    <x v="17"/>
    <x v="8"/>
    <s v="Multi-Year"/>
    <x v="1"/>
    <s v="Cold Chain"/>
    <n v="1077479"/>
    <s v="Confirmed"/>
    <s v=""/>
    <x v="1"/>
    <x v="0"/>
    <m/>
    <x v="2"/>
    <x v="0"/>
    <m/>
    <n v="0"/>
    <x v="0"/>
    <s v="High"/>
    <n v="156059428.62944782"/>
  </r>
  <r>
    <x v="0"/>
    <x v="72"/>
    <x v="72"/>
    <x v="2"/>
    <x v="0"/>
    <x v="2"/>
    <x v="17"/>
    <x v="8"/>
    <s v="Multi-Year"/>
    <x v="1"/>
    <s v="Cold Chain"/>
    <n v="0"/>
    <s v="Confirmed"/>
    <s v=""/>
    <x v="1"/>
    <x v="0"/>
    <m/>
    <x v="1"/>
    <x v="1"/>
    <m/>
    <n v="0"/>
    <x v="0"/>
    <s v="N/A"/>
    <n v="2355391507.1635861"/>
  </r>
  <r>
    <x v="0"/>
    <x v="73"/>
    <x v="73"/>
    <x v="3"/>
    <x v="0"/>
    <x v="2"/>
    <x v="17"/>
    <x v="8"/>
    <s v="Multi-Year"/>
    <x v="1"/>
    <s v="Cold Chain"/>
    <n v="0"/>
    <s v="Confirmed"/>
    <s v=""/>
    <x v="1"/>
    <x v="0"/>
    <m/>
    <x v="2"/>
    <x v="0"/>
    <m/>
    <n v="0"/>
    <x v="0"/>
    <s v="Moderate"/>
    <n v="152760919.7684873"/>
  </r>
  <r>
    <x v="0"/>
    <x v="74"/>
    <x v="74"/>
    <x v="5"/>
    <x v="0"/>
    <x v="2"/>
    <x v="17"/>
    <x v="8"/>
    <s v="Multi-Year"/>
    <x v="1"/>
    <s v="Cold Chain"/>
    <n v="897224"/>
    <s v="Confirmed"/>
    <s v=""/>
    <x v="1"/>
    <x v="0"/>
    <m/>
    <x v="0"/>
    <x v="0"/>
    <m/>
    <n v="0"/>
    <x v="0"/>
    <s v="High"/>
    <n v="55072006.864440605"/>
  </r>
  <r>
    <x v="0"/>
    <x v="75"/>
    <x v="75"/>
    <x v="2"/>
    <x v="0"/>
    <x v="2"/>
    <x v="17"/>
    <x v="8"/>
    <s v="Multi-Year"/>
    <x v="1"/>
    <s v="Cold Chain"/>
    <n v="833333"/>
    <s v="Confirmed"/>
    <s v=""/>
    <x v="1"/>
    <x v="0"/>
    <m/>
    <x v="1"/>
    <x v="1"/>
    <m/>
    <n v="0"/>
    <x v="0"/>
    <s v="N/A"/>
    <s v=""/>
  </r>
  <r>
    <x v="0"/>
    <x v="76"/>
    <x v="76"/>
    <x v="3"/>
    <x v="0"/>
    <x v="2"/>
    <x v="17"/>
    <x v="8"/>
    <s v="Multi-Year"/>
    <x v="1"/>
    <s v="Cold Chain"/>
    <n v="0"/>
    <s v="Confirmed"/>
    <s v=""/>
    <x v="1"/>
    <x v="0"/>
    <m/>
    <x v="0"/>
    <x v="0"/>
    <m/>
    <n v="2"/>
    <x v="0"/>
    <s v="Moderate"/>
    <n v="206914157.05429548"/>
  </r>
  <r>
    <x v="0"/>
    <x v="77"/>
    <x v="77"/>
    <x v="3"/>
    <x v="0"/>
    <x v="2"/>
    <x v="17"/>
    <x v="8"/>
    <s v="Multi-Year"/>
    <x v="1"/>
    <s v="Cold Chain"/>
    <n v="621248"/>
    <s v="Confirmed"/>
    <s v=""/>
    <x v="1"/>
    <x v="0"/>
    <m/>
    <x v="0"/>
    <x v="0"/>
    <m/>
    <n v="2"/>
    <x v="0"/>
    <s v="High"/>
    <n v="185999915.02066413"/>
  </r>
  <r>
    <x v="0"/>
    <x v="78"/>
    <x v="78"/>
    <x v="6"/>
    <x v="0"/>
    <x v="2"/>
    <x v="17"/>
    <x v="8"/>
    <s v="Multi-Year"/>
    <x v="1"/>
    <s v="Cold Chain"/>
    <n v="1969467"/>
    <s v="Confirmed"/>
    <s v=""/>
    <x v="1"/>
    <x v="0"/>
    <m/>
    <x v="1"/>
    <x v="1"/>
    <m/>
    <n v="0"/>
    <x v="0"/>
    <s v=""/>
    <n v="6893755763.2501726"/>
  </r>
  <r>
    <x v="0"/>
    <x v="79"/>
    <x v="79"/>
    <x v="0"/>
    <x v="0"/>
    <x v="2"/>
    <x v="17"/>
    <x v="8"/>
    <s v="Multi-Year"/>
    <x v="1"/>
    <s v="Cold Chain"/>
    <n v="956222"/>
    <s v="Confirmed"/>
    <s v=""/>
    <x v="1"/>
    <x v="0"/>
    <m/>
    <x v="1"/>
    <x v="0"/>
    <m/>
    <n v="0"/>
    <x v="1"/>
    <s v="High"/>
    <n v="354560231.58276606"/>
  </r>
  <r>
    <x v="0"/>
    <x v="80"/>
    <x v="80"/>
    <x v="5"/>
    <x v="0"/>
    <x v="2"/>
    <x v="17"/>
    <x v="8"/>
    <s v="Multi-Year"/>
    <x v="1"/>
    <s v="Cold Chain"/>
    <n v="925390"/>
    <s v="Confirmed"/>
    <s v=""/>
    <x v="1"/>
    <x v="0"/>
    <m/>
    <x v="0"/>
    <x v="0"/>
    <m/>
    <n v="1"/>
    <x v="0"/>
    <s v="Moderate"/>
    <n v="188169167.56540567"/>
  </r>
  <r>
    <x v="0"/>
    <x v="81"/>
    <x v="81"/>
    <x v="6"/>
    <x v="0"/>
    <x v="2"/>
    <x v="17"/>
    <x v="8"/>
    <s v="Multi-Year"/>
    <x v="1"/>
    <s v="Cold Chain"/>
    <n v="0"/>
    <s v="Confirmed"/>
    <s v=""/>
    <x v="1"/>
    <x v="0"/>
    <m/>
    <x v="1"/>
    <x v="0"/>
    <m/>
    <n v="0"/>
    <x v="1"/>
    <s v=""/>
    <n v="16312106.556340856"/>
  </r>
  <r>
    <x v="0"/>
    <x v="82"/>
    <x v="82"/>
    <x v="5"/>
    <x v="0"/>
    <x v="2"/>
    <x v="17"/>
    <x v="8"/>
    <s v="Multi-Year"/>
    <x v="1"/>
    <s v="Cold Chain"/>
    <n v="826642"/>
    <s v="Confirmed"/>
    <s v=""/>
    <x v="1"/>
    <x v="0"/>
    <m/>
    <x v="2"/>
    <x v="0"/>
    <m/>
    <n v="2"/>
    <x v="0"/>
    <s v="High"/>
    <n v="86083833.534053758"/>
  </r>
  <r>
    <x v="0"/>
    <x v="83"/>
    <x v="83"/>
    <x v="3"/>
    <x v="0"/>
    <x v="2"/>
    <x v="17"/>
    <x v="8"/>
    <s v="Multi-Year"/>
    <x v="1"/>
    <s v="Cold Chain"/>
    <n v="0"/>
    <s v="Confirmed"/>
    <s v=""/>
    <x v="1"/>
    <x v="0"/>
    <m/>
    <x v="1"/>
    <x v="1"/>
    <m/>
    <n v="0"/>
    <x v="1"/>
    <s v="N/A"/>
    <n v="357220835.93762809"/>
  </r>
  <r>
    <x v="0"/>
    <x v="84"/>
    <x v="84"/>
    <x v="4"/>
    <x v="0"/>
    <x v="2"/>
    <x v="17"/>
    <x v="8"/>
    <s v="Multi-Year"/>
    <x v="1"/>
    <s v="Cold Chain"/>
    <n v="0"/>
    <s v="Confirmed"/>
    <s v=""/>
    <x v="1"/>
    <x v="0"/>
    <m/>
    <x v="1"/>
    <x v="1"/>
    <m/>
    <n v="0"/>
    <x v="0"/>
    <s v=""/>
    <n v="32831598153.796387"/>
  </r>
  <r>
    <x v="0"/>
    <x v="85"/>
    <x v="85"/>
    <x v="6"/>
    <x v="0"/>
    <x v="2"/>
    <x v="17"/>
    <x v="8"/>
    <s v="Multi-Year"/>
    <x v="1"/>
    <s v="Cold Chain"/>
    <n v="136826"/>
    <s v="Confirmed"/>
    <s v=""/>
    <x v="1"/>
    <x v="0"/>
    <m/>
    <x v="2"/>
    <x v="0"/>
    <m/>
    <n v="0"/>
    <x v="1"/>
    <s v="High"/>
    <n v="12329056.093798399"/>
  </r>
  <r>
    <x v="0"/>
    <x v="86"/>
    <x v="86"/>
    <x v="1"/>
    <x v="0"/>
    <x v="2"/>
    <x v="17"/>
    <x v="8"/>
    <s v="Multi-Year"/>
    <x v="1"/>
    <s v="Cold Chain"/>
    <n v="0"/>
    <s v="Confirmed"/>
    <s v=""/>
    <x v="1"/>
    <x v="0"/>
    <m/>
    <x v="1"/>
    <x v="0"/>
    <m/>
    <n v="0"/>
    <x v="0"/>
    <s v="Low"/>
    <n v="426639742.85328001"/>
  </r>
  <r>
    <x v="0"/>
    <x v="87"/>
    <x v="87"/>
    <x v="6"/>
    <x v="0"/>
    <x v="2"/>
    <x v="17"/>
    <x v="8"/>
    <s v="Multi-Year"/>
    <x v="1"/>
    <s v="Cold Chain"/>
    <n v="11111111"/>
    <s v="Confirmed"/>
    <s v=""/>
    <x v="1"/>
    <x v="0"/>
    <m/>
    <x v="2"/>
    <x v="0"/>
    <m/>
    <n v="0"/>
    <x v="0"/>
    <s v="…"/>
    <n v="288519671.85870522"/>
  </r>
  <r>
    <x v="0"/>
    <x v="88"/>
    <x v="88"/>
    <x v="1"/>
    <x v="0"/>
    <x v="2"/>
    <x v="17"/>
    <x v="8"/>
    <s v="Multi-Year"/>
    <x v="1"/>
    <s v="Cold Chain"/>
    <n v="0"/>
    <s v="Confirmed"/>
    <s v=""/>
    <x v="1"/>
    <x v="0"/>
    <m/>
    <x v="1"/>
    <x v="1"/>
    <m/>
    <n v="0"/>
    <x v="0"/>
    <s v="N/A"/>
    <n v="275606560.78491527"/>
  </r>
  <r>
    <x v="0"/>
    <x v="89"/>
    <x v="89"/>
    <x v="2"/>
    <x v="0"/>
    <x v="2"/>
    <x v="17"/>
    <x v="8"/>
    <s v="Multi-Year"/>
    <x v="1"/>
    <s v="Cold Chain"/>
    <n v="0"/>
    <s v="Confirmed"/>
    <s v=""/>
    <x v="1"/>
    <x v="0"/>
    <m/>
    <x v="2"/>
    <x v="0"/>
    <m/>
    <n v="0"/>
    <x v="0"/>
    <s v="N/A"/>
    <n v="2530937679.3725696"/>
  </r>
  <r>
    <x v="0"/>
    <x v="90"/>
    <x v="90"/>
    <x v="3"/>
    <x v="0"/>
    <x v="2"/>
    <x v="17"/>
    <x v="8"/>
    <s v="Multi-Year"/>
    <x v="1"/>
    <s v="Cold Chain"/>
    <n v="669732"/>
    <s v="Confirmed"/>
    <s v=""/>
    <x v="1"/>
    <x v="0"/>
    <m/>
    <x v="0"/>
    <x v="0"/>
    <m/>
    <n v="0"/>
    <x v="0"/>
    <s v="In distress"/>
    <n v="251432156.86255455"/>
  </r>
  <r>
    <x v="0"/>
    <x v="91"/>
    <x v="91"/>
    <x v="6"/>
    <x v="0"/>
    <x v="2"/>
    <x v="17"/>
    <x v="8"/>
    <s v="Multi-Year"/>
    <x v="1"/>
    <s v="Cold Chain"/>
    <n v="1773821"/>
    <s v="Confirmed"/>
    <s v=""/>
    <x v="1"/>
    <x v="0"/>
    <m/>
    <x v="2"/>
    <x v="0"/>
    <m/>
    <n v="0"/>
    <x v="0"/>
    <s v="Low"/>
    <n v="471534500.60109437"/>
  </r>
  <r>
    <x v="0"/>
    <x v="92"/>
    <x v="92"/>
    <x v="3"/>
    <x v="0"/>
    <x v="2"/>
    <x v="17"/>
    <x v="8"/>
    <s v="Multi-Year"/>
    <x v="1"/>
    <s v="Cold Chain"/>
    <n v="0"/>
    <s v="Confirmed"/>
    <s v=""/>
    <x v="1"/>
    <x v="0"/>
    <m/>
    <x v="1"/>
    <x v="1"/>
    <m/>
    <n v="0"/>
    <x v="0"/>
    <s v=""/>
    <n v="531677611.80447447"/>
  </r>
  <r>
    <x v="0"/>
    <x v="93"/>
    <x v="93"/>
    <x v="6"/>
    <x v="0"/>
    <x v="2"/>
    <x v="17"/>
    <x v="8"/>
    <s v="Multi-Year"/>
    <x v="1"/>
    <s v="Cold Chain"/>
    <n v="0"/>
    <s v="Confirmed"/>
    <s v=""/>
    <x v="1"/>
    <x v="0"/>
    <m/>
    <x v="3"/>
    <x v="1"/>
    <m/>
    <n v="0"/>
    <x v="1"/>
    <s v=""/>
    <n v="8528751.6418357007"/>
  </r>
  <r>
    <x v="0"/>
    <x v="94"/>
    <x v="94"/>
    <x v="0"/>
    <x v="0"/>
    <x v="2"/>
    <x v="17"/>
    <x v="8"/>
    <s v="Multi-Year"/>
    <x v="1"/>
    <s v="Cold Chain"/>
    <n v="1151337"/>
    <s v="Confirmed"/>
    <s v=""/>
    <x v="1"/>
    <x v="0"/>
    <m/>
    <x v="2"/>
    <x v="0"/>
    <m/>
    <n v="0"/>
    <x v="0"/>
    <s v="Low"/>
    <n v="407084543.19089872"/>
  </r>
  <r>
    <x v="0"/>
    <x v="95"/>
    <x v="95"/>
    <x v="4"/>
    <x v="0"/>
    <x v="2"/>
    <x v="17"/>
    <x v="8"/>
    <s v="Multi-Year"/>
    <x v="1"/>
    <s v="Cold Chain"/>
    <n v="1388889"/>
    <s v="Confirmed"/>
    <s v=""/>
    <x v="1"/>
    <x v="0"/>
    <m/>
    <x v="2"/>
    <x v="0"/>
    <m/>
    <n v="0"/>
    <x v="0"/>
    <s v="Moderate"/>
    <n v="671998341.93592453"/>
  </r>
  <r>
    <x v="0"/>
    <x v="96"/>
    <x v="96"/>
    <x v="5"/>
    <x v="0"/>
    <x v="2"/>
    <x v="17"/>
    <x v="8"/>
    <s v="Multi-Year"/>
    <x v="1"/>
    <s v="Cold Chain"/>
    <n v="0"/>
    <s v="Confirmed"/>
    <s v=""/>
    <x v="1"/>
    <x v="0"/>
    <m/>
    <x v="0"/>
    <x v="0"/>
    <m/>
    <n v="1"/>
    <x v="0"/>
    <s v="Moderate"/>
    <n v="226203289.67158964"/>
  </r>
  <r>
    <x v="0"/>
    <x v="97"/>
    <x v="97"/>
    <x v="5"/>
    <x v="0"/>
    <x v="2"/>
    <x v="17"/>
    <x v="8"/>
    <s v="Multi-Year"/>
    <x v="1"/>
    <s v="Cold Chain"/>
    <n v="2104378"/>
    <s v="Confirmed"/>
    <s v=""/>
    <x v="1"/>
    <x v="0"/>
    <m/>
    <x v="2"/>
    <x v="0"/>
    <m/>
    <n v="3"/>
    <x v="0"/>
    <s v="…"/>
    <n v="2438881113.1244688"/>
  </r>
  <r>
    <x v="0"/>
    <x v="98"/>
    <x v="98"/>
    <x v="1"/>
    <x v="0"/>
    <x v="2"/>
    <x v="17"/>
    <x v="8"/>
    <s v="Multi-Year"/>
    <x v="1"/>
    <s v="Cold Chain"/>
    <n v="0"/>
    <s v="Confirmed"/>
    <s v=""/>
    <x v="1"/>
    <x v="0"/>
    <m/>
    <x v="1"/>
    <x v="1"/>
    <m/>
    <n v="0"/>
    <x v="0"/>
    <s v=""/>
    <n v="476517795.73174149"/>
  </r>
  <r>
    <x v="0"/>
    <x v="99"/>
    <x v="99"/>
    <x v="0"/>
    <x v="0"/>
    <x v="2"/>
    <x v="17"/>
    <x v="8"/>
    <s v="Multi-Year"/>
    <x v="1"/>
    <s v="Cold Chain"/>
    <n v="6106979"/>
    <s v="Confirmed"/>
    <s v=""/>
    <x v="1"/>
    <x v="0"/>
    <m/>
    <x v="2"/>
    <x v="0"/>
    <m/>
    <n v="0"/>
    <x v="0"/>
    <s v="…"/>
    <n v="3233351297.7679496"/>
  </r>
  <r>
    <x v="0"/>
    <x v="100"/>
    <x v="100"/>
    <x v="4"/>
    <x v="0"/>
    <x v="2"/>
    <x v="17"/>
    <x v="8"/>
    <s v="Multi-Year"/>
    <x v="1"/>
    <s v="Cold Chain"/>
    <n v="0"/>
    <s v="Confirmed"/>
    <s v=""/>
    <x v="1"/>
    <x v="0"/>
    <m/>
    <x v="3"/>
    <x v="1"/>
    <m/>
    <n v="0"/>
    <x v="1"/>
    <s v=""/>
    <n v="18180646.808608256"/>
  </r>
  <r>
    <x v="0"/>
    <x v="101"/>
    <x v="101"/>
    <x v="4"/>
    <x v="0"/>
    <x v="2"/>
    <x v="17"/>
    <x v="8"/>
    <s v="Multi-Year"/>
    <x v="1"/>
    <s v="Cold Chain"/>
    <n v="0"/>
    <s v="Confirmed"/>
    <s v=""/>
    <x v="1"/>
    <x v="0"/>
    <m/>
    <x v="1"/>
    <x v="1"/>
    <m/>
    <n v="0"/>
    <x v="0"/>
    <s v="N/A"/>
    <n v="3020530707.3485303"/>
  </r>
  <r>
    <x v="0"/>
    <x v="102"/>
    <x v="102"/>
    <x v="6"/>
    <x v="0"/>
    <x v="2"/>
    <x v="17"/>
    <x v="8"/>
    <s v="Multi-Year"/>
    <x v="1"/>
    <s v="Cold Chain"/>
    <n v="7563717"/>
    <s v="Confirmed"/>
    <s v=""/>
    <x v="1"/>
    <x v="0"/>
    <m/>
    <x v="2"/>
    <x v="0"/>
    <m/>
    <n v="1"/>
    <x v="1"/>
    <s v="High"/>
    <n v="384406316.46074712"/>
  </r>
  <r>
    <x v="0"/>
    <x v="103"/>
    <x v="103"/>
    <x v="4"/>
    <x v="0"/>
    <x v="2"/>
    <x v="17"/>
    <x v="8"/>
    <s v="Multi-Year"/>
    <x v="1"/>
    <s v="Cold Chain"/>
    <n v="1913888"/>
    <s v="Confirmed"/>
    <s v=""/>
    <x v="1"/>
    <x v="0"/>
    <m/>
    <x v="1"/>
    <x v="1"/>
    <m/>
    <n v="0"/>
    <x v="0"/>
    <s v=""/>
    <n v="1218747108.9554784"/>
  </r>
  <r>
    <x v="0"/>
    <x v="104"/>
    <x v="104"/>
    <x v="4"/>
    <x v="0"/>
    <x v="2"/>
    <x v="17"/>
    <x v="8"/>
    <s v="Multi-Year"/>
    <x v="1"/>
    <s v="Cold Chain"/>
    <n v="0"/>
    <s v="Confirmed"/>
    <s v=""/>
    <x v="1"/>
    <x v="0"/>
    <m/>
    <x v="1"/>
    <x v="1"/>
    <m/>
    <n v="0"/>
    <x v="0"/>
    <s v=""/>
    <n v="7392665952.5895758"/>
  </r>
  <r>
    <x v="0"/>
    <x v="105"/>
    <x v="105"/>
    <x v="6"/>
    <x v="0"/>
    <x v="2"/>
    <x v="17"/>
    <x v="8"/>
    <s v="Multi-Year"/>
    <x v="1"/>
    <s v="Cold Chain"/>
    <n v="3494059"/>
    <s v="Confirmed"/>
    <s v=""/>
    <x v="1"/>
    <x v="0"/>
    <m/>
    <x v="2"/>
    <x v="0"/>
    <m/>
    <n v="0"/>
    <x v="0"/>
    <s v="N/A"/>
    <n v="4754985988.6004429"/>
  </r>
  <r>
    <x v="0"/>
    <x v="106"/>
    <x v="106"/>
    <x v="1"/>
    <x v="0"/>
    <x v="2"/>
    <x v="17"/>
    <x v="8"/>
    <s v="Multi-Year"/>
    <x v="1"/>
    <s v="Cold Chain"/>
    <n v="0"/>
    <s v="Confirmed"/>
    <s v=""/>
    <x v="1"/>
    <x v="0"/>
    <m/>
    <x v="3"/>
    <x v="1"/>
    <m/>
    <n v="0"/>
    <x v="0"/>
    <s v=""/>
    <n v="26422210443.037273"/>
  </r>
  <r>
    <x v="0"/>
    <x v="107"/>
    <x v="107"/>
    <x v="1"/>
    <x v="0"/>
    <x v="2"/>
    <x v="17"/>
    <x v="8"/>
    <s v="Multi-Year"/>
    <x v="1"/>
    <s v="Cold Chain"/>
    <n v="0"/>
    <s v="Confirmed"/>
    <s v=""/>
    <x v="1"/>
    <x v="0"/>
    <m/>
    <x v="1"/>
    <x v="1"/>
    <m/>
    <n v="0"/>
    <x v="0"/>
    <s v=""/>
    <n v="10696495313.15033"/>
  </r>
  <r>
    <x v="0"/>
    <x v="108"/>
    <x v="108"/>
    <x v="1"/>
    <x v="0"/>
    <x v="2"/>
    <x v="17"/>
    <x v="8"/>
    <s v="Multi-Year"/>
    <x v="1"/>
    <s v="Cold Chain"/>
    <n v="0"/>
    <s v="Confirmed"/>
    <s v=""/>
    <x v="1"/>
    <x v="0"/>
    <m/>
    <x v="1"/>
    <x v="1"/>
    <m/>
    <n v="0"/>
    <x v="0"/>
    <s v=""/>
    <n v="52769713433.240509"/>
  </r>
  <r>
    <x v="0"/>
    <x v="109"/>
    <x v="109"/>
    <x v="3"/>
    <x v="0"/>
    <x v="2"/>
    <x v="17"/>
    <x v="8"/>
    <s v="Multi-Year"/>
    <x v="1"/>
    <s v="Cold Chain"/>
    <n v="0"/>
    <s v="Confirmed"/>
    <s v=""/>
    <x v="1"/>
    <x v="0"/>
    <m/>
    <x v="0"/>
    <x v="0"/>
    <m/>
    <n v="0"/>
    <x v="0"/>
    <s v="Moderate"/>
    <n v="225799814.51943746"/>
  </r>
  <r>
    <x v="0"/>
    <x v="110"/>
    <x v="110"/>
    <x v="6"/>
    <x v="0"/>
    <x v="2"/>
    <x v="17"/>
    <x v="8"/>
    <s v="Multi-Year"/>
    <x v="1"/>
    <s v="Cold Chain"/>
    <n v="126233"/>
    <s v="Confirmed"/>
    <s v=""/>
    <x v="1"/>
    <x v="0"/>
    <m/>
    <x v="2"/>
    <x v="0"/>
    <m/>
    <n v="0"/>
    <x v="1"/>
    <s v="High"/>
    <n v="32192988.027009469"/>
  </r>
  <r>
    <x v="0"/>
    <x v="111"/>
    <x v="111"/>
    <x v="5"/>
    <x v="0"/>
    <x v="2"/>
    <x v="17"/>
    <x v="8"/>
    <s v="Multi-Year"/>
    <x v="1"/>
    <s v="Cold Chain"/>
    <n v="0"/>
    <s v="Confirmed"/>
    <s v=""/>
    <x v="1"/>
    <x v="0"/>
    <m/>
    <x v="2"/>
    <x v="0"/>
    <m/>
    <n v="0"/>
    <x v="1"/>
    <s v="In distress"/>
    <n v="11633535.136477679"/>
  </r>
  <r>
    <x v="0"/>
    <x v="112"/>
    <x v="112"/>
    <x v="5"/>
    <x v="0"/>
    <x v="2"/>
    <x v="17"/>
    <x v="8"/>
    <s v="Multi-Year"/>
    <x v="1"/>
    <s v="Cold Chain"/>
    <n v="891000"/>
    <s v="Confirmed"/>
    <s v=""/>
    <x v="1"/>
    <x v="0"/>
    <m/>
    <x v="2"/>
    <x v="0"/>
    <m/>
    <n v="2"/>
    <x v="0"/>
    <s v="Moderate"/>
    <n v="222008693.93354639"/>
  </r>
  <r>
    <x v="0"/>
    <x v="113"/>
    <x v="113"/>
    <x v="1"/>
    <x v="0"/>
    <x v="2"/>
    <x v="17"/>
    <x v="8"/>
    <s v="Multi-Year"/>
    <x v="1"/>
    <s v="Cold Chain"/>
    <n v="0"/>
    <s v="Confirmed"/>
    <s v=""/>
    <x v="1"/>
    <x v="0"/>
    <m/>
    <x v="1"/>
    <x v="1"/>
    <m/>
    <n v="0"/>
    <x v="0"/>
    <s v=""/>
    <n v="2564993795.1894679"/>
  </r>
  <r>
    <x v="0"/>
    <x v="114"/>
    <x v="114"/>
    <x v="3"/>
    <x v="0"/>
    <x v="2"/>
    <x v="17"/>
    <x v="8"/>
    <s v="Multi-Year"/>
    <x v="1"/>
    <s v="Cold Chain"/>
    <n v="0"/>
    <s v="Confirmed"/>
    <s v=""/>
    <x v="1"/>
    <x v="0"/>
    <m/>
    <x v="3"/>
    <x v="1"/>
    <m/>
    <n v="0"/>
    <x v="1"/>
    <s v="N/A"/>
    <n v="60237542.945069775"/>
  </r>
  <r>
    <x v="0"/>
    <x v="115"/>
    <x v="115"/>
    <x v="5"/>
    <x v="0"/>
    <x v="2"/>
    <x v="17"/>
    <x v="8"/>
    <s v="Multi-Year"/>
    <x v="1"/>
    <s v="Cold Chain"/>
    <n v="0"/>
    <s v="Confirmed"/>
    <s v=""/>
    <x v="1"/>
    <x v="0"/>
    <m/>
    <x v="0"/>
    <x v="0"/>
    <m/>
    <n v="0"/>
    <x v="0"/>
    <s v="High"/>
    <n v="63738640.538260505"/>
  </r>
  <r>
    <x v="0"/>
    <x v="116"/>
    <x v="116"/>
    <x v="6"/>
    <x v="0"/>
    <x v="2"/>
    <x v="17"/>
    <x v="8"/>
    <s v="Multi-Year"/>
    <x v="1"/>
    <s v="Cold Chain"/>
    <n v="3316389"/>
    <s v="Confirmed"/>
    <s v=""/>
    <x v="1"/>
    <x v="0"/>
    <m/>
    <x v="2"/>
    <x v="0"/>
    <m/>
    <n v="0"/>
    <x v="1"/>
    <s v="Moderate"/>
    <n v="49012774.055630356"/>
  </r>
  <r>
    <x v="0"/>
    <x v="117"/>
    <x v="117"/>
    <x v="3"/>
    <x v="0"/>
    <x v="2"/>
    <x v="17"/>
    <x v="8"/>
    <s v="Multi-Year"/>
    <x v="1"/>
    <s v="Cold Chain"/>
    <n v="815580"/>
    <s v="Confirmed"/>
    <s v=""/>
    <x v="1"/>
    <x v="0"/>
    <m/>
    <x v="0"/>
    <x v="0"/>
    <m/>
    <n v="1"/>
    <x v="0"/>
    <s v="In distress"/>
    <s v=""/>
  </r>
  <r>
    <x v="0"/>
    <x v="118"/>
    <x v="118"/>
    <x v="3"/>
    <x v="0"/>
    <x v="2"/>
    <x v="17"/>
    <x v="8"/>
    <s v="Multi-Year"/>
    <x v="1"/>
    <s v="Cold Chain"/>
    <n v="0"/>
    <s v="Confirmed"/>
    <s v=""/>
    <x v="1"/>
    <x v="0"/>
    <m/>
    <x v="1"/>
    <x v="1"/>
    <m/>
    <n v="0"/>
    <x v="0"/>
    <s v="N/A"/>
    <n v="16429121142.784708"/>
  </r>
  <r>
    <x v="0"/>
    <x v="119"/>
    <x v="119"/>
    <x v="3"/>
    <x v="0"/>
    <x v="2"/>
    <x v="17"/>
    <x v="8"/>
    <s v="Multi-Year"/>
    <x v="1"/>
    <s v="Cold Chain"/>
    <n v="1005223"/>
    <s v="Confirmed"/>
    <s v=""/>
    <x v="1"/>
    <x v="0"/>
    <m/>
    <x v="0"/>
    <x v="0"/>
    <m/>
    <n v="1"/>
    <x v="0"/>
    <s v="High"/>
    <n v="31684581.76217727"/>
  </r>
  <r>
    <x v="0"/>
    <x v="120"/>
    <x v="120"/>
    <x v="0"/>
    <x v="0"/>
    <x v="2"/>
    <x v="17"/>
    <x v="8"/>
    <s v="Multi-Year"/>
    <x v="1"/>
    <s v="Cold Chain"/>
    <n v="2166298"/>
    <s v="Confirmed"/>
    <s v=""/>
    <x v="1"/>
    <x v="0"/>
    <m/>
    <x v="2"/>
    <x v="0"/>
    <m/>
    <n v="0"/>
    <x v="0"/>
    <s v="N/A"/>
    <n v="1373621563.5182886"/>
  </r>
  <r>
    <x v="0"/>
    <x v="121"/>
    <x v="121"/>
    <x v="4"/>
    <x v="0"/>
    <x v="2"/>
    <x v="17"/>
    <x v="8"/>
    <s v="Multi-Year"/>
    <x v="1"/>
    <s v="Cold Chain"/>
    <n v="0"/>
    <s v="Confirmed"/>
    <s v=""/>
    <x v="1"/>
    <x v="0"/>
    <m/>
    <x v="3"/>
    <x v="1"/>
    <m/>
    <n v="0"/>
    <x v="1"/>
    <s v=""/>
    <n v="24214370.889062837"/>
  </r>
  <r>
    <x v="0"/>
    <x v="122"/>
    <x v="122"/>
    <x v="4"/>
    <x v="0"/>
    <x v="2"/>
    <x v="17"/>
    <x v="8"/>
    <s v="Multi-Year"/>
    <x v="1"/>
    <s v="Cold Chain"/>
    <n v="0"/>
    <s v="Confirmed"/>
    <s v=""/>
    <x v="1"/>
    <x v="0"/>
    <m/>
    <x v="1"/>
    <x v="0"/>
    <m/>
    <n v="0"/>
    <x v="1"/>
    <s v="…"/>
    <n v="39941279.609447442"/>
  </r>
  <r>
    <x v="0"/>
    <x v="123"/>
    <x v="123"/>
    <x v="4"/>
    <x v="0"/>
    <x v="2"/>
    <x v="17"/>
    <x v="8"/>
    <s v="Multi-Year"/>
    <x v="1"/>
    <s v="Cold Chain"/>
    <n v="0"/>
    <s v="Confirmed"/>
    <s v=""/>
    <x v="1"/>
    <x v="0"/>
    <m/>
    <x v="1"/>
    <x v="0"/>
    <m/>
    <n v="0"/>
    <x v="1"/>
    <s v="High"/>
    <n v="24761675.260059897"/>
  </r>
  <r>
    <x v="0"/>
    <x v="124"/>
    <x v="124"/>
    <x v="2"/>
    <x v="0"/>
    <x v="2"/>
    <x v="17"/>
    <x v="8"/>
    <s v="Multi-Year"/>
    <x v="1"/>
    <s v="Cold Chain"/>
    <n v="0"/>
    <s v="Confirmed"/>
    <s v=""/>
    <x v="1"/>
    <x v="0"/>
    <m/>
    <x v="2"/>
    <x v="0"/>
    <m/>
    <n v="0"/>
    <x v="0"/>
    <s v="N/A"/>
    <s v=""/>
  </r>
  <r>
    <x v="0"/>
    <x v="125"/>
    <x v="125"/>
    <x v="2"/>
    <x v="0"/>
    <x v="2"/>
    <x v="17"/>
    <x v="8"/>
    <s v="Multi-Year"/>
    <x v="1"/>
    <s v="Cold Chain"/>
    <n v="0"/>
    <s v="Confirmed"/>
    <s v=""/>
    <x v="1"/>
    <x v="0"/>
    <m/>
    <x v="0"/>
    <x v="0"/>
    <m/>
    <n v="1"/>
    <x v="0"/>
    <s v="N/A"/>
    <n v="577156172.71229994"/>
  </r>
  <r>
    <x v="0"/>
    <x v="126"/>
    <x v="126"/>
    <x v="6"/>
    <x v="0"/>
    <x v="2"/>
    <x v="17"/>
    <x v="8"/>
    <s v="Multi-Year"/>
    <x v="1"/>
    <s v="Cold Chain"/>
    <n v="0"/>
    <s v="Confirmed"/>
    <s v=""/>
    <x v="1"/>
    <x v="0"/>
    <m/>
    <x v="1"/>
    <x v="1"/>
    <m/>
    <n v="0"/>
    <x v="1"/>
    <s v=""/>
    <n v="180052034.19851837"/>
  </r>
  <r>
    <x v="0"/>
    <x v="127"/>
    <x v="127"/>
    <x v="2"/>
    <x v="0"/>
    <x v="2"/>
    <x v="17"/>
    <x v="8"/>
    <s v="Multi-Year"/>
    <x v="1"/>
    <s v="Cold Chain"/>
    <n v="0"/>
    <s v="Confirmed"/>
    <s v=""/>
    <x v="1"/>
    <x v="0"/>
    <m/>
    <x v="0"/>
    <x v="0"/>
    <m/>
    <n v="1"/>
    <x v="0"/>
    <s v="N/A"/>
    <s v=""/>
  </r>
  <r>
    <x v="0"/>
    <x v="128"/>
    <x v="128"/>
    <x v="1"/>
    <x v="0"/>
    <x v="2"/>
    <x v="17"/>
    <x v="8"/>
    <s v="Multi-Year"/>
    <x v="1"/>
    <s v="Cold Chain"/>
    <n v="0"/>
    <s v="Confirmed"/>
    <s v=""/>
    <x v="1"/>
    <x v="0"/>
    <m/>
    <x v="2"/>
    <x v="0"/>
    <m/>
    <n v="0"/>
    <x v="0"/>
    <s v="High"/>
    <n v="147296124.32232863"/>
  </r>
  <r>
    <x v="0"/>
    <x v="129"/>
    <x v="129"/>
    <x v="3"/>
    <x v="0"/>
    <x v="2"/>
    <x v="17"/>
    <x v="8"/>
    <s v="Multi-Year"/>
    <x v="1"/>
    <s v="Cold Chain"/>
    <n v="0"/>
    <s v="Confirmed"/>
    <s v=""/>
    <x v="1"/>
    <x v="0"/>
    <m/>
    <x v="2"/>
    <x v="0"/>
    <m/>
    <n v="0"/>
    <x v="0"/>
    <s v="…"/>
    <n v="890576536.83065879"/>
  </r>
  <r>
    <x v="0"/>
    <x v="130"/>
    <x v="130"/>
    <x v="6"/>
    <x v="0"/>
    <x v="2"/>
    <x v="17"/>
    <x v="8"/>
    <s v="Multi-Year"/>
    <x v="1"/>
    <s v="Cold Chain"/>
    <n v="693880"/>
    <s v="Confirmed"/>
    <s v=""/>
    <x v="1"/>
    <x v="0"/>
    <m/>
    <x v="1"/>
    <x v="1"/>
    <m/>
    <n v="0"/>
    <x v="0"/>
    <s v=""/>
    <n v="14611129792.346064"/>
  </r>
  <r>
    <x v="0"/>
    <x v="131"/>
    <x v="131"/>
    <x v="6"/>
    <x v="0"/>
    <x v="2"/>
    <x v="17"/>
    <x v="8"/>
    <s v="Multi-Year"/>
    <x v="1"/>
    <s v="Cold Chain"/>
    <n v="1135520"/>
    <s v="Confirmed"/>
    <s v=""/>
    <x v="1"/>
    <x v="0"/>
    <m/>
    <x v="2"/>
    <x v="0"/>
    <m/>
    <n v="0"/>
    <x v="1"/>
    <s v="Low"/>
    <n v="72046877.233008593"/>
  </r>
  <r>
    <x v="0"/>
    <x v="132"/>
    <x v="132"/>
    <x v="5"/>
    <x v="0"/>
    <x v="2"/>
    <x v="17"/>
    <x v="8"/>
    <s v="Multi-Year"/>
    <x v="1"/>
    <s v="Cold Chain"/>
    <n v="0"/>
    <s v="Confirmed"/>
    <s v=""/>
    <x v="1"/>
    <x v="0"/>
    <m/>
    <x v="0"/>
    <x v="0"/>
    <m/>
    <n v="0"/>
    <x v="0"/>
    <s v="High"/>
    <n v="56248139.267255567"/>
  </r>
  <r>
    <x v="0"/>
    <x v="133"/>
    <x v="133"/>
    <x v="6"/>
    <x v="0"/>
    <x v="2"/>
    <x v="17"/>
    <x v="8"/>
    <s v="Multi-Year"/>
    <x v="1"/>
    <s v="Cold Chain"/>
    <n v="498460"/>
    <s v="Confirmed"/>
    <s v=""/>
    <x v="1"/>
    <x v="0"/>
    <m/>
    <x v="1"/>
    <x v="0"/>
    <m/>
    <n v="0"/>
    <x v="1"/>
    <s v="High"/>
    <n v="15464031.712942109"/>
  </r>
  <r>
    <x v="0"/>
    <x v="134"/>
    <x v="134"/>
    <x v="4"/>
    <x v="0"/>
    <x v="2"/>
    <x v="17"/>
    <x v="8"/>
    <s v="Multi-Year"/>
    <x v="1"/>
    <s v="Cold Chain"/>
    <n v="0"/>
    <s v="Confirmed"/>
    <s v=""/>
    <x v="1"/>
    <x v="0"/>
    <m/>
    <x v="3"/>
    <x v="1"/>
    <m/>
    <n v="0"/>
    <x v="1"/>
    <s v="N/A"/>
    <n v="769564399.33249676"/>
  </r>
  <r>
    <x v="0"/>
    <x v="135"/>
    <x v="135"/>
    <x v="2"/>
    <x v="0"/>
    <x v="2"/>
    <x v="17"/>
    <x v="8"/>
    <s v="Multi-Year"/>
    <x v="1"/>
    <s v="Cold Chain"/>
    <n v="650000"/>
    <s v="Confirmed"/>
    <s v=""/>
    <x v="1"/>
    <x v="0"/>
    <m/>
    <x v="2"/>
    <x v="0"/>
    <m/>
    <n v="0"/>
    <x v="0"/>
    <s v="N/A"/>
    <n v="1668954539.7630196"/>
  </r>
  <r>
    <x v="0"/>
    <x v="136"/>
    <x v="136"/>
    <x v="1"/>
    <x v="0"/>
    <x v="2"/>
    <x v="17"/>
    <x v="8"/>
    <s v="Multi-Year"/>
    <x v="1"/>
    <s v="Cold Chain"/>
    <n v="0"/>
    <s v="Confirmed"/>
    <s v=""/>
    <x v="1"/>
    <x v="0"/>
    <m/>
    <x v="1"/>
    <x v="1"/>
    <m/>
    <n v="0"/>
    <x v="0"/>
    <s v=""/>
    <n v="24840920016.18832"/>
  </r>
  <r>
    <x v="0"/>
    <x v="137"/>
    <x v="137"/>
    <x v="1"/>
    <x v="0"/>
    <x v="2"/>
    <x v="17"/>
    <x v="8"/>
    <s v="Multi-Year"/>
    <x v="1"/>
    <s v="Cold Chain"/>
    <n v="0"/>
    <s v="Confirmed"/>
    <s v=""/>
    <x v="1"/>
    <x v="0"/>
    <m/>
    <x v="1"/>
    <x v="1"/>
    <m/>
    <n v="0"/>
    <x v="0"/>
    <s v="N/A"/>
    <n v="487888462.83720118"/>
  </r>
  <r>
    <x v="0"/>
    <x v="138"/>
    <x v="138"/>
    <x v="6"/>
    <x v="0"/>
    <x v="2"/>
    <x v="17"/>
    <x v="8"/>
    <s v="Multi-Year"/>
    <x v="1"/>
    <s v="Cold Chain"/>
    <n v="133119"/>
    <s v="Confirmed"/>
    <s v=""/>
    <x v="1"/>
    <x v="0"/>
    <m/>
    <x v="1"/>
    <x v="0"/>
    <m/>
    <n v="0"/>
    <x v="1"/>
    <s v="…"/>
    <n v="6365061.1736073596"/>
  </r>
  <r>
    <x v="0"/>
    <x v="139"/>
    <x v="139"/>
    <x v="3"/>
    <x v="0"/>
    <x v="2"/>
    <x v="17"/>
    <x v="8"/>
    <s v="Multi-Year"/>
    <x v="1"/>
    <s v="Cold Chain"/>
    <n v="1518928"/>
    <s v="Confirmed"/>
    <s v=""/>
    <x v="1"/>
    <x v="0"/>
    <m/>
    <x v="0"/>
    <x v="0"/>
    <m/>
    <n v="2"/>
    <x v="0"/>
    <s v="Low"/>
    <n v="291799092.90196139"/>
  </r>
  <r>
    <x v="0"/>
    <x v="140"/>
    <x v="140"/>
    <x v="1"/>
    <x v="0"/>
    <x v="2"/>
    <x v="17"/>
    <x v="8"/>
    <s v="Multi-Year"/>
    <x v="1"/>
    <s v="Cold Chain"/>
    <n v="0"/>
    <s v="Confirmed"/>
    <s v=""/>
    <x v="1"/>
    <x v="0"/>
    <m/>
    <x v="2"/>
    <x v="0"/>
    <m/>
    <n v="0"/>
    <x v="0"/>
    <s v="N/A"/>
    <n v="4844815340.2135534"/>
  </r>
  <r>
    <x v="0"/>
    <x v="141"/>
    <x v="141"/>
    <x v="4"/>
    <x v="0"/>
    <x v="2"/>
    <x v="17"/>
    <x v="8"/>
    <s v="Multi-Year"/>
    <x v="1"/>
    <s v="Cold Chain"/>
    <n v="0"/>
    <s v="Confirmed"/>
    <s v=""/>
    <x v="1"/>
    <x v="0"/>
    <m/>
    <x v="3"/>
    <x v="1"/>
    <m/>
    <n v="0"/>
    <x v="0"/>
    <s v=""/>
    <n v="4001891446.6871672"/>
  </r>
  <r>
    <x v="0"/>
    <x v="142"/>
    <x v="142"/>
    <x v="1"/>
    <x v="0"/>
    <x v="2"/>
    <x v="17"/>
    <x v="8"/>
    <s v="Multi-Year"/>
    <x v="1"/>
    <s v="Cold Chain"/>
    <n v="0"/>
    <s v="Confirmed"/>
    <s v=""/>
    <x v="1"/>
    <x v="0"/>
    <m/>
    <x v="2"/>
    <x v="0"/>
    <m/>
    <n v="0"/>
    <x v="0"/>
    <s v="Low"/>
    <n v="1019800630.5853213"/>
  </r>
  <r>
    <x v="0"/>
    <x v="143"/>
    <x v="143"/>
    <x v="6"/>
    <x v="0"/>
    <x v="2"/>
    <x v="17"/>
    <x v="8"/>
    <s v="Multi-Year"/>
    <x v="1"/>
    <s v="Cold Chain"/>
    <n v="417188"/>
    <s v="Confirmed"/>
    <s v=""/>
    <x v="1"/>
    <x v="0"/>
    <m/>
    <x v="2"/>
    <x v="0"/>
    <m/>
    <n v="0"/>
    <x v="1"/>
    <s v="Moderate"/>
    <n v="19578671.310841195"/>
  </r>
  <r>
    <x v="0"/>
    <x v="144"/>
    <x v="144"/>
    <x v="4"/>
    <x v="0"/>
    <x v="2"/>
    <x v="17"/>
    <x v="8"/>
    <s v="Multi-Year"/>
    <x v="1"/>
    <s v="Cold Chain"/>
    <n v="2175926"/>
    <s v="Confirmed"/>
    <s v=""/>
    <x v="1"/>
    <x v="0"/>
    <m/>
    <x v="4"/>
    <x v="1"/>
    <m/>
    <n v="0"/>
    <x v="0"/>
    <s v="N/A"/>
    <n v="3551452001.0684834"/>
  </r>
  <r>
    <x v="0"/>
    <x v="145"/>
    <x v="145"/>
    <x v="6"/>
    <x v="0"/>
    <x v="2"/>
    <x v="17"/>
    <x v="8"/>
    <s v="Multi-Year"/>
    <x v="1"/>
    <s v="Cold Chain"/>
    <n v="1690799"/>
    <s v="Confirmed"/>
    <s v=""/>
    <x v="1"/>
    <x v="0"/>
    <m/>
    <x v="2"/>
    <x v="0"/>
    <m/>
    <n v="0"/>
    <x v="0"/>
    <s v="N/A"/>
    <n v="6603048821.7575006"/>
  </r>
  <r>
    <x v="0"/>
    <x v="146"/>
    <x v="146"/>
    <x v="2"/>
    <x v="0"/>
    <x v="2"/>
    <x v="17"/>
    <x v="8"/>
    <s v="Multi-Year"/>
    <x v="1"/>
    <s v="Cold Chain"/>
    <n v="0"/>
    <s v="Confirmed"/>
    <s v=""/>
    <x v="1"/>
    <x v="0"/>
    <m/>
    <x v="0"/>
    <x v="0"/>
    <m/>
    <n v="1"/>
    <x v="0"/>
    <s v="…"/>
    <s v=""/>
  </r>
  <r>
    <x v="0"/>
    <x v="147"/>
    <x v="147"/>
    <x v="3"/>
    <x v="0"/>
    <x v="2"/>
    <x v="17"/>
    <x v="8"/>
    <s v="Multi-Year"/>
    <x v="1"/>
    <s v="Cold Chain"/>
    <n v="1092669"/>
    <s v="Confirmed"/>
    <s v=""/>
    <x v="1"/>
    <x v="0"/>
    <m/>
    <x v="2"/>
    <x v="0"/>
    <m/>
    <n v="0"/>
    <x v="0"/>
    <s v="High"/>
    <n v="515352723.9821828"/>
  </r>
  <r>
    <x v="0"/>
    <x v="148"/>
    <x v="148"/>
    <x v="3"/>
    <x v="0"/>
    <x v="2"/>
    <x v="17"/>
    <x v="8"/>
    <s v="Multi-Year"/>
    <x v="1"/>
    <s v="Cold Chain"/>
    <n v="610791"/>
    <s v="Confirmed"/>
    <s v=""/>
    <x v="1"/>
    <x v="0"/>
    <m/>
    <x v="2"/>
    <x v="0"/>
    <m/>
    <n v="0"/>
    <x v="0"/>
    <s v="N/A"/>
    <n v="566711742.22428358"/>
  </r>
  <r>
    <x v="0"/>
    <x v="0"/>
    <x v="0"/>
    <x v="0"/>
    <x v="0"/>
    <x v="2"/>
    <x v="18"/>
    <x v="8"/>
    <n v="2021"/>
    <x v="1"/>
    <s v="N/A"/>
    <n v="0"/>
    <s v="Confirmed"/>
    <s v=""/>
    <x v="1"/>
    <x v="0"/>
    <m/>
    <x v="0"/>
    <x v="0"/>
    <m/>
    <n v="1"/>
    <x v="0"/>
    <s v="High"/>
    <n v="95829480.719269618"/>
  </r>
  <r>
    <x v="0"/>
    <x v="1"/>
    <x v="1"/>
    <x v="1"/>
    <x v="0"/>
    <x v="2"/>
    <x v="18"/>
    <x v="8"/>
    <n v="2021"/>
    <x v="1"/>
    <s v="N/A"/>
    <n v="0"/>
    <s v="Confirmed"/>
    <s v=""/>
    <x v="1"/>
    <x v="0"/>
    <m/>
    <x v="1"/>
    <x v="1"/>
    <m/>
    <n v="0"/>
    <x v="0"/>
    <s v=""/>
    <n v="427904035.52443534"/>
  </r>
  <r>
    <x v="0"/>
    <x v="2"/>
    <x v="2"/>
    <x v="2"/>
    <x v="0"/>
    <x v="2"/>
    <x v="18"/>
    <x v="8"/>
    <n v="2021"/>
    <x v="1"/>
    <s v="N/A"/>
    <n v="0"/>
    <s v="Confirmed"/>
    <s v=""/>
    <x v="1"/>
    <x v="0"/>
    <m/>
    <x v="2"/>
    <x v="0"/>
    <m/>
    <n v="0"/>
    <x v="0"/>
    <s v="N/A"/>
    <n v="7113361022.7267885"/>
  </r>
  <r>
    <x v="0"/>
    <x v="3"/>
    <x v="3"/>
    <x v="3"/>
    <x v="0"/>
    <x v="2"/>
    <x v="18"/>
    <x v="8"/>
    <n v="2021"/>
    <x v="1"/>
    <s v="N/A"/>
    <n v="0"/>
    <s v="Confirmed"/>
    <s v=""/>
    <x v="1"/>
    <x v="0"/>
    <m/>
    <x v="2"/>
    <x v="0"/>
    <m/>
    <n v="0"/>
    <x v="0"/>
    <s v="…"/>
    <n v="1131865946.5875781"/>
  </r>
  <r>
    <x v="0"/>
    <x v="4"/>
    <x v="4"/>
    <x v="4"/>
    <x v="0"/>
    <x v="2"/>
    <x v="18"/>
    <x v="8"/>
    <n v="2021"/>
    <x v="1"/>
    <s v="N/A"/>
    <n v="0"/>
    <s v="Confirmed"/>
    <s v=""/>
    <x v="1"/>
    <x v="0"/>
    <m/>
    <x v="3"/>
    <x v="1"/>
    <m/>
    <n v="0"/>
    <x v="1"/>
    <s v=""/>
    <n v="46777779.823447868"/>
  </r>
  <r>
    <x v="0"/>
    <x v="5"/>
    <x v="5"/>
    <x v="4"/>
    <x v="0"/>
    <x v="2"/>
    <x v="18"/>
    <x v="8"/>
    <n v="2021"/>
    <x v="1"/>
    <s v="N/A"/>
    <n v="0"/>
    <s v="Confirmed"/>
    <s v=""/>
    <x v="1"/>
    <x v="0"/>
    <m/>
    <x v="1"/>
    <x v="1"/>
    <m/>
    <n v="0"/>
    <x v="0"/>
    <s v=""/>
    <n v="30725305777.596794"/>
  </r>
  <r>
    <x v="0"/>
    <x v="6"/>
    <x v="6"/>
    <x v="1"/>
    <x v="0"/>
    <x v="2"/>
    <x v="18"/>
    <x v="8"/>
    <n v="2021"/>
    <x v="1"/>
    <s v="N/A"/>
    <n v="0"/>
    <s v="Confirmed"/>
    <s v=""/>
    <x v="1"/>
    <x v="0"/>
    <m/>
    <x v="1"/>
    <x v="1"/>
    <m/>
    <n v="0"/>
    <x v="0"/>
    <s v=""/>
    <n v="153815827.8380394"/>
  </r>
  <r>
    <x v="0"/>
    <x v="7"/>
    <x v="7"/>
    <x v="1"/>
    <x v="0"/>
    <x v="2"/>
    <x v="18"/>
    <x v="8"/>
    <n v="2021"/>
    <x v="1"/>
    <s v="N/A"/>
    <n v="0"/>
    <s v="Confirmed"/>
    <s v=""/>
    <x v="1"/>
    <x v="0"/>
    <m/>
    <x v="1"/>
    <x v="1"/>
    <m/>
    <n v="0"/>
    <x v="0"/>
    <s v="N/A"/>
    <n v="437525105.31216973"/>
  </r>
  <r>
    <x v="0"/>
    <x v="8"/>
    <x v="8"/>
    <x v="4"/>
    <x v="0"/>
    <x v="2"/>
    <x v="18"/>
    <x v="8"/>
    <n v="2021"/>
    <x v="1"/>
    <s v="N/A"/>
    <n v="0"/>
    <s v="Confirmed"/>
    <s v=""/>
    <x v="1"/>
    <x v="0"/>
    <m/>
    <x v="3"/>
    <x v="1"/>
    <m/>
    <n v="0"/>
    <x v="1"/>
    <s v=""/>
    <n v="149463302.00602186"/>
  </r>
  <r>
    <x v="0"/>
    <x v="9"/>
    <x v="9"/>
    <x v="0"/>
    <x v="0"/>
    <x v="2"/>
    <x v="18"/>
    <x v="8"/>
    <n v="2021"/>
    <x v="1"/>
    <s v="N/A"/>
    <n v="4594003.5999999996"/>
    <s v="Confirmed"/>
    <s v=""/>
    <x v="1"/>
    <x v="0"/>
    <m/>
    <x v="2"/>
    <x v="0"/>
    <m/>
    <n v="0"/>
    <x v="0"/>
    <s v="Low"/>
    <n v="1148322593.9600098"/>
  </r>
  <r>
    <x v="0"/>
    <x v="10"/>
    <x v="10"/>
    <x v="1"/>
    <x v="0"/>
    <x v="2"/>
    <x v="18"/>
    <x v="8"/>
    <n v="2021"/>
    <x v="1"/>
    <s v="N/A"/>
    <n v="0"/>
    <s v="Confirmed"/>
    <s v=""/>
    <x v="1"/>
    <x v="0"/>
    <m/>
    <x v="1"/>
    <x v="1"/>
    <m/>
    <n v="0"/>
    <x v="0"/>
    <s v=""/>
    <n v="2371102058.1093163"/>
  </r>
  <r>
    <x v="0"/>
    <x v="11"/>
    <x v="11"/>
    <x v="4"/>
    <x v="0"/>
    <x v="2"/>
    <x v="18"/>
    <x v="8"/>
    <n v="2021"/>
    <x v="1"/>
    <s v="N/A"/>
    <n v="824765"/>
    <s v="Confirmed"/>
    <s v=""/>
    <x v="1"/>
    <x v="0"/>
    <m/>
    <x v="2"/>
    <x v="1"/>
    <m/>
    <n v="0"/>
    <x v="1"/>
    <s v="N/A"/>
    <n v="75151620.005215243"/>
  </r>
  <r>
    <x v="0"/>
    <x v="12"/>
    <x v="12"/>
    <x v="5"/>
    <x v="0"/>
    <x v="2"/>
    <x v="18"/>
    <x v="8"/>
    <n v="2021"/>
    <x v="1"/>
    <s v="N/A"/>
    <n v="0"/>
    <s v="Confirmed"/>
    <s v=""/>
    <x v="1"/>
    <x v="0"/>
    <m/>
    <x v="2"/>
    <x v="0"/>
    <m/>
    <n v="0"/>
    <x v="0"/>
    <s v="Moderate"/>
    <n v="69958487.197715744"/>
  </r>
  <r>
    <x v="0"/>
    <x v="13"/>
    <x v="13"/>
    <x v="0"/>
    <x v="0"/>
    <x v="2"/>
    <x v="18"/>
    <x v="8"/>
    <n v="2021"/>
    <x v="1"/>
    <s v="N/A"/>
    <n v="0"/>
    <s v="Confirmed"/>
    <s v=""/>
    <x v="1"/>
    <x v="0"/>
    <m/>
    <x v="2"/>
    <x v="0"/>
    <m/>
    <n v="0"/>
    <x v="0"/>
    <s v="…"/>
    <n v="61654608.560629159"/>
  </r>
  <r>
    <x v="0"/>
    <x v="14"/>
    <x v="14"/>
    <x v="4"/>
    <x v="0"/>
    <x v="2"/>
    <x v="18"/>
    <x v="8"/>
    <n v="2021"/>
    <x v="1"/>
    <s v="N/A"/>
    <n v="0"/>
    <s v="Confirmed"/>
    <s v=""/>
    <x v="1"/>
    <x v="0"/>
    <m/>
    <x v="2"/>
    <x v="0"/>
    <m/>
    <n v="0"/>
    <x v="0"/>
    <s v="N/A"/>
    <n v="1806638707.7615163"/>
  </r>
  <r>
    <x v="0"/>
    <x v="15"/>
    <x v="15"/>
    <x v="1"/>
    <x v="0"/>
    <x v="2"/>
    <x v="18"/>
    <x v="8"/>
    <n v="2021"/>
    <x v="1"/>
    <s v="N/A"/>
    <n v="0"/>
    <s v="Confirmed"/>
    <s v=""/>
    <x v="1"/>
    <x v="0"/>
    <m/>
    <x v="1"/>
    <x v="1"/>
    <m/>
    <n v="0"/>
    <x v="0"/>
    <s v="N/A"/>
    <n v="1252696525.0627904"/>
  </r>
  <r>
    <x v="0"/>
    <x v="16"/>
    <x v="16"/>
    <x v="3"/>
    <x v="0"/>
    <x v="2"/>
    <x v="18"/>
    <x v="8"/>
    <n v="2021"/>
    <x v="1"/>
    <s v="N/A"/>
    <n v="0"/>
    <s v="Confirmed"/>
    <s v=""/>
    <x v="1"/>
    <x v="0"/>
    <m/>
    <x v="1"/>
    <x v="1"/>
    <m/>
    <n v="0"/>
    <x v="0"/>
    <s v=""/>
    <n v="843425084.07334602"/>
  </r>
  <r>
    <x v="0"/>
    <x v="17"/>
    <x v="17"/>
    <x v="4"/>
    <x v="0"/>
    <x v="2"/>
    <x v="18"/>
    <x v="8"/>
    <n v="2021"/>
    <x v="1"/>
    <s v="N/A"/>
    <n v="0"/>
    <s v="Confirmed"/>
    <s v=""/>
    <x v="1"/>
    <x v="0"/>
    <m/>
    <x v="1"/>
    <x v="1"/>
    <m/>
    <n v="0"/>
    <x v="0"/>
    <s v="N/A"/>
    <n v="74055620038.853683"/>
  </r>
  <r>
    <x v="0"/>
    <x v="18"/>
    <x v="18"/>
    <x v="1"/>
    <x v="0"/>
    <x v="2"/>
    <x v="18"/>
    <x v="8"/>
    <n v="2021"/>
    <x v="1"/>
    <s v="N/A"/>
    <n v="0"/>
    <s v="Confirmed"/>
    <s v=""/>
    <x v="1"/>
    <x v="0"/>
    <m/>
    <x v="1"/>
    <x v="1"/>
    <m/>
    <n v="0"/>
    <x v="0"/>
    <s v=""/>
    <n v="2803357765.5888777"/>
  </r>
  <r>
    <x v="0"/>
    <x v="19"/>
    <x v="19"/>
    <x v="5"/>
    <x v="0"/>
    <x v="2"/>
    <x v="18"/>
    <x v="8"/>
    <n v="2021"/>
    <x v="1"/>
    <s v="N/A"/>
    <n v="0"/>
    <s v="Confirmed"/>
    <s v=""/>
    <x v="1"/>
    <x v="0"/>
    <m/>
    <x v="0"/>
    <x v="0"/>
    <m/>
    <n v="2"/>
    <x v="0"/>
    <s v="Moderate"/>
    <n v="337927779.25510043"/>
  </r>
  <r>
    <x v="0"/>
    <x v="20"/>
    <x v="20"/>
    <x v="3"/>
    <x v="0"/>
    <x v="2"/>
    <x v="18"/>
    <x v="8"/>
    <n v="2021"/>
    <x v="1"/>
    <s v="N/A"/>
    <n v="0"/>
    <s v="Confirmed"/>
    <s v=""/>
    <x v="1"/>
    <x v="0"/>
    <m/>
    <x v="0"/>
    <x v="0"/>
    <m/>
    <n v="2"/>
    <x v="0"/>
    <s v="…"/>
    <n v="65979512.47399316"/>
  </r>
  <r>
    <x v="0"/>
    <x v="21"/>
    <x v="21"/>
    <x v="5"/>
    <x v="0"/>
    <x v="2"/>
    <x v="18"/>
    <x v="8"/>
    <n v="2021"/>
    <x v="1"/>
    <s v="N/A"/>
    <n v="0"/>
    <s v="Confirmed"/>
    <s v=""/>
    <x v="1"/>
    <x v="0"/>
    <m/>
    <x v="2"/>
    <x v="0"/>
    <m/>
    <n v="0"/>
    <x v="1"/>
    <s v="High"/>
    <n v="63748362.778827004"/>
  </r>
  <r>
    <x v="0"/>
    <x v="22"/>
    <x v="22"/>
    <x v="6"/>
    <x v="0"/>
    <x v="2"/>
    <x v="18"/>
    <x v="8"/>
    <n v="2021"/>
    <x v="1"/>
    <s v="N/A"/>
    <n v="0"/>
    <s v="Confirmed"/>
    <s v=""/>
    <x v="1"/>
    <x v="0"/>
    <m/>
    <x v="2"/>
    <x v="0"/>
    <m/>
    <n v="0"/>
    <x v="0"/>
    <s v="Low"/>
    <n v="313039649.45369786"/>
  </r>
  <r>
    <x v="0"/>
    <x v="23"/>
    <x v="23"/>
    <x v="5"/>
    <x v="0"/>
    <x v="2"/>
    <x v="18"/>
    <x v="8"/>
    <n v="2021"/>
    <x v="1"/>
    <s v="N/A"/>
    <n v="0"/>
    <s v="Confirmed"/>
    <s v=""/>
    <x v="1"/>
    <x v="0"/>
    <m/>
    <x v="2"/>
    <x v="0"/>
    <m/>
    <n v="2"/>
    <x v="0"/>
    <s v="High"/>
    <n v="81361801.477472037"/>
  </r>
  <r>
    <x v="0"/>
    <x v="24"/>
    <x v="24"/>
    <x v="5"/>
    <x v="0"/>
    <x v="2"/>
    <x v="18"/>
    <x v="8"/>
    <n v="2021"/>
    <x v="1"/>
    <s v="N/A"/>
    <n v="0"/>
    <s v="Confirmed"/>
    <s v=""/>
    <x v="1"/>
    <x v="0"/>
    <m/>
    <x v="0"/>
    <x v="0"/>
    <m/>
    <n v="1"/>
    <x v="0"/>
    <s v="High"/>
    <s v=""/>
  </r>
  <r>
    <x v="0"/>
    <x v="25"/>
    <x v="25"/>
    <x v="5"/>
    <x v="0"/>
    <x v="2"/>
    <x v="18"/>
    <x v="8"/>
    <n v="2021"/>
    <x v="1"/>
    <s v="N/A"/>
    <n v="0"/>
    <s v="Confirmed"/>
    <s v=""/>
    <x v="1"/>
    <x v="0"/>
    <m/>
    <x v="0"/>
    <x v="0"/>
    <m/>
    <n v="1"/>
    <x v="0"/>
    <s v="High"/>
    <n v="76939306.715636879"/>
  </r>
  <r>
    <x v="0"/>
    <x v="26"/>
    <x v="26"/>
    <x v="4"/>
    <x v="0"/>
    <x v="2"/>
    <x v="18"/>
    <x v="8"/>
    <n v="2021"/>
    <x v="1"/>
    <s v="N/A"/>
    <n v="0"/>
    <s v="Confirmed"/>
    <s v=""/>
    <x v="1"/>
    <x v="0"/>
    <m/>
    <x v="3"/>
    <x v="1"/>
    <m/>
    <n v="0"/>
    <x v="0"/>
    <s v=""/>
    <n v="13859708717.682571"/>
  </r>
  <r>
    <x v="0"/>
    <x v="27"/>
    <x v="27"/>
    <x v="6"/>
    <x v="0"/>
    <x v="2"/>
    <x v="18"/>
    <x v="8"/>
    <n v="2021"/>
    <x v="1"/>
    <s v="N/A"/>
    <n v="0"/>
    <s v="Confirmed"/>
    <s v=""/>
    <x v="1"/>
    <x v="0"/>
    <m/>
    <x v="1"/>
    <x v="1"/>
    <m/>
    <n v="0"/>
    <x v="0"/>
    <s v=""/>
    <n v="403567160707.7016"/>
  </r>
  <r>
    <x v="0"/>
    <x v="28"/>
    <x v="28"/>
    <x v="4"/>
    <x v="0"/>
    <x v="2"/>
    <x v="18"/>
    <x v="8"/>
    <n v="2021"/>
    <x v="1"/>
    <s v="N/A"/>
    <n v="0"/>
    <s v="Confirmed"/>
    <s v=""/>
    <x v="1"/>
    <x v="0"/>
    <m/>
    <x v="1"/>
    <x v="1"/>
    <m/>
    <n v="0"/>
    <x v="0"/>
    <s v=""/>
    <n v="18250225995.972618"/>
  </r>
  <r>
    <x v="0"/>
    <x v="29"/>
    <x v="29"/>
    <x v="3"/>
    <x v="0"/>
    <x v="2"/>
    <x v="18"/>
    <x v="8"/>
    <n v="2021"/>
    <x v="1"/>
    <s v="N/A"/>
    <n v="0"/>
    <s v="Confirmed"/>
    <s v=""/>
    <x v="1"/>
    <x v="0"/>
    <m/>
    <x v="2"/>
    <x v="0"/>
    <m/>
    <n v="0"/>
    <x v="1"/>
    <s v="Moderate"/>
    <n v="5027591.1682657599"/>
  </r>
  <r>
    <x v="0"/>
    <x v="30"/>
    <x v="30"/>
    <x v="5"/>
    <x v="0"/>
    <x v="2"/>
    <x v="18"/>
    <x v="8"/>
    <n v="2021"/>
    <x v="1"/>
    <s v="N/A"/>
    <n v="0"/>
    <s v="Confirmed"/>
    <s v=""/>
    <x v="1"/>
    <x v="0"/>
    <m/>
    <x v="0"/>
    <x v="0"/>
    <m/>
    <n v="3"/>
    <x v="0"/>
    <s v="Moderate"/>
    <n v="234645958.63289919"/>
  </r>
  <r>
    <x v="0"/>
    <x v="31"/>
    <x v="31"/>
    <x v="5"/>
    <x v="0"/>
    <x v="2"/>
    <x v="18"/>
    <x v="8"/>
    <n v="2021"/>
    <x v="1"/>
    <s v="N/A"/>
    <n v="0"/>
    <s v="Confirmed"/>
    <s v=""/>
    <x v="1"/>
    <x v="0"/>
    <m/>
    <x v="2"/>
    <x v="0"/>
    <m/>
    <n v="2"/>
    <x v="0"/>
    <s v="In distress"/>
    <n v="91590910.247314155"/>
  </r>
  <r>
    <x v="0"/>
    <x v="32"/>
    <x v="32"/>
    <x v="6"/>
    <x v="0"/>
    <x v="2"/>
    <x v="18"/>
    <x v="8"/>
    <n v="2021"/>
    <x v="1"/>
    <s v="N/A"/>
    <n v="0"/>
    <s v="Confirmed"/>
    <s v=""/>
    <x v="1"/>
    <x v="0"/>
    <m/>
    <x v="4"/>
    <x v="1"/>
    <m/>
    <n v="0"/>
    <x v="1"/>
    <s v="N/A"/>
    <n v="8560012.8840167802"/>
  </r>
  <r>
    <x v="0"/>
    <x v="33"/>
    <x v="33"/>
    <x v="4"/>
    <x v="0"/>
    <x v="2"/>
    <x v="18"/>
    <x v="8"/>
    <n v="2021"/>
    <x v="1"/>
    <s v="N/A"/>
    <n v="0"/>
    <s v="Confirmed"/>
    <s v=""/>
    <x v="1"/>
    <x v="0"/>
    <m/>
    <x v="1"/>
    <x v="1"/>
    <m/>
    <n v="0"/>
    <x v="0"/>
    <s v="N/A"/>
    <n v="3292372960.3962669"/>
  </r>
  <r>
    <x v="0"/>
    <x v="34"/>
    <x v="34"/>
    <x v="5"/>
    <x v="0"/>
    <x v="2"/>
    <x v="18"/>
    <x v="8"/>
    <n v="2021"/>
    <x v="1"/>
    <s v="N/A"/>
    <n v="0"/>
    <s v="Confirmed"/>
    <s v=""/>
    <x v="1"/>
    <x v="0"/>
    <m/>
    <x v="2"/>
    <x v="0"/>
    <m/>
    <n v="0"/>
    <x v="0"/>
    <s v="Moderate"/>
    <n v="519209981.22981054"/>
  </r>
  <r>
    <x v="0"/>
    <x v="35"/>
    <x v="35"/>
    <x v="1"/>
    <x v="0"/>
    <x v="2"/>
    <x v="18"/>
    <x v="8"/>
    <n v="2021"/>
    <x v="1"/>
    <s v="N/A"/>
    <n v="0"/>
    <s v="Confirmed"/>
    <s v=""/>
    <x v="1"/>
    <x v="0"/>
    <m/>
    <x v="3"/>
    <x v="1"/>
    <m/>
    <n v="0"/>
    <x v="0"/>
    <s v=""/>
    <n v="3464739907.1604805"/>
  </r>
  <r>
    <x v="0"/>
    <x v="36"/>
    <x v="36"/>
    <x v="4"/>
    <x v="0"/>
    <x v="2"/>
    <x v="18"/>
    <x v="8"/>
    <n v="2021"/>
    <x v="1"/>
    <s v="N/A"/>
    <n v="715090"/>
    <s v="Confirmed"/>
    <s v=""/>
    <x v="1"/>
    <x v="0"/>
    <m/>
    <x v="1"/>
    <x v="1"/>
    <m/>
    <n v="0"/>
    <x v="1"/>
    <s v=""/>
    <n v="9948521252.2569065"/>
  </r>
  <r>
    <x v="0"/>
    <x v="37"/>
    <x v="37"/>
    <x v="2"/>
    <x v="0"/>
    <x v="2"/>
    <x v="18"/>
    <x v="8"/>
    <n v="2021"/>
    <x v="1"/>
    <s v="N/A"/>
    <n v="0"/>
    <s v="Confirmed"/>
    <s v=""/>
    <x v="1"/>
    <x v="0"/>
    <m/>
    <x v="2"/>
    <x v="0"/>
    <m/>
    <n v="1"/>
    <x v="0"/>
    <s v="High"/>
    <n v="33679192.765657313"/>
  </r>
  <r>
    <x v="0"/>
    <x v="38"/>
    <x v="38"/>
    <x v="4"/>
    <x v="0"/>
    <x v="2"/>
    <x v="18"/>
    <x v="8"/>
    <n v="2021"/>
    <x v="1"/>
    <s v="N/A"/>
    <n v="0"/>
    <s v="Confirmed"/>
    <s v=""/>
    <x v="1"/>
    <x v="0"/>
    <m/>
    <x v="1"/>
    <x v="0"/>
    <m/>
    <n v="0"/>
    <x v="1"/>
    <s v="…"/>
    <n v="22784494.365742501"/>
  </r>
  <r>
    <x v="0"/>
    <x v="39"/>
    <x v="39"/>
    <x v="4"/>
    <x v="0"/>
    <x v="2"/>
    <x v="18"/>
    <x v="8"/>
    <n v="2021"/>
    <x v="1"/>
    <s v="N/A"/>
    <n v="0"/>
    <s v="Confirmed"/>
    <s v=""/>
    <x v="1"/>
    <x v="0"/>
    <m/>
    <x v="1"/>
    <x v="1"/>
    <m/>
    <n v="0"/>
    <x v="1"/>
    <s v=""/>
    <n v="2173208011.4858823"/>
  </r>
  <r>
    <x v="0"/>
    <x v="40"/>
    <x v="40"/>
    <x v="4"/>
    <x v="0"/>
    <x v="2"/>
    <x v="18"/>
    <x v="8"/>
    <n v="2021"/>
    <x v="1"/>
    <s v="N/A"/>
    <n v="0"/>
    <s v="Confirmed"/>
    <s v=""/>
    <x v="1"/>
    <x v="0"/>
    <m/>
    <x v="1"/>
    <x v="1"/>
    <m/>
    <n v="0"/>
    <x v="0"/>
    <s v="N/A"/>
    <n v="4585736158.8323269"/>
  </r>
  <r>
    <x v="0"/>
    <x v="41"/>
    <x v="41"/>
    <x v="2"/>
    <x v="0"/>
    <x v="2"/>
    <x v="18"/>
    <x v="8"/>
    <n v="2021"/>
    <x v="1"/>
    <s v="N/A"/>
    <n v="0"/>
    <s v="Confirmed"/>
    <s v=""/>
    <x v="1"/>
    <x v="0"/>
    <m/>
    <x v="2"/>
    <x v="0"/>
    <m/>
    <n v="0"/>
    <x v="0"/>
    <s v="N/A"/>
    <n v="3550291584.8645592"/>
  </r>
  <r>
    <x v="0"/>
    <x v="42"/>
    <x v="42"/>
    <x v="4"/>
    <x v="0"/>
    <x v="2"/>
    <x v="18"/>
    <x v="8"/>
    <n v="2021"/>
    <x v="1"/>
    <s v="N/A"/>
    <n v="0"/>
    <s v="Confirmed"/>
    <s v=""/>
    <x v="1"/>
    <x v="0"/>
    <m/>
    <x v="2"/>
    <x v="0"/>
    <m/>
    <n v="0"/>
    <x v="0"/>
    <s v="N/A"/>
    <n v="1182840319.0410969"/>
  </r>
  <r>
    <x v="0"/>
    <x v="43"/>
    <x v="43"/>
    <x v="4"/>
    <x v="0"/>
    <x v="2"/>
    <x v="18"/>
    <x v="8"/>
    <n v="2021"/>
    <x v="1"/>
    <s v="N/A"/>
    <n v="0"/>
    <s v="Confirmed"/>
    <s v=""/>
    <x v="1"/>
    <x v="0"/>
    <m/>
    <x v="1"/>
    <x v="1"/>
    <m/>
    <n v="0"/>
    <x v="0"/>
    <s v=""/>
    <n v="81728347.604567245"/>
  </r>
  <r>
    <x v="0"/>
    <x v="44"/>
    <x v="44"/>
    <x v="3"/>
    <x v="0"/>
    <x v="2"/>
    <x v="18"/>
    <x v="8"/>
    <n v="2021"/>
    <x v="1"/>
    <s v="N/A"/>
    <n v="0"/>
    <s v="Confirmed"/>
    <s v=""/>
    <x v="1"/>
    <x v="0"/>
    <m/>
    <x v="0"/>
    <x v="0"/>
    <m/>
    <n v="2"/>
    <x v="0"/>
    <s v="N/A"/>
    <n v="12787914.977715338"/>
  </r>
  <r>
    <x v="0"/>
    <x v="45"/>
    <x v="45"/>
    <x v="3"/>
    <x v="0"/>
    <x v="2"/>
    <x v="18"/>
    <x v="8"/>
    <n v="2021"/>
    <x v="1"/>
    <s v="N/A"/>
    <n v="0"/>
    <s v="Confirmed"/>
    <s v=""/>
    <x v="1"/>
    <x v="0"/>
    <m/>
    <x v="2"/>
    <x v="0"/>
    <m/>
    <n v="2"/>
    <x v="0"/>
    <s v="N/A"/>
    <n v="101271737.65410839"/>
  </r>
  <r>
    <x v="0"/>
    <x v="46"/>
    <x v="46"/>
    <x v="3"/>
    <x v="0"/>
    <x v="2"/>
    <x v="18"/>
    <x v="8"/>
    <n v="2021"/>
    <x v="1"/>
    <s v="N/A"/>
    <n v="0"/>
    <s v="Confirmed"/>
    <s v=""/>
    <x v="1"/>
    <x v="0"/>
    <m/>
    <x v="0"/>
    <x v="0"/>
    <m/>
    <n v="3"/>
    <x v="0"/>
    <s v="High"/>
    <n v="618344226.71759331"/>
  </r>
  <r>
    <x v="0"/>
    <x v="47"/>
    <x v="47"/>
    <x v="6"/>
    <x v="0"/>
    <x v="2"/>
    <x v="18"/>
    <x v="8"/>
    <n v="2021"/>
    <x v="1"/>
    <s v="N/A"/>
    <n v="0"/>
    <s v="Confirmed"/>
    <s v=""/>
    <x v="1"/>
    <x v="0"/>
    <m/>
    <x v="1"/>
    <x v="0"/>
    <m/>
    <n v="0"/>
    <x v="1"/>
    <s v="…"/>
    <n v="129483872.95906857"/>
  </r>
  <r>
    <x v="0"/>
    <x v="48"/>
    <x v="48"/>
    <x v="5"/>
    <x v="0"/>
    <x v="2"/>
    <x v="18"/>
    <x v="8"/>
    <n v="2021"/>
    <x v="1"/>
    <s v="N/A"/>
    <n v="0"/>
    <s v="Confirmed"/>
    <s v=""/>
    <x v="1"/>
    <x v="0"/>
    <m/>
    <x v="1"/>
    <x v="1"/>
    <m/>
    <n v="0"/>
    <x v="0"/>
    <s v="N/A"/>
    <n v="271184658.35014349"/>
  </r>
  <r>
    <x v="0"/>
    <x v="49"/>
    <x v="49"/>
    <x v="5"/>
    <x v="0"/>
    <x v="2"/>
    <x v="18"/>
    <x v="8"/>
    <n v="2021"/>
    <x v="1"/>
    <s v="N/A"/>
    <n v="0"/>
    <s v="Confirmed"/>
    <s v=""/>
    <x v="1"/>
    <x v="0"/>
    <m/>
    <x v="0"/>
    <x v="0"/>
    <m/>
    <n v="0"/>
    <x v="0"/>
    <s v="High"/>
    <n v="15455265.086884515"/>
  </r>
  <r>
    <x v="0"/>
    <x v="50"/>
    <x v="50"/>
    <x v="1"/>
    <x v="0"/>
    <x v="2"/>
    <x v="18"/>
    <x v="8"/>
    <n v="2021"/>
    <x v="1"/>
    <s v="N/A"/>
    <n v="0"/>
    <s v="Confirmed"/>
    <s v=""/>
    <x v="1"/>
    <x v="0"/>
    <m/>
    <x v="1"/>
    <x v="1"/>
    <m/>
    <n v="0"/>
    <x v="0"/>
    <s v="N/A"/>
    <n v="494021502.525527"/>
  </r>
  <r>
    <x v="0"/>
    <x v="51"/>
    <x v="51"/>
    <x v="5"/>
    <x v="0"/>
    <x v="2"/>
    <x v="18"/>
    <x v="8"/>
    <n v="2021"/>
    <x v="1"/>
    <s v="N/A"/>
    <n v="0"/>
    <s v="Confirmed"/>
    <s v=""/>
    <x v="1"/>
    <x v="0"/>
    <m/>
    <x v="2"/>
    <x v="0"/>
    <m/>
    <n v="0"/>
    <x v="0"/>
    <s v="High"/>
    <n v="902005621.73836684"/>
  </r>
  <r>
    <x v="0"/>
    <x v="52"/>
    <x v="52"/>
    <x v="4"/>
    <x v="0"/>
    <x v="2"/>
    <x v="18"/>
    <x v="8"/>
    <n v="2021"/>
    <x v="1"/>
    <s v="N/A"/>
    <n v="0"/>
    <s v="Confirmed"/>
    <s v=""/>
    <x v="1"/>
    <x v="0"/>
    <m/>
    <x v="1"/>
    <x v="0"/>
    <m/>
    <n v="0"/>
    <x v="1"/>
    <s v="In distress"/>
    <n v="20201670.142996579"/>
  </r>
  <r>
    <x v="0"/>
    <x v="53"/>
    <x v="53"/>
    <x v="4"/>
    <x v="0"/>
    <x v="2"/>
    <x v="18"/>
    <x v="8"/>
    <n v="2021"/>
    <x v="1"/>
    <s v="N/A"/>
    <n v="0"/>
    <s v="Confirmed"/>
    <s v=""/>
    <x v="1"/>
    <x v="0"/>
    <m/>
    <x v="1"/>
    <x v="1"/>
    <m/>
    <n v="0"/>
    <x v="0"/>
    <s v=""/>
    <n v="1612434649.6948864"/>
  </r>
  <r>
    <x v="0"/>
    <x v="54"/>
    <x v="54"/>
    <x v="5"/>
    <x v="0"/>
    <x v="2"/>
    <x v="18"/>
    <x v="8"/>
    <n v="2021"/>
    <x v="1"/>
    <s v="N/A"/>
    <n v="0"/>
    <s v="Confirmed"/>
    <s v=""/>
    <x v="1"/>
    <x v="0"/>
    <m/>
    <x v="0"/>
    <x v="0"/>
    <m/>
    <n v="0"/>
    <x v="0"/>
    <s v="Moderate"/>
    <n v="78203134.118229344"/>
  </r>
  <r>
    <x v="0"/>
    <x v="55"/>
    <x v="55"/>
    <x v="5"/>
    <x v="0"/>
    <x v="2"/>
    <x v="18"/>
    <x v="8"/>
    <n v="2021"/>
    <x v="1"/>
    <s v="N/A"/>
    <n v="0"/>
    <s v="Confirmed"/>
    <s v=""/>
    <x v="1"/>
    <x v="0"/>
    <m/>
    <x v="0"/>
    <x v="0"/>
    <m/>
    <n v="2"/>
    <x v="1"/>
    <s v="High"/>
    <n v="9151637.7411015611"/>
  </r>
  <r>
    <x v="0"/>
    <x v="56"/>
    <x v="56"/>
    <x v="4"/>
    <x v="0"/>
    <x v="2"/>
    <x v="18"/>
    <x v="8"/>
    <n v="2021"/>
    <x v="1"/>
    <s v="N/A"/>
    <n v="0"/>
    <s v="Confirmed"/>
    <s v=""/>
    <x v="1"/>
    <x v="0"/>
    <m/>
    <x v="1"/>
    <x v="0"/>
    <m/>
    <n v="0"/>
    <x v="1"/>
    <s v="Moderate"/>
    <n v="142455920.02856269"/>
  </r>
  <r>
    <x v="0"/>
    <x v="57"/>
    <x v="57"/>
    <x v="4"/>
    <x v="0"/>
    <x v="2"/>
    <x v="18"/>
    <x v="8"/>
    <n v="2021"/>
    <x v="1"/>
    <s v="N/A"/>
    <n v="4969926"/>
    <s v="Confirmed"/>
    <s v=""/>
    <x v="1"/>
    <x v="0"/>
    <m/>
    <x v="2"/>
    <x v="0"/>
    <m/>
    <n v="1"/>
    <x v="1"/>
    <s v="High"/>
    <n v="85611818.171245083"/>
  </r>
  <r>
    <x v="0"/>
    <x v="58"/>
    <x v="58"/>
    <x v="4"/>
    <x v="0"/>
    <x v="2"/>
    <x v="18"/>
    <x v="8"/>
    <n v="2021"/>
    <x v="1"/>
    <s v="N/A"/>
    <n v="0"/>
    <s v="Confirmed"/>
    <s v=""/>
    <x v="1"/>
    <x v="0"/>
    <m/>
    <x v="2"/>
    <x v="0"/>
    <m/>
    <n v="0"/>
    <x v="0"/>
    <s v="Low"/>
    <n v="680289736.30082119"/>
  </r>
  <r>
    <x v="0"/>
    <x v="59"/>
    <x v="59"/>
    <x v="0"/>
    <x v="0"/>
    <x v="2"/>
    <x v="18"/>
    <x v="8"/>
    <n v="2021"/>
    <x v="1"/>
    <s v="N/A"/>
    <n v="1200000"/>
    <s v="Confirmed"/>
    <s v=""/>
    <x v="1"/>
    <x v="0"/>
    <m/>
    <x v="2"/>
    <x v="0"/>
    <m/>
    <n v="0"/>
    <x v="0"/>
    <s v="N/A"/>
    <n v="26554332750.47023"/>
  </r>
  <r>
    <x v="0"/>
    <x v="60"/>
    <x v="60"/>
    <x v="6"/>
    <x v="0"/>
    <x v="2"/>
    <x v="18"/>
    <x v="8"/>
    <n v="2021"/>
    <x v="1"/>
    <s v="N/A"/>
    <n v="0"/>
    <s v="Confirmed"/>
    <s v=""/>
    <x v="1"/>
    <x v="0"/>
    <m/>
    <x v="2"/>
    <x v="0"/>
    <m/>
    <n v="0"/>
    <x v="0"/>
    <s v="N/A"/>
    <n v="14745961064.890842"/>
  </r>
  <r>
    <x v="0"/>
    <x v="61"/>
    <x v="61"/>
    <x v="2"/>
    <x v="0"/>
    <x v="2"/>
    <x v="18"/>
    <x v="8"/>
    <n v="2021"/>
    <x v="1"/>
    <s v="N/A"/>
    <n v="0"/>
    <s v="Confirmed"/>
    <s v=""/>
    <x v="1"/>
    <x v="0"/>
    <m/>
    <x v="2"/>
    <x v="1"/>
    <m/>
    <n v="0"/>
    <x v="0"/>
    <s v="N/A"/>
    <n v="18194076299.786381"/>
  </r>
  <r>
    <x v="0"/>
    <x v="62"/>
    <x v="62"/>
    <x v="2"/>
    <x v="0"/>
    <x v="2"/>
    <x v="18"/>
    <x v="8"/>
    <n v="2021"/>
    <x v="1"/>
    <s v="N/A"/>
    <n v="0"/>
    <s v="Confirmed"/>
    <s v=""/>
    <x v="1"/>
    <x v="0"/>
    <m/>
    <x v="1"/>
    <x v="1"/>
    <m/>
    <n v="0"/>
    <x v="0"/>
    <s v="N/A"/>
    <n v="4428819387.769825"/>
  </r>
  <r>
    <x v="0"/>
    <x v="63"/>
    <x v="63"/>
    <x v="4"/>
    <x v="0"/>
    <x v="2"/>
    <x v="18"/>
    <x v="8"/>
    <n v="2021"/>
    <x v="1"/>
    <s v="N/A"/>
    <n v="0"/>
    <s v="Confirmed"/>
    <s v=""/>
    <x v="1"/>
    <x v="0"/>
    <m/>
    <x v="1"/>
    <x v="1"/>
    <m/>
    <n v="0"/>
    <x v="1"/>
    <s v=""/>
    <n v="611739560.62679195"/>
  </r>
  <r>
    <x v="0"/>
    <x v="64"/>
    <x v="64"/>
    <x v="2"/>
    <x v="0"/>
    <x v="2"/>
    <x v="18"/>
    <x v="8"/>
    <n v="2021"/>
    <x v="1"/>
    <s v="N/A"/>
    <n v="0"/>
    <s v="Confirmed"/>
    <s v=""/>
    <x v="1"/>
    <x v="0"/>
    <m/>
    <x v="1"/>
    <x v="1"/>
    <m/>
    <n v="0"/>
    <x v="0"/>
    <s v="N/A"/>
    <n v="1617913383.0481031"/>
  </r>
  <r>
    <x v="0"/>
    <x v="65"/>
    <x v="65"/>
    <x v="1"/>
    <x v="0"/>
    <x v="2"/>
    <x v="18"/>
    <x v="8"/>
    <n v="2021"/>
    <x v="1"/>
    <s v="N/A"/>
    <n v="0"/>
    <s v="Confirmed"/>
    <s v=""/>
    <x v="1"/>
    <x v="0"/>
    <m/>
    <x v="1"/>
    <x v="1"/>
    <m/>
    <n v="0"/>
    <x v="0"/>
    <s v=""/>
    <n v="3074419112.4562683"/>
  </r>
  <r>
    <x v="0"/>
    <x v="66"/>
    <x v="66"/>
    <x v="3"/>
    <x v="0"/>
    <x v="2"/>
    <x v="18"/>
    <x v="8"/>
    <n v="2021"/>
    <x v="1"/>
    <s v="N/A"/>
    <n v="0"/>
    <s v="Confirmed"/>
    <s v=""/>
    <x v="1"/>
    <x v="0"/>
    <m/>
    <x v="2"/>
    <x v="0"/>
    <m/>
    <n v="0"/>
    <x v="0"/>
    <s v="High"/>
    <n v="1914014279.8929913"/>
  </r>
  <r>
    <x v="0"/>
    <x v="67"/>
    <x v="67"/>
    <x v="6"/>
    <x v="0"/>
    <x v="2"/>
    <x v="18"/>
    <x v="8"/>
    <n v="2021"/>
    <x v="1"/>
    <s v="N/A"/>
    <n v="0"/>
    <s v="Confirmed"/>
    <s v=""/>
    <x v="1"/>
    <x v="0"/>
    <m/>
    <x v="2"/>
    <x v="0"/>
    <m/>
    <n v="0"/>
    <x v="1"/>
    <s v="High"/>
    <n v="17422005.762907442"/>
  </r>
  <r>
    <x v="0"/>
    <x v="68"/>
    <x v="68"/>
    <x v="6"/>
    <x v="0"/>
    <x v="2"/>
    <x v="18"/>
    <x v="8"/>
    <n v="2021"/>
    <x v="1"/>
    <s v="N/A"/>
    <n v="0"/>
    <s v="Confirmed"/>
    <s v=""/>
    <x v="1"/>
    <x v="0"/>
    <m/>
    <x v="0"/>
    <x v="0"/>
    <m/>
    <n v="0"/>
    <x v="0"/>
    <s v="N/A"/>
    <s v=""/>
  </r>
  <r>
    <x v="0"/>
    <x v="69"/>
    <x v="69"/>
    <x v="1"/>
    <x v="0"/>
    <x v="2"/>
    <x v="18"/>
    <x v="8"/>
    <n v="2021"/>
    <x v="1"/>
    <s v="N/A"/>
    <n v="0"/>
    <s v="Confirmed"/>
    <s v=""/>
    <x v="1"/>
    <x v="0"/>
    <m/>
    <x v="1"/>
    <x v="0"/>
    <m/>
    <n v="0"/>
    <x v="0"/>
    <s v="…"/>
    <s v=""/>
  </r>
  <r>
    <x v="0"/>
    <x v="70"/>
    <x v="70"/>
    <x v="1"/>
    <x v="0"/>
    <x v="2"/>
    <x v="18"/>
    <x v="8"/>
    <n v="2021"/>
    <x v="1"/>
    <s v="N/A"/>
    <n v="0"/>
    <s v="Confirmed"/>
    <s v=""/>
    <x v="1"/>
    <x v="0"/>
    <m/>
    <x v="2"/>
    <x v="0"/>
    <m/>
    <n v="2"/>
    <x v="0"/>
    <s v="Moderate"/>
    <n v="231506834.84347546"/>
  </r>
  <r>
    <x v="0"/>
    <x v="71"/>
    <x v="71"/>
    <x v="6"/>
    <x v="0"/>
    <x v="2"/>
    <x v="18"/>
    <x v="8"/>
    <n v="2021"/>
    <x v="1"/>
    <s v="N/A"/>
    <n v="0"/>
    <s v="Confirmed"/>
    <s v=""/>
    <x v="1"/>
    <x v="0"/>
    <m/>
    <x v="2"/>
    <x v="0"/>
    <m/>
    <n v="0"/>
    <x v="0"/>
    <s v="High"/>
    <n v="156059428.62944782"/>
  </r>
  <r>
    <x v="0"/>
    <x v="72"/>
    <x v="72"/>
    <x v="2"/>
    <x v="0"/>
    <x v="2"/>
    <x v="18"/>
    <x v="8"/>
    <n v="2021"/>
    <x v="1"/>
    <s v="N/A"/>
    <n v="0"/>
    <s v="Confirmed"/>
    <s v=""/>
    <x v="1"/>
    <x v="0"/>
    <m/>
    <x v="1"/>
    <x v="1"/>
    <m/>
    <n v="0"/>
    <x v="0"/>
    <s v="N/A"/>
    <n v="2355391507.1635861"/>
  </r>
  <r>
    <x v="0"/>
    <x v="73"/>
    <x v="73"/>
    <x v="3"/>
    <x v="0"/>
    <x v="2"/>
    <x v="18"/>
    <x v="8"/>
    <n v="2021"/>
    <x v="1"/>
    <s v="N/A"/>
    <n v="0"/>
    <s v="Confirmed"/>
    <s v=""/>
    <x v="1"/>
    <x v="0"/>
    <m/>
    <x v="2"/>
    <x v="0"/>
    <m/>
    <n v="0"/>
    <x v="0"/>
    <s v="Moderate"/>
    <n v="152760919.7684873"/>
  </r>
  <r>
    <x v="0"/>
    <x v="74"/>
    <x v="74"/>
    <x v="5"/>
    <x v="0"/>
    <x v="2"/>
    <x v="18"/>
    <x v="8"/>
    <n v="2021"/>
    <x v="1"/>
    <s v="N/A"/>
    <n v="0"/>
    <s v="Confirmed"/>
    <s v=""/>
    <x v="1"/>
    <x v="0"/>
    <m/>
    <x v="0"/>
    <x v="0"/>
    <m/>
    <n v="0"/>
    <x v="0"/>
    <s v="High"/>
    <n v="55072006.864440605"/>
  </r>
  <r>
    <x v="0"/>
    <x v="75"/>
    <x v="75"/>
    <x v="2"/>
    <x v="0"/>
    <x v="2"/>
    <x v="18"/>
    <x v="8"/>
    <n v="2021"/>
    <x v="1"/>
    <s v="N/A"/>
    <n v="0"/>
    <s v="Confirmed"/>
    <s v=""/>
    <x v="1"/>
    <x v="0"/>
    <m/>
    <x v="1"/>
    <x v="1"/>
    <m/>
    <n v="0"/>
    <x v="0"/>
    <s v="N/A"/>
    <s v=""/>
  </r>
  <r>
    <x v="0"/>
    <x v="76"/>
    <x v="76"/>
    <x v="3"/>
    <x v="0"/>
    <x v="2"/>
    <x v="18"/>
    <x v="8"/>
    <n v="2021"/>
    <x v="1"/>
    <s v="N/A"/>
    <n v="0"/>
    <s v="Confirmed"/>
    <s v=""/>
    <x v="1"/>
    <x v="0"/>
    <m/>
    <x v="0"/>
    <x v="0"/>
    <m/>
    <n v="2"/>
    <x v="0"/>
    <s v="Moderate"/>
    <n v="206914157.05429548"/>
  </r>
  <r>
    <x v="0"/>
    <x v="77"/>
    <x v="77"/>
    <x v="3"/>
    <x v="0"/>
    <x v="2"/>
    <x v="18"/>
    <x v="8"/>
    <n v="2021"/>
    <x v="1"/>
    <s v="N/A"/>
    <n v="0"/>
    <s v="Confirmed"/>
    <s v=""/>
    <x v="1"/>
    <x v="0"/>
    <m/>
    <x v="0"/>
    <x v="0"/>
    <m/>
    <n v="2"/>
    <x v="0"/>
    <s v="High"/>
    <n v="185999915.02066413"/>
  </r>
  <r>
    <x v="0"/>
    <x v="78"/>
    <x v="78"/>
    <x v="6"/>
    <x v="0"/>
    <x v="2"/>
    <x v="18"/>
    <x v="8"/>
    <n v="2021"/>
    <x v="1"/>
    <s v="N/A"/>
    <n v="0"/>
    <s v="Confirmed"/>
    <s v=""/>
    <x v="1"/>
    <x v="0"/>
    <m/>
    <x v="1"/>
    <x v="1"/>
    <m/>
    <n v="0"/>
    <x v="0"/>
    <s v=""/>
    <n v="6893755763.2501726"/>
  </r>
  <r>
    <x v="0"/>
    <x v="79"/>
    <x v="79"/>
    <x v="0"/>
    <x v="0"/>
    <x v="2"/>
    <x v="18"/>
    <x v="8"/>
    <n v="2021"/>
    <x v="1"/>
    <s v="N/A"/>
    <n v="0"/>
    <s v="Confirmed"/>
    <s v=""/>
    <x v="1"/>
    <x v="0"/>
    <m/>
    <x v="1"/>
    <x v="0"/>
    <m/>
    <n v="0"/>
    <x v="1"/>
    <s v="High"/>
    <n v="354560231.58276606"/>
  </r>
  <r>
    <x v="0"/>
    <x v="80"/>
    <x v="80"/>
    <x v="5"/>
    <x v="0"/>
    <x v="2"/>
    <x v="18"/>
    <x v="8"/>
    <n v="2021"/>
    <x v="1"/>
    <s v="N/A"/>
    <n v="0"/>
    <s v="Confirmed"/>
    <s v=""/>
    <x v="1"/>
    <x v="0"/>
    <m/>
    <x v="0"/>
    <x v="0"/>
    <m/>
    <n v="1"/>
    <x v="0"/>
    <s v="Moderate"/>
    <n v="188169167.56540567"/>
  </r>
  <r>
    <x v="0"/>
    <x v="81"/>
    <x v="81"/>
    <x v="6"/>
    <x v="0"/>
    <x v="2"/>
    <x v="18"/>
    <x v="8"/>
    <n v="2021"/>
    <x v="1"/>
    <s v="N/A"/>
    <n v="0"/>
    <s v="Confirmed"/>
    <s v=""/>
    <x v="1"/>
    <x v="0"/>
    <m/>
    <x v="1"/>
    <x v="0"/>
    <m/>
    <n v="0"/>
    <x v="1"/>
    <s v=""/>
    <n v="16312106.556340856"/>
  </r>
  <r>
    <x v="0"/>
    <x v="82"/>
    <x v="82"/>
    <x v="5"/>
    <x v="0"/>
    <x v="2"/>
    <x v="18"/>
    <x v="8"/>
    <n v="2021"/>
    <x v="1"/>
    <s v="N/A"/>
    <n v="0"/>
    <s v="Confirmed"/>
    <s v=""/>
    <x v="1"/>
    <x v="0"/>
    <m/>
    <x v="2"/>
    <x v="0"/>
    <m/>
    <n v="2"/>
    <x v="0"/>
    <s v="High"/>
    <n v="86083833.534053758"/>
  </r>
  <r>
    <x v="0"/>
    <x v="83"/>
    <x v="83"/>
    <x v="3"/>
    <x v="0"/>
    <x v="2"/>
    <x v="18"/>
    <x v="8"/>
    <n v="2021"/>
    <x v="1"/>
    <s v="N/A"/>
    <n v="0"/>
    <s v="Confirmed"/>
    <s v=""/>
    <x v="1"/>
    <x v="0"/>
    <m/>
    <x v="1"/>
    <x v="1"/>
    <m/>
    <n v="0"/>
    <x v="1"/>
    <s v="N/A"/>
    <n v="357220835.93762809"/>
  </r>
  <r>
    <x v="0"/>
    <x v="84"/>
    <x v="84"/>
    <x v="4"/>
    <x v="0"/>
    <x v="2"/>
    <x v="18"/>
    <x v="8"/>
    <n v="2021"/>
    <x v="1"/>
    <s v="N/A"/>
    <n v="0"/>
    <s v="Confirmed"/>
    <s v=""/>
    <x v="1"/>
    <x v="0"/>
    <m/>
    <x v="1"/>
    <x v="1"/>
    <m/>
    <n v="0"/>
    <x v="0"/>
    <s v=""/>
    <n v="32831598153.796387"/>
  </r>
  <r>
    <x v="0"/>
    <x v="85"/>
    <x v="85"/>
    <x v="6"/>
    <x v="0"/>
    <x v="2"/>
    <x v="18"/>
    <x v="8"/>
    <n v="2021"/>
    <x v="1"/>
    <s v="N/A"/>
    <n v="0"/>
    <s v="Confirmed"/>
    <s v=""/>
    <x v="1"/>
    <x v="0"/>
    <m/>
    <x v="2"/>
    <x v="0"/>
    <m/>
    <n v="0"/>
    <x v="1"/>
    <s v="High"/>
    <n v="12329056.093798399"/>
  </r>
  <r>
    <x v="0"/>
    <x v="86"/>
    <x v="86"/>
    <x v="1"/>
    <x v="0"/>
    <x v="2"/>
    <x v="18"/>
    <x v="8"/>
    <n v="2021"/>
    <x v="1"/>
    <s v="N/A"/>
    <n v="0"/>
    <s v="Confirmed"/>
    <s v=""/>
    <x v="1"/>
    <x v="0"/>
    <m/>
    <x v="1"/>
    <x v="0"/>
    <m/>
    <n v="0"/>
    <x v="0"/>
    <s v="Low"/>
    <n v="426639742.85328001"/>
  </r>
  <r>
    <x v="0"/>
    <x v="87"/>
    <x v="87"/>
    <x v="6"/>
    <x v="0"/>
    <x v="2"/>
    <x v="18"/>
    <x v="8"/>
    <n v="2021"/>
    <x v="1"/>
    <s v="N/A"/>
    <n v="0"/>
    <s v="Confirmed"/>
    <s v=""/>
    <x v="1"/>
    <x v="0"/>
    <m/>
    <x v="2"/>
    <x v="0"/>
    <m/>
    <n v="0"/>
    <x v="0"/>
    <s v="…"/>
    <n v="288519671.85870522"/>
  </r>
  <r>
    <x v="0"/>
    <x v="88"/>
    <x v="88"/>
    <x v="1"/>
    <x v="0"/>
    <x v="2"/>
    <x v="18"/>
    <x v="8"/>
    <n v="2021"/>
    <x v="1"/>
    <s v="N/A"/>
    <n v="0"/>
    <s v="Confirmed"/>
    <s v=""/>
    <x v="1"/>
    <x v="0"/>
    <m/>
    <x v="1"/>
    <x v="1"/>
    <m/>
    <n v="0"/>
    <x v="0"/>
    <s v="N/A"/>
    <n v="275606560.78491527"/>
  </r>
  <r>
    <x v="0"/>
    <x v="89"/>
    <x v="89"/>
    <x v="2"/>
    <x v="0"/>
    <x v="2"/>
    <x v="18"/>
    <x v="8"/>
    <n v="2021"/>
    <x v="1"/>
    <s v="N/A"/>
    <n v="0"/>
    <s v="Confirmed"/>
    <s v=""/>
    <x v="1"/>
    <x v="0"/>
    <m/>
    <x v="2"/>
    <x v="0"/>
    <m/>
    <n v="0"/>
    <x v="0"/>
    <s v="N/A"/>
    <n v="2530937679.3725696"/>
  </r>
  <r>
    <x v="0"/>
    <x v="90"/>
    <x v="90"/>
    <x v="3"/>
    <x v="0"/>
    <x v="2"/>
    <x v="18"/>
    <x v="8"/>
    <n v="2021"/>
    <x v="1"/>
    <s v="N/A"/>
    <n v="0"/>
    <s v="Confirmed"/>
    <s v=""/>
    <x v="1"/>
    <x v="0"/>
    <m/>
    <x v="0"/>
    <x v="0"/>
    <m/>
    <n v="0"/>
    <x v="0"/>
    <s v="In distress"/>
    <n v="251432156.86255455"/>
  </r>
  <r>
    <x v="0"/>
    <x v="91"/>
    <x v="91"/>
    <x v="6"/>
    <x v="0"/>
    <x v="2"/>
    <x v="18"/>
    <x v="8"/>
    <n v="2021"/>
    <x v="1"/>
    <s v="N/A"/>
    <n v="0"/>
    <s v="Confirmed"/>
    <s v=""/>
    <x v="1"/>
    <x v="0"/>
    <m/>
    <x v="2"/>
    <x v="0"/>
    <m/>
    <n v="0"/>
    <x v="0"/>
    <s v="Low"/>
    <n v="471534500.60109437"/>
  </r>
  <r>
    <x v="0"/>
    <x v="92"/>
    <x v="92"/>
    <x v="3"/>
    <x v="0"/>
    <x v="2"/>
    <x v="18"/>
    <x v="8"/>
    <n v="2021"/>
    <x v="1"/>
    <s v="N/A"/>
    <n v="0"/>
    <s v="Confirmed"/>
    <s v=""/>
    <x v="1"/>
    <x v="0"/>
    <m/>
    <x v="1"/>
    <x v="1"/>
    <m/>
    <n v="0"/>
    <x v="0"/>
    <s v=""/>
    <n v="531677611.80447447"/>
  </r>
  <r>
    <x v="0"/>
    <x v="93"/>
    <x v="93"/>
    <x v="6"/>
    <x v="0"/>
    <x v="2"/>
    <x v="18"/>
    <x v="8"/>
    <n v="2021"/>
    <x v="1"/>
    <s v="N/A"/>
    <n v="0"/>
    <s v="Confirmed"/>
    <s v=""/>
    <x v="1"/>
    <x v="0"/>
    <m/>
    <x v="3"/>
    <x v="1"/>
    <m/>
    <n v="0"/>
    <x v="1"/>
    <s v=""/>
    <n v="8528751.6418357007"/>
  </r>
  <r>
    <x v="0"/>
    <x v="94"/>
    <x v="94"/>
    <x v="0"/>
    <x v="0"/>
    <x v="2"/>
    <x v="18"/>
    <x v="8"/>
    <n v="2021"/>
    <x v="1"/>
    <s v="N/A"/>
    <n v="175000"/>
    <s v="Confirmed"/>
    <s v=""/>
    <x v="1"/>
    <x v="0"/>
    <m/>
    <x v="2"/>
    <x v="0"/>
    <m/>
    <n v="0"/>
    <x v="0"/>
    <s v="Low"/>
    <n v="407084543.19089872"/>
  </r>
  <r>
    <x v="0"/>
    <x v="95"/>
    <x v="95"/>
    <x v="4"/>
    <x v="0"/>
    <x v="2"/>
    <x v="18"/>
    <x v="8"/>
    <n v="2021"/>
    <x v="1"/>
    <s v="N/A"/>
    <n v="1278918"/>
    <s v="Confirmed"/>
    <s v=""/>
    <x v="1"/>
    <x v="0"/>
    <m/>
    <x v="2"/>
    <x v="0"/>
    <m/>
    <n v="0"/>
    <x v="0"/>
    <s v="Moderate"/>
    <n v="671998341.93592453"/>
  </r>
  <r>
    <x v="0"/>
    <x v="96"/>
    <x v="96"/>
    <x v="5"/>
    <x v="0"/>
    <x v="2"/>
    <x v="18"/>
    <x v="8"/>
    <n v="2021"/>
    <x v="1"/>
    <s v="N/A"/>
    <n v="0"/>
    <s v="Confirmed"/>
    <s v=""/>
    <x v="1"/>
    <x v="0"/>
    <m/>
    <x v="0"/>
    <x v="0"/>
    <m/>
    <n v="1"/>
    <x v="0"/>
    <s v="Moderate"/>
    <n v="226203289.67158964"/>
  </r>
  <r>
    <x v="0"/>
    <x v="97"/>
    <x v="97"/>
    <x v="5"/>
    <x v="0"/>
    <x v="2"/>
    <x v="18"/>
    <x v="8"/>
    <n v="2021"/>
    <x v="1"/>
    <s v="N/A"/>
    <n v="0"/>
    <s v="Confirmed"/>
    <s v=""/>
    <x v="1"/>
    <x v="0"/>
    <m/>
    <x v="2"/>
    <x v="0"/>
    <m/>
    <n v="3"/>
    <x v="0"/>
    <s v="…"/>
    <n v="2438881113.1244688"/>
  </r>
  <r>
    <x v="0"/>
    <x v="98"/>
    <x v="98"/>
    <x v="1"/>
    <x v="0"/>
    <x v="2"/>
    <x v="18"/>
    <x v="8"/>
    <n v="2021"/>
    <x v="1"/>
    <s v="N/A"/>
    <n v="0"/>
    <s v="Confirmed"/>
    <s v=""/>
    <x v="1"/>
    <x v="0"/>
    <m/>
    <x v="1"/>
    <x v="1"/>
    <m/>
    <n v="0"/>
    <x v="0"/>
    <s v=""/>
    <n v="476517795.73174149"/>
  </r>
  <r>
    <x v="0"/>
    <x v="99"/>
    <x v="99"/>
    <x v="0"/>
    <x v="0"/>
    <x v="2"/>
    <x v="18"/>
    <x v="8"/>
    <n v="2021"/>
    <x v="1"/>
    <s v="N/A"/>
    <n v="0"/>
    <s v="Confirmed"/>
    <s v=""/>
    <x v="1"/>
    <x v="0"/>
    <m/>
    <x v="2"/>
    <x v="0"/>
    <m/>
    <n v="0"/>
    <x v="0"/>
    <s v="…"/>
    <n v="3233351297.7679496"/>
  </r>
  <r>
    <x v="0"/>
    <x v="100"/>
    <x v="100"/>
    <x v="4"/>
    <x v="0"/>
    <x v="2"/>
    <x v="18"/>
    <x v="8"/>
    <n v="2021"/>
    <x v="1"/>
    <s v="N/A"/>
    <n v="0"/>
    <s v="Confirmed"/>
    <s v=""/>
    <x v="1"/>
    <x v="0"/>
    <m/>
    <x v="3"/>
    <x v="1"/>
    <m/>
    <n v="0"/>
    <x v="1"/>
    <s v=""/>
    <n v="18180646.808608256"/>
  </r>
  <r>
    <x v="0"/>
    <x v="101"/>
    <x v="101"/>
    <x v="4"/>
    <x v="0"/>
    <x v="2"/>
    <x v="18"/>
    <x v="8"/>
    <n v="2021"/>
    <x v="1"/>
    <s v="N/A"/>
    <n v="0"/>
    <s v="Confirmed"/>
    <s v=""/>
    <x v="1"/>
    <x v="0"/>
    <m/>
    <x v="1"/>
    <x v="1"/>
    <m/>
    <n v="0"/>
    <x v="0"/>
    <s v="N/A"/>
    <n v="3020530707.3485303"/>
  </r>
  <r>
    <x v="0"/>
    <x v="102"/>
    <x v="102"/>
    <x v="6"/>
    <x v="0"/>
    <x v="2"/>
    <x v="18"/>
    <x v="8"/>
    <n v="2021"/>
    <x v="1"/>
    <s v="N/A"/>
    <n v="0"/>
    <s v="Confirmed"/>
    <s v=""/>
    <x v="1"/>
    <x v="0"/>
    <m/>
    <x v="2"/>
    <x v="0"/>
    <m/>
    <n v="1"/>
    <x v="1"/>
    <s v="High"/>
    <n v="384406316.46074712"/>
  </r>
  <r>
    <x v="0"/>
    <x v="103"/>
    <x v="103"/>
    <x v="4"/>
    <x v="0"/>
    <x v="2"/>
    <x v="18"/>
    <x v="8"/>
    <n v="2021"/>
    <x v="1"/>
    <s v="N/A"/>
    <n v="0"/>
    <s v="Confirmed"/>
    <s v=""/>
    <x v="1"/>
    <x v="0"/>
    <m/>
    <x v="1"/>
    <x v="1"/>
    <m/>
    <n v="0"/>
    <x v="0"/>
    <s v=""/>
    <n v="1218747108.9554784"/>
  </r>
  <r>
    <x v="0"/>
    <x v="104"/>
    <x v="104"/>
    <x v="4"/>
    <x v="0"/>
    <x v="2"/>
    <x v="18"/>
    <x v="8"/>
    <n v="2021"/>
    <x v="1"/>
    <s v="N/A"/>
    <n v="0"/>
    <s v="Confirmed"/>
    <s v=""/>
    <x v="1"/>
    <x v="0"/>
    <m/>
    <x v="1"/>
    <x v="1"/>
    <m/>
    <n v="0"/>
    <x v="0"/>
    <s v=""/>
    <n v="7392665952.5895758"/>
  </r>
  <r>
    <x v="0"/>
    <x v="105"/>
    <x v="105"/>
    <x v="6"/>
    <x v="0"/>
    <x v="2"/>
    <x v="18"/>
    <x v="8"/>
    <n v="2021"/>
    <x v="1"/>
    <s v="N/A"/>
    <n v="0"/>
    <s v="Confirmed"/>
    <s v=""/>
    <x v="1"/>
    <x v="0"/>
    <m/>
    <x v="2"/>
    <x v="0"/>
    <m/>
    <n v="0"/>
    <x v="0"/>
    <s v="N/A"/>
    <n v="4754985988.6004429"/>
  </r>
  <r>
    <x v="0"/>
    <x v="106"/>
    <x v="106"/>
    <x v="1"/>
    <x v="0"/>
    <x v="2"/>
    <x v="18"/>
    <x v="8"/>
    <n v="2021"/>
    <x v="1"/>
    <s v="N/A"/>
    <n v="0"/>
    <s v="Confirmed"/>
    <s v=""/>
    <x v="1"/>
    <x v="0"/>
    <m/>
    <x v="3"/>
    <x v="1"/>
    <m/>
    <n v="0"/>
    <x v="0"/>
    <s v=""/>
    <n v="26422210443.037273"/>
  </r>
  <r>
    <x v="0"/>
    <x v="107"/>
    <x v="107"/>
    <x v="1"/>
    <x v="0"/>
    <x v="2"/>
    <x v="18"/>
    <x v="8"/>
    <n v="2021"/>
    <x v="1"/>
    <s v="N/A"/>
    <n v="0"/>
    <s v="Confirmed"/>
    <s v=""/>
    <x v="1"/>
    <x v="0"/>
    <m/>
    <x v="1"/>
    <x v="1"/>
    <m/>
    <n v="0"/>
    <x v="0"/>
    <s v=""/>
    <n v="10696495313.15033"/>
  </r>
  <r>
    <x v="0"/>
    <x v="108"/>
    <x v="108"/>
    <x v="1"/>
    <x v="0"/>
    <x v="2"/>
    <x v="18"/>
    <x v="8"/>
    <n v="2021"/>
    <x v="1"/>
    <s v="N/A"/>
    <n v="0"/>
    <s v="Confirmed"/>
    <s v=""/>
    <x v="1"/>
    <x v="0"/>
    <m/>
    <x v="1"/>
    <x v="1"/>
    <m/>
    <n v="0"/>
    <x v="0"/>
    <s v=""/>
    <n v="52769713433.240509"/>
  </r>
  <r>
    <x v="0"/>
    <x v="109"/>
    <x v="109"/>
    <x v="3"/>
    <x v="0"/>
    <x v="2"/>
    <x v="18"/>
    <x v="8"/>
    <n v="2021"/>
    <x v="1"/>
    <s v="N/A"/>
    <n v="0"/>
    <s v="Confirmed"/>
    <s v=""/>
    <x v="1"/>
    <x v="0"/>
    <m/>
    <x v="0"/>
    <x v="0"/>
    <m/>
    <n v="0"/>
    <x v="0"/>
    <s v="Moderate"/>
    <n v="225799814.51943746"/>
  </r>
  <r>
    <x v="0"/>
    <x v="110"/>
    <x v="110"/>
    <x v="6"/>
    <x v="0"/>
    <x v="2"/>
    <x v="18"/>
    <x v="8"/>
    <n v="2021"/>
    <x v="1"/>
    <s v="N/A"/>
    <n v="0"/>
    <s v="Confirmed"/>
    <s v=""/>
    <x v="1"/>
    <x v="0"/>
    <m/>
    <x v="2"/>
    <x v="0"/>
    <m/>
    <n v="0"/>
    <x v="1"/>
    <s v="High"/>
    <n v="32192988.027009469"/>
  </r>
  <r>
    <x v="0"/>
    <x v="111"/>
    <x v="111"/>
    <x v="5"/>
    <x v="0"/>
    <x v="2"/>
    <x v="18"/>
    <x v="8"/>
    <n v="2021"/>
    <x v="1"/>
    <s v="N/A"/>
    <n v="0"/>
    <s v="Confirmed"/>
    <s v=""/>
    <x v="1"/>
    <x v="0"/>
    <m/>
    <x v="2"/>
    <x v="0"/>
    <m/>
    <n v="0"/>
    <x v="1"/>
    <s v="In distress"/>
    <n v="11633535.136477679"/>
  </r>
  <r>
    <x v="0"/>
    <x v="112"/>
    <x v="112"/>
    <x v="5"/>
    <x v="0"/>
    <x v="2"/>
    <x v="18"/>
    <x v="8"/>
    <n v="2021"/>
    <x v="1"/>
    <s v="N/A"/>
    <n v="0"/>
    <s v="Confirmed"/>
    <s v=""/>
    <x v="1"/>
    <x v="0"/>
    <m/>
    <x v="2"/>
    <x v="0"/>
    <m/>
    <n v="2"/>
    <x v="0"/>
    <s v="Moderate"/>
    <n v="222008693.93354639"/>
  </r>
  <r>
    <x v="0"/>
    <x v="113"/>
    <x v="113"/>
    <x v="1"/>
    <x v="0"/>
    <x v="2"/>
    <x v="18"/>
    <x v="8"/>
    <n v="2021"/>
    <x v="1"/>
    <s v="N/A"/>
    <n v="0"/>
    <s v="Confirmed"/>
    <s v=""/>
    <x v="1"/>
    <x v="0"/>
    <m/>
    <x v="1"/>
    <x v="1"/>
    <m/>
    <n v="0"/>
    <x v="0"/>
    <s v=""/>
    <n v="2564993795.1894679"/>
  </r>
  <r>
    <x v="0"/>
    <x v="114"/>
    <x v="114"/>
    <x v="3"/>
    <x v="0"/>
    <x v="2"/>
    <x v="18"/>
    <x v="8"/>
    <n v="2021"/>
    <x v="1"/>
    <s v="N/A"/>
    <n v="0"/>
    <s v="Confirmed"/>
    <s v=""/>
    <x v="1"/>
    <x v="0"/>
    <m/>
    <x v="3"/>
    <x v="1"/>
    <m/>
    <n v="0"/>
    <x v="1"/>
    <s v="N/A"/>
    <n v="60237542.945069775"/>
  </r>
  <r>
    <x v="0"/>
    <x v="115"/>
    <x v="115"/>
    <x v="5"/>
    <x v="0"/>
    <x v="2"/>
    <x v="18"/>
    <x v="8"/>
    <n v="2021"/>
    <x v="1"/>
    <s v="N/A"/>
    <n v="0"/>
    <s v="Confirmed"/>
    <s v=""/>
    <x v="1"/>
    <x v="0"/>
    <m/>
    <x v="0"/>
    <x v="0"/>
    <m/>
    <n v="0"/>
    <x v="0"/>
    <s v="High"/>
    <n v="63738640.538260505"/>
  </r>
  <r>
    <x v="0"/>
    <x v="116"/>
    <x v="116"/>
    <x v="6"/>
    <x v="0"/>
    <x v="2"/>
    <x v="18"/>
    <x v="8"/>
    <n v="2021"/>
    <x v="1"/>
    <s v="N/A"/>
    <n v="0"/>
    <s v="Confirmed"/>
    <s v=""/>
    <x v="1"/>
    <x v="0"/>
    <m/>
    <x v="2"/>
    <x v="0"/>
    <m/>
    <n v="0"/>
    <x v="1"/>
    <s v="Moderate"/>
    <n v="49012774.055630356"/>
  </r>
  <r>
    <x v="0"/>
    <x v="117"/>
    <x v="117"/>
    <x v="3"/>
    <x v="0"/>
    <x v="2"/>
    <x v="18"/>
    <x v="8"/>
    <n v="2021"/>
    <x v="1"/>
    <s v="N/A"/>
    <n v="0"/>
    <s v="Confirmed"/>
    <s v=""/>
    <x v="1"/>
    <x v="0"/>
    <m/>
    <x v="0"/>
    <x v="0"/>
    <m/>
    <n v="1"/>
    <x v="0"/>
    <s v="In distress"/>
    <s v=""/>
  </r>
  <r>
    <x v="0"/>
    <x v="118"/>
    <x v="118"/>
    <x v="3"/>
    <x v="0"/>
    <x v="2"/>
    <x v="18"/>
    <x v="8"/>
    <n v="2021"/>
    <x v="1"/>
    <s v="N/A"/>
    <n v="0"/>
    <s v="Confirmed"/>
    <s v=""/>
    <x v="1"/>
    <x v="0"/>
    <m/>
    <x v="1"/>
    <x v="1"/>
    <m/>
    <n v="0"/>
    <x v="0"/>
    <s v="N/A"/>
    <n v="16429121142.784708"/>
  </r>
  <r>
    <x v="0"/>
    <x v="119"/>
    <x v="119"/>
    <x v="3"/>
    <x v="0"/>
    <x v="2"/>
    <x v="18"/>
    <x v="8"/>
    <n v="2021"/>
    <x v="1"/>
    <s v="N/A"/>
    <n v="0"/>
    <s v="Confirmed"/>
    <s v=""/>
    <x v="1"/>
    <x v="0"/>
    <m/>
    <x v="0"/>
    <x v="0"/>
    <m/>
    <n v="1"/>
    <x v="0"/>
    <s v="High"/>
    <n v="31684581.76217727"/>
  </r>
  <r>
    <x v="0"/>
    <x v="120"/>
    <x v="120"/>
    <x v="0"/>
    <x v="0"/>
    <x v="2"/>
    <x v="18"/>
    <x v="8"/>
    <n v="2021"/>
    <x v="1"/>
    <s v="N/A"/>
    <n v="0"/>
    <s v="Confirmed"/>
    <s v=""/>
    <x v="1"/>
    <x v="0"/>
    <m/>
    <x v="2"/>
    <x v="0"/>
    <m/>
    <n v="0"/>
    <x v="0"/>
    <s v="N/A"/>
    <n v="1373621563.5182886"/>
  </r>
  <r>
    <x v="0"/>
    <x v="121"/>
    <x v="121"/>
    <x v="4"/>
    <x v="0"/>
    <x v="2"/>
    <x v="18"/>
    <x v="8"/>
    <n v="2021"/>
    <x v="1"/>
    <s v="N/A"/>
    <n v="0"/>
    <s v="Confirmed"/>
    <s v=""/>
    <x v="1"/>
    <x v="0"/>
    <m/>
    <x v="3"/>
    <x v="1"/>
    <m/>
    <n v="0"/>
    <x v="1"/>
    <s v=""/>
    <n v="24214370.889062837"/>
  </r>
  <r>
    <x v="0"/>
    <x v="122"/>
    <x v="122"/>
    <x v="4"/>
    <x v="0"/>
    <x v="2"/>
    <x v="18"/>
    <x v="8"/>
    <n v="2021"/>
    <x v="1"/>
    <s v="N/A"/>
    <n v="0"/>
    <s v="Confirmed"/>
    <s v=""/>
    <x v="1"/>
    <x v="0"/>
    <m/>
    <x v="1"/>
    <x v="0"/>
    <m/>
    <n v="0"/>
    <x v="1"/>
    <s v="…"/>
    <n v="39941279.609447442"/>
  </r>
  <r>
    <x v="0"/>
    <x v="123"/>
    <x v="123"/>
    <x v="4"/>
    <x v="0"/>
    <x v="2"/>
    <x v="18"/>
    <x v="8"/>
    <n v="2021"/>
    <x v="1"/>
    <s v="N/A"/>
    <n v="0"/>
    <s v="Confirmed"/>
    <s v=""/>
    <x v="1"/>
    <x v="0"/>
    <m/>
    <x v="1"/>
    <x v="0"/>
    <m/>
    <n v="0"/>
    <x v="1"/>
    <s v="High"/>
    <n v="24761675.260059897"/>
  </r>
  <r>
    <x v="0"/>
    <x v="124"/>
    <x v="124"/>
    <x v="2"/>
    <x v="0"/>
    <x v="2"/>
    <x v="18"/>
    <x v="8"/>
    <n v="2021"/>
    <x v="1"/>
    <s v="N/A"/>
    <n v="0"/>
    <s v="Confirmed"/>
    <s v=""/>
    <x v="1"/>
    <x v="0"/>
    <m/>
    <x v="2"/>
    <x v="0"/>
    <m/>
    <n v="0"/>
    <x v="0"/>
    <s v="N/A"/>
    <s v=""/>
  </r>
  <r>
    <x v="0"/>
    <x v="125"/>
    <x v="125"/>
    <x v="2"/>
    <x v="0"/>
    <x v="2"/>
    <x v="18"/>
    <x v="8"/>
    <n v="2021"/>
    <x v="1"/>
    <s v="N/A"/>
    <n v="0"/>
    <s v="Confirmed"/>
    <s v=""/>
    <x v="1"/>
    <x v="0"/>
    <m/>
    <x v="0"/>
    <x v="0"/>
    <m/>
    <n v="1"/>
    <x v="0"/>
    <s v="N/A"/>
    <n v="577156172.71229994"/>
  </r>
  <r>
    <x v="0"/>
    <x v="126"/>
    <x v="126"/>
    <x v="6"/>
    <x v="0"/>
    <x v="2"/>
    <x v="18"/>
    <x v="8"/>
    <n v="2021"/>
    <x v="1"/>
    <s v="N/A"/>
    <n v="0"/>
    <s v="Confirmed"/>
    <s v=""/>
    <x v="1"/>
    <x v="0"/>
    <m/>
    <x v="1"/>
    <x v="1"/>
    <m/>
    <n v="0"/>
    <x v="1"/>
    <s v=""/>
    <n v="180052034.19851837"/>
  </r>
  <r>
    <x v="0"/>
    <x v="127"/>
    <x v="127"/>
    <x v="2"/>
    <x v="0"/>
    <x v="2"/>
    <x v="18"/>
    <x v="8"/>
    <n v="2021"/>
    <x v="1"/>
    <s v="N/A"/>
    <n v="0"/>
    <s v="Confirmed"/>
    <s v=""/>
    <x v="1"/>
    <x v="0"/>
    <m/>
    <x v="0"/>
    <x v="0"/>
    <m/>
    <n v="1"/>
    <x v="0"/>
    <s v="N/A"/>
    <s v=""/>
  </r>
  <r>
    <x v="0"/>
    <x v="128"/>
    <x v="128"/>
    <x v="1"/>
    <x v="0"/>
    <x v="2"/>
    <x v="18"/>
    <x v="8"/>
    <n v="2021"/>
    <x v="1"/>
    <s v="N/A"/>
    <n v="0"/>
    <s v="Confirmed"/>
    <s v=""/>
    <x v="1"/>
    <x v="0"/>
    <m/>
    <x v="2"/>
    <x v="0"/>
    <m/>
    <n v="0"/>
    <x v="0"/>
    <s v="High"/>
    <n v="147296124.32232863"/>
  </r>
  <r>
    <x v="0"/>
    <x v="129"/>
    <x v="129"/>
    <x v="3"/>
    <x v="0"/>
    <x v="2"/>
    <x v="18"/>
    <x v="8"/>
    <n v="2021"/>
    <x v="1"/>
    <s v="N/A"/>
    <n v="0"/>
    <s v="Confirmed"/>
    <s v=""/>
    <x v="1"/>
    <x v="0"/>
    <m/>
    <x v="2"/>
    <x v="0"/>
    <m/>
    <n v="0"/>
    <x v="0"/>
    <s v="…"/>
    <n v="890576536.83065879"/>
  </r>
  <r>
    <x v="0"/>
    <x v="130"/>
    <x v="130"/>
    <x v="6"/>
    <x v="0"/>
    <x v="2"/>
    <x v="18"/>
    <x v="8"/>
    <n v="2021"/>
    <x v="1"/>
    <s v="N/A"/>
    <n v="0"/>
    <s v="Confirmed"/>
    <s v=""/>
    <x v="1"/>
    <x v="0"/>
    <m/>
    <x v="1"/>
    <x v="1"/>
    <m/>
    <n v="0"/>
    <x v="0"/>
    <s v=""/>
    <n v="14611129792.346064"/>
  </r>
  <r>
    <x v="0"/>
    <x v="131"/>
    <x v="131"/>
    <x v="6"/>
    <x v="0"/>
    <x v="2"/>
    <x v="18"/>
    <x v="8"/>
    <n v="2021"/>
    <x v="1"/>
    <s v="N/A"/>
    <n v="0"/>
    <s v="Confirmed"/>
    <s v=""/>
    <x v="1"/>
    <x v="0"/>
    <m/>
    <x v="2"/>
    <x v="0"/>
    <m/>
    <n v="0"/>
    <x v="1"/>
    <s v="Low"/>
    <n v="72046877.233008593"/>
  </r>
  <r>
    <x v="0"/>
    <x v="132"/>
    <x v="132"/>
    <x v="5"/>
    <x v="0"/>
    <x v="2"/>
    <x v="18"/>
    <x v="8"/>
    <n v="2021"/>
    <x v="1"/>
    <s v="N/A"/>
    <n v="0"/>
    <s v="Confirmed"/>
    <s v=""/>
    <x v="1"/>
    <x v="0"/>
    <m/>
    <x v="0"/>
    <x v="0"/>
    <m/>
    <n v="0"/>
    <x v="0"/>
    <s v="High"/>
    <n v="56248139.267255567"/>
  </r>
  <r>
    <x v="0"/>
    <x v="133"/>
    <x v="133"/>
    <x v="6"/>
    <x v="0"/>
    <x v="2"/>
    <x v="18"/>
    <x v="8"/>
    <n v="2021"/>
    <x v="1"/>
    <s v="N/A"/>
    <n v="0"/>
    <s v="Confirmed"/>
    <s v=""/>
    <x v="1"/>
    <x v="0"/>
    <m/>
    <x v="1"/>
    <x v="0"/>
    <m/>
    <n v="0"/>
    <x v="1"/>
    <s v="High"/>
    <n v="15464031.712942109"/>
  </r>
  <r>
    <x v="0"/>
    <x v="134"/>
    <x v="134"/>
    <x v="4"/>
    <x v="0"/>
    <x v="2"/>
    <x v="18"/>
    <x v="8"/>
    <n v="2021"/>
    <x v="1"/>
    <s v="N/A"/>
    <n v="0"/>
    <s v="Confirmed"/>
    <s v=""/>
    <x v="1"/>
    <x v="0"/>
    <m/>
    <x v="3"/>
    <x v="1"/>
    <m/>
    <n v="0"/>
    <x v="1"/>
    <s v="N/A"/>
    <n v="769564399.33249676"/>
  </r>
  <r>
    <x v="0"/>
    <x v="135"/>
    <x v="135"/>
    <x v="2"/>
    <x v="0"/>
    <x v="2"/>
    <x v="18"/>
    <x v="8"/>
    <n v="2021"/>
    <x v="1"/>
    <s v="N/A"/>
    <n v="0"/>
    <s v="Confirmed"/>
    <s v=""/>
    <x v="1"/>
    <x v="0"/>
    <m/>
    <x v="2"/>
    <x v="0"/>
    <m/>
    <n v="0"/>
    <x v="0"/>
    <s v="N/A"/>
    <n v="1668954539.7630196"/>
  </r>
  <r>
    <x v="0"/>
    <x v="136"/>
    <x v="136"/>
    <x v="1"/>
    <x v="0"/>
    <x v="2"/>
    <x v="18"/>
    <x v="8"/>
    <n v="2021"/>
    <x v="1"/>
    <s v="N/A"/>
    <n v="0"/>
    <s v="Confirmed"/>
    <s v=""/>
    <x v="1"/>
    <x v="0"/>
    <m/>
    <x v="1"/>
    <x v="1"/>
    <m/>
    <n v="0"/>
    <x v="0"/>
    <s v=""/>
    <n v="24840920016.18832"/>
  </r>
  <r>
    <x v="0"/>
    <x v="137"/>
    <x v="137"/>
    <x v="1"/>
    <x v="0"/>
    <x v="2"/>
    <x v="18"/>
    <x v="8"/>
    <n v="2021"/>
    <x v="1"/>
    <s v="N/A"/>
    <n v="0"/>
    <s v="Confirmed"/>
    <s v=""/>
    <x v="1"/>
    <x v="0"/>
    <m/>
    <x v="1"/>
    <x v="1"/>
    <m/>
    <n v="0"/>
    <x v="0"/>
    <s v="N/A"/>
    <n v="487888462.83720118"/>
  </r>
  <r>
    <x v="0"/>
    <x v="138"/>
    <x v="138"/>
    <x v="6"/>
    <x v="0"/>
    <x v="2"/>
    <x v="18"/>
    <x v="8"/>
    <n v="2021"/>
    <x v="1"/>
    <s v="N/A"/>
    <n v="0"/>
    <s v="Confirmed"/>
    <s v=""/>
    <x v="1"/>
    <x v="0"/>
    <m/>
    <x v="1"/>
    <x v="0"/>
    <m/>
    <n v="0"/>
    <x v="1"/>
    <s v="…"/>
    <n v="6365061.1736073596"/>
  </r>
  <r>
    <x v="0"/>
    <x v="139"/>
    <x v="139"/>
    <x v="3"/>
    <x v="0"/>
    <x v="2"/>
    <x v="18"/>
    <x v="8"/>
    <n v="2021"/>
    <x v="1"/>
    <s v="N/A"/>
    <n v="0"/>
    <s v="Confirmed"/>
    <s v=""/>
    <x v="1"/>
    <x v="0"/>
    <m/>
    <x v="0"/>
    <x v="0"/>
    <m/>
    <n v="2"/>
    <x v="0"/>
    <s v="Low"/>
    <n v="291799092.90196139"/>
  </r>
  <r>
    <x v="0"/>
    <x v="140"/>
    <x v="140"/>
    <x v="1"/>
    <x v="0"/>
    <x v="2"/>
    <x v="18"/>
    <x v="8"/>
    <n v="2021"/>
    <x v="1"/>
    <s v="N/A"/>
    <n v="0"/>
    <s v="Confirmed"/>
    <s v=""/>
    <x v="1"/>
    <x v="0"/>
    <m/>
    <x v="2"/>
    <x v="0"/>
    <m/>
    <n v="0"/>
    <x v="0"/>
    <s v="N/A"/>
    <n v="4844815340.2135534"/>
  </r>
  <r>
    <x v="0"/>
    <x v="141"/>
    <x v="141"/>
    <x v="4"/>
    <x v="0"/>
    <x v="2"/>
    <x v="18"/>
    <x v="8"/>
    <n v="2021"/>
    <x v="1"/>
    <s v="N/A"/>
    <n v="0"/>
    <s v="Confirmed"/>
    <s v=""/>
    <x v="1"/>
    <x v="0"/>
    <m/>
    <x v="3"/>
    <x v="1"/>
    <m/>
    <n v="0"/>
    <x v="0"/>
    <s v=""/>
    <n v="4001891446.6871672"/>
  </r>
  <r>
    <x v="0"/>
    <x v="142"/>
    <x v="142"/>
    <x v="1"/>
    <x v="0"/>
    <x v="2"/>
    <x v="18"/>
    <x v="8"/>
    <n v="2021"/>
    <x v="1"/>
    <s v="N/A"/>
    <n v="0"/>
    <s v="Confirmed"/>
    <s v=""/>
    <x v="1"/>
    <x v="0"/>
    <m/>
    <x v="2"/>
    <x v="0"/>
    <m/>
    <n v="0"/>
    <x v="0"/>
    <s v="Low"/>
    <n v="1019800630.5853213"/>
  </r>
  <r>
    <x v="0"/>
    <x v="143"/>
    <x v="143"/>
    <x v="6"/>
    <x v="0"/>
    <x v="2"/>
    <x v="18"/>
    <x v="8"/>
    <n v="2021"/>
    <x v="1"/>
    <s v="N/A"/>
    <n v="0"/>
    <s v="Confirmed"/>
    <s v=""/>
    <x v="1"/>
    <x v="0"/>
    <m/>
    <x v="2"/>
    <x v="0"/>
    <m/>
    <n v="0"/>
    <x v="1"/>
    <s v="Moderate"/>
    <n v="19578671.310841195"/>
  </r>
  <r>
    <x v="0"/>
    <x v="144"/>
    <x v="144"/>
    <x v="4"/>
    <x v="0"/>
    <x v="2"/>
    <x v="18"/>
    <x v="8"/>
    <n v="2021"/>
    <x v="1"/>
    <s v="N/A"/>
    <n v="6801213"/>
    <s v="Confirmed"/>
    <s v=""/>
    <x v="1"/>
    <x v="0"/>
    <m/>
    <x v="4"/>
    <x v="1"/>
    <m/>
    <n v="0"/>
    <x v="0"/>
    <s v="N/A"/>
    <n v="3551452001.0684834"/>
  </r>
  <r>
    <x v="0"/>
    <x v="145"/>
    <x v="145"/>
    <x v="6"/>
    <x v="0"/>
    <x v="2"/>
    <x v="18"/>
    <x v="8"/>
    <n v="2021"/>
    <x v="1"/>
    <s v="N/A"/>
    <n v="0"/>
    <s v="Confirmed"/>
    <s v=""/>
    <x v="1"/>
    <x v="0"/>
    <m/>
    <x v="2"/>
    <x v="0"/>
    <m/>
    <n v="0"/>
    <x v="0"/>
    <s v="N/A"/>
    <n v="6603048821.7575006"/>
  </r>
  <r>
    <x v="0"/>
    <x v="146"/>
    <x v="146"/>
    <x v="2"/>
    <x v="0"/>
    <x v="2"/>
    <x v="18"/>
    <x v="8"/>
    <n v="2021"/>
    <x v="1"/>
    <s v="N/A"/>
    <n v="0"/>
    <s v="Confirmed"/>
    <s v=""/>
    <x v="1"/>
    <x v="0"/>
    <m/>
    <x v="0"/>
    <x v="0"/>
    <m/>
    <n v="1"/>
    <x v="0"/>
    <s v="…"/>
    <s v=""/>
  </r>
  <r>
    <x v="0"/>
    <x v="147"/>
    <x v="147"/>
    <x v="3"/>
    <x v="0"/>
    <x v="2"/>
    <x v="18"/>
    <x v="8"/>
    <n v="2021"/>
    <x v="1"/>
    <s v="N/A"/>
    <n v="0"/>
    <s v="Confirmed"/>
    <s v=""/>
    <x v="1"/>
    <x v="0"/>
    <m/>
    <x v="2"/>
    <x v="0"/>
    <m/>
    <n v="0"/>
    <x v="0"/>
    <s v="High"/>
    <n v="515352723.9821828"/>
  </r>
  <r>
    <x v="0"/>
    <x v="148"/>
    <x v="148"/>
    <x v="3"/>
    <x v="0"/>
    <x v="2"/>
    <x v="18"/>
    <x v="8"/>
    <n v="2021"/>
    <x v="1"/>
    <s v="N/A"/>
    <n v="0"/>
    <s v="Confirmed"/>
    <s v=""/>
    <x v="1"/>
    <x v="0"/>
    <m/>
    <x v="2"/>
    <x v="0"/>
    <m/>
    <n v="0"/>
    <x v="0"/>
    <s v="N/A"/>
    <n v="566711742.22428358"/>
  </r>
  <r>
    <x v="0"/>
    <x v="0"/>
    <x v="0"/>
    <x v="0"/>
    <x v="0"/>
    <x v="2"/>
    <x v="19"/>
    <x v="9"/>
    <s v="Multi-Year"/>
    <x v="1"/>
    <s v="N/A"/>
    <n v="4050000"/>
    <s v="Confirmed"/>
    <m/>
    <x v="0"/>
    <x v="0"/>
    <m/>
    <x v="0"/>
    <x v="0"/>
    <m/>
    <n v="1"/>
    <x v="0"/>
    <s v="High"/>
    <n v="95829480.719269618"/>
  </r>
  <r>
    <x v="0"/>
    <x v="1"/>
    <x v="1"/>
    <x v="1"/>
    <x v="0"/>
    <x v="2"/>
    <x v="19"/>
    <x v="9"/>
    <s v="Multi-Year"/>
    <x v="1"/>
    <s v="N/A"/>
    <n v="500000"/>
    <s v="Confirmed"/>
    <m/>
    <x v="0"/>
    <x v="0"/>
    <m/>
    <x v="1"/>
    <x v="1"/>
    <m/>
    <n v="0"/>
    <x v="0"/>
    <s v=""/>
    <n v="427904035.52443534"/>
  </r>
  <r>
    <x v="0"/>
    <x v="2"/>
    <x v="2"/>
    <x v="2"/>
    <x v="0"/>
    <x v="2"/>
    <x v="19"/>
    <x v="9"/>
    <s v="Multi-Year"/>
    <x v="1"/>
    <s v="N/A"/>
    <n v="541945"/>
    <s v="Confirmed"/>
    <m/>
    <x v="0"/>
    <x v="0"/>
    <m/>
    <x v="2"/>
    <x v="0"/>
    <m/>
    <n v="0"/>
    <x v="0"/>
    <s v="N/A"/>
    <n v="7113361022.7267885"/>
  </r>
  <r>
    <x v="0"/>
    <x v="3"/>
    <x v="3"/>
    <x v="3"/>
    <x v="0"/>
    <x v="2"/>
    <x v="19"/>
    <x v="9"/>
    <s v="Multi-Year"/>
    <x v="1"/>
    <s v="N/A"/>
    <n v="2218200"/>
    <s v="Confirmed"/>
    <m/>
    <x v="0"/>
    <x v="0"/>
    <m/>
    <x v="2"/>
    <x v="0"/>
    <m/>
    <n v="0"/>
    <x v="0"/>
    <s v="…"/>
    <n v="1131865946.5875781"/>
  </r>
  <r>
    <x v="0"/>
    <x v="4"/>
    <x v="4"/>
    <x v="4"/>
    <x v="0"/>
    <x v="2"/>
    <x v="19"/>
    <x v="9"/>
    <s v="Multi-Year"/>
    <x v="1"/>
    <s v="N/A"/>
    <s v=""/>
    <s v="Confirmed"/>
    <m/>
    <x v="0"/>
    <x v="0"/>
    <m/>
    <x v="3"/>
    <x v="1"/>
    <m/>
    <n v="0"/>
    <x v="1"/>
    <s v=""/>
    <n v="46777779.823447868"/>
  </r>
  <r>
    <x v="0"/>
    <x v="5"/>
    <x v="5"/>
    <x v="4"/>
    <x v="0"/>
    <x v="2"/>
    <x v="19"/>
    <x v="9"/>
    <s v="Multi-Year"/>
    <x v="1"/>
    <s v="N/A"/>
    <s v=""/>
    <s v="Confirmed"/>
    <m/>
    <x v="0"/>
    <x v="0"/>
    <m/>
    <x v="1"/>
    <x v="1"/>
    <m/>
    <n v="0"/>
    <x v="0"/>
    <s v=""/>
    <n v="30725305777.596794"/>
  </r>
  <r>
    <x v="0"/>
    <x v="6"/>
    <x v="6"/>
    <x v="1"/>
    <x v="0"/>
    <x v="2"/>
    <x v="19"/>
    <x v="9"/>
    <s v="Multi-Year"/>
    <x v="1"/>
    <s v="N/A"/>
    <n v="2700000"/>
    <s v="Confirmed"/>
    <m/>
    <x v="0"/>
    <x v="0"/>
    <m/>
    <x v="1"/>
    <x v="1"/>
    <m/>
    <n v="0"/>
    <x v="0"/>
    <s v=""/>
    <n v="153815827.8380394"/>
  </r>
  <r>
    <x v="0"/>
    <x v="7"/>
    <x v="7"/>
    <x v="1"/>
    <x v="0"/>
    <x v="2"/>
    <x v="19"/>
    <x v="9"/>
    <s v="Multi-Year"/>
    <x v="1"/>
    <s v="N/A"/>
    <n v="1000000"/>
    <s v="Confirmed"/>
    <m/>
    <x v="0"/>
    <x v="0"/>
    <m/>
    <x v="1"/>
    <x v="1"/>
    <m/>
    <n v="0"/>
    <x v="0"/>
    <s v="N/A"/>
    <n v="437525105.31216973"/>
  </r>
  <r>
    <x v="0"/>
    <x v="8"/>
    <x v="8"/>
    <x v="4"/>
    <x v="0"/>
    <x v="2"/>
    <x v="19"/>
    <x v="9"/>
    <s v="Multi-Year"/>
    <x v="1"/>
    <s v="N/A"/>
    <n v="0"/>
    <s v="Confirmed"/>
    <m/>
    <x v="0"/>
    <x v="0"/>
    <m/>
    <x v="3"/>
    <x v="1"/>
    <m/>
    <n v="0"/>
    <x v="1"/>
    <s v=""/>
    <n v="149463302.00602186"/>
  </r>
  <r>
    <x v="0"/>
    <x v="9"/>
    <x v="9"/>
    <x v="0"/>
    <x v="0"/>
    <x v="2"/>
    <x v="19"/>
    <x v="9"/>
    <s v="Multi-Year"/>
    <x v="1"/>
    <s v="N/A"/>
    <n v="3992811"/>
    <s v="Confirmed"/>
    <m/>
    <x v="0"/>
    <x v="0"/>
    <m/>
    <x v="2"/>
    <x v="0"/>
    <m/>
    <n v="0"/>
    <x v="0"/>
    <s v="Low"/>
    <n v="1148322593.9600098"/>
  </r>
  <r>
    <x v="0"/>
    <x v="10"/>
    <x v="10"/>
    <x v="1"/>
    <x v="0"/>
    <x v="2"/>
    <x v="19"/>
    <x v="9"/>
    <s v="Multi-Year"/>
    <x v="1"/>
    <s v="N/A"/>
    <n v="500000"/>
    <s v="Confirmed"/>
    <m/>
    <x v="0"/>
    <x v="0"/>
    <m/>
    <x v="1"/>
    <x v="1"/>
    <m/>
    <n v="0"/>
    <x v="0"/>
    <s v=""/>
    <n v="2371102058.1093163"/>
  </r>
  <r>
    <x v="0"/>
    <x v="11"/>
    <x v="11"/>
    <x v="4"/>
    <x v="0"/>
    <x v="2"/>
    <x v="19"/>
    <x v="9"/>
    <s v="Multi-Year"/>
    <x v="1"/>
    <s v="N/A"/>
    <s v=""/>
    <s v="Confirmed"/>
    <m/>
    <x v="0"/>
    <x v="0"/>
    <m/>
    <x v="2"/>
    <x v="1"/>
    <m/>
    <n v="0"/>
    <x v="1"/>
    <s v="N/A"/>
    <n v="75151620.005215243"/>
  </r>
  <r>
    <x v="0"/>
    <x v="12"/>
    <x v="12"/>
    <x v="5"/>
    <x v="0"/>
    <x v="2"/>
    <x v="19"/>
    <x v="9"/>
    <s v="Multi-Year"/>
    <x v="1"/>
    <s v="N/A"/>
    <n v="1810000"/>
    <s v="Confirmed"/>
    <m/>
    <x v="0"/>
    <x v="0"/>
    <m/>
    <x v="2"/>
    <x v="0"/>
    <m/>
    <n v="0"/>
    <x v="0"/>
    <s v="Moderate"/>
    <n v="69958487.197715744"/>
  </r>
  <r>
    <x v="0"/>
    <x v="13"/>
    <x v="13"/>
    <x v="0"/>
    <x v="0"/>
    <x v="2"/>
    <x v="19"/>
    <x v="9"/>
    <s v="Multi-Year"/>
    <x v="1"/>
    <s v="N/A"/>
    <s v=""/>
    <s v="Confirmed"/>
    <m/>
    <x v="0"/>
    <x v="0"/>
    <m/>
    <x v="2"/>
    <x v="0"/>
    <m/>
    <n v="0"/>
    <x v="0"/>
    <s v="…"/>
    <n v="61654608.560629159"/>
  </r>
  <r>
    <x v="0"/>
    <x v="14"/>
    <x v="14"/>
    <x v="4"/>
    <x v="0"/>
    <x v="2"/>
    <x v="19"/>
    <x v="9"/>
    <s v="Multi-Year"/>
    <x v="1"/>
    <s v="N/A"/>
    <n v="2700000"/>
    <s v="Confirmed"/>
    <m/>
    <x v="0"/>
    <x v="0"/>
    <m/>
    <x v="2"/>
    <x v="0"/>
    <m/>
    <n v="0"/>
    <x v="0"/>
    <s v="N/A"/>
    <n v="1806638707.7615163"/>
  </r>
  <r>
    <x v="0"/>
    <x v="15"/>
    <x v="15"/>
    <x v="1"/>
    <x v="0"/>
    <x v="2"/>
    <x v="19"/>
    <x v="9"/>
    <s v="Multi-Year"/>
    <x v="1"/>
    <s v="N/A"/>
    <n v="2050000"/>
    <s v="Confirmed"/>
    <m/>
    <x v="0"/>
    <x v="0"/>
    <m/>
    <x v="1"/>
    <x v="1"/>
    <m/>
    <n v="0"/>
    <x v="0"/>
    <s v="N/A"/>
    <n v="1252696525.0627904"/>
  </r>
  <r>
    <x v="0"/>
    <x v="16"/>
    <x v="16"/>
    <x v="3"/>
    <x v="0"/>
    <x v="2"/>
    <x v="19"/>
    <x v="9"/>
    <s v="Multi-Year"/>
    <x v="1"/>
    <s v="N/A"/>
    <n v="3555000"/>
    <s v="Confirmed"/>
    <m/>
    <x v="0"/>
    <x v="0"/>
    <m/>
    <x v="1"/>
    <x v="1"/>
    <m/>
    <n v="0"/>
    <x v="0"/>
    <s v=""/>
    <n v="843425084.07334602"/>
  </r>
  <r>
    <x v="0"/>
    <x v="17"/>
    <x v="17"/>
    <x v="4"/>
    <x v="0"/>
    <x v="2"/>
    <x v="19"/>
    <x v="9"/>
    <s v="Multi-Year"/>
    <x v="1"/>
    <s v="N/A"/>
    <n v="3750000"/>
    <s v="Confirmed"/>
    <m/>
    <x v="0"/>
    <x v="0"/>
    <m/>
    <x v="1"/>
    <x v="1"/>
    <m/>
    <n v="0"/>
    <x v="0"/>
    <s v="N/A"/>
    <n v="74055620038.853683"/>
  </r>
  <r>
    <x v="0"/>
    <x v="18"/>
    <x v="18"/>
    <x v="1"/>
    <x v="0"/>
    <x v="2"/>
    <x v="19"/>
    <x v="9"/>
    <s v="Multi-Year"/>
    <x v="1"/>
    <s v="N/A"/>
    <n v="1300000"/>
    <s v="Confirmed"/>
    <m/>
    <x v="0"/>
    <x v="0"/>
    <m/>
    <x v="1"/>
    <x v="1"/>
    <m/>
    <n v="0"/>
    <x v="0"/>
    <s v=""/>
    <n v="2803357765.5888777"/>
  </r>
  <r>
    <x v="0"/>
    <x v="19"/>
    <x v="19"/>
    <x v="5"/>
    <x v="0"/>
    <x v="2"/>
    <x v="19"/>
    <x v="9"/>
    <s v="Multi-Year"/>
    <x v="1"/>
    <s v="N/A"/>
    <n v="2000000"/>
    <s v="Confirmed"/>
    <m/>
    <x v="0"/>
    <x v="0"/>
    <m/>
    <x v="0"/>
    <x v="0"/>
    <m/>
    <n v="2"/>
    <x v="0"/>
    <s v="Moderate"/>
    <n v="337927779.25510043"/>
  </r>
  <r>
    <x v="0"/>
    <x v="20"/>
    <x v="20"/>
    <x v="3"/>
    <x v="0"/>
    <x v="2"/>
    <x v="19"/>
    <x v="9"/>
    <s v="Multi-Year"/>
    <x v="1"/>
    <s v="N/A"/>
    <n v="1000000"/>
    <s v="Confirmed"/>
    <m/>
    <x v="0"/>
    <x v="0"/>
    <m/>
    <x v="0"/>
    <x v="0"/>
    <m/>
    <n v="2"/>
    <x v="0"/>
    <s v="…"/>
    <n v="65979512.47399316"/>
  </r>
  <r>
    <x v="0"/>
    <x v="21"/>
    <x v="21"/>
    <x v="5"/>
    <x v="0"/>
    <x v="2"/>
    <x v="19"/>
    <x v="9"/>
    <s v="Multi-Year"/>
    <x v="1"/>
    <s v="N/A"/>
    <n v="500000"/>
    <s v="Confirmed"/>
    <m/>
    <x v="0"/>
    <x v="0"/>
    <m/>
    <x v="2"/>
    <x v="0"/>
    <m/>
    <n v="0"/>
    <x v="1"/>
    <s v="High"/>
    <n v="63748362.778827004"/>
  </r>
  <r>
    <x v="0"/>
    <x v="22"/>
    <x v="22"/>
    <x v="6"/>
    <x v="0"/>
    <x v="2"/>
    <x v="19"/>
    <x v="9"/>
    <s v="Multi-Year"/>
    <x v="1"/>
    <s v="N/A"/>
    <n v="662222"/>
    <s v="Confirmed"/>
    <m/>
    <x v="0"/>
    <x v="0"/>
    <m/>
    <x v="2"/>
    <x v="0"/>
    <m/>
    <n v="0"/>
    <x v="0"/>
    <s v="Low"/>
    <n v="313039649.45369786"/>
  </r>
  <r>
    <x v="0"/>
    <x v="23"/>
    <x v="23"/>
    <x v="5"/>
    <x v="0"/>
    <x v="2"/>
    <x v="19"/>
    <x v="9"/>
    <s v="Multi-Year"/>
    <x v="1"/>
    <s v="N/A"/>
    <n v="1600000"/>
    <s v="Confirmed"/>
    <m/>
    <x v="0"/>
    <x v="0"/>
    <m/>
    <x v="2"/>
    <x v="0"/>
    <m/>
    <n v="2"/>
    <x v="0"/>
    <s v="High"/>
    <n v="81361801.477472037"/>
  </r>
  <r>
    <x v="0"/>
    <x v="24"/>
    <x v="24"/>
    <x v="5"/>
    <x v="0"/>
    <x v="2"/>
    <x v="19"/>
    <x v="9"/>
    <s v="Multi-Year"/>
    <x v="1"/>
    <s v="N/A"/>
    <n v="1150000"/>
    <s v="Confirmed"/>
    <m/>
    <x v="0"/>
    <x v="0"/>
    <m/>
    <x v="0"/>
    <x v="0"/>
    <m/>
    <n v="1"/>
    <x v="0"/>
    <s v="High"/>
    <s v=""/>
  </r>
  <r>
    <x v="0"/>
    <x v="25"/>
    <x v="25"/>
    <x v="5"/>
    <x v="0"/>
    <x v="2"/>
    <x v="19"/>
    <x v="9"/>
    <s v="Multi-Year"/>
    <x v="1"/>
    <s v="N/A"/>
    <s v=""/>
    <s v="Confirmed"/>
    <m/>
    <x v="0"/>
    <x v="0"/>
    <m/>
    <x v="0"/>
    <x v="0"/>
    <m/>
    <n v="1"/>
    <x v="0"/>
    <s v="High"/>
    <n v="76939306.715636879"/>
  </r>
  <r>
    <x v="0"/>
    <x v="26"/>
    <x v="26"/>
    <x v="4"/>
    <x v="0"/>
    <x v="2"/>
    <x v="19"/>
    <x v="9"/>
    <s v="Multi-Year"/>
    <x v="1"/>
    <s v="N/A"/>
    <s v=""/>
    <s v="Confirmed"/>
    <m/>
    <x v="0"/>
    <x v="0"/>
    <m/>
    <x v="3"/>
    <x v="1"/>
    <m/>
    <n v="0"/>
    <x v="0"/>
    <s v=""/>
    <n v="13859708717.682571"/>
  </r>
  <r>
    <x v="0"/>
    <x v="27"/>
    <x v="27"/>
    <x v="6"/>
    <x v="0"/>
    <x v="2"/>
    <x v="19"/>
    <x v="9"/>
    <s v="Multi-Year"/>
    <x v="1"/>
    <s v="N/A"/>
    <s v=""/>
    <s v="Confirmed"/>
    <m/>
    <x v="0"/>
    <x v="0"/>
    <m/>
    <x v="1"/>
    <x v="1"/>
    <m/>
    <n v="0"/>
    <x v="0"/>
    <s v=""/>
    <n v="403567160707.7016"/>
  </r>
  <r>
    <x v="0"/>
    <x v="28"/>
    <x v="28"/>
    <x v="4"/>
    <x v="0"/>
    <x v="2"/>
    <x v="19"/>
    <x v="9"/>
    <s v="Multi-Year"/>
    <x v="1"/>
    <s v="N/A"/>
    <n v="11000000"/>
    <s v="Confirmed"/>
    <m/>
    <x v="0"/>
    <x v="0"/>
    <m/>
    <x v="1"/>
    <x v="1"/>
    <m/>
    <n v="0"/>
    <x v="0"/>
    <s v=""/>
    <n v="18250225995.972618"/>
  </r>
  <r>
    <x v="0"/>
    <x v="29"/>
    <x v="29"/>
    <x v="3"/>
    <x v="0"/>
    <x v="2"/>
    <x v="19"/>
    <x v="9"/>
    <s v="Multi-Year"/>
    <x v="1"/>
    <s v="N/A"/>
    <n v="100000"/>
    <s v="Confirmed"/>
    <m/>
    <x v="0"/>
    <x v="0"/>
    <m/>
    <x v="2"/>
    <x v="0"/>
    <m/>
    <n v="0"/>
    <x v="1"/>
    <s v="Moderate"/>
    <n v="5027591.1682657599"/>
  </r>
  <r>
    <x v="0"/>
    <x v="30"/>
    <x v="30"/>
    <x v="5"/>
    <x v="0"/>
    <x v="2"/>
    <x v="19"/>
    <x v="9"/>
    <s v="Multi-Year"/>
    <x v="1"/>
    <s v="N/A"/>
    <n v="5350000"/>
    <s v="Confirmed"/>
    <m/>
    <x v="0"/>
    <x v="0"/>
    <m/>
    <x v="0"/>
    <x v="0"/>
    <m/>
    <n v="3"/>
    <x v="0"/>
    <s v="Moderate"/>
    <n v="234645958.63289919"/>
  </r>
  <r>
    <x v="0"/>
    <x v="31"/>
    <x v="31"/>
    <x v="5"/>
    <x v="0"/>
    <x v="2"/>
    <x v="19"/>
    <x v="9"/>
    <s v="Multi-Year"/>
    <x v="1"/>
    <s v="N/A"/>
    <n v="1500000"/>
    <s v="Confirmed"/>
    <m/>
    <x v="0"/>
    <x v="0"/>
    <m/>
    <x v="2"/>
    <x v="0"/>
    <m/>
    <n v="2"/>
    <x v="0"/>
    <s v="In distress"/>
    <n v="91590910.247314155"/>
  </r>
  <r>
    <x v="0"/>
    <x v="32"/>
    <x v="32"/>
    <x v="6"/>
    <x v="0"/>
    <x v="2"/>
    <x v="19"/>
    <x v="9"/>
    <s v="Multi-Year"/>
    <x v="1"/>
    <s v="N/A"/>
    <s v=""/>
    <s v="Confirmed"/>
    <m/>
    <x v="0"/>
    <x v="0"/>
    <m/>
    <x v="4"/>
    <x v="1"/>
    <m/>
    <n v="0"/>
    <x v="1"/>
    <s v="N/A"/>
    <n v="8560012.8840167802"/>
  </r>
  <r>
    <x v="0"/>
    <x v="33"/>
    <x v="33"/>
    <x v="4"/>
    <x v="0"/>
    <x v="2"/>
    <x v="19"/>
    <x v="9"/>
    <s v="Multi-Year"/>
    <x v="1"/>
    <s v="N/A"/>
    <n v="550000"/>
    <s v="Confirmed"/>
    <m/>
    <x v="0"/>
    <x v="0"/>
    <m/>
    <x v="1"/>
    <x v="1"/>
    <m/>
    <n v="0"/>
    <x v="0"/>
    <s v="N/A"/>
    <n v="3292372960.3962669"/>
  </r>
  <r>
    <x v="0"/>
    <x v="34"/>
    <x v="34"/>
    <x v="5"/>
    <x v="0"/>
    <x v="2"/>
    <x v="19"/>
    <x v="9"/>
    <s v="Multi-Year"/>
    <x v="1"/>
    <s v="N/A"/>
    <n v="4476000"/>
    <s v="Confirmed"/>
    <m/>
    <x v="0"/>
    <x v="0"/>
    <m/>
    <x v="2"/>
    <x v="0"/>
    <m/>
    <n v="0"/>
    <x v="0"/>
    <s v="Moderate"/>
    <n v="519209981.22981054"/>
  </r>
  <r>
    <x v="0"/>
    <x v="35"/>
    <x v="35"/>
    <x v="1"/>
    <x v="0"/>
    <x v="2"/>
    <x v="19"/>
    <x v="9"/>
    <s v="Multi-Year"/>
    <x v="1"/>
    <s v="N/A"/>
    <s v=""/>
    <s v="Confirmed"/>
    <m/>
    <x v="0"/>
    <x v="0"/>
    <m/>
    <x v="3"/>
    <x v="1"/>
    <m/>
    <n v="0"/>
    <x v="0"/>
    <s v=""/>
    <n v="3464739907.1604805"/>
  </r>
  <r>
    <x v="0"/>
    <x v="36"/>
    <x v="36"/>
    <x v="4"/>
    <x v="0"/>
    <x v="2"/>
    <x v="19"/>
    <x v="9"/>
    <s v="Multi-Year"/>
    <x v="1"/>
    <s v="N/A"/>
    <s v=""/>
    <s v="Confirmed"/>
    <m/>
    <x v="0"/>
    <x v="0"/>
    <m/>
    <x v="1"/>
    <x v="1"/>
    <m/>
    <n v="0"/>
    <x v="1"/>
    <s v=""/>
    <n v="9948521252.2569065"/>
  </r>
  <r>
    <x v="0"/>
    <x v="37"/>
    <x v="37"/>
    <x v="2"/>
    <x v="0"/>
    <x v="2"/>
    <x v="19"/>
    <x v="9"/>
    <s v="Multi-Year"/>
    <x v="1"/>
    <s v="N/A"/>
    <n v="1100000"/>
    <s v="Confirmed"/>
    <m/>
    <x v="0"/>
    <x v="0"/>
    <m/>
    <x v="2"/>
    <x v="0"/>
    <m/>
    <n v="1"/>
    <x v="0"/>
    <s v="High"/>
    <n v="33679192.765657313"/>
  </r>
  <r>
    <x v="0"/>
    <x v="38"/>
    <x v="38"/>
    <x v="4"/>
    <x v="0"/>
    <x v="2"/>
    <x v="19"/>
    <x v="9"/>
    <s v="Multi-Year"/>
    <x v="1"/>
    <s v="N/A"/>
    <s v=""/>
    <s v="Confirmed"/>
    <m/>
    <x v="0"/>
    <x v="0"/>
    <m/>
    <x v="1"/>
    <x v="0"/>
    <m/>
    <n v="0"/>
    <x v="1"/>
    <s v="…"/>
    <n v="22784494.365742501"/>
  </r>
  <r>
    <x v="0"/>
    <x v="39"/>
    <x v="39"/>
    <x v="4"/>
    <x v="0"/>
    <x v="2"/>
    <x v="19"/>
    <x v="9"/>
    <s v="Multi-Year"/>
    <x v="1"/>
    <s v="N/A"/>
    <n v="241451"/>
    <s v="Confirmed"/>
    <m/>
    <x v="0"/>
    <x v="0"/>
    <m/>
    <x v="1"/>
    <x v="1"/>
    <m/>
    <n v="0"/>
    <x v="1"/>
    <s v=""/>
    <n v="2173208011.4858823"/>
  </r>
  <r>
    <x v="0"/>
    <x v="40"/>
    <x v="40"/>
    <x v="4"/>
    <x v="0"/>
    <x v="2"/>
    <x v="19"/>
    <x v="9"/>
    <s v="Multi-Year"/>
    <x v="1"/>
    <s v="N/A"/>
    <n v="3320000"/>
    <s v="Confirmed"/>
    <m/>
    <x v="0"/>
    <x v="0"/>
    <m/>
    <x v="1"/>
    <x v="1"/>
    <m/>
    <n v="0"/>
    <x v="0"/>
    <s v="N/A"/>
    <n v="4585736158.8323269"/>
  </r>
  <r>
    <x v="0"/>
    <x v="41"/>
    <x v="41"/>
    <x v="2"/>
    <x v="0"/>
    <x v="2"/>
    <x v="19"/>
    <x v="9"/>
    <s v="Multi-Year"/>
    <x v="1"/>
    <s v="N/A"/>
    <n v="5400000"/>
    <s v="Confirmed"/>
    <m/>
    <x v="0"/>
    <x v="0"/>
    <m/>
    <x v="2"/>
    <x v="0"/>
    <m/>
    <n v="0"/>
    <x v="0"/>
    <s v="N/A"/>
    <n v="3550291584.8645592"/>
  </r>
  <r>
    <x v="0"/>
    <x v="42"/>
    <x v="42"/>
    <x v="4"/>
    <x v="0"/>
    <x v="2"/>
    <x v="19"/>
    <x v="9"/>
    <s v="Multi-Year"/>
    <x v="1"/>
    <s v="N/A"/>
    <n v="2800000"/>
    <s v="Confirmed"/>
    <m/>
    <x v="0"/>
    <x v="0"/>
    <m/>
    <x v="2"/>
    <x v="0"/>
    <m/>
    <n v="0"/>
    <x v="0"/>
    <s v="N/A"/>
    <n v="1182840319.0410969"/>
  </r>
  <r>
    <x v="0"/>
    <x v="43"/>
    <x v="43"/>
    <x v="4"/>
    <x v="0"/>
    <x v="2"/>
    <x v="19"/>
    <x v="9"/>
    <s v="Multi-Year"/>
    <x v="1"/>
    <s v="N/A"/>
    <s v=""/>
    <s v="Confirmed"/>
    <m/>
    <x v="0"/>
    <x v="0"/>
    <m/>
    <x v="1"/>
    <x v="1"/>
    <m/>
    <n v="0"/>
    <x v="0"/>
    <s v=""/>
    <n v="81728347.604567245"/>
  </r>
  <r>
    <x v="0"/>
    <x v="44"/>
    <x v="44"/>
    <x v="3"/>
    <x v="0"/>
    <x v="2"/>
    <x v="19"/>
    <x v="9"/>
    <s v="Multi-Year"/>
    <x v="1"/>
    <s v="N/A"/>
    <s v=""/>
    <s v="Confirmed"/>
    <m/>
    <x v="0"/>
    <x v="0"/>
    <m/>
    <x v="0"/>
    <x v="0"/>
    <m/>
    <n v="2"/>
    <x v="0"/>
    <s v="N/A"/>
    <n v="12787914.977715338"/>
  </r>
  <r>
    <x v="0"/>
    <x v="45"/>
    <x v="45"/>
    <x v="3"/>
    <x v="0"/>
    <x v="2"/>
    <x v="19"/>
    <x v="9"/>
    <s v="Multi-Year"/>
    <x v="1"/>
    <s v="N/A"/>
    <n v="2650000"/>
    <s v="Confirmed"/>
    <m/>
    <x v="0"/>
    <x v="0"/>
    <m/>
    <x v="2"/>
    <x v="0"/>
    <m/>
    <n v="2"/>
    <x v="0"/>
    <s v="N/A"/>
    <n v="101271737.65410839"/>
  </r>
  <r>
    <x v="0"/>
    <x v="46"/>
    <x v="46"/>
    <x v="3"/>
    <x v="0"/>
    <x v="2"/>
    <x v="19"/>
    <x v="9"/>
    <s v="Multi-Year"/>
    <x v="1"/>
    <s v="N/A"/>
    <n v="6900000"/>
    <s v="Confirmed"/>
    <m/>
    <x v="0"/>
    <x v="0"/>
    <m/>
    <x v="0"/>
    <x v="0"/>
    <m/>
    <n v="3"/>
    <x v="0"/>
    <s v="High"/>
    <n v="618344226.71759331"/>
  </r>
  <r>
    <x v="0"/>
    <x v="47"/>
    <x v="47"/>
    <x v="6"/>
    <x v="0"/>
    <x v="2"/>
    <x v="19"/>
    <x v="9"/>
    <s v="Multi-Year"/>
    <x v="1"/>
    <s v="N/A"/>
    <n v="1500000"/>
    <s v="Confirmed"/>
    <m/>
    <x v="0"/>
    <x v="0"/>
    <m/>
    <x v="1"/>
    <x v="0"/>
    <m/>
    <n v="0"/>
    <x v="1"/>
    <s v="…"/>
    <n v="129483872.95906857"/>
  </r>
  <r>
    <x v="0"/>
    <x v="48"/>
    <x v="48"/>
    <x v="5"/>
    <x v="0"/>
    <x v="2"/>
    <x v="19"/>
    <x v="9"/>
    <s v="Multi-Year"/>
    <x v="1"/>
    <s v="N/A"/>
    <n v="300000"/>
    <s v="Confirmed"/>
    <m/>
    <x v="0"/>
    <x v="0"/>
    <m/>
    <x v="1"/>
    <x v="1"/>
    <m/>
    <n v="0"/>
    <x v="0"/>
    <s v="N/A"/>
    <n v="271184658.35014349"/>
  </r>
  <r>
    <x v="0"/>
    <x v="49"/>
    <x v="49"/>
    <x v="5"/>
    <x v="0"/>
    <x v="2"/>
    <x v="19"/>
    <x v="9"/>
    <s v="Multi-Year"/>
    <x v="1"/>
    <s v="N/A"/>
    <n v="1085000"/>
    <s v="Confirmed"/>
    <m/>
    <x v="0"/>
    <x v="0"/>
    <m/>
    <x v="0"/>
    <x v="0"/>
    <m/>
    <n v="0"/>
    <x v="0"/>
    <s v="High"/>
    <n v="15455265.086884515"/>
  </r>
  <r>
    <x v="0"/>
    <x v="50"/>
    <x v="50"/>
    <x v="1"/>
    <x v="0"/>
    <x v="2"/>
    <x v="19"/>
    <x v="9"/>
    <s v="Multi-Year"/>
    <x v="1"/>
    <s v="N/A"/>
    <n v="4400000"/>
    <s v="Confirmed"/>
    <m/>
    <x v="0"/>
    <x v="0"/>
    <m/>
    <x v="1"/>
    <x v="1"/>
    <m/>
    <n v="0"/>
    <x v="0"/>
    <s v="N/A"/>
    <n v="494021502.525527"/>
  </r>
  <r>
    <x v="0"/>
    <x v="51"/>
    <x v="51"/>
    <x v="5"/>
    <x v="0"/>
    <x v="2"/>
    <x v="19"/>
    <x v="9"/>
    <s v="Multi-Year"/>
    <x v="1"/>
    <s v="N/A"/>
    <n v="2950000"/>
    <s v="Confirmed"/>
    <m/>
    <x v="0"/>
    <x v="0"/>
    <m/>
    <x v="2"/>
    <x v="0"/>
    <m/>
    <n v="0"/>
    <x v="0"/>
    <s v="High"/>
    <n v="902005621.73836684"/>
  </r>
  <r>
    <x v="0"/>
    <x v="52"/>
    <x v="52"/>
    <x v="4"/>
    <x v="0"/>
    <x v="2"/>
    <x v="19"/>
    <x v="9"/>
    <s v="Multi-Year"/>
    <x v="1"/>
    <s v="N/A"/>
    <s v=""/>
    <s v="Confirmed"/>
    <m/>
    <x v="0"/>
    <x v="0"/>
    <m/>
    <x v="1"/>
    <x v="0"/>
    <m/>
    <n v="0"/>
    <x v="1"/>
    <s v="In distress"/>
    <n v="20201670.142996579"/>
  </r>
  <r>
    <x v="0"/>
    <x v="53"/>
    <x v="53"/>
    <x v="4"/>
    <x v="0"/>
    <x v="2"/>
    <x v="19"/>
    <x v="9"/>
    <s v="Multi-Year"/>
    <x v="1"/>
    <s v="N/A"/>
    <n v="5395000"/>
    <s v="Confirmed"/>
    <m/>
    <x v="0"/>
    <x v="0"/>
    <m/>
    <x v="1"/>
    <x v="1"/>
    <m/>
    <n v="0"/>
    <x v="0"/>
    <s v=""/>
    <n v="1612434649.6948864"/>
  </r>
  <r>
    <x v="0"/>
    <x v="54"/>
    <x v="54"/>
    <x v="5"/>
    <x v="0"/>
    <x v="2"/>
    <x v="19"/>
    <x v="9"/>
    <s v="Multi-Year"/>
    <x v="1"/>
    <s v="N/A"/>
    <n v="2900000"/>
    <s v="Confirmed"/>
    <m/>
    <x v="0"/>
    <x v="0"/>
    <m/>
    <x v="0"/>
    <x v="0"/>
    <m/>
    <n v="0"/>
    <x v="0"/>
    <s v="Moderate"/>
    <n v="78203134.118229344"/>
  </r>
  <r>
    <x v="0"/>
    <x v="55"/>
    <x v="55"/>
    <x v="5"/>
    <x v="0"/>
    <x v="2"/>
    <x v="19"/>
    <x v="9"/>
    <s v="Multi-Year"/>
    <x v="1"/>
    <s v="N/A"/>
    <n v="200000"/>
    <s v="Confirmed"/>
    <m/>
    <x v="0"/>
    <x v="0"/>
    <m/>
    <x v="0"/>
    <x v="0"/>
    <m/>
    <n v="2"/>
    <x v="1"/>
    <s v="High"/>
    <n v="9151637.7411015611"/>
  </r>
  <r>
    <x v="0"/>
    <x v="56"/>
    <x v="56"/>
    <x v="4"/>
    <x v="0"/>
    <x v="2"/>
    <x v="19"/>
    <x v="9"/>
    <s v="Multi-Year"/>
    <x v="1"/>
    <s v="N/A"/>
    <n v="705800"/>
    <s v="Confirmed"/>
    <m/>
    <x v="0"/>
    <x v="0"/>
    <m/>
    <x v="1"/>
    <x v="0"/>
    <m/>
    <n v="0"/>
    <x v="1"/>
    <s v="Moderate"/>
    <n v="142455920.02856269"/>
  </r>
  <r>
    <x v="0"/>
    <x v="57"/>
    <x v="57"/>
    <x v="4"/>
    <x v="0"/>
    <x v="2"/>
    <x v="19"/>
    <x v="9"/>
    <s v="Multi-Year"/>
    <x v="1"/>
    <s v="N/A"/>
    <n v="2650000"/>
    <s v="Confirmed"/>
    <m/>
    <x v="0"/>
    <x v="0"/>
    <m/>
    <x v="2"/>
    <x v="0"/>
    <m/>
    <n v="1"/>
    <x v="1"/>
    <s v="High"/>
    <n v="85611818.171245083"/>
  </r>
  <r>
    <x v="0"/>
    <x v="58"/>
    <x v="58"/>
    <x v="4"/>
    <x v="0"/>
    <x v="2"/>
    <x v="19"/>
    <x v="9"/>
    <s v="Multi-Year"/>
    <x v="1"/>
    <s v="N/A"/>
    <n v="4652400"/>
    <s v="Confirmed"/>
    <m/>
    <x v="0"/>
    <x v="0"/>
    <m/>
    <x v="2"/>
    <x v="0"/>
    <m/>
    <n v="0"/>
    <x v="0"/>
    <s v="Low"/>
    <n v="680289736.30082119"/>
  </r>
  <r>
    <x v="0"/>
    <x v="59"/>
    <x v="59"/>
    <x v="0"/>
    <x v="0"/>
    <x v="2"/>
    <x v="19"/>
    <x v="9"/>
    <s v="Multi-Year"/>
    <x v="1"/>
    <s v="N/A"/>
    <n v="36840139"/>
    <s v="Confirmed"/>
    <m/>
    <x v="0"/>
    <x v="0"/>
    <m/>
    <x v="2"/>
    <x v="0"/>
    <m/>
    <n v="0"/>
    <x v="0"/>
    <s v="N/A"/>
    <n v="26554332750.47023"/>
  </r>
  <r>
    <x v="0"/>
    <x v="60"/>
    <x v="60"/>
    <x v="6"/>
    <x v="0"/>
    <x v="2"/>
    <x v="19"/>
    <x v="9"/>
    <s v="Multi-Year"/>
    <x v="1"/>
    <s v="N/A"/>
    <n v="13950000"/>
    <s v="Confirmed"/>
    <m/>
    <x v="0"/>
    <x v="0"/>
    <m/>
    <x v="2"/>
    <x v="0"/>
    <m/>
    <n v="0"/>
    <x v="0"/>
    <s v="N/A"/>
    <n v="14745961064.890842"/>
  </r>
  <r>
    <x v="0"/>
    <x v="61"/>
    <x v="61"/>
    <x v="2"/>
    <x v="0"/>
    <x v="2"/>
    <x v="19"/>
    <x v="9"/>
    <s v="Multi-Year"/>
    <x v="1"/>
    <s v="N/A"/>
    <s v=""/>
    <s v="Confirmed"/>
    <m/>
    <x v="0"/>
    <x v="0"/>
    <m/>
    <x v="2"/>
    <x v="1"/>
    <m/>
    <n v="0"/>
    <x v="0"/>
    <s v="N/A"/>
    <n v="18194076299.786381"/>
  </r>
  <r>
    <x v="0"/>
    <x v="62"/>
    <x v="62"/>
    <x v="2"/>
    <x v="0"/>
    <x v="2"/>
    <x v="19"/>
    <x v="9"/>
    <s v="Multi-Year"/>
    <x v="1"/>
    <s v="N/A"/>
    <n v="1534768"/>
    <s v="Confirmed"/>
    <m/>
    <x v="0"/>
    <x v="0"/>
    <m/>
    <x v="1"/>
    <x v="1"/>
    <m/>
    <n v="0"/>
    <x v="0"/>
    <s v="N/A"/>
    <n v="4428819387.769825"/>
  </r>
  <r>
    <x v="0"/>
    <x v="63"/>
    <x v="63"/>
    <x v="4"/>
    <x v="0"/>
    <x v="2"/>
    <x v="19"/>
    <x v="9"/>
    <s v="Multi-Year"/>
    <x v="1"/>
    <s v="N/A"/>
    <n v="3450000"/>
    <s v="Confirmed"/>
    <m/>
    <x v="0"/>
    <x v="0"/>
    <m/>
    <x v="1"/>
    <x v="1"/>
    <m/>
    <n v="0"/>
    <x v="1"/>
    <s v=""/>
    <n v="611739560.62679195"/>
  </r>
  <r>
    <x v="0"/>
    <x v="64"/>
    <x v="64"/>
    <x v="2"/>
    <x v="0"/>
    <x v="2"/>
    <x v="19"/>
    <x v="9"/>
    <s v="Multi-Year"/>
    <x v="1"/>
    <s v="N/A"/>
    <n v="2979126"/>
    <s v="Confirmed"/>
    <m/>
    <x v="0"/>
    <x v="0"/>
    <m/>
    <x v="1"/>
    <x v="1"/>
    <m/>
    <n v="0"/>
    <x v="0"/>
    <s v="N/A"/>
    <n v="1617913383.0481031"/>
  </r>
  <r>
    <x v="0"/>
    <x v="65"/>
    <x v="65"/>
    <x v="1"/>
    <x v="0"/>
    <x v="2"/>
    <x v="19"/>
    <x v="9"/>
    <s v="Multi-Year"/>
    <x v="1"/>
    <s v="N/A"/>
    <n v="2450000"/>
    <s v="Confirmed"/>
    <m/>
    <x v="0"/>
    <x v="0"/>
    <m/>
    <x v="1"/>
    <x v="1"/>
    <m/>
    <n v="0"/>
    <x v="0"/>
    <s v=""/>
    <n v="3074419112.4562683"/>
  </r>
  <r>
    <x v="0"/>
    <x v="66"/>
    <x v="66"/>
    <x v="3"/>
    <x v="0"/>
    <x v="2"/>
    <x v="19"/>
    <x v="9"/>
    <s v="Multi-Year"/>
    <x v="1"/>
    <s v="N/A"/>
    <n v="3850000"/>
    <s v="Confirmed"/>
    <m/>
    <x v="0"/>
    <x v="0"/>
    <m/>
    <x v="2"/>
    <x v="0"/>
    <m/>
    <n v="0"/>
    <x v="0"/>
    <s v="High"/>
    <n v="1914014279.8929913"/>
  </r>
  <r>
    <x v="0"/>
    <x v="67"/>
    <x v="67"/>
    <x v="6"/>
    <x v="0"/>
    <x v="2"/>
    <x v="19"/>
    <x v="9"/>
    <s v="Multi-Year"/>
    <x v="1"/>
    <s v="N/A"/>
    <s v=""/>
    <s v="Confirmed"/>
    <m/>
    <x v="0"/>
    <x v="0"/>
    <m/>
    <x v="2"/>
    <x v="0"/>
    <m/>
    <n v="0"/>
    <x v="1"/>
    <s v="High"/>
    <n v="17422005.762907442"/>
  </r>
  <r>
    <x v="0"/>
    <x v="68"/>
    <x v="68"/>
    <x v="6"/>
    <x v="0"/>
    <x v="2"/>
    <x v="19"/>
    <x v="9"/>
    <s v="Multi-Year"/>
    <x v="1"/>
    <s v="N/A"/>
    <s v=""/>
    <s v="Confirmed"/>
    <m/>
    <x v="0"/>
    <x v="0"/>
    <m/>
    <x v="0"/>
    <x v="0"/>
    <m/>
    <n v="0"/>
    <x v="0"/>
    <s v="N/A"/>
    <s v=""/>
  </r>
  <r>
    <x v="0"/>
    <x v="69"/>
    <x v="69"/>
    <x v="1"/>
    <x v="0"/>
    <x v="2"/>
    <x v="19"/>
    <x v="9"/>
    <s v="Multi-Year"/>
    <x v="1"/>
    <s v="N/A"/>
    <n v="2500000"/>
    <s v="Confirmed"/>
    <m/>
    <x v="0"/>
    <x v="0"/>
    <m/>
    <x v="1"/>
    <x v="0"/>
    <m/>
    <n v="0"/>
    <x v="0"/>
    <s v="…"/>
    <s v=""/>
  </r>
  <r>
    <x v="0"/>
    <x v="70"/>
    <x v="70"/>
    <x v="1"/>
    <x v="0"/>
    <x v="2"/>
    <x v="19"/>
    <x v="9"/>
    <s v="Multi-Year"/>
    <x v="1"/>
    <s v="N/A"/>
    <n v="3000000"/>
    <s v="Confirmed"/>
    <m/>
    <x v="0"/>
    <x v="0"/>
    <m/>
    <x v="2"/>
    <x v="0"/>
    <m/>
    <n v="2"/>
    <x v="0"/>
    <s v="Moderate"/>
    <n v="231506834.84347546"/>
  </r>
  <r>
    <x v="0"/>
    <x v="71"/>
    <x v="71"/>
    <x v="6"/>
    <x v="0"/>
    <x v="2"/>
    <x v="19"/>
    <x v="9"/>
    <s v="Multi-Year"/>
    <x v="1"/>
    <s v="N/A"/>
    <n v="2900000"/>
    <s v="Confirmed"/>
    <m/>
    <x v="0"/>
    <x v="0"/>
    <m/>
    <x v="2"/>
    <x v="0"/>
    <m/>
    <n v="0"/>
    <x v="0"/>
    <s v="High"/>
    <n v="156059428.62944782"/>
  </r>
  <r>
    <x v="0"/>
    <x v="72"/>
    <x v="72"/>
    <x v="2"/>
    <x v="0"/>
    <x v="2"/>
    <x v="19"/>
    <x v="9"/>
    <s v="Multi-Year"/>
    <x v="1"/>
    <s v="N/A"/>
    <n v="3150000"/>
    <s v="Confirmed"/>
    <m/>
    <x v="0"/>
    <x v="0"/>
    <m/>
    <x v="1"/>
    <x v="1"/>
    <m/>
    <n v="0"/>
    <x v="0"/>
    <s v="N/A"/>
    <n v="2355391507.1635861"/>
  </r>
  <r>
    <x v="0"/>
    <x v="73"/>
    <x v="73"/>
    <x v="3"/>
    <x v="0"/>
    <x v="2"/>
    <x v="19"/>
    <x v="9"/>
    <s v="Multi-Year"/>
    <x v="1"/>
    <s v="N/A"/>
    <n v="1860000"/>
    <s v="Confirmed"/>
    <m/>
    <x v="0"/>
    <x v="0"/>
    <m/>
    <x v="2"/>
    <x v="0"/>
    <m/>
    <n v="0"/>
    <x v="0"/>
    <s v="Moderate"/>
    <n v="152760919.7684873"/>
  </r>
  <r>
    <x v="0"/>
    <x v="74"/>
    <x v="74"/>
    <x v="5"/>
    <x v="0"/>
    <x v="2"/>
    <x v="19"/>
    <x v="9"/>
    <s v="Multi-Year"/>
    <x v="1"/>
    <s v="N/A"/>
    <n v="1900000"/>
    <s v="Confirmed"/>
    <m/>
    <x v="0"/>
    <x v="0"/>
    <m/>
    <x v="0"/>
    <x v="0"/>
    <m/>
    <n v="0"/>
    <x v="0"/>
    <s v="High"/>
    <n v="55072006.864440605"/>
  </r>
  <r>
    <x v="0"/>
    <x v="75"/>
    <x v="75"/>
    <x v="2"/>
    <x v="0"/>
    <x v="2"/>
    <x v="19"/>
    <x v="9"/>
    <s v="Multi-Year"/>
    <x v="1"/>
    <s v="N/A"/>
    <n v="1716264"/>
    <s v="Confirmed"/>
    <m/>
    <x v="0"/>
    <x v="0"/>
    <m/>
    <x v="1"/>
    <x v="1"/>
    <m/>
    <n v="0"/>
    <x v="0"/>
    <s v="N/A"/>
    <s v=""/>
  </r>
  <r>
    <x v="0"/>
    <x v="76"/>
    <x v="76"/>
    <x v="3"/>
    <x v="0"/>
    <x v="2"/>
    <x v="19"/>
    <x v="9"/>
    <s v="Multi-Year"/>
    <x v="1"/>
    <s v="N/A"/>
    <n v="2650000"/>
    <s v="Confirmed"/>
    <m/>
    <x v="0"/>
    <x v="0"/>
    <m/>
    <x v="0"/>
    <x v="0"/>
    <m/>
    <n v="2"/>
    <x v="0"/>
    <s v="Moderate"/>
    <n v="206914157.05429548"/>
  </r>
  <r>
    <x v="0"/>
    <x v="77"/>
    <x v="77"/>
    <x v="3"/>
    <x v="0"/>
    <x v="2"/>
    <x v="19"/>
    <x v="9"/>
    <s v="Multi-Year"/>
    <x v="1"/>
    <s v="N/A"/>
    <s v=""/>
    <s v="Confirmed"/>
    <m/>
    <x v="0"/>
    <x v="0"/>
    <m/>
    <x v="0"/>
    <x v="0"/>
    <m/>
    <n v="2"/>
    <x v="0"/>
    <s v="High"/>
    <n v="185999915.02066413"/>
  </r>
  <r>
    <x v="0"/>
    <x v="78"/>
    <x v="78"/>
    <x v="6"/>
    <x v="0"/>
    <x v="2"/>
    <x v="19"/>
    <x v="9"/>
    <s v="Multi-Year"/>
    <x v="1"/>
    <s v="N/A"/>
    <n v="218600"/>
    <s v="Confirmed"/>
    <m/>
    <x v="0"/>
    <x v="0"/>
    <m/>
    <x v="1"/>
    <x v="1"/>
    <m/>
    <n v="0"/>
    <x v="0"/>
    <s v=""/>
    <n v="6893755763.2501726"/>
  </r>
  <r>
    <x v="0"/>
    <x v="79"/>
    <x v="79"/>
    <x v="0"/>
    <x v="0"/>
    <x v="2"/>
    <x v="19"/>
    <x v="9"/>
    <s v="Multi-Year"/>
    <x v="1"/>
    <s v="N/A"/>
    <n v="1000000"/>
    <s v="Confirmed"/>
    <m/>
    <x v="0"/>
    <x v="0"/>
    <m/>
    <x v="1"/>
    <x v="0"/>
    <m/>
    <n v="0"/>
    <x v="1"/>
    <s v="High"/>
    <n v="354560231.58276606"/>
  </r>
  <r>
    <x v="0"/>
    <x v="80"/>
    <x v="80"/>
    <x v="5"/>
    <x v="0"/>
    <x v="2"/>
    <x v="19"/>
    <x v="9"/>
    <s v="Multi-Year"/>
    <x v="1"/>
    <s v="N/A"/>
    <n v="3100000"/>
    <s v="Confirmed"/>
    <m/>
    <x v="0"/>
    <x v="0"/>
    <m/>
    <x v="0"/>
    <x v="0"/>
    <m/>
    <n v="1"/>
    <x v="0"/>
    <s v="Moderate"/>
    <n v="188169167.56540567"/>
  </r>
  <r>
    <x v="0"/>
    <x v="81"/>
    <x v="81"/>
    <x v="6"/>
    <x v="0"/>
    <x v="2"/>
    <x v="19"/>
    <x v="9"/>
    <s v="Multi-Year"/>
    <x v="1"/>
    <s v="N/A"/>
    <s v=""/>
    <s v="Confirmed"/>
    <m/>
    <x v="0"/>
    <x v="0"/>
    <m/>
    <x v="1"/>
    <x v="0"/>
    <m/>
    <n v="0"/>
    <x v="1"/>
    <s v=""/>
    <n v="16312106.556340856"/>
  </r>
  <r>
    <x v="0"/>
    <x v="82"/>
    <x v="82"/>
    <x v="5"/>
    <x v="0"/>
    <x v="2"/>
    <x v="19"/>
    <x v="9"/>
    <s v="Multi-Year"/>
    <x v="1"/>
    <s v="N/A"/>
    <n v="862839"/>
    <s v="Confirmed"/>
    <m/>
    <x v="0"/>
    <x v="0"/>
    <m/>
    <x v="2"/>
    <x v="0"/>
    <m/>
    <n v="2"/>
    <x v="0"/>
    <s v="High"/>
    <n v="86083833.534053758"/>
  </r>
  <r>
    <x v="0"/>
    <x v="83"/>
    <x v="83"/>
    <x v="3"/>
    <x v="0"/>
    <x v="2"/>
    <x v="19"/>
    <x v="9"/>
    <s v="Multi-Year"/>
    <x v="1"/>
    <s v="N/A"/>
    <n v="250000"/>
    <s v="Confirmed"/>
    <m/>
    <x v="0"/>
    <x v="0"/>
    <m/>
    <x v="1"/>
    <x v="1"/>
    <m/>
    <n v="0"/>
    <x v="1"/>
    <s v="N/A"/>
    <n v="357220835.93762809"/>
  </r>
  <r>
    <x v="0"/>
    <x v="84"/>
    <x v="84"/>
    <x v="4"/>
    <x v="0"/>
    <x v="2"/>
    <x v="19"/>
    <x v="9"/>
    <s v="Multi-Year"/>
    <x v="1"/>
    <s v="N/A"/>
    <s v=""/>
    <s v="Confirmed"/>
    <m/>
    <x v="0"/>
    <x v="0"/>
    <m/>
    <x v="1"/>
    <x v="1"/>
    <m/>
    <n v="0"/>
    <x v="0"/>
    <s v=""/>
    <n v="32831598153.796387"/>
  </r>
  <r>
    <x v="0"/>
    <x v="85"/>
    <x v="85"/>
    <x v="6"/>
    <x v="0"/>
    <x v="2"/>
    <x v="19"/>
    <x v="9"/>
    <s v="Multi-Year"/>
    <x v="1"/>
    <s v="N/A"/>
    <s v=""/>
    <s v="Confirmed"/>
    <m/>
    <x v="0"/>
    <x v="0"/>
    <m/>
    <x v="2"/>
    <x v="0"/>
    <m/>
    <n v="0"/>
    <x v="1"/>
    <s v="High"/>
    <n v="12329056.093798399"/>
  </r>
  <r>
    <x v="0"/>
    <x v="86"/>
    <x v="86"/>
    <x v="1"/>
    <x v="0"/>
    <x v="2"/>
    <x v="19"/>
    <x v="9"/>
    <s v="Multi-Year"/>
    <x v="1"/>
    <s v="N/A"/>
    <n v="1900000"/>
    <s v="Confirmed"/>
    <m/>
    <x v="0"/>
    <x v="0"/>
    <m/>
    <x v="1"/>
    <x v="0"/>
    <m/>
    <n v="0"/>
    <x v="0"/>
    <s v="Low"/>
    <n v="426639742.85328001"/>
  </r>
  <r>
    <x v="0"/>
    <x v="87"/>
    <x v="87"/>
    <x v="6"/>
    <x v="0"/>
    <x v="2"/>
    <x v="19"/>
    <x v="9"/>
    <s v="Multi-Year"/>
    <x v="1"/>
    <s v="N/A"/>
    <n v="500000"/>
    <s v="Confirmed"/>
    <m/>
    <x v="0"/>
    <x v="0"/>
    <m/>
    <x v="2"/>
    <x v="0"/>
    <m/>
    <n v="0"/>
    <x v="0"/>
    <s v="…"/>
    <n v="288519671.85870522"/>
  </r>
  <r>
    <x v="0"/>
    <x v="88"/>
    <x v="88"/>
    <x v="1"/>
    <x v="0"/>
    <x v="2"/>
    <x v="19"/>
    <x v="9"/>
    <s v="Multi-Year"/>
    <x v="1"/>
    <s v="N/A"/>
    <n v="800000"/>
    <s v="Confirmed"/>
    <m/>
    <x v="0"/>
    <x v="0"/>
    <m/>
    <x v="1"/>
    <x v="1"/>
    <m/>
    <n v="0"/>
    <x v="0"/>
    <s v="N/A"/>
    <n v="275606560.78491527"/>
  </r>
  <r>
    <x v="0"/>
    <x v="89"/>
    <x v="89"/>
    <x v="2"/>
    <x v="0"/>
    <x v="2"/>
    <x v="19"/>
    <x v="9"/>
    <s v="Multi-Year"/>
    <x v="1"/>
    <s v="N/A"/>
    <n v="3750000"/>
    <s v="Confirmed"/>
    <m/>
    <x v="0"/>
    <x v="0"/>
    <m/>
    <x v="2"/>
    <x v="0"/>
    <m/>
    <n v="0"/>
    <x v="0"/>
    <s v="N/A"/>
    <n v="2530937679.3725696"/>
  </r>
  <r>
    <x v="0"/>
    <x v="90"/>
    <x v="90"/>
    <x v="3"/>
    <x v="0"/>
    <x v="2"/>
    <x v="19"/>
    <x v="9"/>
    <s v="Multi-Year"/>
    <x v="1"/>
    <s v="N/A"/>
    <n v="3450000"/>
    <s v="Confirmed"/>
    <m/>
    <x v="0"/>
    <x v="0"/>
    <m/>
    <x v="0"/>
    <x v="0"/>
    <m/>
    <n v="0"/>
    <x v="0"/>
    <s v="In distress"/>
    <n v="251432156.86255455"/>
  </r>
  <r>
    <x v="0"/>
    <x v="91"/>
    <x v="91"/>
    <x v="6"/>
    <x v="0"/>
    <x v="2"/>
    <x v="19"/>
    <x v="9"/>
    <s v="Multi-Year"/>
    <x v="1"/>
    <s v="N/A"/>
    <n v="2550000"/>
    <s v="Confirmed"/>
    <m/>
    <x v="0"/>
    <x v="0"/>
    <m/>
    <x v="2"/>
    <x v="0"/>
    <m/>
    <n v="0"/>
    <x v="0"/>
    <s v="Low"/>
    <n v="471534500.60109437"/>
  </r>
  <r>
    <x v="0"/>
    <x v="92"/>
    <x v="92"/>
    <x v="3"/>
    <x v="0"/>
    <x v="2"/>
    <x v="19"/>
    <x v="9"/>
    <s v="Multi-Year"/>
    <x v="1"/>
    <s v="N/A"/>
    <n v="3000000"/>
    <s v="Confirmed"/>
    <m/>
    <x v="0"/>
    <x v="0"/>
    <m/>
    <x v="1"/>
    <x v="1"/>
    <m/>
    <n v="0"/>
    <x v="0"/>
    <s v=""/>
    <n v="531677611.80447447"/>
  </r>
  <r>
    <x v="0"/>
    <x v="93"/>
    <x v="93"/>
    <x v="6"/>
    <x v="0"/>
    <x v="2"/>
    <x v="19"/>
    <x v="9"/>
    <s v="Multi-Year"/>
    <x v="1"/>
    <s v="N/A"/>
    <s v=""/>
    <s v="Confirmed"/>
    <m/>
    <x v="0"/>
    <x v="0"/>
    <m/>
    <x v="3"/>
    <x v="1"/>
    <m/>
    <n v="0"/>
    <x v="1"/>
    <s v=""/>
    <n v="8528751.6418357007"/>
  </r>
  <r>
    <x v="0"/>
    <x v="94"/>
    <x v="94"/>
    <x v="0"/>
    <x v="0"/>
    <x v="2"/>
    <x v="19"/>
    <x v="9"/>
    <s v="Multi-Year"/>
    <x v="1"/>
    <s v="N/A"/>
    <n v="4100000"/>
    <s v="Confirmed"/>
    <m/>
    <x v="0"/>
    <x v="0"/>
    <m/>
    <x v="2"/>
    <x v="0"/>
    <m/>
    <n v="0"/>
    <x v="0"/>
    <s v="Low"/>
    <n v="407084543.19089872"/>
  </r>
  <r>
    <x v="0"/>
    <x v="95"/>
    <x v="95"/>
    <x v="4"/>
    <x v="0"/>
    <x v="2"/>
    <x v="19"/>
    <x v="9"/>
    <s v="Multi-Year"/>
    <x v="1"/>
    <s v="N/A"/>
    <n v="150000"/>
    <s v="Confirmed"/>
    <m/>
    <x v="0"/>
    <x v="0"/>
    <m/>
    <x v="2"/>
    <x v="0"/>
    <m/>
    <n v="0"/>
    <x v="0"/>
    <s v="Moderate"/>
    <n v="671998341.93592453"/>
  </r>
  <r>
    <x v="0"/>
    <x v="96"/>
    <x v="96"/>
    <x v="5"/>
    <x v="0"/>
    <x v="2"/>
    <x v="19"/>
    <x v="9"/>
    <s v="Multi-Year"/>
    <x v="1"/>
    <s v="N/A"/>
    <n v="4750000"/>
    <s v="Confirmed"/>
    <m/>
    <x v="0"/>
    <x v="0"/>
    <m/>
    <x v="0"/>
    <x v="0"/>
    <m/>
    <n v="1"/>
    <x v="0"/>
    <s v="Moderate"/>
    <n v="226203289.67158964"/>
  </r>
  <r>
    <x v="0"/>
    <x v="97"/>
    <x v="97"/>
    <x v="5"/>
    <x v="0"/>
    <x v="2"/>
    <x v="19"/>
    <x v="9"/>
    <s v="Multi-Year"/>
    <x v="1"/>
    <s v="N/A"/>
    <n v="1600863.3"/>
    <s v="Confirmed"/>
    <m/>
    <x v="0"/>
    <x v="0"/>
    <m/>
    <x v="2"/>
    <x v="0"/>
    <m/>
    <n v="3"/>
    <x v="0"/>
    <s v="…"/>
    <n v="2438881113.1244688"/>
  </r>
  <r>
    <x v="0"/>
    <x v="98"/>
    <x v="98"/>
    <x v="1"/>
    <x v="0"/>
    <x v="2"/>
    <x v="19"/>
    <x v="9"/>
    <s v="Multi-Year"/>
    <x v="1"/>
    <s v="N/A"/>
    <n v="1000000"/>
    <s v="Confirmed"/>
    <m/>
    <x v="0"/>
    <x v="0"/>
    <m/>
    <x v="1"/>
    <x v="1"/>
    <m/>
    <n v="0"/>
    <x v="0"/>
    <s v=""/>
    <n v="476517795.73174149"/>
  </r>
  <r>
    <x v="0"/>
    <x v="99"/>
    <x v="99"/>
    <x v="0"/>
    <x v="0"/>
    <x v="2"/>
    <x v="19"/>
    <x v="9"/>
    <s v="Multi-Year"/>
    <x v="1"/>
    <s v="N/A"/>
    <n v="2500000"/>
    <s v="Confirmed"/>
    <m/>
    <x v="0"/>
    <x v="0"/>
    <m/>
    <x v="2"/>
    <x v="0"/>
    <m/>
    <n v="0"/>
    <x v="0"/>
    <s v="…"/>
    <n v="3233351297.7679496"/>
  </r>
  <r>
    <x v="0"/>
    <x v="100"/>
    <x v="100"/>
    <x v="4"/>
    <x v="0"/>
    <x v="2"/>
    <x v="19"/>
    <x v="9"/>
    <s v="Multi-Year"/>
    <x v="1"/>
    <s v="N/A"/>
    <s v=""/>
    <s v="Confirmed"/>
    <m/>
    <x v="0"/>
    <x v="0"/>
    <m/>
    <x v="3"/>
    <x v="1"/>
    <m/>
    <n v="0"/>
    <x v="1"/>
    <s v=""/>
    <n v="18180646.808608256"/>
  </r>
  <r>
    <x v="0"/>
    <x v="101"/>
    <x v="101"/>
    <x v="4"/>
    <x v="0"/>
    <x v="2"/>
    <x v="19"/>
    <x v="9"/>
    <s v="Multi-Year"/>
    <x v="1"/>
    <s v="N/A"/>
    <n v="200000"/>
    <s v="Confirmed"/>
    <m/>
    <x v="0"/>
    <x v="0"/>
    <m/>
    <x v="1"/>
    <x v="1"/>
    <m/>
    <n v="0"/>
    <x v="0"/>
    <s v="N/A"/>
    <n v="3020530707.3485303"/>
  </r>
  <r>
    <x v="0"/>
    <x v="102"/>
    <x v="102"/>
    <x v="6"/>
    <x v="0"/>
    <x v="2"/>
    <x v="19"/>
    <x v="9"/>
    <s v="Multi-Year"/>
    <x v="1"/>
    <s v="N/A"/>
    <n v="4500000"/>
    <s v="Confirmed"/>
    <m/>
    <x v="0"/>
    <x v="0"/>
    <m/>
    <x v="2"/>
    <x v="0"/>
    <m/>
    <n v="1"/>
    <x v="1"/>
    <s v="High"/>
    <n v="384406316.46074712"/>
  </r>
  <r>
    <x v="0"/>
    <x v="103"/>
    <x v="103"/>
    <x v="4"/>
    <x v="0"/>
    <x v="2"/>
    <x v="19"/>
    <x v="9"/>
    <s v="Multi-Year"/>
    <x v="1"/>
    <s v="N/A"/>
    <n v="2500000"/>
    <s v="Confirmed"/>
    <m/>
    <x v="0"/>
    <x v="0"/>
    <m/>
    <x v="1"/>
    <x v="1"/>
    <m/>
    <n v="0"/>
    <x v="0"/>
    <s v=""/>
    <n v="1218747108.9554784"/>
  </r>
  <r>
    <x v="0"/>
    <x v="104"/>
    <x v="104"/>
    <x v="4"/>
    <x v="0"/>
    <x v="2"/>
    <x v="19"/>
    <x v="9"/>
    <s v="Multi-Year"/>
    <x v="1"/>
    <s v="N/A"/>
    <n v="6713840"/>
    <s v="Confirmed"/>
    <m/>
    <x v="0"/>
    <x v="0"/>
    <m/>
    <x v="1"/>
    <x v="1"/>
    <m/>
    <n v="0"/>
    <x v="0"/>
    <s v=""/>
    <n v="7392665952.5895758"/>
  </r>
  <r>
    <x v="0"/>
    <x v="105"/>
    <x v="105"/>
    <x v="6"/>
    <x v="0"/>
    <x v="2"/>
    <x v="19"/>
    <x v="9"/>
    <s v="Multi-Year"/>
    <x v="1"/>
    <s v="N/A"/>
    <n v="5300000"/>
    <s v="Confirmed"/>
    <m/>
    <x v="0"/>
    <x v="0"/>
    <m/>
    <x v="2"/>
    <x v="0"/>
    <m/>
    <n v="0"/>
    <x v="0"/>
    <s v="N/A"/>
    <n v="4754985988.6004429"/>
  </r>
  <r>
    <x v="0"/>
    <x v="106"/>
    <x v="106"/>
    <x v="1"/>
    <x v="0"/>
    <x v="2"/>
    <x v="19"/>
    <x v="9"/>
    <s v="Multi-Year"/>
    <x v="1"/>
    <s v="N/A"/>
    <s v=""/>
    <s v="Confirmed"/>
    <m/>
    <x v="0"/>
    <x v="0"/>
    <m/>
    <x v="3"/>
    <x v="1"/>
    <m/>
    <n v="0"/>
    <x v="0"/>
    <s v=""/>
    <n v="26422210443.037273"/>
  </r>
  <r>
    <x v="0"/>
    <x v="107"/>
    <x v="107"/>
    <x v="1"/>
    <x v="0"/>
    <x v="2"/>
    <x v="19"/>
    <x v="9"/>
    <s v="Multi-Year"/>
    <x v="1"/>
    <s v="N/A"/>
    <n v="2400000"/>
    <s v="Confirmed"/>
    <m/>
    <x v="0"/>
    <x v="0"/>
    <m/>
    <x v="1"/>
    <x v="1"/>
    <m/>
    <n v="0"/>
    <x v="0"/>
    <s v=""/>
    <n v="10696495313.15033"/>
  </r>
  <r>
    <x v="0"/>
    <x v="108"/>
    <x v="108"/>
    <x v="1"/>
    <x v="0"/>
    <x v="2"/>
    <x v="19"/>
    <x v="9"/>
    <s v="Multi-Year"/>
    <x v="1"/>
    <s v="N/A"/>
    <s v=""/>
    <s v="Confirmed"/>
    <m/>
    <x v="0"/>
    <x v="0"/>
    <m/>
    <x v="1"/>
    <x v="1"/>
    <m/>
    <n v="0"/>
    <x v="0"/>
    <s v=""/>
    <n v="52769713433.240509"/>
  </r>
  <r>
    <x v="0"/>
    <x v="109"/>
    <x v="109"/>
    <x v="3"/>
    <x v="0"/>
    <x v="2"/>
    <x v="19"/>
    <x v="9"/>
    <s v="Multi-Year"/>
    <x v="1"/>
    <s v="N/A"/>
    <n v="1830000"/>
    <s v="Confirmed"/>
    <m/>
    <x v="0"/>
    <x v="0"/>
    <m/>
    <x v="0"/>
    <x v="0"/>
    <m/>
    <n v="0"/>
    <x v="0"/>
    <s v="Moderate"/>
    <n v="225799814.51943746"/>
  </r>
  <r>
    <x v="0"/>
    <x v="110"/>
    <x v="110"/>
    <x v="6"/>
    <x v="0"/>
    <x v="2"/>
    <x v="19"/>
    <x v="9"/>
    <s v="Multi-Year"/>
    <x v="1"/>
    <s v="N/A"/>
    <s v=""/>
    <s v="Confirmed"/>
    <m/>
    <x v="0"/>
    <x v="0"/>
    <m/>
    <x v="2"/>
    <x v="0"/>
    <m/>
    <n v="0"/>
    <x v="1"/>
    <s v="High"/>
    <n v="32192988.027009469"/>
  </r>
  <r>
    <x v="0"/>
    <x v="111"/>
    <x v="111"/>
    <x v="5"/>
    <x v="0"/>
    <x v="2"/>
    <x v="19"/>
    <x v="9"/>
    <s v="Multi-Year"/>
    <x v="1"/>
    <s v="N/A"/>
    <n v="200000"/>
    <s v="Confirmed"/>
    <m/>
    <x v="0"/>
    <x v="0"/>
    <m/>
    <x v="2"/>
    <x v="0"/>
    <m/>
    <n v="0"/>
    <x v="1"/>
    <s v="In distress"/>
    <n v="11633535.136477679"/>
  </r>
  <r>
    <x v="0"/>
    <x v="112"/>
    <x v="112"/>
    <x v="5"/>
    <x v="0"/>
    <x v="2"/>
    <x v="19"/>
    <x v="9"/>
    <s v="Multi-Year"/>
    <x v="1"/>
    <s v="N/A"/>
    <n v="2200000"/>
    <s v="Confirmed"/>
    <m/>
    <x v="0"/>
    <x v="0"/>
    <m/>
    <x v="2"/>
    <x v="0"/>
    <m/>
    <n v="2"/>
    <x v="0"/>
    <s v="Moderate"/>
    <n v="222008693.93354639"/>
  </r>
  <r>
    <x v="0"/>
    <x v="113"/>
    <x v="113"/>
    <x v="1"/>
    <x v="0"/>
    <x v="2"/>
    <x v="19"/>
    <x v="9"/>
    <s v="Multi-Year"/>
    <x v="1"/>
    <s v="N/A"/>
    <n v="2500000"/>
    <s v="Confirmed"/>
    <m/>
    <x v="0"/>
    <x v="0"/>
    <m/>
    <x v="1"/>
    <x v="1"/>
    <m/>
    <n v="0"/>
    <x v="0"/>
    <s v=""/>
    <n v="2564993795.1894679"/>
  </r>
  <r>
    <x v="0"/>
    <x v="114"/>
    <x v="114"/>
    <x v="3"/>
    <x v="0"/>
    <x v="2"/>
    <x v="19"/>
    <x v="9"/>
    <s v="Multi-Year"/>
    <x v="1"/>
    <s v="N/A"/>
    <n v="330000"/>
    <s v="Confirmed"/>
    <m/>
    <x v="0"/>
    <x v="0"/>
    <m/>
    <x v="3"/>
    <x v="1"/>
    <m/>
    <n v="0"/>
    <x v="1"/>
    <s v="N/A"/>
    <n v="60237542.945069775"/>
  </r>
  <r>
    <x v="0"/>
    <x v="115"/>
    <x v="115"/>
    <x v="5"/>
    <x v="0"/>
    <x v="2"/>
    <x v="19"/>
    <x v="9"/>
    <s v="Multi-Year"/>
    <x v="1"/>
    <s v="N/A"/>
    <n v="2000000"/>
    <s v="Confirmed"/>
    <m/>
    <x v="0"/>
    <x v="0"/>
    <m/>
    <x v="0"/>
    <x v="0"/>
    <m/>
    <n v="0"/>
    <x v="0"/>
    <s v="High"/>
    <n v="63738640.538260505"/>
  </r>
  <r>
    <x v="0"/>
    <x v="116"/>
    <x v="116"/>
    <x v="6"/>
    <x v="0"/>
    <x v="2"/>
    <x v="19"/>
    <x v="9"/>
    <s v="Multi-Year"/>
    <x v="1"/>
    <s v="N/A"/>
    <s v=""/>
    <s v="Confirmed"/>
    <m/>
    <x v="0"/>
    <x v="0"/>
    <m/>
    <x v="2"/>
    <x v="0"/>
    <m/>
    <n v="0"/>
    <x v="1"/>
    <s v="Moderate"/>
    <n v="49012774.055630356"/>
  </r>
  <r>
    <x v="0"/>
    <x v="117"/>
    <x v="117"/>
    <x v="3"/>
    <x v="0"/>
    <x v="2"/>
    <x v="19"/>
    <x v="9"/>
    <s v="Multi-Year"/>
    <x v="1"/>
    <s v="N/A"/>
    <n v="1500000"/>
    <s v="Confirmed"/>
    <m/>
    <x v="0"/>
    <x v="0"/>
    <m/>
    <x v="0"/>
    <x v="0"/>
    <m/>
    <n v="1"/>
    <x v="0"/>
    <s v="In distress"/>
    <s v=""/>
  </r>
  <r>
    <x v="0"/>
    <x v="118"/>
    <x v="118"/>
    <x v="3"/>
    <x v="0"/>
    <x v="2"/>
    <x v="19"/>
    <x v="9"/>
    <s v="Multi-Year"/>
    <x v="1"/>
    <s v="N/A"/>
    <n v="10000000"/>
    <s v="Confirmed"/>
    <m/>
    <x v="0"/>
    <x v="0"/>
    <m/>
    <x v="1"/>
    <x v="1"/>
    <m/>
    <n v="0"/>
    <x v="0"/>
    <s v="N/A"/>
    <n v="16429121142.784708"/>
  </r>
  <r>
    <x v="0"/>
    <x v="119"/>
    <x v="119"/>
    <x v="3"/>
    <x v="0"/>
    <x v="2"/>
    <x v="19"/>
    <x v="9"/>
    <s v="Multi-Year"/>
    <x v="1"/>
    <s v="N/A"/>
    <n v="2934755"/>
    <s v="Confirmed"/>
    <m/>
    <x v="0"/>
    <x v="0"/>
    <m/>
    <x v="0"/>
    <x v="0"/>
    <m/>
    <n v="1"/>
    <x v="0"/>
    <s v="High"/>
    <n v="31684581.76217727"/>
  </r>
  <r>
    <x v="0"/>
    <x v="120"/>
    <x v="120"/>
    <x v="0"/>
    <x v="0"/>
    <x v="2"/>
    <x v="19"/>
    <x v="9"/>
    <s v="Multi-Year"/>
    <x v="1"/>
    <s v="N/A"/>
    <n v="1000000"/>
    <s v="Confirmed"/>
    <m/>
    <x v="0"/>
    <x v="0"/>
    <m/>
    <x v="2"/>
    <x v="0"/>
    <m/>
    <n v="0"/>
    <x v="0"/>
    <s v="N/A"/>
    <n v="1373621563.5182886"/>
  </r>
  <r>
    <x v="0"/>
    <x v="121"/>
    <x v="121"/>
    <x v="4"/>
    <x v="0"/>
    <x v="2"/>
    <x v="19"/>
    <x v="9"/>
    <s v="Multi-Year"/>
    <x v="1"/>
    <s v="N/A"/>
    <s v=""/>
    <s v="Confirmed"/>
    <m/>
    <x v="0"/>
    <x v="0"/>
    <m/>
    <x v="3"/>
    <x v="1"/>
    <m/>
    <n v="0"/>
    <x v="1"/>
    <s v=""/>
    <n v="24214370.889062837"/>
  </r>
  <r>
    <x v="0"/>
    <x v="122"/>
    <x v="122"/>
    <x v="4"/>
    <x v="0"/>
    <x v="2"/>
    <x v="19"/>
    <x v="9"/>
    <s v="Multi-Year"/>
    <x v="1"/>
    <s v="N/A"/>
    <s v=""/>
    <s v="Confirmed"/>
    <m/>
    <x v="0"/>
    <x v="0"/>
    <m/>
    <x v="1"/>
    <x v="0"/>
    <m/>
    <n v="0"/>
    <x v="1"/>
    <s v="…"/>
    <n v="39941279.609447442"/>
  </r>
  <r>
    <x v="0"/>
    <x v="123"/>
    <x v="123"/>
    <x v="4"/>
    <x v="0"/>
    <x v="2"/>
    <x v="19"/>
    <x v="9"/>
    <s v="Multi-Year"/>
    <x v="1"/>
    <s v="N/A"/>
    <s v=""/>
    <s v="Confirmed"/>
    <m/>
    <x v="0"/>
    <x v="0"/>
    <m/>
    <x v="1"/>
    <x v="0"/>
    <m/>
    <n v="0"/>
    <x v="1"/>
    <s v="High"/>
    <n v="24761675.260059897"/>
  </r>
  <r>
    <x v="0"/>
    <x v="124"/>
    <x v="124"/>
    <x v="2"/>
    <x v="0"/>
    <x v="2"/>
    <x v="19"/>
    <x v="9"/>
    <s v="Multi-Year"/>
    <x v="1"/>
    <s v="N/A"/>
    <n v="900000"/>
    <s v="Confirmed"/>
    <m/>
    <x v="0"/>
    <x v="0"/>
    <m/>
    <x v="2"/>
    <x v="0"/>
    <m/>
    <n v="0"/>
    <x v="0"/>
    <s v="N/A"/>
    <s v=""/>
  </r>
  <r>
    <x v="0"/>
    <x v="125"/>
    <x v="125"/>
    <x v="2"/>
    <x v="0"/>
    <x v="2"/>
    <x v="19"/>
    <x v="9"/>
    <s v="Multi-Year"/>
    <x v="1"/>
    <s v="N/A"/>
    <n v="710000"/>
    <s v="Confirmed"/>
    <m/>
    <x v="0"/>
    <x v="0"/>
    <m/>
    <x v="0"/>
    <x v="0"/>
    <m/>
    <n v="1"/>
    <x v="0"/>
    <s v="N/A"/>
    <n v="577156172.71229994"/>
  </r>
  <r>
    <x v="0"/>
    <x v="126"/>
    <x v="126"/>
    <x v="6"/>
    <x v="0"/>
    <x v="2"/>
    <x v="19"/>
    <x v="9"/>
    <s v="Multi-Year"/>
    <x v="1"/>
    <s v="N/A"/>
    <s v=""/>
    <s v="Confirmed"/>
    <m/>
    <x v="0"/>
    <x v="0"/>
    <m/>
    <x v="1"/>
    <x v="1"/>
    <m/>
    <n v="0"/>
    <x v="1"/>
    <s v=""/>
    <n v="180052034.19851837"/>
  </r>
  <r>
    <x v="0"/>
    <x v="127"/>
    <x v="127"/>
    <x v="2"/>
    <x v="0"/>
    <x v="2"/>
    <x v="19"/>
    <x v="9"/>
    <s v="Multi-Year"/>
    <x v="1"/>
    <s v="N/A"/>
    <n v="300000"/>
    <s v="Confirmed"/>
    <m/>
    <x v="0"/>
    <x v="0"/>
    <m/>
    <x v="0"/>
    <x v="0"/>
    <m/>
    <n v="1"/>
    <x v="0"/>
    <s v="N/A"/>
    <s v=""/>
  </r>
  <r>
    <x v="0"/>
    <x v="128"/>
    <x v="128"/>
    <x v="1"/>
    <x v="0"/>
    <x v="2"/>
    <x v="19"/>
    <x v="9"/>
    <s v="Multi-Year"/>
    <x v="1"/>
    <s v="N/A"/>
    <n v="1952000"/>
    <s v="Confirmed"/>
    <m/>
    <x v="0"/>
    <x v="0"/>
    <m/>
    <x v="2"/>
    <x v="0"/>
    <m/>
    <n v="0"/>
    <x v="0"/>
    <s v="High"/>
    <n v="147296124.32232863"/>
  </r>
  <r>
    <x v="0"/>
    <x v="129"/>
    <x v="129"/>
    <x v="3"/>
    <x v="0"/>
    <x v="2"/>
    <x v="19"/>
    <x v="9"/>
    <s v="Multi-Year"/>
    <x v="1"/>
    <s v="N/A"/>
    <n v="2500000"/>
    <s v="Confirmed"/>
    <m/>
    <x v="0"/>
    <x v="0"/>
    <m/>
    <x v="2"/>
    <x v="0"/>
    <m/>
    <n v="0"/>
    <x v="0"/>
    <s v="…"/>
    <n v="890576536.83065879"/>
  </r>
  <r>
    <x v="0"/>
    <x v="130"/>
    <x v="130"/>
    <x v="6"/>
    <x v="0"/>
    <x v="2"/>
    <x v="19"/>
    <x v="9"/>
    <s v="Multi-Year"/>
    <x v="1"/>
    <s v="N/A"/>
    <n v="1200000"/>
    <s v="Confirmed"/>
    <m/>
    <x v="0"/>
    <x v="0"/>
    <m/>
    <x v="1"/>
    <x v="1"/>
    <m/>
    <n v="0"/>
    <x v="0"/>
    <s v=""/>
    <n v="14611129792.346064"/>
  </r>
  <r>
    <x v="0"/>
    <x v="131"/>
    <x v="131"/>
    <x v="6"/>
    <x v="0"/>
    <x v="2"/>
    <x v="19"/>
    <x v="9"/>
    <s v="Multi-Year"/>
    <x v="1"/>
    <s v="N/A"/>
    <n v="725723"/>
    <s v="Confirmed"/>
    <m/>
    <x v="0"/>
    <x v="0"/>
    <m/>
    <x v="2"/>
    <x v="0"/>
    <m/>
    <n v="0"/>
    <x v="1"/>
    <s v="Low"/>
    <n v="72046877.233008593"/>
  </r>
  <r>
    <x v="0"/>
    <x v="132"/>
    <x v="132"/>
    <x v="5"/>
    <x v="0"/>
    <x v="2"/>
    <x v="19"/>
    <x v="9"/>
    <s v="Multi-Year"/>
    <x v="1"/>
    <s v="N/A"/>
    <n v="500000"/>
    <s v="Confirmed"/>
    <m/>
    <x v="0"/>
    <x v="0"/>
    <m/>
    <x v="0"/>
    <x v="0"/>
    <m/>
    <n v="0"/>
    <x v="0"/>
    <s v="High"/>
    <n v="56248139.267255567"/>
  </r>
  <r>
    <x v="0"/>
    <x v="133"/>
    <x v="133"/>
    <x v="6"/>
    <x v="0"/>
    <x v="2"/>
    <x v="19"/>
    <x v="9"/>
    <s v="Multi-Year"/>
    <x v="1"/>
    <s v="N/A"/>
    <s v=""/>
    <s v="Confirmed"/>
    <m/>
    <x v="0"/>
    <x v="0"/>
    <m/>
    <x v="1"/>
    <x v="0"/>
    <m/>
    <n v="0"/>
    <x v="1"/>
    <s v="High"/>
    <n v="15464031.712942109"/>
  </r>
  <r>
    <x v="0"/>
    <x v="134"/>
    <x v="134"/>
    <x v="4"/>
    <x v="0"/>
    <x v="2"/>
    <x v="19"/>
    <x v="9"/>
    <s v="Multi-Year"/>
    <x v="1"/>
    <s v="N/A"/>
    <s v=""/>
    <s v="Confirmed"/>
    <m/>
    <x v="0"/>
    <x v="0"/>
    <m/>
    <x v="3"/>
    <x v="1"/>
    <m/>
    <n v="0"/>
    <x v="1"/>
    <s v="N/A"/>
    <n v="769564399.33249676"/>
  </r>
  <r>
    <x v="0"/>
    <x v="135"/>
    <x v="135"/>
    <x v="2"/>
    <x v="0"/>
    <x v="2"/>
    <x v="19"/>
    <x v="9"/>
    <s v="Multi-Year"/>
    <x v="1"/>
    <s v="N/A"/>
    <n v="3000000"/>
    <s v="Confirmed"/>
    <m/>
    <x v="0"/>
    <x v="0"/>
    <m/>
    <x v="2"/>
    <x v="0"/>
    <m/>
    <n v="0"/>
    <x v="0"/>
    <s v="N/A"/>
    <n v="1668954539.7630196"/>
  </r>
  <r>
    <x v="0"/>
    <x v="136"/>
    <x v="136"/>
    <x v="1"/>
    <x v="0"/>
    <x v="2"/>
    <x v="19"/>
    <x v="9"/>
    <s v="Multi-Year"/>
    <x v="1"/>
    <s v="N/A"/>
    <s v=""/>
    <s v="Confirmed"/>
    <m/>
    <x v="0"/>
    <x v="0"/>
    <m/>
    <x v="1"/>
    <x v="1"/>
    <m/>
    <n v="0"/>
    <x v="0"/>
    <s v=""/>
    <n v="24840920016.18832"/>
  </r>
  <r>
    <x v="0"/>
    <x v="137"/>
    <x v="137"/>
    <x v="1"/>
    <x v="0"/>
    <x v="2"/>
    <x v="19"/>
    <x v="9"/>
    <s v="Multi-Year"/>
    <x v="1"/>
    <s v="N/A"/>
    <s v=""/>
    <s v="Confirmed"/>
    <m/>
    <x v="0"/>
    <x v="0"/>
    <m/>
    <x v="1"/>
    <x v="1"/>
    <m/>
    <n v="0"/>
    <x v="0"/>
    <s v="N/A"/>
    <n v="487888462.83720118"/>
  </r>
  <r>
    <x v="0"/>
    <x v="138"/>
    <x v="138"/>
    <x v="6"/>
    <x v="0"/>
    <x v="2"/>
    <x v="19"/>
    <x v="9"/>
    <s v="Multi-Year"/>
    <x v="1"/>
    <s v="N/A"/>
    <s v=""/>
    <s v="Confirmed"/>
    <m/>
    <x v="0"/>
    <x v="0"/>
    <m/>
    <x v="1"/>
    <x v="0"/>
    <m/>
    <n v="0"/>
    <x v="1"/>
    <s v="…"/>
    <n v="6365061.1736073596"/>
  </r>
  <r>
    <x v="0"/>
    <x v="139"/>
    <x v="139"/>
    <x v="3"/>
    <x v="0"/>
    <x v="2"/>
    <x v="19"/>
    <x v="9"/>
    <s v="Multi-Year"/>
    <x v="1"/>
    <s v="N/A"/>
    <n v="4863335"/>
    <s v="Confirmed"/>
    <m/>
    <x v="0"/>
    <x v="0"/>
    <m/>
    <x v="0"/>
    <x v="0"/>
    <m/>
    <n v="2"/>
    <x v="0"/>
    <s v="Low"/>
    <n v="291799092.90196139"/>
  </r>
  <r>
    <x v="0"/>
    <x v="140"/>
    <x v="140"/>
    <x v="1"/>
    <x v="0"/>
    <x v="2"/>
    <x v="19"/>
    <x v="9"/>
    <s v="Multi-Year"/>
    <x v="1"/>
    <s v="N/A"/>
    <n v="4950000"/>
    <s v="Confirmed"/>
    <m/>
    <x v="0"/>
    <x v="0"/>
    <m/>
    <x v="2"/>
    <x v="0"/>
    <m/>
    <n v="0"/>
    <x v="0"/>
    <s v="N/A"/>
    <n v="4844815340.2135534"/>
  </r>
  <r>
    <x v="0"/>
    <x v="141"/>
    <x v="141"/>
    <x v="4"/>
    <x v="0"/>
    <x v="2"/>
    <x v="19"/>
    <x v="9"/>
    <s v="Multi-Year"/>
    <x v="1"/>
    <s v="N/A"/>
    <s v=""/>
    <s v="Confirmed"/>
    <m/>
    <x v="0"/>
    <x v="0"/>
    <m/>
    <x v="3"/>
    <x v="1"/>
    <m/>
    <n v="0"/>
    <x v="0"/>
    <s v=""/>
    <n v="4001891446.6871672"/>
  </r>
  <r>
    <x v="0"/>
    <x v="142"/>
    <x v="142"/>
    <x v="1"/>
    <x v="0"/>
    <x v="2"/>
    <x v="19"/>
    <x v="9"/>
    <s v="Multi-Year"/>
    <x v="1"/>
    <s v="N/A"/>
    <n v="3100000"/>
    <s v="Confirmed"/>
    <m/>
    <x v="0"/>
    <x v="0"/>
    <m/>
    <x v="2"/>
    <x v="0"/>
    <m/>
    <n v="0"/>
    <x v="0"/>
    <s v="Low"/>
    <n v="1019800630.5853213"/>
  </r>
  <r>
    <x v="0"/>
    <x v="143"/>
    <x v="143"/>
    <x v="6"/>
    <x v="0"/>
    <x v="2"/>
    <x v="19"/>
    <x v="9"/>
    <s v="Multi-Year"/>
    <x v="1"/>
    <s v="N/A"/>
    <s v=""/>
    <s v="Confirmed"/>
    <m/>
    <x v="0"/>
    <x v="0"/>
    <m/>
    <x v="2"/>
    <x v="0"/>
    <m/>
    <n v="0"/>
    <x v="1"/>
    <s v="Moderate"/>
    <n v="19578671.310841195"/>
  </r>
  <r>
    <x v="0"/>
    <x v="144"/>
    <x v="144"/>
    <x v="4"/>
    <x v="0"/>
    <x v="2"/>
    <x v="19"/>
    <x v="9"/>
    <s v="Multi-Year"/>
    <x v="1"/>
    <s v="N/A"/>
    <s v=""/>
    <s v="Confirmed"/>
    <m/>
    <x v="0"/>
    <x v="0"/>
    <m/>
    <x v="4"/>
    <x v="1"/>
    <m/>
    <n v="0"/>
    <x v="0"/>
    <s v="N/A"/>
    <n v="3551452001.0684834"/>
  </r>
  <r>
    <x v="0"/>
    <x v="145"/>
    <x v="145"/>
    <x v="6"/>
    <x v="0"/>
    <x v="2"/>
    <x v="19"/>
    <x v="9"/>
    <s v="Multi-Year"/>
    <x v="1"/>
    <s v="N/A"/>
    <n v="2037000"/>
    <s v="Confirmed"/>
    <m/>
    <x v="0"/>
    <x v="0"/>
    <m/>
    <x v="2"/>
    <x v="0"/>
    <m/>
    <n v="0"/>
    <x v="0"/>
    <s v="N/A"/>
    <n v="6603048821.7575006"/>
  </r>
  <r>
    <x v="0"/>
    <x v="146"/>
    <x v="146"/>
    <x v="2"/>
    <x v="0"/>
    <x v="2"/>
    <x v="19"/>
    <x v="9"/>
    <s v="Multi-Year"/>
    <x v="1"/>
    <s v="N/A"/>
    <n v="2878000"/>
    <s v="Confirmed"/>
    <m/>
    <x v="0"/>
    <x v="0"/>
    <m/>
    <x v="0"/>
    <x v="0"/>
    <m/>
    <n v="1"/>
    <x v="0"/>
    <s v="…"/>
    <s v=""/>
  </r>
  <r>
    <x v="0"/>
    <x v="147"/>
    <x v="147"/>
    <x v="3"/>
    <x v="0"/>
    <x v="2"/>
    <x v="19"/>
    <x v="9"/>
    <s v="Multi-Year"/>
    <x v="1"/>
    <s v="N/A"/>
    <n v="3200000"/>
    <s v="Confirmed"/>
    <m/>
    <x v="0"/>
    <x v="0"/>
    <m/>
    <x v="2"/>
    <x v="0"/>
    <m/>
    <n v="0"/>
    <x v="0"/>
    <s v="High"/>
    <n v="515352723.9821828"/>
  </r>
  <r>
    <x v="0"/>
    <x v="148"/>
    <x v="148"/>
    <x v="3"/>
    <x v="0"/>
    <x v="2"/>
    <x v="19"/>
    <x v="9"/>
    <s v="Multi-Year"/>
    <x v="1"/>
    <s v="N/A"/>
    <n v="2500000"/>
    <s v="Confirmed"/>
    <m/>
    <x v="0"/>
    <x v="0"/>
    <m/>
    <x v="2"/>
    <x v="0"/>
    <m/>
    <n v="0"/>
    <x v="0"/>
    <s v="N/A"/>
    <n v="566711742.22428358"/>
  </r>
  <r>
    <x v="0"/>
    <x v="0"/>
    <x v="0"/>
    <x v="0"/>
    <x v="0"/>
    <x v="2"/>
    <x v="19"/>
    <x v="8"/>
    <s v="Multi-Year"/>
    <x v="1"/>
    <s v="N/A"/>
    <n v="0"/>
    <s v="Confirmed"/>
    <s v=""/>
    <x v="1"/>
    <x v="1"/>
    <m/>
    <x v="0"/>
    <x v="0"/>
    <m/>
    <n v="1"/>
    <x v="0"/>
    <s v="High"/>
    <n v="95829480.719269618"/>
  </r>
  <r>
    <x v="0"/>
    <x v="1"/>
    <x v="1"/>
    <x v="1"/>
    <x v="0"/>
    <x v="2"/>
    <x v="19"/>
    <x v="8"/>
    <s v="Multi-Year"/>
    <x v="1"/>
    <s v="N/A"/>
    <n v="0"/>
    <s v="Confirmed"/>
    <s v=""/>
    <x v="1"/>
    <x v="1"/>
    <m/>
    <x v="1"/>
    <x v="1"/>
    <m/>
    <n v="0"/>
    <x v="0"/>
    <s v=""/>
    <n v="427904035.52443534"/>
  </r>
  <r>
    <x v="0"/>
    <x v="2"/>
    <x v="2"/>
    <x v="2"/>
    <x v="0"/>
    <x v="2"/>
    <x v="19"/>
    <x v="8"/>
    <s v="Multi-Year"/>
    <x v="1"/>
    <s v="N/A"/>
    <n v="541945"/>
    <s v="Confirmed"/>
    <s v=""/>
    <x v="1"/>
    <x v="1"/>
    <m/>
    <x v="2"/>
    <x v="0"/>
    <m/>
    <n v="0"/>
    <x v="0"/>
    <s v="N/A"/>
    <n v="7113361022.7267885"/>
  </r>
  <r>
    <x v="0"/>
    <x v="3"/>
    <x v="3"/>
    <x v="3"/>
    <x v="0"/>
    <x v="2"/>
    <x v="19"/>
    <x v="8"/>
    <s v="Multi-Year"/>
    <x v="1"/>
    <s v="N/A"/>
    <n v="0"/>
    <s v="Confirmed"/>
    <s v=""/>
    <x v="1"/>
    <x v="1"/>
    <m/>
    <x v="2"/>
    <x v="0"/>
    <m/>
    <n v="0"/>
    <x v="0"/>
    <s v="…"/>
    <n v="1131865946.5875781"/>
  </r>
  <r>
    <x v="0"/>
    <x v="4"/>
    <x v="4"/>
    <x v="4"/>
    <x v="0"/>
    <x v="2"/>
    <x v="19"/>
    <x v="8"/>
    <s v="Multi-Year"/>
    <x v="1"/>
    <s v="N/A"/>
    <n v="0"/>
    <s v="Confirmed"/>
    <s v=""/>
    <x v="1"/>
    <x v="1"/>
    <m/>
    <x v="3"/>
    <x v="1"/>
    <m/>
    <n v="0"/>
    <x v="1"/>
    <s v=""/>
    <n v="46777779.823447868"/>
  </r>
  <r>
    <x v="0"/>
    <x v="5"/>
    <x v="5"/>
    <x v="4"/>
    <x v="0"/>
    <x v="2"/>
    <x v="19"/>
    <x v="8"/>
    <s v="Multi-Year"/>
    <x v="1"/>
    <s v="N/A"/>
    <n v="0"/>
    <s v="Confirmed"/>
    <s v=""/>
    <x v="1"/>
    <x v="1"/>
    <m/>
    <x v="1"/>
    <x v="1"/>
    <m/>
    <n v="0"/>
    <x v="0"/>
    <s v=""/>
    <n v="30725305777.596794"/>
  </r>
  <r>
    <x v="0"/>
    <x v="6"/>
    <x v="6"/>
    <x v="1"/>
    <x v="0"/>
    <x v="2"/>
    <x v="19"/>
    <x v="8"/>
    <s v="Multi-Year"/>
    <x v="1"/>
    <s v="N/A"/>
    <n v="1700000"/>
    <s v="Confirmed"/>
    <s v=""/>
    <x v="1"/>
    <x v="1"/>
    <m/>
    <x v="1"/>
    <x v="1"/>
    <m/>
    <n v="0"/>
    <x v="0"/>
    <s v=""/>
    <n v="153815827.8380394"/>
  </r>
  <r>
    <x v="0"/>
    <x v="7"/>
    <x v="7"/>
    <x v="1"/>
    <x v="0"/>
    <x v="2"/>
    <x v="19"/>
    <x v="8"/>
    <s v="Multi-Year"/>
    <x v="1"/>
    <s v="N/A"/>
    <n v="0"/>
    <s v="Confirmed"/>
    <s v=""/>
    <x v="1"/>
    <x v="1"/>
    <m/>
    <x v="1"/>
    <x v="1"/>
    <m/>
    <n v="0"/>
    <x v="0"/>
    <s v="N/A"/>
    <n v="437525105.31216973"/>
  </r>
  <r>
    <x v="0"/>
    <x v="8"/>
    <x v="8"/>
    <x v="4"/>
    <x v="0"/>
    <x v="2"/>
    <x v="19"/>
    <x v="8"/>
    <s v="Multi-Year"/>
    <x v="1"/>
    <s v="N/A"/>
    <n v="894200"/>
    <s v="Confirmed"/>
    <s v=""/>
    <x v="1"/>
    <x v="1"/>
    <m/>
    <x v="3"/>
    <x v="1"/>
    <m/>
    <n v="0"/>
    <x v="1"/>
    <s v=""/>
    <n v="149463302.00602186"/>
  </r>
  <r>
    <x v="0"/>
    <x v="9"/>
    <x v="9"/>
    <x v="0"/>
    <x v="0"/>
    <x v="2"/>
    <x v="19"/>
    <x v="8"/>
    <s v="Multi-Year"/>
    <x v="1"/>
    <s v="N/A"/>
    <n v="0"/>
    <s v="Confirmed"/>
    <s v=""/>
    <x v="1"/>
    <x v="1"/>
    <m/>
    <x v="2"/>
    <x v="0"/>
    <m/>
    <n v="0"/>
    <x v="0"/>
    <s v="Low"/>
    <n v="1148322593.9600098"/>
  </r>
  <r>
    <x v="0"/>
    <x v="10"/>
    <x v="10"/>
    <x v="1"/>
    <x v="0"/>
    <x v="2"/>
    <x v="19"/>
    <x v="8"/>
    <s v="Multi-Year"/>
    <x v="1"/>
    <s v="N/A"/>
    <n v="0"/>
    <s v="Confirmed"/>
    <s v=""/>
    <x v="1"/>
    <x v="1"/>
    <m/>
    <x v="1"/>
    <x v="1"/>
    <m/>
    <n v="0"/>
    <x v="0"/>
    <s v=""/>
    <n v="2371102058.1093163"/>
  </r>
  <r>
    <x v="0"/>
    <x v="11"/>
    <x v="11"/>
    <x v="4"/>
    <x v="0"/>
    <x v="2"/>
    <x v="19"/>
    <x v="8"/>
    <s v="Multi-Year"/>
    <x v="1"/>
    <s v="N/A"/>
    <n v="0"/>
    <s v="Confirmed"/>
    <s v=""/>
    <x v="1"/>
    <x v="1"/>
    <m/>
    <x v="2"/>
    <x v="1"/>
    <m/>
    <n v="0"/>
    <x v="1"/>
    <s v="N/A"/>
    <n v="75151620.005215243"/>
  </r>
  <r>
    <x v="0"/>
    <x v="12"/>
    <x v="12"/>
    <x v="5"/>
    <x v="0"/>
    <x v="2"/>
    <x v="19"/>
    <x v="8"/>
    <s v="Multi-Year"/>
    <x v="1"/>
    <s v="N/A"/>
    <n v="0"/>
    <s v="Confirmed"/>
    <s v=""/>
    <x v="1"/>
    <x v="1"/>
    <m/>
    <x v="2"/>
    <x v="0"/>
    <m/>
    <n v="0"/>
    <x v="0"/>
    <s v="Moderate"/>
    <n v="69958487.197715744"/>
  </r>
  <r>
    <x v="0"/>
    <x v="13"/>
    <x v="13"/>
    <x v="0"/>
    <x v="0"/>
    <x v="2"/>
    <x v="19"/>
    <x v="8"/>
    <s v="Multi-Year"/>
    <x v="1"/>
    <s v="N/A"/>
    <n v="0"/>
    <s v="Confirmed"/>
    <s v=""/>
    <x v="1"/>
    <x v="1"/>
    <m/>
    <x v="2"/>
    <x v="0"/>
    <m/>
    <n v="0"/>
    <x v="0"/>
    <s v="…"/>
    <n v="61654608.560629159"/>
  </r>
  <r>
    <x v="0"/>
    <x v="14"/>
    <x v="14"/>
    <x v="4"/>
    <x v="0"/>
    <x v="2"/>
    <x v="19"/>
    <x v="8"/>
    <s v="Multi-Year"/>
    <x v="1"/>
    <s v="N/A"/>
    <n v="0"/>
    <s v="Confirmed"/>
    <s v=""/>
    <x v="1"/>
    <x v="1"/>
    <m/>
    <x v="2"/>
    <x v="0"/>
    <m/>
    <n v="0"/>
    <x v="0"/>
    <s v="N/A"/>
    <n v="1806638707.7615163"/>
  </r>
  <r>
    <x v="0"/>
    <x v="15"/>
    <x v="15"/>
    <x v="1"/>
    <x v="0"/>
    <x v="2"/>
    <x v="19"/>
    <x v="8"/>
    <s v="Multi-Year"/>
    <x v="1"/>
    <s v="N/A"/>
    <n v="1800000"/>
    <s v="Confirmed"/>
    <s v=""/>
    <x v="1"/>
    <x v="1"/>
    <m/>
    <x v="1"/>
    <x v="1"/>
    <m/>
    <n v="0"/>
    <x v="0"/>
    <s v="N/A"/>
    <n v="1252696525.0627904"/>
  </r>
  <r>
    <x v="0"/>
    <x v="16"/>
    <x v="16"/>
    <x v="3"/>
    <x v="0"/>
    <x v="2"/>
    <x v="19"/>
    <x v="8"/>
    <s v="Multi-Year"/>
    <x v="1"/>
    <s v="N/A"/>
    <n v="0"/>
    <s v="Confirmed"/>
    <s v=""/>
    <x v="1"/>
    <x v="1"/>
    <m/>
    <x v="1"/>
    <x v="1"/>
    <m/>
    <n v="0"/>
    <x v="0"/>
    <s v=""/>
    <n v="843425084.07334602"/>
  </r>
  <r>
    <x v="0"/>
    <x v="17"/>
    <x v="17"/>
    <x v="4"/>
    <x v="0"/>
    <x v="2"/>
    <x v="19"/>
    <x v="8"/>
    <s v="Multi-Year"/>
    <x v="1"/>
    <s v="N/A"/>
    <n v="0"/>
    <s v="Confirmed"/>
    <s v=""/>
    <x v="1"/>
    <x v="1"/>
    <m/>
    <x v="1"/>
    <x v="1"/>
    <m/>
    <n v="0"/>
    <x v="0"/>
    <s v="N/A"/>
    <n v="74055620038.853683"/>
  </r>
  <r>
    <x v="0"/>
    <x v="18"/>
    <x v="18"/>
    <x v="1"/>
    <x v="0"/>
    <x v="2"/>
    <x v="19"/>
    <x v="8"/>
    <s v="Multi-Year"/>
    <x v="1"/>
    <s v="N/A"/>
    <n v="0"/>
    <s v="Confirmed"/>
    <s v=""/>
    <x v="1"/>
    <x v="1"/>
    <m/>
    <x v="1"/>
    <x v="1"/>
    <m/>
    <n v="0"/>
    <x v="0"/>
    <s v=""/>
    <n v="2803357765.5888777"/>
  </r>
  <r>
    <x v="0"/>
    <x v="19"/>
    <x v="19"/>
    <x v="5"/>
    <x v="0"/>
    <x v="2"/>
    <x v="19"/>
    <x v="8"/>
    <s v="Multi-Year"/>
    <x v="1"/>
    <s v="N/A"/>
    <n v="350000"/>
    <s v="Confirmed"/>
    <s v=""/>
    <x v="1"/>
    <x v="1"/>
    <m/>
    <x v="0"/>
    <x v="0"/>
    <m/>
    <n v="2"/>
    <x v="0"/>
    <s v="Moderate"/>
    <n v="337927779.25510043"/>
  </r>
  <r>
    <x v="0"/>
    <x v="20"/>
    <x v="20"/>
    <x v="3"/>
    <x v="0"/>
    <x v="2"/>
    <x v="19"/>
    <x v="8"/>
    <s v="Multi-Year"/>
    <x v="1"/>
    <s v="N/A"/>
    <n v="500000"/>
    <s v="Confirmed"/>
    <s v=""/>
    <x v="1"/>
    <x v="1"/>
    <m/>
    <x v="0"/>
    <x v="0"/>
    <m/>
    <n v="2"/>
    <x v="0"/>
    <s v="…"/>
    <n v="65979512.47399316"/>
  </r>
  <r>
    <x v="0"/>
    <x v="21"/>
    <x v="21"/>
    <x v="5"/>
    <x v="0"/>
    <x v="2"/>
    <x v="19"/>
    <x v="8"/>
    <s v="Multi-Year"/>
    <x v="1"/>
    <s v="N/A"/>
    <n v="500000"/>
    <s v="Confirmed"/>
    <s v=""/>
    <x v="1"/>
    <x v="1"/>
    <m/>
    <x v="2"/>
    <x v="0"/>
    <m/>
    <n v="0"/>
    <x v="1"/>
    <s v="High"/>
    <n v="63748362.778827004"/>
  </r>
  <r>
    <x v="0"/>
    <x v="22"/>
    <x v="22"/>
    <x v="6"/>
    <x v="0"/>
    <x v="2"/>
    <x v="19"/>
    <x v="8"/>
    <s v="Multi-Year"/>
    <x v="1"/>
    <s v="N/A"/>
    <n v="0"/>
    <s v="Confirmed"/>
    <s v=""/>
    <x v="1"/>
    <x v="1"/>
    <m/>
    <x v="2"/>
    <x v="0"/>
    <m/>
    <n v="0"/>
    <x v="0"/>
    <s v="Low"/>
    <n v="313039649.45369786"/>
  </r>
  <r>
    <x v="0"/>
    <x v="23"/>
    <x v="23"/>
    <x v="5"/>
    <x v="0"/>
    <x v="2"/>
    <x v="19"/>
    <x v="8"/>
    <s v="Multi-Year"/>
    <x v="1"/>
    <s v="N/A"/>
    <n v="500000"/>
    <s v="Confirmed"/>
    <s v=""/>
    <x v="1"/>
    <x v="1"/>
    <m/>
    <x v="2"/>
    <x v="0"/>
    <m/>
    <n v="2"/>
    <x v="0"/>
    <s v="High"/>
    <n v="81361801.477472037"/>
  </r>
  <r>
    <x v="0"/>
    <x v="24"/>
    <x v="24"/>
    <x v="5"/>
    <x v="0"/>
    <x v="2"/>
    <x v="19"/>
    <x v="8"/>
    <s v="Multi-Year"/>
    <x v="1"/>
    <s v="N/A"/>
    <n v="1150000"/>
    <s v="Confirmed"/>
    <s v=""/>
    <x v="1"/>
    <x v="1"/>
    <m/>
    <x v="0"/>
    <x v="0"/>
    <m/>
    <n v="1"/>
    <x v="0"/>
    <s v="High"/>
    <s v=""/>
  </r>
  <r>
    <x v="0"/>
    <x v="25"/>
    <x v="25"/>
    <x v="5"/>
    <x v="0"/>
    <x v="2"/>
    <x v="19"/>
    <x v="8"/>
    <s v="Multi-Year"/>
    <x v="1"/>
    <s v="N/A"/>
    <n v="0"/>
    <s v="Confirmed"/>
    <s v=""/>
    <x v="1"/>
    <x v="1"/>
    <m/>
    <x v="0"/>
    <x v="0"/>
    <m/>
    <n v="1"/>
    <x v="0"/>
    <s v="High"/>
    <n v="76939306.715636879"/>
  </r>
  <r>
    <x v="0"/>
    <x v="26"/>
    <x v="26"/>
    <x v="4"/>
    <x v="0"/>
    <x v="2"/>
    <x v="19"/>
    <x v="8"/>
    <s v="Multi-Year"/>
    <x v="1"/>
    <s v="N/A"/>
    <n v="0"/>
    <s v="Confirmed"/>
    <s v=""/>
    <x v="1"/>
    <x v="1"/>
    <m/>
    <x v="3"/>
    <x v="1"/>
    <m/>
    <n v="0"/>
    <x v="0"/>
    <s v=""/>
    <n v="13859708717.682571"/>
  </r>
  <r>
    <x v="0"/>
    <x v="27"/>
    <x v="27"/>
    <x v="6"/>
    <x v="0"/>
    <x v="2"/>
    <x v="19"/>
    <x v="8"/>
    <s v="Multi-Year"/>
    <x v="1"/>
    <s v="N/A"/>
    <n v="0"/>
    <s v="Confirmed"/>
    <s v=""/>
    <x v="1"/>
    <x v="1"/>
    <m/>
    <x v="1"/>
    <x v="1"/>
    <m/>
    <n v="0"/>
    <x v="0"/>
    <s v=""/>
    <n v="403567160707.7016"/>
  </r>
  <r>
    <x v="0"/>
    <x v="28"/>
    <x v="28"/>
    <x v="4"/>
    <x v="0"/>
    <x v="2"/>
    <x v="19"/>
    <x v="8"/>
    <s v="Multi-Year"/>
    <x v="1"/>
    <s v="N/A"/>
    <n v="0"/>
    <s v="Confirmed"/>
    <s v=""/>
    <x v="1"/>
    <x v="1"/>
    <m/>
    <x v="1"/>
    <x v="1"/>
    <m/>
    <n v="0"/>
    <x v="0"/>
    <s v=""/>
    <n v="18250225995.972618"/>
  </r>
  <r>
    <x v="0"/>
    <x v="29"/>
    <x v="29"/>
    <x v="3"/>
    <x v="0"/>
    <x v="2"/>
    <x v="19"/>
    <x v="8"/>
    <s v="Multi-Year"/>
    <x v="1"/>
    <s v="N/A"/>
    <n v="0"/>
    <s v="Confirmed"/>
    <s v=""/>
    <x v="1"/>
    <x v="1"/>
    <m/>
    <x v="2"/>
    <x v="0"/>
    <m/>
    <n v="0"/>
    <x v="1"/>
    <s v="Moderate"/>
    <n v="5027591.1682657599"/>
  </r>
  <r>
    <x v="0"/>
    <x v="30"/>
    <x v="30"/>
    <x v="5"/>
    <x v="0"/>
    <x v="2"/>
    <x v="19"/>
    <x v="8"/>
    <s v="Multi-Year"/>
    <x v="1"/>
    <s v="N/A"/>
    <n v="250899"/>
    <s v="Confirmed"/>
    <s v=""/>
    <x v="1"/>
    <x v="1"/>
    <m/>
    <x v="0"/>
    <x v="0"/>
    <m/>
    <n v="3"/>
    <x v="0"/>
    <s v="Moderate"/>
    <n v="234645958.63289919"/>
  </r>
  <r>
    <x v="0"/>
    <x v="31"/>
    <x v="31"/>
    <x v="5"/>
    <x v="0"/>
    <x v="2"/>
    <x v="19"/>
    <x v="8"/>
    <s v="Multi-Year"/>
    <x v="1"/>
    <s v="N/A"/>
    <n v="1500000"/>
    <s v="Confirmed"/>
    <s v=""/>
    <x v="1"/>
    <x v="1"/>
    <m/>
    <x v="2"/>
    <x v="0"/>
    <m/>
    <n v="2"/>
    <x v="0"/>
    <s v="In distress"/>
    <n v="91590910.247314155"/>
  </r>
  <r>
    <x v="0"/>
    <x v="32"/>
    <x v="32"/>
    <x v="6"/>
    <x v="0"/>
    <x v="2"/>
    <x v="19"/>
    <x v="8"/>
    <s v="Multi-Year"/>
    <x v="1"/>
    <s v="N/A"/>
    <n v="0"/>
    <s v="Confirmed"/>
    <s v=""/>
    <x v="1"/>
    <x v="1"/>
    <m/>
    <x v="4"/>
    <x v="1"/>
    <m/>
    <n v="0"/>
    <x v="1"/>
    <s v="N/A"/>
    <n v="8560012.8840167802"/>
  </r>
  <r>
    <x v="0"/>
    <x v="33"/>
    <x v="33"/>
    <x v="4"/>
    <x v="0"/>
    <x v="2"/>
    <x v="19"/>
    <x v="8"/>
    <s v="Multi-Year"/>
    <x v="1"/>
    <s v="N/A"/>
    <n v="0"/>
    <s v="Confirmed"/>
    <s v=""/>
    <x v="1"/>
    <x v="1"/>
    <m/>
    <x v="1"/>
    <x v="1"/>
    <m/>
    <n v="0"/>
    <x v="0"/>
    <s v="N/A"/>
    <n v="3292372960.3962669"/>
  </r>
  <r>
    <x v="0"/>
    <x v="34"/>
    <x v="34"/>
    <x v="5"/>
    <x v="0"/>
    <x v="2"/>
    <x v="19"/>
    <x v="8"/>
    <s v="Multi-Year"/>
    <x v="1"/>
    <s v="N/A"/>
    <n v="600000"/>
    <s v="Confirmed"/>
    <s v=""/>
    <x v="1"/>
    <x v="1"/>
    <m/>
    <x v="2"/>
    <x v="0"/>
    <m/>
    <n v="0"/>
    <x v="0"/>
    <s v="Moderate"/>
    <n v="519209981.22981054"/>
  </r>
  <r>
    <x v="0"/>
    <x v="35"/>
    <x v="35"/>
    <x v="1"/>
    <x v="0"/>
    <x v="2"/>
    <x v="19"/>
    <x v="8"/>
    <s v="Multi-Year"/>
    <x v="1"/>
    <s v="N/A"/>
    <n v="0"/>
    <s v="Confirmed"/>
    <s v=""/>
    <x v="1"/>
    <x v="1"/>
    <m/>
    <x v="3"/>
    <x v="1"/>
    <m/>
    <n v="0"/>
    <x v="0"/>
    <s v=""/>
    <n v="3464739907.1604805"/>
  </r>
  <r>
    <x v="0"/>
    <x v="36"/>
    <x v="36"/>
    <x v="4"/>
    <x v="0"/>
    <x v="2"/>
    <x v="19"/>
    <x v="8"/>
    <s v="Multi-Year"/>
    <x v="1"/>
    <s v="N/A"/>
    <n v="0"/>
    <s v="Confirmed"/>
    <s v=""/>
    <x v="1"/>
    <x v="1"/>
    <m/>
    <x v="1"/>
    <x v="1"/>
    <m/>
    <n v="0"/>
    <x v="1"/>
    <s v=""/>
    <n v="9948521252.2569065"/>
  </r>
  <r>
    <x v="0"/>
    <x v="37"/>
    <x v="37"/>
    <x v="2"/>
    <x v="0"/>
    <x v="2"/>
    <x v="19"/>
    <x v="8"/>
    <s v="Multi-Year"/>
    <x v="1"/>
    <s v="N/A"/>
    <n v="0"/>
    <s v="Confirmed"/>
    <s v=""/>
    <x v="1"/>
    <x v="1"/>
    <m/>
    <x v="2"/>
    <x v="0"/>
    <m/>
    <n v="1"/>
    <x v="0"/>
    <s v="High"/>
    <n v="33679192.765657313"/>
  </r>
  <r>
    <x v="0"/>
    <x v="38"/>
    <x v="38"/>
    <x v="4"/>
    <x v="0"/>
    <x v="2"/>
    <x v="19"/>
    <x v="8"/>
    <s v="Multi-Year"/>
    <x v="1"/>
    <s v="N/A"/>
    <n v="0"/>
    <s v="Confirmed"/>
    <s v=""/>
    <x v="1"/>
    <x v="1"/>
    <m/>
    <x v="1"/>
    <x v="0"/>
    <m/>
    <n v="0"/>
    <x v="1"/>
    <s v="…"/>
    <n v="22784494.365742501"/>
  </r>
  <r>
    <x v="0"/>
    <x v="39"/>
    <x v="39"/>
    <x v="4"/>
    <x v="0"/>
    <x v="2"/>
    <x v="19"/>
    <x v="8"/>
    <s v="Multi-Year"/>
    <x v="1"/>
    <s v="N/A"/>
    <n v="0"/>
    <s v="Confirmed"/>
    <s v=""/>
    <x v="1"/>
    <x v="1"/>
    <m/>
    <x v="1"/>
    <x v="1"/>
    <m/>
    <n v="0"/>
    <x v="1"/>
    <s v=""/>
    <n v="2173208011.4858823"/>
  </r>
  <r>
    <x v="0"/>
    <x v="40"/>
    <x v="40"/>
    <x v="4"/>
    <x v="0"/>
    <x v="2"/>
    <x v="19"/>
    <x v="8"/>
    <s v="Multi-Year"/>
    <x v="1"/>
    <s v="N/A"/>
    <n v="0"/>
    <s v="Confirmed"/>
    <s v=""/>
    <x v="1"/>
    <x v="1"/>
    <m/>
    <x v="1"/>
    <x v="1"/>
    <m/>
    <n v="0"/>
    <x v="0"/>
    <s v="N/A"/>
    <n v="4585736158.8323269"/>
  </r>
  <r>
    <x v="0"/>
    <x v="41"/>
    <x v="41"/>
    <x v="2"/>
    <x v="0"/>
    <x v="2"/>
    <x v="19"/>
    <x v="8"/>
    <s v="Multi-Year"/>
    <x v="1"/>
    <s v="N/A"/>
    <n v="0"/>
    <s v="Confirmed"/>
    <s v=""/>
    <x v="1"/>
    <x v="1"/>
    <m/>
    <x v="2"/>
    <x v="0"/>
    <m/>
    <n v="0"/>
    <x v="0"/>
    <s v="N/A"/>
    <n v="3550291584.8645592"/>
  </r>
  <r>
    <x v="0"/>
    <x v="42"/>
    <x v="42"/>
    <x v="4"/>
    <x v="0"/>
    <x v="2"/>
    <x v="19"/>
    <x v="8"/>
    <s v="Multi-Year"/>
    <x v="1"/>
    <s v="N/A"/>
    <n v="0"/>
    <s v="Confirmed"/>
    <s v=""/>
    <x v="1"/>
    <x v="1"/>
    <m/>
    <x v="2"/>
    <x v="0"/>
    <m/>
    <n v="0"/>
    <x v="0"/>
    <s v="N/A"/>
    <n v="1182840319.0410969"/>
  </r>
  <r>
    <x v="0"/>
    <x v="43"/>
    <x v="43"/>
    <x v="4"/>
    <x v="0"/>
    <x v="2"/>
    <x v="19"/>
    <x v="8"/>
    <s v="Multi-Year"/>
    <x v="1"/>
    <s v="N/A"/>
    <n v="0"/>
    <s v="Confirmed"/>
    <s v=""/>
    <x v="1"/>
    <x v="1"/>
    <m/>
    <x v="1"/>
    <x v="1"/>
    <m/>
    <n v="0"/>
    <x v="0"/>
    <s v=""/>
    <n v="81728347.604567245"/>
  </r>
  <r>
    <x v="0"/>
    <x v="44"/>
    <x v="44"/>
    <x v="3"/>
    <x v="0"/>
    <x v="2"/>
    <x v="19"/>
    <x v="8"/>
    <s v="Multi-Year"/>
    <x v="1"/>
    <s v="N/A"/>
    <n v="0"/>
    <s v="Confirmed"/>
    <s v=""/>
    <x v="1"/>
    <x v="1"/>
    <m/>
    <x v="0"/>
    <x v="0"/>
    <m/>
    <n v="2"/>
    <x v="0"/>
    <s v="N/A"/>
    <n v="12787914.977715338"/>
  </r>
  <r>
    <x v="0"/>
    <x v="45"/>
    <x v="45"/>
    <x v="3"/>
    <x v="0"/>
    <x v="2"/>
    <x v="19"/>
    <x v="8"/>
    <s v="Multi-Year"/>
    <x v="1"/>
    <s v="N/A"/>
    <n v="0"/>
    <s v="Confirmed"/>
    <s v=""/>
    <x v="1"/>
    <x v="1"/>
    <m/>
    <x v="2"/>
    <x v="0"/>
    <m/>
    <n v="2"/>
    <x v="0"/>
    <s v="N/A"/>
    <n v="101271737.65410839"/>
  </r>
  <r>
    <x v="0"/>
    <x v="46"/>
    <x v="46"/>
    <x v="3"/>
    <x v="0"/>
    <x v="2"/>
    <x v="19"/>
    <x v="8"/>
    <s v="Multi-Year"/>
    <x v="1"/>
    <s v="N/A"/>
    <n v="0"/>
    <s v="Confirmed"/>
    <s v=""/>
    <x v="1"/>
    <x v="1"/>
    <m/>
    <x v="0"/>
    <x v="0"/>
    <m/>
    <n v="3"/>
    <x v="0"/>
    <s v="High"/>
    <n v="618344226.71759331"/>
  </r>
  <r>
    <x v="0"/>
    <x v="47"/>
    <x v="47"/>
    <x v="6"/>
    <x v="0"/>
    <x v="2"/>
    <x v="19"/>
    <x v="8"/>
    <s v="Multi-Year"/>
    <x v="1"/>
    <s v="N/A"/>
    <n v="1500000"/>
    <s v="Confirmed"/>
    <s v=""/>
    <x v="1"/>
    <x v="1"/>
    <m/>
    <x v="1"/>
    <x v="0"/>
    <m/>
    <n v="0"/>
    <x v="1"/>
    <s v="…"/>
    <n v="129483872.95906857"/>
  </r>
  <r>
    <x v="0"/>
    <x v="48"/>
    <x v="48"/>
    <x v="5"/>
    <x v="0"/>
    <x v="2"/>
    <x v="19"/>
    <x v="8"/>
    <s v="Multi-Year"/>
    <x v="1"/>
    <s v="N/A"/>
    <n v="0"/>
    <s v="Confirmed"/>
    <s v=""/>
    <x v="1"/>
    <x v="1"/>
    <m/>
    <x v="1"/>
    <x v="1"/>
    <m/>
    <n v="0"/>
    <x v="0"/>
    <s v="N/A"/>
    <n v="271184658.35014349"/>
  </r>
  <r>
    <x v="0"/>
    <x v="49"/>
    <x v="49"/>
    <x v="5"/>
    <x v="0"/>
    <x v="2"/>
    <x v="19"/>
    <x v="8"/>
    <s v="Multi-Year"/>
    <x v="1"/>
    <s v="N/A"/>
    <n v="1085000"/>
    <s v="Confirmed"/>
    <s v=""/>
    <x v="1"/>
    <x v="1"/>
    <m/>
    <x v="0"/>
    <x v="0"/>
    <m/>
    <n v="0"/>
    <x v="0"/>
    <s v="High"/>
    <n v="15455265.086884515"/>
  </r>
  <r>
    <x v="0"/>
    <x v="50"/>
    <x v="50"/>
    <x v="1"/>
    <x v="0"/>
    <x v="2"/>
    <x v="19"/>
    <x v="8"/>
    <s v="Multi-Year"/>
    <x v="1"/>
    <s v="N/A"/>
    <n v="1000000"/>
    <s v="Confirmed"/>
    <s v=""/>
    <x v="1"/>
    <x v="1"/>
    <m/>
    <x v="1"/>
    <x v="1"/>
    <m/>
    <n v="0"/>
    <x v="0"/>
    <s v="N/A"/>
    <n v="494021502.525527"/>
  </r>
  <r>
    <x v="0"/>
    <x v="51"/>
    <x v="51"/>
    <x v="5"/>
    <x v="0"/>
    <x v="2"/>
    <x v="19"/>
    <x v="8"/>
    <s v="Multi-Year"/>
    <x v="1"/>
    <s v="N/A"/>
    <n v="0"/>
    <s v="Confirmed"/>
    <s v=""/>
    <x v="1"/>
    <x v="1"/>
    <m/>
    <x v="2"/>
    <x v="0"/>
    <m/>
    <n v="0"/>
    <x v="0"/>
    <s v="High"/>
    <n v="902005621.73836684"/>
  </r>
  <r>
    <x v="0"/>
    <x v="52"/>
    <x v="52"/>
    <x v="4"/>
    <x v="0"/>
    <x v="2"/>
    <x v="19"/>
    <x v="8"/>
    <s v="Multi-Year"/>
    <x v="1"/>
    <s v="N/A"/>
    <n v="0"/>
    <s v="Confirmed"/>
    <s v=""/>
    <x v="1"/>
    <x v="1"/>
    <m/>
    <x v="1"/>
    <x v="0"/>
    <m/>
    <n v="0"/>
    <x v="1"/>
    <s v="In distress"/>
    <n v="20201670.142996579"/>
  </r>
  <r>
    <x v="0"/>
    <x v="53"/>
    <x v="53"/>
    <x v="4"/>
    <x v="0"/>
    <x v="2"/>
    <x v="19"/>
    <x v="8"/>
    <s v="Multi-Year"/>
    <x v="1"/>
    <s v="N/A"/>
    <n v="0"/>
    <s v="Confirmed"/>
    <s v=""/>
    <x v="1"/>
    <x v="1"/>
    <m/>
    <x v="1"/>
    <x v="1"/>
    <m/>
    <n v="0"/>
    <x v="0"/>
    <s v=""/>
    <n v="1612434649.6948864"/>
  </r>
  <r>
    <x v="0"/>
    <x v="54"/>
    <x v="54"/>
    <x v="5"/>
    <x v="0"/>
    <x v="2"/>
    <x v="19"/>
    <x v="8"/>
    <s v="Multi-Year"/>
    <x v="1"/>
    <s v="N/A"/>
    <n v="0"/>
    <s v="Confirmed"/>
    <s v=""/>
    <x v="1"/>
    <x v="1"/>
    <m/>
    <x v="0"/>
    <x v="0"/>
    <m/>
    <n v="0"/>
    <x v="0"/>
    <s v="Moderate"/>
    <n v="78203134.118229344"/>
  </r>
  <r>
    <x v="0"/>
    <x v="55"/>
    <x v="55"/>
    <x v="5"/>
    <x v="0"/>
    <x v="2"/>
    <x v="19"/>
    <x v="8"/>
    <s v="Multi-Year"/>
    <x v="1"/>
    <s v="N/A"/>
    <n v="200000"/>
    <s v="Confirmed"/>
    <s v=""/>
    <x v="1"/>
    <x v="1"/>
    <m/>
    <x v="0"/>
    <x v="0"/>
    <m/>
    <n v="2"/>
    <x v="1"/>
    <s v="High"/>
    <n v="9151637.7411015611"/>
  </r>
  <r>
    <x v="0"/>
    <x v="56"/>
    <x v="56"/>
    <x v="4"/>
    <x v="0"/>
    <x v="2"/>
    <x v="19"/>
    <x v="8"/>
    <s v="Multi-Year"/>
    <x v="1"/>
    <s v="N/A"/>
    <n v="705800"/>
    <s v="Confirmed"/>
    <s v=""/>
    <x v="1"/>
    <x v="1"/>
    <m/>
    <x v="1"/>
    <x v="0"/>
    <m/>
    <n v="0"/>
    <x v="1"/>
    <s v="Moderate"/>
    <n v="142455920.02856269"/>
  </r>
  <r>
    <x v="0"/>
    <x v="57"/>
    <x v="57"/>
    <x v="4"/>
    <x v="0"/>
    <x v="2"/>
    <x v="19"/>
    <x v="8"/>
    <s v="Multi-Year"/>
    <x v="1"/>
    <s v="N/A"/>
    <n v="0"/>
    <s v="Confirmed"/>
    <s v=""/>
    <x v="1"/>
    <x v="1"/>
    <m/>
    <x v="2"/>
    <x v="0"/>
    <m/>
    <n v="1"/>
    <x v="1"/>
    <s v="High"/>
    <n v="85611818.171245083"/>
  </r>
  <r>
    <x v="0"/>
    <x v="58"/>
    <x v="58"/>
    <x v="4"/>
    <x v="0"/>
    <x v="2"/>
    <x v="19"/>
    <x v="8"/>
    <s v="Multi-Year"/>
    <x v="1"/>
    <s v="N/A"/>
    <n v="0"/>
    <s v="Confirmed"/>
    <s v=""/>
    <x v="1"/>
    <x v="1"/>
    <m/>
    <x v="2"/>
    <x v="0"/>
    <m/>
    <n v="0"/>
    <x v="0"/>
    <s v="Low"/>
    <n v="680289736.30082119"/>
  </r>
  <r>
    <x v="0"/>
    <x v="59"/>
    <x v="59"/>
    <x v="0"/>
    <x v="0"/>
    <x v="2"/>
    <x v="19"/>
    <x v="8"/>
    <s v="Multi-Year"/>
    <x v="1"/>
    <s v="N/A"/>
    <n v="2000000"/>
    <s v="Confirmed"/>
    <s v=""/>
    <x v="1"/>
    <x v="1"/>
    <m/>
    <x v="2"/>
    <x v="0"/>
    <m/>
    <n v="0"/>
    <x v="0"/>
    <s v="N/A"/>
    <n v="26554332750.47023"/>
  </r>
  <r>
    <x v="0"/>
    <x v="60"/>
    <x v="60"/>
    <x v="6"/>
    <x v="0"/>
    <x v="2"/>
    <x v="19"/>
    <x v="8"/>
    <s v="Multi-Year"/>
    <x v="1"/>
    <s v="N/A"/>
    <n v="4700000"/>
    <s v="Confirmed"/>
    <s v=""/>
    <x v="1"/>
    <x v="1"/>
    <m/>
    <x v="2"/>
    <x v="0"/>
    <m/>
    <n v="0"/>
    <x v="0"/>
    <s v="N/A"/>
    <n v="14745961064.890842"/>
  </r>
  <r>
    <x v="0"/>
    <x v="61"/>
    <x v="61"/>
    <x v="2"/>
    <x v="0"/>
    <x v="2"/>
    <x v="19"/>
    <x v="8"/>
    <s v="Multi-Year"/>
    <x v="1"/>
    <s v="N/A"/>
    <n v="0"/>
    <s v="Confirmed"/>
    <s v=""/>
    <x v="1"/>
    <x v="1"/>
    <m/>
    <x v="2"/>
    <x v="1"/>
    <m/>
    <n v="0"/>
    <x v="0"/>
    <s v="N/A"/>
    <n v="18194076299.786381"/>
  </r>
  <r>
    <x v="0"/>
    <x v="62"/>
    <x v="62"/>
    <x v="2"/>
    <x v="0"/>
    <x v="2"/>
    <x v="19"/>
    <x v="8"/>
    <s v="Multi-Year"/>
    <x v="1"/>
    <s v="N/A"/>
    <n v="1290000"/>
    <s v="Confirmed"/>
    <s v=""/>
    <x v="1"/>
    <x v="1"/>
    <m/>
    <x v="1"/>
    <x v="1"/>
    <m/>
    <n v="0"/>
    <x v="0"/>
    <s v="N/A"/>
    <n v="4428819387.769825"/>
  </r>
  <r>
    <x v="0"/>
    <x v="63"/>
    <x v="63"/>
    <x v="4"/>
    <x v="0"/>
    <x v="2"/>
    <x v="19"/>
    <x v="8"/>
    <s v="Multi-Year"/>
    <x v="1"/>
    <s v="N/A"/>
    <n v="0"/>
    <s v="Confirmed"/>
    <s v=""/>
    <x v="1"/>
    <x v="1"/>
    <m/>
    <x v="1"/>
    <x v="1"/>
    <m/>
    <n v="0"/>
    <x v="1"/>
    <s v=""/>
    <n v="611739560.62679195"/>
  </r>
  <r>
    <x v="0"/>
    <x v="64"/>
    <x v="64"/>
    <x v="2"/>
    <x v="0"/>
    <x v="2"/>
    <x v="19"/>
    <x v="8"/>
    <s v="Multi-Year"/>
    <x v="1"/>
    <s v="N/A"/>
    <n v="0"/>
    <s v="Confirmed"/>
    <s v=""/>
    <x v="1"/>
    <x v="1"/>
    <m/>
    <x v="1"/>
    <x v="1"/>
    <m/>
    <n v="0"/>
    <x v="0"/>
    <s v="N/A"/>
    <n v="1617913383.0481031"/>
  </r>
  <r>
    <x v="0"/>
    <x v="65"/>
    <x v="65"/>
    <x v="1"/>
    <x v="0"/>
    <x v="2"/>
    <x v="19"/>
    <x v="8"/>
    <s v="Multi-Year"/>
    <x v="1"/>
    <s v="N/A"/>
    <n v="700000"/>
    <s v="Confirmed"/>
    <s v=""/>
    <x v="1"/>
    <x v="1"/>
    <m/>
    <x v="1"/>
    <x v="1"/>
    <m/>
    <n v="0"/>
    <x v="0"/>
    <s v=""/>
    <n v="3074419112.4562683"/>
  </r>
  <r>
    <x v="0"/>
    <x v="66"/>
    <x v="66"/>
    <x v="3"/>
    <x v="0"/>
    <x v="2"/>
    <x v="19"/>
    <x v="8"/>
    <s v="Multi-Year"/>
    <x v="1"/>
    <s v="N/A"/>
    <n v="0"/>
    <s v="Confirmed"/>
    <s v=""/>
    <x v="1"/>
    <x v="1"/>
    <m/>
    <x v="2"/>
    <x v="0"/>
    <m/>
    <n v="0"/>
    <x v="0"/>
    <s v="High"/>
    <n v="1914014279.8929913"/>
  </r>
  <r>
    <x v="0"/>
    <x v="67"/>
    <x v="67"/>
    <x v="6"/>
    <x v="0"/>
    <x v="2"/>
    <x v="19"/>
    <x v="8"/>
    <s v="Multi-Year"/>
    <x v="1"/>
    <s v="N/A"/>
    <n v="0"/>
    <s v="Confirmed"/>
    <s v=""/>
    <x v="1"/>
    <x v="1"/>
    <m/>
    <x v="2"/>
    <x v="0"/>
    <m/>
    <n v="0"/>
    <x v="1"/>
    <s v="High"/>
    <n v="17422005.762907442"/>
  </r>
  <r>
    <x v="0"/>
    <x v="68"/>
    <x v="68"/>
    <x v="6"/>
    <x v="0"/>
    <x v="2"/>
    <x v="19"/>
    <x v="8"/>
    <s v="Multi-Year"/>
    <x v="1"/>
    <s v="N/A"/>
    <n v="0"/>
    <s v="Confirmed"/>
    <s v=""/>
    <x v="1"/>
    <x v="1"/>
    <m/>
    <x v="0"/>
    <x v="0"/>
    <m/>
    <n v="0"/>
    <x v="0"/>
    <s v="N/A"/>
    <s v=""/>
  </r>
  <r>
    <x v="0"/>
    <x v="69"/>
    <x v="69"/>
    <x v="1"/>
    <x v="0"/>
    <x v="2"/>
    <x v="19"/>
    <x v="8"/>
    <s v="Multi-Year"/>
    <x v="1"/>
    <s v="N/A"/>
    <n v="0"/>
    <s v="Confirmed"/>
    <s v=""/>
    <x v="1"/>
    <x v="1"/>
    <m/>
    <x v="1"/>
    <x v="0"/>
    <m/>
    <n v="0"/>
    <x v="0"/>
    <s v="…"/>
    <s v=""/>
  </r>
  <r>
    <x v="0"/>
    <x v="70"/>
    <x v="70"/>
    <x v="1"/>
    <x v="0"/>
    <x v="2"/>
    <x v="19"/>
    <x v="8"/>
    <s v="Multi-Year"/>
    <x v="1"/>
    <s v="N/A"/>
    <n v="0"/>
    <s v="Confirmed"/>
    <s v=""/>
    <x v="1"/>
    <x v="1"/>
    <m/>
    <x v="2"/>
    <x v="0"/>
    <m/>
    <n v="2"/>
    <x v="0"/>
    <s v="Moderate"/>
    <n v="231506834.84347546"/>
  </r>
  <r>
    <x v="0"/>
    <x v="71"/>
    <x v="71"/>
    <x v="6"/>
    <x v="0"/>
    <x v="2"/>
    <x v="19"/>
    <x v="8"/>
    <s v="Multi-Year"/>
    <x v="1"/>
    <s v="N/A"/>
    <n v="1900000"/>
    <s v="Confirmed"/>
    <s v=""/>
    <x v="1"/>
    <x v="1"/>
    <m/>
    <x v="2"/>
    <x v="0"/>
    <m/>
    <n v="0"/>
    <x v="0"/>
    <s v="High"/>
    <n v="156059428.62944782"/>
  </r>
  <r>
    <x v="0"/>
    <x v="72"/>
    <x v="72"/>
    <x v="2"/>
    <x v="0"/>
    <x v="2"/>
    <x v="19"/>
    <x v="8"/>
    <s v="Multi-Year"/>
    <x v="1"/>
    <s v="N/A"/>
    <n v="0"/>
    <s v="Confirmed"/>
    <s v=""/>
    <x v="1"/>
    <x v="1"/>
    <m/>
    <x v="1"/>
    <x v="1"/>
    <m/>
    <n v="0"/>
    <x v="0"/>
    <s v="N/A"/>
    <n v="2355391507.1635861"/>
  </r>
  <r>
    <x v="0"/>
    <x v="73"/>
    <x v="73"/>
    <x v="3"/>
    <x v="0"/>
    <x v="2"/>
    <x v="19"/>
    <x v="8"/>
    <s v="Multi-Year"/>
    <x v="1"/>
    <s v="N/A"/>
    <n v="0"/>
    <s v="Confirmed"/>
    <s v=""/>
    <x v="1"/>
    <x v="1"/>
    <m/>
    <x v="2"/>
    <x v="0"/>
    <m/>
    <n v="0"/>
    <x v="0"/>
    <s v="Moderate"/>
    <n v="152760919.7684873"/>
  </r>
  <r>
    <x v="0"/>
    <x v="74"/>
    <x v="74"/>
    <x v="5"/>
    <x v="0"/>
    <x v="2"/>
    <x v="19"/>
    <x v="8"/>
    <s v="Multi-Year"/>
    <x v="1"/>
    <s v="N/A"/>
    <n v="500000"/>
    <s v="Confirmed"/>
    <s v=""/>
    <x v="1"/>
    <x v="1"/>
    <m/>
    <x v="0"/>
    <x v="0"/>
    <m/>
    <n v="0"/>
    <x v="0"/>
    <s v="High"/>
    <n v="55072006.864440605"/>
  </r>
  <r>
    <x v="0"/>
    <x v="75"/>
    <x v="75"/>
    <x v="2"/>
    <x v="0"/>
    <x v="2"/>
    <x v="19"/>
    <x v="8"/>
    <s v="Multi-Year"/>
    <x v="1"/>
    <s v="N/A"/>
    <n v="1716264"/>
    <s v="Confirmed"/>
    <s v=""/>
    <x v="1"/>
    <x v="1"/>
    <m/>
    <x v="1"/>
    <x v="1"/>
    <m/>
    <n v="0"/>
    <x v="0"/>
    <s v="N/A"/>
    <s v=""/>
  </r>
  <r>
    <x v="0"/>
    <x v="76"/>
    <x v="76"/>
    <x v="3"/>
    <x v="0"/>
    <x v="2"/>
    <x v="19"/>
    <x v="8"/>
    <s v="Multi-Year"/>
    <x v="1"/>
    <s v="N/A"/>
    <n v="0"/>
    <s v="Confirmed"/>
    <s v=""/>
    <x v="1"/>
    <x v="1"/>
    <m/>
    <x v="0"/>
    <x v="0"/>
    <m/>
    <n v="2"/>
    <x v="0"/>
    <s v="Moderate"/>
    <n v="206914157.05429548"/>
  </r>
  <r>
    <x v="0"/>
    <x v="77"/>
    <x v="77"/>
    <x v="3"/>
    <x v="0"/>
    <x v="2"/>
    <x v="19"/>
    <x v="8"/>
    <s v="Multi-Year"/>
    <x v="1"/>
    <s v="N/A"/>
    <n v="0"/>
    <s v="Confirmed"/>
    <s v=""/>
    <x v="1"/>
    <x v="1"/>
    <m/>
    <x v="0"/>
    <x v="0"/>
    <m/>
    <n v="2"/>
    <x v="0"/>
    <s v="High"/>
    <n v="185999915.02066413"/>
  </r>
  <r>
    <x v="0"/>
    <x v="78"/>
    <x v="78"/>
    <x v="6"/>
    <x v="0"/>
    <x v="2"/>
    <x v="19"/>
    <x v="8"/>
    <s v="Multi-Year"/>
    <x v="1"/>
    <s v="N/A"/>
    <n v="0"/>
    <s v="Confirmed"/>
    <s v=""/>
    <x v="1"/>
    <x v="1"/>
    <m/>
    <x v="1"/>
    <x v="1"/>
    <m/>
    <n v="0"/>
    <x v="0"/>
    <s v=""/>
    <n v="6893755763.2501726"/>
  </r>
  <r>
    <x v="0"/>
    <x v="79"/>
    <x v="79"/>
    <x v="0"/>
    <x v="0"/>
    <x v="2"/>
    <x v="19"/>
    <x v="8"/>
    <s v="Multi-Year"/>
    <x v="1"/>
    <s v="N/A"/>
    <n v="0"/>
    <s v="Confirmed"/>
    <s v=""/>
    <x v="1"/>
    <x v="1"/>
    <m/>
    <x v="1"/>
    <x v="0"/>
    <m/>
    <n v="0"/>
    <x v="1"/>
    <s v="High"/>
    <n v="354560231.58276606"/>
  </r>
  <r>
    <x v="0"/>
    <x v="80"/>
    <x v="80"/>
    <x v="5"/>
    <x v="0"/>
    <x v="2"/>
    <x v="19"/>
    <x v="8"/>
    <s v="Multi-Year"/>
    <x v="1"/>
    <s v="N/A"/>
    <n v="0"/>
    <s v="Confirmed"/>
    <s v=""/>
    <x v="1"/>
    <x v="1"/>
    <m/>
    <x v="0"/>
    <x v="0"/>
    <m/>
    <n v="1"/>
    <x v="0"/>
    <s v="Moderate"/>
    <n v="188169167.56540567"/>
  </r>
  <r>
    <x v="0"/>
    <x v="81"/>
    <x v="81"/>
    <x v="6"/>
    <x v="0"/>
    <x v="2"/>
    <x v="19"/>
    <x v="8"/>
    <s v="Multi-Year"/>
    <x v="1"/>
    <s v="N/A"/>
    <n v="0"/>
    <s v="Confirmed"/>
    <s v=""/>
    <x v="1"/>
    <x v="1"/>
    <m/>
    <x v="1"/>
    <x v="0"/>
    <m/>
    <n v="0"/>
    <x v="1"/>
    <s v=""/>
    <n v="16312106.556340856"/>
  </r>
  <r>
    <x v="0"/>
    <x v="82"/>
    <x v="82"/>
    <x v="5"/>
    <x v="0"/>
    <x v="2"/>
    <x v="19"/>
    <x v="8"/>
    <s v="Multi-Year"/>
    <x v="1"/>
    <s v="N/A"/>
    <n v="862839"/>
    <s v="Confirmed"/>
    <s v=""/>
    <x v="1"/>
    <x v="1"/>
    <m/>
    <x v="2"/>
    <x v="0"/>
    <m/>
    <n v="2"/>
    <x v="0"/>
    <s v="High"/>
    <n v="86083833.534053758"/>
  </r>
  <r>
    <x v="0"/>
    <x v="83"/>
    <x v="83"/>
    <x v="3"/>
    <x v="0"/>
    <x v="2"/>
    <x v="19"/>
    <x v="8"/>
    <s v="Multi-Year"/>
    <x v="1"/>
    <s v="N/A"/>
    <n v="0"/>
    <s v="Confirmed"/>
    <s v=""/>
    <x v="1"/>
    <x v="1"/>
    <m/>
    <x v="1"/>
    <x v="1"/>
    <m/>
    <n v="0"/>
    <x v="1"/>
    <s v="N/A"/>
    <n v="357220835.93762809"/>
  </r>
  <r>
    <x v="0"/>
    <x v="84"/>
    <x v="84"/>
    <x v="4"/>
    <x v="0"/>
    <x v="2"/>
    <x v="19"/>
    <x v="8"/>
    <s v="Multi-Year"/>
    <x v="1"/>
    <s v="N/A"/>
    <n v="0"/>
    <s v="Confirmed"/>
    <s v=""/>
    <x v="1"/>
    <x v="1"/>
    <m/>
    <x v="1"/>
    <x v="1"/>
    <m/>
    <n v="0"/>
    <x v="0"/>
    <s v=""/>
    <n v="32831598153.796387"/>
  </r>
  <r>
    <x v="0"/>
    <x v="85"/>
    <x v="85"/>
    <x v="6"/>
    <x v="0"/>
    <x v="2"/>
    <x v="19"/>
    <x v="8"/>
    <s v="Multi-Year"/>
    <x v="1"/>
    <s v="N/A"/>
    <n v="0"/>
    <s v="Confirmed"/>
    <s v=""/>
    <x v="1"/>
    <x v="1"/>
    <m/>
    <x v="2"/>
    <x v="0"/>
    <m/>
    <n v="0"/>
    <x v="1"/>
    <s v="High"/>
    <n v="12329056.093798399"/>
  </r>
  <r>
    <x v="0"/>
    <x v="86"/>
    <x v="86"/>
    <x v="1"/>
    <x v="0"/>
    <x v="2"/>
    <x v="19"/>
    <x v="8"/>
    <s v="Multi-Year"/>
    <x v="1"/>
    <s v="N/A"/>
    <n v="726000"/>
    <s v="Confirmed"/>
    <s v=""/>
    <x v="1"/>
    <x v="1"/>
    <m/>
    <x v="1"/>
    <x v="0"/>
    <m/>
    <n v="0"/>
    <x v="0"/>
    <s v="Low"/>
    <n v="426639742.85328001"/>
  </r>
  <r>
    <x v="0"/>
    <x v="87"/>
    <x v="87"/>
    <x v="6"/>
    <x v="0"/>
    <x v="2"/>
    <x v="19"/>
    <x v="8"/>
    <s v="Multi-Year"/>
    <x v="1"/>
    <s v="N/A"/>
    <n v="250000"/>
    <s v="Confirmed"/>
    <s v=""/>
    <x v="1"/>
    <x v="1"/>
    <m/>
    <x v="2"/>
    <x v="0"/>
    <m/>
    <n v="0"/>
    <x v="0"/>
    <s v="…"/>
    <n v="288519671.85870522"/>
  </r>
  <r>
    <x v="0"/>
    <x v="88"/>
    <x v="88"/>
    <x v="1"/>
    <x v="0"/>
    <x v="2"/>
    <x v="19"/>
    <x v="8"/>
    <s v="Multi-Year"/>
    <x v="1"/>
    <s v="N/A"/>
    <n v="0"/>
    <s v="Confirmed"/>
    <s v=""/>
    <x v="1"/>
    <x v="1"/>
    <m/>
    <x v="1"/>
    <x v="1"/>
    <m/>
    <n v="0"/>
    <x v="0"/>
    <s v="N/A"/>
    <n v="275606560.78491527"/>
  </r>
  <r>
    <x v="0"/>
    <x v="89"/>
    <x v="89"/>
    <x v="2"/>
    <x v="0"/>
    <x v="2"/>
    <x v="19"/>
    <x v="8"/>
    <s v="Multi-Year"/>
    <x v="1"/>
    <s v="N/A"/>
    <n v="2500000"/>
    <s v="Confirmed"/>
    <s v=""/>
    <x v="1"/>
    <x v="1"/>
    <m/>
    <x v="2"/>
    <x v="0"/>
    <m/>
    <n v="0"/>
    <x v="0"/>
    <s v="N/A"/>
    <n v="2530937679.3725696"/>
  </r>
  <r>
    <x v="0"/>
    <x v="90"/>
    <x v="90"/>
    <x v="3"/>
    <x v="0"/>
    <x v="2"/>
    <x v="19"/>
    <x v="8"/>
    <s v="Multi-Year"/>
    <x v="1"/>
    <s v="N/A"/>
    <n v="0"/>
    <s v="Confirmed"/>
    <s v=""/>
    <x v="1"/>
    <x v="1"/>
    <m/>
    <x v="0"/>
    <x v="0"/>
    <m/>
    <n v="0"/>
    <x v="0"/>
    <s v="In distress"/>
    <n v="251432156.86255455"/>
  </r>
  <r>
    <x v="0"/>
    <x v="91"/>
    <x v="91"/>
    <x v="6"/>
    <x v="0"/>
    <x v="2"/>
    <x v="19"/>
    <x v="8"/>
    <s v="Multi-Year"/>
    <x v="1"/>
    <s v="N/A"/>
    <n v="783056"/>
    <s v="Confirmed"/>
    <s v=""/>
    <x v="1"/>
    <x v="1"/>
    <m/>
    <x v="2"/>
    <x v="0"/>
    <m/>
    <n v="0"/>
    <x v="0"/>
    <s v="Low"/>
    <n v="471534500.60109437"/>
  </r>
  <r>
    <x v="0"/>
    <x v="92"/>
    <x v="92"/>
    <x v="3"/>
    <x v="0"/>
    <x v="2"/>
    <x v="19"/>
    <x v="8"/>
    <s v="Multi-Year"/>
    <x v="1"/>
    <s v="N/A"/>
    <n v="0"/>
    <s v="Confirmed"/>
    <s v=""/>
    <x v="1"/>
    <x v="1"/>
    <m/>
    <x v="1"/>
    <x v="1"/>
    <m/>
    <n v="0"/>
    <x v="0"/>
    <s v=""/>
    <n v="531677611.80447447"/>
  </r>
  <r>
    <x v="0"/>
    <x v="93"/>
    <x v="93"/>
    <x v="6"/>
    <x v="0"/>
    <x v="2"/>
    <x v="19"/>
    <x v="8"/>
    <s v="Multi-Year"/>
    <x v="1"/>
    <s v="N/A"/>
    <n v="0"/>
    <s v="Confirmed"/>
    <s v=""/>
    <x v="1"/>
    <x v="1"/>
    <m/>
    <x v="3"/>
    <x v="1"/>
    <m/>
    <n v="0"/>
    <x v="1"/>
    <s v=""/>
    <n v="8528751.6418357007"/>
  </r>
  <r>
    <x v="0"/>
    <x v="94"/>
    <x v="94"/>
    <x v="0"/>
    <x v="0"/>
    <x v="2"/>
    <x v="19"/>
    <x v="8"/>
    <s v="Multi-Year"/>
    <x v="1"/>
    <s v="N/A"/>
    <n v="0"/>
    <s v="Confirmed"/>
    <s v=""/>
    <x v="1"/>
    <x v="1"/>
    <m/>
    <x v="2"/>
    <x v="0"/>
    <m/>
    <n v="0"/>
    <x v="0"/>
    <s v="Low"/>
    <n v="407084543.19089872"/>
  </r>
  <r>
    <x v="0"/>
    <x v="95"/>
    <x v="95"/>
    <x v="4"/>
    <x v="0"/>
    <x v="2"/>
    <x v="19"/>
    <x v="8"/>
    <s v="Multi-Year"/>
    <x v="1"/>
    <s v="N/A"/>
    <n v="0"/>
    <s v="Confirmed"/>
    <s v=""/>
    <x v="1"/>
    <x v="1"/>
    <m/>
    <x v="2"/>
    <x v="0"/>
    <m/>
    <n v="0"/>
    <x v="0"/>
    <s v="Moderate"/>
    <n v="671998341.93592453"/>
  </r>
  <r>
    <x v="0"/>
    <x v="96"/>
    <x v="96"/>
    <x v="5"/>
    <x v="0"/>
    <x v="2"/>
    <x v="19"/>
    <x v="8"/>
    <s v="Multi-Year"/>
    <x v="1"/>
    <s v="N/A"/>
    <n v="500000"/>
    <s v="Confirmed"/>
    <s v=""/>
    <x v="1"/>
    <x v="1"/>
    <m/>
    <x v="0"/>
    <x v="0"/>
    <m/>
    <n v="1"/>
    <x v="0"/>
    <s v="Moderate"/>
    <n v="226203289.67158964"/>
  </r>
  <r>
    <x v="0"/>
    <x v="97"/>
    <x v="97"/>
    <x v="5"/>
    <x v="0"/>
    <x v="2"/>
    <x v="19"/>
    <x v="8"/>
    <s v="Multi-Year"/>
    <x v="1"/>
    <s v="N/A"/>
    <n v="0"/>
    <s v="Confirmed"/>
    <s v=""/>
    <x v="1"/>
    <x v="1"/>
    <m/>
    <x v="2"/>
    <x v="0"/>
    <m/>
    <n v="3"/>
    <x v="0"/>
    <s v="…"/>
    <n v="2438881113.1244688"/>
  </r>
  <r>
    <x v="0"/>
    <x v="98"/>
    <x v="98"/>
    <x v="1"/>
    <x v="0"/>
    <x v="2"/>
    <x v="19"/>
    <x v="8"/>
    <s v="Multi-Year"/>
    <x v="1"/>
    <s v="N/A"/>
    <n v="0"/>
    <s v="Confirmed"/>
    <s v=""/>
    <x v="1"/>
    <x v="1"/>
    <m/>
    <x v="1"/>
    <x v="1"/>
    <m/>
    <n v="0"/>
    <x v="0"/>
    <s v=""/>
    <n v="476517795.73174149"/>
  </r>
  <r>
    <x v="0"/>
    <x v="99"/>
    <x v="99"/>
    <x v="0"/>
    <x v="0"/>
    <x v="2"/>
    <x v="19"/>
    <x v="8"/>
    <s v="Multi-Year"/>
    <x v="1"/>
    <s v="N/A"/>
    <n v="950000"/>
    <s v="Confirmed"/>
    <s v=""/>
    <x v="1"/>
    <x v="1"/>
    <m/>
    <x v="2"/>
    <x v="0"/>
    <m/>
    <n v="0"/>
    <x v="0"/>
    <s v="…"/>
    <n v="3233351297.7679496"/>
  </r>
  <r>
    <x v="0"/>
    <x v="100"/>
    <x v="100"/>
    <x v="4"/>
    <x v="0"/>
    <x v="2"/>
    <x v="19"/>
    <x v="8"/>
    <s v="Multi-Year"/>
    <x v="1"/>
    <s v="N/A"/>
    <n v="0"/>
    <s v="Confirmed"/>
    <s v=""/>
    <x v="1"/>
    <x v="1"/>
    <m/>
    <x v="3"/>
    <x v="1"/>
    <m/>
    <n v="0"/>
    <x v="1"/>
    <s v=""/>
    <n v="18180646.808608256"/>
  </r>
  <r>
    <x v="0"/>
    <x v="101"/>
    <x v="101"/>
    <x v="4"/>
    <x v="0"/>
    <x v="2"/>
    <x v="19"/>
    <x v="8"/>
    <s v="Multi-Year"/>
    <x v="1"/>
    <s v="N/A"/>
    <n v="0"/>
    <s v="Confirmed"/>
    <s v=""/>
    <x v="1"/>
    <x v="1"/>
    <m/>
    <x v="1"/>
    <x v="1"/>
    <m/>
    <n v="0"/>
    <x v="0"/>
    <s v="N/A"/>
    <n v="3020530707.3485303"/>
  </r>
  <r>
    <x v="0"/>
    <x v="102"/>
    <x v="102"/>
    <x v="6"/>
    <x v="0"/>
    <x v="2"/>
    <x v="19"/>
    <x v="8"/>
    <s v="Multi-Year"/>
    <x v="1"/>
    <s v="N/A"/>
    <n v="500000"/>
    <s v="Confirmed"/>
    <s v=""/>
    <x v="1"/>
    <x v="1"/>
    <m/>
    <x v="2"/>
    <x v="0"/>
    <m/>
    <n v="1"/>
    <x v="1"/>
    <s v="High"/>
    <n v="384406316.46074712"/>
  </r>
  <r>
    <x v="0"/>
    <x v="103"/>
    <x v="103"/>
    <x v="4"/>
    <x v="0"/>
    <x v="2"/>
    <x v="19"/>
    <x v="8"/>
    <s v="Multi-Year"/>
    <x v="1"/>
    <s v="N/A"/>
    <n v="0"/>
    <s v="Confirmed"/>
    <s v=""/>
    <x v="1"/>
    <x v="1"/>
    <m/>
    <x v="1"/>
    <x v="1"/>
    <m/>
    <n v="0"/>
    <x v="0"/>
    <s v=""/>
    <n v="1218747108.9554784"/>
  </r>
  <r>
    <x v="0"/>
    <x v="104"/>
    <x v="104"/>
    <x v="4"/>
    <x v="0"/>
    <x v="2"/>
    <x v="19"/>
    <x v="8"/>
    <s v="Multi-Year"/>
    <x v="1"/>
    <s v="N/A"/>
    <n v="0"/>
    <s v="Confirmed"/>
    <s v=""/>
    <x v="1"/>
    <x v="1"/>
    <m/>
    <x v="1"/>
    <x v="1"/>
    <m/>
    <n v="0"/>
    <x v="0"/>
    <s v=""/>
    <n v="7392665952.5895758"/>
  </r>
  <r>
    <x v="0"/>
    <x v="105"/>
    <x v="105"/>
    <x v="6"/>
    <x v="0"/>
    <x v="2"/>
    <x v="19"/>
    <x v="8"/>
    <s v="Multi-Year"/>
    <x v="1"/>
    <s v="N/A"/>
    <n v="1600000"/>
    <s v="Confirmed"/>
    <s v=""/>
    <x v="1"/>
    <x v="1"/>
    <m/>
    <x v="2"/>
    <x v="0"/>
    <m/>
    <n v="0"/>
    <x v="0"/>
    <s v="N/A"/>
    <n v="4754985988.6004429"/>
  </r>
  <r>
    <x v="0"/>
    <x v="106"/>
    <x v="106"/>
    <x v="1"/>
    <x v="0"/>
    <x v="2"/>
    <x v="19"/>
    <x v="8"/>
    <s v="Multi-Year"/>
    <x v="1"/>
    <s v="N/A"/>
    <n v="0"/>
    <s v="Confirmed"/>
    <s v=""/>
    <x v="1"/>
    <x v="1"/>
    <m/>
    <x v="3"/>
    <x v="1"/>
    <m/>
    <n v="0"/>
    <x v="0"/>
    <s v=""/>
    <n v="26422210443.037273"/>
  </r>
  <r>
    <x v="0"/>
    <x v="107"/>
    <x v="107"/>
    <x v="1"/>
    <x v="0"/>
    <x v="2"/>
    <x v="19"/>
    <x v="8"/>
    <s v="Multi-Year"/>
    <x v="1"/>
    <s v="N/A"/>
    <n v="1200000"/>
    <s v="Confirmed"/>
    <s v=""/>
    <x v="1"/>
    <x v="1"/>
    <m/>
    <x v="1"/>
    <x v="1"/>
    <m/>
    <n v="0"/>
    <x v="0"/>
    <s v=""/>
    <n v="10696495313.15033"/>
  </r>
  <r>
    <x v="0"/>
    <x v="108"/>
    <x v="108"/>
    <x v="1"/>
    <x v="0"/>
    <x v="2"/>
    <x v="19"/>
    <x v="8"/>
    <s v="Multi-Year"/>
    <x v="1"/>
    <s v="N/A"/>
    <n v="0"/>
    <s v="Confirmed"/>
    <s v=""/>
    <x v="1"/>
    <x v="1"/>
    <m/>
    <x v="1"/>
    <x v="1"/>
    <m/>
    <n v="0"/>
    <x v="0"/>
    <s v=""/>
    <n v="52769713433.240509"/>
  </r>
  <r>
    <x v="0"/>
    <x v="109"/>
    <x v="109"/>
    <x v="3"/>
    <x v="0"/>
    <x v="2"/>
    <x v="19"/>
    <x v="8"/>
    <s v="Multi-Year"/>
    <x v="1"/>
    <s v="N/A"/>
    <n v="0"/>
    <s v="Confirmed"/>
    <s v=""/>
    <x v="1"/>
    <x v="1"/>
    <m/>
    <x v="0"/>
    <x v="0"/>
    <m/>
    <n v="0"/>
    <x v="0"/>
    <s v="Moderate"/>
    <n v="225799814.51943746"/>
  </r>
  <r>
    <x v="0"/>
    <x v="110"/>
    <x v="110"/>
    <x v="6"/>
    <x v="0"/>
    <x v="2"/>
    <x v="19"/>
    <x v="8"/>
    <s v="Multi-Year"/>
    <x v="1"/>
    <s v="N/A"/>
    <n v="0"/>
    <s v="Confirmed"/>
    <s v=""/>
    <x v="1"/>
    <x v="1"/>
    <m/>
    <x v="2"/>
    <x v="0"/>
    <m/>
    <n v="0"/>
    <x v="1"/>
    <s v="High"/>
    <n v="32192988.027009469"/>
  </r>
  <r>
    <x v="0"/>
    <x v="111"/>
    <x v="111"/>
    <x v="5"/>
    <x v="0"/>
    <x v="2"/>
    <x v="19"/>
    <x v="8"/>
    <s v="Multi-Year"/>
    <x v="1"/>
    <s v="N/A"/>
    <n v="200000"/>
    <s v="Confirmed"/>
    <s v=""/>
    <x v="1"/>
    <x v="1"/>
    <m/>
    <x v="2"/>
    <x v="0"/>
    <m/>
    <n v="0"/>
    <x v="1"/>
    <s v="In distress"/>
    <n v="11633535.136477679"/>
  </r>
  <r>
    <x v="0"/>
    <x v="112"/>
    <x v="112"/>
    <x v="5"/>
    <x v="0"/>
    <x v="2"/>
    <x v="19"/>
    <x v="8"/>
    <s v="Multi-Year"/>
    <x v="1"/>
    <s v="N/A"/>
    <n v="900000"/>
    <s v="Confirmed"/>
    <s v=""/>
    <x v="1"/>
    <x v="1"/>
    <m/>
    <x v="2"/>
    <x v="0"/>
    <m/>
    <n v="2"/>
    <x v="0"/>
    <s v="Moderate"/>
    <n v="222008693.93354639"/>
  </r>
  <r>
    <x v="0"/>
    <x v="113"/>
    <x v="113"/>
    <x v="1"/>
    <x v="0"/>
    <x v="2"/>
    <x v="19"/>
    <x v="8"/>
    <s v="Multi-Year"/>
    <x v="1"/>
    <s v="N/A"/>
    <n v="0"/>
    <s v="Confirmed"/>
    <s v=""/>
    <x v="1"/>
    <x v="1"/>
    <m/>
    <x v="1"/>
    <x v="1"/>
    <m/>
    <n v="0"/>
    <x v="0"/>
    <s v=""/>
    <n v="2564993795.1894679"/>
  </r>
  <r>
    <x v="0"/>
    <x v="114"/>
    <x v="114"/>
    <x v="3"/>
    <x v="0"/>
    <x v="2"/>
    <x v="19"/>
    <x v="8"/>
    <s v="Multi-Year"/>
    <x v="1"/>
    <s v="N/A"/>
    <n v="0"/>
    <s v="Confirmed"/>
    <s v=""/>
    <x v="1"/>
    <x v="1"/>
    <m/>
    <x v="3"/>
    <x v="1"/>
    <m/>
    <n v="0"/>
    <x v="1"/>
    <s v="N/A"/>
    <n v="60237542.945069775"/>
  </r>
  <r>
    <x v="0"/>
    <x v="115"/>
    <x v="115"/>
    <x v="5"/>
    <x v="0"/>
    <x v="2"/>
    <x v="19"/>
    <x v="8"/>
    <s v="Multi-Year"/>
    <x v="1"/>
    <s v="N/A"/>
    <n v="1450000"/>
    <s v="Confirmed"/>
    <s v=""/>
    <x v="1"/>
    <x v="1"/>
    <m/>
    <x v="0"/>
    <x v="0"/>
    <m/>
    <n v="0"/>
    <x v="0"/>
    <s v="High"/>
    <n v="63738640.538260505"/>
  </r>
  <r>
    <x v="0"/>
    <x v="116"/>
    <x v="116"/>
    <x v="6"/>
    <x v="0"/>
    <x v="2"/>
    <x v="19"/>
    <x v="8"/>
    <s v="Multi-Year"/>
    <x v="1"/>
    <s v="N/A"/>
    <n v="0"/>
    <s v="Confirmed"/>
    <s v=""/>
    <x v="1"/>
    <x v="1"/>
    <m/>
    <x v="2"/>
    <x v="0"/>
    <m/>
    <n v="0"/>
    <x v="1"/>
    <s v="Moderate"/>
    <n v="49012774.055630356"/>
  </r>
  <r>
    <x v="0"/>
    <x v="117"/>
    <x v="117"/>
    <x v="3"/>
    <x v="0"/>
    <x v="2"/>
    <x v="19"/>
    <x v="8"/>
    <s v="Multi-Year"/>
    <x v="1"/>
    <s v="N/A"/>
    <n v="1500000"/>
    <s v="Confirmed"/>
    <s v=""/>
    <x v="1"/>
    <x v="1"/>
    <m/>
    <x v="0"/>
    <x v="0"/>
    <m/>
    <n v="1"/>
    <x v="0"/>
    <s v="In distress"/>
    <s v=""/>
  </r>
  <r>
    <x v="0"/>
    <x v="118"/>
    <x v="118"/>
    <x v="3"/>
    <x v="0"/>
    <x v="2"/>
    <x v="19"/>
    <x v="8"/>
    <s v="Multi-Year"/>
    <x v="1"/>
    <s v="N/A"/>
    <n v="0"/>
    <s v="Confirmed"/>
    <s v=""/>
    <x v="1"/>
    <x v="1"/>
    <m/>
    <x v="1"/>
    <x v="1"/>
    <m/>
    <n v="0"/>
    <x v="0"/>
    <s v="N/A"/>
    <n v="16429121142.784708"/>
  </r>
  <r>
    <x v="0"/>
    <x v="119"/>
    <x v="119"/>
    <x v="3"/>
    <x v="0"/>
    <x v="2"/>
    <x v="19"/>
    <x v="8"/>
    <s v="Multi-Year"/>
    <x v="1"/>
    <s v="N/A"/>
    <n v="0"/>
    <s v="Confirmed"/>
    <s v=""/>
    <x v="1"/>
    <x v="1"/>
    <m/>
    <x v="0"/>
    <x v="0"/>
    <m/>
    <n v="1"/>
    <x v="0"/>
    <s v="High"/>
    <n v="31684581.76217727"/>
  </r>
  <r>
    <x v="0"/>
    <x v="120"/>
    <x v="120"/>
    <x v="0"/>
    <x v="0"/>
    <x v="2"/>
    <x v="19"/>
    <x v="8"/>
    <s v="Multi-Year"/>
    <x v="1"/>
    <s v="N/A"/>
    <n v="0"/>
    <s v="Confirmed"/>
    <s v=""/>
    <x v="1"/>
    <x v="1"/>
    <m/>
    <x v="2"/>
    <x v="0"/>
    <m/>
    <n v="0"/>
    <x v="0"/>
    <s v="N/A"/>
    <n v="1373621563.5182886"/>
  </r>
  <r>
    <x v="0"/>
    <x v="121"/>
    <x v="121"/>
    <x v="4"/>
    <x v="0"/>
    <x v="2"/>
    <x v="19"/>
    <x v="8"/>
    <s v="Multi-Year"/>
    <x v="1"/>
    <s v="N/A"/>
    <n v="0"/>
    <s v="Confirmed"/>
    <s v=""/>
    <x v="1"/>
    <x v="1"/>
    <m/>
    <x v="3"/>
    <x v="1"/>
    <m/>
    <n v="0"/>
    <x v="1"/>
    <s v=""/>
    <n v="24214370.889062837"/>
  </r>
  <r>
    <x v="0"/>
    <x v="122"/>
    <x v="122"/>
    <x v="4"/>
    <x v="0"/>
    <x v="2"/>
    <x v="19"/>
    <x v="8"/>
    <s v="Multi-Year"/>
    <x v="1"/>
    <s v="N/A"/>
    <n v="0"/>
    <s v="Confirmed"/>
    <s v=""/>
    <x v="1"/>
    <x v="1"/>
    <m/>
    <x v="1"/>
    <x v="0"/>
    <m/>
    <n v="0"/>
    <x v="1"/>
    <s v="…"/>
    <n v="39941279.609447442"/>
  </r>
  <r>
    <x v="0"/>
    <x v="123"/>
    <x v="123"/>
    <x v="4"/>
    <x v="0"/>
    <x v="2"/>
    <x v="19"/>
    <x v="8"/>
    <s v="Multi-Year"/>
    <x v="1"/>
    <s v="N/A"/>
    <n v="0"/>
    <s v="Confirmed"/>
    <s v=""/>
    <x v="1"/>
    <x v="1"/>
    <m/>
    <x v="1"/>
    <x v="0"/>
    <m/>
    <n v="0"/>
    <x v="1"/>
    <s v="High"/>
    <n v="24761675.260059897"/>
  </r>
  <r>
    <x v="0"/>
    <x v="124"/>
    <x v="124"/>
    <x v="2"/>
    <x v="0"/>
    <x v="2"/>
    <x v="19"/>
    <x v="8"/>
    <s v="Multi-Year"/>
    <x v="1"/>
    <s v="N/A"/>
    <n v="0"/>
    <s v="Confirmed"/>
    <s v=""/>
    <x v="1"/>
    <x v="1"/>
    <m/>
    <x v="2"/>
    <x v="0"/>
    <m/>
    <n v="0"/>
    <x v="0"/>
    <s v="N/A"/>
    <s v=""/>
  </r>
  <r>
    <x v="0"/>
    <x v="125"/>
    <x v="125"/>
    <x v="2"/>
    <x v="0"/>
    <x v="2"/>
    <x v="19"/>
    <x v="8"/>
    <s v="Multi-Year"/>
    <x v="1"/>
    <s v="N/A"/>
    <n v="0"/>
    <s v="Confirmed"/>
    <s v=""/>
    <x v="1"/>
    <x v="1"/>
    <m/>
    <x v="0"/>
    <x v="0"/>
    <m/>
    <n v="1"/>
    <x v="0"/>
    <s v="N/A"/>
    <n v="577156172.71229994"/>
  </r>
  <r>
    <x v="0"/>
    <x v="126"/>
    <x v="126"/>
    <x v="6"/>
    <x v="0"/>
    <x v="2"/>
    <x v="19"/>
    <x v="8"/>
    <s v="Multi-Year"/>
    <x v="1"/>
    <s v="N/A"/>
    <n v="0"/>
    <s v="Confirmed"/>
    <s v=""/>
    <x v="1"/>
    <x v="1"/>
    <m/>
    <x v="1"/>
    <x v="1"/>
    <m/>
    <n v="0"/>
    <x v="1"/>
    <s v=""/>
    <n v="180052034.19851837"/>
  </r>
  <r>
    <x v="0"/>
    <x v="127"/>
    <x v="127"/>
    <x v="2"/>
    <x v="0"/>
    <x v="2"/>
    <x v="19"/>
    <x v="8"/>
    <s v="Multi-Year"/>
    <x v="1"/>
    <s v="N/A"/>
    <n v="0"/>
    <s v="Confirmed"/>
    <s v=""/>
    <x v="1"/>
    <x v="1"/>
    <m/>
    <x v="0"/>
    <x v="0"/>
    <m/>
    <n v="1"/>
    <x v="0"/>
    <s v="N/A"/>
    <s v=""/>
  </r>
  <r>
    <x v="0"/>
    <x v="128"/>
    <x v="128"/>
    <x v="1"/>
    <x v="0"/>
    <x v="2"/>
    <x v="19"/>
    <x v="8"/>
    <s v="Multi-Year"/>
    <x v="1"/>
    <s v="N/A"/>
    <n v="0"/>
    <s v="Confirmed"/>
    <s v=""/>
    <x v="1"/>
    <x v="1"/>
    <m/>
    <x v="2"/>
    <x v="0"/>
    <m/>
    <n v="0"/>
    <x v="0"/>
    <s v="High"/>
    <n v="147296124.32232863"/>
  </r>
  <r>
    <x v="0"/>
    <x v="129"/>
    <x v="129"/>
    <x v="3"/>
    <x v="0"/>
    <x v="2"/>
    <x v="19"/>
    <x v="8"/>
    <s v="Multi-Year"/>
    <x v="1"/>
    <s v="N/A"/>
    <n v="750000"/>
    <s v="Confirmed"/>
    <s v=""/>
    <x v="1"/>
    <x v="1"/>
    <m/>
    <x v="2"/>
    <x v="0"/>
    <m/>
    <n v="0"/>
    <x v="0"/>
    <s v="…"/>
    <n v="890576536.83065879"/>
  </r>
  <r>
    <x v="0"/>
    <x v="130"/>
    <x v="130"/>
    <x v="6"/>
    <x v="0"/>
    <x v="2"/>
    <x v="19"/>
    <x v="8"/>
    <s v="Multi-Year"/>
    <x v="1"/>
    <s v="N/A"/>
    <n v="0"/>
    <s v="Confirmed"/>
    <s v=""/>
    <x v="1"/>
    <x v="1"/>
    <m/>
    <x v="1"/>
    <x v="1"/>
    <m/>
    <n v="0"/>
    <x v="0"/>
    <s v=""/>
    <n v="14611129792.346064"/>
  </r>
  <r>
    <x v="0"/>
    <x v="131"/>
    <x v="131"/>
    <x v="6"/>
    <x v="0"/>
    <x v="2"/>
    <x v="19"/>
    <x v="8"/>
    <s v="Multi-Year"/>
    <x v="1"/>
    <s v="N/A"/>
    <n v="0"/>
    <s v="Confirmed"/>
    <s v=""/>
    <x v="1"/>
    <x v="1"/>
    <m/>
    <x v="2"/>
    <x v="0"/>
    <m/>
    <n v="0"/>
    <x v="1"/>
    <s v="Low"/>
    <n v="72046877.233008593"/>
  </r>
  <r>
    <x v="0"/>
    <x v="132"/>
    <x v="132"/>
    <x v="5"/>
    <x v="0"/>
    <x v="2"/>
    <x v="19"/>
    <x v="8"/>
    <s v="Multi-Year"/>
    <x v="1"/>
    <s v="N/A"/>
    <n v="0"/>
    <s v="Confirmed"/>
    <s v=""/>
    <x v="1"/>
    <x v="1"/>
    <m/>
    <x v="0"/>
    <x v="0"/>
    <m/>
    <n v="0"/>
    <x v="0"/>
    <s v="High"/>
    <n v="56248139.267255567"/>
  </r>
  <r>
    <x v="0"/>
    <x v="133"/>
    <x v="133"/>
    <x v="6"/>
    <x v="0"/>
    <x v="2"/>
    <x v="19"/>
    <x v="8"/>
    <s v="Multi-Year"/>
    <x v="1"/>
    <s v="N/A"/>
    <n v="0"/>
    <s v="Confirmed"/>
    <s v=""/>
    <x v="1"/>
    <x v="1"/>
    <m/>
    <x v="1"/>
    <x v="0"/>
    <m/>
    <n v="0"/>
    <x v="1"/>
    <s v="High"/>
    <n v="15464031.712942109"/>
  </r>
  <r>
    <x v="0"/>
    <x v="134"/>
    <x v="134"/>
    <x v="4"/>
    <x v="0"/>
    <x v="2"/>
    <x v="19"/>
    <x v="8"/>
    <s v="Multi-Year"/>
    <x v="1"/>
    <s v="N/A"/>
    <n v="0"/>
    <s v="Confirmed"/>
    <s v=""/>
    <x v="1"/>
    <x v="1"/>
    <m/>
    <x v="3"/>
    <x v="1"/>
    <m/>
    <n v="0"/>
    <x v="1"/>
    <s v="N/A"/>
    <n v="769564399.33249676"/>
  </r>
  <r>
    <x v="0"/>
    <x v="135"/>
    <x v="135"/>
    <x v="2"/>
    <x v="0"/>
    <x v="2"/>
    <x v="19"/>
    <x v="8"/>
    <s v="Multi-Year"/>
    <x v="1"/>
    <s v="N/A"/>
    <n v="3000000"/>
    <s v="Confirmed"/>
    <s v=""/>
    <x v="1"/>
    <x v="1"/>
    <m/>
    <x v="2"/>
    <x v="0"/>
    <m/>
    <n v="0"/>
    <x v="0"/>
    <s v="N/A"/>
    <n v="1668954539.7630196"/>
  </r>
  <r>
    <x v="0"/>
    <x v="136"/>
    <x v="136"/>
    <x v="1"/>
    <x v="0"/>
    <x v="2"/>
    <x v="19"/>
    <x v="8"/>
    <s v="Multi-Year"/>
    <x v="1"/>
    <s v="N/A"/>
    <n v="0"/>
    <s v="Confirmed"/>
    <s v=""/>
    <x v="1"/>
    <x v="1"/>
    <m/>
    <x v="1"/>
    <x v="1"/>
    <m/>
    <n v="0"/>
    <x v="0"/>
    <s v=""/>
    <n v="24840920016.18832"/>
  </r>
  <r>
    <x v="0"/>
    <x v="137"/>
    <x v="137"/>
    <x v="1"/>
    <x v="0"/>
    <x v="2"/>
    <x v="19"/>
    <x v="8"/>
    <s v="Multi-Year"/>
    <x v="1"/>
    <s v="N/A"/>
    <n v="0"/>
    <s v="Confirmed"/>
    <s v=""/>
    <x v="1"/>
    <x v="1"/>
    <m/>
    <x v="1"/>
    <x v="1"/>
    <m/>
    <n v="0"/>
    <x v="0"/>
    <s v="N/A"/>
    <n v="487888462.83720118"/>
  </r>
  <r>
    <x v="0"/>
    <x v="138"/>
    <x v="138"/>
    <x v="6"/>
    <x v="0"/>
    <x v="2"/>
    <x v="19"/>
    <x v="8"/>
    <s v="Multi-Year"/>
    <x v="1"/>
    <s v="N/A"/>
    <n v="0"/>
    <s v="Confirmed"/>
    <s v=""/>
    <x v="1"/>
    <x v="1"/>
    <m/>
    <x v="1"/>
    <x v="0"/>
    <m/>
    <n v="0"/>
    <x v="1"/>
    <s v="…"/>
    <n v="6365061.1736073596"/>
  </r>
  <r>
    <x v="0"/>
    <x v="139"/>
    <x v="139"/>
    <x v="3"/>
    <x v="0"/>
    <x v="2"/>
    <x v="19"/>
    <x v="8"/>
    <s v="Multi-Year"/>
    <x v="1"/>
    <s v="N/A"/>
    <n v="0"/>
    <s v="Confirmed"/>
    <s v=""/>
    <x v="1"/>
    <x v="1"/>
    <m/>
    <x v="0"/>
    <x v="0"/>
    <m/>
    <n v="2"/>
    <x v="0"/>
    <s v="Low"/>
    <n v="291799092.90196139"/>
  </r>
  <r>
    <x v="0"/>
    <x v="140"/>
    <x v="140"/>
    <x v="1"/>
    <x v="0"/>
    <x v="2"/>
    <x v="19"/>
    <x v="8"/>
    <s v="Multi-Year"/>
    <x v="1"/>
    <s v="N/A"/>
    <n v="0"/>
    <s v="Confirmed"/>
    <s v=""/>
    <x v="1"/>
    <x v="1"/>
    <m/>
    <x v="2"/>
    <x v="0"/>
    <m/>
    <n v="0"/>
    <x v="0"/>
    <s v="N/A"/>
    <n v="4844815340.2135534"/>
  </r>
  <r>
    <x v="0"/>
    <x v="141"/>
    <x v="141"/>
    <x v="4"/>
    <x v="0"/>
    <x v="2"/>
    <x v="19"/>
    <x v="8"/>
    <s v="Multi-Year"/>
    <x v="1"/>
    <s v="N/A"/>
    <n v="0"/>
    <s v="Confirmed"/>
    <s v=""/>
    <x v="1"/>
    <x v="1"/>
    <m/>
    <x v="3"/>
    <x v="1"/>
    <m/>
    <n v="0"/>
    <x v="0"/>
    <s v=""/>
    <n v="4001891446.6871672"/>
  </r>
  <r>
    <x v="0"/>
    <x v="142"/>
    <x v="142"/>
    <x v="1"/>
    <x v="0"/>
    <x v="2"/>
    <x v="19"/>
    <x v="8"/>
    <s v="Multi-Year"/>
    <x v="1"/>
    <s v="N/A"/>
    <n v="2600000"/>
    <s v="Confirmed"/>
    <s v=""/>
    <x v="1"/>
    <x v="1"/>
    <m/>
    <x v="2"/>
    <x v="0"/>
    <m/>
    <n v="0"/>
    <x v="0"/>
    <s v="Low"/>
    <n v="1019800630.5853213"/>
  </r>
  <r>
    <x v="0"/>
    <x v="143"/>
    <x v="143"/>
    <x v="6"/>
    <x v="0"/>
    <x v="2"/>
    <x v="19"/>
    <x v="8"/>
    <s v="Multi-Year"/>
    <x v="1"/>
    <s v="N/A"/>
    <n v="0"/>
    <s v="Confirmed"/>
    <s v=""/>
    <x v="1"/>
    <x v="1"/>
    <m/>
    <x v="2"/>
    <x v="0"/>
    <m/>
    <n v="0"/>
    <x v="1"/>
    <s v="Moderate"/>
    <n v="19578671.310841195"/>
  </r>
  <r>
    <x v="0"/>
    <x v="144"/>
    <x v="144"/>
    <x v="4"/>
    <x v="0"/>
    <x v="2"/>
    <x v="19"/>
    <x v="8"/>
    <s v="Multi-Year"/>
    <x v="1"/>
    <s v="N/A"/>
    <n v="0"/>
    <s v="Confirmed"/>
    <s v=""/>
    <x v="1"/>
    <x v="1"/>
    <m/>
    <x v="4"/>
    <x v="1"/>
    <m/>
    <n v="0"/>
    <x v="0"/>
    <s v="N/A"/>
    <n v="3551452001.0684834"/>
  </r>
  <r>
    <x v="0"/>
    <x v="145"/>
    <x v="145"/>
    <x v="6"/>
    <x v="0"/>
    <x v="2"/>
    <x v="19"/>
    <x v="8"/>
    <s v="Multi-Year"/>
    <x v="1"/>
    <s v="N/A"/>
    <n v="0"/>
    <s v="Confirmed"/>
    <s v=""/>
    <x v="1"/>
    <x v="1"/>
    <m/>
    <x v="2"/>
    <x v="0"/>
    <m/>
    <n v="0"/>
    <x v="0"/>
    <s v="N/A"/>
    <n v="6603048821.7575006"/>
  </r>
  <r>
    <x v="0"/>
    <x v="146"/>
    <x v="146"/>
    <x v="2"/>
    <x v="0"/>
    <x v="2"/>
    <x v="19"/>
    <x v="8"/>
    <s v="Multi-Year"/>
    <x v="1"/>
    <s v="N/A"/>
    <n v="1400000"/>
    <s v="Confirmed"/>
    <s v=""/>
    <x v="1"/>
    <x v="1"/>
    <m/>
    <x v="0"/>
    <x v="0"/>
    <m/>
    <n v="1"/>
    <x v="0"/>
    <s v="…"/>
    <s v=""/>
  </r>
  <r>
    <x v="0"/>
    <x v="147"/>
    <x v="147"/>
    <x v="3"/>
    <x v="0"/>
    <x v="2"/>
    <x v="19"/>
    <x v="8"/>
    <s v="Multi-Year"/>
    <x v="1"/>
    <s v="N/A"/>
    <n v="1250000"/>
    <s v="Confirmed"/>
    <s v=""/>
    <x v="1"/>
    <x v="1"/>
    <m/>
    <x v="2"/>
    <x v="0"/>
    <m/>
    <n v="0"/>
    <x v="0"/>
    <s v="High"/>
    <n v="515352723.9821828"/>
  </r>
  <r>
    <x v="0"/>
    <x v="148"/>
    <x v="148"/>
    <x v="3"/>
    <x v="0"/>
    <x v="2"/>
    <x v="19"/>
    <x v="8"/>
    <s v="Multi-Year"/>
    <x v="1"/>
    <s v="N/A"/>
    <n v="0"/>
    <s v="Confirmed"/>
    <s v=""/>
    <x v="1"/>
    <x v="1"/>
    <m/>
    <x v="2"/>
    <x v="0"/>
    <m/>
    <n v="0"/>
    <x v="0"/>
    <s v="N/A"/>
    <n v="566711742.22428358"/>
  </r>
  <r>
    <x v="0"/>
    <x v="0"/>
    <x v="0"/>
    <x v="0"/>
    <x v="0"/>
    <x v="4"/>
    <x v="20"/>
    <x v="8"/>
    <s v="Multi-Year"/>
    <x v="1"/>
    <s v="N/A"/>
    <n v="0"/>
    <s v="Confirmed"/>
    <s v=""/>
    <x v="1"/>
    <x v="0"/>
    <m/>
    <x v="0"/>
    <x v="0"/>
    <m/>
    <n v="1"/>
    <x v="0"/>
    <s v="High"/>
    <n v="95829480.719269618"/>
  </r>
  <r>
    <x v="0"/>
    <x v="1"/>
    <x v="1"/>
    <x v="1"/>
    <x v="0"/>
    <x v="4"/>
    <x v="20"/>
    <x v="8"/>
    <s v="Multi-Year"/>
    <x v="1"/>
    <s v="N/A"/>
    <n v="0"/>
    <s v="Confirmed"/>
    <s v=""/>
    <x v="1"/>
    <x v="0"/>
    <m/>
    <x v="1"/>
    <x v="1"/>
    <m/>
    <n v="0"/>
    <x v="0"/>
    <s v=""/>
    <n v="427904035.52443534"/>
  </r>
  <r>
    <x v="0"/>
    <x v="2"/>
    <x v="2"/>
    <x v="2"/>
    <x v="0"/>
    <x v="4"/>
    <x v="20"/>
    <x v="8"/>
    <s v="Multi-Year"/>
    <x v="1"/>
    <s v="N/A"/>
    <n v="0"/>
    <s v="Confirmed"/>
    <s v=""/>
    <x v="1"/>
    <x v="0"/>
    <m/>
    <x v="2"/>
    <x v="0"/>
    <m/>
    <n v="0"/>
    <x v="0"/>
    <s v="N/A"/>
    <n v="7113361022.7267885"/>
  </r>
  <r>
    <x v="0"/>
    <x v="3"/>
    <x v="3"/>
    <x v="3"/>
    <x v="0"/>
    <x v="4"/>
    <x v="20"/>
    <x v="8"/>
    <s v="Multi-Year"/>
    <x v="1"/>
    <s v="N/A"/>
    <n v="0"/>
    <s v="Confirmed"/>
    <s v=""/>
    <x v="1"/>
    <x v="0"/>
    <m/>
    <x v="2"/>
    <x v="0"/>
    <m/>
    <n v="0"/>
    <x v="0"/>
    <s v="…"/>
    <n v="1131865946.5875781"/>
  </r>
  <r>
    <x v="0"/>
    <x v="4"/>
    <x v="4"/>
    <x v="4"/>
    <x v="0"/>
    <x v="4"/>
    <x v="20"/>
    <x v="8"/>
    <s v="Multi-Year"/>
    <x v="1"/>
    <s v="N/A"/>
    <n v="0"/>
    <s v="Confirmed"/>
    <s v=""/>
    <x v="1"/>
    <x v="0"/>
    <m/>
    <x v="3"/>
    <x v="1"/>
    <m/>
    <n v="0"/>
    <x v="1"/>
    <s v=""/>
    <n v="46777779.823447868"/>
  </r>
  <r>
    <x v="0"/>
    <x v="5"/>
    <x v="5"/>
    <x v="4"/>
    <x v="0"/>
    <x v="4"/>
    <x v="20"/>
    <x v="8"/>
    <s v="Multi-Year"/>
    <x v="1"/>
    <s v="N/A"/>
    <n v="68056"/>
    <s v="Confirmed"/>
    <s v=""/>
    <x v="1"/>
    <x v="0"/>
    <m/>
    <x v="1"/>
    <x v="1"/>
    <m/>
    <n v="0"/>
    <x v="0"/>
    <s v=""/>
    <n v="30725305777.596794"/>
  </r>
  <r>
    <x v="0"/>
    <x v="6"/>
    <x v="6"/>
    <x v="1"/>
    <x v="0"/>
    <x v="4"/>
    <x v="20"/>
    <x v="8"/>
    <s v="Multi-Year"/>
    <x v="1"/>
    <s v="N/A"/>
    <n v="0"/>
    <s v="Confirmed"/>
    <s v=""/>
    <x v="1"/>
    <x v="0"/>
    <m/>
    <x v="1"/>
    <x v="1"/>
    <m/>
    <n v="0"/>
    <x v="0"/>
    <s v=""/>
    <n v="153815827.8380394"/>
  </r>
  <r>
    <x v="0"/>
    <x v="7"/>
    <x v="7"/>
    <x v="1"/>
    <x v="0"/>
    <x v="4"/>
    <x v="20"/>
    <x v="8"/>
    <s v="Multi-Year"/>
    <x v="1"/>
    <s v="N/A"/>
    <n v="0"/>
    <s v="Confirmed"/>
    <s v=""/>
    <x v="1"/>
    <x v="0"/>
    <m/>
    <x v="1"/>
    <x v="1"/>
    <m/>
    <n v="0"/>
    <x v="0"/>
    <s v="N/A"/>
    <n v="437525105.31216973"/>
  </r>
  <r>
    <x v="0"/>
    <x v="8"/>
    <x v="8"/>
    <x v="4"/>
    <x v="0"/>
    <x v="4"/>
    <x v="20"/>
    <x v="8"/>
    <s v="Multi-Year"/>
    <x v="1"/>
    <s v="N/A"/>
    <n v="0"/>
    <s v="Confirmed"/>
    <s v=""/>
    <x v="1"/>
    <x v="0"/>
    <m/>
    <x v="3"/>
    <x v="1"/>
    <m/>
    <n v="0"/>
    <x v="1"/>
    <s v=""/>
    <n v="149463302.00602186"/>
  </r>
  <r>
    <x v="0"/>
    <x v="9"/>
    <x v="9"/>
    <x v="0"/>
    <x v="0"/>
    <x v="4"/>
    <x v="20"/>
    <x v="8"/>
    <s v="Multi-Year"/>
    <x v="1"/>
    <s v="N/A"/>
    <n v="391896"/>
    <s v="Confirmed"/>
    <s v=""/>
    <x v="1"/>
    <x v="0"/>
    <m/>
    <x v="2"/>
    <x v="0"/>
    <m/>
    <n v="0"/>
    <x v="0"/>
    <s v="Low"/>
    <n v="1148322593.9600098"/>
  </r>
  <r>
    <x v="0"/>
    <x v="10"/>
    <x v="10"/>
    <x v="1"/>
    <x v="0"/>
    <x v="4"/>
    <x v="20"/>
    <x v="8"/>
    <s v="Multi-Year"/>
    <x v="1"/>
    <s v="N/A"/>
    <n v="0"/>
    <s v="Confirmed"/>
    <s v=""/>
    <x v="1"/>
    <x v="0"/>
    <m/>
    <x v="1"/>
    <x v="1"/>
    <m/>
    <n v="0"/>
    <x v="0"/>
    <s v=""/>
    <n v="2371102058.1093163"/>
  </r>
  <r>
    <x v="0"/>
    <x v="11"/>
    <x v="11"/>
    <x v="4"/>
    <x v="0"/>
    <x v="4"/>
    <x v="20"/>
    <x v="8"/>
    <s v="Multi-Year"/>
    <x v="1"/>
    <s v="N/A"/>
    <n v="0"/>
    <s v="Confirmed"/>
    <s v=""/>
    <x v="1"/>
    <x v="0"/>
    <m/>
    <x v="2"/>
    <x v="1"/>
    <m/>
    <n v="0"/>
    <x v="1"/>
    <s v="N/A"/>
    <n v="75151620.005215243"/>
  </r>
  <r>
    <x v="0"/>
    <x v="12"/>
    <x v="12"/>
    <x v="5"/>
    <x v="0"/>
    <x v="4"/>
    <x v="20"/>
    <x v="8"/>
    <s v="Multi-Year"/>
    <x v="1"/>
    <s v="N/A"/>
    <n v="0"/>
    <s v="Confirmed"/>
    <s v=""/>
    <x v="1"/>
    <x v="0"/>
    <m/>
    <x v="2"/>
    <x v="0"/>
    <m/>
    <n v="0"/>
    <x v="0"/>
    <s v="Moderate"/>
    <n v="69958487.197715744"/>
  </r>
  <r>
    <x v="0"/>
    <x v="13"/>
    <x v="13"/>
    <x v="0"/>
    <x v="0"/>
    <x v="4"/>
    <x v="20"/>
    <x v="8"/>
    <s v="Multi-Year"/>
    <x v="1"/>
    <s v="N/A"/>
    <n v="0"/>
    <s v="Confirmed"/>
    <s v=""/>
    <x v="1"/>
    <x v="0"/>
    <m/>
    <x v="2"/>
    <x v="0"/>
    <m/>
    <n v="0"/>
    <x v="0"/>
    <s v="…"/>
    <n v="61654608.560629159"/>
  </r>
  <r>
    <x v="0"/>
    <x v="14"/>
    <x v="14"/>
    <x v="4"/>
    <x v="0"/>
    <x v="4"/>
    <x v="20"/>
    <x v="8"/>
    <s v="Multi-Year"/>
    <x v="1"/>
    <s v="N/A"/>
    <n v="273483"/>
    <s v="Confirmed"/>
    <s v=""/>
    <x v="1"/>
    <x v="0"/>
    <m/>
    <x v="2"/>
    <x v="0"/>
    <m/>
    <n v="0"/>
    <x v="0"/>
    <s v="N/A"/>
    <n v="1806638707.7615163"/>
  </r>
  <r>
    <x v="0"/>
    <x v="15"/>
    <x v="15"/>
    <x v="1"/>
    <x v="0"/>
    <x v="4"/>
    <x v="20"/>
    <x v="8"/>
    <s v="Multi-Year"/>
    <x v="1"/>
    <s v="N/A"/>
    <n v="0"/>
    <s v="Confirmed"/>
    <s v=""/>
    <x v="1"/>
    <x v="0"/>
    <m/>
    <x v="1"/>
    <x v="1"/>
    <m/>
    <n v="0"/>
    <x v="0"/>
    <s v="N/A"/>
    <n v="1252696525.0627904"/>
  </r>
  <r>
    <x v="0"/>
    <x v="16"/>
    <x v="16"/>
    <x v="3"/>
    <x v="0"/>
    <x v="4"/>
    <x v="20"/>
    <x v="8"/>
    <s v="Multi-Year"/>
    <x v="1"/>
    <s v="N/A"/>
    <n v="0"/>
    <s v="Confirmed"/>
    <s v=""/>
    <x v="1"/>
    <x v="0"/>
    <m/>
    <x v="1"/>
    <x v="1"/>
    <m/>
    <n v="0"/>
    <x v="0"/>
    <s v=""/>
    <n v="843425084.07334602"/>
  </r>
  <r>
    <x v="0"/>
    <x v="17"/>
    <x v="17"/>
    <x v="4"/>
    <x v="0"/>
    <x v="4"/>
    <x v="20"/>
    <x v="8"/>
    <s v="Multi-Year"/>
    <x v="1"/>
    <s v="N/A"/>
    <n v="92593"/>
    <s v="Confirmed"/>
    <s v=""/>
    <x v="1"/>
    <x v="0"/>
    <m/>
    <x v="1"/>
    <x v="1"/>
    <m/>
    <n v="0"/>
    <x v="0"/>
    <s v="N/A"/>
    <n v="74055620038.853683"/>
  </r>
  <r>
    <x v="0"/>
    <x v="18"/>
    <x v="18"/>
    <x v="1"/>
    <x v="0"/>
    <x v="4"/>
    <x v="20"/>
    <x v="8"/>
    <s v="Multi-Year"/>
    <x v="1"/>
    <s v="N/A"/>
    <n v="0"/>
    <s v="Confirmed"/>
    <s v=""/>
    <x v="1"/>
    <x v="0"/>
    <m/>
    <x v="1"/>
    <x v="1"/>
    <m/>
    <n v="0"/>
    <x v="0"/>
    <s v=""/>
    <n v="2803357765.5888777"/>
  </r>
  <r>
    <x v="0"/>
    <x v="19"/>
    <x v="19"/>
    <x v="5"/>
    <x v="0"/>
    <x v="4"/>
    <x v="20"/>
    <x v="8"/>
    <s v="Multi-Year"/>
    <x v="1"/>
    <s v="N/A"/>
    <n v="0"/>
    <s v="Confirmed"/>
    <s v=""/>
    <x v="1"/>
    <x v="0"/>
    <m/>
    <x v="0"/>
    <x v="0"/>
    <m/>
    <n v="2"/>
    <x v="0"/>
    <s v="Moderate"/>
    <n v="337927779.25510043"/>
  </r>
  <r>
    <x v="0"/>
    <x v="20"/>
    <x v="20"/>
    <x v="3"/>
    <x v="0"/>
    <x v="4"/>
    <x v="20"/>
    <x v="8"/>
    <s v="Multi-Year"/>
    <x v="1"/>
    <s v="N/A"/>
    <n v="0"/>
    <s v="Confirmed"/>
    <s v=""/>
    <x v="1"/>
    <x v="0"/>
    <m/>
    <x v="0"/>
    <x v="0"/>
    <m/>
    <n v="2"/>
    <x v="0"/>
    <s v="…"/>
    <n v="65979512.47399316"/>
  </r>
  <r>
    <x v="0"/>
    <x v="21"/>
    <x v="21"/>
    <x v="5"/>
    <x v="0"/>
    <x v="4"/>
    <x v="20"/>
    <x v="8"/>
    <s v="Multi-Year"/>
    <x v="1"/>
    <s v="N/A"/>
    <n v="0"/>
    <s v="Confirmed"/>
    <s v=""/>
    <x v="1"/>
    <x v="0"/>
    <m/>
    <x v="2"/>
    <x v="0"/>
    <m/>
    <n v="0"/>
    <x v="1"/>
    <s v="High"/>
    <n v="63748362.778827004"/>
  </r>
  <r>
    <x v="0"/>
    <x v="22"/>
    <x v="22"/>
    <x v="6"/>
    <x v="0"/>
    <x v="4"/>
    <x v="20"/>
    <x v="8"/>
    <s v="Multi-Year"/>
    <x v="1"/>
    <s v="N/A"/>
    <n v="0"/>
    <s v="Confirmed"/>
    <s v=""/>
    <x v="1"/>
    <x v="0"/>
    <m/>
    <x v="2"/>
    <x v="0"/>
    <m/>
    <n v="0"/>
    <x v="0"/>
    <s v="Low"/>
    <n v="313039649.45369786"/>
  </r>
  <r>
    <x v="0"/>
    <x v="23"/>
    <x v="23"/>
    <x v="5"/>
    <x v="0"/>
    <x v="4"/>
    <x v="20"/>
    <x v="8"/>
    <s v="Multi-Year"/>
    <x v="1"/>
    <s v="N/A"/>
    <n v="0"/>
    <s v="Confirmed"/>
    <s v=""/>
    <x v="1"/>
    <x v="0"/>
    <m/>
    <x v="2"/>
    <x v="0"/>
    <m/>
    <n v="2"/>
    <x v="0"/>
    <s v="High"/>
    <n v="81361801.477472037"/>
  </r>
  <r>
    <x v="0"/>
    <x v="24"/>
    <x v="24"/>
    <x v="5"/>
    <x v="0"/>
    <x v="4"/>
    <x v="20"/>
    <x v="8"/>
    <s v="Multi-Year"/>
    <x v="1"/>
    <s v="N/A"/>
    <n v="0"/>
    <s v="Confirmed"/>
    <s v=""/>
    <x v="1"/>
    <x v="0"/>
    <m/>
    <x v="0"/>
    <x v="0"/>
    <m/>
    <n v="1"/>
    <x v="0"/>
    <s v="High"/>
    <s v=""/>
  </r>
  <r>
    <x v="0"/>
    <x v="25"/>
    <x v="25"/>
    <x v="5"/>
    <x v="0"/>
    <x v="4"/>
    <x v="20"/>
    <x v="8"/>
    <s v="Multi-Year"/>
    <x v="1"/>
    <s v="N/A"/>
    <n v="0"/>
    <s v="Confirmed"/>
    <s v=""/>
    <x v="1"/>
    <x v="0"/>
    <m/>
    <x v="0"/>
    <x v="0"/>
    <m/>
    <n v="1"/>
    <x v="0"/>
    <s v="High"/>
    <n v="76939306.715636879"/>
  </r>
  <r>
    <x v="0"/>
    <x v="26"/>
    <x v="26"/>
    <x v="4"/>
    <x v="0"/>
    <x v="4"/>
    <x v="20"/>
    <x v="8"/>
    <s v="Multi-Year"/>
    <x v="1"/>
    <s v="N/A"/>
    <n v="0"/>
    <s v="Confirmed"/>
    <s v=""/>
    <x v="1"/>
    <x v="0"/>
    <m/>
    <x v="3"/>
    <x v="1"/>
    <m/>
    <n v="0"/>
    <x v="0"/>
    <s v=""/>
    <n v="13859708717.682571"/>
  </r>
  <r>
    <x v="0"/>
    <x v="27"/>
    <x v="27"/>
    <x v="6"/>
    <x v="0"/>
    <x v="4"/>
    <x v="20"/>
    <x v="8"/>
    <s v="Multi-Year"/>
    <x v="1"/>
    <s v="N/A"/>
    <n v="0"/>
    <s v="Confirmed"/>
    <s v=""/>
    <x v="1"/>
    <x v="0"/>
    <m/>
    <x v="1"/>
    <x v="1"/>
    <m/>
    <n v="0"/>
    <x v="0"/>
    <s v=""/>
    <n v="403567160707.7016"/>
  </r>
  <r>
    <x v="0"/>
    <x v="28"/>
    <x v="28"/>
    <x v="4"/>
    <x v="0"/>
    <x v="4"/>
    <x v="20"/>
    <x v="8"/>
    <s v="Multi-Year"/>
    <x v="1"/>
    <s v="N/A"/>
    <n v="0"/>
    <s v="Confirmed"/>
    <s v=""/>
    <x v="1"/>
    <x v="0"/>
    <m/>
    <x v="1"/>
    <x v="1"/>
    <m/>
    <n v="0"/>
    <x v="0"/>
    <s v=""/>
    <n v="18250225995.972618"/>
  </r>
  <r>
    <x v="0"/>
    <x v="29"/>
    <x v="29"/>
    <x v="3"/>
    <x v="0"/>
    <x v="4"/>
    <x v="20"/>
    <x v="8"/>
    <s v="Multi-Year"/>
    <x v="1"/>
    <s v="N/A"/>
    <n v="0"/>
    <s v="Confirmed"/>
    <s v=""/>
    <x v="1"/>
    <x v="0"/>
    <m/>
    <x v="2"/>
    <x v="0"/>
    <m/>
    <n v="0"/>
    <x v="1"/>
    <s v="Moderate"/>
    <n v="5027591.1682657599"/>
  </r>
  <r>
    <x v="0"/>
    <x v="30"/>
    <x v="30"/>
    <x v="5"/>
    <x v="0"/>
    <x v="4"/>
    <x v="20"/>
    <x v="8"/>
    <s v="Multi-Year"/>
    <x v="1"/>
    <s v="N/A"/>
    <n v="250899"/>
    <s v="Confirmed"/>
    <s v=""/>
    <x v="1"/>
    <x v="0"/>
    <m/>
    <x v="0"/>
    <x v="0"/>
    <m/>
    <n v="3"/>
    <x v="0"/>
    <s v="Moderate"/>
    <n v="234645958.63289919"/>
  </r>
  <r>
    <x v="0"/>
    <x v="31"/>
    <x v="31"/>
    <x v="5"/>
    <x v="0"/>
    <x v="4"/>
    <x v="20"/>
    <x v="8"/>
    <s v="Multi-Year"/>
    <x v="1"/>
    <s v="N/A"/>
    <n v="0"/>
    <s v="Confirmed"/>
    <s v=""/>
    <x v="1"/>
    <x v="0"/>
    <m/>
    <x v="2"/>
    <x v="0"/>
    <m/>
    <n v="2"/>
    <x v="0"/>
    <s v="In distress"/>
    <n v="91590910.247314155"/>
  </r>
  <r>
    <x v="0"/>
    <x v="32"/>
    <x v="32"/>
    <x v="6"/>
    <x v="0"/>
    <x v="4"/>
    <x v="20"/>
    <x v="8"/>
    <s v="Multi-Year"/>
    <x v="1"/>
    <s v="N/A"/>
    <n v="0"/>
    <s v="Confirmed"/>
    <s v=""/>
    <x v="1"/>
    <x v="0"/>
    <m/>
    <x v="4"/>
    <x v="1"/>
    <m/>
    <n v="0"/>
    <x v="1"/>
    <s v="N/A"/>
    <n v="8560012.8840167802"/>
  </r>
  <r>
    <x v="0"/>
    <x v="33"/>
    <x v="33"/>
    <x v="4"/>
    <x v="0"/>
    <x v="4"/>
    <x v="20"/>
    <x v="8"/>
    <s v="Multi-Year"/>
    <x v="1"/>
    <s v="N/A"/>
    <n v="0"/>
    <s v="Confirmed"/>
    <s v=""/>
    <x v="1"/>
    <x v="0"/>
    <m/>
    <x v="1"/>
    <x v="1"/>
    <m/>
    <n v="0"/>
    <x v="0"/>
    <s v="N/A"/>
    <n v="3292372960.3962669"/>
  </r>
  <r>
    <x v="0"/>
    <x v="34"/>
    <x v="34"/>
    <x v="5"/>
    <x v="0"/>
    <x v="4"/>
    <x v="20"/>
    <x v="8"/>
    <s v="Multi-Year"/>
    <x v="1"/>
    <s v="N/A"/>
    <n v="0"/>
    <s v="Confirmed"/>
    <s v=""/>
    <x v="1"/>
    <x v="0"/>
    <m/>
    <x v="2"/>
    <x v="0"/>
    <m/>
    <n v="0"/>
    <x v="0"/>
    <s v="Moderate"/>
    <n v="519209981.22981054"/>
  </r>
  <r>
    <x v="0"/>
    <x v="35"/>
    <x v="35"/>
    <x v="1"/>
    <x v="0"/>
    <x v="4"/>
    <x v="20"/>
    <x v="8"/>
    <s v="Multi-Year"/>
    <x v="1"/>
    <s v="N/A"/>
    <n v="0"/>
    <s v="Confirmed"/>
    <s v=""/>
    <x v="1"/>
    <x v="0"/>
    <m/>
    <x v="3"/>
    <x v="1"/>
    <m/>
    <n v="0"/>
    <x v="0"/>
    <s v=""/>
    <n v="3464739907.1604805"/>
  </r>
  <r>
    <x v="0"/>
    <x v="36"/>
    <x v="36"/>
    <x v="4"/>
    <x v="0"/>
    <x v="4"/>
    <x v="20"/>
    <x v="8"/>
    <s v="Multi-Year"/>
    <x v="1"/>
    <s v="N/A"/>
    <n v="0"/>
    <s v="Confirmed"/>
    <s v=""/>
    <x v="1"/>
    <x v="0"/>
    <m/>
    <x v="1"/>
    <x v="1"/>
    <m/>
    <n v="0"/>
    <x v="1"/>
    <s v=""/>
    <n v="9948521252.2569065"/>
  </r>
  <r>
    <x v="0"/>
    <x v="37"/>
    <x v="37"/>
    <x v="2"/>
    <x v="0"/>
    <x v="4"/>
    <x v="20"/>
    <x v="8"/>
    <s v="Multi-Year"/>
    <x v="1"/>
    <s v="N/A"/>
    <n v="0"/>
    <s v="Confirmed"/>
    <s v=""/>
    <x v="1"/>
    <x v="0"/>
    <m/>
    <x v="2"/>
    <x v="0"/>
    <m/>
    <n v="1"/>
    <x v="0"/>
    <s v="High"/>
    <n v="33679192.765657313"/>
  </r>
  <r>
    <x v="0"/>
    <x v="38"/>
    <x v="38"/>
    <x v="4"/>
    <x v="0"/>
    <x v="4"/>
    <x v="20"/>
    <x v="8"/>
    <s v="Multi-Year"/>
    <x v="1"/>
    <s v="N/A"/>
    <n v="0"/>
    <s v="Confirmed"/>
    <s v=""/>
    <x v="1"/>
    <x v="0"/>
    <m/>
    <x v="1"/>
    <x v="0"/>
    <m/>
    <n v="0"/>
    <x v="1"/>
    <s v="…"/>
    <n v="22784494.365742501"/>
  </r>
  <r>
    <x v="0"/>
    <x v="39"/>
    <x v="39"/>
    <x v="4"/>
    <x v="0"/>
    <x v="4"/>
    <x v="20"/>
    <x v="8"/>
    <s v="Multi-Year"/>
    <x v="1"/>
    <s v="N/A"/>
    <n v="0"/>
    <s v="Confirmed"/>
    <s v=""/>
    <x v="1"/>
    <x v="0"/>
    <m/>
    <x v="1"/>
    <x v="1"/>
    <m/>
    <n v="0"/>
    <x v="1"/>
    <s v=""/>
    <n v="2173208011.4858823"/>
  </r>
  <r>
    <x v="0"/>
    <x v="40"/>
    <x v="40"/>
    <x v="4"/>
    <x v="0"/>
    <x v="4"/>
    <x v="20"/>
    <x v="8"/>
    <s v="Multi-Year"/>
    <x v="1"/>
    <s v="N/A"/>
    <n v="0"/>
    <s v="Confirmed"/>
    <s v=""/>
    <x v="1"/>
    <x v="0"/>
    <m/>
    <x v="1"/>
    <x v="1"/>
    <m/>
    <n v="0"/>
    <x v="0"/>
    <s v="N/A"/>
    <n v="4585736158.8323269"/>
  </r>
  <r>
    <x v="0"/>
    <x v="41"/>
    <x v="41"/>
    <x v="2"/>
    <x v="0"/>
    <x v="4"/>
    <x v="20"/>
    <x v="8"/>
    <s v="Multi-Year"/>
    <x v="1"/>
    <s v="N/A"/>
    <n v="92593"/>
    <s v="Confirmed"/>
    <s v=""/>
    <x v="1"/>
    <x v="0"/>
    <m/>
    <x v="2"/>
    <x v="0"/>
    <m/>
    <n v="0"/>
    <x v="0"/>
    <s v="N/A"/>
    <n v="3550291584.8645592"/>
  </r>
  <r>
    <x v="0"/>
    <x v="42"/>
    <x v="42"/>
    <x v="4"/>
    <x v="0"/>
    <x v="4"/>
    <x v="20"/>
    <x v="8"/>
    <s v="Multi-Year"/>
    <x v="1"/>
    <s v="N/A"/>
    <n v="0"/>
    <s v="Confirmed"/>
    <s v=""/>
    <x v="1"/>
    <x v="0"/>
    <m/>
    <x v="2"/>
    <x v="0"/>
    <m/>
    <n v="0"/>
    <x v="0"/>
    <s v="N/A"/>
    <n v="1182840319.0410969"/>
  </r>
  <r>
    <x v="0"/>
    <x v="43"/>
    <x v="43"/>
    <x v="4"/>
    <x v="0"/>
    <x v="4"/>
    <x v="20"/>
    <x v="8"/>
    <s v="Multi-Year"/>
    <x v="1"/>
    <s v="N/A"/>
    <n v="0"/>
    <s v="Confirmed"/>
    <s v=""/>
    <x v="1"/>
    <x v="0"/>
    <m/>
    <x v="1"/>
    <x v="1"/>
    <m/>
    <n v="0"/>
    <x v="0"/>
    <s v=""/>
    <n v="81728347.604567245"/>
  </r>
  <r>
    <x v="0"/>
    <x v="44"/>
    <x v="44"/>
    <x v="3"/>
    <x v="0"/>
    <x v="4"/>
    <x v="20"/>
    <x v="8"/>
    <s v="Multi-Year"/>
    <x v="1"/>
    <s v="N/A"/>
    <n v="0"/>
    <s v="Confirmed"/>
    <s v=""/>
    <x v="1"/>
    <x v="0"/>
    <m/>
    <x v="0"/>
    <x v="0"/>
    <m/>
    <n v="2"/>
    <x v="0"/>
    <s v="N/A"/>
    <n v="12787914.977715338"/>
  </r>
  <r>
    <x v="0"/>
    <x v="45"/>
    <x v="45"/>
    <x v="3"/>
    <x v="0"/>
    <x v="4"/>
    <x v="20"/>
    <x v="8"/>
    <s v="Multi-Year"/>
    <x v="1"/>
    <s v="N/A"/>
    <n v="0"/>
    <s v="Confirmed"/>
    <s v=""/>
    <x v="1"/>
    <x v="0"/>
    <m/>
    <x v="2"/>
    <x v="0"/>
    <m/>
    <n v="2"/>
    <x v="0"/>
    <s v="N/A"/>
    <n v="101271737.65410839"/>
  </r>
  <r>
    <x v="0"/>
    <x v="46"/>
    <x v="46"/>
    <x v="3"/>
    <x v="0"/>
    <x v="4"/>
    <x v="20"/>
    <x v="8"/>
    <s v="Multi-Year"/>
    <x v="1"/>
    <s v="N/A"/>
    <n v="454015"/>
    <s v="Confirmed"/>
    <s v=""/>
    <x v="1"/>
    <x v="0"/>
    <m/>
    <x v="0"/>
    <x v="0"/>
    <m/>
    <n v="3"/>
    <x v="0"/>
    <s v="High"/>
    <n v="618344226.71759331"/>
  </r>
  <r>
    <x v="0"/>
    <x v="47"/>
    <x v="47"/>
    <x v="6"/>
    <x v="0"/>
    <x v="4"/>
    <x v="20"/>
    <x v="8"/>
    <s v="Multi-Year"/>
    <x v="1"/>
    <s v="N/A"/>
    <n v="226328"/>
    <s v="Confirmed"/>
    <s v=""/>
    <x v="1"/>
    <x v="0"/>
    <m/>
    <x v="1"/>
    <x v="0"/>
    <m/>
    <n v="0"/>
    <x v="1"/>
    <s v="…"/>
    <n v="129483872.95906857"/>
  </r>
  <r>
    <x v="0"/>
    <x v="48"/>
    <x v="48"/>
    <x v="5"/>
    <x v="0"/>
    <x v="4"/>
    <x v="20"/>
    <x v="8"/>
    <s v="Multi-Year"/>
    <x v="1"/>
    <s v="N/A"/>
    <n v="0"/>
    <s v="Confirmed"/>
    <s v=""/>
    <x v="1"/>
    <x v="0"/>
    <m/>
    <x v="1"/>
    <x v="1"/>
    <m/>
    <n v="0"/>
    <x v="0"/>
    <s v="N/A"/>
    <n v="271184658.35014349"/>
  </r>
  <r>
    <x v="0"/>
    <x v="49"/>
    <x v="49"/>
    <x v="5"/>
    <x v="0"/>
    <x v="4"/>
    <x v="20"/>
    <x v="8"/>
    <s v="Multi-Year"/>
    <x v="1"/>
    <s v="N/A"/>
    <n v="0"/>
    <s v="Confirmed"/>
    <s v=""/>
    <x v="1"/>
    <x v="0"/>
    <m/>
    <x v="0"/>
    <x v="0"/>
    <m/>
    <n v="0"/>
    <x v="0"/>
    <s v="High"/>
    <n v="15455265.086884515"/>
  </r>
  <r>
    <x v="0"/>
    <x v="50"/>
    <x v="50"/>
    <x v="1"/>
    <x v="0"/>
    <x v="4"/>
    <x v="20"/>
    <x v="8"/>
    <s v="Multi-Year"/>
    <x v="1"/>
    <s v="N/A"/>
    <n v="0"/>
    <s v="Confirmed"/>
    <s v=""/>
    <x v="1"/>
    <x v="0"/>
    <m/>
    <x v="1"/>
    <x v="1"/>
    <m/>
    <n v="0"/>
    <x v="0"/>
    <s v="N/A"/>
    <n v="494021502.525527"/>
  </r>
  <r>
    <x v="0"/>
    <x v="51"/>
    <x v="51"/>
    <x v="5"/>
    <x v="0"/>
    <x v="4"/>
    <x v="20"/>
    <x v="8"/>
    <s v="Multi-Year"/>
    <x v="1"/>
    <s v="N/A"/>
    <n v="142909"/>
    <s v="Confirmed"/>
    <s v=""/>
    <x v="1"/>
    <x v="0"/>
    <m/>
    <x v="2"/>
    <x v="0"/>
    <m/>
    <n v="0"/>
    <x v="0"/>
    <s v="High"/>
    <n v="902005621.73836684"/>
  </r>
  <r>
    <x v="0"/>
    <x v="52"/>
    <x v="52"/>
    <x v="4"/>
    <x v="0"/>
    <x v="4"/>
    <x v="20"/>
    <x v="8"/>
    <s v="Multi-Year"/>
    <x v="1"/>
    <s v="N/A"/>
    <n v="0"/>
    <s v="Confirmed"/>
    <s v=""/>
    <x v="1"/>
    <x v="0"/>
    <m/>
    <x v="1"/>
    <x v="0"/>
    <m/>
    <n v="0"/>
    <x v="1"/>
    <s v="In distress"/>
    <n v="20201670.142996579"/>
  </r>
  <r>
    <x v="0"/>
    <x v="53"/>
    <x v="53"/>
    <x v="4"/>
    <x v="0"/>
    <x v="4"/>
    <x v="20"/>
    <x v="8"/>
    <s v="Multi-Year"/>
    <x v="1"/>
    <s v="N/A"/>
    <n v="0"/>
    <s v="Confirmed"/>
    <s v=""/>
    <x v="1"/>
    <x v="0"/>
    <m/>
    <x v="1"/>
    <x v="1"/>
    <m/>
    <n v="0"/>
    <x v="0"/>
    <s v=""/>
    <n v="1612434649.6948864"/>
  </r>
  <r>
    <x v="0"/>
    <x v="54"/>
    <x v="54"/>
    <x v="5"/>
    <x v="0"/>
    <x v="4"/>
    <x v="20"/>
    <x v="8"/>
    <s v="Multi-Year"/>
    <x v="1"/>
    <s v="N/A"/>
    <n v="378110"/>
    <s v="Confirmed"/>
    <s v=""/>
    <x v="1"/>
    <x v="0"/>
    <m/>
    <x v="0"/>
    <x v="0"/>
    <m/>
    <n v="0"/>
    <x v="0"/>
    <s v="Moderate"/>
    <n v="78203134.118229344"/>
  </r>
  <r>
    <x v="0"/>
    <x v="55"/>
    <x v="55"/>
    <x v="5"/>
    <x v="0"/>
    <x v="4"/>
    <x v="20"/>
    <x v="8"/>
    <s v="Multi-Year"/>
    <x v="1"/>
    <s v="N/A"/>
    <n v="225847"/>
    <s v="Confirmed"/>
    <s v=""/>
    <x v="1"/>
    <x v="0"/>
    <m/>
    <x v="0"/>
    <x v="0"/>
    <m/>
    <n v="2"/>
    <x v="1"/>
    <s v="High"/>
    <n v="9151637.7411015611"/>
  </r>
  <r>
    <x v="0"/>
    <x v="56"/>
    <x v="56"/>
    <x v="4"/>
    <x v="0"/>
    <x v="4"/>
    <x v="20"/>
    <x v="8"/>
    <s v="Multi-Year"/>
    <x v="1"/>
    <s v="N/A"/>
    <n v="0"/>
    <s v="Confirmed"/>
    <s v=""/>
    <x v="1"/>
    <x v="0"/>
    <m/>
    <x v="1"/>
    <x v="0"/>
    <m/>
    <n v="0"/>
    <x v="1"/>
    <s v="Moderate"/>
    <n v="142455920.02856269"/>
  </r>
  <r>
    <x v="0"/>
    <x v="57"/>
    <x v="57"/>
    <x v="4"/>
    <x v="0"/>
    <x v="4"/>
    <x v="20"/>
    <x v="8"/>
    <s v="Multi-Year"/>
    <x v="1"/>
    <s v="N/A"/>
    <n v="0"/>
    <s v="Confirmed"/>
    <s v=""/>
    <x v="1"/>
    <x v="0"/>
    <m/>
    <x v="2"/>
    <x v="0"/>
    <m/>
    <n v="1"/>
    <x v="1"/>
    <s v="High"/>
    <n v="85611818.171245083"/>
  </r>
  <r>
    <x v="0"/>
    <x v="58"/>
    <x v="58"/>
    <x v="4"/>
    <x v="0"/>
    <x v="4"/>
    <x v="20"/>
    <x v="8"/>
    <s v="Multi-Year"/>
    <x v="1"/>
    <s v="N/A"/>
    <n v="0"/>
    <s v="Confirmed"/>
    <s v=""/>
    <x v="1"/>
    <x v="0"/>
    <m/>
    <x v="2"/>
    <x v="0"/>
    <m/>
    <n v="0"/>
    <x v="0"/>
    <s v="Low"/>
    <n v="680289736.30082119"/>
  </r>
  <r>
    <x v="0"/>
    <x v="59"/>
    <x v="59"/>
    <x v="0"/>
    <x v="0"/>
    <x v="4"/>
    <x v="20"/>
    <x v="8"/>
    <s v="Multi-Year"/>
    <x v="1"/>
    <s v="N/A"/>
    <n v="24758715"/>
    <s v="Confirmed"/>
    <s v=""/>
    <x v="1"/>
    <x v="0"/>
    <m/>
    <x v="2"/>
    <x v="0"/>
    <m/>
    <n v="0"/>
    <x v="0"/>
    <s v="N/A"/>
    <n v="26554332750.47023"/>
  </r>
  <r>
    <x v="0"/>
    <x v="60"/>
    <x v="60"/>
    <x v="6"/>
    <x v="0"/>
    <x v="4"/>
    <x v="20"/>
    <x v="8"/>
    <s v="Multi-Year"/>
    <x v="1"/>
    <s v="N/A"/>
    <n v="93593"/>
    <s v="Confirmed"/>
    <s v=""/>
    <x v="1"/>
    <x v="0"/>
    <m/>
    <x v="2"/>
    <x v="0"/>
    <m/>
    <n v="0"/>
    <x v="0"/>
    <s v="N/A"/>
    <n v="14745961064.890842"/>
  </r>
  <r>
    <x v="0"/>
    <x v="61"/>
    <x v="61"/>
    <x v="2"/>
    <x v="0"/>
    <x v="4"/>
    <x v="20"/>
    <x v="8"/>
    <s v="Multi-Year"/>
    <x v="1"/>
    <s v="N/A"/>
    <n v="0"/>
    <s v="Confirmed"/>
    <s v=""/>
    <x v="1"/>
    <x v="0"/>
    <m/>
    <x v="2"/>
    <x v="1"/>
    <m/>
    <n v="0"/>
    <x v="0"/>
    <s v="N/A"/>
    <n v="18194076299.786381"/>
  </r>
  <r>
    <x v="0"/>
    <x v="62"/>
    <x v="62"/>
    <x v="2"/>
    <x v="0"/>
    <x v="4"/>
    <x v="20"/>
    <x v="8"/>
    <s v="Multi-Year"/>
    <x v="1"/>
    <s v="N/A"/>
    <n v="0"/>
    <s v="Confirmed"/>
    <s v=""/>
    <x v="1"/>
    <x v="0"/>
    <m/>
    <x v="1"/>
    <x v="1"/>
    <m/>
    <n v="0"/>
    <x v="0"/>
    <s v="N/A"/>
    <n v="4428819387.769825"/>
  </r>
  <r>
    <x v="0"/>
    <x v="63"/>
    <x v="63"/>
    <x v="4"/>
    <x v="0"/>
    <x v="4"/>
    <x v="20"/>
    <x v="8"/>
    <s v="Multi-Year"/>
    <x v="1"/>
    <s v="N/A"/>
    <n v="0"/>
    <s v="Confirmed"/>
    <s v=""/>
    <x v="1"/>
    <x v="0"/>
    <m/>
    <x v="1"/>
    <x v="1"/>
    <m/>
    <n v="0"/>
    <x v="1"/>
    <s v=""/>
    <n v="611739560.62679195"/>
  </r>
  <r>
    <x v="0"/>
    <x v="64"/>
    <x v="64"/>
    <x v="2"/>
    <x v="0"/>
    <x v="4"/>
    <x v="20"/>
    <x v="8"/>
    <s v="Multi-Year"/>
    <x v="1"/>
    <s v="N/A"/>
    <n v="0"/>
    <s v="Confirmed"/>
    <s v=""/>
    <x v="1"/>
    <x v="0"/>
    <m/>
    <x v="1"/>
    <x v="1"/>
    <m/>
    <n v="0"/>
    <x v="0"/>
    <s v="N/A"/>
    <n v="1617913383.0481031"/>
  </r>
  <r>
    <x v="0"/>
    <x v="65"/>
    <x v="65"/>
    <x v="1"/>
    <x v="0"/>
    <x v="4"/>
    <x v="20"/>
    <x v="8"/>
    <s v="Multi-Year"/>
    <x v="1"/>
    <s v="N/A"/>
    <n v="0"/>
    <s v="Confirmed"/>
    <s v=""/>
    <x v="1"/>
    <x v="0"/>
    <m/>
    <x v="1"/>
    <x v="1"/>
    <m/>
    <n v="0"/>
    <x v="0"/>
    <s v=""/>
    <n v="3074419112.4562683"/>
  </r>
  <r>
    <x v="0"/>
    <x v="66"/>
    <x v="66"/>
    <x v="3"/>
    <x v="0"/>
    <x v="4"/>
    <x v="20"/>
    <x v="8"/>
    <s v="Multi-Year"/>
    <x v="1"/>
    <s v="N/A"/>
    <n v="2399110"/>
    <s v="Confirmed"/>
    <s v=""/>
    <x v="1"/>
    <x v="0"/>
    <m/>
    <x v="2"/>
    <x v="0"/>
    <m/>
    <n v="0"/>
    <x v="0"/>
    <s v="High"/>
    <n v="1914014279.8929913"/>
  </r>
  <r>
    <x v="0"/>
    <x v="67"/>
    <x v="67"/>
    <x v="6"/>
    <x v="0"/>
    <x v="4"/>
    <x v="20"/>
    <x v="8"/>
    <s v="Multi-Year"/>
    <x v="1"/>
    <s v="N/A"/>
    <n v="0"/>
    <s v="Confirmed"/>
    <s v=""/>
    <x v="1"/>
    <x v="0"/>
    <m/>
    <x v="2"/>
    <x v="0"/>
    <m/>
    <n v="0"/>
    <x v="1"/>
    <s v="High"/>
    <n v="17422005.762907442"/>
  </r>
  <r>
    <x v="0"/>
    <x v="68"/>
    <x v="68"/>
    <x v="6"/>
    <x v="0"/>
    <x v="4"/>
    <x v="20"/>
    <x v="8"/>
    <s v="Multi-Year"/>
    <x v="1"/>
    <s v="N/A"/>
    <n v="0"/>
    <s v="Confirmed"/>
    <s v=""/>
    <x v="1"/>
    <x v="0"/>
    <m/>
    <x v="0"/>
    <x v="0"/>
    <m/>
    <n v="0"/>
    <x v="0"/>
    <s v="N/A"/>
    <s v=""/>
  </r>
  <r>
    <x v="0"/>
    <x v="69"/>
    <x v="69"/>
    <x v="1"/>
    <x v="0"/>
    <x v="4"/>
    <x v="20"/>
    <x v="8"/>
    <s v="Multi-Year"/>
    <x v="1"/>
    <s v="N/A"/>
    <n v="0"/>
    <s v="Confirmed"/>
    <s v=""/>
    <x v="1"/>
    <x v="0"/>
    <m/>
    <x v="1"/>
    <x v="0"/>
    <m/>
    <n v="0"/>
    <x v="0"/>
    <s v="…"/>
    <s v=""/>
  </r>
  <r>
    <x v="0"/>
    <x v="70"/>
    <x v="70"/>
    <x v="1"/>
    <x v="0"/>
    <x v="4"/>
    <x v="20"/>
    <x v="8"/>
    <s v="Multi-Year"/>
    <x v="1"/>
    <s v="N/A"/>
    <n v="0"/>
    <s v="Confirmed"/>
    <s v=""/>
    <x v="1"/>
    <x v="0"/>
    <m/>
    <x v="2"/>
    <x v="0"/>
    <m/>
    <n v="2"/>
    <x v="0"/>
    <s v="Moderate"/>
    <n v="231506834.84347546"/>
  </r>
  <r>
    <x v="0"/>
    <x v="71"/>
    <x v="71"/>
    <x v="6"/>
    <x v="0"/>
    <x v="4"/>
    <x v="20"/>
    <x v="8"/>
    <s v="Multi-Year"/>
    <x v="1"/>
    <s v="N/A"/>
    <n v="0"/>
    <s v="Confirmed"/>
    <s v=""/>
    <x v="1"/>
    <x v="0"/>
    <m/>
    <x v="2"/>
    <x v="0"/>
    <m/>
    <n v="0"/>
    <x v="0"/>
    <s v="High"/>
    <n v="156059428.62944782"/>
  </r>
  <r>
    <x v="0"/>
    <x v="72"/>
    <x v="72"/>
    <x v="2"/>
    <x v="0"/>
    <x v="4"/>
    <x v="20"/>
    <x v="8"/>
    <s v="Multi-Year"/>
    <x v="1"/>
    <s v="N/A"/>
    <n v="14058"/>
    <s v="Confirmed"/>
    <s v=""/>
    <x v="1"/>
    <x v="0"/>
    <m/>
    <x v="1"/>
    <x v="1"/>
    <m/>
    <n v="0"/>
    <x v="0"/>
    <s v="N/A"/>
    <n v="2355391507.1635861"/>
  </r>
  <r>
    <x v="0"/>
    <x v="73"/>
    <x v="73"/>
    <x v="3"/>
    <x v="0"/>
    <x v="4"/>
    <x v="20"/>
    <x v="8"/>
    <s v="Multi-Year"/>
    <x v="1"/>
    <s v="N/A"/>
    <n v="0"/>
    <s v="Confirmed"/>
    <s v=""/>
    <x v="1"/>
    <x v="0"/>
    <m/>
    <x v="2"/>
    <x v="0"/>
    <m/>
    <n v="0"/>
    <x v="0"/>
    <s v="Moderate"/>
    <n v="152760919.7684873"/>
  </r>
  <r>
    <x v="0"/>
    <x v="74"/>
    <x v="74"/>
    <x v="5"/>
    <x v="0"/>
    <x v="4"/>
    <x v="20"/>
    <x v="8"/>
    <s v="Multi-Year"/>
    <x v="1"/>
    <s v="N/A"/>
    <n v="0"/>
    <s v="Confirmed"/>
    <s v=""/>
    <x v="1"/>
    <x v="0"/>
    <m/>
    <x v="0"/>
    <x v="0"/>
    <m/>
    <n v="0"/>
    <x v="0"/>
    <s v="High"/>
    <n v="55072006.864440605"/>
  </r>
  <r>
    <x v="0"/>
    <x v="75"/>
    <x v="75"/>
    <x v="2"/>
    <x v="0"/>
    <x v="4"/>
    <x v="20"/>
    <x v="8"/>
    <s v="Multi-Year"/>
    <x v="1"/>
    <s v="N/A"/>
    <n v="0"/>
    <s v="Confirmed"/>
    <s v=""/>
    <x v="1"/>
    <x v="0"/>
    <m/>
    <x v="1"/>
    <x v="1"/>
    <m/>
    <n v="0"/>
    <x v="0"/>
    <s v="N/A"/>
    <s v=""/>
  </r>
  <r>
    <x v="0"/>
    <x v="76"/>
    <x v="76"/>
    <x v="3"/>
    <x v="0"/>
    <x v="4"/>
    <x v="20"/>
    <x v="8"/>
    <s v="Multi-Year"/>
    <x v="1"/>
    <s v="N/A"/>
    <n v="0"/>
    <s v="Confirmed"/>
    <s v=""/>
    <x v="1"/>
    <x v="0"/>
    <m/>
    <x v="0"/>
    <x v="0"/>
    <m/>
    <n v="2"/>
    <x v="0"/>
    <s v="Moderate"/>
    <n v="206914157.05429548"/>
  </r>
  <r>
    <x v="0"/>
    <x v="77"/>
    <x v="77"/>
    <x v="3"/>
    <x v="0"/>
    <x v="4"/>
    <x v="20"/>
    <x v="8"/>
    <s v="Multi-Year"/>
    <x v="1"/>
    <s v="N/A"/>
    <n v="665180"/>
    <s v="Confirmed"/>
    <s v=""/>
    <x v="1"/>
    <x v="0"/>
    <m/>
    <x v="0"/>
    <x v="0"/>
    <m/>
    <n v="2"/>
    <x v="0"/>
    <s v="High"/>
    <n v="185999915.02066413"/>
  </r>
  <r>
    <x v="0"/>
    <x v="78"/>
    <x v="78"/>
    <x v="6"/>
    <x v="0"/>
    <x v="4"/>
    <x v="20"/>
    <x v="8"/>
    <s v="Multi-Year"/>
    <x v="1"/>
    <s v="N/A"/>
    <n v="272222"/>
    <s v="Confirmed"/>
    <s v=""/>
    <x v="1"/>
    <x v="0"/>
    <m/>
    <x v="1"/>
    <x v="1"/>
    <m/>
    <n v="0"/>
    <x v="0"/>
    <s v=""/>
    <n v="6893755763.2501726"/>
  </r>
  <r>
    <x v="0"/>
    <x v="79"/>
    <x v="79"/>
    <x v="0"/>
    <x v="0"/>
    <x v="4"/>
    <x v="20"/>
    <x v="8"/>
    <s v="Multi-Year"/>
    <x v="1"/>
    <s v="N/A"/>
    <n v="0"/>
    <s v="Confirmed"/>
    <s v=""/>
    <x v="1"/>
    <x v="0"/>
    <m/>
    <x v="1"/>
    <x v="0"/>
    <m/>
    <n v="0"/>
    <x v="1"/>
    <s v="High"/>
    <n v="354560231.58276606"/>
  </r>
  <r>
    <x v="0"/>
    <x v="80"/>
    <x v="80"/>
    <x v="5"/>
    <x v="0"/>
    <x v="4"/>
    <x v="20"/>
    <x v="8"/>
    <s v="Multi-Year"/>
    <x v="1"/>
    <s v="N/A"/>
    <n v="0"/>
    <s v="Confirmed"/>
    <s v=""/>
    <x v="1"/>
    <x v="0"/>
    <m/>
    <x v="0"/>
    <x v="0"/>
    <m/>
    <n v="1"/>
    <x v="0"/>
    <s v="Moderate"/>
    <n v="188169167.56540567"/>
  </r>
  <r>
    <x v="0"/>
    <x v="81"/>
    <x v="81"/>
    <x v="6"/>
    <x v="0"/>
    <x v="4"/>
    <x v="20"/>
    <x v="8"/>
    <s v="Multi-Year"/>
    <x v="1"/>
    <s v="N/A"/>
    <n v="0"/>
    <s v="Confirmed"/>
    <s v=""/>
    <x v="1"/>
    <x v="0"/>
    <m/>
    <x v="1"/>
    <x v="0"/>
    <m/>
    <n v="0"/>
    <x v="1"/>
    <s v=""/>
    <n v="16312106.556340856"/>
  </r>
  <r>
    <x v="0"/>
    <x v="82"/>
    <x v="82"/>
    <x v="5"/>
    <x v="0"/>
    <x v="4"/>
    <x v="20"/>
    <x v="8"/>
    <s v="Multi-Year"/>
    <x v="1"/>
    <s v="N/A"/>
    <n v="0"/>
    <s v="Confirmed"/>
    <s v=""/>
    <x v="1"/>
    <x v="0"/>
    <m/>
    <x v="2"/>
    <x v="0"/>
    <m/>
    <n v="2"/>
    <x v="0"/>
    <s v="High"/>
    <n v="86083833.534053758"/>
  </r>
  <r>
    <x v="0"/>
    <x v="83"/>
    <x v="83"/>
    <x v="3"/>
    <x v="0"/>
    <x v="4"/>
    <x v="20"/>
    <x v="8"/>
    <s v="Multi-Year"/>
    <x v="1"/>
    <s v="N/A"/>
    <n v="0"/>
    <s v="Confirmed"/>
    <s v=""/>
    <x v="1"/>
    <x v="0"/>
    <m/>
    <x v="1"/>
    <x v="1"/>
    <m/>
    <n v="0"/>
    <x v="1"/>
    <s v="N/A"/>
    <n v="357220835.93762809"/>
  </r>
  <r>
    <x v="0"/>
    <x v="84"/>
    <x v="84"/>
    <x v="4"/>
    <x v="0"/>
    <x v="4"/>
    <x v="20"/>
    <x v="8"/>
    <s v="Multi-Year"/>
    <x v="1"/>
    <s v="N/A"/>
    <n v="0"/>
    <s v="Confirmed"/>
    <s v=""/>
    <x v="1"/>
    <x v="0"/>
    <m/>
    <x v="1"/>
    <x v="1"/>
    <m/>
    <n v="0"/>
    <x v="0"/>
    <s v=""/>
    <n v="32831598153.796387"/>
  </r>
  <r>
    <x v="0"/>
    <x v="85"/>
    <x v="85"/>
    <x v="6"/>
    <x v="0"/>
    <x v="4"/>
    <x v="20"/>
    <x v="8"/>
    <s v="Multi-Year"/>
    <x v="1"/>
    <s v="N/A"/>
    <n v="0"/>
    <s v="Confirmed"/>
    <s v=""/>
    <x v="1"/>
    <x v="0"/>
    <m/>
    <x v="2"/>
    <x v="0"/>
    <m/>
    <n v="0"/>
    <x v="1"/>
    <s v="High"/>
    <n v="12329056.093798399"/>
  </r>
  <r>
    <x v="0"/>
    <x v="86"/>
    <x v="86"/>
    <x v="1"/>
    <x v="0"/>
    <x v="4"/>
    <x v="20"/>
    <x v="8"/>
    <s v="Multi-Year"/>
    <x v="1"/>
    <s v="N/A"/>
    <n v="0"/>
    <s v="Confirmed"/>
    <s v=""/>
    <x v="1"/>
    <x v="0"/>
    <m/>
    <x v="1"/>
    <x v="0"/>
    <m/>
    <n v="0"/>
    <x v="0"/>
    <s v="Low"/>
    <n v="426639742.85328001"/>
  </r>
  <r>
    <x v="0"/>
    <x v="87"/>
    <x v="87"/>
    <x v="6"/>
    <x v="0"/>
    <x v="4"/>
    <x v="20"/>
    <x v="8"/>
    <s v="Multi-Year"/>
    <x v="1"/>
    <s v="N/A"/>
    <n v="0"/>
    <s v="Confirmed"/>
    <s v=""/>
    <x v="1"/>
    <x v="0"/>
    <m/>
    <x v="2"/>
    <x v="0"/>
    <m/>
    <n v="0"/>
    <x v="0"/>
    <s v="…"/>
    <n v="288519671.85870522"/>
  </r>
  <r>
    <x v="0"/>
    <x v="88"/>
    <x v="88"/>
    <x v="1"/>
    <x v="0"/>
    <x v="4"/>
    <x v="20"/>
    <x v="8"/>
    <s v="Multi-Year"/>
    <x v="1"/>
    <s v="N/A"/>
    <n v="0"/>
    <s v="Confirmed"/>
    <s v=""/>
    <x v="1"/>
    <x v="0"/>
    <m/>
    <x v="1"/>
    <x v="1"/>
    <m/>
    <n v="0"/>
    <x v="0"/>
    <s v="N/A"/>
    <n v="275606560.78491527"/>
  </r>
  <r>
    <x v="0"/>
    <x v="89"/>
    <x v="89"/>
    <x v="2"/>
    <x v="0"/>
    <x v="4"/>
    <x v="20"/>
    <x v="8"/>
    <s v="Multi-Year"/>
    <x v="1"/>
    <s v="N/A"/>
    <n v="0"/>
    <s v="Confirmed"/>
    <s v=""/>
    <x v="1"/>
    <x v="0"/>
    <m/>
    <x v="2"/>
    <x v="0"/>
    <m/>
    <n v="0"/>
    <x v="0"/>
    <s v="N/A"/>
    <n v="2530937679.3725696"/>
  </r>
  <r>
    <x v="0"/>
    <x v="90"/>
    <x v="90"/>
    <x v="3"/>
    <x v="0"/>
    <x v="4"/>
    <x v="20"/>
    <x v="8"/>
    <s v="Multi-Year"/>
    <x v="1"/>
    <s v="N/A"/>
    <n v="0"/>
    <s v="Confirmed"/>
    <s v=""/>
    <x v="1"/>
    <x v="0"/>
    <m/>
    <x v="0"/>
    <x v="0"/>
    <m/>
    <n v="0"/>
    <x v="0"/>
    <s v="In distress"/>
    <n v="251432156.86255455"/>
  </r>
  <r>
    <x v="0"/>
    <x v="91"/>
    <x v="91"/>
    <x v="6"/>
    <x v="0"/>
    <x v="4"/>
    <x v="20"/>
    <x v="8"/>
    <s v="Multi-Year"/>
    <x v="1"/>
    <s v="N/A"/>
    <n v="0"/>
    <s v="Confirmed"/>
    <s v=""/>
    <x v="1"/>
    <x v="0"/>
    <m/>
    <x v="2"/>
    <x v="0"/>
    <m/>
    <n v="0"/>
    <x v="0"/>
    <s v="Low"/>
    <n v="471534500.60109437"/>
  </r>
  <r>
    <x v="0"/>
    <x v="92"/>
    <x v="92"/>
    <x v="3"/>
    <x v="0"/>
    <x v="4"/>
    <x v="20"/>
    <x v="8"/>
    <s v="Multi-Year"/>
    <x v="1"/>
    <s v="N/A"/>
    <n v="0"/>
    <s v="Confirmed"/>
    <s v=""/>
    <x v="1"/>
    <x v="0"/>
    <m/>
    <x v="1"/>
    <x v="1"/>
    <m/>
    <n v="0"/>
    <x v="0"/>
    <s v=""/>
    <n v="531677611.80447447"/>
  </r>
  <r>
    <x v="0"/>
    <x v="93"/>
    <x v="93"/>
    <x v="6"/>
    <x v="0"/>
    <x v="4"/>
    <x v="20"/>
    <x v="8"/>
    <s v="Multi-Year"/>
    <x v="1"/>
    <s v="N/A"/>
    <n v="0"/>
    <s v="Confirmed"/>
    <s v=""/>
    <x v="1"/>
    <x v="0"/>
    <m/>
    <x v="3"/>
    <x v="1"/>
    <m/>
    <n v="0"/>
    <x v="1"/>
    <s v=""/>
    <n v="8528751.6418357007"/>
  </r>
  <r>
    <x v="0"/>
    <x v="94"/>
    <x v="94"/>
    <x v="0"/>
    <x v="0"/>
    <x v="4"/>
    <x v="20"/>
    <x v="8"/>
    <s v="Multi-Year"/>
    <x v="1"/>
    <s v="N/A"/>
    <n v="97920"/>
    <s v="Confirmed"/>
    <s v=""/>
    <x v="1"/>
    <x v="0"/>
    <m/>
    <x v="2"/>
    <x v="0"/>
    <m/>
    <n v="0"/>
    <x v="0"/>
    <s v="Low"/>
    <n v="407084543.19089872"/>
  </r>
  <r>
    <x v="0"/>
    <x v="95"/>
    <x v="95"/>
    <x v="4"/>
    <x v="0"/>
    <x v="4"/>
    <x v="20"/>
    <x v="8"/>
    <s v="Multi-Year"/>
    <x v="1"/>
    <s v="N/A"/>
    <n v="0"/>
    <s v="Confirmed"/>
    <s v=""/>
    <x v="1"/>
    <x v="0"/>
    <m/>
    <x v="2"/>
    <x v="0"/>
    <m/>
    <n v="0"/>
    <x v="0"/>
    <s v="Moderate"/>
    <n v="671998341.93592453"/>
  </r>
  <r>
    <x v="0"/>
    <x v="96"/>
    <x v="96"/>
    <x v="5"/>
    <x v="0"/>
    <x v="4"/>
    <x v="20"/>
    <x v="8"/>
    <s v="Multi-Year"/>
    <x v="1"/>
    <s v="N/A"/>
    <n v="0"/>
    <s v="Confirmed"/>
    <s v=""/>
    <x v="1"/>
    <x v="0"/>
    <m/>
    <x v="0"/>
    <x v="0"/>
    <m/>
    <n v="1"/>
    <x v="0"/>
    <s v="Moderate"/>
    <n v="226203289.67158964"/>
  </r>
  <r>
    <x v="0"/>
    <x v="97"/>
    <x v="97"/>
    <x v="5"/>
    <x v="0"/>
    <x v="4"/>
    <x v="20"/>
    <x v="8"/>
    <s v="Multi-Year"/>
    <x v="1"/>
    <s v="N/A"/>
    <n v="42296"/>
    <s v="Confirmed"/>
    <s v=""/>
    <x v="1"/>
    <x v="0"/>
    <m/>
    <x v="2"/>
    <x v="0"/>
    <m/>
    <n v="3"/>
    <x v="0"/>
    <s v="…"/>
    <n v="2438881113.1244688"/>
  </r>
  <r>
    <x v="0"/>
    <x v="98"/>
    <x v="98"/>
    <x v="1"/>
    <x v="0"/>
    <x v="4"/>
    <x v="20"/>
    <x v="8"/>
    <s v="Multi-Year"/>
    <x v="1"/>
    <s v="N/A"/>
    <n v="0"/>
    <s v="Confirmed"/>
    <s v=""/>
    <x v="1"/>
    <x v="0"/>
    <m/>
    <x v="1"/>
    <x v="1"/>
    <m/>
    <n v="0"/>
    <x v="0"/>
    <s v=""/>
    <n v="476517795.73174149"/>
  </r>
  <r>
    <x v="0"/>
    <x v="99"/>
    <x v="99"/>
    <x v="0"/>
    <x v="0"/>
    <x v="4"/>
    <x v="20"/>
    <x v="8"/>
    <s v="Multi-Year"/>
    <x v="1"/>
    <s v="N/A"/>
    <n v="150000"/>
    <s v="Confirmed"/>
    <s v=""/>
    <x v="1"/>
    <x v="0"/>
    <m/>
    <x v="2"/>
    <x v="0"/>
    <m/>
    <n v="0"/>
    <x v="0"/>
    <s v="…"/>
    <n v="3233351297.7679496"/>
  </r>
  <r>
    <x v="0"/>
    <x v="100"/>
    <x v="100"/>
    <x v="4"/>
    <x v="0"/>
    <x v="4"/>
    <x v="20"/>
    <x v="8"/>
    <s v="Multi-Year"/>
    <x v="1"/>
    <s v="N/A"/>
    <n v="0"/>
    <s v="Confirmed"/>
    <s v=""/>
    <x v="1"/>
    <x v="0"/>
    <m/>
    <x v="3"/>
    <x v="1"/>
    <m/>
    <n v="0"/>
    <x v="1"/>
    <s v=""/>
    <n v="18180646.808608256"/>
  </r>
  <r>
    <x v="0"/>
    <x v="101"/>
    <x v="101"/>
    <x v="4"/>
    <x v="0"/>
    <x v="4"/>
    <x v="20"/>
    <x v="8"/>
    <s v="Multi-Year"/>
    <x v="1"/>
    <s v="N/A"/>
    <n v="0"/>
    <s v="Confirmed"/>
    <s v=""/>
    <x v="1"/>
    <x v="0"/>
    <m/>
    <x v="1"/>
    <x v="1"/>
    <m/>
    <n v="0"/>
    <x v="0"/>
    <s v="N/A"/>
    <n v="3020530707.3485303"/>
  </r>
  <r>
    <x v="0"/>
    <x v="102"/>
    <x v="102"/>
    <x v="6"/>
    <x v="0"/>
    <x v="4"/>
    <x v="20"/>
    <x v="8"/>
    <s v="Multi-Year"/>
    <x v="1"/>
    <s v="N/A"/>
    <n v="5067038"/>
    <s v="Confirmed"/>
    <s v=""/>
    <x v="1"/>
    <x v="0"/>
    <m/>
    <x v="2"/>
    <x v="0"/>
    <m/>
    <n v="1"/>
    <x v="1"/>
    <s v="High"/>
    <n v="384406316.46074712"/>
  </r>
  <r>
    <x v="0"/>
    <x v="103"/>
    <x v="103"/>
    <x v="4"/>
    <x v="0"/>
    <x v="4"/>
    <x v="20"/>
    <x v="8"/>
    <s v="Multi-Year"/>
    <x v="1"/>
    <s v="N/A"/>
    <n v="0"/>
    <s v="Confirmed"/>
    <s v=""/>
    <x v="1"/>
    <x v="0"/>
    <m/>
    <x v="1"/>
    <x v="1"/>
    <m/>
    <n v="0"/>
    <x v="0"/>
    <s v=""/>
    <n v="1218747108.9554784"/>
  </r>
  <r>
    <x v="0"/>
    <x v="104"/>
    <x v="104"/>
    <x v="4"/>
    <x v="0"/>
    <x v="4"/>
    <x v="20"/>
    <x v="8"/>
    <s v="Multi-Year"/>
    <x v="1"/>
    <s v="N/A"/>
    <n v="425647"/>
    <s v="Confirmed"/>
    <s v=""/>
    <x v="1"/>
    <x v="0"/>
    <m/>
    <x v="1"/>
    <x v="1"/>
    <m/>
    <n v="0"/>
    <x v="0"/>
    <s v=""/>
    <n v="7392665952.5895758"/>
  </r>
  <r>
    <x v="0"/>
    <x v="105"/>
    <x v="105"/>
    <x v="6"/>
    <x v="0"/>
    <x v="4"/>
    <x v="20"/>
    <x v="8"/>
    <s v="Multi-Year"/>
    <x v="1"/>
    <s v="N/A"/>
    <n v="2831663"/>
    <s v="Confirmed"/>
    <s v=""/>
    <x v="1"/>
    <x v="0"/>
    <m/>
    <x v="2"/>
    <x v="0"/>
    <m/>
    <n v="0"/>
    <x v="0"/>
    <s v="N/A"/>
    <n v="4754985988.6004429"/>
  </r>
  <r>
    <x v="0"/>
    <x v="106"/>
    <x v="106"/>
    <x v="1"/>
    <x v="0"/>
    <x v="4"/>
    <x v="20"/>
    <x v="8"/>
    <s v="Multi-Year"/>
    <x v="1"/>
    <s v="N/A"/>
    <n v="0"/>
    <s v="Confirmed"/>
    <s v=""/>
    <x v="1"/>
    <x v="0"/>
    <m/>
    <x v="3"/>
    <x v="1"/>
    <m/>
    <n v="0"/>
    <x v="0"/>
    <s v=""/>
    <n v="26422210443.037273"/>
  </r>
  <r>
    <x v="0"/>
    <x v="107"/>
    <x v="107"/>
    <x v="1"/>
    <x v="0"/>
    <x v="4"/>
    <x v="20"/>
    <x v="8"/>
    <s v="Multi-Year"/>
    <x v="1"/>
    <s v="N/A"/>
    <n v="0"/>
    <s v="Confirmed"/>
    <s v=""/>
    <x v="1"/>
    <x v="0"/>
    <m/>
    <x v="1"/>
    <x v="1"/>
    <m/>
    <n v="0"/>
    <x v="0"/>
    <s v=""/>
    <n v="10696495313.15033"/>
  </r>
  <r>
    <x v="0"/>
    <x v="108"/>
    <x v="108"/>
    <x v="1"/>
    <x v="0"/>
    <x v="4"/>
    <x v="20"/>
    <x v="8"/>
    <s v="Multi-Year"/>
    <x v="1"/>
    <s v="N/A"/>
    <n v="0"/>
    <s v="Confirmed"/>
    <s v=""/>
    <x v="1"/>
    <x v="0"/>
    <m/>
    <x v="1"/>
    <x v="1"/>
    <m/>
    <n v="0"/>
    <x v="0"/>
    <s v=""/>
    <n v="52769713433.240509"/>
  </r>
  <r>
    <x v="0"/>
    <x v="109"/>
    <x v="109"/>
    <x v="3"/>
    <x v="0"/>
    <x v="4"/>
    <x v="20"/>
    <x v="8"/>
    <s v="Multi-Year"/>
    <x v="1"/>
    <s v="N/A"/>
    <n v="0"/>
    <s v="Confirmed"/>
    <s v=""/>
    <x v="1"/>
    <x v="0"/>
    <m/>
    <x v="0"/>
    <x v="0"/>
    <m/>
    <n v="0"/>
    <x v="0"/>
    <s v="Moderate"/>
    <n v="225799814.51943746"/>
  </r>
  <r>
    <x v="0"/>
    <x v="110"/>
    <x v="110"/>
    <x v="6"/>
    <x v="0"/>
    <x v="4"/>
    <x v="20"/>
    <x v="8"/>
    <s v="Multi-Year"/>
    <x v="1"/>
    <s v="N/A"/>
    <n v="0"/>
    <s v="Confirmed"/>
    <s v=""/>
    <x v="1"/>
    <x v="0"/>
    <m/>
    <x v="2"/>
    <x v="0"/>
    <m/>
    <n v="0"/>
    <x v="1"/>
    <s v="High"/>
    <n v="32192988.027009469"/>
  </r>
  <r>
    <x v="0"/>
    <x v="111"/>
    <x v="111"/>
    <x v="5"/>
    <x v="0"/>
    <x v="4"/>
    <x v="20"/>
    <x v="8"/>
    <s v="Multi-Year"/>
    <x v="1"/>
    <s v="N/A"/>
    <n v="0"/>
    <s v="Confirmed"/>
    <s v=""/>
    <x v="1"/>
    <x v="0"/>
    <m/>
    <x v="2"/>
    <x v="0"/>
    <m/>
    <n v="0"/>
    <x v="1"/>
    <s v="In distress"/>
    <n v="11633535.136477679"/>
  </r>
  <r>
    <x v="0"/>
    <x v="112"/>
    <x v="112"/>
    <x v="5"/>
    <x v="0"/>
    <x v="4"/>
    <x v="20"/>
    <x v="8"/>
    <s v="Multi-Year"/>
    <x v="1"/>
    <s v="N/A"/>
    <n v="779275"/>
    <s v="Confirmed"/>
    <s v=""/>
    <x v="1"/>
    <x v="0"/>
    <m/>
    <x v="2"/>
    <x v="0"/>
    <m/>
    <n v="2"/>
    <x v="0"/>
    <s v="Moderate"/>
    <n v="222008693.93354639"/>
  </r>
  <r>
    <x v="0"/>
    <x v="113"/>
    <x v="113"/>
    <x v="1"/>
    <x v="0"/>
    <x v="4"/>
    <x v="20"/>
    <x v="8"/>
    <s v="Multi-Year"/>
    <x v="1"/>
    <s v="N/A"/>
    <n v="0"/>
    <s v="Confirmed"/>
    <s v=""/>
    <x v="1"/>
    <x v="0"/>
    <m/>
    <x v="1"/>
    <x v="1"/>
    <m/>
    <n v="0"/>
    <x v="0"/>
    <s v=""/>
    <n v="2564993795.1894679"/>
  </r>
  <r>
    <x v="0"/>
    <x v="114"/>
    <x v="114"/>
    <x v="3"/>
    <x v="0"/>
    <x v="4"/>
    <x v="20"/>
    <x v="8"/>
    <s v="Multi-Year"/>
    <x v="1"/>
    <s v="N/A"/>
    <n v="0"/>
    <s v="Confirmed"/>
    <s v=""/>
    <x v="1"/>
    <x v="0"/>
    <m/>
    <x v="3"/>
    <x v="1"/>
    <m/>
    <n v="0"/>
    <x v="1"/>
    <s v="N/A"/>
    <n v="60237542.945069775"/>
  </r>
  <r>
    <x v="0"/>
    <x v="115"/>
    <x v="115"/>
    <x v="5"/>
    <x v="0"/>
    <x v="4"/>
    <x v="20"/>
    <x v="8"/>
    <s v="Multi-Year"/>
    <x v="1"/>
    <s v="N/A"/>
    <n v="472533"/>
    <s v="Confirmed"/>
    <s v=""/>
    <x v="1"/>
    <x v="0"/>
    <m/>
    <x v="0"/>
    <x v="0"/>
    <m/>
    <n v="0"/>
    <x v="0"/>
    <s v="High"/>
    <n v="63738640.538260505"/>
  </r>
  <r>
    <x v="0"/>
    <x v="116"/>
    <x v="116"/>
    <x v="6"/>
    <x v="0"/>
    <x v="4"/>
    <x v="20"/>
    <x v="8"/>
    <s v="Multi-Year"/>
    <x v="1"/>
    <s v="N/A"/>
    <n v="0"/>
    <s v="Confirmed"/>
    <s v=""/>
    <x v="1"/>
    <x v="0"/>
    <m/>
    <x v="2"/>
    <x v="0"/>
    <m/>
    <n v="0"/>
    <x v="1"/>
    <s v="Moderate"/>
    <n v="49012774.055630356"/>
  </r>
  <r>
    <x v="0"/>
    <x v="117"/>
    <x v="117"/>
    <x v="3"/>
    <x v="0"/>
    <x v="4"/>
    <x v="20"/>
    <x v="8"/>
    <s v="Multi-Year"/>
    <x v="1"/>
    <s v="N/A"/>
    <n v="345491"/>
    <s v="Confirmed"/>
    <s v=""/>
    <x v="1"/>
    <x v="0"/>
    <m/>
    <x v="0"/>
    <x v="0"/>
    <m/>
    <n v="1"/>
    <x v="0"/>
    <s v="In distress"/>
    <s v=""/>
  </r>
  <r>
    <x v="0"/>
    <x v="118"/>
    <x v="118"/>
    <x v="3"/>
    <x v="0"/>
    <x v="4"/>
    <x v="20"/>
    <x v="8"/>
    <s v="Multi-Year"/>
    <x v="1"/>
    <s v="N/A"/>
    <n v="555556"/>
    <s v="Confirmed"/>
    <s v=""/>
    <x v="1"/>
    <x v="0"/>
    <m/>
    <x v="1"/>
    <x v="1"/>
    <m/>
    <n v="0"/>
    <x v="0"/>
    <s v="N/A"/>
    <n v="16429121142.784708"/>
  </r>
  <r>
    <x v="0"/>
    <x v="119"/>
    <x v="119"/>
    <x v="3"/>
    <x v="0"/>
    <x v="4"/>
    <x v="20"/>
    <x v="8"/>
    <s v="Multi-Year"/>
    <x v="1"/>
    <s v="N/A"/>
    <n v="0"/>
    <s v="Confirmed"/>
    <s v=""/>
    <x v="1"/>
    <x v="0"/>
    <m/>
    <x v="0"/>
    <x v="0"/>
    <m/>
    <n v="1"/>
    <x v="0"/>
    <s v="High"/>
    <n v="31684581.76217727"/>
  </r>
  <r>
    <x v="0"/>
    <x v="120"/>
    <x v="120"/>
    <x v="0"/>
    <x v="0"/>
    <x v="4"/>
    <x v="20"/>
    <x v="8"/>
    <s v="Multi-Year"/>
    <x v="1"/>
    <s v="N/A"/>
    <n v="0"/>
    <s v="Confirmed"/>
    <s v=""/>
    <x v="1"/>
    <x v="0"/>
    <m/>
    <x v="2"/>
    <x v="0"/>
    <m/>
    <n v="0"/>
    <x v="0"/>
    <s v="N/A"/>
    <n v="1373621563.5182886"/>
  </r>
  <r>
    <x v="0"/>
    <x v="121"/>
    <x v="121"/>
    <x v="4"/>
    <x v="0"/>
    <x v="4"/>
    <x v="20"/>
    <x v="8"/>
    <s v="Multi-Year"/>
    <x v="1"/>
    <s v="N/A"/>
    <n v="0"/>
    <s v="Confirmed"/>
    <s v=""/>
    <x v="1"/>
    <x v="0"/>
    <m/>
    <x v="3"/>
    <x v="1"/>
    <m/>
    <n v="0"/>
    <x v="1"/>
    <s v=""/>
    <n v="24214370.889062837"/>
  </r>
  <r>
    <x v="0"/>
    <x v="122"/>
    <x v="122"/>
    <x v="4"/>
    <x v="0"/>
    <x v="4"/>
    <x v="20"/>
    <x v="8"/>
    <s v="Multi-Year"/>
    <x v="1"/>
    <s v="N/A"/>
    <n v="0"/>
    <s v="Confirmed"/>
    <s v=""/>
    <x v="1"/>
    <x v="0"/>
    <m/>
    <x v="1"/>
    <x v="0"/>
    <m/>
    <n v="0"/>
    <x v="1"/>
    <s v="…"/>
    <n v="39941279.609447442"/>
  </r>
  <r>
    <x v="0"/>
    <x v="123"/>
    <x v="123"/>
    <x v="4"/>
    <x v="0"/>
    <x v="4"/>
    <x v="20"/>
    <x v="8"/>
    <s v="Multi-Year"/>
    <x v="1"/>
    <s v="N/A"/>
    <n v="0"/>
    <s v="Confirmed"/>
    <s v=""/>
    <x v="1"/>
    <x v="0"/>
    <m/>
    <x v="1"/>
    <x v="0"/>
    <m/>
    <n v="0"/>
    <x v="1"/>
    <s v="High"/>
    <n v="24761675.260059897"/>
  </r>
  <r>
    <x v="0"/>
    <x v="124"/>
    <x v="124"/>
    <x v="2"/>
    <x v="0"/>
    <x v="4"/>
    <x v="20"/>
    <x v="8"/>
    <s v="Multi-Year"/>
    <x v="1"/>
    <s v="N/A"/>
    <n v="0"/>
    <s v="Confirmed"/>
    <s v=""/>
    <x v="1"/>
    <x v="0"/>
    <m/>
    <x v="2"/>
    <x v="0"/>
    <m/>
    <n v="0"/>
    <x v="0"/>
    <s v="N/A"/>
    <s v=""/>
  </r>
  <r>
    <x v="0"/>
    <x v="125"/>
    <x v="125"/>
    <x v="2"/>
    <x v="0"/>
    <x v="4"/>
    <x v="20"/>
    <x v="8"/>
    <s v="Multi-Year"/>
    <x v="1"/>
    <s v="N/A"/>
    <n v="476081.75"/>
    <s v="Confirmed"/>
    <s v=""/>
    <x v="1"/>
    <x v="0"/>
    <m/>
    <x v="0"/>
    <x v="0"/>
    <m/>
    <n v="1"/>
    <x v="0"/>
    <s v="N/A"/>
    <n v="577156172.71229994"/>
  </r>
  <r>
    <x v="0"/>
    <x v="126"/>
    <x v="126"/>
    <x v="6"/>
    <x v="0"/>
    <x v="4"/>
    <x v="20"/>
    <x v="8"/>
    <s v="Multi-Year"/>
    <x v="1"/>
    <s v="N/A"/>
    <n v="282294"/>
    <s v="Confirmed"/>
    <s v=""/>
    <x v="1"/>
    <x v="0"/>
    <m/>
    <x v="1"/>
    <x v="1"/>
    <m/>
    <n v="0"/>
    <x v="1"/>
    <s v=""/>
    <n v="180052034.19851837"/>
  </r>
  <r>
    <x v="0"/>
    <x v="127"/>
    <x v="127"/>
    <x v="2"/>
    <x v="0"/>
    <x v="4"/>
    <x v="20"/>
    <x v="8"/>
    <s v="Multi-Year"/>
    <x v="1"/>
    <s v="N/A"/>
    <n v="0"/>
    <s v="Confirmed"/>
    <s v=""/>
    <x v="1"/>
    <x v="0"/>
    <m/>
    <x v="0"/>
    <x v="0"/>
    <m/>
    <n v="1"/>
    <x v="0"/>
    <s v="N/A"/>
    <s v=""/>
  </r>
  <r>
    <x v="0"/>
    <x v="128"/>
    <x v="128"/>
    <x v="1"/>
    <x v="0"/>
    <x v="4"/>
    <x v="20"/>
    <x v="8"/>
    <s v="Multi-Year"/>
    <x v="1"/>
    <s v="N/A"/>
    <n v="0"/>
    <s v="Confirmed"/>
    <s v=""/>
    <x v="1"/>
    <x v="0"/>
    <m/>
    <x v="2"/>
    <x v="0"/>
    <m/>
    <n v="0"/>
    <x v="0"/>
    <s v="High"/>
    <n v="147296124.32232863"/>
  </r>
  <r>
    <x v="0"/>
    <x v="129"/>
    <x v="129"/>
    <x v="3"/>
    <x v="0"/>
    <x v="4"/>
    <x v="20"/>
    <x v="8"/>
    <s v="Multi-Year"/>
    <x v="1"/>
    <s v="N/A"/>
    <n v="0"/>
    <s v="Confirmed"/>
    <s v=""/>
    <x v="1"/>
    <x v="0"/>
    <m/>
    <x v="2"/>
    <x v="0"/>
    <m/>
    <n v="0"/>
    <x v="0"/>
    <s v="…"/>
    <n v="890576536.83065879"/>
  </r>
  <r>
    <x v="0"/>
    <x v="130"/>
    <x v="130"/>
    <x v="6"/>
    <x v="0"/>
    <x v="4"/>
    <x v="20"/>
    <x v="8"/>
    <s v="Multi-Year"/>
    <x v="1"/>
    <s v="N/A"/>
    <n v="272222"/>
    <s v="Confirmed"/>
    <s v=""/>
    <x v="1"/>
    <x v="0"/>
    <m/>
    <x v="1"/>
    <x v="1"/>
    <m/>
    <n v="0"/>
    <x v="0"/>
    <s v=""/>
    <n v="14611129792.346064"/>
  </r>
  <r>
    <x v="0"/>
    <x v="131"/>
    <x v="131"/>
    <x v="6"/>
    <x v="0"/>
    <x v="4"/>
    <x v="20"/>
    <x v="8"/>
    <s v="Multi-Year"/>
    <x v="1"/>
    <s v="N/A"/>
    <n v="1683183"/>
    <s v="Confirmed"/>
    <s v=""/>
    <x v="1"/>
    <x v="0"/>
    <m/>
    <x v="2"/>
    <x v="0"/>
    <m/>
    <n v="0"/>
    <x v="1"/>
    <s v="Low"/>
    <n v="72046877.233008593"/>
  </r>
  <r>
    <x v="0"/>
    <x v="132"/>
    <x v="132"/>
    <x v="5"/>
    <x v="0"/>
    <x v="4"/>
    <x v="20"/>
    <x v="8"/>
    <s v="Multi-Year"/>
    <x v="1"/>
    <s v="N/A"/>
    <n v="0"/>
    <s v="Confirmed"/>
    <s v=""/>
    <x v="1"/>
    <x v="0"/>
    <m/>
    <x v="0"/>
    <x v="0"/>
    <m/>
    <n v="0"/>
    <x v="0"/>
    <s v="High"/>
    <n v="56248139.267255567"/>
  </r>
  <r>
    <x v="0"/>
    <x v="133"/>
    <x v="133"/>
    <x v="6"/>
    <x v="0"/>
    <x v="4"/>
    <x v="20"/>
    <x v="8"/>
    <s v="Multi-Year"/>
    <x v="1"/>
    <s v="N/A"/>
    <n v="0"/>
    <s v="Confirmed"/>
    <s v=""/>
    <x v="1"/>
    <x v="0"/>
    <m/>
    <x v="1"/>
    <x v="0"/>
    <m/>
    <n v="0"/>
    <x v="1"/>
    <s v="High"/>
    <n v="15464031.712942109"/>
  </r>
  <r>
    <x v="0"/>
    <x v="134"/>
    <x v="134"/>
    <x v="4"/>
    <x v="0"/>
    <x v="4"/>
    <x v="20"/>
    <x v="8"/>
    <s v="Multi-Year"/>
    <x v="1"/>
    <s v="N/A"/>
    <n v="0"/>
    <s v="Confirmed"/>
    <s v=""/>
    <x v="1"/>
    <x v="0"/>
    <m/>
    <x v="3"/>
    <x v="1"/>
    <m/>
    <n v="0"/>
    <x v="1"/>
    <s v="N/A"/>
    <n v="769564399.33249676"/>
  </r>
  <r>
    <x v="0"/>
    <x v="135"/>
    <x v="135"/>
    <x v="2"/>
    <x v="0"/>
    <x v="4"/>
    <x v="20"/>
    <x v="8"/>
    <s v="Multi-Year"/>
    <x v="1"/>
    <s v="N/A"/>
    <n v="3118906"/>
    <s v="Confirmed"/>
    <s v=""/>
    <x v="1"/>
    <x v="0"/>
    <m/>
    <x v="2"/>
    <x v="0"/>
    <m/>
    <n v="0"/>
    <x v="0"/>
    <s v="N/A"/>
    <n v="1668954539.7630196"/>
  </r>
  <r>
    <x v="0"/>
    <x v="136"/>
    <x v="136"/>
    <x v="1"/>
    <x v="0"/>
    <x v="4"/>
    <x v="20"/>
    <x v="8"/>
    <s v="Multi-Year"/>
    <x v="1"/>
    <s v="N/A"/>
    <n v="0"/>
    <s v="Confirmed"/>
    <s v=""/>
    <x v="1"/>
    <x v="0"/>
    <m/>
    <x v="1"/>
    <x v="1"/>
    <m/>
    <n v="0"/>
    <x v="0"/>
    <s v=""/>
    <n v="24840920016.18832"/>
  </r>
  <r>
    <x v="0"/>
    <x v="137"/>
    <x v="137"/>
    <x v="1"/>
    <x v="0"/>
    <x v="4"/>
    <x v="20"/>
    <x v="8"/>
    <s v="Multi-Year"/>
    <x v="1"/>
    <s v="N/A"/>
    <n v="0"/>
    <s v="Confirmed"/>
    <s v=""/>
    <x v="1"/>
    <x v="0"/>
    <m/>
    <x v="1"/>
    <x v="1"/>
    <m/>
    <n v="0"/>
    <x v="0"/>
    <s v="N/A"/>
    <n v="487888462.83720118"/>
  </r>
  <r>
    <x v="0"/>
    <x v="138"/>
    <x v="138"/>
    <x v="6"/>
    <x v="0"/>
    <x v="4"/>
    <x v="20"/>
    <x v="8"/>
    <s v="Multi-Year"/>
    <x v="1"/>
    <s v="N/A"/>
    <n v="0"/>
    <s v="Confirmed"/>
    <s v=""/>
    <x v="1"/>
    <x v="0"/>
    <m/>
    <x v="1"/>
    <x v="0"/>
    <m/>
    <n v="0"/>
    <x v="1"/>
    <s v="…"/>
    <n v="6365061.1736073596"/>
  </r>
  <r>
    <x v="0"/>
    <x v="139"/>
    <x v="139"/>
    <x v="3"/>
    <x v="0"/>
    <x v="4"/>
    <x v="20"/>
    <x v="8"/>
    <s v="Multi-Year"/>
    <x v="1"/>
    <s v="N/A"/>
    <n v="944445"/>
    <s v="Confirmed"/>
    <s v=""/>
    <x v="1"/>
    <x v="0"/>
    <m/>
    <x v="0"/>
    <x v="0"/>
    <m/>
    <n v="2"/>
    <x v="0"/>
    <s v="Low"/>
    <n v="291799092.90196139"/>
  </r>
  <r>
    <x v="0"/>
    <x v="140"/>
    <x v="140"/>
    <x v="1"/>
    <x v="0"/>
    <x v="4"/>
    <x v="20"/>
    <x v="8"/>
    <s v="Multi-Year"/>
    <x v="1"/>
    <s v="N/A"/>
    <n v="92593"/>
    <s v="Confirmed"/>
    <s v=""/>
    <x v="1"/>
    <x v="0"/>
    <m/>
    <x v="2"/>
    <x v="0"/>
    <m/>
    <n v="0"/>
    <x v="0"/>
    <s v="N/A"/>
    <n v="4844815340.2135534"/>
  </r>
  <r>
    <x v="0"/>
    <x v="141"/>
    <x v="141"/>
    <x v="4"/>
    <x v="0"/>
    <x v="4"/>
    <x v="20"/>
    <x v="8"/>
    <s v="Multi-Year"/>
    <x v="1"/>
    <s v="N/A"/>
    <n v="0"/>
    <s v="Confirmed"/>
    <s v=""/>
    <x v="1"/>
    <x v="0"/>
    <m/>
    <x v="3"/>
    <x v="1"/>
    <m/>
    <n v="0"/>
    <x v="0"/>
    <s v=""/>
    <n v="4001891446.6871672"/>
  </r>
  <r>
    <x v="0"/>
    <x v="142"/>
    <x v="142"/>
    <x v="1"/>
    <x v="0"/>
    <x v="4"/>
    <x v="20"/>
    <x v="8"/>
    <s v="Multi-Year"/>
    <x v="1"/>
    <s v="N/A"/>
    <n v="0"/>
    <s v="Confirmed"/>
    <s v=""/>
    <x v="1"/>
    <x v="0"/>
    <m/>
    <x v="2"/>
    <x v="0"/>
    <m/>
    <n v="0"/>
    <x v="0"/>
    <s v="Low"/>
    <n v="1019800630.5853213"/>
  </r>
  <r>
    <x v="0"/>
    <x v="143"/>
    <x v="143"/>
    <x v="6"/>
    <x v="0"/>
    <x v="4"/>
    <x v="20"/>
    <x v="8"/>
    <s v="Multi-Year"/>
    <x v="1"/>
    <s v="N/A"/>
    <n v="0"/>
    <s v="Confirmed"/>
    <s v=""/>
    <x v="1"/>
    <x v="0"/>
    <m/>
    <x v="2"/>
    <x v="0"/>
    <m/>
    <n v="0"/>
    <x v="1"/>
    <s v="Moderate"/>
    <n v="19578671.310841195"/>
  </r>
  <r>
    <x v="0"/>
    <x v="144"/>
    <x v="144"/>
    <x v="4"/>
    <x v="0"/>
    <x v="4"/>
    <x v="20"/>
    <x v="8"/>
    <s v="Multi-Year"/>
    <x v="1"/>
    <s v="N/A"/>
    <n v="0"/>
    <s v="Confirmed"/>
    <s v=""/>
    <x v="1"/>
    <x v="0"/>
    <m/>
    <x v="4"/>
    <x v="1"/>
    <m/>
    <n v="0"/>
    <x v="0"/>
    <s v="N/A"/>
    <n v="3551452001.0684834"/>
  </r>
  <r>
    <x v="0"/>
    <x v="145"/>
    <x v="145"/>
    <x v="6"/>
    <x v="0"/>
    <x v="4"/>
    <x v="20"/>
    <x v="8"/>
    <s v="Multi-Year"/>
    <x v="1"/>
    <s v="N/A"/>
    <n v="0"/>
    <s v="Confirmed"/>
    <s v=""/>
    <x v="1"/>
    <x v="0"/>
    <m/>
    <x v="2"/>
    <x v="0"/>
    <m/>
    <n v="0"/>
    <x v="0"/>
    <s v="N/A"/>
    <n v="6603048821.7575006"/>
  </r>
  <r>
    <x v="0"/>
    <x v="146"/>
    <x v="146"/>
    <x v="2"/>
    <x v="0"/>
    <x v="4"/>
    <x v="20"/>
    <x v="8"/>
    <s v="Multi-Year"/>
    <x v="1"/>
    <s v="N/A"/>
    <n v="126204"/>
    <s v="Confirmed"/>
    <s v=""/>
    <x v="1"/>
    <x v="0"/>
    <m/>
    <x v="0"/>
    <x v="0"/>
    <m/>
    <n v="1"/>
    <x v="0"/>
    <s v="…"/>
    <s v=""/>
  </r>
  <r>
    <x v="0"/>
    <x v="147"/>
    <x v="147"/>
    <x v="3"/>
    <x v="0"/>
    <x v="4"/>
    <x v="20"/>
    <x v="8"/>
    <s v="Multi-Year"/>
    <x v="1"/>
    <s v="N/A"/>
    <n v="148853"/>
    <s v="Confirmed"/>
    <s v=""/>
    <x v="1"/>
    <x v="0"/>
    <m/>
    <x v="2"/>
    <x v="0"/>
    <m/>
    <n v="0"/>
    <x v="0"/>
    <s v="High"/>
    <n v="515352723.9821828"/>
  </r>
  <r>
    <x v="0"/>
    <x v="148"/>
    <x v="148"/>
    <x v="3"/>
    <x v="0"/>
    <x v="4"/>
    <x v="20"/>
    <x v="8"/>
    <s v="Multi-Year"/>
    <x v="1"/>
    <s v="N/A"/>
    <n v="0"/>
    <s v="Confirmed"/>
    <s v=""/>
    <x v="1"/>
    <x v="0"/>
    <m/>
    <x v="2"/>
    <x v="0"/>
    <m/>
    <n v="0"/>
    <x v="0"/>
    <s v="N/A"/>
    <n v="566711742.22428358"/>
  </r>
  <r>
    <x v="0"/>
    <x v="0"/>
    <x v="0"/>
    <x v="0"/>
    <x v="0"/>
    <x v="4"/>
    <x v="21"/>
    <x v="8"/>
    <s v="Multi-Year"/>
    <x v="1"/>
    <s v="N/A"/>
    <n v="0"/>
    <s v="Confirmed"/>
    <s v=""/>
    <x v="1"/>
    <x v="0"/>
    <m/>
    <x v="0"/>
    <x v="0"/>
    <m/>
    <n v="1"/>
    <x v="0"/>
    <s v="High"/>
    <n v="95829480.719269618"/>
  </r>
  <r>
    <x v="0"/>
    <x v="1"/>
    <x v="1"/>
    <x v="1"/>
    <x v="0"/>
    <x v="4"/>
    <x v="21"/>
    <x v="8"/>
    <s v="Multi-Year"/>
    <x v="1"/>
    <s v="N/A"/>
    <n v="0"/>
    <s v="Confirmed"/>
    <s v=""/>
    <x v="1"/>
    <x v="0"/>
    <m/>
    <x v="1"/>
    <x v="1"/>
    <m/>
    <n v="0"/>
    <x v="0"/>
    <s v=""/>
    <n v="427904035.52443534"/>
  </r>
  <r>
    <x v="0"/>
    <x v="2"/>
    <x v="2"/>
    <x v="2"/>
    <x v="0"/>
    <x v="4"/>
    <x v="21"/>
    <x v="8"/>
    <s v="Multi-Year"/>
    <x v="1"/>
    <s v="N/A"/>
    <n v="0"/>
    <s v="Confirmed"/>
    <s v=""/>
    <x v="1"/>
    <x v="0"/>
    <m/>
    <x v="2"/>
    <x v="0"/>
    <m/>
    <n v="0"/>
    <x v="0"/>
    <s v="N/A"/>
    <n v="7113361022.7267885"/>
  </r>
  <r>
    <x v="0"/>
    <x v="3"/>
    <x v="3"/>
    <x v="3"/>
    <x v="0"/>
    <x v="4"/>
    <x v="21"/>
    <x v="8"/>
    <s v="Multi-Year"/>
    <x v="1"/>
    <s v="N/A"/>
    <n v="0"/>
    <s v="Confirmed"/>
    <s v=""/>
    <x v="1"/>
    <x v="0"/>
    <m/>
    <x v="2"/>
    <x v="0"/>
    <m/>
    <n v="0"/>
    <x v="0"/>
    <s v="…"/>
    <n v="1131865946.5875781"/>
  </r>
  <r>
    <x v="0"/>
    <x v="4"/>
    <x v="4"/>
    <x v="4"/>
    <x v="0"/>
    <x v="4"/>
    <x v="21"/>
    <x v="8"/>
    <s v="Multi-Year"/>
    <x v="1"/>
    <s v="N/A"/>
    <n v="0"/>
    <s v="Confirmed"/>
    <s v=""/>
    <x v="1"/>
    <x v="0"/>
    <m/>
    <x v="3"/>
    <x v="1"/>
    <m/>
    <n v="0"/>
    <x v="1"/>
    <s v=""/>
    <n v="46777779.823447868"/>
  </r>
  <r>
    <x v="0"/>
    <x v="5"/>
    <x v="5"/>
    <x v="4"/>
    <x v="0"/>
    <x v="4"/>
    <x v="21"/>
    <x v="8"/>
    <s v="Multi-Year"/>
    <x v="1"/>
    <s v="N/A"/>
    <n v="0"/>
    <s v="Confirmed"/>
    <s v=""/>
    <x v="1"/>
    <x v="0"/>
    <m/>
    <x v="1"/>
    <x v="1"/>
    <m/>
    <n v="0"/>
    <x v="0"/>
    <s v=""/>
    <n v="30725305777.596794"/>
  </r>
  <r>
    <x v="0"/>
    <x v="6"/>
    <x v="6"/>
    <x v="1"/>
    <x v="0"/>
    <x v="4"/>
    <x v="21"/>
    <x v="8"/>
    <s v="Multi-Year"/>
    <x v="1"/>
    <s v="N/A"/>
    <n v="0"/>
    <s v="Confirmed"/>
    <s v=""/>
    <x v="1"/>
    <x v="0"/>
    <m/>
    <x v="1"/>
    <x v="1"/>
    <m/>
    <n v="0"/>
    <x v="0"/>
    <s v=""/>
    <n v="153815827.8380394"/>
  </r>
  <r>
    <x v="0"/>
    <x v="7"/>
    <x v="7"/>
    <x v="1"/>
    <x v="0"/>
    <x v="4"/>
    <x v="21"/>
    <x v="8"/>
    <s v="Multi-Year"/>
    <x v="1"/>
    <s v="N/A"/>
    <n v="0"/>
    <s v="Confirmed"/>
    <s v=""/>
    <x v="1"/>
    <x v="0"/>
    <m/>
    <x v="1"/>
    <x v="1"/>
    <m/>
    <n v="0"/>
    <x v="0"/>
    <s v="N/A"/>
    <n v="437525105.31216973"/>
  </r>
  <r>
    <x v="0"/>
    <x v="8"/>
    <x v="8"/>
    <x v="4"/>
    <x v="0"/>
    <x v="4"/>
    <x v="21"/>
    <x v="8"/>
    <s v="Multi-Year"/>
    <x v="1"/>
    <s v="N/A"/>
    <n v="0"/>
    <s v="Confirmed"/>
    <s v=""/>
    <x v="1"/>
    <x v="0"/>
    <m/>
    <x v="3"/>
    <x v="1"/>
    <m/>
    <n v="0"/>
    <x v="1"/>
    <s v=""/>
    <n v="149463302.00602186"/>
  </r>
  <r>
    <x v="0"/>
    <x v="9"/>
    <x v="9"/>
    <x v="0"/>
    <x v="0"/>
    <x v="4"/>
    <x v="21"/>
    <x v="8"/>
    <s v="Multi-Year"/>
    <x v="1"/>
    <s v="N/A"/>
    <n v="0"/>
    <s v="Confirmed"/>
    <s v=""/>
    <x v="1"/>
    <x v="0"/>
    <m/>
    <x v="2"/>
    <x v="0"/>
    <m/>
    <n v="0"/>
    <x v="0"/>
    <s v="Low"/>
    <n v="1148322593.9600098"/>
  </r>
  <r>
    <x v="0"/>
    <x v="10"/>
    <x v="10"/>
    <x v="1"/>
    <x v="0"/>
    <x v="4"/>
    <x v="21"/>
    <x v="8"/>
    <s v="Multi-Year"/>
    <x v="1"/>
    <s v="N/A"/>
    <n v="0"/>
    <s v="Confirmed"/>
    <s v=""/>
    <x v="1"/>
    <x v="0"/>
    <m/>
    <x v="1"/>
    <x v="1"/>
    <m/>
    <n v="0"/>
    <x v="0"/>
    <s v=""/>
    <n v="2371102058.1093163"/>
  </r>
  <r>
    <x v="0"/>
    <x v="11"/>
    <x v="11"/>
    <x v="4"/>
    <x v="0"/>
    <x v="4"/>
    <x v="21"/>
    <x v="8"/>
    <s v="Multi-Year"/>
    <x v="1"/>
    <s v="N/A"/>
    <n v="0"/>
    <s v="Confirmed"/>
    <s v=""/>
    <x v="1"/>
    <x v="0"/>
    <m/>
    <x v="2"/>
    <x v="1"/>
    <m/>
    <n v="0"/>
    <x v="1"/>
    <s v="N/A"/>
    <n v="75151620.005215243"/>
  </r>
  <r>
    <x v="0"/>
    <x v="12"/>
    <x v="12"/>
    <x v="5"/>
    <x v="0"/>
    <x v="4"/>
    <x v="21"/>
    <x v="8"/>
    <s v="Multi-Year"/>
    <x v="1"/>
    <s v="N/A"/>
    <n v="0"/>
    <s v="Confirmed"/>
    <s v=""/>
    <x v="1"/>
    <x v="0"/>
    <m/>
    <x v="2"/>
    <x v="0"/>
    <m/>
    <n v="0"/>
    <x v="0"/>
    <s v="Moderate"/>
    <n v="69958487.197715744"/>
  </r>
  <r>
    <x v="0"/>
    <x v="13"/>
    <x v="13"/>
    <x v="0"/>
    <x v="0"/>
    <x v="4"/>
    <x v="21"/>
    <x v="8"/>
    <s v="Multi-Year"/>
    <x v="1"/>
    <s v="N/A"/>
    <n v="0"/>
    <s v="Confirmed"/>
    <s v=""/>
    <x v="1"/>
    <x v="0"/>
    <m/>
    <x v="2"/>
    <x v="0"/>
    <m/>
    <n v="0"/>
    <x v="0"/>
    <s v="…"/>
    <n v="61654608.560629159"/>
  </r>
  <r>
    <x v="0"/>
    <x v="14"/>
    <x v="14"/>
    <x v="4"/>
    <x v="0"/>
    <x v="4"/>
    <x v="21"/>
    <x v="8"/>
    <s v="Multi-Year"/>
    <x v="1"/>
    <s v="N/A"/>
    <n v="0"/>
    <s v="Confirmed"/>
    <s v=""/>
    <x v="1"/>
    <x v="0"/>
    <m/>
    <x v="2"/>
    <x v="0"/>
    <m/>
    <n v="0"/>
    <x v="0"/>
    <s v="N/A"/>
    <n v="1806638707.7615163"/>
  </r>
  <r>
    <x v="0"/>
    <x v="15"/>
    <x v="15"/>
    <x v="1"/>
    <x v="0"/>
    <x v="4"/>
    <x v="21"/>
    <x v="8"/>
    <s v="Multi-Year"/>
    <x v="1"/>
    <s v="N/A"/>
    <n v="0"/>
    <s v="Confirmed"/>
    <s v=""/>
    <x v="1"/>
    <x v="0"/>
    <m/>
    <x v="1"/>
    <x v="1"/>
    <m/>
    <n v="0"/>
    <x v="0"/>
    <s v="N/A"/>
    <n v="1252696525.0627904"/>
  </r>
  <r>
    <x v="0"/>
    <x v="16"/>
    <x v="16"/>
    <x v="3"/>
    <x v="0"/>
    <x v="4"/>
    <x v="21"/>
    <x v="8"/>
    <s v="Multi-Year"/>
    <x v="1"/>
    <s v="N/A"/>
    <n v="266162"/>
    <s v="Confirmed"/>
    <s v=""/>
    <x v="1"/>
    <x v="0"/>
    <m/>
    <x v="1"/>
    <x v="1"/>
    <m/>
    <n v="0"/>
    <x v="0"/>
    <s v=""/>
    <n v="843425084.07334602"/>
  </r>
  <r>
    <x v="0"/>
    <x v="17"/>
    <x v="17"/>
    <x v="4"/>
    <x v="0"/>
    <x v="4"/>
    <x v="21"/>
    <x v="8"/>
    <s v="Multi-Year"/>
    <x v="1"/>
    <s v="N/A"/>
    <n v="0"/>
    <s v="Confirmed"/>
    <s v=""/>
    <x v="1"/>
    <x v="0"/>
    <m/>
    <x v="1"/>
    <x v="1"/>
    <m/>
    <n v="0"/>
    <x v="0"/>
    <s v="N/A"/>
    <n v="74055620038.853683"/>
  </r>
  <r>
    <x v="0"/>
    <x v="18"/>
    <x v="18"/>
    <x v="1"/>
    <x v="0"/>
    <x v="4"/>
    <x v="21"/>
    <x v="8"/>
    <s v="Multi-Year"/>
    <x v="1"/>
    <s v="N/A"/>
    <n v="0"/>
    <s v="Confirmed"/>
    <s v=""/>
    <x v="1"/>
    <x v="0"/>
    <m/>
    <x v="1"/>
    <x v="1"/>
    <m/>
    <n v="0"/>
    <x v="0"/>
    <s v=""/>
    <n v="2803357765.5888777"/>
  </r>
  <r>
    <x v="0"/>
    <x v="19"/>
    <x v="19"/>
    <x v="5"/>
    <x v="0"/>
    <x v="4"/>
    <x v="21"/>
    <x v="8"/>
    <s v="Multi-Year"/>
    <x v="1"/>
    <s v="N/A"/>
    <n v="0"/>
    <s v="Confirmed"/>
    <s v=""/>
    <x v="1"/>
    <x v="0"/>
    <m/>
    <x v="0"/>
    <x v="0"/>
    <m/>
    <n v="2"/>
    <x v="0"/>
    <s v="Moderate"/>
    <n v="337927779.25510043"/>
  </r>
  <r>
    <x v="0"/>
    <x v="20"/>
    <x v="20"/>
    <x v="3"/>
    <x v="0"/>
    <x v="4"/>
    <x v="21"/>
    <x v="8"/>
    <s v="Multi-Year"/>
    <x v="1"/>
    <s v="N/A"/>
    <n v="0"/>
    <s v="Confirmed"/>
    <s v=""/>
    <x v="1"/>
    <x v="0"/>
    <m/>
    <x v="0"/>
    <x v="0"/>
    <m/>
    <n v="2"/>
    <x v="0"/>
    <s v="…"/>
    <n v="65979512.47399316"/>
  </r>
  <r>
    <x v="0"/>
    <x v="21"/>
    <x v="21"/>
    <x v="5"/>
    <x v="0"/>
    <x v="4"/>
    <x v="21"/>
    <x v="8"/>
    <s v="Multi-Year"/>
    <x v="1"/>
    <s v="N/A"/>
    <n v="0"/>
    <s v="Confirmed"/>
    <s v=""/>
    <x v="1"/>
    <x v="0"/>
    <m/>
    <x v="2"/>
    <x v="0"/>
    <m/>
    <n v="0"/>
    <x v="1"/>
    <s v="High"/>
    <n v="63748362.778827004"/>
  </r>
  <r>
    <x v="0"/>
    <x v="22"/>
    <x v="22"/>
    <x v="6"/>
    <x v="0"/>
    <x v="4"/>
    <x v="21"/>
    <x v="8"/>
    <s v="Multi-Year"/>
    <x v="1"/>
    <s v="N/A"/>
    <n v="0"/>
    <s v="Confirmed"/>
    <s v=""/>
    <x v="1"/>
    <x v="0"/>
    <m/>
    <x v="2"/>
    <x v="0"/>
    <m/>
    <n v="0"/>
    <x v="0"/>
    <s v="Low"/>
    <n v="313039649.45369786"/>
  </r>
  <r>
    <x v="0"/>
    <x v="23"/>
    <x v="23"/>
    <x v="5"/>
    <x v="0"/>
    <x v="4"/>
    <x v="21"/>
    <x v="8"/>
    <s v="Multi-Year"/>
    <x v="1"/>
    <s v="N/A"/>
    <n v="0"/>
    <s v="Confirmed"/>
    <s v=""/>
    <x v="1"/>
    <x v="0"/>
    <m/>
    <x v="2"/>
    <x v="0"/>
    <m/>
    <n v="2"/>
    <x v="0"/>
    <s v="High"/>
    <n v="81361801.477472037"/>
  </r>
  <r>
    <x v="0"/>
    <x v="24"/>
    <x v="24"/>
    <x v="5"/>
    <x v="0"/>
    <x v="4"/>
    <x v="21"/>
    <x v="8"/>
    <s v="Multi-Year"/>
    <x v="1"/>
    <s v="N/A"/>
    <n v="0"/>
    <s v="Confirmed"/>
    <s v=""/>
    <x v="1"/>
    <x v="0"/>
    <m/>
    <x v="0"/>
    <x v="0"/>
    <m/>
    <n v="1"/>
    <x v="0"/>
    <s v="High"/>
    <s v=""/>
  </r>
  <r>
    <x v="0"/>
    <x v="25"/>
    <x v="25"/>
    <x v="5"/>
    <x v="0"/>
    <x v="4"/>
    <x v="21"/>
    <x v="8"/>
    <s v="Multi-Year"/>
    <x v="1"/>
    <s v="N/A"/>
    <n v="0"/>
    <s v="Confirmed"/>
    <s v=""/>
    <x v="1"/>
    <x v="0"/>
    <m/>
    <x v="0"/>
    <x v="0"/>
    <m/>
    <n v="1"/>
    <x v="0"/>
    <s v="High"/>
    <n v="76939306.715636879"/>
  </r>
  <r>
    <x v="0"/>
    <x v="26"/>
    <x v="26"/>
    <x v="4"/>
    <x v="0"/>
    <x v="4"/>
    <x v="21"/>
    <x v="8"/>
    <s v="Multi-Year"/>
    <x v="1"/>
    <s v="N/A"/>
    <n v="0"/>
    <s v="Confirmed"/>
    <s v=""/>
    <x v="1"/>
    <x v="0"/>
    <m/>
    <x v="3"/>
    <x v="1"/>
    <m/>
    <n v="0"/>
    <x v="0"/>
    <s v=""/>
    <n v="13859708717.682571"/>
  </r>
  <r>
    <x v="0"/>
    <x v="27"/>
    <x v="27"/>
    <x v="6"/>
    <x v="0"/>
    <x v="4"/>
    <x v="21"/>
    <x v="8"/>
    <s v="Multi-Year"/>
    <x v="1"/>
    <s v="N/A"/>
    <n v="0"/>
    <s v="Confirmed"/>
    <s v=""/>
    <x v="1"/>
    <x v="0"/>
    <m/>
    <x v="1"/>
    <x v="1"/>
    <m/>
    <n v="0"/>
    <x v="0"/>
    <s v=""/>
    <n v="403567160707.7016"/>
  </r>
  <r>
    <x v="0"/>
    <x v="28"/>
    <x v="28"/>
    <x v="4"/>
    <x v="0"/>
    <x v="4"/>
    <x v="21"/>
    <x v="8"/>
    <s v="Multi-Year"/>
    <x v="1"/>
    <s v="N/A"/>
    <n v="0"/>
    <s v="Confirmed"/>
    <s v=""/>
    <x v="1"/>
    <x v="0"/>
    <m/>
    <x v="1"/>
    <x v="1"/>
    <m/>
    <n v="0"/>
    <x v="0"/>
    <s v=""/>
    <n v="18250225995.972618"/>
  </r>
  <r>
    <x v="0"/>
    <x v="29"/>
    <x v="29"/>
    <x v="3"/>
    <x v="0"/>
    <x v="4"/>
    <x v="21"/>
    <x v="8"/>
    <s v="Multi-Year"/>
    <x v="1"/>
    <s v="N/A"/>
    <n v="0"/>
    <s v="Confirmed"/>
    <s v=""/>
    <x v="1"/>
    <x v="0"/>
    <m/>
    <x v="2"/>
    <x v="0"/>
    <m/>
    <n v="0"/>
    <x v="1"/>
    <s v="Moderate"/>
    <n v="5027591.1682657599"/>
  </r>
  <r>
    <x v="0"/>
    <x v="30"/>
    <x v="30"/>
    <x v="5"/>
    <x v="0"/>
    <x v="4"/>
    <x v="21"/>
    <x v="8"/>
    <s v="Multi-Year"/>
    <x v="1"/>
    <s v="N/A"/>
    <n v="0"/>
    <s v="Confirmed"/>
    <s v=""/>
    <x v="1"/>
    <x v="0"/>
    <m/>
    <x v="0"/>
    <x v="0"/>
    <m/>
    <n v="3"/>
    <x v="0"/>
    <s v="Moderate"/>
    <n v="234645958.63289919"/>
  </r>
  <r>
    <x v="0"/>
    <x v="31"/>
    <x v="31"/>
    <x v="5"/>
    <x v="0"/>
    <x v="4"/>
    <x v="21"/>
    <x v="8"/>
    <s v="Multi-Year"/>
    <x v="1"/>
    <s v="N/A"/>
    <n v="0"/>
    <s v="Confirmed"/>
    <s v=""/>
    <x v="1"/>
    <x v="0"/>
    <m/>
    <x v="2"/>
    <x v="0"/>
    <m/>
    <n v="2"/>
    <x v="0"/>
    <s v="In distress"/>
    <n v="91590910.247314155"/>
  </r>
  <r>
    <x v="0"/>
    <x v="32"/>
    <x v="32"/>
    <x v="6"/>
    <x v="0"/>
    <x v="4"/>
    <x v="21"/>
    <x v="8"/>
    <s v="Multi-Year"/>
    <x v="1"/>
    <s v="N/A"/>
    <n v="0"/>
    <s v="Confirmed"/>
    <s v=""/>
    <x v="1"/>
    <x v="0"/>
    <m/>
    <x v="4"/>
    <x v="1"/>
    <m/>
    <n v="0"/>
    <x v="1"/>
    <s v="N/A"/>
    <n v="8560012.8840167802"/>
  </r>
  <r>
    <x v="0"/>
    <x v="33"/>
    <x v="33"/>
    <x v="4"/>
    <x v="0"/>
    <x v="4"/>
    <x v="21"/>
    <x v="8"/>
    <s v="Multi-Year"/>
    <x v="1"/>
    <s v="N/A"/>
    <n v="0"/>
    <s v="Confirmed"/>
    <s v=""/>
    <x v="1"/>
    <x v="0"/>
    <m/>
    <x v="1"/>
    <x v="1"/>
    <m/>
    <n v="0"/>
    <x v="0"/>
    <s v="N/A"/>
    <n v="3292372960.3962669"/>
  </r>
  <r>
    <x v="0"/>
    <x v="34"/>
    <x v="34"/>
    <x v="5"/>
    <x v="0"/>
    <x v="4"/>
    <x v="21"/>
    <x v="8"/>
    <s v="Multi-Year"/>
    <x v="1"/>
    <s v="N/A"/>
    <n v="675541"/>
    <s v="Confirmed"/>
    <s v=""/>
    <x v="1"/>
    <x v="0"/>
    <m/>
    <x v="2"/>
    <x v="0"/>
    <m/>
    <n v="0"/>
    <x v="0"/>
    <s v="Moderate"/>
    <n v="519209981.22981054"/>
  </r>
  <r>
    <x v="0"/>
    <x v="35"/>
    <x v="35"/>
    <x v="1"/>
    <x v="0"/>
    <x v="4"/>
    <x v="21"/>
    <x v="8"/>
    <s v="Multi-Year"/>
    <x v="1"/>
    <s v="N/A"/>
    <n v="0"/>
    <s v="Confirmed"/>
    <s v=""/>
    <x v="1"/>
    <x v="0"/>
    <m/>
    <x v="3"/>
    <x v="1"/>
    <m/>
    <n v="0"/>
    <x v="0"/>
    <s v=""/>
    <n v="3464739907.1604805"/>
  </r>
  <r>
    <x v="0"/>
    <x v="36"/>
    <x v="36"/>
    <x v="4"/>
    <x v="0"/>
    <x v="4"/>
    <x v="21"/>
    <x v="8"/>
    <s v="Multi-Year"/>
    <x v="1"/>
    <s v="N/A"/>
    <n v="0"/>
    <s v="Confirmed"/>
    <s v=""/>
    <x v="1"/>
    <x v="0"/>
    <m/>
    <x v="1"/>
    <x v="1"/>
    <m/>
    <n v="0"/>
    <x v="1"/>
    <s v=""/>
    <n v="9948521252.2569065"/>
  </r>
  <r>
    <x v="0"/>
    <x v="37"/>
    <x v="37"/>
    <x v="2"/>
    <x v="0"/>
    <x v="4"/>
    <x v="21"/>
    <x v="8"/>
    <s v="Multi-Year"/>
    <x v="1"/>
    <s v="N/A"/>
    <n v="0"/>
    <s v="Confirmed"/>
    <s v=""/>
    <x v="1"/>
    <x v="0"/>
    <m/>
    <x v="2"/>
    <x v="0"/>
    <m/>
    <n v="1"/>
    <x v="0"/>
    <s v="High"/>
    <n v="33679192.765657313"/>
  </r>
  <r>
    <x v="0"/>
    <x v="38"/>
    <x v="38"/>
    <x v="4"/>
    <x v="0"/>
    <x v="4"/>
    <x v="21"/>
    <x v="8"/>
    <s v="Multi-Year"/>
    <x v="1"/>
    <s v="N/A"/>
    <n v="0"/>
    <s v="Confirmed"/>
    <s v=""/>
    <x v="1"/>
    <x v="0"/>
    <m/>
    <x v="1"/>
    <x v="0"/>
    <m/>
    <n v="0"/>
    <x v="1"/>
    <s v="…"/>
    <n v="22784494.365742501"/>
  </r>
  <r>
    <x v="0"/>
    <x v="39"/>
    <x v="39"/>
    <x v="4"/>
    <x v="0"/>
    <x v="4"/>
    <x v="21"/>
    <x v="8"/>
    <s v="Multi-Year"/>
    <x v="1"/>
    <s v="N/A"/>
    <n v="0"/>
    <s v="Confirmed"/>
    <s v=""/>
    <x v="1"/>
    <x v="0"/>
    <m/>
    <x v="1"/>
    <x v="1"/>
    <m/>
    <n v="0"/>
    <x v="1"/>
    <s v=""/>
    <n v="2173208011.4858823"/>
  </r>
  <r>
    <x v="0"/>
    <x v="40"/>
    <x v="40"/>
    <x v="4"/>
    <x v="0"/>
    <x v="4"/>
    <x v="21"/>
    <x v="8"/>
    <s v="Multi-Year"/>
    <x v="1"/>
    <s v="N/A"/>
    <n v="0"/>
    <s v="Confirmed"/>
    <s v=""/>
    <x v="1"/>
    <x v="0"/>
    <m/>
    <x v="1"/>
    <x v="1"/>
    <m/>
    <n v="0"/>
    <x v="0"/>
    <s v="N/A"/>
    <n v="4585736158.8323269"/>
  </r>
  <r>
    <x v="0"/>
    <x v="41"/>
    <x v="41"/>
    <x v="2"/>
    <x v="0"/>
    <x v="4"/>
    <x v="21"/>
    <x v="8"/>
    <s v="Multi-Year"/>
    <x v="1"/>
    <s v="N/A"/>
    <n v="0"/>
    <s v="Confirmed"/>
    <s v=""/>
    <x v="1"/>
    <x v="0"/>
    <m/>
    <x v="2"/>
    <x v="0"/>
    <m/>
    <n v="0"/>
    <x v="0"/>
    <s v="N/A"/>
    <n v="3550291584.8645592"/>
  </r>
  <r>
    <x v="0"/>
    <x v="42"/>
    <x v="42"/>
    <x v="4"/>
    <x v="0"/>
    <x v="4"/>
    <x v="21"/>
    <x v="8"/>
    <s v="Multi-Year"/>
    <x v="1"/>
    <s v="N/A"/>
    <n v="0"/>
    <s v="Confirmed"/>
    <s v=""/>
    <x v="1"/>
    <x v="0"/>
    <m/>
    <x v="2"/>
    <x v="0"/>
    <m/>
    <n v="0"/>
    <x v="0"/>
    <s v="N/A"/>
    <n v="1182840319.0410969"/>
  </r>
  <r>
    <x v="0"/>
    <x v="43"/>
    <x v="43"/>
    <x v="4"/>
    <x v="0"/>
    <x v="4"/>
    <x v="21"/>
    <x v="8"/>
    <s v="Multi-Year"/>
    <x v="1"/>
    <s v="N/A"/>
    <n v="0"/>
    <s v="Confirmed"/>
    <s v=""/>
    <x v="1"/>
    <x v="0"/>
    <m/>
    <x v="1"/>
    <x v="1"/>
    <m/>
    <n v="0"/>
    <x v="0"/>
    <s v=""/>
    <n v="81728347.604567245"/>
  </r>
  <r>
    <x v="0"/>
    <x v="44"/>
    <x v="44"/>
    <x v="3"/>
    <x v="0"/>
    <x v="4"/>
    <x v="21"/>
    <x v="8"/>
    <s v="Multi-Year"/>
    <x v="1"/>
    <s v="N/A"/>
    <n v="0"/>
    <s v="Confirmed"/>
    <s v=""/>
    <x v="1"/>
    <x v="0"/>
    <m/>
    <x v="0"/>
    <x v="0"/>
    <m/>
    <n v="2"/>
    <x v="0"/>
    <s v="N/A"/>
    <n v="12787914.977715338"/>
  </r>
  <r>
    <x v="0"/>
    <x v="45"/>
    <x v="45"/>
    <x v="3"/>
    <x v="0"/>
    <x v="4"/>
    <x v="21"/>
    <x v="8"/>
    <s v="Multi-Year"/>
    <x v="1"/>
    <s v="N/A"/>
    <n v="401732"/>
    <s v="Confirmed"/>
    <s v=""/>
    <x v="1"/>
    <x v="0"/>
    <m/>
    <x v="2"/>
    <x v="0"/>
    <m/>
    <n v="2"/>
    <x v="0"/>
    <s v="N/A"/>
    <n v="101271737.65410839"/>
  </r>
  <r>
    <x v="0"/>
    <x v="46"/>
    <x v="46"/>
    <x v="3"/>
    <x v="0"/>
    <x v="4"/>
    <x v="21"/>
    <x v="8"/>
    <s v="Multi-Year"/>
    <x v="1"/>
    <s v="N/A"/>
    <n v="1101933"/>
    <s v="Confirmed"/>
    <s v=""/>
    <x v="1"/>
    <x v="0"/>
    <m/>
    <x v="0"/>
    <x v="0"/>
    <m/>
    <n v="3"/>
    <x v="0"/>
    <s v="High"/>
    <n v="618344226.71759331"/>
  </r>
  <r>
    <x v="0"/>
    <x v="47"/>
    <x v="47"/>
    <x v="6"/>
    <x v="0"/>
    <x v="4"/>
    <x v="21"/>
    <x v="8"/>
    <s v="Multi-Year"/>
    <x v="1"/>
    <s v="N/A"/>
    <n v="0"/>
    <s v="Confirmed"/>
    <s v=""/>
    <x v="1"/>
    <x v="0"/>
    <m/>
    <x v="1"/>
    <x v="0"/>
    <m/>
    <n v="0"/>
    <x v="1"/>
    <s v="…"/>
    <n v="129483872.95906857"/>
  </r>
  <r>
    <x v="0"/>
    <x v="48"/>
    <x v="48"/>
    <x v="5"/>
    <x v="0"/>
    <x v="4"/>
    <x v="21"/>
    <x v="8"/>
    <s v="Multi-Year"/>
    <x v="1"/>
    <s v="N/A"/>
    <n v="0"/>
    <s v="Confirmed"/>
    <s v=""/>
    <x v="1"/>
    <x v="0"/>
    <m/>
    <x v="1"/>
    <x v="1"/>
    <m/>
    <n v="0"/>
    <x v="0"/>
    <s v="N/A"/>
    <n v="271184658.35014349"/>
  </r>
  <r>
    <x v="0"/>
    <x v="49"/>
    <x v="49"/>
    <x v="5"/>
    <x v="0"/>
    <x v="4"/>
    <x v="21"/>
    <x v="8"/>
    <s v="Multi-Year"/>
    <x v="1"/>
    <s v="N/A"/>
    <n v="0"/>
    <s v="Confirmed"/>
    <s v=""/>
    <x v="1"/>
    <x v="0"/>
    <m/>
    <x v="0"/>
    <x v="0"/>
    <m/>
    <n v="0"/>
    <x v="0"/>
    <s v="High"/>
    <n v="15455265.086884515"/>
  </r>
  <r>
    <x v="0"/>
    <x v="50"/>
    <x v="50"/>
    <x v="1"/>
    <x v="0"/>
    <x v="4"/>
    <x v="21"/>
    <x v="8"/>
    <s v="Multi-Year"/>
    <x v="1"/>
    <s v="N/A"/>
    <n v="0"/>
    <s v="Confirmed"/>
    <s v=""/>
    <x v="1"/>
    <x v="0"/>
    <m/>
    <x v="1"/>
    <x v="1"/>
    <m/>
    <n v="0"/>
    <x v="0"/>
    <s v="N/A"/>
    <n v="494021502.525527"/>
  </r>
  <r>
    <x v="0"/>
    <x v="51"/>
    <x v="51"/>
    <x v="5"/>
    <x v="0"/>
    <x v="4"/>
    <x v="21"/>
    <x v="8"/>
    <s v="Multi-Year"/>
    <x v="1"/>
    <s v="N/A"/>
    <n v="608549"/>
    <s v="Confirmed"/>
    <s v=""/>
    <x v="1"/>
    <x v="0"/>
    <m/>
    <x v="2"/>
    <x v="0"/>
    <m/>
    <n v="0"/>
    <x v="0"/>
    <s v="High"/>
    <n v="902005621.73836684"/>
  </r>
  <r>
    <x v="0"/>
    <x v="52"/>
    <x v="52"/>
    <x v="4"/>
    <x v="0"/>
    <x v="4"/>
    <x v="21"/>
    <x v="8"/>
    <s v="Multi-Year"/>
    <x v="1"/>
    <s v="N/A"/>
    <n v="0"/>
    <s v="Confirmed"/>
    <s v=""/>
    <x v="1"/>
    <x v="0"/>
    <m/>
    <x v="1"/>
    <x v="0"/>
    <m/>
    <n v="0"/>
    <x v="1"/>
    <s v="In distress"/>
    <n v="20201670.142996579"/>
  </r>
  <r>
    <x v="0"/>
    <x v="53"/>
    <x v="53"/>
    <x v="4"/>
    <x v="0"/>
    <x v="4"/>
    <x v="21"/>
    <x v="8"/>
    <s v="Multi-Year"/>
    <x v="1"/>
    <s v="N/A"/>
    <n v="0"/>
    <s v="Confirmed"/>
    <s v=""/>
    <x v="1"/>
    <x v="0"/>
    <m/>
    <x v="1"/>
    <x v="1"/>
    <m/>
    <n v="0"/>
    <x v="0"/>
    <s v=""/>
    <n v="1612434649.6948864"/>
  </r>
  <r>
    <x v="0"/>
    <x v="54"/>
    <x v="54"/>
    <x v="5"/>
    <x v="0"/>
    <x v="4"/>
    <x v="21"/>
    <x v="8"/>
    <s v="Multi-Year"/>
    <x v="1"/>
    <s v="N/A"/>
    <n v="0"/>
    <s v="Confirmed"/>
    <s v=""/>
    <x v="1"/>
    <x v="0"/>
    <m/>
    <x v="0"/>
    <x v="0"/>
    <m/>
    <n v="0"/>
    <x v="0"/>
    <s v="Moderate"/>
    <n v="78203134.118229344"/>
  </r>
  <r>
    <x v="0"/>
    <x v="55"/>
    <x v="55"/>
    <x v="5"/>
    <x v="0"/>
    <x v="4"/>
    <x v="21"/>
    <x v="8"/>
    <s v="Multi-Year"/>
    <x v="1"/>
    <s v="N/A"/>
    <n v="0"/>
    <s v="Confirmed"/>
    <s v=""/>
    <x v="1"/>
    <x v="0"/>
    <m/>
    <x v="0"/>
    <x v="0"/>
    <m/>
    <n v="2"/>
    <x v="1"/>
    <s v="High"/>
    <n v="9151637.7411015611"/>
  </r>
  <r>
    <x v="0"/>
    <x v="56"/>
    <x v="56"/>
    <x v="4"/>
    <x v="0"/>
    <x v="4"/>
    <x v="21"/>
    <x v="8"/>
    <s v="Multi-Year"/>
    <x v="1"/>
    <s v="N/A"/>
    <n v="0"/>
    <s v="Confirmed"/>
    <s v=""/>
    <x v="1"/>
    <x v="0"/>
    <m/>
    <x v="1"/>
    <x v="0"/>
    <m/>
    <n v="0"/>
    <x v="1"/>
    <s v="Moderate"/>
    <n v="142455920.02856269"/>
  </r>
  <r>
    <x v="0"/>
    <x v="57"/>
    <x v="57"/>
    <x v="4"/>
    <x v="0"/>
    <x v="4"/>
    <x v="21"/>
    <x v="8"/>
    <s v="Multi-Year"/>
    <x v="1"/>
    <s v="N/A"/>
    <n v="0"/>
    <s v="Confirmed"/>
    <s v=""/>
    <x v="1"/>
    <x v="0"/>
    <m/>
    <x v="2"/>
    <x v="0"/>
    <m/>
    <n v="1"/>
    <x v="1"/>
    <s v="High"/>
    <n v="85611818.171245083"/>
  </r>
  <r>
    <x v="0"/>
    <x v="58"/>
    <x v="58"/>
    <x v="4"/>
    <x v="0"/>
    <x v="4"/>
    <x v="21"/>
    <x v="8"/>
    <s v="Multi-Year"/>
    <x v="1"/>
    <s v="N/A"/>
    <n v="0"/>
    <s v="Confirmed"/>
    <s v=""/>
    <x v="1"/>
    <x v="0"/>
    <m/>
    <x v="2"/>
    <x v="0"/>
    <m/>
    <n v="0"/>
    <x v="0"/>
    <s v="Low"/>
    <n v="680289736.30082119"/>
  </r>
  <r>
    <x v="0"/>
    <x v="59"/>
    <x v="59"/>
    <x v="0"/>
    <x v="0"/>
    <x v="4"/>
    <x v="21"/>
    <x v="8"/>
    <s v="Multi-Year"/>
    <x v="1"/>
    <s v="N/A"/>
    <n v="0"/>
    <s v="Confirmed"/>
    <s v=""/>
    <x v="1"/>
    <x v="0"/>
    <m/>
    <x v="2"/>
    <x v="0"/>
    <m/>
    <n v="0"/>
    <x v="0"/>
    <s v="N/A"/>
    <n v="26554332750.47023"/>
  </r>
  <r>
    <x v="0"/>
    <x v="60"/>
    <x v="60"/>
    <x v="6"/>
    <x v="0"/>
    <x v="4"/>
    <x v="21"/>
    <x v="8"/>
    <s v="Multi-Year"/>
    <x v="1"/>
    <s v="N/A"/>
    <n v="0"/>
    <s v="Confirmed"/>
    <s v=""/>
    <x v="1"/>
    <x v="0"/>
    <m/>
    <x v="2"/>
    <x v="0"/>
    <m/>
    <n v="0"/>
    <x v="0"/>
    <s v="N/A"/>
    <n v="14745961064.890842"/>
  </r>
  <r>
    <x v="0"/>
    <x v="61"/>
    <x v="61"/>
    <x v="2"/>
    <x v="0"/>
    <x v="4"/>
    <x v="21"/>
    <x v="8"/>
    <s v="Multi-Year"/>
    <x v="1"/>
    <s v="N/A"/>
    <n v="0"/>
    <s v="Confirmed"/>
    <s v=""/>
    <x v="1"/>
    <x v="0"/>
    <m/>
    <x v="2"/>
    <x v="1"/>
    <m/>
    <n v="0"/>
    <x v="0"/>
    <s v="N/A"/>
    <n v="18194076299.786381"/>
  </r>
  <r>
    <x v="0"/>
    <x v="62"/>
    <x v="62"/>
    <x v="2"/>
    <x v="0"/>
    <x v="4"/>
    <x v="21"/>
    <x v="8"/>
    <s v="Multi-Year"/>
    <x v="1"/>
    <s v="N/A"/>
    <n v="0"/>
    <s v="Confirmed"/>
    <s v=""/>
    <x v="1"/>
    <x v="0"/>
    <m/>
    <x v="1"/>
    <x v="1"/>
    <m/>
    <n v="0"/>
    <x v="0"/>
    <s v="N/A"/>
    <n v="4428819387.769825"/>
  </r>
  <r>
    <x v="0"/>
    <x v="63"/>
    <x v="63"/>
    <x v="4"/>
    <x v="0"/>
    <x v="4"/>
    <x v="21"/>
    <x v="8"/>
    <s v="Multi-Year"/>
    <x v="1"/>
    <s v="N/A"/>
    <n v="0"/>
    <s v="Confirmed"/>
    <s v=""/>
    <x v="1"/>
    <x v="0"/>
    <m/>
    <x v="1"/>
    <x v="1"/>
    <m/>
    <n v="0"/>
    <x v="1"/>
    <s v=""/>
    <n v="611739560.62679195"/>
  </r>
  <r>
    <x v="0"/>
    <x v="64"/>
    <x v="64"/>
    <x v="2"/>
    <x v="0"/>
    <x v="4"/>
    <x v="21"/>
    <x v="8"/>
    <s v="Multi-Year"/>
    <x v="1"/>
    <s v="N/A"/>
    <n v="0"/>
    <s v="Confirmed"/>
    <s v=""/>
    <x v="1"/>
    <x v="0"/>
    <m/>
    <x v="1"/>
    <x v="1"/>
    <m/>
    <n v="0"/>
    <x v="0"/>
    <s v="N/A"/>
    <n v="1617913383.0481031"/>
  </r>
  <r>
    <x v="0"/>
    <x v="65"/>
    <x v="65"/>
    <x v="1"/>
    <x v="0"/>
    <x v="4"/>
    <x v="21"/>
    <x v="8"/>
    <s v="Multi-Year"/>
    <x v="1"/>
    <s v="N/A"/>
    <n v="0"/>
    <s v="Confirmed"/>
    <s v=""/>
    <x v="1"/>
    <x v="0"/>
    <m/>
    <x v="1"/>
    <x v="1"/>
    <m/>
    <n v="0"/>
    <x v="0"/>
    <s v=""/>
    <n v="3074419112.4562683"/>
  </r>
  <r>
    <x v="0"/>
    <x v="66"/>
    <x v="66"/>
    <x v="3"/>
    <x v="0"/>
    <x v="4"/>
    <x v="21"/>
    <x v="8"/>
    <s v="Multi-Year"/>
    <x v="1"/>
    <s v="N/A"/>
    <n v="0"/>
    <s v="Confirmed"/>
    <s v=""/>
    <x v="1"/>
    <x v="0"/>
    <m/>
    <x v="2"/>
    <x v="0"/>
    <m/>
    <n v="0"/>
    <x v="0"/>
    <s v="High"/>
    <n v="1914014279.8929913"/>
  </r>
  <r>
    <x v="0"/>
    <x v="67"/>
    <x v="67"/>
    <x v="6"/>
    <x v="0"/>
    <x v="4"/>
    <x v="21"/>
    <x v="8"/>
    <s v="Multi-Year"/>
    <x v="1"/>
    <s v="N/A"/>
    <n v="0"/>
    <s v="Confirmed"/>
    <s v=""/>
    <x v="1"/>
    <x v="0"/>
    <m/>
    <x v="2"/>
    <x v="0"/>
    <m/>
    <n v="0"/>
    <x v="1"/>
    <s v="High"/>
    <n v="17422005.762907442"/>
  </r>
  <r>
    <x v="0"/>
    <x v="68"/>
    <x v="68"/>
    <x v="6"/>
    <x v="0"/>
    <x v="4"/>
    <x v="21"/>
    <x v="8"/>
    <s v="Multi-Year"/>
    <x v="1"/>
    <s v="N/A"/>
    <n v="0"/>
    <s v="Confirmed"/>
    <s v=""/>
    <x v="1"/>
    <x v="0"/>
    <m/>
    <x v="0"/>
    <x v="0"/>
    <m/>
    <n v="0"/>
    <x v="0"/>
    <s v="N/A"/>
    <s v=""/>
  </r>
  <r>
    <x v="0"/>
    <x v="69"/>
    <x v="69"/>
    <x v="1"/>
    <x v="0"/>
    <x v="4"/>
    <x v="21"/>
    <x v="8"/>
    <s v="Multi-Year"/>
    <x v="1"/>
    <s v="N/A"/>
    <n v="0"/>
    <s v="Confirmed"/>
    <s v=""/>
    <x v="1"/>
    <x v="0"/>
    <m/>
    <x v="1"/>
    <x v="0"/>
    <m/>
    <n v="0"/>
    <x v="0"/>
    <s v="…"/>
    <s v=""/>
  </r>
  <r>
    <x v="0"/>
    <x v="70"/>
    <x v="70"/>
    <x v="1"/>
    <x v="0"/>
    <x v="4"/>
    <x v="21"/>
    <x v="8"/>
    <s v="Multi-Year"/>
    <x v="1"/>
    <s v="N/A"/>
    <n v="0"/>
    <s v="Confirmed"/>
    <s v=""/>
    <x v="1"/>
    <x v="0"/>
    <m/>
    <x v="2"/>
    <x v="0"/>
    <m/>
    <n v="2"/>
    <x v="0"/>
    <s v="Moderate"/>
    <n v="231506834.84347546"/>
  </r>
  <r>
    <x v="0"/>
    <x v="71"/>
    <x v="71"/>
    <x v="6"/>
    <x v="0"/>
    <x v="4"/>
    <x v="21"/>
    <x v="8"/>
    <s v="Multi-Year"/>
    <x v="1"/>
    <s v="N/A"/>
    <n v="0"/>
    <s v="Confirmed"/>
    <s v=""/>
    <x v="1"/>
    <x v="0"/>
    <m/>
    <x v="2"/>
    <x v="0"/>
    <m/>
    <n v="0"/>
    <x v="0"/>
    <s v="High"/>
    <n v="156059428.62944782"/>
  </r>
  <r>
    <x v="0"/>
    <x v="72"/>
    <x v="72"/>
    <x v="2"/>
    <x v="0"/>
    <x v="4"/>
    <x v="21"/>
    <x v="8"/>
    <s v="Multi-Year"/>
    <x v="1"/>
    <s v="N/A"/>
    <n v="0"/>
    <s v="Confirmed"/>
    <s v=""/>
    <x v="1"/>
    <x v="0"/>
    <m/>
    <x v="1"/>
    <x v="1"/>
    <m/>
    <n v="0"/>
    <x v="0"/>
    <s v="N/A"/>
    <n v="2355391507.1635861"/>
  </r>
  <r>
    <x v="0"/>
    <x v="73"/>
    <x v="73"/>
    <x v="3"/>
    <x v="0"/>
    <x v="4"/>
    <x v="21"/>
    <x v="8"/>
    <s v="Multi-Year"/>
    <x v="1"/>
    <s v="N/A"/>
    <n v="0"/>
    <s v="Confirmed"/>
    <s v=""/>
    <x v="1"/>
    <x v="0"/>
    <m/>
    <x v="2"/>
    <x v="0"/>
    <m/>
    <n v="0"/>
    <x v="0"/>
    <s v="Moderate"/>
    <n v="152760919.7684873"/>
  </r>
  <r>
    <x v="0"/>
    <x v="74"/>
    <x v="74"/>
    <x v="5"/>
    <x v="0"/>
    <x v="4"/>
    <x v="21"/>
    <x v="8"/>
    <s v="Multi-Year"/>
    <x v="1"/>
    <s v="N/A"/>
    <n v="0"/>
    <s v="Confirmed"/>
    <s v=""/>
    <x v="1"/>
    <x v="0"/>
    <m/>
    <x v="0"/>
    <x v="0"/>
    <m/>
    <n v="0"/>
    <x v="0"/>
    <s v="High"/>
    <n v="55072006.864440605"/>
  </r>
  <r>
    <x v="0"/>
    <x v="75"/>
    <x v="75"/>
    <x v="2"/>
    <x v="0"/>
    <x v="4"/>
    <x v="21"/>
    <x v="8"/>
    <s v="Multi-Year"/>
    <x v="1"/>
    <s v="N/A"/>
    <n v="0"/>
    <s v="Confirmed"/>
    <s v=""/>
    <x v="1"/>
    <x v="0"/>
    <m/>
    <x v="1"/>
    <x v="1"/>
    <m/>
    <n v="0"/>
    <x v="0"/>
    <s v="N/A"/>
    <s v=""/>
  </r>
  <r>
    <x v="0"/>
    <x v="76"/>
    <x v="76"/>
    <x v="3"/>
    <x v="0"/>
    <x v="4"/>
    <x v="21"/>
    <x v="8"/>
    <s v="Multi-Year"/>
    <x v="1"/>
    <s v="N/A"/>
    <n v="0"/>
    <s v="Confirmed"/>
    <s v=""/>
    <x v="1"/>
    <x v="0"/>
    <m/>
    <x v="0"/>
    <x v="0"/>
    <m/>
    <n v="2"/>
    <x v="0"/>
    <s v="Moderate"/>
    <n v="206914157.05429548"/>
  </r>
  <r>
    <x v="0"/>
    <x v="77"/>
    <x v="77"/>
    <x v="3"/>
    <x v="0"/>
    <x v="4"/>
    <x v="21"/>
    <x v="8"/>
    <s v="Multi-Year"/>
    <x v="1"/>
    <s v="N/A"/>
    <n v="0"/>
    <s v="Confirmed"/>
    <s v=""/>
    <x v="1"/>
    <x v="0"/>
    <m/>
    <x v="0"/>
    <x v="0"/>
    <m/>
    <n v="2"/>
    <x v="0"/>
    <s v="High"/>
    <n v="185999915.02066413"/>
  </r>
  <r>
    <x v="0"/>
    <x v="78"/>
    <x v="78"/>
    <x v="6"/>
    <x v="0"/>
    <x v="4"/>
    <x v="21"/>
    <x v="8"/>
    <s v="Multi-Year"/>
    <x v="1"/>
    <s v="N/A"/>
    <n v="0"/>
    <s v="Confirmed"/>
    <s v=""/>
    <x v="1"/>
    <x v="0"/>
    <m/>
    <x v="1"/>
    <x v="1"/>
    <m/>
    <n v="0"/>
    <x v="0"/>
    <s v=""/>
    <n v="6893755763.2501726"/>
  </r>
  <r>
    <x v="0"/>
    <x v="79"/>
    <x v="79"/>
    <x v="0"/>
    <x v="0"/>
    <x v="4"/>
    <x v="21"/>
    <x v="8"/>
    <s v="Multi-Year"/>
    <x v="1"/>
    <s v="N/A"/>
    <n v="0"/>
    <s v="Confirmed"/>
    <s v=""/>
    <x v="1"/>
    <x v="0"/>
    <m/>
    <x v="1"/>
    <x v="0"/>
    <m/>
    <n v="0"/>
    <x v="1"/>
    <s v="High"/>
    <n v="354560231.58276606"/>
  </r>
  <r>
    <x v="0"/>
    <x v="80"/>
    <x v="80"/>
    <x v="5"/>
    <x v="0"/>
    <x v="4"/>
    <x v="21"/>
    <x v="8"/>
    <s v="Multi-Year"/>
    <x v="1"/>
    <s v="N/A"/>
    <n v="0"/>
    <s v="Confirmed"/>
    <s v=""/>
    <x v="1"/>
    <x v="0"/>
    <m/>
    <x v="0"/>
    <x v="0"/>
    <m/>
    <n v="1"/>
    <x v="0"/>
    <s v="Moderate"/>
    <n v="188169167.56540567"/>
  </r>
  <r>
    <x v="0"/>
    <x v="81"/>
    <x v="81"/>
    <x v="6"/>
    <x v="0"/>
    <x v="4"/>
    <x v="21"/>
    <x v="8"/>
    <s v="Multi-Year"/>
    <x v="1"/>
    <s v="N/A"/>
    <n v="0"/>
    <s v="Confirmed"/>
    <s v=""/>
    <x v="1"/>
    <x v="0"/>
    <m/>
    <x v="1"/>
    <x v="0"/>
    <m/>
    <n v="0"/>
    <x v="1"/>
    <s v=""/>
    <n v="16312106.556340856"/>
  </r>
  <r>
    <x v="0"/>
    <x v="82"/>
    <x v="82"/>
    <x v="5"/>
    <x v="0"/>
    <x v="4"/>
    <x v="21"/>
    <x v="8"/>
    <s v="Multi-Year"/>
    <x v="1"/>
    <s v="N/A"/>
    <n v="0"/>
    <s v="Confirmed"/>
    <s v=""/>
    <x v="1"/>
    <x v="0"/>
    <m/>
    <x v="2"/>
    <x v="0"/>
    <m/>
    <n v="2"/>
    <x v="0"/>
    <s v="High"/>
    <n v="86083833.534053758"/>
  </r>
  <r>
    <x v="0"/>
    <x v="83"/>
    <x v="83"/>
    <x v="3"/>
    <x v="0"/>
    <x v="4"/>
    <x v="21"/>
    <x v="8"/>
    <s v="Multi-Year"/>
    <x v="1"/>
    <s v="N/A"/>
    <n v="0"/>
    <s v="Confirmed"/>
    <s v=""/>
    <x v="1"/>
    <x v="0"/>
    <m/>
    <x v="1"/>
    <x v="1"/>
    <m/>
    <n v="0"/>
    <x v="1"/>
    <s v="N/A"/>
    <n v="357220835.93762809"/>
  </r>
  <r>
    <x v="0"/>
    <x v="84"/>
    <x v="84"/>
    <x v="4"/>
    <x v="0"/>
    <x v="4"/>
    <x v="21"/>
    <x v="8"/>
    <s v="Multi-Year"/>
    <x v="1"/>
    <s v="N/A"/>
    <n v="0"/>
    <s v="Confirmed"/>
    <s v=""/>
    <x v="1"/>
    <x v="0"/>
    <m/>
    <x v="1"/>
    <x v="1"/>
    <m/>
    <n v="0"/>
    <x v="0"/>
    <s v=""/>
    <n v="32831598153.796387"/>
  </r>
  <r>
    <x v="0"/>
    <x v="85"/>
    <x v="85"/>
    <x v="6"/>
    <x v="0"/>
    <x v="4"/>
    <x v="21"/>
    <x v="8"/>
    <s v="Multi-Year"/>
    <x v="1"/>
    <s v="N/A"/>
    <n v="0"/>
    <s v="Confirmed"/>
    <s v=""/>
    <x v="1"/>
    <x v="0"/>
    <m/>
    <x v="2"/>
    <x v="0"/>
    <m/>
    <n v="0"/>
    <x v="1"/>
    <s v="High"/>
    <n v="12329056.093798399"/>
  </r>
  <r>
    <x v="0"/>
    <x v="86"/>
    <x v="86"/>
    <x v="1"/>
    <x v="0"/>
    <x v="4"/>
    <x v="21"/>
    <x v="8"/>
    <s v="Multi-Year"/>
    <x v="1"/>
    <s v="N/A"/>
    <n v="0"/>
    <s v="Confirmed"/>
    <s v=""/>
    <x v="1"/>
    <x v="0"/>
    <m/>
    <x v="1"/>
    <x v="0"/>
    <m/>
    <n v="0"/>
    <x v="0"/>
    <s v="Low"/>
    <n v="426639742.85328001"/>
  </r>
  <r>
    <x v="0"/>
    <x v="87"/>
    <x v="87"/>
    <x v="6"/>
    <x v="0"/>
    <x v="4"/>
    <x v="21"/>
    <x v="8"/>
    <s v="Multi-Year"/>
    <x v="1"/>
    <s v="N/A"/>
    <n v="0"/>
    <s v="Confirmed"/>
    <s v=""/>
    <x v="1"/>
    <x v="0"/>
    <m/>
    <x v="2"/>
    <x v="0"/>
    <m/>
    <n v="0"/>
    <x v="0"/>
    <s v="…"/>
    <n v="288519671.85870522"/>
  </r>
  <r>
    <x v="0"/>
    <x v="88"/>
    <x v="88"/>
    <x v="1"/>
    <x v="0"/>
    <x v="4"/>
    <x v="21"/>
    <x v="8"/>
    <s v="Multi-Year"/>
    <x v="1"/>
    <s v="N/A"/>
    <n v="0"/>
    <s v="Confirmed"/>
    <s v=""/>
    <x v="1"/>
    <x v="0"/>
    <m/>
    <x v="1"/>
    <x v="1"/>
    <m/>
    <n v="0"/>
    <x v="0"/>
    <s v="N/A"/>
    <n v="275606560.78491527"/>
  </r>
  <r>
    <x v="0"/>
    <x v="89"/>
    <x v="89"/>
    <x v="2"/>
    <x v="0"/>
    <x v="4"/>
    <x v="21"/>
    <x v="8"/>
    <s v="Multi-Year"/>
    <x v="1"/>
    <s v="N/A"/>
    <n v="0"/>
    <s v="Confirmed"/>
    <s v=""/>
    <x v="1"/>
    <x v="0"/>
    <m/>
    <x v="2"/>
    <x v="0"/>
    <m/>
    <n v="0"/>
    <x v="0"/>
    <s v="N/A"/>
    <n v="2530937679.3725696"/>
  </r>
  <r>
    <x v="0"/>
    <x v="90"/>
    <x v="90"/>
    <x v="3"/>
    <x v="0"/>
    <x v="4"/>
    <x v="21"/>
    <x v="8"/>
    <s v="Multi-Year"/>
    <x v="1"/>
    <s v="N/A"/>
    <n v="0"/>
    <s v="Confirmed"/>
    <s v=""/>
    <x v="1"/>
    <x v="0"/>
    <m/>
    <x v="0"/>
    <x v="0"/>
    <m/>
    <n v="0"/>
    <x v="0"/>
    <s v="In distress"/>
    <n v="251432156.86255455"/>
  </r>
  <r>
    <x v="0"/>
    <x v="91"/>
    <x v="91"/>
    <x v="6"/>
    <x v="0"/>
    <x v="4"/>
    <x v="21"/>
    <x v="8"/>
    <s v="Multi-Year"/>
    <x v="1"/>
    <s v="N/A"/>
    <n v="0"/>
    <s v="Confirmed"/>
    <s v=""/>
    <x v="1"/>
    <x v="0"/>
    <m/>
    <x v="2"/>
    <x v="0"/>
    <m/>
    <n v="0"/>
    <x v="0"/>
    <s v="Low"/>
    <n v="471534500.60109437"/>
  </r>
  <r>
    <x v="0"/>
    <x v="92"/>
    <x v="92"/>
    <x v="3"/>
    <x v="0"/>
    <x v="4"/>
    <x v="21"/>
    <x v="8"/>
    <s v="Multi-Year"/>
    <x v="1"/>
    <s v="N/A"/>
    <n v="0"/>
    <s v="Confirmed"/>
    <s v=""/>
    <x v="1"/>
    <x v="0"/>
    <m/>
    <x v="1"/>
    <x v="1"/>
    <m/>
    <n v="0"/>
    <x v="0"/>
    <s v=""/>
    <n v="531677611.80447447"/>
  </r>
  <r>
    <x v="0"/>
    <x v="93"/>
    <x v="93"/>
    <x v="6"/>
    <x v="0"/>
    <x v="4"/>
    <x v="21"/>
    <x v="8"/>
    <s v="Multi-Year"/>
    <x v="1"/>
    <s v="N/A"/>
    <n v="0"/>
    <s v="Confirmed"/>
    <s v=""/>
    <x v="1"/>
    <x v="0"/>
    <m/>
    <x v="3"/>
    <x v="1"/>
    <m/>
    <n v="0"/>
    <x v="1"/>
    <s v=""/>
    <n v="8528751.6418357007"/>
  </r>
  <r>
    <x v="0"/>
    <x v="94"/>
    <x v="94"/>
    <x v="0"/>
    <x v="0"/>
    <x v="4"/>
    <x v="21"/>
    <x v="8"/>
    <s v="Multi-Year"/>
    <x v="1"/>
    <s v="N/A"/>
    <n v="0"/>
    <s v="Confirmed"/>
    <s v=""/>
    <x v="1"/>
    <x v="0"/>
    <m/>
    <x v="2"/>
    <x v="0"/>
    <m/>
    <n v="0"/>
    <x v="0"/>
    <s v="Low"/>
    <n v="407084543.19089872"/>
  </r>
  <r>
    <x v="0"/>
    <x v="95"/>
    <x v="95"/>
    <x v="4"/>
    <x v="0"/>
    <x v="4"/>
    <x v="21"/>
    <x v="8"/>
    <s v="Multi-Year"/>
    <x v="1"/>
    <s v="N/A"/>
    <n v="0"/>
    <s v="Confirmed"/>
    <s v=""/>
    <x v="1"/>
    <x v="0"/>
    <m/>
    <x v="2"/>
    <x v="0"/>
    <m/>
    <n v="0"/>
    <x v="0"/>
    <s v="Moderate"/>
    <n v="671998341.93592453"/>
  </r>
  <r>
    <x v="0"/>
    <x v="96"/>
    <x v="96"/>
    <x v="5"/>
    <x v="0"/>
    <x v="4"/>
    <x v="21"/>
    <x v="8"/>
    <s v="Multi-Year"/>
    <x v="1"/>
    <s v="N/A"/>
    <n v="0"/>
    <s v="Confirmed"/>
    <s v=""/>
    <x v="1"/>
    <x v="0"/>
    <m/>
    <x v="0"/>
    <x v="0"/>
    <m/>
    <n v="1"/>
    <x v="0"/>
    <s v="Moderate"/>
    <n v="226203289.67158964"/>
  </r>
  <r>
    <x v="0"/>
    <x v="97"/>
    <x v="97"/>
    <x v="5"/>
    <x v="0"/>
    <x v="4"/>
    <x v="21"/>
    <x v="8"/>
    <s v="Multi-Year"/>
    <x v="1"/>
    <s v="N/A"/>
    <n v="0"/>
    <s v="Confirmed"/>
    <s v=""/>
    <x v="1"/>
    <x v="0"/>
    <m/>
    <x v="2"/>
    <x v="0"/>
    <m/>
    <n v="3"/>
    <x v="0"/>
    <s v="…"/>
    <n v="2438881113.1244688"/>
  </r>
  <r>
    <x v="0"/>
    <x v="98"/>
    <x v="98"/>
    <x v="1"/>
    <x v="0"/>
    <x v="4"/>
    <x v="21"/>
    <x v="8"/>
    <s v="Multi-Year"/>
    <x v="1"/>
    <s v="N/A"/>
    <n v="0"/>
    <s v="Confirmed"/>
    <s v=""/>
    <x v="1"/>
    <x v="0"/>
    <m/>
    <x v="1"/>
    <x v="1"/>
    <m/>
    <n v="0"/>
    <x v="0"/>
    <s v=""/>
    <n v="476517795.73174149"/>
  </r>
  <r>
    <x v="0"/>
    <x v="99"/>
    <x v="99"/>
    <x v="0"/>
    <x v="0"/>
    <x v="4"/>
    <x v="21"/>
    <x v="8"/>
    <s v="Multi-Year"/>
    <x v="1"/>
    <s v="N/A"/>
    <n v="0"/>
    <s v="Confirmed"/>
    <s v=""/>
    <x v="1"/>
    <x v="0"/>
    <m/>
    <x v="2"/>
    <x v="0"/>
    <m/>
    <n v="0"/>
    <x v="0"/>
    <s v="…"/>
    <n v="3233351297.7679496"/>
  </r>
  <r>
    <x v="0"/>
    <x v="100"/>
    <x v="100"/>
    <x v="4"/>
    <x v="0"/>
    <x v="4"/>
    <x v="21"/>
    <x v="8"/>
    <s v="Multi-Year"/>
    <x v="1"/>
    <s v="N/A"/>
    <n v="0"/>
    <s v="Confirmed"/>
    <s v=""/>
    <x v="1"/>
    <x v="0"/>
    <m/>
    <x v="3"/>
    <x v="1"/>
    <m/>
    <n v="0"/>
    <x v="1"/>
    <s v=""/>
    <n v="18180646.808608256"/>
  </r>
  <r>
    <x v="0"/>
    <x v="101"/>
    <x v="101"/>
    <x v="4"/>
    <x v="0"/>
    <x v="4"/>
    <x v="21"/>
    <x v="8"/>
    <s v="Multi-Year"/>
    <x v="1"/>
    <s v="N/A"/>
    <n v="0"/>
    <s v="Confirmed"/>
    <s v=""/>
    <x v="1"/>
    <x v="0"/>
    <m/>
    <x v="1"/>
    <x v="1"/>
    <m/>
    <n v="0"/>
    <x v="0"/>
    <s v="N/A"/>
    <n v="3020530707.3485303"/>
  </r>
  <r>
    <x v="0"/>
    <x v="102"/>
    <x v="102"/>
    <x v="6"/>
    <x v="0"/>
    <x v="4"/>
    <x v="21"/>
    <x v="8"/>
    <s v="Multi-Year"/>
    <x v="1"/>
    <s v="N/A"/>
    <n v="0"/>
    <s v="Confirmed"/>
    <s v=""/>
    <x v="1"/>
    <x v="0"/>
    <m/>
    <x v="2"/>
    <x v="0"/>
    <m/>
    <n v="1"/>
    <x v="1"/>
    <s v="High"/>
    <n v="384406316.46074712"/>
  </r>
  <r>
    <x v="0"/>
    <x v="103"/>
    <x v="103"/>
    <x v="4"/>
    <x v="0"/>
    <x v="4"/>
    <x v="21"/>
    <x v="8"/>
    <s v="Multi-Year"/>
    <x v="1"/>
    <s v="N/A"/>
    <n v="0"/>
    <s v="Confirmed"/>
    <s v=""/>
    <x v="1"/>
    <x v="0"/>
    <m/>
    <x v="1"/>
    <x v="1"/>
    <m/>
    <n v="0"/>
    <x v="0"/>
    <s v=""/>
    <n v="1218747108.9554784"/>
  </r>
  <r>
    <x v="0"/>
    <x v="104"/>
    <x v="104"/>
    <x v="4"/>
    <x v="0"/>
    <x v="4"/>
    <x v="21"/>
    <x v="8"/>
    <s v="Multi-Year"/>
    <x v="1"/>
    <s v="N/A"/>
    <n v="0"/>
    <s v="Confirmed"/>
    <s v=""/>
    <x v="1"/>
    <x v="0"/>
    <m/>
    <x v="1"/>
    <x v="1"/>
    <m/>
    <n v="0"/>
    <x v="0"/>
    <s v=""/>
    <n v="7392665952.5895758"/>
  </r>
  <r>
    <x v="0"/>
    <x v="105"/>
    <x v="105"/>
    <x v="6"/>
    <x v="0"/>
    <x v="4"/>
    <x v="21"/>
    <x v="8"/>
    <s v="Multi-Year"/>
    <x v="1"/>
    <s v="N/A"/>
    <n v="0"/>
    <s v="Confirmed"/>
    <s v=""/>
    <x v="1"/>
    <x v="0"/>
    <m/>
    <x v="2"/>
    <x v="0"/>
    <m/>
    <n v="0"/>
    <x v="0"/>
    <s v="N/A"/>
    <n v="4754985988.6004429"/>
  </r>
  <r>
    <x v="0"/>
    <x v="106"/>
    <x v="106"/>
    <x v="1"/>
    <x v="0"/>
    <x v="4"/>
    <x v="21"/>
    <x v="8"/>
    <s v="Multi-Year"/>
    <x v="1"/>
    <s v="N/A"/>
    <n v="0"/>
    <s v="Confirmed"/>
    <s v=""/>
    <x v="1"/>
    <x v="0"/>
    <m/>
    <x v="3"/>
    <x v="1"/>
    <m/>
    <n v="0"/>
    <x v="0"/>
    <s v=""/>
    <n v="26422210443.037273"/>
  </r>
  <r>
    <x v="0"/>
    <x v="107"/>
    <x v="107"/>
    <x v="1"/>
    <x v="0"/>
    <x v="4"/>
    <x v="21"/>
    <x v="8"/>
    <s v="Multi-Year"/>
    <x v="1"/>
    <s v="N/A"/>
    <n v="0"/>
    <s v="Confirmed"/>
    <s v=""/>
    <x v="1"/>
    <x v="0"/>
    <m/>
    <x v="1"/>
    <x v="1"/>
    <m/>
    <n v="0"/>
    <x v="0"/>
    <s v=""/>
    <n v="10696495313.15033"/>
  </r>
  <r>
    <x v="0"/>
    <x v="108"/>
    <x v="108"/>
    <x v="1"/>
    <x v="0"/>
    <x v="4"/>
    <x v="21"/>
    <x v="8"/>
    <s v="Multi-Year"/>
    <x v="1"/>
    <s v="N/A"/>
    <n v="0"/>
    <s v="Confirmed"/>
    <s v=""/>
    <x v="1"/>
    <x v="0"/>
    <m/>
    <x v="1"/>
    <x v="1"/>
    <m/>
    <n v="0"/>
    <x v="0"/>
    <s v=""/>
    <n v="52769713433.240509"/>
  </r>
  <r>
    <x v="0"/>
    <x v="109"/>
    <x v="109"/>
    <x v="3"/>
    <x v="0"/>
    <x v="4"/>
    <x v="21"/>
    <x v="8"/>
    <s v="Multi-Year"/>
    <x v="1"/>
    <s v="N/A"/>
    <n v="0"/>
    <s v="Confirmed"/>
    <s v=""/>
    <x v="1"/>
    <x v="0"/>
    <m/>
    <x v="0"/>
    <x v="0"/>
    <m/>
    <n v="0"/>
    <x v="0"/>
    <s v="Moderate"/>
    <n v="225799814.51943746"/>
  </r>
  <r>
    <x v="0"/>
    <x v="110"/>
    <x v="110"/>
    <x v="6"/>
    <x v="0"/>
    <x v="4"/>
    <x v="21"/>
    <x v="8"/>
    <s v="Multi-Year"/>
    <x v="1"/>
    <s v="N/A"/>
    <n v="0"/>
    <s v="Confirmed"/>
    <s v=""/>
    <x v="1"/>
    <x v="0"/>
    <m/>
    <x v="2"/>
    <x v="0"/>
    <m/>
    <n v="0"/>
    <x v="1"/>
    <s v="High"/>
    <n v="32192988.027009469"/>
  </r>
  <r>
    <x v="0"/>
    <x v="111"/>
    <x v="111"/>
    <x v="5"/>
    <x v="0"/>
    <x v="4"/>
    <x v="21"/>
    <x v="8"/>
    <s v="Multi-Year"/>
    <x v="1"/>
    <s v="N/A"/>
    <n v="0"/>
    <s v="Confirmed"/>
    <s v=""/>
    <x v="1"/>
    <x v="0"/>
    <m/>
    <x v="2"/>
    <x v="0"/>
    <m/>
    <n v="0"/>
    <x v="1"/>
    <s v="In distress"/>
    <n v="11633535.136477679"/>
  </r>
  <r>
    <x v="0"/>
    <x v="112"/>
    <x v="112"/>
    <x v="5"/>
    <x v="0"/>
    <x v="4"/>
    <x v="21"/>
    <x v="8"/>
    <s v="Multi-Year"/>
    <x v="1"/>
    <s v="N/A"/>
    <n v="0"/>
    <s v="Confirmed"/>
    <s v=""/>
    <x v="1"/>
    <x v="0"/>
    <m/>
    <x v="2"/>
    <x v="0"/>
    <m/>
    <n v="2"/>
    <x v="0"/>
    <s v="Moderate"/>
    <n v="222008693.93354639"/>
  </r>
  <r>
    <x v="0"/>
    <x v="113"/>
    <x v="113"/>
    <x v="1"/>
    <x v="0"/>
    <x v="4"/>
    <x v="21"/>
    <x v="8"/>
    <s v="Multi-Year"/>
    <x v="1"/>
    <s v="N/A"/>
    <n v="0"/>
    <s v="Confirmed"/>
    <s v=""/>
    <x v="1"/>
    <x v="0"/>
    <m/>
    <x v="1"/>
    <x v="1"/>
    <m/>
    <n v="0"/>
    <x v="0"/>
    <s v=""/>
    <n v="2564993795.1894679"/>
  </r>
  <r>
    <x v="0"/>
    <x v="114"/>
    <x v="114"/>
    <x v="3"/>
    <x v="0"/>
    <x v="4"/>
    <x v="21"/>
    <x v="8"/>
    <s v="Multi-Year"/>
    <x v="1"/>
    <s v="N/A"/>
    <n v="0"/>
    <s v="Confirmed"/>
    <s v=""/>
    <x v="1"/>
    <x v="0"/>
    <m/>
    <x v="3"/>
    <x v="1"/>
    <m/>
    <n v="0"/>
    <x v="1"/>
    <s v="N/A"/>
    <n v="60237542.945069775"/>
  </r>
  <r>
    <x v="0"/>
    <x v="115"/>
    <x v="115"/>
    <x v="5"/>
    <x v="0"/>
    <x v="4"/>
    <x v="21"/>
    <x v="8"/>
    <s v="Multi-Year"/>
    <x v="1"/>
    <s v="N/A"/>
    <n v="0"/>
    <s v="Confirmed"/>
    <s v=""/>
    <x v="1"/>
    <x v="0"/>
    <m/>
    <x v="0"/>
    <x v="0"/>
    <m/>
    <n v="0"/>
    <x v="0"/>
    <s v="High"/>
    <n v="63738640.538260505"/>
  </r>
  <r>
    <x v="0"/>
    <x v="116"/>
    <x v="116"/>
    <x v="6"/>
    <x v="0"/>
    <x v="4"/>
    <x v="21"/>
    <x v="8"/>
    <s v="Multi-Year"/>
    <x v="1"/>
    <s v="N/A"/>
    <n v="0"/>
    <s v="Confirmed"/>
    <s v=""/>
    <x v="1"/>
    <x v="0"/>
    <m/>
    <x v="2"/>
    <x v="0"/>
    <m/>
    <n v="0"/>
    <x v="1"/>
    <s v="Moderate"/>
    <n v="49012774.055630356"/>
  </r>
  <r>
    <x v="0"/>
    <x v="117"/>
    <x v="117"/>
    <x v="3"/>
    <x v="0"/>
    <x v="4"/>
    <x v="21"/>
    <x v="8"/>
    <s v="Multi-Year"/>
    <x v="1"/>
    <s v="N/A"/>
    <n v="0"/>
    <s v="Confirmed"/>
    <s v=""/>
    <x v="1"/>
    <x v="0"/>
    <m/>
    <x v="0"/>
    <x v="0"/>
    <m/>
    <n v="1"/>
    <x v="0"/>
    <s v="In distress"/>
    <s v=""/>
  </r>
  <r>
    <x v="0"/>
    <x v="118"/>
    <x v="118"/>
    <x v="3"/>
    <x v="0"/>
    <x v="4"/>
    <x v="21"/>
    <x v="8"/>
    <s v="Multi-Year"/>
    <x v="1"/>
    <s v="N/A"/>
    <n v="0"/>
    <s v="Confirmed"/>
    <s v=""/>
    <x v="1"/>
    <x v="0"/>
    <m/>
    <x v="1"/>
    <x v="1"/>
    <m/>
    <n v="0"/>
    <x v="0"/>
    <s v="N/A"/>
    <n v="16429121142.784708"/>
  </r>
  <r>
    <x v="0"/>
    <x v="119"/>
    <x v="119"/>
    <x v="3"/>
    <x v="0"/>
    <x v="4"/>
    <x v="21"/>
    <x v="8"/>
    <s v="Multi-Year"/>
    <x v="1"/>
    <s v="N/A"/>
    <n v="0"/>
    <s v="Confirmed"/>
    <s v=""/>
    <x v="1"/>
    <x v="0"/>
    <m/>
    <x v="0"/>
    <x v="0"/>
    <m/>
    <n v="1"/>
    <x v="0"/>
    <s v="High"/>
    <n v="31684581.76217727"/>
  </r>
  <r>
    <x v="0"/>
    <x v="120"/>
    <x v="120"/>
    <x v="0"/>
    <x v="0"/>
    <x v="4"/>
    <x v="21"/>
    <x v="8"/>
    <s v="Multi-Year"/>
    <x v="1"/>
    <s v="N/A"/>
    <n v="0"/>
    <s v="Confirmed"/>
    <s v=""/>
    <x v="1"/>
    <x v="0"/>
    <m/>
    <x v="2"/>
    <x v="0"/>
    <m/>
    <n v="0"/>
    <x v="0"/>
    <s v="N/A"/>
    <n v="1373621563.5182886"/>
  </r>
  <r>
    <x v="0"/>
    <x v="121"/>
    <x v="121"/>
    <x v="4"/>
    <x v="0"/>
    <x v="4"/>
    <x v="21"/>
    <x v="8"/>
    <s v="Multi-Year"/>
    <x v="1"/>
    <s v="N/A"/>
    <n v="0"/>
    <s v="Confirmed"/>
    <s v=""/>
    <x v="1"/>
    <x v="0"/>
    <m/>
    <x v="3"/>
    <x v="1"/>
    <m/>
    <n v="0"/>
    <x v="1"/>
    <s v=""/>
    <n v="24214370.889062837"/>
  </r>
  <r>
    <x v="0"/>
    <x v="122"/>
    <x v="122"/>
    <x v="4"/>
    <x v="0"/>
    <x v="4"/>
    <x v="21"/>
    <x v="8"/>
    <s v="Multi-Year"/>
    <x v="1"/>
    <s v="N/A"/>
    <n v="0"/>
    <s v="Confirmed"/>
    <s v=""/>
    <x v="1"/>
    <x v="0"/>
    <m/>
    <x v="1"/>
    <x v="0"/>
    <m/>
    <n v="0"/>
    <x v="1"/>
    <s v="…"/>
    <n v="39941279.609447442"/>
  </r>
  <r>
    <x v="0"/>
    <x v="123"/>
    <x v="123"/>
    <x v="4"/>
    <x v="0"/>
    <x v="4"/>
    <x v="21"/>
    <x v="8"/>
    <s v="Multi-Year"/>
    <x v="1"/>
    <s v="N/A"/>
    <n v="0"/>
    <s v="Confirmed"/>
    <s v=""/>
    <x v="1"/>
    <x v="0"/>
    <m/>
    <x v="1"/>
    <x v="0"/>
    <m/>
    <n v="0"/>
    <x v="1"/>
    <s v="High"/>
    <n v="24761675.260059897"/>
  </r>
  <r>
    <x v="0"/>
    <x v="124"/>
    <x v="124"/>
    <x v="2"/>
    <x v="0"/>
    <x v="4"/>
    <x v="21"/>
    <x v="8"/>
    <s v="Multi-Year"/>
    <x v="1"/>
    <s v="N/A"/>
    <n v="0"/>
    <s v="Confirmed"/>
    <s v=""/>
    <x v="1"/>
    <x v="0"/>
    <m/>
    <x v="2"/>
    <x v="0"/>
    <m/>
    <n v="0"/>
    <x v="0"/>
    <s v="N/A"/>
    <s v=""/>
  </r>
  <r>
    <x v="0"/>
    <x v="125"/>
    <x v="125"/>
    <x v="2"/>
    <x v="0"/>
    <x v="4"/>
    <x v="21"/>
    <x v="8"/>
    <s v="Multi-Year"/>
    <x v="1"/>
    <s v="N/A"/>
    <n v="0"/>
    <s v="Confirmed"/>
    <s v=""/>
    <x v="1"/>
    <x v="0"/>
    <m/>
    <x v="0"/>
    <x v="0"/>
    <m/>
    <n v="1"/>
    <x v="0"/>
    <s v="N/A"/>
    <n v="577156172.71229994"/>
  </r>
  <r>
    <x v="0"/>
    <x v="126"/>
    <x v="126"/>
    <x v="6"/>
    <x v="0"/>
    <x v="4"/>
    <x v="21"/>
    <x v="8"/>
    <s v="Multi-Year"/>
    <x v="1"/>
    <s v="N/A"/>
    <n v="0"/>
    <s v="Confirmed"/>
    <s v=""/>
    <x v="1"/>
    <x v="0"/>
    <m/>
    <x v="1"/>
    <x v="1"/>
    <m/>
    <n v="0"/>
    <x v="1"/>
    <s v=""/>
    <n v="180052034.19851837"/>
  </r>
  <r>
    <x v="0"/>
    <x v="127"/>
    <x v="127"/>
    <x v="2"/>
    <x v="0"/>
    <x v="4"/>
    <x v="21"/>
    <x v="8"/>
    <s v="Multi-Year"/>
    <x v="1"/>
    <s v="N/A"/>
    <n v="0"/>
    <s v="Confirmed"/>
    <s v=""/>
    <x v="1"/>
    <x v="0"/>
    <m/>
    <x v="0"/>
    <x v="0"/>
    <m/>
    <n v="1"/>
    <x v="0"/>
    <s v="N/A"/>
    <s v=""/>
  </r>
  <r>
    <x v="0"/>
    <x v="128"/>
    <x v="128"/>
    <x v="1"/>
    <x v="0"/>
    <x v="4"/>
    <x v="21"/>
    <x v="8"/>
    <s v="Multi-Year"/>
    <x v="1"/>
    <s v="N/A"/>
    <n v="0"/>
    <s v="Confirmed"/>
    <s v=""/>
    <x v="1"/>
    <x v="0"/>
    <m/>
    <x v="2"/>
    <x v="0"/>
    <m/>
    <n v="0"/>
    <x v="0"/>
    <s v="High"/>
    <n v="147296124.32232863"/>
  </r>
  <r>
    <x v="0"/>
    <x v="129"/>
    <x v="129"/>
    <x v="3"/>
    <x v="0"/>
    <x v="4"/>
    <x v="21"/>
    <x v="8"/>
    <s v="Multi-Year"/>
    <x v="1"/>
    <s v="N/A"/>
    <n v="0"/>
    <s v="Confirmed"/>
    <s v=""/>
    <x v="1"/>
    <x v="0"/>
    <m/>
    <x v="2"/>
    <x v="0"/>
    <m/>
    <n v="0"/>
    <x v="0"/>
    <s v="…"/>
    <n v="890576536.83065879"/>
  </r>
  <r>
    <x v="0"/>
    <x v="130"/>
    <x v="130"/>
    <x v="6"/>
    <x v="0"/>
    <x v="4"/>
    <x v="21"/>
    <x v="8"/>
    <s v="Multi-Year"/>
    <x v="1"/>
    <s v="N/A"/>
    <n v="0"/>
    <s v="Confirmed"/>
    <s v=""/>
    <x v="1"/>
    <x v="0"/>
    <m/>
    <x v="1"/>
    <x v="1"/>
    <m/>
    <n v="0"/>
    <x v="0"/>
    <s v=""/>
    <n v="14611129792.346064"/>
  </r>
  <r>
    <x v="0"/>
    <x v="131"/>
    <x v="131"/>
    <x v="6"/>
    <x v="0"/>
    <x v="4"/>
    <x v="21"/>
    <x v="8"/>
    <s v="Multi-Year"/>
    <x v="1"/>
    <s v="N/A"/>
    <n v="0"/>
    <s v="Confirmed"/>
    <s v=""/>
    <x v="1"/>
    <x v="0"/>
    <m/>
    <x v="2"/>
    <x v="0"/>
    <m/>
    <n v="0"/>
    <x v="1"/>
    <s v="Low"/>
    <n v="72046877.233008593"/>
  </r>
  <r>
    <x v="0"/>
    <x v="132"/>
    <x v="132"/>
    <x v="5"/>
    <x v="0"/>
    <x v="4"/>
    <x v="21"/>
    <x v="8"/>
    <s v="Multi-Year"/>
    <x v="1"/>
    <s v="N/A"/>
    <n v="0"/>
    <s v="Confirmed"/>
    <s v=""/>
    <x v="1"/>
    <x v="0"/>
    <m/>
    <x v="0"/>
    <x v="0"/>
    <m/>
    <n v="0"/>
    <x v="0"/>
    <s v="High"/>
    <n v="56248139.267255567"/>
  </r>
  <r>
    <x v="0"/>
    <x v="133"/>
    <x v="133"/>
    <x v="6"/>
    <x v="0"/>
    <x v="4"/>
    <x v="21"/>
    <x v="8"/>
    <s v="Multi-Year"/>
    <x v="1"/>
    <s v="N/A"/>
    <n v="0"/>
    <s v="Confirmed"/>
    <s v=""/>
    <x v="1"/>
    <x v="0"/>
    <m/>
    <x v="1"/>
    <x v="0"/>
    <m/>
    <n v="0"/>
    <x v="1"/>
    <s v="High"/>
    <n v="15464031.712942109"/>
  </r>
  <r>
    <x v="0"/>
    <x v="134"/>
    <x v="134"/>
    <x v="4"/>
    <x v="0"/>
    <x v="4"/>
    <x v="21"/>
    <x v="8"/>
    <s v="Multi-Year"/>
    <x v="1"/>
    <s v="N/A"/>
    <n v="0"/>
    <s v="Confirmed"/>
    <s v=""/>
    <x v="1"/>
    <x v="0"/>
    <m/>
    <x v="3"/>
    <x v="1"/>
    <m/>
    <n v="0"/>
    <x v="1"/>
    <s v="N/A"/>
    <n v="769564399.33249676"/>
  </r>
  <r>
    <x v="0"/>
    <x v="135"/>
    <x v="135"/>
    <x v="2"/>
    <x v="0"/>
    <x v="4"/>
    <x v="21"/>
    <x v="8"/>
    <s v="Multi-Year"/>
    <x v="1"/>
    <s v="N/A"/>
    <n v="0"/>
    <s v="Confirmed"/>
    <s v=""/>
    <x v="1"/>
    <x v="0"/>
    <m/>
    <x v="2"/>
    <x v="0"/>
    <m/>
    <n v="0"/>
    <x v="0"/>
    <s v="N/A"/>
    <n v="1668954539.7630196"/>
  </r>
  <r>
    <x v="0"/>
    <x v="136"/>
    <x v="136"/>
    <x v="1"/>
    <x v="0"/>
    <x v="4"/>
    <x v="21"/>
    <x v="8"/>
    <s v="Multi-Year"/>
    <x v="1"/>
    <s v="N/A"/>
    <n v="0"/>
    <s v="Confirmed"/>
    <s v=""/>
    <x v="1"/>
    <x v="0"/>
    <m/>
    <x v="1"/>
    <x v="1"/>
    <m/>
    <n v="0"/>
    <x v="0"/>
    <s v=""/>
    <n v="24840920016.18832"/>
  </r>
  <r>
    <x v="0"/>
    <x v="137"/>
    <x v="137"/>
    <x v="1"/>
    <x v="0"/>
    <x v="4"/>
    <x v="21"/>
    <x v="8"/>
    <s v="Multi-Year"/>
    <x v="1"/>
    <s v="N/A"/>
    <n v="0"/>
    <s v="Confirmed"/>
    <s v=""/>
    <x v="1"/>
    <x v="0"/>
    <m/>
    <x v="1"/>
    <x v="1"/>
    <m/>
    <n v="0"/>
    <x v="0"/>
    <s v="N/A"/>
    <n v="487888462.83720118"/>
  </r>
  <r>
    <x v="0"/>
    <x v="138"/>
    <x v="138"/>
    <x v="6"/>
    <x v="0"/>
    <x v="4"/>
    <x v="21"/>
    <x v="8"/>
    <s v="Multi-Year"/>
    <x v="1"/>
    <s v="N/A"/>
    <n v="0"/>
    <s v="Confirmed"/>
    <s v=""/>
    <x v="1"/>
    <x v="0"/>
    <m/>
    <x v="1"/>
    <x v="0"/>
    <m/>
    <n v="0"/>
    <x v="1"/>
    <s v="…"/>
    <n v="6365061.1736073596"/>
  </r>
  <r>
    <x v="0"/>
    <x v="139"/>
    <x v="139"/>
    <x v="3"/>
    <x v="0"/>
    <x v="4"/>
    <x v="21"/>
    <x v="8"/>
    <s v="Multi-Year"/>
    <x v="1"/>
    <s v="N/A"/>
    <n v="1105023"/>
    <s v="Confirmed"/>
    <s v=""/>
    <x v="1"/>
    <x v="0"/>
    <m/>
    <x v="0"/>
    <x v="0"/>
    <m/>
    <n v="2"/>
    <x v="0"/>
    <s v="Low"/>
    <n v="291799092.90196139"/>
  </r>
  <r>
    <x v="0"/>
    <x v="140"/>
    <x v="140"/>
    <x v="1"/>
    <x v="0"/>
    <x v="4"/>
    <x v="21"/>
    <x v="8"/>
    <s v="Multi-Year"/>
    <x v="1"/>
    <s v="N/A"/>
    <n v="0"/>
    <s v="Confirmed"/>
    <s v=""/>
    <x v="1"/>
    <x v="0"/>
    <m/>
    <x v="2"/>
    <x v="0"/>
    <m/>
    <n v="0"/>
    <x v="0"/>
    <s v="N/A"/>
    <n v="4844815340.2135534"/>
  </r>
  <r>
    <x v="0"/>
    <x v="141"/>
    <x v="141"/>
    <x v="4"/>
    <x v="0"/>
    <x v="4"/>
    <x v="21"/>
    <x v="8"/>
    <s v="Multi-Year"/>
    <x v="1"/>
    <s v="N/A"/>
    <n v="0"/>
    <s v="Confirmed"/>
    <s v=""/>
    <x v="1"/>
    <x v="0"/>
    <m/>
    <x v="3"/>
    <x v="1"/>
    <m/>
    <n v="0"/>
    <x v="0"/>
    <s v=""/>
    <n v="4001891446.6871672"/>
  </r>
  <r>
    <x v="0"/>
    <x v="142"/>
    <x v="142"/>
    <x v="1"/>
    <x v="0"/>
    <x v="4"/>
    <x v="21"/>
    <x v="8"/>
    <s v="Multi-Year"/>
    <x v="1"/>
    <s v="N/A"/>
    <n v="0"/>
    <s v="Confirmed"/>
    <s v=""/>
    <x v="1"/>
    <x v="0"/>
    <m/>
    <x v="2"/>
    <x v="0"/>
    <m/>
    <n v="0"/>
    <x v="0"/>
    <s v="Low"/>
    <n v="1019800630.5853213"/>
  </r>
  <r>
    <x v="0"/>
    <x v="143"/>
    <x v="143"/>
    <x v="6"/>
    <x v="0"/>
    <x v="4"/>
    <x v="21"/>
    <x v="8"/>
    <s v="Multi-Year"/>
    <x v="1"/>
    <s v="N/A"/>
    <n v="0"/>
    <s v="Confirmed"/>
    <s v=""/>
    <x v="1"/>
    <x v="0"/>
    <m/>
    <x v="2"/>
    <x v="0"/>
    <m/>
    <n v="0"/>
    <x v="1"/>
    <s v="Moderate"/>
    <n v="19578671.310841195"/>
  </r>
  <r>
    <x v="0"/>
    <x v="144"/>
    <x v="144"/>
    <x v="4"/>
    <x v="0"/>
    <x v="4"/>
    <x v="21"/>
    <x v="8"/>
    <s v="Multi-Year"/>
    <x v="1"/>
    <s v="N/A"/>
    <n v="0"/>
    <s v="Confirmed"/>
    <s v=""/>
    <x v="1"/>
    <x v="0"/>
    <m/>
    <x v="4"/>
    <x v="1"/>
    <m/>
    <n v="0"/>
    <x v="0"/>
    <s v="N/A"/>
    <n v="3551452001.0684834"/>
  </r>
  <r>
    <x v="0"/>
    <x v="145"/>
    <x v="145"/>
    <x v="6"/>
    <x v="0"/>
    <x v="4"/>
    <x v="21"/>
    <x v="8"/>
    <s v="Multi-Year"/>
    <x v="1"/>
    <s v="N/A"/>
    <n v="0"/>
    <s v="Confirmed"/>
    <s v=""/>
    <x v="1"/>
    <x v="0"/>
    <m/>
    <x v="2"/>
    <x v="0"/>
    <m/>
    <n v="0"/>
    <x v="0"/>
    <s v="N/A"/>
    <n v="6603048821.7575006"/>
  </r>
  <r>
    <x v="0"/>
    <x v="146"/>
    <x v="146"/>
    <x v="2"/>
    <x v="0"/>
    <x v="4"/>
    <x v="21"/>
    <x v="8"/>
    <s v="Multi-Year"/>
    <x v="1"/>
    <s v="N/A"/>
    <n v="0"/>
    <s v="Confirmed"/>
    <s v=""/>
    <x v="1"/>
    <x v="0"/>
    <m/>
    <x v="0"/>
    <x v="0"/>
    <m/>
    <n v="1"/>
    <x v="0"/>
    <s v="…"/>
    <s v=""/>
  </r>
  <r>
    <x v="0"/>
    <x v="147"/>
    <x v="147"/>
    <x v="3"/>
    <x v="0"/>
    <x v="4"/>
    <x v="21"/>
    <x v="8"/>
    <s v="Multi-Year"/>
    <x v="1"/>
    <s v="N/A"/>
    <n v="0"/>
    <s v="Confirmed"/>
    <s v=""/>
    <x v="1"/>
    <x v="0"/>
    <m/>
    <x v="2"/>
    <x v="0"/>
    <m/>
    <n v="0"/>
    <x v="0"/>
    <s v="High"/>
    <n v="515352723.9821828"/>
  </r>
  <r>
    <x v="0"/>
    <x v="148"/>
    <x v="148"/>
    <x v="3"/>
    <x v="0"/>
    <x v="4"/>
    <x v="21"/>
    <x v="8"/>
    <s v="Multi-Year"/>
    <x v="1"/>
    <s v="N/A"/>
    <n v="0"/>
    <s v="Confirmed"/>
    <s v=""/>
    <x v="1"/>
    <x v="0"/>
    <m/>
    <x v="2"/>
    <x v="0"/>
    <m/>
    <n v="0"/>
    <x v="0"/>
    <s v="N/A"/>
    <n v="566711742.22428358"/>
  </r>
  <r>
    <x v="0"/>
    <x v="0"/>
    <x v="0"/>
    <x v="0"/>
    <x v="0"/>
    <x v="4"/>
    <x v="22"/>
    <x v="10"/>
    <s v="Multi-Year"/>
    <x v="1"/>
    <s v="N/A"/>
    <n v="99000"/>
    <s v="Confirmed"/>
    <m/>
    <x v="0"/>
    <x v="0"/>
    <m/>
    <x v="0"/>
    <x v="0"/>
    <m/>
    <n v="1"/>
    <x v="0"/>
    <s v="High"/>
    <n v="95829480.719269618"/>
  </r>
  <r>
    <x v="0"/>
    <x v="1"/>
    <x v="1"/>
    <x v="1"/>
    <x v="0"/>
    <x v="4"/>
    <x v="22"/>
    <x v="10"/>
    <s v="Multi-Year"/>
    <x v="1"/>
    <s v="N/A"/>
    <s v=""/>
    <s v="Confirmed"/>
    <m/>
    <x v="0"/>
    <x v="0"/>
    <m/>
    <x v="1"/>
    <x v="1"/>
    <m/>
    <n v="0"/>
    <x v="0"/>
    <s v=""/>
    <n v="427904035.52443534"/>
  </r>
  <r>
    <x v="0"/>
    <x v="2"/>
    <x v="2"/>
    <x v="2"/>
    <x v="0"/>
    <x v="4"/>
    <x v="22"/>
    <x v="10"/>
    <s v="Multi-Year"/>
    <x v="1"/>
    <s v="N/A"/>
    <s v=""/>
    <s v="Confirmed"/>
    <m/>
    <x v="0"/>
    <x v="0"/>
    <m/>
    <x v="2"/>
    <x v="0"/>
    <m/>
    <n v="0"/>
    <x v="0"/>
    <s v="N/A"/>
    <n v="7113361022.7267885"/>
  </r>
  <r>
    <x v="0"/>
    <x v="3"/>
    <x v="3"/>
    <x v="3"/>
    <x v="0"/>
    <x v="4"/>
    <x v="22"/>
    <x v="10"/>
    <s v="Multi-Year"/>
    <x v="1"/>
    <s v="N/A"/>
    <n v="191000"/>
    <s v="Confirmed"/>
    <m/>
    <x v="0"/>
    <x v="0"/>
    <m/>
    <x v="2"/>
    <x v="0"/>
    <m/>
    <n v="0"/>
    <x v="0"/>
    <s v="…"/>
    <n v="1131865946.5875781"/>
  </r>
  <r>
    <x v="0"/>
    <x v="4"/>
    <x v="4"/>
    <x v="4"/>
    <x v="0"/>
    <x v="4"/>
    <x v="22"/>
    <x v="10"/>
    <s v="Multi-Year"/>
    <x v="1"/>
    <s v="N/A"/>
    <s v=""/>
    <s v="Confirmed"/>
    <m/>
    <x v="0"/>
    <x v="0"/>
    <m/>
    <x v="3"/>
    <x v="1"/>
    <m/>
    <n v="0"/>
    <x v="1"/>
    <s v=""/>
    <n v="46777779.823447868"/>
  </r>
  <r>
    <x v="0"/>
    <x v="5"/>
    <x v="5"/>
    <x v="4"/>
    <x v="0"/>
    <x v="4"/>
    <x v="22"/>
    <x v="10"/>
    <s v="Multi-Year"/>
    <x v="1"/>
    <s v="N/A"/>
    <s v=""/>
    <s v="Confirmed"/>
    <m/>
    <x v="0"/>
    <x v="0"/>
    <m/>
    <x v="1"/>
    <x v="1"/>
    <m/>
    <n v="0"/>
    <x v="0"/>
    <s v=""/>
    <n v="30725305777.596794"/>
  </r>
  <r>
    <x v="0"/>
    <x v="6"/>
    <x v="6"/>
    <x v="1"/>
    <x v="0"/>
    <x v="4"/>
    <x v="22"/>
    <x v="10"/>
    <s v="Multi-Year"/>
    <x v="1"/>
    <s v="N/A"/>
    <s v=""/>
    <s v="Confirmed"/>
    <m/>
    <x v="0"/>
    <x v="0"/>
    <m/>
    <x v="1"/>
    <x v="1"/>
    <m/>
    <n v="0"/>
    <x v="0"/>
    <s v=""/>
    <n v="153815827.8380394"/>
  </r>
  <r>
    <x v="0"/>
    <x v="7"/>
    <x v="7"/>
    <x v="1"/>
    <x v="0"/>
    <x v="4"/>
    <x v="22"/>
    <x v="10"/>
    <s v="Multi-Year"/>
    <x v="1"/>
    <s v="N/A"/>
    <s v=""/>
    <s v="Confirmed"/>
    <m/>
    <x v="0"/>
    <x v="0"/>
    <m/>
    <x v="1"/>
    <x v="1"/>
    <m/>
    <n v="0"/>
    <x v="0"/>
    <s v="N/A"/>
    <n v="437525105.31216973"/>
  </r>
  <r>
    <x v="0"/>
    <x v="8"/>
    <x v="8"/>
    <x v="4"/>
    <x v="0"/>
    <x v="4"/>
    <x v="22"/>
    <x v="10"/>
    <s v="Multi-Year"/>
    <x v="1"/>
    <s v="N/A"/>
    <s v=""/>
    <s v="Confirmed"/>
    <m/>
    <x v="0"/>
    <x v="0"/>
    <m/>
    <x v="3"/>
    <x v="1"/>
    <m/>
    <n v="0"/>
    <x v="1"/>
    <s v=""/>
    <n v="149463302.00602186"/>
  </r>
  <r>
    <x v="0"/>
    <x v="9"/>
    <x v="9"/>
    <x v="0"/>
    <x v="0"/>
    <x v="4"/>
    <x v="22"/>
    <x v="10"/>
    <s v="Multi-Year"/>
    <x v="1"/>
    <s v="N/A"/>
    <n v="1074000"/>
    <s v="Confirmed"/>
    <m/>
    <x v="0"/>
    <x v="0"/>
    <m/>
    <x v="2"/>
    <x v="0"/>
    <m/>
    <n v="0"/>
    <x v="0"/>
    <s v="Low"/>
    <n v="1148322593.9600098"/>
  </r>
  <r>
    <x v="0"/>
    <x v="10"/>
    <x v="10"/>
    <x v="1"/>
    <x v="0"/>
    <x v="4"/>
    <x v="22"/>
    <x v="10"/>
    <s v="Multi-Year"/>
    <x v="1"/>
    <s v="N/A"/>
    <s v=""/>
    <s v="Confirmed"/>
    <m/>
    <x v="0"/>
    <x v="0"/>
    <m/>
    <x v="1"/>
    <x v="1"/>
    <m/>
    <n v="0"/>
    <x v="0"/>
    <s v=""/>
    <n v="2371102058.1093163"/>
  </r>
  <r>
    <x v="0"/>
    <x v="11"/>
    <x v="11"/>
    <x v="4"/>
    <x v="0"/>
    <x v="4"/>
    <x v="22"/>
    <x v="10"/>
    <s v="Multi-Year"/>
    <x v="1"/>
    <s v="N/A"/>
    <s v=""/>
    <s v="Confirmed"/>
    <m/>
    <x v="0"/>
    <x v="0"/>
    <m/>
    <x v="2"/>
    <x v="1"/>
    <m/>
    <n v="0"/>
    <x v="1"/>
    <s v="N/A"/>
    <n v="75151620.005215243"/>
  </r>
  <r>
    <x v="0"/>
    <x v="12"/>
    <x v="12"/>
    <x v="5"/>
    <x v="0"/>
    <x v="4"/>
    <x v="22"/>
    <x v="10"/>
    <s v="Multi-Year"/>
    <x v="1"/>
    <s v="N/A"/>
    <s v=""/>
    <s v="Confirmed"/>
    <m/>
    <x v="0"/>
    <x v="0"/>
    <m/>
    <x v="2"/>
    <x v="0"/>
    <m/>
    <n v="0"/>
    <x v="0"/>
    <s v="Moderate"/>
    <n v="69958487.197715744"/>
  </r>
  <r>
    <x v="0"/>
    <x v="13"/>
    <x v="13"/>
    <x v="0"/>
    <x v="0"/>
    <x v="4"/>
    <x v="22"/>
    <x v="10"/>
    <s v="Multi-Year"/>
    <x v="1"/>
    <s v="N/A"/>
    <s v=""/>
    <s v="Confirmed"/>
    <m/>
    <x v="0"/>
    <x v="0"/>
    <m/>
    <x v="2"/>
    <x v="0"/>
    <m/>
    <n v="0"/>
    <x v="0"/>
    <s v="…"/>
    <n v="61654608.560629159"/>
  </r>
  <r>
    <x v="0"/>
    <x v="14"/>
    <x v="14"/>
    <x v="4"/>
    <x v="0"/>
    <x v="4"/>
    <x v="22"/>
    <x v="10"/>
    <s v="Multi-Year"/>
    <x v="1"/>
    <s v="N/A"/>
    <s v=""/>
    <s v="Confirmed"/>
    <m/>
    <x v="0"/>
    <x v="0"/>
    <m/>
    <x v="2"/>
    <x v="0"/>
    <m/>
    <n v="0"/>
    <x v="0"/>
    <s v="N/A"/>
    <n v="1806638707.7615163"/>
  </r>
  <r>
    <x v="0"/>
    <x v="15"/>
    <x v="15"/>
    <x v="1"/>
    <x v="0"/>
    <x v="4"/>
    <x v="22"/>
    <x v="10"/>
    <s v="Multi-Year"/>
    <x v="1"/>
    <s v="N/A"/>
    <s v=""/>
    <s v="Confirmed"/>
    <m/>
    <x v="0"/>
    <x v="0"/>
    <m/>
    <x v="1"/>
    <x v="1"/>
    <m/>
    <n v="0"/>
    <x v="0"/>
    <s v="N/A"/>
    <n v="1252696525.0627904"/>
  </r>
  <r>
    <x v="0"/>
    <x v="16"/>
    <x v="16"/>
    <x v="3"/>
    <x v="0"/>
    <x v="4"/>
    <x v="22"/>
    <x v="10"/>
    <s v="Multi-Year"/>
    <x v="1"/>
    <s v="N/A"/>
    <s v=""/>
    <s v="Confirmed"/>
    <m/>
    <x v="0"/>
    <x v="0"/>
    <m/>
    <x v="1"/>
    <x v="1"/>
    <m/>
    <n v="0"/>
    <x v="0"/>
    <s v=""/>
    <n v="843425084.07334602"/>
  </r>
  <r>
    <x v="0"/>
    <x v="17"/>
    <x v="17"/>
    <x v="4"/>
    <x v="0"/>
    <x v="4"/>
    <x v="22"/>
    <x v="10"/>
    <s v="Multi-Year"/>
    <x v="1"/>
    <s v="N/A"/>
    <s v=""/>
    <s v="Confirmed"/>
    <m/>
    <x v="0"/>
    <x v="0"/>
    <m/>
    <x v="1"/>
    <x v="1"/>
    <m/>
    <n v="0"/>
    <x v="0"/>
    <s v="N/A"/>
    <n v="74055620038.853683"/>
  </r>
  <r>
    <x v="0"/>
    <x v="18"/>
    <x v="18"/>
    <x v="1"/>
    <x v="0"/>
    <x v="4"/>
    <x v="22"/>
    <x v="10"/>
    <s v="Multi-Year"/>
    <x v="1"/>
    <s v="N/A"/>
    <s v=""/>
    <s v="Confirmed"/>
    <m/>
    <x v="0"/>
    <x v="0"/>
    <m/>
    <x v="1"/>
    <x v="1"/>
    <m/>
    <n v="0"/>
    <x v="0"/>
    <s v=""/>
    <n v="2803357765.5888777"/>
  </r>
  <r>
    <x v="0"/>
    <x v="19"/>
    <x v="19"/>
    <x v="5"/>
    <x v="0"/>
    <x v="4"/>
    <x v="22"/>
    <x v="10"/>
    <s v="Multi-Year"/>
    <x v="1"/>
    <s v="N/A"/>
    <n v="2736000"/>
    <s v="Confirmed"/>
    <m/>
    <x v="0"/>
    <x v="0"/>
    <m/>
    <x v="0"/>
    <x v="0"/>
    <m/>
    <n v="2"/>
    <x v="0"/>
    <s v="Moderate"/>
    <n v="337927779.25510043"/>
  </r>
  <r>
    <x v="0"/>
    <x v="20"/>
    <x v="20"/>
    <x v="3"/>
    <x v="0"/>
    <x v="4"/>
    <x v="22"/>
    <x v="10"/>
    <s v="Multi-Year"/>
    <x v="1"/>
    <s v="N/A"/>
    <s v=""/>
    <s v="Confirmed"/>
    <m/>
    <x v="0"/>
    <x v="0"/>
    <m/>
    <x v="0"/>
    <x v="0"/>
    <m/>
    <n v="2"/>
    <x v="0"/>
    <s v="…"/>
    <n v="65979512.47399316"/>
  </r>
  <r>
    <x v="0"/>
    <x v="21"/>
    <x v="21"/>
    <x v="5"/>
    <x v="0"/>
    <x v="4"/>
    <x v="22"/>
    <x v="10"/>
    <s v="Multi-Year"/>
    <x v="1"/>
    <s v="N/A"/>
    <s v=""/>
    <s v="Confirmed"/>
    <m/>
    <x v="0"/>
    <x v="0"/>
    <m/>
    <x v="2"/>
    <x v="0"/>
    <m/>
    <n v="0"/>
    <x v="1"/>
    <s v="High"/>
    <n v="63748362.778827004"/>
  </r>
  <r>
    <x v="0"/>
    <x v="22"/>
    <x v="22"/>
    <x v="6"/>
    <x v="0"/>
    <x v="4"/>
    <x v="22"/>
    <x v="10"/>
    <s v="Multi-Year"/>
    <x v="1"/>
    <s v="N/A"/>
    <n v="354000"/>
    <s v="Confirmed"/>
    <m/>
    <x v="0"/>
    <x v="0"/>
    <m/>
    <x v="2"/>
    <x v="0"/>
    <m/>
    <n v="0"/>
    <x v="0"/>
    <s v="Low"/>
    <n v="313039649.45369786"/>
  </r>
  <r>
    <x v="0"/>
    <x v="23"/>
    <x v="23"/>
    <x v="5"/>
    <x v="0"/>
    <x v="4"/>
    <x v="22"/>
    <x v="10"/>
    <s v="Multi-Year"/>
    <x v="1"/>
    <s v="N/A"/>
    <s v=""/>
    <s v="Confirmed"/>
    <m/>
    <x v="0"/>
    <x v="0"/>
    <m/>
    <x v="2"/>
    <x v="0"/>
    <m/>
    <n v="2"/>
    <x v="0"/>
    <s v="High"/>
    <n v="81361801.477472037"/>
  </r>
  <r>
    <x v="0"/>
    <x v="24"/>
    <x v="24"/>
    <x v="5"/>
    <x v="0"/>
    <x v="4"/>
    <x v="22"/>
    <x v="10"/>
    <s v="Multi-Year"/>
    <x v="1"/>
    <s v="N/A"/>
    <s v=""/>
    <s v="Confirmed"/>
    <m/>
    <x v="0"/>
    <x v="0"/>
    <m/>
    <x v="0"/>
    <x v="0"/>
    <m/>
    <n v="1"/>
    <x v="0"/>
    <s v="High"/>
    <s v=""/>
  </r>
  <r>
    <x v="0"/>
    <x v="25"/>
    <x v="25"/>
    <x v="5"/>
    <x v="0"/>
    <x v="4"/>
    <x v="22"/>
    <x v="10"/>
    <s v="Multi-Year"/>
    <x v="1"/>
    <s v="N/A"/>
    <s v=""/>
    <s v="Confirmed"/>
    <m/>
    <x v="0"/>
    <x v="0"/>
    <m/>
    <x v="0"/>
    <x v="0"/>
    <m/>
    <n v="1"/>
    <x v="0"/>
    <s v="High"/>
    <n v="76939306.715636879"/>
  </r>
  <r>
    <x v="0"/>
    <x v="26"/>
    <x v="26"/>
    <x v="4"/>
    <x v="0"/>
    <x v="4"/>
    <x v="22"/>
    <x v="10"/>
    <s v="Multi-Year"/>
    <x v="1"/>
    <s v="N/A"/>
    <s v=""/>
    <s v="Confirmed"/>
    <m/>
    <x v="0"/>
    <x v="0"/>
    <m/>
    <x v="3"/>
    <x v="1"/>
    <m/>
    <n v="0"/>
    <x v="0"/>
    <s v=""/>
    <n v="13859708717.682571"/>
  </r>
  <r>
    <x v="0"/>
    <x v="27"/>
    <x v="27"/>
    <x v="6"/>
    <x v="0"/>
    <x v="4"/>
    <x v="22"/>
    <x v="10"/>
    <s v="Multi-Year"/>
    <x v="1"/>
    <s v="N/A"/>
    <s v=""/>
    <s v="Confirmed"/>
    <m/>
    <x v="0"/>
    <x v="0"/>
    <m/>
    <x v="1"/>
    <x v="1"/>
    <m/>
    <n v="0"/>
    <x v="0"/>
    <s v=""/>
    <n v="403567160707.7016"/>
  </r>
  <r>
    <x v="0"/>
    <x v="28"/>
    <x v="28"/>
    <x v="4"/>
    <x v="0"/>
    <x v="4"/>
    <x v="22"/>
    <x v="10"/>
    <s v="Multi-Year"/>
    <x v="1"/>
    <s v="N/A"/>
    <s v=""/>
    <s v="Confirmed"/>
    <m/>
    <x v="0"/>
    <x v="0"/>
    <m/>
    <x v="1"/>
    <x v="1"/>
    <m/>
    <n v="0"/>
    <x v="0"/>
    <s v=""/>
    <n v="18250225995.972618"/>
  </r>
  <r>
    <x v="0"/>
    <x v="29"/>
    <x v="29"/>
    <x v="3"/>
    <x v="0"/>
    <x v="4"/>
    <x v="22"/>
    <x v="10"/>
    <s v="Multi-Year"/>
    <x v="1"/>
    <s v="N/A"/>
    <s v=""/>
    <s v="Confirmed"/>
    <m/>
    <x v="0"/>
    <x v="0"/>
    <m/>
    <x v="2"/>
    <x v="0"/>
    <m/>
    <n v="0"/>
    <x v="1"/>
    <s v="Moderate"/>
    <n v="5027591.1682657599"/>
  </r>
  <r>
    <x v="0"/>
    <x v="30"/>
    <x v="30"/>
    <x v="5"/>
    <x v="0"/>
    <x v="4"/>
    <x v="22"/>
    <x v="10"/>
    <s v="Multi-Year"/>
    <x v="1"/>
    <s v="N/A"/>
    <n v="850000"/>
    <s v="Confirmed"/>
    <m/>
    <x v="0"/>
    <x v="0"/>
    <m/>
    <x v="0"/>
    <x v="0"/>
    <m/>
    <n v="3"/>
    <x v="0"/>
    <s v="Moderate"/>
    <n v="234645958.63289919"/>
  </r>
  <r>
    <x v="0"/>
    <x v="31"/>
    <x v="31"/>
    <x v="5"/>
    <x v="0"/>
    <x v="4"/>
    <x v="22"/>
    <x v="10"/>
    <s v="Multi-Year"/>
    <x v="1"/>
    <s v="N/A"/>
    <s v=""/>
    <s v="Confirmed"/>
    <m/>
    <x v="0"/>
    <x v="0"/>
    <m/>
    <x v="2"/>
    <x v="0"/>
    <m/>
    <n v="2"/>
    <x v="0"/>
    <s v="In distress"/>
    <n v="91590910.247314155"/>
  </r>
  <r>
    <x v="0"/>
    <x v="32"/>
    <x v="32"/>
    <x v="6"/>
    <x v="0"/>
    <x v="4"/>
    <x v="22"/>
    <x v="10"/>
    <s v="Multi-Year"/>
    <x v="1"/>
    <s v="N/A"/>
    <s v=""/>
    <s v="Confirmed"/>
    <m/>
    <x v="0"/>
    <x v="0"/>
    <m/>
    <x v="4"/>
    <x v="1"/>
    <m/>
    <n v="0"/>
    <x v="1"/>
    <s v="N/A"/>
    <n v="8560012.8840167802"/>
  </r>
  <r>
    <x v="0"/>
    <x v="33"/>
    <x v="33"/>
    <x v="4"/>
    <x v="0"/>
    <x v="4"/>
    <x v="22"/>
    <x v="10"/>
    <s v="Multi-Year"/>
    <x v="1"/>
    <s v="N/A"/>
    <s v=""/>
    <s v="Confirmed"/>
    <m/>
    <x v="0"/>
    <x v="0"/>
    <m/>
    <x v="1"/>
    <x v="1"/>
    <m/>
    <n v="0"/>
    <x v="0"/>
    <s v="N/A"/>
    <n v="3292372960.3962669"/>
  </r>
  <r>
    <x v="0"/>
    <x v="34"/>
    <x v="34"/>
    <x v="5"/>
    <x v="0"/>
    <x v="4"/>
    <x v="22"/>
    <x v="10"/>
    <s v="Multi-Year"/>
    <x v="1"/>
    <s v="N/A"/>
    <n v="1500000"/>
    <s v="Confirmed"/>
    <m/>
    <x v="0"/>
    <x v="0"/>
    <m/>
    <x v="2"/>
    <x v="0"/>
    <m/>
    <n v="0"/>
    <x v="0"/>
    <s v="Moderate"/>
    <n v="519209981.22981054"/>
  </r>
  <r>
    <x v="0"/>
    <x v="35"/>
    <x v="35"/>
    <x v="1"/>
    <x v="0"/>
    <x v="4"/>
    <x v="22"/>
    <x v="10"/>
    <s v="Multi-Year"/>
    <x v="1"/>
    <s v="N/A"/>
    <s v=""/>
    <s v="Confirmed"/>
    <m/>
    <x v="0"/>
    <x v="0"/>
    <m/>
    <x v="3"/>
    <x v="1"/>
    <m/>
    <n v="0"/>
    <x v="0"/>
    <s v=""/>
    <n v="3464739907.1604805"/>
  </r>
  <r>
    <x v="0"/>
    <x v="36"/>
    <x v="36"/>
    <x v="4"/>
    <x v="0"/>
    <x v="4"/>
    <x v="22"/>
    <x v="10"/>
    <s v="Multi-Year"/>
    <x v="1"/>
    <s v="N/A"/>
    <s v=""/>
    <s v="Confirmed"/>
    <m/>
    <x v="0"/>
    <x v="0"/>
    <m/>
    <x v="1"/>
    <x v="1"/>
    <m/>
    <n v="0"/>
    <x v="1"/>
    <s v=""/>
    <n v="9948521252.2569065"/>
  </r>
  <r>
    <x v="0"/>
    <x v="37"/>
    <x v="37"/>
    <x v="2"/>
    <x v="0"/>
    <x v="4"/>
    <x v="22"/>
    <x v="10"/>
    <s v="Multi-Year"/>
    <x v="1"/>
    <s v="N/A"/>
    <s v=""/>
    <s v="Confirmed"/>
    <m/>
    <x v="0"/>
    <x v="0"/>
    <m/>
    <x v="2"/>
    <x v="0"/>
    <m/>
    <n v="1"/>
    <x v="0"/>
    <s v="High"/>
    <n v="33679192.765657313"/>
  </r>
  <r>
    <x v="0"/>
    <x v="38"/>
    <x v="38"/>
    <x v="4"/>
    <x v="0"/>
    <x v="4"/>
    <x v="22"/>
    <x v="10"/>
    <s v="Multi-Year"/>
    <x v="1"/>
    <s v="N/A"/>
    <s v=""/>
    <s v="Confirmed"/>
    <m/>
    <x v="0"/>
    <x v="0"/>
    <m/>
    <x v="1"/>
    <x v="0"/>
    <m/>
    <n v="0"/>
    <x v="1"/>
    <s v="…"/>
    <n v="22784494.365742501"/>
  </r>
  <r>
    <x v="0"/>
    <x v="39"/>
    <x v="39"/>
    <x v="4"/>
    <x v="0"/>
    <x v="4"/>
    <x v="22"/>
    <x v="10"/>
    <s v="Multi-Year"/>
    <x v="1"/>
    <s v="N/A"/>
    <s v=""/>
    <s v="Confirmed"/>
    <m/>
    <x v="0"/>
    <x v="0"/>
    <m/>
    <x v="1"/>
    <x v="1"/>
    <m/>
    <n v="0"/>
    <x v="1"/>
    <s v=""/>
    <n v="2173208011.4858823"/>
  </r>
  <r>
    <x v="0"/>
    <x v="40"/>
    <x v="40"/>
    <x v="4"/>
    <x v="0"/>
    <x v="4"/>
    <x v="22"/>
    <x v="10"/>
    <s v="Multi-Year"/>
    <x v="1"/>
    <s v="N/A"/>
    <s v=""/>
    <s v="Confirmed"/>
    <m/>
    <x v="0"/>
    <x v="0"/>
    <m/>
    <x v="1"/>
    <x v="1"/>
    <m/>
    <n v="0"/>
    <x v="0"/>
    <s v="N/A"/>
    <n v="4585736158.8323269"/>
  </r>
  <r>
    <x v="0"/>
    <x v="41"/>
    <x v="41"/>
    <x v="2"/>
    <x v="0"/>
    <x v="4"/>
    <x v="22"/>
    <x v="10"/>
    <s v="Multi-Year"/>
    <x v="1"/>
    <s v="N/A"/>
    <s v=""/>
    <s v="Confirmed"/>
    <m/>
    <x v="0"/>
    <x v="0"/>
    <m/>
    <x v="2"/>
    <x v="0"/>
    <m/>
    <n v="0"/>
    <x v="0"/>
    <s v="N/A"/>
    <n v="3550291584.8645592"/>
  </r>
  <r>
    <x v="0"/>
    <x v="42"/>
    <x v="42"/>
    <x v="4"/>
    <x v="0"/>
    <x v="4"/>
    <x v="22"/>
    <x v="10"/>
    <s v="Multi-Year"/>
    <x v="1"/>
    <s v="N/A"/>
    <s v=""/>
    <s v="Confirmed"/>
    <m/>
    <x v="0"/>
    <x v="0"/>
    <m/>
    <x v="2"/>
    <x v="0"/>
    <m/>
    <n v="0"/>
    <x v="0"/>
    <s v="N/A"/>
    <n v="1182840319.0410969"/>
  </r>
  <r>
    <x v="0"/>
    <x v="43"/>
    <x v="43"/>
    <x v="4"/>
    <x v="0"/>
    <x v="4"/>
    <x v="22"/>
    <x v="10"/>
    <s v="Multi-Year"/>
    <x v="1"/>
    <s v="N/A"/>
    <s v=""/>
    <s v="Confirmed"/>
    <m/>
    <x v="0"/>
    <x v="0"/>
    <m/>
    <x v="1"/>
    <x v="1"/>
    <m/>
    <n v="0"/>
    <x v="0"/>
    <s v=""/>
    <n v="81728347.604567245"/>
  </r>
  <r>
    <x v="0"/>
    <x v="44"/>
    <x v="44"/>
    <x v="3"/>
    <x v="0"/>
    <x v="4"/>
    <x v="22"/>
    <x v="10"/>
    <s v="Multi-Year"/>
    <x v="1"/>
    <s v="N/A"/>
    <s v=""/>
    <s v="Confirmed"/>
    <m/>
    <x v="0"/>
    <x v="0"/>
    <m/>
    <x v="0"/>
    <x v="0"/>
    <m/>
    <n v="2"/>
    <x v="0"/>
    <s v="N/A"/>
    <n v="12787914.977715338"/>
  </r>
  <r>
    <x v="0"/>
    <x v="45"/>
    <x v="45"/>
    <x v="3"/>
    <x v="0"/>
    <x v="4"/>
    <x v="22"/>
    <x v="10"/>
    <s v="Multi-Year"/>
    <x v="1"/>
    <s v="N/A"/>
    <s v=""/>
    <s v="Confirmed"/>
    <m/>
    <x v="0"/>
    <x v="0"/>
    <m/>
    <x v="2"/>
    <x v="0"/>
    <m/>
    <n v="2"/>
    <x v="0"/>
    <s v="N/A"/>
    <n v="101271737.65410839"/>
  </r>
  <r>
    <x v="0"/>
    <x v="46"/>
    <x v="46"/>
    <x v="3"/>
    <x v="0"/>
    <x v="4"/>
    <x v="22"/>
    <x v="10"/>
    <s v="Multi-Year"/>
    <x v="1"/>
    <s v="N/A"/>
    <n v="3158000"/>
    <s v="Confirmed"/>
    <m/>
    <x v="0"/>
    <x v="0"/>
    <m/>
    <x v="0"/>
    <x v="0"/>
    <m/>
    <n v="3"/>
    <x v="0"/>
    <s v="High"/>
    <n v="618344226.71759331"/>
  </r>
  <r>
    <x v="0"/>
    <x v="47"/>
    <x v="47"/>
    <x v="6"/>
    <x v="0"/>
    <x v="4"/>
    <x v="22"/>
    <x v="10"/>
    <s v="Multi-Year"/>
    <x v="1"/>
    <s v="N/A"/>
    <s v=""/>
    <s v="Confirmed"/>
    <m/>
    <x v="0"/>
    <x v="0"/>
    <m/>
    <x v="1"/>
    <x v="0"/>
    <m/>
    <n v="0"/>
    <x v="1"/>
    <s v="…"/>
    <n v="129483872.95906857"/>
  </r>
  <r>
    <x v="0"/>
    <x v="48"/>
    <x v="48"/>
    <x v="5"/>
    <x v="0"/>
    <x v="4"/>
    <x v="22"/>
    <x v="10"/>
    <s v="Multi-Year"/>
    <x v="1"/>
    <s v="N/A"/>
    <s v=""/>
    <s v="Confirmed"/>
    <m/>
    <x v="0"/>
    <x v="0"/>
    <m/>
    <x v="1"/>
    <x v="1"/>
    <m/>
    <n v="0"/>
    <x v="0"/>
    <s v="N/A"/>
    <n v="271184658.35014349"/>
  </r>
  <r>
    <x v="0"/>
    <x v="49"/>
    <x v="49"/>
    <x v="5"/>
    <x v="0"/>
    <x v="4"/>
    <x v="22"/>
    <x v="10"/>
    <s v="Multi-Year"/>
    <x v="1"/>
    <s v="N/A"/>
    <s v=""/>
    <s v="Confirmed"/>
    <m/>
    <x v="0"/>
    <x v="0"/>
    <m/>
    <x v="0"/>
    <x v="0"/>
    <m/>
    <n v="0"/>
    <x v="0"/>
    <s v="High"/>
    <n v="15455265.086884515"/>
  </r>
  <r>
    <x v="0"/>
    <x v="50"/>
    <x v="50"/>
    <x v="1"/>
    <x v="0"/>
    <x v="4"/>
    <x v="22"/>
    <x v="10"/>
    <s v="Multi-Year"/>
    <x v="1"/>
    <s v="N/A"/>
    <s v=""/>
    <s v="Confirmed"/>
    <m/>
    <x v="0"/>
    <x v="0"/>
    <m/>
    <x v="1"/>
    <x v="1"/>
    <m/>
    <n v="0"/>
    <x v="0"/>
    <s v="N/A"/>
    <n v="494021502.525527"/>
  </r>
  <r>
    <x v="0"/>
    <x v="51"/>
    <x v="51"/>
    <x v="5"/>
    <x v="0"/>
    <x v="4"/>
    <x v="22"/>
    <x v="10"/>
    <s v="Multi-Year"/>
    <x v="1"/>
    <s v="N/A"/>
    <n v="223000"/>
    <s v="Confirmed"/>
    <m/>
    <x v="0"/>
    <x v="0"/>
    <m/>
    <x v="2"/>
    <x v="0"/>
    <m/>
    <n v="0"/>
    <x v="0"/>
    <s v="High"/>
    <n v="902005621.73836684"/>
  </r>
  <r>
    <x v="0"/>
    <x v="52"/>
    <x v="52"/>
    <x v="4"/>
    <x v="0"/>
    <x v="4"/>
    <x v="22"/>
    <x v="10"/>
    <s v="Multi-Year"/>
    <x v="1"/>
    <s v="N/A"/>
    <s v=""/>
    <s v="Confirmed"/>
    <m/>
    <x v="0"/>
    <x v="0"/>
    <m/>
    <x v="1"/>
    <x v="0"/>
    <m/>
    <n v="0"/>
    <x v="1"/>
    <s v="In distress"/>
    <n v="20201670.142996579"/>
  </r>
  <r>
    <x v="0"/>
    <x v="53"/>
    <x v="53"/>
    <x v="4"/>
    <x v="0"/>
    <x v="4"/>
    <x v="22"/>
    <x v="10"/>
    <s v="Multi-Year"/>
    <x v="1"/>
    <s v="N/A"/>
    <s v=""/>
    <s v="Confirmed"/>
    <m/>
    <x v="0"/>
    <x v="0"/>
    <m/>
    <x v="1"/>
    <x v="1"/>
    <m/>
    <n v="0"/>
    <x v="0"/>
    <s v=""/>
    <n v="1612434649.6948864"/>
  </r>
  <r>
    <x v="0"/>
    <x v="54"/>
    <x v="54"/>
    <x v="5"/>
    <x v="0"/>
    <x v="4"/>
    <x v="22"/>
    <x v="10"/>
    <s v="Multi-Year"/>
    <x v="1"/>
    <s v="N/A"/>
    <s v=""/>
    <s v="Confirmed"/>
    <m/>
    <x v="0"/>
    <x v="0"/>
    <m/>
    <x v="0"/>
    <x v="0"/>
    <m/>
    <n v="0"/>
    <x v="0"/>
    <s v="Moderate"/>
    <n v="78203134.118229344"/>
  </r>
  <r>
    <x v="0"/>
    <x v="55"/>
    <x v="55"/>
    <x v="5"/>
    <x v="0"/>
    <x v="4"/>
    <x v="22"/>
    <x v="10"/>
    <s v="Multi-Year"/>
    <x v="1"/>
    <s v="N/A"/>
    <s v=""/>
    <s v="Confirmed"/>
    <m/>
    <x v="0"/>
    <x v="0"/>
    <m/>
    <x v="0"/>
    <x v="0"/>
    <m/>
    <n v="2"/>
    <x v="1"/>
    <s v="High"/>
    <n v="9151637.7411015611"/>
  </r>
  <r>
    <x v="0"/>
    <x v="56"/>
    <x v="56"/>
    <x v="4"/>
    <x v="0"/>
    <x v="4"/>
    <x v="22"/>
    <x v="10"/>
    <s v="Multi-Year"/>
    <x v="1"/>
    <s v="N/A"/>
    <s v=""/>
    <s v="Confirmed"/>
    <m/>
    <x v="0"/>
    <x v="0"/>
    <m/>
    <x v="1"/>
    <x v="0"/>
    <m/>
    <n v="0"/>
    <x v="1"/>
    <s v="Moderate"/>
    <n v="142455920.02856269"/>
  </r>
  <r>
    <x v="0"/>
    <x v="57"/>
    <x v="57"/>
    <x v="4"/>
    <x v="0"/>
    <x v="4"/>
    <x v="22"/>
    <x v="10"/>
    <s v="Multi-Year"/>
    <x v="1"/>
    <s v="N/A"/>
    <n v="99000"/>
    <s v="Confirmed"/>
    <m/>
    <x v="0"/>
    <x v="0"/>
    <m/>
    <x v="2"/>
    <x v="0"/>
    <m/>
    <n v="1"/>
    <x v="1"/>
    <s v="High"/>
    <n v="85611818.171245083"/>
  </r>
  <r>
    <x v="0"/>
    <x v="58"/>
    <x v="58"/>
    <x v="4"/>
    <x v="0"/>
    <x v="4"/>
    <x v="22"/>
    <x v="10"/>
    <s v="Multi-Year"/>
    <x v="1"/>
    <s v="N/A"/>
    <s v=""/>
    <s v="Confirmed"/>
    <m/>
    <x v="0"/>
    <x v="0"/>
    <m/>
    <x v="2"/>
    <x v="0"/>
    <m/>
    <n v="0"/>
    <x v="0"/>
    <s v="Low"/>
    <n v="680289736.30082119"/>
  </r>
  <r>
    <x v="0"/>
    <x v="59"/>
    <x v="59"/>
    <x v="0"/>
    <x v="0"/>
    <x v="4"/>
    <x v="22"/>
    <x v="10"/>
    <s v="Multi-Year"/>
    <x v="1"/>
    <s v="N/A"/>
    <n v="81000"/>
    <s v="Confirmed"/>
    <m/>
    <x v="0"/>
    <x v="0"/>
    <m/>
    <x v="2"/>
    <x v="0"/>
    <m/>
    <n v="0"/>
    <x v="0"/>
    <s v="N/A"/>
    <n v="26554332750.47023"/>
  </r>
  <r>
    <x v="0"/>
    <x v="60"/>
    <x v="60"/>
    <x v="6"/>
    <x v="0"/>
    <x v="4"/>
    <x v="22"/>
    <x v="10"/>
    <s v="Multi-Year"/>
    <x v="1"/>
    <s v="N/A"/>
    <s v=""/>
    <s v="Confirmed"/>
    <m/>
    <x v="0"/>
    <x v="0"/>
    <m/>
    <x v="2"/>
    <x v="0"/>
    <m/>
    <n v="0"/>
    <x v="0"/>
    <s v="N/A"/>
    <n v="14745961064.890842"/>
  </r>
  <r>
    <x v="0"/>
    <x v="61"/>
    <x v="61"/>
    <x v="2"/>
    <x v="0"/>
    <x v="4"/>
    <x v="22"/>
    <x v="10"/>
    <s v="Multi-Year"/>
    <x v="1"/>
    <s v="N/A"/>
    <s v=""/>
    <s v="Confirmed"/>
    <m/>
    <x v="0"/>
    <x v="0"/>
    <m/>
    <x v="2"/>
    <x v="1"/>
    <m/>
    <n v="0"/>
    <x v="0"/>
    <s v="N/A"/>
    <n v="18194076299.786381"/>
  </r>
  <r>
    <x v="0"/>
    <x v="62"/>
    <x v="62"/>
    <x v="2"/>
    <x v="0"/>
    <x v="4"/>
    <x v="22"/>
    <x v="10"/>
    <s v="Multi-Year"/>
    <x v="1"/>
    <s v="N/A"/>
    <s v=""/>
    <s v="Confirmed"/>
    <m/>
    <x v="0"/>
    <x v="0"/>
    <m/>
    <x v="1"/>
    <x v="1"/>
    <m/>
    <n v="0"/>
    <x v="0"/>
    <s v="N/A"/>
    <n v="4428819387.769825"/>
  </r>
  <r>
    <x v="0"/>
    <x v="63"/>
    <x v="63"/>
    <x v="4"/>
    <x v="0"/>
    <x v="4"/>
    <x v="22"/>
    <x v="10"/>
    <s v="Multi-Year"/>
    <x v="1"/>
    <s v="N/A"/>
    <s v=""/>
    <s v="Confirmed"/>
    <m/>
    <x v="0"/>
    <x v="0"/>
    <m/>
    <x v="1"/>
    <x v="1"/>
    <m/>
    <n v="0"/>
    <x v="1"/>
    <s v=""/>
    <n v="611739560.62679195"/>
  </r>
  <r>
    <x v="0"/>
    <x v="64"/>
    <x v="64"/>
    <x v="2"/>
    <x v="0"/>
    <x v="4"/>
    <x v="22"/>
    <x v="10"/>
    <s v="Multi-Year"/>
    <x v="1"/>
    <s v="N/A"/>
    <s v=""/>
    <s v="Confirmed"/>
    <m/>
    <x v="0"/>
    <x v="0"/>
    <m/>
    <x v="1"/>
    <x v="1"/>
    <m/>
    <n v="0"/>
    <x v="0"/>
    <s v="N/A"/>
    <n v="1617913383.0481031"/>
  </r>
  <r>
    <x v="0"/>
    <x v="65"/>
    <x v="65"/>
    <x v="1"/>
    <x v="0"/>
    <x v="4"/>
    <x v="22"/>
    <x v="10"/>
    <s v="Multi-Year"/>
    <x v="1"/>
    <s v="N/A"/>
    <s v=""/>
    <s v="Confirmed"/>
    <m/>
    <x v="0"/>
    <x v="0"/>
    <m/>
    <x v="1"/>
    <x v="1"/>
    <m/>
    <n v="0"/>
    <x v="0"/>
    <s v=""/>
    <n v="3074419112.4562683"/>
  </r>
  <r>
    <x v="0"/>
    <x v="66"/>
    <x v="66"/>
    <x v="3"/>
    <x v="0"/>
    <x v="4"/>
    <x v="22"/>
    <x v="10"/>
    <s v="Multi-Year"/>
    <x v="1"/>
    <s v="N/A"/>
    <n v="2702000"/>
    <s v="Confirmed"/>
    <m/>
    <x v="0"/>
    <x v="0"/>
    <m/>
    <x v="2"/>
    <x v="0"/>
    <m/>
    <n v="0"/>
    <x v="0"/>
    <s v="High"/>
    <n v="1914014279.8929913"/>
  </r>
  <r>
    <x v="0"/>
    <x v="67"/>
    <x v="67"/>
    <x v="6"/>
    <x v="0"/>
    <x v="4"/>
    <x v="22"/>
    <x v="10"/>
    <s v="Multi-Year"/>
    <x v="1"/>
    <s v="N/A"/>
    <n v="99000"/>
    <s v="Confirmed"/>
    <m/>
    <x v="0"/>
    <x v="0"/>
    <m/>
    <x v="2"/>
    <x v="0"/>
    <m/>
    <n v="0"/>
    <x v="1"/>
    <s v="High"/>
    <n v="17422005.762907442"/>
  </r>
  <r>
    <x v="0"/>
    <x v="68"/>
    <x v="68"/>
    <x v="6"/>
    <x v="0"/>
    <x v="4"/>
    <x v="22"/>
    <x v="10"/>
    <s v="Multi-Year"/>
    <x v="1"/>
    <s v="N/A"/>
    <s v=""/>
    <s v="Confirmed"/>
    <m/>
    <x v="0"/>
    <x v="0"/>
    <m/>
    <x v="0"/>
    <x v="0"/>
    <m/>
    <n v="0"/>
    <x v="0"/>
    <s v="N/A"/>
    <s v=""/>
  </r>
  <r>
    <x v="0"/>
    <x v="69"/>
    <x v="69"/>
    <x v="1"/>
    <x v="0"/>
    <x v="4"/>
    <x v="22"/>
    <x v="10"/>
    <s v="Multi-Year"/>
    <x v="1"/>
    <s v="N/A"/>
    <s v=""/>
    <s v="Confirmed"/>
    <m/>
    <x v="0"/>
    <x v="0"/>
    <m/>
    <x v="1"/>
    <x v="0"/>
    <m/>
    <n v="0"/>
    <x v="0"/>
    <s v="…"/>
    <s v=""/>
  </r>
  <r>
    <x v="0"/>
    <x v="70"/>
    <x v="70"/>
    <x v="1"/>
    <x v="0"/>
    <x v="4"/>
    <x v="22"/>
    <x v="10"/>
    <s v="Multi-Year"/>
    <x v="1"/>
    <s v="N/A"/>
    <s v=""/>
    <s v="Confirmed"/>
    <m/>
    <x v="0"/>
    <x v="0"/>
    <m/>
    <x v="2"/>
    <x v="0"/>
    <m/>
    <n v="2"/>
    <x v="0"/>
    <s v="Moderate"/>
    <n v="231506834.84347546"/>
  </r>
  <r>
    <x v="0"/>
    <x v="71"/>
    <x v="71"/>
    <x v="6"/>
    <x v="0"/>
    <x v="4"/>
    <x v="22"/>
    <x v="10"/>
    <s v="Multi-Year"/>
    <x v="1"/>
    <s v="N/A"/>
    <n v="248000"/>
    <s v="Confirmed"/>
    <m/>
    <x v="0"/>
    <x v="0"/>
    <m/>
    <x v="2"/>
    <x v="0"/>
    <m/>
    <n v="0"/>
    <x v="0"/>
    <s v="High"/>
    <n v="156059428.62944782"/>
  </r>
  <r>
    <x v="0"/>
    <x v="72"/>
    <x v="72"/>
    <x v="2"/>
    <x v="0"/>
    <x v="4"/>
    <x v="22"/>
    <x v="10"/>
    <s v="Multi-Year"/>
    <x v="1"/>
    <s v="N/A"/>
    <s v=""/>
    <s v="Confirmed"/>
    <m/>
    <x v="0"/>
    <x v="0"/>
    <m/>
    <x v="1"/>
    <x v="1"/>
    <m/>
    <n v="0"/>
    <x v="0"/>
    <s v="N/A"/>
    <n v="2355391507.1635861"/>
  </r>
  <r>
    <x v="0"/>
    <x v="73"/>
    <x v="73"/>
    <x v="3"/>
    <x v="0"/>
    <x v="4"/>
    <x v="22"/>
    <x v="10"/>
    <s v="Multi-Year"/>
    <x v="1"/>
    <s v="N/A"/>
    <s v=""/>
    <s v="Confirmed"/>
    <m/>
    <x v="0"/>
    <x v="0"/>
    <m/>
    <x v="2"/>
    <x v="0"/>
    <m/>
    <n v="0"/>
    <x v="0"/>
    <s v="Moderate"/>
    <n v="152760919.7684873"/>
  </r>
  <r>
    <x v="0"/>
    <x v="74"/>
    <x v="74"/>
    <x v="5"/>
    <x v="0"/>
    <x v="4"/>
    <x v="22"/>
    <x v="10"/>
    <s v="Multi-Year"/>
    <x v="1"/>
    <s v="N/A"/>
    <s v=""/>
    <s v="Confirmed"/>
    <m/>
    <x v="0"/>
    <x v="0"/>
    <m/>
    <x v="0"/>
    <x v="0"/>
    <m/>
    <n v="0"/>
    <x v="0"/>
    <s v="High"/>
    <n v="55072006.864440605"/>
  </r>
  <r>
    <x v="0"/>
    <x v="75"/>
    <x v="75"/>
    <x v="2"/>
    <x v="0"/>
    <x v="4"/>
    <x v="22"/>
    <x v="10"/>
    <s v="Multi-Year"/>
    <x v="1"/>
    <s v="N/A"/>
    <s v=""/>
    <s v="Confirmed"/>
    <m/>
    <x v="0"/>
    <x v="0"/>
    <m/>
    <x v="1"/>
    <x v="1"/>
    <m/>
    <n v="0"/>
    <x v="0"/>
    <s v="N/A"/>
    <s v=""/>
  </r>
  <r>
    <x v="0"/>
    <x v="76"/>
    <x v="76"/>
    <x v="3"/>
    <x v="0"/>
    <x v="4"/>
    <x v="22"/>
    <x v="10"/>
    <s v="Multi-Year"/>
    <x v="1"/>
    <s v="N/A"/>
    <s v=""/>
    <s v="Confirmed"/>
    <m/>
    <x v="0"/>
    <x v="0"/>
    <m/>
    <x v="0"/>
    <x v="0"/>
    <m/>
    <n v="2"/>
    <x v="0"/>
    <s v="Moderate"/>
    <n v="206914157.05429548"/>
  </r>
  <r>
    <x v="0"/>
    <x v="77"/>
    <x v="77"/>
    <x v="3"/>
    <x v="0"/>
    <x v="4"/>
    <x v="22"/>
    <x v="10"/>
    <s v="Multi-Year"/>
    <x v="1"/>
    <s v="N/A"/>
    <s v=""/>
    <s v="Confirmed"/>
    <m/>
    <x v="0"/>
    <x v="0"/>
    <m/>
    <x v="0"/>
    <x v="0"/>
    <m/>
    <n v="2"/>
    <x v="0"/>
    <s v="High"/>
    <n v="185999915.02066413"/>
  </r>
  <r>
    <x v="0"/>
    <x v="78"/>
    <x v="78"/>
    <x v="6"/>
    <x v="0"/>
    <x v="4"/>
    <x v="22"/>
    <x v="10"/>
    <s v="Multi-Year"/>
    <x v="1"/>
    <s v="N/A"/>
    <s v=""/>
    <s v="Confirmed"/>
    <m/>
    <x v="0"/>
    <x v="0"/>
    <m/>
    <x v="1"/>
    <x v="1"/>
    <m/>
    <n v="0"/>
    <x v="0"/>
    <s v=""/>
    <n v="6893755763.2501726"/>
  </r>
  <r>
    <x v="0"/>
    <x v="79"/>
    <x v="79"/>
    <x v="0"/>
    <x v="0"/>
    <x v="4"/>
    <x v="22"/>
    <x v="10"/>
    <s v="Multi-Year"/>
    <x v="1"/>
    <s v="N/A"/>
    <s v=""/>
    <s v="Confirmed"/>
    <m/>
    <x v="0"/>
    <x v="0"/>
    <m/>
    <x v="1"/>
    <x v="0"/>
    <m/>
    <n v="0"/>
    <x v="1"/>
    <s v="High"/>
    <n v="354560231.58276606"/>
  </r>
  <r>
    <x v="0"/>
    <x v="80"/>
    <x v="80"/>
    <x v="5"/>
    <x v="0"/>
    <x v="4"/>
    <x v="22"/>
    <x v="10"/>
    <s v="Multi-Year"/>
    <x v="1"/>
    <s v="N/A"/>
    <s v=""/>
    <s v="Confirmed"/>
    <m/>
    <x v="0"/>
    <x v="0"/>
    <m/>
    <x v="0"/>
    <x v="0"/>
    <m/>
    <n v="1"/>
    <x v="0"/>
    <s v="Moderate"/>
    <n v="188169167.56540567"/>
  </r>
  <r>
    <x v="0"/>
    <x v="81"/>
    <x v="81"/>
    <x v="6"/>
    <x v="0"/>
    <x v="4"/>
    <x v="22"/>
    <x v="10"/>
    <s v="Multi-Year"/>
    <x v="1"/>
    <s v="N/A"/>
    <s v=""/>
    <s v="Confirmed"/>
    <m/>
    <x v="0"/>
    <x v="0"/>
    <m/>
    <x v="1"/>
    <x v="0"/>
    <m/>
    <n v="0"/>
    <x v="1"/>
    <s v=""/>
    <n v="16312106.556340856"/>
  </r>
  <r>
    <x v="0"/>
    <x v="82"/>
    <x v="82"/>
    <x v="5"/>
    <x v="0"/>
    <x v="4"/>
    <x v="22"/>
    <x v="10"/>
    <s v="Multi-Year"/>
    <x v="1"/>
    <s v="N/A"/>
    <s v=""/>
    <s v="Confirmed"/>
    <m/>
    <x v="0"/>
    <x v="0"/>
    <m/>
    <x v="2"/>
    <x v="0"/>
    <m/>
    <n v="2"/>
    <x v="0"/>
    <s v="High"/>
    <n v="86083833.534053758"/>
  </r>
  <r>
    <x v="0"/>
    <x v="83"/>
    <x v="83"/>
    <x v="3"/>
    <x v="0"/>
    <x v="4"/>
    <x v="22"/>
    <x v="10"/>
    <s v="Multi-Year"/>
    <x v="1"/>
    <s v="N/A"/>
    <s v=""/>
    <s v="Confirmed"/>
    <m/>
    <x v="0"/>
    <x v="0"/>
    <m/>
    <x v="1"/>
    <x v="1"/>
    <m/>
    <n v="0"/>
    <x v="1"/>
    <s v="N/A"/>
    <n v="357220835.93762809"/>
  </r>
  <r>
    <x v="0"/>
    <x v="84"/>
    <x v="84"/>
    <x v="4"/>
    <x v="0"/>
    <x v="4"/>
    <x v="22"/>
    <x v="10"/>
    <s v="Multi-Year"/>
    <x v="1"/>
    <s v="N/A"/>
    <s v=""/>
    <s v="Confirmed"/>
    <m/>
    <x v="0"/>
    <x v="0"/>
    <m/>
    <x v="1"/>
    <x v="1"/>
    <m/>
    <n v="0"/>
    <x v="0"/>
    <s v=""/>
    <n v="32831598153.796387"/>
  </r>
  <r>
    <x v="0"/>
    <x v="85"/>
    <x v="85"/>
    <x v="6"/>
    <x v="0"/>
    <x v="4"/>
    <x v="22"/>
    <x v="10"/>
    <s v="Multi-Year"/>
    <x v="1"/>
    <s v="N/A"/>
    <s v=""/>
    <s v="Confirmed"/>
    <m/>
    <x v="0"/>
    <x v="0"/>
    <m/>
    <x v="2"/>
    <x v="0"/>
    <m/>
    <n v="0"/>
    <x v="1"/>
    <s v="High"/>
    <n v="12329056.093798399"/>
  </r>
  <r>
    <x v="0"/>
    <x v="86"/>
    <x v="86"/>
    <x v="1"/>
    <x v="0"/>
    <x v="4"/>
    <x v="22"/>
    <x v="10"/>
    <s v="Multi-Year"/>
    <x v="1"/>
    <s v="N/A"/>
    <s v=""/>
    <s v="Confirmed"/>
    <m/>
    <x v="0"/>
    <x v="0"/>
    <m/>
    <x v="1"/>
    <x v="0"/>
    <m/>
    <n v="0"/>
    <x v="0"/>
    <s v="Low"/>
    <n v="426639742.85328001"/>
  </r>
  <r>
    <x v="0"/>
    <x v="87"/>
    <x v="87"/>
    <x v="6"/>
    <x v="0"/>
    <x v="4"/>
    <x v="22"/>
    <x v="10"/>
    <s v="Multi-Year"/>
    <x v="1"/>
    <s v="N/A"/>
    <n v="99000"/>
    <s v="Confirmed"/>
    <m/>
    <x v="0"/>
    <x v="0"/>
    <m/>
    <x v="2"/>
    <x v="0"/>
    <m/>
    <n v="0"/>
    <x v="0"/>
    <s v="…"/>
    <n v="288519671.85870522"/>
  </r>
  <r>
    <x v="0"/>
    <x v="88"/>
    <x v="88"/>
    <x v="1"/>
    <x v="0"/>
    <x v="4"/>
    <x v="22"/>
    <x v="10"/>
    <s v="Multi-Year"/>
    <x v="1"/>
    <s v="N/A"/>
    <s v=""/>
    <s v="Confirmed"/>
    <m/>
    <x v="0"/>
    <x v="0"/>
    <m/>
    <x v="1"/>
    <x v="1"/>
    <m/>
    <n v="0"/>
    <x v="0"/>
    <s v="N/A"/>
    <n v="275606560.78491527"/>
  </r>
  <r>
    <x v="0"/>
    <x v="89"/>
    <x v="89"/>
    <x v="2"/>
    <x v="0"/>
    <x v="4"/>
    <x v="22"/>
    <x v="10"/>
    <s v="Multi-Year"/>
    <x v="1"/>
    <s v="N/A"/>
    <s v=""/>
    <s v="Confirmed"/>
    <m/>
    <x v="0"/>
    <x v="0"/>
    <m/>
    <x v="2"/>
    <x v="0"/>
    <m/>
    <n v="0"/>
    <x v="0"/>
    <s v="N/A"/>
    <n v="2530937679.3725696"/>
  </r>
  <r>
    <x v="0"/>
    <x v="90"/>
    <x v="90"/>
    <x v="3"/>
    <x v="0"/>
    <x v="4"/>
    <x v="22"/>
    <x v="10"/>
    <s v="Multi-Year"/>
    <x v="1"/>
    <s v="N/A"/>
    <n v="1328000"/>
    <s v="Confirmed"/>
    <m/>
    <x v="0"/>
    <x v="0"/>
    <m/>
    <x v="0"/>
    <x v="0"/>
    <m/>
    <n v="0"/>
    <x v="0"/>
    <s v="In distress"/>
    <n v="251432156.86255455"/>
  </r>
  <r>
    <x v="0"/>
    <x v="91"/>
    <x v="91"/>
    <x v="6"/>
    <x v="0"/>
    <x v="4"/>
    <x v="22"/>
    <x v="10"/>
    <s v="Multi-Year"/>
    <x v="1"/>
    <s v="N/A"/>
    <s v=""/>
    <s v="Confirmed"/>
    <m/>
    <x v="0"/>
    <x v="0"/>
    <m/>
    <x v="2"/>
    <x v="0"/>
    <m/>
    <n v="0"/>
    <x v="0"/>
    <s v="Low"/>
    <n v="471534500.60109437"/>
  </r>
  <r>
    <x v="0"/>
    <x v="92"/>
    <x v="92"/>
    <x v="3"/>
    <x v="0"/>
    <x v="4"/>
    <x v="22"/>
    <x v="10"/>
    <s v="Multi-Year"/>
    <x v="1"/>
    <s v="N/A"/>
    <s v=""/>
    <s v="Confirmed"/>
    <m/>
    <x v="0"/>
    <x v="0"/>
    <m/>
    <x v="1"/>
    <x v="1"/>
    <m/>
    <n v="0"/>
    <x v="0"/>
    <s v=""/>
    <n v="531677611.80447447"/>
  </r>
  <r>
    <x v="0"/>
    <x v="93"/>
    <x v="93"/>
    <x v="6"/>
    <x v="0"/>
    <x v="4"/>
    <x v="22"/>
    <x v="10"/>
    <s v="Multi-Year"/>
    <x v="1"/>
    <s v="N/A"/>
    <s v=""/>
    <s v="Confirmed"/>
    <m/>
    <x v="0"/>
    <x v="0"/>
    <m/>
    <x v="3"/>
    <x v="1"/>
    <m/>
    <n v="0"/>
    <x v="1"/>
    <s v=""/>
    <n v="8528751.6418357007"/>
  </r>
  <r>
    <x v="0"/>
    <x v="94"/>
    <x v="94"/>
    <x v="0"/>
    <x v="0"/>
    <x v="4"/>
    <x v="22"/>
    <x v="10"/>
    <s v="Multi-Year"/>
    <x v="1"/>
    <s v="N/A"/>
    <n v="99000"/>
    <s v="Confirmed"/>
    <m/>
    <x v="0"/>
    <x v="0"/>
    <m/>
    <x v="2"/>
    <x v="0"/>
    <m/>
    <n v="0"/>
    <x v="0"/>
    <s v="Low"/>
    <n v="407084543.19089872"/>
  </r>
  <r>
    <x v="0"/>
    <x v="95"/>
    <x v="95"/>
    <x v="4"/>
    <x v="0"/>
    <x v="4"/>
    <x v="22"/>
    <x v="10"/>
    <s v="Multi-Year"/>
    <x v="1"/>
    <s v="N/A"/>
    <s v=""/>
    <s v="Confirmed"/>
    <m/>
    <x v="0"/>
    <x v="0"/>
    <m/>
    <x v="2"/>
    <x v="0"/>
    <m/>
    <n v="0"/>
    <x v="0"/>
    <s v="Moderate"/>
    <n v="671998341.93592453"/>
  </r>
  <r>
    <x v="0"/>
    <x v="96"/>
    <x v="96"/>
    <x v="5"/>
    <x v="0"/>
    <x v="4"/>
    <x v="22"/>
    <x v="10"/>
    <s v="Multi-Year"/>
    <x v="1"/>
    <s v="N/A"/>
    <s v=""/>
    <s v="Confirmed"/>
    <m/>
    <x v="0"/>
    <x v="0"/>
    <m/>
    <x v="0"/>
    <x v="0"/>
    <m/>
    <n v="1"/>
    <x v="0"/>
    <s v="Moderate"/>
    <n v="226203289.67158964"/>
  </r>
  <r>
    <x v="0"/>
    <x v="97"/>
    <x v="97"/>
    <x v="5"/>
    <x v="0"/>
    <x v="4"/>
    <x v="22"/>
    <x v="10"/>
    <s v="Multi-Year"/>
    <x v="1"/>
    <s v="N/A"/>
    <n v="1714000"/>
    <s v="Confirmed"/>
    <m/>
    <x v="0"/>
    <x v="0"/>
    <m/>
    <x v="2"/>
    <x v="0"/>
    <m/>
    <n v="3"/>
    <x v="0"/>
    <s v="…"/>
    <n v="2438881113.1244688"/>
  </r>
  <r>
    <x v="0"/>
    <x v="98"/>
    <x v="98"/>
    <x v="1"/>
    <x v="0"/>
    <x v="4"/>
    <x v="22"/>
    <x v="10"/>
    <s v="Multi-Year"/>
    <x v="1"/>
    <s v="N/A"/>
    <s v=""/>
    <s v="Confirmed"/>
    <m/>
    <x v="0"/>
    <x v="0"/>
    <m/>
    <x v="1"/>
    <x v="1"/>
    <m/>
    <n v="0"/>
    <x v="0"/>
    <s v=""/>
    <n v="476517795.73174149"/>
  </r>
  <r>
    <x v="0"/>
    <x v="99"/>
    <x v="99"/>
    <x v="0"/>
    <x v="0"/>
    <x v="4"/>
    <x v="22"/>
    <x v="10"/>
    <s v="Multi-Year"/>
    <x v="1"/>
    <s v="N/A"/>
    <n v="697000"/>
    <s v="Confirmed"/>
    <m/>
    <x v="0"/>
    <x v="0"/>
    <m/>
    <x v="2"/>
    <x v="0"/>
    <m/>
    <n v="0"/>
    <x v="0"/>
    <s v="…"/>
    <n v="3233351297.7679496"/>
  </r>
  <r>
    <x v="0"/>
    <x v="100"/>
    <x v="100"/>
    <x v="4"/>
    <x v="0"/>
    <x v="4"/>
    <x v="22"/>
    <x v="10"/>
    <s v="Multi-Year"/>
    <x v="1"/>
    <s v="N/A"/>
    <s v=""/>
    <s v="Confirmed"/>
    <m/>
    <x v="0"/>
    <x v="0"/>
    <m/>
    <x v="3"/>
    <x v="1"/>
    <m/>
    <n v="0"/>
    <x v="1"/>
    <s v=""/>
    <n v="18180646.808608256"/>
  </r>
  <r>
    <x v="0"/>
    <x v="101"/>
    <x v="101"/>
    <x v="4"/>
    <x v="0"/>
    <x v="4"/>
    <x v="22"/>
    <x v="10"/>
    <s v="Multi-Year"/>
    <x v="1"/>
    <s v="N/A"/>
    <s v=""/>
    <s v="Confirmed"/>
    <m/>
    <x v="0"/>
    <x v="0"/>
    <m/>
    <x v="1"/>
    <x v="1"/>
    <m/>
    <n v="0"/>
    <x v="0"/>
    <s v="N/A"/>
    <n v="3020530707.3485303"/>
  </r>
  <r>
    <x v="0"/>
    <x v="102"/>
    <x v="102"/>
    <x v="6"/>
    <x v="0"/>
    <x v="4"/>
    <x v="22"/>
    <x v="10"/>
    <s v="Multi-Year"/>
    <x v="1"/>
    <s v="N/A"/>
    <s v=""/>
    <s v="Confirmed"/>
    <m/>
    <x v="0"/>
    <x v="0"/>
    <m/>
    <x v="2"/>
    <x v="0"/>
    <m/>
    <n v="1"/>
    <x v="1"/>
    <s v="High"/>
    <n v="384406316.46074712"/>
  </r>
  <r>
    <x v="0"/>
    <x v="103"/>
    <x v="103"/>
    <x v="4"/>
    <x v="0"/>
    <x v="4"/>
    <x v="22"/>
    <x v="10"/>
    <s v="Multi-Year"/>
    <x v="1"/>
    <s v="N/A"/>
    <s v=""/>
    <s v="Confirmed"/>
    <m/>
    <x v="0"/>
    <x v="0"/>
    <m/>
    <x v="1"/>
    <x v="1"/>
    <m/>
    <n v="0"/>
    <x v="0"/>
    <s v=""/>
    <n v="1218747108.9554784"/>
  </r>
  <r>
    <x v="0"/>
    <x v="104"/>
    <x v="104"/>
    <x v="4"/>
    <x v="0"/>
    <x v="4"/>
    <x v="22"/>
    <x v="10"/>
    <s v="Multi-Year"/>
    <x v="1"/>
    <s v="N/A"/>
    <s v=""/>
    <s v="Confirmed"/>
    <m/>
    <x v="0"/>
    <x v="0"/>
    <m/>
    <x v="1"/>
    <x v="1"/>
    <m/>
    <n v="0"/>
    <x v="0"/>
    <s v=""/>
    <n v="7392665952.5895758"/>
  </r>
  <r>
    <x v="0"/>
    <x v="105"/>
    <x v="105"/>
    <x v="6"/>
    <x v="0"/>
    <x v="4"/>
    <x v="22"/>
    <x v="10"/>
    <s v="Multi-Year"/>
    <x v="1"/>
    <s v="N/A"/>
    <n v="99000"/>
    <s v="Confirmed"/>
    <m/>
    <x v="0"/>
    <x v="0"/>
    <m/>
    <x v="2"/>
    <x v="0"/>
    <m/>
    <n v="0"/>
    <x v="0"/>
    <s v="N/A"/>
    <n v="4754985988.6004429"/>
  </r>
  <r>
    <x v="0"/>
    <x v="106"/>
    <x v="106"/>
    <x v="1"/>
    <x v="0"/>
    <x v="4"/>
    <x v="22"/>
    <x v="10"/>
    <s v="Multi-Year"/>
    <x v="1"/>
    <s v="N/A"/>
    <s v=""/>
    <s v="Confirmed"/>
    <m/>
    <x v="0"/>
    <x v="0"/>
    <m/>
    <x v="3"/>
    <x v="1"/>
    <m/>
    <n v="0"/>
    <x v="0"/>
    <s v=""/>
    <n v="26422210443.037273"/>
  </r>
  <r>
    <x v="0"/>
    <x v="107"/>
    <x v="107"/>
    <x v="1"/>
    <x v="0"/>
    <x v="4"/>
    <x v="22"/>
    <x v="10"/>
    <s v="Multi-Year"/>
    <x v="1"/>
    <s v="N/A"/>
    <s v=""/>
    <s v="Confirmed"/>
    <m/>
    <x v="0"/>
    <x v="0"/>
    <m/>
    <x v="1"/>
    <x v="1"/>
    <m/>
    <n v="0"/>
    <x v="0"/>
    <s v=""/>
    <n v="10696495313.15033"/>
  </r>
  <r>
    <x v="0"/>
    <x v="108"/>
    <x v="108"/>
    <x v="1"/>
    <x v="0"/>
    <x v="4"/>
    <x v="22"/>
    <x v="10"/>
    <s v="Multi-Year"/>
    <x v="1"/>
    <s v="N/A"/>
    <s v=""/>
    <s v="Confirmed"/>
    <m/>
    <x v="0"/>
    <x v="0"/>
    <m/>
    <x v="1"/>
    <x v="1"/>
    <m/>
    <n v="0"/>
    <x v="0"/>
    <s v=""/>
    <n v="52769713433.240509"/>
  </r>
  <r>
    <x v="0"/>
    <x v="109"/>
    <x v="109"/>
    <x v="3"/>
    <x v="0"/>
    <x v="4"/>
    <x v="22"/>
    <x v="10"/>
    <s v="Multi-Year"/>
    <x v="1"/>
    <s v="N/A"/>
    <s v=""/>
    <s v="Confirmed"/>
    <m/>
    <x v="0"/>
    <x v="0"/>
    <m/>
    <x v="0"/>
    <x v="0"/>
    <m/>
    <n v="0"/>
    <x v="0"/>
    <s v="Moderate"/>
    <n v="225799814.51943746"/>
  </r>
  <r>
    <x v="0"/>
    <x v="110"/>
    <x v="110"/>
    <x v="6"/>
    <x v="0"/>
    <x v="4"/>
    <x v="22"/>
    <x v="10"/>
    <s v="Multi-Year"/>
    <x v="1"/>
    <s v="N/A"/>
    <s v=""/>
    <s v="Confirmed"/>
    <m/>
    <x v="0"/>
    <x v="0"/>
    <m/>
    <x v="2"/>
    <x v="0"/>
    <m/>
    <n v="0"/>
    <x v="1"/>
    <s v="High"/>
    <n v="32192988.027009469"/>
  </r>
  <r>
    <x v="0"/>
    <x v="111"/>
    <x v="111"/>
    <x v="5"/>
    <x v="0"/>
    <x v="4"/>
    <x v="22"/>
    <x v="10"/>
    <s v="Multi-Year"/>
    <x v="1"/>
    <s v="N/A"/>
    <s v=""/>
    <s v="Confirmed"/>
    <m/>
    <x v="0"/>
    <x v="0"/>
    <m/>
    <x v="2"/>
    <x v="0"/>
    <m/>
    <n v="0"/>
    <x v="1"/>
    <s v="In distress"/>
    <n v="11633535.136477679"/>
  </r>
  <r>
    <x v="0"/>
    <x v="112"/>
    <x v="112"/>
    <x v="5"/>
    <x v="0"/>
    <x v="4"/>
    <x v="22"/>
    <x v="10"/>
    <s v="Multi-Year"/>
    <x v="1"/>
    <s v="N/A"/>
    <s v=""/>
    <s v="Confirmed"/>
    <m/>
    <x v="0"/>
    <x v="0"/>
    <m/>
    <x v="2"/>
    <x v="0"/>
    <m/>
    <n v="2"/>
    <x v="0"/>
    <s v="Moderate"/>
    <n v="222008693.93354639"/>
  </r>
  <r>
    <x v="0"/>
    <x v="113"/>
    <x v="113"/>
    <x v="1"/>
    <x v="0"/>
    <x v="4"/>
    <x v="22"/>
    <x v="10"/>
    <s v="Multi-Year"/>
    <x v="1"/>
    <s v="N/A"/>
    <s v=""/>
    <s v="Confirmed"/>
    <m/>
    <x v="0"/>
    <x v="0"/>
    <m/>
    <x v="1"/>
    <x v="1"/>
    <m/>
    <n v="0"/>
    <x v="0"/>
    <s v=""/>
    <n v="2564993795.1894679"/>
  </r>
  <r>
    <x v="0"/>
    <x v="114"/>
    <x v="114"/>
    <x v="3"/>
    <x v="0"/>
    <x v="4"/>
    <x v="22"/>
    <x v="10"/>
    <s v="Multi-Year"/>
    <x v="1"/>
    <s v="N/A"/>
    <s v=""/>
    <s v="Confirmed"/>
    <m/>
    <x v="0"/>
    <x v="0"/>
    <m/>
    <x v="3"/>
    <x v="1"/>
    <m/>
    <n v="0"/>
    <x v="1"/>
    <s v="N/A"/>
    <n v="60237542.945069775"/>
  </r>
  <r>
    <x v="0"/>
    <x v="115"/>
    <x v="115"/>
    <x v="5"/>
    <x v="0"/>
    <x v="4"/>
    <x v="22"/>
    <x v="10"/>
    <s v="Multi-Year"/>
    <x v="1"/>
    <s v="N/A"/>
    <s v=""/>
    <s v="Confirmed"/>
    <m/>
    <x v="0"/>
    <x v="0"/>
    <m/>
    <x v="0"/>
    <x v="0"/>
    <m/>
    <n v="0"/>
    <x v="0"/>
    <s v="High"/>
    <n v="63738640.538260505"/>
  </r>
  <r>
    <x v="0"/>
    <x v="116"/>
    <x v="116"/>
    <x v="6"/>
    <x v="0"/>
    <x v="4"/>
    <x v="22"/>
    <x v="10"/>
    <s v="Multi-Year"/>
    <x v="1"/>
    <s v="N/A"/>
    <s v=""/>
    <s v="Confirmed"/>
    <m/>
    <x v="0"/>
    <x v="0"/>
    <m/>
    <x v="2"/>
    <x v="0"/>
    <m/>
    <n v="0"/>
    <x v="1"/>
    <s v="Moderate"/>
    <n v="49012774.055630356"/>
  </r>
  <r>
    <x v="0"/>
    <x v="117"/>
    <x v="117"/>
    <x v="3"/>
    <x v="0"/>
    <x v="4"/>
    <x v="22"/>
    <x v="10"/>
    <s v="Multi-Year"/>
    <x v="1"/>
    <s v="N/A"/>
    <s v=""/>
    <s v="Confirmed"/>
    <m/>
    <x v="0"/>
    <x v="0"/>
    <m/>
    <x v="0"/>
    <x v="0"/>
    <m/>
    <n v="1"/>
    <x v="0"/>
    <s v="In distress"/>
    <s v=""/>
  </r>
  <r>
    <x v="0"/>
    <x v="118"/>
    <x v="118"/>
    <x v="3"/>
    <x v="0"/>
    <x v="4"/>
    <x v="22"/>
    <x v="10"/>
    <s v="Multi-Year"/>
    <x v="1"/>
    <s v="N/A"/>
    <n v="987000"/>
    <s v="Confirmed"/>
    <m/>
    <x v="0"/>
    <x v="0"/>
    <m/>
    <x v="1"/>
    <x v="1"/>
    <m/>
    <n v="0"/>
    <x v="0"/>
    <s v="N/A"/>
    <n v="16429121142.784708"/>
  </r>
  <r>
    <x v="0"/>
    <x v="119"/>
    <x v="119"/>
    <x v="3"/>
    <x v="0"/>
    <x v="4"/>
    <x v="22"/>
    <x v="10"/>
    <s v="Multi-Year"/>
    <x v="1"/>
    <s v="N/A"/>
    <s v=""/>
    <s v="Confirmed"/>
    <m/>
    <x v="0"/>
    <x v="0"/>
    <m/>
    <x v="0"/>
    <x v="0"/>
    <m/>
    <n v="1"/>
    <x v="0"/>
    <s v="High"/>
    <n v="31684581.76217727"/>
  </r>
  <r>
    <x v="0"/>
    <x v="120"/>
    <x v="120"/>
    <x v="0"/>
    <x v="0"/>
    <x v="4"/>
    <x v="22"/>
    <x v="10"/>
    <s v="Multi-Year"/>
    <x v="1"/>
    <s v="N/A"/>
    <s v=""/>
    <s v="Confirmed"/>
    <m/>
    <x v="0"/>
    <x v="0"/>
    <m/>
    <x v="2"/>
    <x v="0"/>
    <m/>
    <n v="0"/>
    <x v="0"/>
    <s v="N/A"/>
    <n v="1373621563.5182886"/>
  </r>
  <r>
    <x v="0"/>
    <x v="121"/>
    <x v="121"/>
    <x v="4"/>
    <x v="0"/>
    <x v="4"/>
    <x v="22"/>
    <x v="10"/>
    <s v="Multi-Year"/>
    <x v="1"/>
    <s v="N/A"/>
    <s v=""/>
    <s v="Confirmed"/>
    <m/>
    <x v="0"/>
    <x v="0"/>
    <m/>
    <x v="3"/>
    <x v="1"/>
    <m/>
    <n v="0"/>
    <x v="1"/>
    <s v=""/>
    <n v="24214370.889062837"/>
  </r>
  <r>
    <x v="0"/>
    <x v="122"/>
    <x v="122"/>
    <x v="4"/>
    <x v="0"/>
    <x v="4"/>
    <x v="22"/>
    <x v="10"/>
    <s v="Multi-Year"/>
    <x v="1"/>
    <s v="N/A"/>
    <s v=""/>
    <s v="Confirmed"/>
    <m/>
    <x v="0"/>
    <x v="0"/>
    <m/>
    <x v="1"/>
    <x v="0"/>
    <m/>
    <n v="0"/>
    <x v="1"/>
    <s v="…"/>
    <n v="39941279.609447442"/>
  </r>
  <r>
    <x v="0"/>
    <x v="123"/>
    <x v="123"/>
    <x v="4"/>
    <x v="0"/>
    <x v="4"/>
    <x v="22"/>
    <x v="10"/>
    <s v="Multi-Year"/>
    <x v="1"/>
    <s v="N/A"/>
    <s v=""/>
    <s v="Confirmed"/>
    <m/>
    <x v="0"/>
    <x v="0"/>
    <m/>
    <x v="1"/>
    <x v="0"/>
    <m/>
    <n v="0"/>
    <x v="1"/>
    <s v="High"/>
    <n v="24761675.260059897"/>
  </r>
  <r>
    <x v="0"/>
    <x v="124"/>
    <x v="124"/>
    <x v="2"/>
    <x v="0"/>
    <x v="4"/>
    <x v="22"/>
    <x v="10"/>
    <s v="Multi-Year"/>
    <x v="1"/>
    <s v="N/A"/>
    <s v=""/>
    <s v="Confirmed"/>
    <m/>
    <x v="0"/>
    <x v="0"/>
    <m/>
    <x v="2"/>
    <x v="0"/>
    <m/>
    <n v="0"/>
    <x v="0"/>
    <s v="N/A"/>
    <s v=""/>
  </r>
  <r>
    <x v="0"/>
    <x v="125"/>
    <x v="125"/>
    <x v="2"/>
    <x v="0"/>
    <x v="4"/>
    <x v="22"/>
    <x v="10"/>
    <s v="Multi-Year"/>
    <x v="1"/>
    <s v="N/A"/>
    <s v=""/>
    <s v="Confirmed"/>
    <m/>
    <x v="0"/>
    <x v="0"/>
    <m/>
    <x v="0"/>
    <x v="0"/>
    <m/>
    <n v="1"/>
    <x v="0"/>
    <s v="N/A"/>
    <n v="577156172.71229994"/>
  </r>
  <r>
    <x v="0"/>
    <x v="126"/>
    <x v="126"/>
    <x v="6"/>
    <x v="0"/>
    <x v="4"/>
    <x v="22"/>
    <x v="10"/>
    <s v="Multi-Year"/>
    <x v="1"/>
    <s v="N/A"/>
    <s v=""/>
    <s v="Confirmed"/>
    <m/>
    <x v="0"/>
    <x v="0"/>
    <m/>
    <x v="1"/>
    <x v="1"/>
    <m/>
    <n v="0"/>
    <x v="1"/>
    <s v=""/>
    <n v="180052034.19851837"/>
  </r>
  <r>
    <x v="0"/>
    <x v="127"/>
    <x v="127"/>
    <x v="2"/>
    <x v="0"/>
    <x v="4"/>
    <x v="22"/>
    <x v="10"/>
    <s v="Multi-Year"/>
    <x v="1"/>
    <s v="N/A"/>
    <s v=""/>
    <s v="Confirmed"/>
    <m/>
    <x v="0"/>
    <x v="0"/>
    <m/>
    <x v="0"/>
    <x v="0"/>
    <m/>
    <n v="1"/>
    <x v="0"/>
    <s v="N/A"/>
    <s v=""/>
  </r>
  <r>
    <x v="0"/>
    <x v="128"/>
    <x v="128"/>
    <x v="1"/>
    <x v="0"/>
    <x v="4"/>
    <x v="22"/>
    <x v="10"/>
    <s v="Multi-Year"/>
    <x v="1"/>
    <s v="N/A"/>
    <s v=""/>
    <s v="Confirmed"/>
    <m/>
    <x v="0"/>
    <x v="0"/>
    <m/>
    <x v="2"/>
    <x v="0"/>
    <m/>
    <n v="0"/>
    <x v="0"/>
    <s v="High"/>
    <n v="147296124.32232863"/>
  </r>
  <r>
    <x v="0"/>
    <x v="129"/>
    <x v="129"/>
    <x v="3"/>
    <x v="0"/>
    <x v="4"/>
    <x v="22"/>
    <x v="10"/>
    <s v="Multi-Year"/>
    <x v="1"/>
    <s v="N/A"/>
    <s v=""/>
    <s v="Confirmed"/>
    <m/>
    <x v="0"/>
    <x v="0"/>
    <m/>
    <x v="2"/>
    <x v="0"/>
    <m/>
    <n v="0"/>
    <x v="0"/>
    <s v="…"/>
    <n v="890576536.83065879"/>
  </r>
  <r>
    <x v="0"/>
    <x v="130"/>
    <x v="130"/>
    <x v="6"/>
    <x v="0"/>
    <x v="4"/>
    <x v="22"/>
    <x v="10"/>
    <s v="Multi-Year"/>
    <x v="1"/>
    <s v="N/A"/>
    <s v=""/>
    <s v="Confirmed"/>
    <m/>
    <x v="0"/>
    <x v="0"/>
    <m/>
    <x v="1"/>
    <x v="1"/>
    <m/>
    <n v="0"/>
    <x v="0"/>
    <s v=""/>
    <n v="14611129792.346064"/>
  </r>
  <r>
    <x v="0"/>
    <x v="131"/>
    <x v="131"/>
    <x v="6"/>
    <x v="0"/>
    <x v="4"/>
    <x v="22"/>
    <x v="10"/>
    <s v="Multi-Year"/>
    <x v="1"/>
    <s v="N/A"/>
    <n v="99000"/>
    <s v="Confirmed"/>
    <m/>
    <x v="0"/>
    <x v="0"/>
    <m/>
    <x v="2"/>
    <x v="0"/>
    <m/>
    <n v="0"/>
    <x v="1"/>
    <s v="Low"/>
    <n v="72046877.233008593"/>
  </r>
  <r>
    <x v="0"/>
    <x v="132"/>
    <x v="132"/>
    <x v="5"/>
    <x v="0"/>
    <x v="4"/>
    <x v="22"/>
    <x v="10"/>
    <s v="Multi-Year"/>
    <x v="1"/>
    <s v="N/A"/>
    <s v=""/>
    <s v="Confirmed"/>
    <m/>
    <x v="0"/>
    <x v="0"/>
    <m/>
    <x v="0"/>
    <x v="0"/>
    <m/>
    <n v="0"/>
    <x v="0"/>
    <s v="High"/>
    <n v="56248139.267255567"/>
  </r>
  <r>
    <x v="0"/>
    <x v="133"/>
    <x v="133"/>
    <x v="6"/>
    <x v="0"/>
    <x v="4"/>
    <x v="22"/>
    <x v="10"/>
    <s v="Multi-Year"/>
    <x v="1"/>
    <s v="N/A"/>
    <s v=""/>
    <s v="Confirmed"/>
    <m/>
    <x v="0"/>
    <x v="0"/>
    <m/>
    <x v="1"/>
    <x v="0"/>
    <m/>
    <n v="0"/>
    <x v="1"/>
    <s v="High"/>
    <n v="15464031.712942109"/>
  </r>
  <r>
    <x v="0"/>
    <x v="134"/>
    <x v="134"/>
    <x v="4"/>
    <x v="0"/>
    <x v="4"/>
    <x v="22"/>
    <x v="10"/>
    <s v="Multi-Year"/>
    <x v="1"/>
    <s v="N/A"/>
    <s v=""/>
    <s v="Confirmed"/>
    <m/>
    <x v="0"/>
    <x v="0"/>
    <m/>
    <x v="3"/>
    <x v="1"/>
    <m/>
    <n v="0"/>
    <x v="1"/>
    <s v="N/A"/>
    <n v="769564399.33249676"/>
  </r>
  <r>
    <x v="0"/>
    <x v="135"/>
    <x v="135"/>
    <x v="2"/>
    <x v="0"/>
    <x v="4"/>
    <x v="22"/>
    <x v="10"/>
    <s v="Multi-Year"/>
    <x v="1"/>
    <s v="N/A"/>
    <s v=""/>
    <s v="Confirmed"/>
    <m/>
    <x v="0"/>
    <x v="0"/>
    <m/>
    <x v="2"/>
    <x v="0"/>
    <m/>
    <n v="0"/>
    <x v="0"/>
    <s v="N/A"/>
    <n v="1668954539.7630196"/>
  </r>
  <r>
    <x v="0"/>
    <x v="136"/>
    <x v="136"/>
    <x v="1"/>
    <x v="0"/>
    <x v="4"/>
    <x v="22"/>
    <x v="10"/>
    <s v="Multi-Year"/>
    <x v="1"/>
    <s v="N/A"/>
    <s v=""/>
    <s v="Confirmed"/>
    <m/>
    <x v="0"/>
    <x v="0"/>
    <m/>
    <x v="1"/>
    <x v="1"/>
    <m/>
    <n v="0"/>
    <x v="0"/>
    <s v=""/>
    <n v="24840920016.18832"/>
  </r>
  <r>
    <x v="0"/>
    <x v="137"/>
    <x v="137"/>
    <x v="1"/>
    <x v="0"/>
    <x v="4"/>
    <x v="22"/>
    <x v="10"/>
    <s v="Multi-Year"/>
    <x v="1"/>
    <s v="N/A"/>
    <s v=""/>
    <s v="Confirmed"/>
    <m/>
    <x v="0"/>
    <x v="0"/>
    <m/>
    <x v="1"/>
    <x v="1"/>
    <m/>
    <n v="0"/>
    <x v="0"/>
    <s v="N/A"/>
    <n v="487888462.83720118"/>
  </r>
  <r>
    <x v="0"/>
    <x v="138"/>
    <x v="138"/>
    <x v="6"/>
    <x v="0"/>
    <x v="4"/>
    <x v="22"/>
    <x v="10"/>
    <s v="Multi-Year"/>
    <x v="1"/>
    <s v="N/A"/>
    <s v=""/>
    <s v="Confirmed"/>
    <m/>
    <x v="0"/>
    <x v="0"/>
    <m/>
    <x v="1"/>
    <x v="0"/>
    <m/>
    <n v="0"/>
    <x v="1"/>
    <s v="…"/>
    <n v="6365061.1736073596"/>
  </r>
  <r>
    <x v="0"/>
    <x v="139"/>
    <x v="139"/>
    <x v="3"/>
    <x v="0"/>
    <x v="4"/>
    <x v="22"/>
    <x v="10"/>
    <s v="Multi-Year"/>
    <x v="1"/>
    <s v="N/A"/>
    <n v="1106000"/>
    <s v="Confirmed"/>
    <m/>
    <x v="0"/>
    <x v="0"/>
    <m/>
    <x v="0"/>
    <x v="0"/>
    <m/>
    <n v="2"/>
    <x v="0"/>
    <s v="Low"/>
    <n v="291799092.90196139"/>
  </r>
  <r>
    <x v="0"/>
    <x v="140"/>
    <x v="140"/>
    <x v="1"/>
    <x v="0"/>
    <x v="4"/>
    <x v="22"/>
    <x v="10"/>
    <s v="Multi-Year"/>
    <x v="1"/>
    <s v="N/A"/>
    <s v=""/>
    <s v="Confirmed"/>
    <m/>
    <x v="0"/>
    <x v="0"/>
    <m/>
    <x v="2"/>
    <x v="0"/>
    <m/>
    <n v="0"/>
    <x v="0"/>
    <s v="N/A"/>
    <n v="4844815340.2135534"/>
  </r>
  <r>
    <x v="0"/>
    <x v="141"/>
    <x v="141"/>
    <x v="4"/>
    <x v="0"/>
    <x v="4"/>
    <x v="22"/>
    <x v="10"/>
    <s v="Multi-Year"/>
    <x v="1"/>
    <s v="N/A"/>
    <s v=""/>
    <s v="Confirmed"/>
    <m/>
    <x v="0"/>
    <x v="0"/>
    <m/>
    <x v="3"/>
    <x v="1"/>
    <m/>
    <n v="0"/>
    <x v="0"/>
    <s v=""/>
    <n v="4001891446.6871672"/>
  </r>
  <r>
    <x v="0"/>
    <x v="142"/>
    <x v="142"/>
    <x v="1"/>
    <x v="0"/>
    <x v="4"/>
    <x v="22"/>
    <x v="10"/>
    <s v="Multi-Year"/>
    <x v="1"/>
    <s v="N/A"/>
    <s v=""/>
    <s v="Confirmed"/>
    <m/>
    <x v="0"/>
    <x v="0"/>
    <m/>
    <x v="2"/>
    <x v="0"/>
    <m/>
    <n v="0"/>
    <x v="0"/>
    <s v="Low"/>
    <n v="1019800630.5853213"/>
  </r>
  <r>
    <x v="0"/>
    <x v="143"/>
    <x v="143"/>
    <x v="6"/>
    <x v="0"/>
    <x v="4"/>
    <x v="22"/>
    <x v="10"/>
    <s v="Multi-Year"/>
    <x v="1"/>
    <s v="N/A"/>
    <s v=""/>
    <s v="Confirmed"/>
    <m/>
    <x v="0"/>
    <x v="0"/>
    <m/>
    <x v="2"/>
    <x v="0"/>
    <m/>
    <n v="0"/>
    <x v="1"/>
    <s v="Moderate"/>
    <n v="19578671.310841195"/>
  </r>
  <r>
    <x v="0"/>
    <x v="144"/>
    <x v="144"/>
    <x v="4"/>
    <x v="0"/>
    <x v="4"/>
    <x v="22"/>
    <x v="10"/>
    <s v="Multi-Year"/>
    <x v="1"/>
    <s v="N/A"/>
    <s v=""/>
    <s v="Confirmed"/>
    <m/>
    <x v="0"/>
    <x v="0"/>
    <m/>
    <x v="4"/>
    <x v="1"/>
    <m/>
    <n v="0"/>
    <x v="0"/>
    <s v="N/A"/>
    <n v="3551452001.0684834"/>
  </r>
  <r>
    <x v="0"/>
    <x v="145"/>
    <x v="145"/>
    <x v="6"/>
    <x v="0"/>
    <x v="4"/>
    <x v="22"/>
    <x v="10"/>
    <s v="Multi-Year"/>
    <x v="1"/>
    <s v="N/A"/>
    <s v=""/>
    <s v="Confirmed"/>
    <m/>
    <x v="0"/>
    <x v="0"/>
    <m/>
    <x v="2"/>
    <x v="0"/>
    <m/>
    <n v="0"/>
    <x v="0"/>
    <s v="N/A"/>
    <n v="6603048821.7575006"/>
  </r>
  <r>
    <x v="0"/>
    <x v="146"/>
    <x v="146"/>
    <x v="2"/>
    <x v="0"/>
    <x v="4"/>
    <x v="22"/>
    <x v="10"/>
    <s v="Multi-Year"/>
    <x v="1"/>
    <s v="N/A"/>
    <s v=""/>
    <s v="Confirmed"/>
    <m/>
    <x v="0"/>
    <x v="0"/>
    <m/>
    <x v="0"/>
    <x v="0"/>
    <m/>
    <n v="1"/>
    <x v="0"/>
    <s v="…"/>
    <s v=""/>
  </r>
  <r>
    <x v="0"/>
    <x v="147"/>
    <x v="147"/>
    <x v="3"/>
    <x v="0"/>
    <x v="4"/>
    <x v="22"/>
    <x v="10"/>
    <s v="Multi-Year"/>
    <x v="1"/>
    <s v="N/A"/>
    <s v=""/>
    <s v="Confirmed"/>
    <m/>
    <x v="0"/>
    <x v="0"/>
    <m/>
    <x v="2"/>
    <x v="0"/>
    <m/>
    <n v="0"/>
    <x v="0"/>
    <s v="High"/>
    <n v="515352723.9821828"/>
  </r>
  <r>
    <x v="0"/>
    <x v="148"/>
    <x v="148"/>
    <x v="3"/>
    <x v="0"/>
    <x v="4"/>
    <x v="22"/>
    <x v="10"/>
    <s v="Multi-Year"/>
    <x v="1"/>
    <s v="N/A"/>
    <n v="100000"/>
    <s v="Confirmed"/>
    <m/>
    <x v="0"/>
    <x v="0"/>
    <m/>
    <x v="2"/>
    <x v="0"/>
    <m/>
    <n v="0"/>
    <x v="0"/>
    <s v="N/A"/>
    <n v="566711742.22428358"/>
  </r>
  <r>
    <x v="0"/>
    <x v="0"/>
    <x v="0"/>
    <x v="0"/>
    <x v="0"/>
    <x v="2"/>
    <x v="23"/>
    <x v="8"/>
    <s v="Multi-Year"/>
    <x v="1"/>
    <s v="N/A"/>
    <s v=""/>
    <s v="Confirmed"/>
    <s v=""/>
    <x v="1"/>
    <x v="0"/>
    <m/>
    <x v="0"/>
    <x v="0"/>
    <m/>
    <n v="1"/>
    <x v="0"/>
    <s v="High"/>
    <n v="95829480.719269618"/>
  </r>
  <r>
    <x v="0"/>
    <x v="1"/>
    <x v="1"/>
    <x v="1"/>
    <x v="0"/>
    <x v="2"/>
    <x v="23"/>
    <x v="8"/>
    <s v="Multi-Year"/>
    <x v="1"/>
    <s v="N/A"/>
    <s v=""/>
    <s v="Confirmed"/>
    <s v=""/>
    <x v="1"/>
    <x v="0"/>
    <m/>
    <x v="1"/>
    <x v="1"/>
    <m/>
    <n v="0"/>
    <x v="0"/>
    <s v=""/>
    <n v="427904035.52443534"/>
  </r>
  <r>
    <x v="0"/>
    <x v="2"/>
    <x v="2"/>
    <x v="2"/>
    <x v="0"/>
    <x v="2"/>
    <x v="23"/>
    <x v="8"/>
    <s v="Multi-Year"/>
    <x v="1"/>
    <s v="N/A"/>
    <s v=""/>
    <s v="Confirmed"/>
    <s v=""/>
    <x v="1"/>
    <x v="0"/>
    <m/>
    <x v="2"/>
    <x v="0"/>
    <m/>
    <n v="0"/>
    <x v="0"/>
    <s v="N/A"/>
    <n v="7113361022.7267885"/>
  </r>
  <r>
    <x v="0"/>
    <x v="3"/>
    <x v="3"/>
    <x v="3"/>
    <x v="0"/>
    <x v="2"/>
    <x v="23"/>
    <x v="8"/>
    <s v="Multi-Year"/>
    <x v="1"/>
    <s v="N/A"/>
    <s v=""/>
    <s v="Confirmed"/>
    <s v=""/>
    <x v="1"/>
    <x v="0"/>
    <m/>
    <x v="2"/>
    <x v="0"/>
    <m/>
    <n v="0"/>
    <x v="0"/>
    <s v="…"/>
    <n v="1131865946.5875781"/>
  </r>
  <r>
    <x v="0"/>
    <x v="4"/>
    <x v="4"/>
    <x v="4"/>
    <x v="0"/>
    <x v="2"/>
    <x v="23"/>
    <x v="8"/>
    <s v="Multi-Year"/>
    <x v="1"/>
    <s v="N/A"/>
    <s v=""/>
    <s v="Confirmed"/>
    <s v=""/>
    <x v="1"/>
    <x v="0"/>
    <m/>
    <x v="3"/>
    <x v="1"/>
    <m/>
    <n v="0"/>
    <x v="1"/>
    <s v=""/>
    <n v="46777779.823447868"/>
  </r>
  <r>
    <x v="0"/>
    <x v="5"/>
    <x v="5"/>
    <x v="4"/>
    <x v="0"/>
    <x v="2"/>
    <x v="23"/>
    <x v="8"/>
    <s v="Multi-Year"/>
    <x v="1"/>
    <s v="N/A"/>
    <s v=""/>
    <s v="Confirmed"/>
    <s v=""/>
    <x v="1"/>
    <x v="0"/>
    <m/>
    <x v="1"/>
    <x v="1"/>
    <m/>
    <n v="0"/>
    <x v="0"/>
    <s v=""/>
    <n v="30725305777.596794"/>
  </r>
  <r>
    <x v="0"/>
    <x v="6"/>
    <x v="6"/>
    <x v="1"/>
    <x v="0"/>
    <x v="2"/>
    <x v="23"/>
    <x v="8"/>
    <s v="Multi-Year"/>
    <x v="1"/>
    <s v="N/A"/>
    <s v=""/>
    <s v="Confirmed"/>
    <s v=""/>
    <x v="1"/>
    <x v="0"/>
    <m/>
    <x v="1"/>
    <x v="1"/>
    <m/>
    <n v="0"/>
    <x v="0"/>
    <s v=""/>
    <n v="153815827.8380394"/>
  </r>
  <r>
    <x v="0"/>
    <x v="7"/>
    <x v="7"/>
    <x v="1"/>
    <x v="0"/>
    <x v="2"/>
    <x v="23"/>
    <x v="8"/>
    <s v="Multi-Year"/>
    <x v="1"/>
    <s v="N/A"/>
    <s v=""/>
    <s v="Confirmed"/>
    <s v=""/>
    <x v="1"/>
    <x v="0"/>
    <m/>
    <x v="1"/>
    <x v="1"/>
    <m/>
    <n v="0"/>
    <x v="0"/>
    <s v="N/A"/>
    <n v="437525105.31216973"/>
  </r>
  <r>
    <x v="0"/>
    <x v="8"/>
    <x v="8"/>
    <x v="4"/>
    <x v="0"/>
    <x v="2"/>
    <x v="23"/>
    <x v="8"/>
    <s v="Multi-Year"/>
    <x v="1"/>
    <s v="N/A"/>
    <s v=""/>
    <s v="Confirmed"/>
    <s v=""/>
    <x v="1"/>
    <x v="0"/>
    <m/>
    <x v="3"/>
    <x v="1"/>
    <m/>
    <n v="0"/>
    <x v="1"/>
    <s v=""/>
    <n v="149463302.00602186"/>
  </r>
  <r>
    <x v="0"/>
    <x v="9"/>
    <x v="9"/>
    <x v="0"/>
    <x v="0"/>
    <x v="2"/>
    <x v="23"/>
    <x v="8"/>
    <s v="Multi-Year"/>
    <x v="1"/>
    <s v="N/A"/>
    <s v=""/>
    <s v="Confirmed"/>
    <s v=""/>
    <x v="1"/>
    <x v="0"/>
    <m/>
    <x v="2"/>
    <x v="0"/>
    <m/>
    <n v="0"/>
    <x v="0"/>
    <s v="Low"/>
    <n v="1148322593.9600098"/>
  </r>
  <r>
    <x v="0"/>
    <x v="10"/>
    <x v="10"/>
    <x v="1"/>
    <x v="0"/>
    <x v="2"/>
    <x v="23"/>
    <x v="8"/>
    <s v="Multi-Year"/>
    <x v="1"/>
    <s v="N/A"/>
    <s v=""/>
    <s v="Confirmed"/>
    <s v=""/>
    <x v="1"/>
    <x v="0"/>
    <m/>
    <x v="1"/>
    <x v="1"/>
    <m/>
    <n v="0"/>
    <x v="0"/>
    <s v=""/>
    <n v="2371102058.1093163"/>
  </r>
  <r>
    <x v="0"/>
    <x v="11"/>
    <x v="11"/>
    <x v="4"/>
    <x v="0"/>
    <x v="2"/>
    <x v="23"/>
    <x v="8"/>
    <s v="Multi-Year"/>
    <x v="1"/>
    <s v="N/A"/>
    <s v=""/>
    <s v="Confirmed"/>
    <s v=""/>
    <x v="1"/>
    <x v="0"/>
    <m/>
    <x v="2"/>
    <x v="1"/>
    <m/>
    <n v="0"/>
    <x v="1"/>
    <s v="N/A"/>
    <n v="75151620.005215243"/>
  </r>
  <r>
    <x v="0"/>
    <x v="12"/>
    <x v="12"/>
    <x v="5"/>
    <x v="0"/>
    <x v="2"/>
    <x v="23"/>
    <x v="8"/>
    <s v="Multi-Year"/>
    <x v="1"/>
    <s v="N/A"/>
    <s v=""/>
    <s v="Confirmed"/>
    <s v=""/>
    <x v="1"/>
    <x v="0"/>
    <m/>
    <x v="2"/>
    <x v="0"/>
    <m/>
    <n v="0"/>
    <x v="0"/>
    <s v="Moderate"/>
    <n v="69958487.197715744"/>
  </r>
  <r>
    <x v="0"/>
    <x v="13"/>
    <x v="13"/>
    <x v="0"/>
    <x v="0"/>
    <x v="2"/>
    <x v="23"/>
    <x v="8"/>
    <s v="Multi-Year"/>
    <x v="1"/>
    <s v="N/A"/>
    <s v=""/>
    <s v="Confirmed"/>
    <s v=""/>
    <x v="1"/>
    <x v="0"/>
    <m/>
    <x v="2"/>
    <x v="0"/>
    <m/>
    <n v="0"/>
    <x v="0"/>
    <s v="…"/>
    <n v="61654608.560629159"/>
  </r>
  <r>
    <x v="0"/>
    <x v="14"/>
    <x v="14"/>
    <x v="4"/>
    <x v="0"/>
    <x v="2"/>
    <x v="23"/>
    <x v="8"/>
    <s v="Multi-Year"/>
    <x v="1"/>
    <s v="N/A"/>
    <s v=""/>
    <s v="Confirmed"/>
    <s v=""/>
    <x v="1"/>
    <x v="0"/>
    <m/>
    <x v="2"/>
    <x v="0"/>
    <m/>
    <n v="0"/>
    <x v="0"/>
    <s v="N/A"/>
    <n v="1806638707.7615163"/>
  </r>
  <r>
    <x v="0"/>
    <x v="15"/>
    <x v="15"/>
    <x v="1"/>
    <x v="0"/>
    <x v="2"/>
    <x v="23"/>
    <x v="8"/>
    <s v="Multi-Year"/>
    <x v="1"/>
    <s v="N/A"/>
    <s v=""/>
    <s v="Confirmed"/>
    <s v=""/>
    <x v="1"/>
    <x v="0"/>
    <m/>
    <x v="1"/>
    <x v="1"/>
    <m/>
    <n v="0"/>
    <x v="0"/>
    <s v="N/A"/>
    <n v="1252696525.0627904"/>
  </r>
  <r>
    <x v="0"/>
    <x v="16"/>
    <x v="16"/>
    <x v="3"/>
    <x v="0"/>
    <x v="2"/>
    <x v="23"/>
    <x v="8"/>
    <s v="Multi-Year"/>
    <x v="1"/>
    <s v="N/A"/>
    <s v=""/>
    <s v="Confirmed"/>
    <s v=""/>
    <x v="1"/>
    <x v="0"/>
    <m/>
    <x v="1"/>
    <x v="1"/>
    <m/>
    <n v="0"/>
    <x v="0"/>
    <s v=""/>
    <n v="843425084.07334602"/>
  </r>
  <r>
    <x v="0"/>
    <x v="17"/>
    <x v="17"/>
    <x v="4"/>
    <x v="0"/>
    <x v="2"/>
    <x v="23"/>
    <x v="8"/>
    <s v="Multi-Year"/>
    <x v="1"/>
    <s v="N/A"/>
    <s v=""/>
    <s v="Confirmed"/>
    <s v=""/>
    <x v="1"/>
    <x v="0"/>
    <m/>
    <x v="1"/>
    <x v="1"/>
    <m/>
    <n v="0"/>
    <x v="0"/>
    <s v="N/A"/>
    <n v="74055620038.853683"/>
  </r>
  <r>
    <x v="0"/>
    <x v="18"/>
    <x v="18"/>
    <x v="1"/>
    <x v="0"/>
    <x v="2"/>
    <x v="23"/>
    <x v="8"/>
    <s v="Multi-Year"/>
    <x v="1"/>
    <s v="N/A"/>
    <s v=""/>
    <s v="Confirmed"/>
    <s v=""/>
    <x v="1"/>
    <x v="0"/>
    <m/>
    <x v="1"/>
    <x v="1"/>
    <m/>
    <n v="0"/>
    <x v="0"/>
    <s v=""/>
    <n v="2803357765.5888777"/>
  </r>
  <r>
    <x v="0"/>
    <x v="19"/>
    <x v="19"/>
    <x v="5"/>
    <x v="0"/>
    <x v="2"/>
    <x v="23"/>
    <x v="8"/>
    <s v="Multi-Year"/>
    <x v="1"/>
    <s v="N/A"/>
    <s v=""/>
    <s v="Confirmed"/>
    <s v=""/>
    <x v="1"/>
    <x v="0"/>
    <m/>
    <x v="0"/>
    <x v="0"/>
    <m/>
    <n v="2"/>
    <x v="0"/>
    <s v="Moderate"/>
    <n v="337927779.25510043"/>
  </r>
  <r>
    <x v="0"/>
    <x v="20"/>
    <x v="20"/>
    <x v="3"/>
    <x v="0"/>
    <x v="2"/>
    <x v="23"/>
    <x v="8"/>
    <s v="Multi-Year"/>
    <x v="1"/>
    <s v="N/A"/>
    <s v=""/>
    <s v="Confirmed"/>
    <s v=""/>
    <x v="1"/>
    <x v="0"/>
    <m/>
    <x v="0"/>
    <x v="0"/>
    <m/>
    <n v="2"/>
    <x v="0"/>
    <s v="…"/>
    <n v="65979512.47399316"/>
  </r>
  <r>
    <x v="0"/>
    <x v="21"/>
    <x v="21"/>
    <x v="5"/>
    <x v="0"/>
    <x v="2"/>
    <x v="23"/>
    <x v="8"/>
    <s v="Multi-Year"/>
    <x v="1"/>
    <s v="N/A"/>
    <s v=""/>
    <s v="Confirmed"/>
    <s v=""/>
    <x v="1"/>
    <x v="0"/>
    <m/>
    <x v="2"/>
    <x v="0"/>
    <m/>
    <n v="0"/>
    <x v="1"/>
    <s v="High"/>
    <n v="63748362.778827004"/>
  </r>
  <r>
    <x v="0"/>
    <x v="22"/>
    <x v="22"/>
    <x v="6"/>
    <x v="0"/>
    <x v="2"/>
    <x v="23"/>
    <x v="8"/>
    <s v="Multi-Year"/>
    <x v="1"/>
    <s v="N/A"/>
    <s v=""/>
    <s v="Confirmed"/>
    <s v=""/>
    <x v="1"/>
    <x v="0"/>
    <m/>
    <x v="2"/>
    <x v="0"/>
    <m/>
    <n v="0"/>
    <x v="0"/>
    <s v="Low"/>
    <n v="313039649.45369786"/>
  </r>
  <r>
    <x v="0"/>
    <x v="23"/>
    <x v="23"/>
    <x v="5"/>
    <x v="0"/>
    <x v="2"/>
    <x v="23"/>
    <x v="8"/>
    <s v="Multi-Year"/>
    <x v="1"/>
    <s v="N/A"/>
    <s v=""/>
    <s v="Confirmed"/>
    <s v=""/>
    <x v="1"/>
    <x v="0"/>
    <m/>
    <x v="2"/>
    <x v="0"/>
    <m/>
    <n v="2"/>
    <x v="0"/>
    <s v="High"/>
    <n v="81361801.477472037"/>
  </r>
  <r>
    <x v="0"/>
    <x v="24"/>
    <x v="24"/>
    <x v="5"/>
    <x v="0"/>
    <x v="2"/>
    <x v="23"/>
    <x v="8"/>
    <s v="Multi-Year"/>
    <x v="1"/>
    <s v="N/A"/>
    <s v=""/>
    <s v="Confirmed"/>
    <s v=""/>
    <x v="1"/>
    <x v="0"/>
    <m/>
    <x v="0"/>
    <x v="0"/>
    <m/>
    <n v="1"/>
    <x v="0"/>
    <s v="High"/>
    <s v=""/>
  </r>
  <r>
    <x v="0"/>
    <x v="25"/>
    <x v="25"/>
    <x v="5"/>
    <x v="0"/>
    <x v="2"/>
    <x v="23"/>
    <x v="8"/>
    <s v="Multi-Year"/>
    <x v="1"/>
    <s v="N/A"/>
    <s v=""/>
    <s v="Confirmed"/>
    <s v=""/>
    <x v="1"/>
    <x v="0"/>
    <m/>
    <x v="0"/>
    <x v="0"/>
    <m/>
    <n v="1"/>
    <x v="0"/>
    <s v="High"/>
    <n v="76939306.715636879"/>
  </r>
  <r>
    <x v="0"/>
    <x v="26"/>
    <x v="26"/>
    <x v="4"/>
    <x v="0"/>
    <x v="2"/>
    <x v="23"/>
    <x v="8"/>
    <s v="Multi-Year"/>
    <x v="1"/>
    <s v="N/A"/>
    <s v=""/>
    <s v="Confirmed"/>
    <s v=""/>
    <x v="1"/>
    <x v="0"/>
    <m/>
    <x v="3"/>
    <x v="1"/>
    <m/>
    <n v="0"/>
    <x v="0"/>
    <s v=""/>
    <n v="13859708717.682571"/>
  </r>
  <r>
    <x v="0"/>
    <x v="27"/>
    <x v="27"/>
    <x v="6"/>
    <x v="0"/>
    <x v="2"/>
    <x v="23"/>
    <x v="8"/>
    <s v="Multi-Year"/>
    <x v="1"/>
    <s v="N/A"/>
    <s v=""/>
    <s v="Confirmed"/>
    <s v=""/>
    <x v="1"/>
    <x v="0"/>
    <m/>
    <x v="1"/>
    <x v="1"/>
    <m/>
    <n v="0"/>
    <x v="0"/>
    <s v=""/>
    <n v="403567160707.7016"/>
  </r>
  <r>
    <x v="0"/>
    <x v="28"/>
    <x v="28"/>
    <x v="4"/>
    <x v="0"/>
    <x v="2"/>
    <x v="23"/>
    <x v="8"/>
    <s v="Multi-Year"/>
    <x v="1"/>
    <s v="N/A"/>
    <s v=""/>
    <s v="Confirmed"/>
    <s v=""/>
    <x v="1"/>
    <x v="0"/>
    <m/>
    <x v="1"/>
    <x v="1"/>
    <m/>
    <n v="0"/>
    <x v="0"/>
    <s v=""/>
    <n v="18250225995.972618"/>
  </r>
  <r>
    <x v="0"/>
    <x v="29"/>
    <x v="29"/>
    <x v="3"/>
    <x v="0"/>
    <x v="2"/>
    <x v="23"/>
    <x v="8"/>
    <s v="Multi-Year"/>
    <x v="1"/>
    <s v="N/A"/>
    <s v=""/>
    <s v="Confirmed"/>
    <s v=""/>
    <x v="1"/>
    <x v="0"/>
    <m/>
    <x v="2"/>
    <x v="0"/>
    <m/>
    <n v="0"/>
    <x v="1"/>
    <s v="Moderate"/>
    <n v="5027591.1682657599"/>
  </r>
  <r>
    <x v="0"/>
    <x v="30"/>
    <x v="30"/>
    <x v="5"/>
    <x v="0"/>
    <x v="2"/>
    <x v="23"/>
    <x v="8"/>
    <s v="Multi-Year"/>
    <x v="1"/>
    <s v="N/A"/>
    <s v=""/>
    <s v="Confirmed"/>
    <s v=""/>
    <x v="1"/>
    <x v="0"/>
    <m/>
    <x v="0"/>
    <x v="0"/>
    <m/>
    <n v="3"/>
    <x v="0"/>
    <s v="Moderate"/>
    <n v="234645958.63289919"/>
  </r>
  <r>
    <x v="0"/>
    <x v="31"/>
    <x v="31"/>
    <x v="5"/>
    <x v="0"/>
    <x v="2"/>
    <x v="23"/>
    <x v="8"/>
    <s v="Multi-Year"/>
    <x v="1"/>
    <s v="N/A"/>
    <s v=""/>
    <s v="Confirmed"/>
    <s v=""/>
    <x v="1"/>
    <x v="0"/>
    <m/>
    <x v="2"/>
    <x v="0"/>
    <m/>
    <n v="2"/>
    <x v="0"/>
    <s v="In distress"/>
    <n v="91590910.247314155"/>
  </r>
  <r>
    <x v="0"/>
    <x v="32"/>
    <x v="32"/>
    <x v="6"/>
    <x v="0"/>
    <x v="2"/>
    <x v="23"/>
    <x v="8"/>
    <s v="Multi-Year"/>
    <x v="1"/>
    <s v="N/A"/>
    <s v=""/>
    <s v="Confirmed"/>
    <s v=""/>
    <x v="1"/>
    <x v="0"/>
    <m/>
    <x v="4"/>
    <x v="1"/>
    <m/>
    <n v="0"/>
    <x v="1"/>
    <s v="N/A"/>
    <n v="8560012.8840167802"/>
  </r>
  <r>
    <x v="0"/>
    <x v="33"/>
    <x v="33"/>
    <x v="4"/>
    <x v="0"/>
    <x v="2"/>
    <x v="23"/>
    <x v="8"/>
    <s v="Multi-Year"/>
    <x v="1"/>
    <s v="N/A"/>
    <s v=""/>
    <s v="Confirmed"/>
    <s v=""/>
    <x v="1"/>
    <x v="0"/>
    <m/>
    <x v="1"/>
    <x v="1"/>
    <m/>
    <n v="0"/>
    <x v="0"/>
    <s v="N/A"/>
    <n v="3292372960.3962669"/>
  </r>
  <r>
    <x v="0"/>
    <x v="34"/>
    <x v="34"/>
    <x v="5"/>
    <x v="0"/>
    <x v="2"/>
    <x v="23"/>
    <x v="8"/>
    <s v="Multi-Year"/>
    <x v="1"/>
    <s v="N/A"/>
    <s v=""/>
    <s v="Confirmed"/>
    <s v=""/>
    <x v="1"/>
    <x v="0"/>
    <m/>
    <x v="2"/>
    <x v="0"/>
    <m/>
    <n v="0"/>
    <x v="0"/>
    <s v="Moderate"/>
    <n v="519209981.22981054"/>
  </r>
  <r>
    <x v="0"/>
    <x v="35"/>
    <x v="35"/>
    <x v="1"/>
    <x v="0"/>
    <x v="2"/>
    <x v="23"/>
    <x v="8"/>
    <s v="Multi-Year"/>
    <x v="1"/>
    <s v="N/A"/>
    <s v=""/>
    <s v="Confirmed"/>
    <s v=""/>
    <x v="1"/>
    <x v="0"/>
    <m/>
    <x v="3"/>
    <x v="1"/>
    <m/>
    <n v="0"/>
    <x v="0"/>
    <s v=""/>
    <n v="3464739907.1604805"/>
  </r>
  <r>
    <x v="0"/>
    <x v="36"/>
    <x v="36"/>
    <x v="4"/>
    <x v="0"/>
    <x v="2"/>
    <x v="23"/>
    <x v="8"/>
    <s v="Multi-Year"/>
    <x v="1"/>
    <s v="N/A"/>
    <s v=""/>
    <s v="Confirmed"/>
    <s v=""/>
    <x v="1"/>
    <x v="0"/>
    <m/>
    <x v="1"/>
    <x v="1"/>
    <m/>
    <n v="0"/>
    <x v="1"/>
    <s v=""/>
    <n v="9948521252.2569065"/>
  </r>
  <r>
    <x v="0"/>
    <x v="37"/>
    <x v="37"/>
    <x v="2"/>
    <x v="0"/>
    <x v="2"/>
    <x v="23"/>
    <x v="8"/>
    <s v="Multi-Year"/>
    <x v="1"/>
    <s v="N/A"/>
    <s v=""/>
    <s v="Confirmed"/>
    <s v=""/>
    <x v="1"/>
    <x v="0"/>
    <m/>
    <x v="2"/>
    <x v="0"/>
    <m/>
    <n v="1"/>
    <x v="0"/>
    <s v="High"/>
    <n v="33679192.765657313"/>
  </r>
  <r>
    <x v="0"/>
    <x v="38"/>
    <x v="38"/>
    <x v="4"/>
    <x v="0"/>
    <x v="2"/>
    <x v="23"/>
    <x v="8"/>
    <s v="Multi-Year"/>
    <x v="1"/>
    <s v="N/A"/>
    <s v=""/>
    <s v="Confirmed"/>
    <s v=""/>
    <x v="1"/>
    <x v="0"/>
    <m/>
    <x v="1"/>
    <x v="0"/>
    <m/>
    <n v="0"/>
    <x v="1"/>
    <s v="…"/>
    <n v="22784494.365742501"/>
  </r>
  <r>
    <x v="0"/>
    <x v="39"/>
    <x v="39"/>
    <x v="4"/>
    <x v="0"/>
    <x v="2"/>
    <x v="23"/>
    <x v="8"/>
    <s v="Multi-Year"/>
    <x v="1"/>
    <s v="N/A"/>
    <s v=""/>
    <s v="Confirmed"/>
    <s v=""/>
    <x v="1"/>
    <x v="0"/>
    <m/>
    <x v="1"/>
    <x v="1"/>
    <m/>
    <n v="0"/>
    <x v="1"/>
    <s v=""/>
    <n v="2173208011.4858823"/>
  </r>
  <r>
    <x v="0"/>
    <x v="40"/>
    <x v="40"/>
    <x v="4"/>
    <x v="0"/>
    <x v="2"/>
    <x v="23"/>
    <x v="8"/>
    <s v="Multi-Year"/>
    <x v="1"/>
    <s v="N/A"/>
    <s v=""/>
    <s v="Confirmed"/>
    <s v=""/>
    <x v="1"/>
    <x v="0"/>
    <m/>
    <x v="1"/>
    <x v="1"/>
    <m/>
    <n v="0"/>
    <x v="0"/>
    <s v="N/A"/>
    <n v="4585736158.8323269"/>
  </r>
  <r>
    <x v="0"/>
    <x v="41"/>
    <x v="41"/>
    <x v="2"/>
    <x v="0"/>
    <x v="2"/>
    <x v="23"/>
    <x v="8"/>
    <s v="Multi-Year"/>
    <x v="1"/>
    <s v="N/A"/>
    <s v=""/>
    <s v="Confirmed"/>
    <s v=""/>
    <x v="1"/>
    <x v="0"/>
    <m/>
    <x v="2"/>
    <x v="0"/>
    <m/>
    <n v="0"/>
    <x v="0"/>
    <s v="N/A"/>
    <n v="3550291584.8645592"/>
  </r>
  <r>
    <x v="0"/>
    <x v="42"/>
    <x v="42"/>
    <x v="4"/>
    <x v="0"/>
    <x v="2"/>
    <x v="23"/>
    <x v="8"/>
    <s v="Multi-Year"/>
    <x v="1"/>
    <s v="N/A"/>
    <s v=""/>
    <s v="Confirmed"/>
    <s v=""/>
    <x v="1"/>
    <x v="0"/>
    <m/>
    <x v="2"/>
    <x v="0"/>
    <m/>
    <n v="0"/>
    <x v="0"/>
    <s v="N/A"/>
    <n v="1182840319.0410969"/>
  </r>
  <r>
    <x v="0"/>
    <x v="43"/>
    <x v="43"/>
    <x v="4"/>
    <x v="0"/>
    <x v="2"/>
    <x v="23"/>
    <x v="8"/>
    <s v="Multi-Year"/>
    <x v="1"/>
    <s v="N/A"/>
    <s v=""/>
    <s v="Confirmed"/>
    <s v=""/>
    <x v="1"/>
    <x v="0"/>
    <m/>
    <x v="1"/>
    <x v="1"/>
    <m/>
    <n v="0"/>
    <x v="0"/>
    <s v=""/>
    <n v="81728347.604567245"/>
  </r>
  <r>
    <x v="0"/>
    <x v="44"/>
    <x v="44"/>
    <x v="3"/>
    <x v="0"/>
    <x v="2"/>
    <x v="23"/>
    <x v="8"/>
    <s v="Multi-Year"/>
    <x v="1"/>
    <s v="N/A"/>
    <s v=""/>
    <s v="Confirmed"/>
    <s v=""/>
    <x v="1"/>
    <x v="0"/>
    <m/>
    <x v="0"/>
    <x v="0"/>
    <m/>
    <n v="2"/>
    <x v="0"/>
    <s v="N/A"/>
    <n v="12787914.977715338"/>
  </r>
  <r>
    <x v="0"/>
    <x v="45"/>
    <x v="45"/>
    <x v="3"/>
    <x v="0"/>
    <x v="2"/>
    <x v="23"/>
    <x v="8"/>
    <s v="Multi-Year"/>
    <x v="1"/>
    <s v="N/A"/>
    <s v=""/>
    <s v="Confirmed"/>
    <s v=""/>
    <x v="1"/>
    <x v="0"/>
    <m/>
    <x v="2"/>
    <x v="0"/>
    <m/>
    <n v="2"/>
    <x v="0"/>
    <s v="N/A"/>
    <n v="101271737.65410839"/>
  </r>
  <r>
    <x v="0"/>
    <x v="46"/>
    <x v="46"/>
    <x v="3"/>
    <x v="0"/>
    <x v="2"/>
    <x v="23"/>
    <x v="8"/>
    <s v="Multi-Year"/>
    <x v="1"/>
    <s v="N/A"/>
    <s v=""/>
    <s v="Confirmed"/>
    <s v=""/>
    <x v="1"/>
    <x v="0"/>
    <m/>
    <x v="0"/>
    <x v="0"/>
    <m/>
    <n v="3"/>
    <x v="0"/>
    <s v="High"/>
    <n v="618344226.71759331"/>
  </r>
  <r>
    <x v="0"/>
    <x v="47"/>
    <x v="47"/>
    <x v="6"/>
    <x v="0"/>
    <x v="2"/>
    <x v="23"/>
    <x v="8"/>
    <s v="Multi-Year"/>
    <x v="1"/>
    <s v="N/A"/>
    <s v=""/>
    <s v="Confirmed"/>
    <s v=""/>
    <x v="1"/>
    <x v="0"/>
    <m/>
    <x v="1"/>
    <x v="0"/>
    <m/>
    <n v="0"/>
    <x v="1"/>
    <s v="…"/>
    <n v="129483872.95906857"/>
  </r>
  <r>
    <x v="0"/>
    <x v="48"/>
    <x v="48"/>
    <x v="5"/>
    <x v="0"/>
    <x v="2"/>
    <x v="23"/>
    <x v="8"/>
    <s v="Multi-Year"/>
    <x v="1"/>
    <s v="N/A"/>
    <s v=""/>
    <s v="Confirmed"/>
    <s v=""/>
    <x v="1"/>
    <x v="0"/>
    <m/>
    <x v="1"/>
    <x v="1"/>
    <m/>
    <n v="0"/>
    <x v="0"/>
    <s v="N/A"/>
    <n v="271184658.35014349"/>
  </r>
  <r>
    <x v="0"/>
    <x v="49"/>
    <x v="49"/>
    <x v="5"/>
    <x v="0"/>
    <x v="2"/>
    <x v="23"/>
    <x v="8"/>
    <s v="Multi-Year"/>
    <x v="1"/>
    <s v="N/A"/>
    <s v=""/>
    <s v="Confirmed"/>
    <s v=""/>
    <x v="1"/>
    <x v="0"/>
    <m/>
    <x v="0"/>
    <x v="0"/>
    <m/>
    <n v="0"/>
    <x v="0"/>
    <s v="High"/>
    <n v="15455265.086884515"/>
  </r>
  <r>
    <x v="0"/>
    <x v="50"/>
    <x v="50"/>
    <x v="1"/>
    <x v="0"/>
    <x v="2"/>
    <x v="23"/>
    <x v="8"/>
    <s v="Multi-Year"/>
    <x v="1"/>
    <s v="N/A"/>
    <s v=""/>
    <s v="Confirmed"/>
    <s v=""/>
    <x v="1"/>
    <x v="0"/>
    <m/>
    <x v="1"/>
    <x v="1"/>
    <m/>
    <n v="0"/>
    <x v="0"/>
    <s v="N/A"/>
    <n v="494021502.525527"/>
  </r>
  <r>
    <x v="0"/>
    <x v="51"/>
    <x v="51"/>
    <x v="5"/>
    <x v="0"/>
    <x v="2"/>
    <x v="23"/>
    <x v="8"/>
    <s v="Multi-Year"/>
    <x v="1"/>
    <s v="N/A"/>
    <s v=""/>
    <s v="Confirmed"/>
    <s v=""/>
    <x v="1"/>
    <x v="0"/>
    <m/>
    <x v="2"/>
    <x v="0"/>
    <m/>
    <n v="0"/>
    <x v="0"/>
    <s v="High"/>
    <n v="902005621.73836684"/>
  </r>
  <r>
    <x v="0"/>
    <x v="52"/>
    <x v="52"/>
    <x v="4"/>
    <x v="0"/>
    <x v="2"/>
    <x v="23"/>
    <x v="8"/>
    <s v="Multi-Year"/>
    <x v="1"/>
    <s v="N/A"/>
    <s v=""/>
    <s v="Confirmed"/>
    <s v=""/>
    <x v="1"/>
    <x v="0"/>
    <m/>
    <x v="1"/>
    <x v="0"/>
    <m/>
    <n v="0"/>
    <x v="1"/>
    <s v="In distress"/>
    <n v="20201670.142996579"/>
  </r>
  <r>
    <x v="0"/>
    <x v="53"/>
    <x v="53"/>
    <x v="4"/>
    <x v="0"/>
    <x v="2"/>
    <x v="23"/>
    <x v="8"/>
    <s v="Multi-Year"/>
    <x v="1"/>
    <s v="N/A"/>
    <s v=""/>
    <s v="Confirmed"/>
    <s v=""/>
    <x v="1"/>
    <x v="0"/>
    <m/>
    <x v="1"/>
    <x v="1"/>
    <m/>
    <n v="0"/>
    <x v="0"/>
    <s v=""/>
    <n v="1612434649.6948864"/>
  </r>
  <r>
    <x v="0"/>
    <x v="54"/>
    <x v="54"/>
    <x v="5"/>
    <x v="0"/>
    <x v="2"/>
    <x v="23"/>
    <x v="8"/>
    <s v="Multi-Year"/>
    <x v="1"/>
    <s v="N/A"/>
    <s v=""/>
    <s v="Confirmed"/>
    <s v=""/>
    <x v="1"/>
    <x v="0"/>
    <m/>
    <x v="0"/>
    <x v="0"/>
    <m/>
    <n v="0"/>
    <x v="0"/>
    <s v="Moderate"/>
    <n v="78203134.118229344"/>
  </r>
  <r>
    <x v="0"/>
    <x v="55"/>
    <x v="55"/>
    <x v="5"/>
    <x v="0"/>
    <x v="2"/>
    <x v="23"/>
    <x v="8"/>
    <s v="Multi-Year"/>
    <x v="1"/>
    <s v="N/A"/>
    <s v=""/>
    <s v="Confirmed"/>
    <s v=""/>
    <x v="1"/>
    <x v="0"/>
    <m/>
    <x v="0"/>
    <x v="0"/>
    <m/>
    <n v="2"/>
    <x v="1"/>
    <s v="High"/>
    <n v="9151637.7411015611"/>
  </r>
  <r>
    <x v="0"/>
    <x v="56"/>
    <x v="56"/>
    <x v="4"/>
    <x v="0"/>
    <x v="2"/>
    <x v="23"/>
    <x v="8"/>
    <s v="Multi-Year"/>
    <x v="1"/>
    <s v="N/A"/>
    <s v=""/>
    <s v="Confirmed"/>
    <s v=""/>
    <x v="1"/>
    <x v="0"/>
    <m/>
    <x v="1"/>
    <x v="0"/>
    <m/>
    <n v="0"/>
    <x v="1"/>
    <s v="Moderate"/>
    <n v="142455920.02856269"/>
  </r>
  <r>
    <x v="0"/>
    <x v="57"/>
    <x v="57"/>
    <x v="4"/>
    <x v="0"/>
    <x v="2"/>
    <x v="23"/>
    <x v="8"/>
    <s v="Multi-Year"/>
    <x v="1"/>
    <s v="N/A"/>
    <s v=""/>
    <s v="Confirmed"/>
    <s v=""/>
    <x v="1"/>
    <x v="0"/>
    <m/>
    <x v="2"/>
    <x v="0"/>
    <m/>
    <n v="1"/>
    <x v="1"/>
    <s v="High"/>
    <n v="85611818.171245083"/>
  </r>
  <r>
    <x v="0"/>
    <x v="58"/>
    <x v="58"/>
    <x v="4"/>
    <x v="0"/>
    <x v="2"/>
    <x v="23"/>
    <x v="8"/>
    <s v="Multi-Year"/>
    <x v="1"/>
    <s v="N/A"/>
    <s v=""/>
    <s v="Confirmed"/>
    <s v=""/>
    <x v="1"/>
    <x v="0"/>
    <m/>
    <x v="2"/>
    <x v="0"/>
    <m/>
    <n v="0"/>
    <x v="0"/>
    <s v="Low"/>
    <n v="680289736.30082119"/>
  </r>
  <r>
    <x v="0"/>
    <x v="59"/>
    <x v="59"/>
    <x v="0"/>
    <x v="0"/>
    <x v="2"/>
    <x v="23"/>
    <x v="8"/>
    <s v="Multi-Year"/>
    <x v="1"/>
    <s v="N/A"/>
    <s v=""/>
    <s v="Confirmed"/>
    <s v=""/>
    <x v="1"/>
    <x v="0"/>
    <m/>
    <x v="2"/>
    <x v="0"/>
    <m/>
    <n v="0"/>
    <x v="0"/>
    <s v="N/A"/>
    <n v="26554332750.47023"/>
  </r>
  <r>
    <x v="0"/>
    <x v="60"/>
    <x v="60"/>
    <x v="6"/>
    <x v="0"/>
    <x v="2"/>
    <x v="23"/>
    <x v="8"/>
    <s v="Multi-Year"/>
    <x v="1"/>
    <s v="N/A"/>
    <s v=""/>
    <s v="Confirmed"/>
    <s v=""/>
    <x v="1"/>
    <x v="0"/>
    <m/>
    <x v="2"/>
    <x v="0"/>
    <m/>
    <n v="0"/>
    <x v="0"/>
    <s v="N/A"/>
    <n v="14745961064.890842"/>
  </r>
  <r>
    <x v="0"/>
    <x v="61"/>
    <x v="61"/>
    <x v="2"/>
    <x v="0"/>
    <x v="2"/>
    <x v="23"/>
    <x v="8"/>
    <s v="Multi-Year"/>
    <x v="1"/>
    <s v="N/A"/>
    <s v=""/>
    <s v="Confirmed"/>
    <s v=""/>
    <x v="1"/>
    <x v="0"/>
    <m/>
    <x v="2"/>
    <x v="1"/>
    <m/>
    <n v="0"/>
    <x v="0"/>
    <s v="N/A"/>
    <n v="18194076299.786381"/>
  </r>
  <r>
    <x v="0"/>
    <x v="62"/>
    <x v="62"/>
    <x v="2"/>
    <x v="0"/>
    <x v="2"/>
    <x v="23"/>
    <x v="8"/>
    <s v="Multi-Year"/>
    <x v="1"/>
    <s v="N/A"/>
    <s v=""/>
    <s v="Confirmed"/>
    <s v=""/>
    <x v="1"/>
    <x v="0"/>
    <m/>
    <x v="1"/>
    <x v="1"/>
    <m/>
    <n v="0"/>
    <x v="0"/>
    <s v="N/A"/>
    <n v="4428819387.769825"/>
  </r>
  <r>
    <x v="0"/>
    <x v="63"/>
    <x v="63"/>
    <x v="4"/>
    <x v="0"/>
    <x v="2"/>
    <x v="23"/>
    <x v="8"/>
    <s v="Multi-Year"/>
    <x v="1"/>
    <s v="N/A"/>
    <s v=""/>
    <s v="Confirmed"/>
    <s v=""/>
    <x v="1"/>
    <x v="0"/>
    <m/>
    <x v="1"/>
    <x v="1"/>
    <m/>
    <n v="0"/>
    <x v="1"/>
    <s v=""/>
    <n v="611739560.62679195"/>
  </r>
  <r>
    <x v="0"/>
    <x v="64"/>
    <x v="64"/>
    <x v="2"/>
    <x v="0"/>
    <x v="2"/>
    <x v="23"/>
    <x v="8"/>
    <s v="Multi-Year"/>
    <x v="1"/>
    <s v="N/A"/>
    <s v=""/>
    <s v="Confirmed"/>
    <s v=""/>
    <x v="1"/>
    <x v="0"/>
    <m/>
    <x v="1"/>
    <x v="1"/>
    <m/>
    <n v="0"/>
    <x v="0"/>
    <s v="N/A"/>
    <n v="1617913383.0481031"/>
  </r>
  <r>
    <x v="0"/>
    <x v="65"/>
    <x v="65"/>
    <x v="1"/>
    <x v="0"/>
    <x v="2"/>
    <x v="23"/>
    <x v="8"/>
    <s v="Multi-Year"/>
    <x v="1"/>
    <s v="N/A"/>
    <s v=""/>
    <s v="Confirmed"/>
    <s v=""/>
    <x v="1"/>
    <x v="0"/>
    <m/>
    <x v="1"/>
    <x v="1"/>
    <m/>
    <n v="0"/>
    <x v="0"/>
    <s v=""/>
    <n v="3074419112.4562683"/>
  </r>
  <r>
    <x v="0"/>
    <x v="66"/>
    <x v="66"/>
    <x v="3"/>
    <x v="0"/>
    <x v="2"/>
    <x v="23"/>
    <x v="8"/>
    <s v="Multi-Year"/>
    <x v="1"/>
    <s v="N/A"/>
    <s v=""/>
    <s v="Confirmed"/>
    <s v=""/>
    <x v="1"/>
    <x v="0"/>
    <m/>
    <x v="2"/>
    <x v="0"/>
    <m/>
    <n v="0"/>
    <x v="0"/>
    <s v="High"/>
    <n v="1914014279.8929913"/>
  </r>
  <r>
    <x v="0"/>
    <x v="67"/>
    <x v="67"/>
    <x v="6"/>
    <x v="0"/>
    <x v="2"/>
    <x v="23"/>
    <x v="8"/>
    <s v="Multi-Year"/>
    <x v="1"/>
    <s v="N/A"/>
    <s v=""/>
    <s v="Confirmed"/>
    <s v=""/>
    <x v="1"/>
    <x v="0"/>
    <m/>
    <x v="2"/>
    <x v="0"/>
    <m/>
    <n v="0"/>
    <x v="1"/>
    <s v="High"/>
    <n v="17422005.762907442"/>
  </r>
  <r>
    <x v="0"/>
    <x v="68"/>
    <x v="68"/>
    <x v="6"/>
    <x v="0"/>
    <x v="2"/>
    <x v="23"/>
    <x v="8"/>
    <s v="Multi-Year"/>
    <x v="1"/>
    <s v="N/A"/>
    <s v=""/>
    <s v="Confirmed"/>
    <s v=""/>
    <x v="1"/>
    <x v="0"/>
    <m/>
    <x v="0"/>
    <x v="0"/>
    <m/>
    <n v="0"/>
    <x v="0"/>
    <s v="N/A"/>
    <s v=""/>
  </r>
  <r>
    <x v="0"/>
    <x v="69"/>
    <x v="69"/>
    <x v="1"/>
    <x v="0"/>
    <x v="2"/>
    <x v="23"/>
    <x v="8"/>
    <s v="Multi-Year"/>
    <x v="1"/>
    <s v="N/A"/>
    <s v=""/>
    <s v="Confirmed"/>
    <s v=""/>
    <x v="1"/>
    <x v="0"/>
    <m/>
    <x v="1"/>
    <x v="0"/>
    <m/>
    <n v="0"/>
    <x v="0"/>
    <s v="…"/>
    <s v=""/>
  </r>
  <r>
    <x v="0"/>
    <x v="70"/>
    <x v="70"/>
    <x v="1"/>
    <x v="0"/>
    <x v="2"/>
    <x v="23"/>
    <x v="8"/>
    <s v="Multi-Year"/>
    <x v="1"/>
    <s v="N/A"/>
    <s v=""/>
    <s v="Confirmed"/>
    <s v=""/>
    <x v="1"/>
    <x v="0"/>
    <m/>
    <x v="2"/>
    <x v="0"/>
    <m/>
    <n v="2"/>
    <x v="0"/>
    <s v="Moderate"/>
    <n v="231506834.84347546"/>
  </r>
  <r>
    <x v="0"/>
    <x v="71"/>
    <x v="71"/>
    <x v="6"/>
    <x v="0"/>
    <x v="2"/>
    <x v="23"/>
    <x v="8"/>
    <s v="Multi-Year"/>
    <x v="1"/>
    <s v="N/A"/>
    <s v=""/>
    <s v="Confirmed"/>
    <s v=""/>
    <x v="1"/>
    <x v="0"/>
    <m/>
    <x v="2"/>
    <x v="0"/>
    <m/>
    <n v="0"/>
    <x v="0"/>
    <s v="High"/>
    <n v="156059428.62944782"/>
  </r>
  <r>
    <x v="0"/>
    <x v="72"/>
    <x v="72"/>
    <x v="2"/>
    <x v="0"/>
    <x v="2"/>
    <x v="23"/>
    <x v="8"/>
    <s v="Multi-Year"/>
    <x v="1"/>
    <s v="N/A"/>
    <s v=""/>
    <s v="Confirmed"/>
    <s v=""/>
    <x v="1"/>
    <x v="0"/>
    <m/>
    <x v="1"/>
    <x v="1"/>
    <m/>
    <n v="0"/>
    <x v="0"/>
    <s v="N/A"/>
    <n v="2355391507.1635861"/>
  </r>
  <r>
    <x v="0"/>
    <x v="73"/>
    <x v="73"/>
    <x v="3"/>
    <x v="0"/>
    <x v="2"/>
    <x v="23"/>
    <x v="8"/>
    <s v="Multi-Year"/>
    <x v="1"/>
    <s v="N/A"/>
    <s v=""/>
    <s v="Confirmed"/>
    <s v=""/>
    <x v="1"/>
    <x v="0"/>
    <m/>
    <x v="2"/>
    <x v="0"/>
    <m/>
    <n v="0"/>
    <x v="0"/>
    <s v="Moderate"/>
    <n v="152760919.7684873"/>
  </r>
  <r>
    <x v="0"/>
    <x v="74"/>
    <x v="74"/>
    <x v="5"/>
    <x v="0"/>
    <x v="2"/>
    <x v="23"/>
    <x v="8"/>
    <s v="Multi-Year"/>
    <x v="1"/>
    <s v="N/A"/>
    <s v=""/>
    <s v="Confirmed"/>
    <s v=""/>
    <x v="1"/>
    <x v="0"/>
    <m/>
    <x v="0"/>
    <x v="0"/>
    <m/>
    <n v="0"/>
    <x v="0"/>
    <s v="High"/>
    <n v="55072006.864440605"/>
  </r>
  <r>
    <x v="0"/>
    <x v="75"/>
    <x v="75"/>
    <x v="2"/>
    <x v="0"/>
    <x v="2"/>
    <x v="23"/>
    <x v="8"/>
    <s v="Multi-Year"/>
    <x v="1"/>
    <s v="N/A"/>
    <s v=""/>
    <s v="Confirmed"/>
    <s v=""/>
    <x v="1"/>
    <x v="0"/>
    <m/>
    <x v="1"/>
    <x v="1"/>
    <m/>
    <n v="0"/>
    <x v="0"/>
    <s v="N/A"/>
    <s v=""/>
  </r>
  <r>
    <x v="0"/>
    <x v="76"/>
    <x v="76"/>
    <x v="3"/>
    <x v="0"/>
    <x v="2"/>
    <x v="23"/>
    <x v="8"/>
    <s v="Multi-Year"/>
    <x v="1"/>
    <s v="N/A"/>
    <s v=""/>
    <s v="Confirmed"/>
    <s v=""/>
    <x v="1"/>
    <x v="0"/>
    <m/>
    <x v="0"/>
    <x v="0"/>
    <m/>
    <n v="2"/>
    <x v="0"/>
    <s v="Moderate"/>
    <n v="206914157.05429548"/>
  </r>
  <r>
    <x v="0"/>
    <x v="77"/>
    <x v="77"/>
    <x v="3"/>
    <x v="0"/>
    <x v="2"/>
    <x v="23"/>
    <x v="8"/>
    <s v="Multi-Year"/>
    <x v="1"/>
    <s v="N/A"/>
    <s v=""/>
    <s v="Confirmed"/>
    <s v=""/>
    <x v="1"/>
    <x v="0"/>
    <m/>
    <x v="0"/>
    <x v="0"/>
    <m/>
    <n v="2"/>
    <x v="0"/>
    <s v="High"/>
    <n v="185999915.02066413"/>
  </r>
  <r>
    <x v="0"/>
    <x v="78"/>
    <x v="78"/>
    <x v="6"/>
    <x v="0"/>
    <x v="2"/>
    <x v="23"/>
    <x v="8"/>
    <s v="Multi-Year"/>
    <x v="1"/>
    <s v="N/A"/>
    <s v=""/>
    <s v="Confirmed"/>
    <s v=""/>
    <x v="1"/>
    <x v="0"/>
    <m/>
    <x v="1"/>
    <x v="1"/>
    <m/>
    <n v="0"/>
    <x v="0"/>
    <s v=""/>
    <n v="6893755763.2501726"/>
  </r>
  <r>
    <x v="0"/>
    <x v="79"/>
    <x v="79"/>
    <x v="0"/>
    <x v="0"/>
    <x v="2"/>
    <x v="23"/>
    <x v="8"/>
    <s v="Multi-Year"/>
    <x v="1"/>
    <s v="N/A"/>
    <s v=""/>
    <s v="Confirmed"/>
    <s v=""/>
    <x v="1"/>
    <x v="0"/>
    <m/>
    <x v="1"/>
    <x v="0"/>
    <m/>
    <n v="0"/>
    <x v="1"/>
    <s v="High"/>
    <n v="354560231.58276606"/>
  </r>
  <r>
    <x v="0"/>
    <x v="80"/>
    <x v="80"/>
    <x v="5"/>
    <x v="0"/>
    <x v="2"/>
    <x v="23"/>
    <x v="8"/>
    <s v="Multi-Year"/>
    <x v="1"/>
    <s v="N/A"/>
    <s v=""/>
    <s v="Confirmed"/>
    <s v=""/>
    <x v="1"/>
    <x v="0"/>
    <m/>
    <x v="0"/>
    <x v="0"/>
    <m/>
    <n v="1"/>
    <x v="0"/>
    <s v="Moderate"/>
    <n v="188169167.56540567"/>
  </r>
  <r>
    <x v="0"/>
    <x v="81"/>
    <x v="81"/>
    <x v="6"/>
    <x v="0"/>
    <x v="2"/>
    <x v="23"/>
    <x v="8"/>
    <s v="Multi-Year"/>
    <x v="1"/>
    <s v="N/A"/>
    <s v=""/>
    <s v="Confirmed"/>
    <s v=""/>
    <x v="1"/>
    <x v="0"/>
    <m/>
    <x v="1"/>
    <x v="0"/>
    <m/>
    <n v="0"/>
    <x v="1"/>
    <s v=""/>
    <n v="16312106.556340856"/>
  </r>
  <r>
    <x v="0"/>
    <x v="82"/>
    <x v="82"/>
    <x v="5"/>
    <x v="0"/>
    <x v="2"/>
    <x v="23"/>
    <x v="8"/>
    <s v="Multi-Year"/>
    <x v="1"/>
    <s v="N/A"/>
    <s v=""/>
    <s v="Confirmed"/>
    <s v=""/>
    <x v="1"/>
    <x v="0"/>
    <m/>
    <x v="2"/>
    <x v="0"/>
    <m/>
    <n v="2"/>
    <x v="0"/>
    <s v="High"/>
    <n v="86083833.534053758"/>
  </r>
  <r>
    <x v="0"/>
    <x v="83"/>
    <x v="83"/>
    <x v="3"/>
    <x v="0"/>
    <x v="2"/>
    <x v="23"/>
    <x v="8"/>
    <s v="Multi-Year"/>
    <x v="1"/>
    <s v="N/A"/>
    <s v=""/>
    <s v="Confirmed"/>
    <s v=""/>
    <x v="1"/>
    <x v="0"/>
    <m/>
    <x v="1"/>
    <x v="1"/>
    <m/>
    <n v="0"/>
    <x v="1"/>
    <s v="N/A"/>
    <n v="357220835.93762809"/>
  </r>
  <r>
    <x v="0"/>
    <x v="84"/>
    <x v="84"/>
    <x v="4"/>
    <x v="0"/>
    <x v="2"/>
    <x v="23"/>
    <x v="8"/>
    <s v="Multi-Year"/>
    <x v="1"/>
    <s v="N/A"/>
    <s v=""/>
    <s v="Confirmed"/>
    <s v=""/>
    <x v="1"/>
    <x v="0"/>
    <m/>
    <x v="1"/>
    <x v="1"/>
    <m/>
    <n v="0"/>
    <x v="0"/>
    <s v=""/>
    <n v="32831598153.796387"/>
  </r>
  <r>
    <x v="0"/>
    <x v="85"/>
    <x v="85"/>
    <x v="6"/>
    <x v="0"/>
    <x v="2"/>
    <x v="23"/>
    <x v="8"/>
    <s v="Multi-Year"/>
    <x v="1"/>
    <s v="N/A"/>
    <s v=""/>
    <s v="Confirmed"/>
    <s v=""/>
    <x v="1"/>
    <x v="0"/>
    <m/>
    <x v="2"/>
    <x v="0"/>
    <m/>
    <n v="0"/>
    <x v="1"/>
    <s v="High"/>
    <n v="12329056.093798399"/>
  </r>
  <r>
    <x v="0"/>
    <x v="86"/>
    <x v="86"/>
    <x v="1"/>
    <x v="0"/>
    <x v="2"/>
    <x v="23"/>
    <x v="8"/>
    <s v="Multi-Year"/>
    <x v="1"/>
    <s v="N/A"/>
    <s v=""/>
    <s v="Confirmed"/>
    <s v=""/>
    <x v="1"/>
    <x v="0"/>
    <m/>
    <x v="1"/>
    <x v="0"/>
    <m/>
    <n v="0"/>
    <x v="0"/>
    <s v="Low"/>
    <n v="426639742.85328001"/>
  </r>
  <r>
    <x v="0"/>
    <x v="87"/>
    <x v="87"/>
    <x v="6"/>
    <x v="0"/>
    <x v="2"/>
    <x v="23"/>
    <x v="8"/>
    <s v="Multi-Year"/>
    <x v="1"/>
    <s v="N/A"/>
    <s v=""/>
    <s v="Confirmed"/>
    <s v=""/>
    <x v="1"/>
    <x v="0"/>
    <m/>
    <x v="2"/>
    <x v="0"/>
    <m/>
    <n v="0"/>
    <x v="0"/>
    <s v="…"/>
    <n v="288519671.85870522"/>
  </r>
  <r>
    <x v="0"/>
    <x v="88"/>
    <x v="88"/>
    <x v="1"/>
    <x v="0"/>
    <x v="2"/>
    <x v="23"/>
    <x v="8"/>
    <s v="Multi-Year"/>
    <x v="1"/>
    <s v="N/A"/>
    <s v=""/>
    <s v="Confirmed"/>
    <s v=""/>
    <x v="1"/>
    <x v="0"/>
    <m/>
    <x v="1"/>
    <x v="1"/>
    <m/>
    <n v="0"/>
    <x v="0"/>
    <s v="N/A"/>
    <n v="275606560.78491527"/>
  </r>
  <r>
    <x v="0"/>
    <x v="89"/>
    <x v="89"/>
    <x v="2"/>
    <x v="0"/>
    <x v="2"/>
    <x v="23"/>
    <x v="8"/>
    <s v="Multi-Year"/>
    <x v="1"/>
    <s v="N/A"/>
    <s v=""/>
    <s v="Confirmed"/>
    <s v=""/>
    <x v="1"/>
    <x v="0"/>
    <m/>
    <x v="2"/>
    <x v="0"/>
    <m/>
    <n v="0"/>
    <x v="0"/>
    <s v="N/A"/>
    <n v="2530937679.3725696"/>
  </r>
  <r>
    <x v="0"/>
    <x v="90"/>
    <x v="90"/>
    <x v="3"/>
    <x v="0"/>
    <x v="2"/>
    <x v="23"/>
    <x v="8"/>
    <s v="Multi-Year"/>
    <x v="1"/>
    <s v="N/A"/>
    <s v=""/>
    <s v="Confirmed"/>
    <s v=""/>
    <x v="1"/>
    <x v="0"/>
    <m/>
    <x v="0"/>
    <x v="0"/>
    <m/>
    <n v="0"/>
    <x v="0"/>
    <s v="In distress"/>
    <n v="251432156.86255455"/>
  </r>
  <r>
    <x v="0"/>
    <x v="91"/>
    <x v="91"/>
    <x v="6"/>
    <x v="0"/>
    <x v="2"/>
    <x v="23"/>
    <x v="8"/>
    <s v="Multi-Year"/>
    <x v="1"/>
    <s v="N/A"/>
    <s v=""/>
    <s v="Confirmed"/>
    <s v=""/>
    <x v="1"/>
    <x v="0"/>
    <m/>
    <x v="2"/>
    <x v="0"/>
    <m/>
    <n v="0"/>
    <x v="0"/>
    <s v="Low"/>
    <n v="471534500.60109437"/>
  </r>
  <r>
    <x v="0"/>
    <x v="92"/>
    <x v="92"/>
    <x v="3"/>
    <x v="0"/>
    <x v="2"/>
    <x v="23"/>
    <x v="8"/>
    <s v="Multi-Year"/>
    <x v="1"/>
    <s v="N/A"/>
    <s v=""/>
    <s v="Confirmed"/>
    <s v=""/>
    <x v="1"/>
    <x v="0"/>
    <m/>
    <x v="1"/>
    <x v="1"/>
    <m/>
    <n v="0"/>
    <x v="0"/>
    <s v=""/>
    <n v="531677611.80447447"/>
  </r>
  <r>
    <x v="0"/>
    <x v="93"/>
    <x v="93"/>
    <x v="6"/>
    <x v="0"/>
    <x v="2"/>
    <x v="23"/>
    <x v="8"/>
    <s v="Multi-Year"/>
    <x v="1"/>
    <s v="N/A"/>
    <s v=""/>
    <s v="Confirmed"/>
    <s v=""/>
    <x v="1"/>
    <x v="0"/>
    <m/>
    <x v="3"/>
    <x v="1"/>
    <m/>
    <n v="0"/>
    <x v="1"/>
    <s v=""/>
    <n v="8528751.6418357007"/>
  </r>
  <r>
    <x v="0"/>
    <x v="94"/>
    <x v="94"/>
    <x v="0"/>
    <x v="0"/>
    <x v="2"/>
    <x v="23"/>
    <x v="8"/>
    <s v="Multi-Year"/>
    <x v="1"/>
    <s v="N/A"/>
    <s v=""/>
    <s v="Confirmed"/>
    <s v=""/>
    <x v="1"/>
    <x v="0"/>
    <m/>
    <x v="2"/>
    <x v="0"/>
    <m/>
    <n v="0"/>
    <x v="0"/>
    <s v="Low"/>
    <n v="407084543.19089872"/>
  </r>
  <r>
    <x v="0"/>
    <x v="95"/>
    <x v="95"/>
    <x v="4"/>
    <x v="0"/>
    <x v="2"/>
    <x v="23"/>
    <x v="8"/>
    <s v="Multi-Year"/>
    <x v="1"/>
    <s v="N/A"/>
    <s v=""/>
    <s v="Confirmed"/>
    <s v=""/>
    <x v="1"/>
    <x v="0"/>
    <m/>
    <x v="2"/>
    <x v="0"/>
    <m/>
    <n v="0"/>
    <x v="0"/>
    <s v="Moderate"/>
    <n v="671998341.93592453"/>
  </r>
  <r>
    <x v="0"/>
    <x v="96"/>
    <x v="96"/>
    <x v="5"/>
    <x v="0"/>
    <x v="2"/>
    <x v="23"/>
    <x v="8"/>
    <s v="Multi-Year"/>
    <x v="1"/>
    <s v="N/A"/>
    <s v=""/>
    <s v="Confirmed"/>
    <s v=""/>
    <x v="1"/>
    <x v="0"/>
    <m/>
    <x v="0"/>
    <x v="0"/>
    <m/>
    <n v="1"/>
    <x v="0"/>
    <s v="Moderate"/>
    <n v="226203289.67158964"/>
  </r>
  <r>
    <x v="0"/>
    <x v="97"/>
    <x v="97"/>
    <x v="5"/>
    <x v="0"/>
    <x v="2"/>
    <x v="23"/>
    <x v="8"/>
    <s v="Multi-Year"/>
    <x v="1"/>
    <s v="N/A"/>
    <s v=""/>
    <s v="Confirmed"/>
    <s v=""/>
    <x v="1"/>
    <x v="0"/>
    <m/>
    <x v="2"/>
    <x v="0"/>
    <m/>
    <n v="3"/>
    <x v="0"/>
    <s v="…"/>
    <n v="2438881113.1244688"/>
  </r>
  <r>
    <x v="0"/>
    <x v="98"/>
    <x v="98"/>
    <x v="1"/>
    <x v="0"/>
    <x v="2"/>
    <x v="23"/>
    <x v="8"/>
    <s v="Multi-Year"/>
    <x v="1"/>
    <s v="N/A"/>
    <s v=""/>
    <s v="Confirmed"/>
    <s v=""/>
    <x v="1"/>
    <x v="0"/>
    <m/>
    <x v="1"/>
    <x v="1"/>
    <m/>
    <n v="0"/>
    <x v="0"/>
    <s v=""/>
    <n v="476517795.73174149"/>
  </r>
  <r>
    <x v="0"/>
    <x v="99"/>
    <x v="99"/>
    <x v="0"/>
    <x v="0"/>
    <x v="2"/>
    <x v="23"/>
    <x v="8"/>
    <s v="Multi-Year"/>
    <x v="1"/>
    <s v="N/A"/>
    <s v=""/>
    <s v="Confirmed"/>
    <s v=""/>
    <x v="1"/>
    <x v="0"/>
    <m/>
    <x v="2"/>
    <x v="0"/>
    <m/>
    <n v="0"/>
    <x v="0"/>
    <s v="…"/>
    <n v="3233351297.7679496"/>
  </r>
  <r>
    <x v="0"/>
    <x v="100"/>
    <x v="100"/>
    <x v="4"/>
    <x v="0"/>
    <x v="2"/>
    <x v="23"/>
    <x v="8"/>
    <s v="Multi-Year"/>
    <x v="1"/>
    <s v="N/A"/>
    <s v=""/>
    <s v="Confirmed"/>
    <s v=""/>
    <x v="1"/>
    <x v="0"/>
    <m/>
    <x v="3"/>
    <x v="1"/>
    <m/>
    <n v="0"/>
    <x v="1"/>
    <s v=""/>
    <n v="18180646.808608256"/>
  </r>
  <r>
    <x v="0"/>
    <x v="101"/>
    <x v="101"/>
    <x v="4"/>
    <x v="0"/>
    <x v="2"/>
    <x v="23"/>
    <x v="8"/>
    <s v="Multi-Year"/>
    <x v="1"/>
    <s v="N/A"/>
    <s v=""/>
    <s v="Confirmed"/>
    <s v=""/>
    <x v="1"/>
    <x v="0"/>
    <m/>
    <x v="1"/>
    <x v="1"/>
    <m/>
    <n v="0"/>
    <x v="0"/>
    <s v="N/A"/>
    <n v="3020530707.3485303"/>
  </r>
  <r>
    <x v="0"/>
    <x v="102"/>
    <x v="102"/>
    <x v="6"/>
    <x v="0"/>
    <x v="2"/>
    <x v="23"/>
    <x v="8"/>
    <s v="Multi-Year"/>
    <x v="1"/>
    <s v="N/A"/>
    <s v=""/>
    <s v="Confirmed"/>
    <s v=""/>
    <x v="1"/>
    <x v="0"/>
    <m/>
    <x v="2"/>
    <x v="0"/>
    <m/>
    <n v="1"/>
    <x v="1"/>
    <s v="High"/>
    <n v="384406316.46074712"/>
  </r>
  <r>
    <x v="0"/>
    <x v="103"/>
    <x v="103"/>
    <x v="4"/>
    <x v="0"/>
    <x v="2"/>
    <x v="23"/>
    <x v="8"/>
    <s v="Multi-Year"/>
    <x v="1"/>
    <s v="N/A"/>
    <s v=""/>
    <s v="Confirmed"/>
    <s v=""/>
    <x v="1"/>
    <x v="0"/>
    <m/>
    <x v="1"/>
    <x v="1"/>
    <m/>
    <n v="0"/>
    <x v="0"/>
    <s v=""/>
    <n v="1218747108.9554784"/>
  </r>
  <r>
    <x v="0"/>
    <x v="104"/>
    <x v="104"/>
    <x v="4"/>
    <x v="0"/>
    <x v="2"/>
    <x v="23"/>
    <x v="8"/>
    <s v="Multi-Year"/>
    <x v="1"/>
    <s v="N/A"/>
    <s v=""/>
    <s v="Confirmed"/>
    <s v=""/>
    <x v="1"/>
    <x v="0"/>
    <m/>
    <x v="1"/>
    <x v="1"/>
    <m/>
    <n v="0"/>
    <x v="0"/>
    <s v=""/>
    <n v="7392665952.5895758"/>
  </r>
  <r>
    <x v="0"/>
    <x v="105"/>
    <x v="105"/>
    <x v="6"/>
    <x v="0"/>
    <x v="2"/>
    <x v="23"/>
    <x v="8"/>
    <s v="Multi-Year"/>
    <x v="1"/>
    <s v="N/A"/>
    <s v=""/>
    <s v="Confirmed"/>
    <s v=""/>
    <x v="1"/>
    <x v="0"/>
    <m/>
    <x v="2"/>
    <x v="0"/>
    <m/>
    <n v="0"/>
    <x v="0"/>
    <s v="N/A"/>
    <n v="4754985988.6004429"/>
  </r>
  <r>
    <x v="0"/>
    <x v="106"/>
    <x v="106"/>
    <x v="1"/>
    <x v="0"/>
    <x v="2"/>
    <x v="23"/>
    <x v="8"/>
    <s v="Multi-Year"/>
    <x v="1"/>
    <s v="N/A"/>
    <s v=""/>
    <s v="Confirmed"/>
    <s v=""/>
    <x v="1"/>
    <x v="0"/>
    <m/>
    <x v="3"/>
    <x v="1"/>
    <m/>
    <n v="0"/>
    <x v="0"/>
    <s v=""/>
    <n v="26422210443.037273"/>
  </r>
  <r>
    <x v="0"/>
    <x v="107"/>
    <x v="107"/>
    <x v="1"/>
    <x v="0"/>
    <x v="2"/>
    <x v="23"/>
    <x v="8"/>
    <s v="Multi-Year"/>
    <x v="1"/>
    <s v="N/A"/>
    <s v=""/>
    <s v="Confirmed"/>
    <s v=""/>
    <x v="1"/>
    <x v="0"/>
    <m/>
    <x v="1"/>
    <x v="1"/>
    <m/>
    <n v="0"/>
    <x v="0"/>
    <s v=""/>
    <n v="10696495313.15033"/>
  </r>
  <r>
    <x v="0"/>
    <x v="108"/>
    <x v="108"/>
    <x v="1"/>
    <x v="0"/>
    <x v="2"/>
    <x v="23"/>
    <x v="8"/>
    <s v="Multi-Year"/>
    <x v="1"/>
    <s v="N/A"/>
    <s v=""/>
    <s v="Confirmed"/>
    <s v=""/>
    <x v="1"/>
    <x v="0"/>
    <m/>
    <x v="1"/>
    <x v="1"/>
    <m/>
    <n v="0"/>
    <x v="0"/>
    <s v=""/>
    <n v="52769713433.240509"/>
  </r>
  <r>
    <x v="0"/>
    <x v="109"/>
    <x v="109"/>
    <x v="3"/>
    <x v="0"/>
    <x v="2"/>
    <x v="23"/>
    <x v="8"/>
    <s v="Multi-Year"/>
    <x v="1"/>
    <s v="N/A"/>
    <s v=""/>
    <s v="Confirmed"/>
    <s v=""/>
    <x v="1"/>
    <x v="0"/>
    <m/>
    <x v="0"/>
    <x v="0"/>
    <m/>
    <n v="0"/>
    <x v="0"/>
    <s v="Moderate"/>
    <n v="225799814.51943746"/>
  </r>
  <r>
    <x v="0"/>
    <x v="110"/>
    <x v="110"/>
    <x v="6"/>
    <x v="0"/>
    <x v="2"/>
    <x v="23"/>
    <x v="8"/>
    <s v="Multi-Year"/>
    <x v="1"/>
    <s v="N/A"/>
    <s v=""/>
    <s v="Confirmed"/>
    <s v=""/>
    <x v="1"/>
    <x v="0"/>
    <m/>
    <x v="2"/>
    <x v="0"/>
    <m/>
    <n v="0"/>
    <x v="1"/>
    <s v="High"/>
    <n v="32192988.027009469"/>
  </r>
  <r>
    <x v="0"/>
    <x v="111"/>
    <x v="111"/>
    <x v="5"/>
    <x v="0"/>
    <x v="2"/>
    <x v="23"/>
    <x v="8"/>
    <s v="Multi-Year"/>
    <x v="1"/>
    <s v="N/A"/>
    <s v=""/>
    <s v="Confirmed"/>
    <s v=""/>
    <x v="1"/>
    <x v="0"/>
    <m/>
    <x v="2"/>
    <x v="0"/>
    <m/>
    <n v="0"/>
    <x v="1"/>
    <s v="In distress"/>
    <n v="11633535.136477679"/>
  </r>
  <r>
    <x v="0"/>
    <x v="112"/>
    <x v="112"/>
    <x v="5"/>
    <x v="0"/>
    <x v="2"/>
    <x v="23"/>
    <x v="8"/>
    <s v="Multi-Year"/>
    <x v="1"/>
    <s v="N/A"/>
    <s v=""/>
    <s v="Confirmed"/>
    <s v=""/>
    <x v="1"/>
    <x v="0"/>
    <m/>
    <x v="2"/>
    <x v="0"/>
    <m/>
    <n v="2"/>
    <x v="0"/>
    <s v="Moderate"/>
    <n v="222008693.93354639"/>
  </r>
  <r>
    <x v="0"/>
    <x v="113"/>
    <x v="113"/>
    <x v="1"/>
    <x v="0"/>
    <x v="2"/>
    <x v="23"/>
    <x v="8"/>
    <s v="Multi-Year"/>
    <x v="1"/>
    <s v="N/A"/>
    <s v=""/>
    <s v="Confirmed"/>
    <s v=""/>
    <x v="1"/>
    <x v="0"/>
    <m/>
    <x v="1"/>
    <x v="1"/>
    <m/>
    <n v="0"/>
    <x v="0"/>
    <s v=""/>
    <n v="2564993795.1894679"/>
  </r>
  <r>
    <x v="0"/>
    <x v="114"/>
    <x v="114"/>
    <x v="3"/>
    <x v="0"/>
    <x v="2"/>
    <x v="23"/>
    <x v="8"/>
    <s v="Multi-Year"/>
    <x v="1"/>
    <s v="N/A"/>
    <s v=""/>
    <s v="Confirmed"/>
    <s v=""/>
    <x v="1"/>
    <x v="0"/>
    <m/>
    <x v="3"/>
    <x v="1"/>
    <m/>
    <n v="0"/>
    <x v="1"/>
    <s v="N/A"/>
    <n v="60237542.945069775"/>
  </r>
  <r>
    <x v="0"/>
    <x v="115"/>
    <x v="115"/>
    <x v="5"/>
    <x v="0"/>
    <x v="2"/>
    <x v="23"/>
    <x v="8"/>
    <s v="Multi-Year"/>
    <x v="1"/>
    <s v="N/A"/>
    <n v="1114766"/>
    <s v="Confirmed"/>
    <s v=""/>
    <x v="1"/>
    <x v="0"/>
    <m/>
    <x v="0"/>
    <x v="0"/>
    <m/>
    <n v="0"/>
    <x v="0"/>
    <s v="High"/>
    <n v="63738640.538260505"/>
  </r>
  <r>
    <x v="0"/>
    <x v="116"/>
    <x v="116"/>
    <x v="6"/>
    <x v="0"/>
    <x v="2"/>
    <x v="23"/>
    <x v="8"/>
    <s v="Multi-Year"/>
    <x v="1"/>
    <s v="N/A"/>
    <s v=""/>
    <s v="Confirmed"/>
    <s v=""/>
    <x v="1"/>
    <x v="0"/>
    <m/>
    <x v="2"/>
    <x v="0"/>
    <m/>
    <n v="0"/>
    <x v="1"/>
    <s v="Moderate"/>
    <n v="49012774.055630356"/>
  </r>
  <r>
    <x v="0"/>
    <x v="117"/>
    <x v="117"/>
    <x v="3"/>
    <x v="0"/>
    <x v="2"/>
    <x v="23"/>
    <x v="8"/>
    <s v="Multi-Year"/>
    <x v="1"/>
    <s v="N/A"/>
    <s v=""/>
    <s v="Confirmed"/>
    <s v=""/>
    <x v="1"/>
    <x v="0"/>
    <m/>
    <x v="0"/>
    <x v="0"/>
    <m/>
    <n v="1"/>
    <x v="0"/>
    <s v="In distress"/>
    <s v=""/>
  </r>
  <r>
    <x v="0"/>
    <x v="118"/>
    <x v="118"/>
    <x v="3"/>
    <x v="0"/>
    <x v="2"/>
    <x v="23"/>
    <x v="8"/>
    <s v="Multi-Year"/>
    <x v="1"/>
    <s v="N/A"/>
    <s v=""/>
    <s v="Confirmed"/>
    <s v=""/>
    <x v="1"/>
    <x v="0"/>
    <m/>
    <x v="1"/>
    <x v="1"/>
    <m/>
    <n v="0"/>
    <x v="0"/>
    <s v="N/A"/>
    <n v="16429121142.784708"/>
  </r>
  <r>
    <x v="0"/>
    <x v="119"/>
    <x v="119"/>
    <x v="3"/>
    <x v="0"/>
    <x v="2"/>
    <x v="23"/>
    <x v="8"/>
    <s v="Multi-Year"/>
    <x v="1"/>
    <s v="N/A"/>
    <s v=""/>
    <s v="Confirmed"/>
    <s v=""/>
    <x v="1"/>
    <x v="0"/>
    <m/>
    <x v="0"/>
    <x v="0"/>
    <m/>
    <n v="1"/>
    <x v="0"/>
    <s v="High"/>
    <n v="31684581.76217727"/>
  </r>
  <r>
    <x v="0"/>
    <x v="120"/>
    <x v="120"/>
    <x v="0"/>
    <x v="0"/>
    <x v="2"/>
    <x v="23"/>
    <x v="8"/>
    <s v="Multi-Year"/>
    <x v="1"/>
    <s v="N/A"/>
    <s v=""/>
    <s v="Confirmed"/>
    <s v=""/>
    <x v="1"/>
    <x v="0"/>
    <m/>
    <x v="2"/>
    <x v="0"/>
    <m/>
    <n v="0"/>
    <x v="0"/>
    <s v="N/A"/>
    <n v="1373621563.5182886"/>
  </r>
  <r>
    <x v="0"/>
    <x v="121"/>
    <x v="121"/>
    <x v="4"/>
    <x v="0"/>
    <x v="2"/>
    <x v="23"/>
    <x v="8"/>
    <s v="Multi-Year"/>
    <x v="1"/>
    <s v="N/A"/>
    <s v=""/>
    <s v="Confirmed"/>
    <s v=""/>
    <x v="1"/>
    <x v="0"/>
    <m/>
    <x v="3"/>
    <x v="1"/>
    <m/>
    <n v="0"/>
    <x v="1"/>
    <s v=""/>
    <n v="24214370.889062837"/>
  </r>
  <r>
    <x v="0"/>
    <x v="122"/>
    <x v="122"/>
    <x v="4"/>
    <x v="0"/>
    <x v="2"/>
    <x v="23"/>
    <x v="8"/>
    <s v="Multi-Year"/>
    <x v="1"/>
    <s v="N/A"/>
    <s v=""/>
    <s v="Confirmed"/>
    <s v=""/>
    <x v="1"/>
    <x v="0"/>
    <m/>
    <x v="1"/>
    <x v="0"/>
    <m/>
    <n v="0"/>
    <x v="1"/>
    <s v="…"/>
    <n v="39941279.609447442"/>
  </r>
  <r>
    <x v="0"/>
    <x v="123"/>
    <x v="123"/>
    <x v="4"/>
    <x v="0"/>
    <x v="2"/>
    <x v="23"/>
    <x v="8"/>
    <s v="Multi-Year"/>
    <x v="1"/>
    <s v="N/A"/>
    <s v=""/>
    <s v="Confirmed"/>
    <s v=""/>
    <x v="1"/>
    <x v="0"/>
    <m/>
    <x v="1"/>
    <x v="0"/>
    <m/>
    <n v="0"/>
    <x v="1"/>
    <s v="High"/>
    <n v="24761675.260059897"/>
  </r>
  <r>
    <x v="0"/>
    <x v="124"/>
    <x v="124"/>
    <x v="2"/>
    <x v="0"/>
    <x v="2"/>
    <x v="23"/>
    <x v="8"/>
    <s v="Multi-Year"/>
    <x v="1"/>
    <s v="N/A"/>
    <s v=""/>
    <s v="Confirmed"/>
    <s v=""/>
    <x v="1"/>
    <x v="0"/>
    <m/>
    <x v="2"/>
    <x v="0"/>
    <m/>
    <n v="0"/>
    <x v="0"/>
    <s v="N/A"/>
    <s v=""/>
  </r>
  <r>
    <x v="0"/>
    <x v="125"/>
    <x v="125"/>
    <x v="2"/>
    <x v="0"/>
    <x v="2"/>
    <x v="23"/>
    <x v="8"/>
    <s v="Multi-Year"/>
    <x v="1"/>
    <s v="N/A"/>
    <s v=""/>
    <s v="Confirmed"/>
    <s v=""/>
    <x v="1"/>
    <x v="0"/>
    <m/>
    <x v="0"/>
    <x v="0"/>
    <m/>
    <n v="1"/>
    <x v="0"/>
    <s v="N/A"/>
    <n v="577156172.71229994"/>
  </r>
  <r>
    <x v="0"/>
    <x v="126"/>
    <x v="126"/>
    <x v="6"/>
    <x v="0"/>
    <x v="2"/>
    <x v="23"/>
    <x v="8"/>
    <s v="Multi-Year"/>
    <x v="1"/>
    <s v="N/A"/>
    <s v=""/>
    <s v="Confirmed"/>
    <s v=""/>
    <x v="1"/>
    <x v="0"/>
    <m/>
    <x v="1"/>
    <x v="1"/>
    <m/>
    <n v="0"/>
    <x v="1"/>
    <s v=""/>
    <n v="180052034.19851837"/>
  </r>
  <r>
    <x v="0"/>
    <x v="127"/>
    <x v="127"/>
    <x v="2"/>
    <x v="0"/>
    <x v="2"/>
    <x v="23"/>
    <x v="8"/>
    <s v="Multi-Year"/>
    <x v="1"/>
    <s v="N/A"/>
    <s v=""/>
    <s v="Confirmed"/>
    <s v=""/>
    <x v="1"/>
    <x v="0"/>
    <m/>
    <x v="0"/>
    <x v="0"/>
    <m/>
    <n v="1"/>
    <x v="0"/>
    <s v="N/A"/>
    <s v=""/>
  </r>
  <r>
    <x v="0"/>
    <x v="128"/>
    <x v="128"/>
    <x v="1"/>
    <x v="0"/>
    <x v="2"/>
    <x v="23"/>
    <x v="8"/>
    <s v="Multi-Year"/>
    <x v="1"/>
    <s v="N/A"/>
    <s v=""/>
    <s v="Confirmed"/>
    <s v=""/>
    <x v="1"/>
    <x v="0"/>
    <m/>
    <x v="2"/>
    <x v="0"/>
    <m/>
    <n v="0"/>
    <x v="0"/>
    <s v="High"/>
    <n v="147296124.32232863"/>
  </r>
  <r>
    <x v="0"/>
    <x v="129"/>
    <x v="129"/>
    <x v="3"/>
    <x v="0"/>
    <x v="2"/>
    <x v="23"/>
    <x v="8"/>
    <s v="Multi-Year"/>
    <x v="1"/>
    <s v="N/A"/>
    <s v=""/>
    <s v="Confirmed"/>
    <s v=""/>
    <x v="1"/>
    <x v="0"/>
    <m/>
    <x v="2"/>
    <x v="0"/>
    <m/>
    <n v="0"/>
    <x v="0"/>
    <s v="…"/>
    <n v="890576536.83065879"/>
  </r>
  <r>
    <x v="0"/>
    <x v="130"/>
    <x v="130"/>
    <x v="6"/>
    <x v="0"/>
    <x v="2"/>
    <x v="23"/>
    <x v="8"/>
    <s v="Multi-Year"/>
    <x v="1"/>
    <s v="N/A"/>
    <s v=""/>
    <s v="Confirmed"/>
    <s v=""/>
    <x v="1"/>
    <x v="0"/>
    <m/>
    <x v="1"/>
    <x v="1"/>
    <m/>
    <n v="0"/>
    <x v="0"/>
    <s v=""/>
    <n v="14611129792.346064"/>
  </r>
  <r>
    <x v="0"/>
    <x v="131"/>
    <x v="131"/>
    <x v="6"/>
    <x v="0"/>
    <x v="2"/>
    <x v="23"/>
    <x v="8"/>
    <s v="Multi-Year"/>
    <x v="1"/>
    <s v="N/A"/>
    <s v=""/>
    <s v="Confirmed"/>
    <s v=""/>
    <x v="1"/>
    <x v="0"/>
    <m/>
    <x v="2"/>
    <x v="0"/>
    <m/>
    <n v="0"/>
    <x v="1"/>
    <s v="Low"/>
    <n v="72046877.233008593"/>
  </r>
  <r>
    <x v="0"/>
    <x v="132"/>
    <x v="132"/>
    <x v="5"/>
    <x v="0"/>
    <x v="2"/>
    <x v="23"/>
    <x v="8"/>
    <s v="Multi-Year"/>
    <x v="1"/>
    <s v="N/A"/>
    <s v=""/>
    <s v="Confirmed"/>
    <s v=""/>
    <x v="1"/>
    <x v="0"/>
    <m/>
    <x v="0"/>
    <x v="0"/>
    <m/>
    <n v="0"/>
    <x v="0"/>
    <s v="High"/>
    <n v="56248139.267255567"/>
  </r>
  <r>
    <x v="0"/>
    <x v="133"/>
    <x v="133"/>
    <x v="6"/>
    <x v="0"/>
    <x v="2"/>
    <x v="23"/>
    <x v="8"/>
    <s v="Multi-Year"/>
    <x v="1"/>
    <s v="N/A"/>
    <s v=""/>
    <s v="Confirmed"/>
    <s v=""/>
    <x v="1"/>
    <x v="0"/>
    <m/>
    <x v="1"/>
    <x v="0"/>
    <m/>
    <n v="0"/>
    <x v="1"/>
    <s v="High"/>
    <n v="15464031.712942109"/>
  </r>
  <r>
    <x v="0"/>
    <x v="134"/>
    <x v="134"/>
    <x v="4"/>
    <x v="0"/>
    <x v="2"/>
    <x v="23"/>
    <x v="8"/>
    <s v="Multi-Year"/>
    <x v="1"/>
    <s v="N/A"/>
    <s v=""/>
    <s v="Confirmed"/>
    <s v=""/>
    <x v="1"/>
    <x v="0"/>
    <m/>
    <x v="3"/>
    <x v="1"/>
    <m/>
    <n v="0"/>
    <x v="1"/>
    <s v="N/A"/>
    <n v="769564399.33249676"/>
  </r>
  <r>
    <x v="0"/>
    <x v="135"/>
    <x v="135"/>
    <x v="2"/>
    <x v="0"/>
    <x v="2"/>
    <x v="23"/>
    <x v="8"/>
    <s v="Multi-Year"/>
    <x v="1"/>
    <s v="N/A"/>
    <s v=""/>
    <s v="Confirmed"/>
    <s v=""/>
    <x v="1"/>
    <x v="0"/>
    <m/>
    <x v="2"/>
    <x v="0"/>
    <m/>
    <n v="0"/>
    <x v="0"/>
    <s v="N/A"/>
    <n v="1668954539.7630196"/>
  </r>
  <r>
    <x v="0"/>
    <x v="136"/>
    <x v="136"/>
    <x v="1"/>
    <x v="0"/>
    <x v="2"/>
    <x v="23"/>
    <x v="8"/>
    <s v="Multi-Year"/>
    <x v="1"/>
    <s v="N/A"/>
    <s v=""/>
    <s v="Confirmed"/>
    <s v=""/>
    <x v="1"/>
    <x v="0"/>
    <m/>
    <x v="1"/>
    <x v="1"/>
    <m/>
    <n v="0"/>
    <x v="0"/>
    <s v=""/>
    <n v="24840920016.18832"/>
  </r>
  <r>
    <x v="0"/>
    <x v="137"/>
    <x v="137"/>
    <x v="1"/>
    <x v="0"/>
    <x v="2"/>
    <x v="23"/>
    <x v="8"/>
    <s v="Multi-Year"/>
    <x v="1"/>
    <s v="N/A"/>
    <s v=""/>
    <s v="Confirmed"/>
    <s v=""/>
    <x v="1"/>
    <x v="0"/>
    <m/>
    <x v="1"/>
    <x v="1"/>
    <m/>
    <n v="0"/>
    <x v="0"/>
    <s v="N/A"/>
    <n v="487888462.83720118"/>
  </r>
  <r>
    <x v="0"/>
    <x v="138"/>
    <x v="138"/>
    <x v="6"/>
    <x v="0"/>
    <x v="2"/>
    <x v="23"/>
    <x v="8"/>
    <s v="Multi-Year"/>
    <x v="1"/>
    <s v="N/A"/>
    <s v=""/>
    <s v="Confirmed"/>
    <s v=""/>
    <x v="1"/>
    <x v="0"/>
    <m/>
    <x v="1"/>
    <x v="0"/>
    <m/>
    <n v="0"/>
    <x v="1"/>
    <s v="…"/>
    <n v="6365061.1736073596"/>
  </r>
  <r>
    <x v="0"/>
    <x v="139"/>
    <x v="139"/>
    <x v="3"/>
    <x v="0"/>
    <x v="2"/>
    <x v="23"/>
    <x v="8"/>
    <s v="Multi-Year"/>
    <x v="1"/>
    <s v="N/A"/>
    <s v=""/>
    <s v="Confirmed"/>
    <s v=""/>
    <x v="1"/>
    <x v="0"/>
    <m/>
    <x v="0"/>
    <x v="0"/>
    <m/>
    <n v="2"/>
    <x v="0"/>
    <s v="Low"/>
    <n v="291799092.90196139"/>
  </r>
  <r>
    <x v="0"/>
    <x v="140"/>
    <x v="140"/>
    <x v="1"/>
    <x v="0"/>
    <x v="2"/>
    <x v="23"/>
    <x v="8"/>
    <s v="Multi-Year"/>
    <x v="1"/>
    <s v="N/A"/>
    <s v=""/>
    <s v="Confirmed"/>
    <s v=""/>
    <x v="1"/>
    <x v="0"/>
    <m/>
    <x v="2"/>
    <x v="0"/>
    <m/>
    <n v="0"/>
    <x v="0"/>
    <s v="N/A"/>
    <n v="4844815340.2135534"/>
  </r>
  <r>
    <x v="0"/>
    <x v="141"/>
    <x v="141"/>
    <x v="4"/>
    <x v="0"/>
    <x v="2"/>
    <x v="23"/>
    <x v="8"/>
    <s v="Multi-Year"/>
    <x v="1"/>
    <s v="N/A"/>
    <s v=""/>
    <s v="Confirmed"/>
    <s v=""/>
    <x v="1"/>
    <x v="0"/>
    <m/>
    <x v="3"/>
    <x v="1"/>
    <m/>
    <n v="0"/>
    <x v="0"/>
    <s v=""/>
    <n v="4001891446.6871672"/>
  </r>
  <r>
    <x v="0"/>
    <x v="142"/>
    <x v="142"/>
    <x v="1"/>
    <x v="0"/>
    <x v="2"/>
    <x v="23"/>
    <x v="8"/>
    <s v="Multi-Year"/>
    <x v="1"/>
    <s v="N/A"/>
    <s v=""/>
    <s v="Confirmed"/>
    <s v=""/>
    <x v="1"/>
    <x v="0"/>
    <m/>
    <x v="2"/>
    <x v="0"/>
    <m/>
    <n v="0"/>
    <x v="0"/>
    <s v="Low"/>
    <n v="1019800630.5853213"/>
  </r>
  <r>
    <x v="0"/>
    <x v="143"/>
    <x v="143"/>
    <x v="6"/>
    <x v="0"/>
    <x v="2"/>
    <x v="23"/>
    <x v="8"/>
    <s v="Multi-Year"/>
    <x v="1"/>
    <s v="N/A"/>
    <s v=""/>
    <s v="Confirmed"/>
    <s v=""/>
    <x v="1"/>
    <x v="0"/>
    <m/>
    <x v="2"/>
    <x v="0"/>
    <m/>
    <n v="0"/>
    <x v="1"/>
    <s v="Moderate"/>
    <n v="19578671.310841195"/>
  </r>
  <r>
    <x v="0"/>
    <x v="144"/>
    <x v="144"/>
    <x v="4"/>
    <x v="0"/>
    <x v="2"/>
    <x v="23"/>
    <x v="8"/>
    <s v="Multi-Year"/>
    <x v="1"/>
    <s v="N/A"/>
    <s v=""/>
    <s v="Confirmed"/>
    <s v=""/>
    <x v="1"/>
    <x v="0"/>
    <m/>
    <x v="4"/>
    <x v="1"/>
    <m/>
    <n v="0"/>
    <x v="0"/>
    <s v="N/A"/>
    <n v="3551452001.0684834"/>
  </r>
  <r>
    <x v="0"/>
    <x v="145"/>
    <x v="145"/>
    <x v="6"/>
    <x v="0"/>
    <x v="2"/>
    <x v="23"/>
    <x v="8"/>
    <s v="Multi-Year"/>
    <x v="1"/>
    <s v="N/A"/>
    <s v=""/>
    <s v="Confirmed"/>
    <s v=""/>
    <x v="1"/>
    <x v="0"/>
    <m/>
    <x v="2"/>
    <x v="0"/>
    <m/>
    <n v="0"/>
    <x v="0"/>
    <s v="N/A"/>
    <n v="6603048821.7575006"/>
  </r>
  <r>
    <x v="0"/>
    <x v="146"/>
    <x v="146"/>
    <x v="2"/>
    <x v="0"/>
    <x v="2"/>
    <x v="23"/>
    <x v="8"/>
    <s v="Multi-Year"/>
    <x v="1"/>
    <s v="N/A"/>
    <s v=""/>
    <s v="Confirmed"/>
    <s v=""/>
    <x v="1"/>
    <x v="0"/>
    <m/>
    <x v="0"/>
    <x v="0"/>
    <m/>
    <n v="1"/>
    <x v="0"/>
    <s v="…"/>
    <s v=""/>
  </r>
  <r>
    <x v="0"/>
    <x v="147"/>
    <x v="147"/>
    <x v="3"/>
    <x v="0"/>
    <x v="2"/>
    <x v="23"/>
    <x v="8"/>
    <s v="Multi-Year"/>
    <x v="1"/>
    <s v="N/A"/>
    <s v=""/>
    <s v="Confirmed"/>
    <s v=""/>
    <x v="1"/>
    <x v="0"/>
    <m/>
    <x v="2"/>
    <x v="0"/>
    <m/>
    <n v="0"/>
    <x v="0"/>
    <s v="High"/>
    <n v="515352723.9821828"/>
  </r>
  <r>
    <x v="0"/>
    <x v="148"/>
    <x v="148"/>
    <x v="3"/>
    <x v="0"/>
    <x v="2"/>
    <x v="23"/>
    <x v="8"/>
    <s v="Multi-Year"/>
    <x v="1"/>
    <s v="N/A"/>
    <s v=""/>
    <s v="Confirmed"/>
    <s v=""/>
    <x v="1"/>
    <x v="0"/>
    <m/>
    <x v="2"/>
    <x v="0"/>
    <m/>
    <n v="0"/>
    <x v="0"/>
    <s v="N/A"/>
    <n v="566711742.22428358"/>
  </r>
  <r>
    <x v="0"/>
    <x v="0"/>
    <x v="0"/>
    <x v="0"/>
    <x v="0"/>
    <x v="3"/>
    <x v="24"/>
    <x v="8"/>
    <s v="Multi-Year"/>
    <x v="1"/>
    <s v="N/A"/>
    <n v="2000000"/>
    <s v="Confirmed"/>
    <m/>
    <x v="1"/>
    <x v="0"/>
    <m/>
    <x v="0"/>
    <x v="0"/>
    <m/>
    <n v="1"/>
    <x v="0"/>
    <s v="High"/>
    <n v="95829480.719269618"/>
  </r>
  <r>
    <x v="0"/>
    <x v="1"/>
    <x v="1"/>
    <x v="1"/>
    <x v="0"/>
    <x v="3"/>
    <x v="24"/>
    <x v="8"/>
    <s v="Multi-Year"/>
    <x v="1"/>
    <s v="N/A"/>
    <n v="100000"/>
    <s v="Confirmed"/>
    <m/>
    <x v="1"/>
    <x v="0"/>
    <m/>
    <x v="1"/>
    <x v="1"/>
    <m/>
    <n v="0"/>
    <x v="0"/>
    <s v=""/>
    <n v="427904035.52443534"/>
  </r>
  <r>
    <x v="0"/>
    <x v="2"/>
    <x v="2"/>
    <x v="2"/>
    <x v="0"/>
    <x v="3"/>
    <x v="24"/>
    <x v="8"/>
    <s v="Multi-Year"/>
    <x v="1"/>
    <s v="N/A"/>
    <n v="0"/>
    <s v="Confirmed"/>
    <m/>
    <x v="1"/>
    <x v="0"/>
    <m/>
    <x v="2"/>
    <x v="0"/>
    <m/>
    <n v="0"/>
    <x v="0"/>
    <s v="N/A"/>
    <n v="7113361022.7267885"/>
  </r>
  <r>
    <x v="0"/>
    <x v="3"/>
    <x v="3"/>
    <x v="3"/>
    <x v="0"/>
    <x v="3"/>
    <x v="24"/>
    <x v="8"/>
    <s v="Multi-Year"/>
    <x v="1"/>
    <s v="N/A"/>
    <n v="839236"/>
    <s v="Confirmed"/>
    <m/>
    <x v="1"/>
    <x v="0"/>
    <m/>
    <x v="2"/>
    <x v="0"/>
    <m/>
    <n v="0"/>
    <x v="0"/>
    <s v="…"/>
    <n v="1131865946.5875781"/>
  </r>
  <r>
    <x v="0"/>
    <x v="4"/>
    <x v="4"/>
    <x v="4"/>
    <x v="0"/>
    <x v="3"/>
    <x v="24"/>
    <x v="8"/>
    <s v="Multi-Year"/>
    <x v="1"/>
    <s v="N/A"/>
    <s v=""/>
    <s v="Confirmed"/>
    <m/>
    <x v="1"/>
    <x v="0"/>
    <m/>
    <x v="3"/>
    <x v="1"/>
    <m/>
    <n v="0"/>
    <x v="1"/>
    <s v=""/>
    <n v="46777779.823447868"/>
  </r>
  <r>
    <x v="0"/>
    <x v="5"/>
    <x v="5"/>
    <x v="4"/>
    <x v="0"/>
    <x v="3"/>
    <x v="24"/>
    <x v="8"/>
    <s v="Multi-Year"/>
    <x v="1"/>
    <s v="N/A"/>
    <n v="0"/>
    <s v="Confirmed"/>
    <m/>
    <x v="1"/>
    <x v="0"/>
    <m/>
    <x v="1"/>
    <x v="1"/>
    <m/>
    <n v="0"/>
    <x v="0"/>
    <s v=""/>
    <n v="30725305777.596794"/>
  </r>
  <r>
    <x v="0"/>
    <x v="6"/>
    <x v="6"/>
    <x v="1"/>
    <x v="0"/>
    <x v="3"/>
    <x v="24"/>
    <x v="8"/>
    <s v="Multi-Year"/>
    <x v="1"/>
    <s v="N/A"/>
    <n v="100000"/>
    <s v="Confirmed"/>
    <m/>
    <x v="1"/>
    <x v="0"/>
    <m/>
    <x v="1"/>
    <x v="1"/>
    <m/>
    <n v="0"/>
    <x v="0"/>
    <s v=""/>
    <n v="153815827.8380394"/>
  </r>
  <r>
    <x v="0"/>
    <x v="7"/>
    <x v="7"/>
    <x v="1"/>
    <x v="0"/>
    <x v="3"/>
    <x v="24"/>
    <x v="8"/>
    <s v="Multi-Year"/>
    <x v="1"/>
    <s v="N/A"/>
    <n v="100000"/>
    <s v="Confirmed"/>
    <m/>
    <x v="1"/>
    <x v="0"/>
    <m/>
    <x v="1"/>
    <x v="1"/>
    <m/>
    <n v="0"/>
    <x v="0"/>
    <s v="N/A"/>
    <n v="437525105.31216973"/>
  </r>
  <r>
    <x v="0"/>
    <x v="8"/>
    <x v="8"/>
    <x v="4"/>
    <x v="0"/>
    <x v="3"/>
    <x v="24"/>
    <x v="8"/>
    <s v="Multi-Year"/>
    <x v="1"/>
    <s v="N/A"/>
    <s v=""/>
    <s v="Confirmed"/>
    <m/>
    <x v="1"/>
    <x v="0"/>
    <m/>
    <x v="3"/>
    <x v="1"/>
    <m/>
    <n v="0"/>
    <x v="1"/>
    <s v=""/>
    <n v="149463302.00602186"/>
  </r>
  <r>
    <x v="0"/>
    <x v="9"/>
    <x v="9"/>
    <x v="0"/>
    <x v="0"/>
    <x v="3"/>
    <x v="24"/>
    <x v="8"/>
    <s v="Multi-Year"/>
    <x v="1"/>
    <s v="N/A"/>
    <n v="3000000"/>
    <s v="Confirmed"/>
    <m/>
    <x v="1"/>
    <x v="0"/>
    <m/>
    <x v="2"/>
    <x v="0"/>
    <m/>
    <n v="0"/>
    <x v="0"/>
    <s v="Low"/>
    <n v="1148322593.9600098"/>
  </r>
  <r>
    <x v="0"/>
    <x v="10"/>
    <x v="10"/>
    <x v="1"/>
    <x v="0"/>
    <x v="3"/>
    <x v="24"/>
    <x v="8"/>
    <s v="Multi-Year"/>
    <x v="1"/>
    <s v="N/A"/>
    <s v=""/>
    <s v="Confirmed"/>
    <m/>
    <x v="1"/>
    <x v="0"/>
    <m/>
    <x v="1"/>
    <x v="1"/>
    <m/>
    <n v="0"/>
    <x v="0"/>
    <s v=""/>
    <n v="2371102058.1093163"/>
  </r>
  <r>
    <x v="0"/>
    <x v="11"/>
    <x v="11"/>
    <x v="4"/>
    <x v="0"/>
    <x v="3"/>
    <x v="24"/>
    <x v="8"/>
    <s v="Multi-Year"/>
    <x v="1"/>
    <s v="N/A"/>
    <n v="100000"/>
    <s v="Confirmed"/>
    <m/>
    <x v="1"/>
    <x v="0"/>
    <m/>
    <x v="2"/>
    <x v="1"/>
    <m/>
    <n v="0"/>
    <x v="1"/>
    <s v="N/A"/>
    <n v="75151620.005215243"/>
  </r>
  <r>
    <x v="0"/>
    <x v="12"/>
    <x v="12"/>
    <x v="5"/>
    <x v="0"/>
    <x v="3"/>
    <x v="24"/>
    <x v="8"/>
    <s v="Multi-Year"/>
    <x v="1"/>
    <s v="N/A"/>
    <n v="564235"/>
    <s v="Confirmed"/>
    <m/>
    <x v="1"/>
    <x v="0"/>
    <m/>
    <x v="2"/>
    <x v="0"/>
    <m/>
    <n v="0"/>
    <x v="0"/>
    <s v="Moderate"/>
    <n v="69958487.197715744"/>
  </r>
  <r>
    <x v="0"/>
    <x v="13"/>
    <x v="13"/>
    <x v="0"/>
    <x v="0"/>
    <x v="3"/>
    <x v="24"/>
    <x v="8"/>
    <s v="Multi-Year"/>
    <x v="1"/>
    <s v="N/A"/>
    <n v="110950"/>
    <s v="Confirmed"/>
    <m/>
    <x v="1"/>
    <x v="0"/>
    <m/>
    <x v="2"/>
    <x v="0"/>
    <m/>
    <n v="0"/>
    <x v="0"/>
    <s v="…"/>
    <n v="61654608.560629159"/>
  </r>
  <r>
    <x v="0"/>
    <x v="14"/>
    <x v="14"/>
    <x v="4"/>
    <x v="0"/>
    <x v="3"/>
    <x v="24"/>
    <x v="8"/>
    <s v="Multi-Year"/>
    <x v="1"/>
    <s v="N/A"/>
    <n v="400000"/>
    <s v="Confirmed"/>
    <m/>
    <x v="1"/>
    <x v="0"/>
    <m/>
    <x v="2"/>
    <x v="0"/>
    <m/>
    <n v="0"/>
    <x v="0"/>
    <s v="N/A"/>
    <n v="1806638707.7615163"/>
  </r>
  <r>
    <x v="0"/>
    <x v="15"/>
    <x v="15"/>
    <x v="1"/>
    <x v="0"/>
    <x v="3"/>
    <x v="24"/>
    <x v="8"/>
    <s v="Multi-Year"/>
    <x v="1"/>
    <s v="N/A"/>
    <n v="200000"/>
    <s v="Confirmed"/>
    <m/>
    <x v="1"/>
    <x v="0"/>
    <m/>
    <x v="1"/>
    <x v="1"/>
    <m/>
    <n v="0"/>
    <x v="0"/>
    <s v="N/A"/>
    <n v="1252696525.0627904"/>
  </r>
  <r>
    <x v="0"/>
    <x v="16"/>
    <x v="16"/>
    <x v="3"/>
    <x v="0"/>
    <x v="3"/>
    <x v="24"/>
    <x v="8"/>
    <s v="Multi-Year"/>
    <x v="1"/>
    <s v="N/A"/>
    <n v="650000"/>
    <s v="Confirmed"/>
    <m/>
    <x v="1"/>
    <x v="0"/>
    <m/>
    <x v="1"/>
    <x v="1"/>
    <m/>
    <n v="0"/>
    <x v="0"/>
    <s v=""/>
    <n v="843425084.07334602"/>
  </r>
  <r>
    <x v="0"/>
    <x v="17"/>
    <x v="17"/>
    <x v="4"/>
    <x v="0"/>
    <x v="3"/>
    <x v="24"/>
    <x v="8"/>
    <s v="Multi-Year"/>
    <x v="1"/>
    <s v="N/A"/>
    <n v="660000"/>
    <s v="Confirmed"/>
    <m/>
    <x v="1"/>
    <x v="0"/>
    <m/>
    <x v="1"/>
    <x v="1"/>
    <m/>
    <n v="0"/>
    <x v="0"/>
    <s v="N/A"/>
    <n v="74055620038.853683"/>
  </r>
  <r>
    <x v="0"/>
    <x v="18"/>
    <x v="18"/>
    <x v="1"/>
    <x v="0"/>
    <x v="3"/>
    <x v="24"/>
    <x v="8"/>
    <s v="Multi-Year"/>
    <x v="1"/>
    <s v="N/A"/>
    <s v=""/>
    <s v="Confirmed"/>
    <m/>
    <x v="1"/>
    <x v="0"/>
    <m/>
    <x v="1"/>
    <x v="1"/>
    <m/>
    <n v="0"/>
    <x v="0"/>
    <s v=""/>
    <n v="2803357765.5888777"/>
  </r>
  <r>
    <x v="0"/>
    <x v="19"/>
    <x v="19"/>
    <x v="5"/>
    <x v="0"/>
    <x v="3"/>
    <x v="24"/>
    <x v="8"/>
    <s v="Multi-Year"/>
    <x v="1"/>
    <s v="N/A"/>
    <n v="898700"/>
    <s v="Confirmed"/>
    <m/>
    <x v="1"/>
    <x v="0"/>
    <m/>
    <x v="0"/>
    <x v="0"/>
    <m/>
    <n v="2"/>
    <x v="0"/>
    <s v="Moderate"/>
    <n v="337927779.25510043"/>
  </r>
  <r>
    <x v="0"/>
    <x v="20"/>
    <x v="20"/>
    <x v="3"/>
    <x v="0"/>
    <x v="3"/>
    <x v="24"/>
    <x v="8"/>
    <s v="Multi-Year"/>
    <x v="1"/>
    <s v="N/A"/>
    <n v="575000"/>
    <s v="Confirmed"/>
    <m/>
    <x v="1"/>
    <x v="0"/>
    <m/>
    <x v="0"/>
    <x v="0"/>
    <m/>
    <n v="2"/>
    <x v="0"/>
    <s v="…"/>
    <n v="65979512.47399316"/>
  </r>
  <r>
    <x v="0"/>
    <x v="21"/>
    <x v="21"/>
    <x v="5"/>
    <x v="0"/>
    <x v="3"/>
    <x v="24"/>
    <x v="8"/>
    <s v="Multi-Year"/>
    <x v="1"/>
    <s v="N/A"/>
    <n v="0"/>
    <s v="Confirmed"/>
    <m/>
    <x v="1"/>
    <x v="0"/>
    <m/>
    <x v="2"/>
    <x v="0"/>
    <m/>
    <n v="0"/>
    <x v="1"/>
    <s v="High"/>
    <n v="63748362.778827004"/>
  </r>
  <r>
    <x v="0"/>
    <x v="22"/>
    <x v="22"/>
    <x v="6"/>
    <x v="0"/>
    <x v="3"/>
    <x v="24"/>
    <x v="8"/>
    <s v="Multi-Year"/>
    <x v="1"/>
    <s v="N/A"/>
    <n v="0"/>
    <s v="Confirmed"/>
    <m/>
    <x v="1"/>
    <x v="0"/>
    <m/>
    <x v="2"/>
    <x v="0"/>
    <m/>
    <n v="0"/>
    <x v="0"/>
    <s v="Low"/>
    <n v="313039649.45369786"/>
  </r>
  <r>
    <x v="0"/>
    <x v="23"/>
    <x v="23"/>
    <x v="5"/>
    <x v="0"/>
    <x v="3"/>
    <x v="24"/>
    <x v="8"/>
    <s v="Multi-Year"/>
    <x v="1"/>
    <s v="N/A"/>
    <n v="1645844"/>
    <s v="Confirmed"/>
    <m/>
    <x v="1"/>
    <x v="0"/>
    <m/>
    <x v="2"/>
    <x v="0"/>
    <m/>
    <n v="2"/>
    <x v="0"/>
    <s v="High"/>
    <n v="81361801.477472037"/>
  </r>
  <r>
    <x v="0"/>
    <x v="24"/>
    <x v="24"/>
    <x v="5"/>
    <x v="0"/>
    <x v="3"/>
    <x v="24"/>
    <x v="8"/>
    <s v="Multi-Year"/>
    <x v="1"/>
    <s v="N/A"/>
    <n v="0"/>
    <s v="Confirmed"/>
    <m/>
    <x v="1"/>
    <x v="0"/>
    <m/>
    <x v="0"/>
    <x v="0"/>
    <m/>
    <n v="1"/>
    <x v="0"/>
    <s v="High"/>
    <s v=""/>
  </r>
  <r>
    <x v="0"/>
    <x v="25"/>
    <x v="25"/>
    <x v="5"/>
    <x v="0"/>
    <x v="3"/>
    <x v="24"/>
    <x v="8"/>
    <s v="Multi-Year"/>
    <x v="1"/>
    <s v="N/A"/>
    <n v="1086043"/>
    <s v="Confirmed"/>
    <m/>
    <x v="1"/>
    <x v="0"/>
    <m/>
    <x v="0"/>
    <x v="0"/>
    <m/>
    <n v="1"/>
    <x v="0"/>
    <s v="High"/>
    <n v="76939306.715636879"/>
  </r>
  <r>
    <x v="0"/>
    <x v="26"/>
    <x v="26"/>
    <x v="4"/>
    <x v="0"/>
    <x v="3"/>
    <x v="24"/>
    <x v="8"/>
    <s v="Multi-Year"/>
    <x v="1"/>
    <s v="N/A"/>
    <n v="0"/>
    <s v="Confirmed"/>
    <m/>
    <x v="1"/>
    <x v="0"/>
    <m/>
    <x v="3"/>
    <x v="1"/>
    <m/>
    <n v="0"/>
    <x v="0"/>
    <s v=""/>
    <n v="13859708717.682571"/>
  </r>
  <r>
    <x v="0"/>
    <x v="27"/>
    <x v="27"/>
    <x v="6"/>
    <x v="0"/>
    <x v="3"/>
    <x v="24"/>
    <x v="8"/>
    <s v="Multi-Year"/>
    <x v="1"/>
    <s v="N/A"/>
    <s v=""/>
    <s v="Confirmed"/>
    <m/>
    <x v="1"/>
    <x v="0"/>
    <m/>
    <x v="1"/>
    <x v="1"/>
    <m/>
    <n v="0"/>
    <x v="0"/>
    <s v=""/>
    <n v="403567160707.7016"/>
  </r>
  <r>
    <x v="0"/>
    <x v="28"/>
    <x v="28"/>
    <x v="4"/>
    <x v="0"/>
    <x v="3"/>
    <x v="24"/>
    <x v="8"/>
    <s v="Multi-Year"/>
    <x v="1"/>
    <s v="N/A"/>
    <n v="200000"/>
    <s v="Confirmed"/>
    <m/>
    <x v="1"/>
    <x v="0"/>
    <m/>
    <x v="1"/>
    <x v="1"/>
    <m/>
    <n v="0"/>
    <x v="0"/>
    <s v=""/>
    <n v="18250225995.972618"/>
  </r>
  <r>
    <x v="0"/>
    <x v="29"/>
    <x v="29"/>
    <x v="3"/>
    <x v="0"/>
    <x v="3"/>
    <x v="24"/>
    <x v="8"/>
    <s v="Multi-Year"/>
    <x v="1"/>
    <s v="N/A"/>
    <n v="143500"/>
    <s v="Confirmed"/>
    <m/>
    <x v="1"/>
    <x v="0"/>
    <m/>
    <x v="2"/>
    <x v="0"/>
    <m/>
    <n v="0"/>
    <x v="1"/>
    <s v="Moderate"/>
    <n v="5027591.1682657599"/>
  </r>
  <r>
    <x v="0"/>
    <x v="30"/>
    <x v="30"/>
    <x v="5"/>
    <x v="0"/>
    <x v="3"/>
    <x v="24"/>
    <x v="8"/>
    <s v="Multi-Year"/>
    <x v="1"/>
    <s v="N/A"/>
    <n v="3858268"/>
    <s v="Confirmed"/>
    <m/>
    <x v="1"/>
    <x v="0"/>
    <m/>
    <x v="0"/>
    <x v="0"/>
    <m/>
    <n v="3"/>
    <x v="0"/>
    <s v="Moderate"/>
    <n v="234645958.63289919"/>
  </r>
  <r>
    <x v="0"/>
    <x v="31"/>
    <x v="31"/>
    <x v="5"/>
    <x v="0"/>
    <x v="3"/>
    <x v="24"/>
    <x v="8"/>
    <s v="Multi-Year"/>
    <x v="1"/>
    <s v="N/A"/>
    <n v="555079"/>
    <s v="Confirmed"/>
    <m/>
    <x v="1"/>
    <x v="0"/>
    <m/>
    <x v="2"/>
    <x v="0"/>
    <m/>
    <n v="2"/>
    <x v="0"/>
    <s v="In distress"/>
    <n v="91590910.247314155"/>
  </r>
  <r>
    <x v="0"/>
    <x v="32"/>
    <x v="32"/>
    <x v="6"/>
    <x v="0"/>
    <x v="3"/>
    <x v="24"/>
    <x v="8"/>
    <s v="Multi-Year"/>
    <x v="1"/>
    <s v="N/A"/>
    <s v=""/>
    <s v="Confirmed"/>
    <m/>
    <x v="1"/>
    <x v="0"/>
    <m/>
    <x v="4"/>
    <x v="1"/>
    <m/>
    <n v="0"/>
    <x v="1"/>
    <s v="N/A"/>
    <n v="8560012.8840167802"/>
  </r>
  <r>
    <x v="0"/>
    <x v="33"/>
    <x v="33"/>
    <x v="4"/>
    <x v="0"/>
    <x v="3"/>
    <x v="24"/>
    <x v="8"/>
    <s v="Multi-Year"/>
    <x v="1"/>
    <s v="N/A"/>
    <n v="0"/>
    <s v="Confirmed"/>
    <m/>
    <x v="1"/>
    <x v="0"/>
    <m/>
    <x v="1"/>
    <x v="1"/>
    <m/>
    <n v="0"/>
    <x v="0"/>
    <s v="N/A"/>
    <n v="3292372960.3962669"/>
  </r>
  <r>
    <x v="0"/>
    <x v="34"/>
    <x v="34"/>
    <x v="5"/>
    <x v="0"/>
    <x v="3"/>
    <x v="24"/>
    <x v="8"/>
    <s v="Multi-Year"/>
    <x v="1"/>
    <s v="N/A"/>
    <n v="1677055"/>
    <s v="Confirmed"/>
    <m/>
    <x v="1"/>
    <x v="0"/>
    <m/>
    <x v="2"/>
    <x v="0"/>
    <m/>
    <n v="0"/>
    <x v="0"/>
    <s v="Moderate"/>
    <n v="519209981.22981054"/>
  </r>
  <r>
    <x v="0"/>
    <x v="35"/>
    <x v="35"/>
    <x v="1"/>
    <x v="0"/>
    <x v="3"/>
    <x v="24"/>
    <x v="8"/>
    <s v="Multi-Year"/>
    <x v="1"/>
    <s v="N/A"/>
    <s v=""/>
    <s v="Confirmed"/>
    <m/>
    <x v="1"/>
    <x v="0"/>
    <m/>
    <x v="3"/>
    <x v="1"/>
    <m/>
    <n v="0"/>
    <x v="0"/>
    <s v=""/>
    <n v="3464739907.1604805"/>
  </r>
  <r>
    <x v="0"/>
    <x v="36"/>
    <x v="36"/>
    <x v="4"/>
    <x v="0"/>
    <x v="3"/>
    <x v="24"/>
    <x v="8"/>
    <s v="Multi-Year"/>
    <x v="1"/>
    <s v="N/A"/>
    <n v="500000"/>
    <s v="Confirmed"/>
    <m/>
    <x v="1"/>
    <x v="0"/>
    <m/>
    <x v="1"/>
    <x v="1"/>
    <m/>
    <n v="0"/>
    <x v="1"/>
    <s v=""/>
    <n v="9948521252.2569065"/>
  </r>
  <r>
    <x v="0"/>
    <x v="37"/>
    <x v="37"/>
    <x v="2"/>
    <x v="0"/>
    <x v="3"/>
    <x v="24"/>
    <x v="8"/>
    <s v="Multi-Year"/>
    <x v="1"/>
    <s v="N/A"/>
    <n v="0"/>
    <s v="Confirmed"/>
    <m/>
    <x v="1"/>
    <x v="0"/>
    <m/>
    <x v="2"/>
    <x v="0"/>
    <m/>
    <n v="1"/>
    <x v="0"/>
    <s v="High"/>
    <n v="33679192.765657313"/>
  </r>
  <r>
    <x v="0"/>
    <x v="38"/>
    <x v="38"/>
    <x v="4"/>
    <x v="0"/>
    <x v="3"/>
    <x v="24"/>
    <x v="8"/>
    <s v="Multi-Year"/>
    <x v="1"/>
    <s v="N/A"/>
    <n v="75000"/>
    <s v="Confirmed"/>
    <m/>
    <x v="1"/>
    <x v="0"/>
    <m/>
    <x v="1"/>
    <x v="0"/>
    <m/>
    <n v="0"/>
    <x v="1"/>
    <s v="…"/>
    <n v="22784494.365742501"/>
  </r>
  <r>
    <x v="0"/>
    <x v="39"/>
    <x v="39"/>
    <x v="4"/>
    <x v="0"/>
    <x v="3"/>
    <x v="24"/>
    <x v="8"/>
    <s v="Multi-Year"/>
    <x v="1"/>
    <s v="N/A"/>
    <n v="200000"/>
    <s v="Confirmed"/>
    <m/>
    <x v="1"/>
    <x v="0"/>
    <m/>
    <x v="1"/>
    <x v="1"/>
    <m/>
    <n v="0"/>
    <x v="1"/>
    <s v=""/>
    <n v="2173208011.4858823"/>
  </r>
  <r>
    <x v="0"/>
    <x v="40"/>
    <x v="40"/>
    <x v="4"/>
    <x v="0"/>
    <x v="3"/>
    <x v="24"/>
    <x v="8"/>
    <s v="Multi-Year"/>
    <x v="1"/>
    <s v="N/A"/>
    <n v="0"/>
    <s v="Confirmed"/>
    <m/>
    <x v="1"/>
    <x v="0"/>
    <m/>
    <x v="1"/>
    <x v="1"/>
    <m/>
    <n v="0"/>
    <x v="0"/>
    <s v="N/A"/>
    <n v="4585736158.8323269"/>
  </r>
  <r>
    <x v="0"/>
    <x v="41"/>
    <x v="41"/>
    <x v="2"/>
    <x v="0"/>
    <x v="3"/>
    <x v="24"/>
    <x v="8"/>
    <s v="Multi-Year"/>
    <x v="1"/>
    <s v="N/A"/>
    <n v="1458302"/>
    <s v="Confirmed"/>
    <m/>
    <x v="1"/>
    <x v="0"/>
    <m/>
    <x v="2"/>
    <x v="0"/>
    <m/>
    <n v="0"/>
    <x v="0"/>
    <s v="N/A"/>
    <n v="3550291584.8645592"/>
  </r>
  <r>
    <x v="0"/>
    <x v="42"/>
    <x v="42"/>
    <x v="4"/>
    <x v="0"/>
    <x v="3"/>
    <x v="24"/>
    <x v="8"/>
    <s v="Multi-Year"/>
    <x v="1"/>
    <s v="N/A"/>
    <n v="300000"/>
    <s v="Confirmed"/>
    <m/>
    <x v="1"/>
    <x v="0"/>
    <m/>
    <x v="2"/>
    <x v="0"/>
    <m/>
    <n v="0"/>
    <x v="0"/>
    <s v="N/A"/>
    <n v="1182840319.0410969"/>
  </r>
  <r>
    <x v="0"/>
    <x v="43"/>
    <x v="43"/>
    <x v="4"/>
    <x v="0"/>
    <x v="3"/>
    <x v="24"/>
    <x v="8"/>
    <s v="Multi-Year"/>
    <x v="1"/>
    <s v="N/A"/>
    <s v=""/>
    <s v="Confirmed"/>
    <m/>
    <x v="1"/>
    <x v="0"/>
    <m/>
    <x v="1"/>
    <x v="1"/>
    <m/>
    <n v="0"/>
    <x v="0"/>
    <s v=""/>
    <n v="81728347.604567245"/>
  </r>
  <r>
    <x v="0"/>
    <x v="44"/>
    <x v="44"/>
    <x v="3"/>
    <x v="0"/>
    <x v="3"/>
    <x v="24"/>
    <x v="8"/>
    <s v="Multi-Year"/>
    <x v="1"/>
    <s v="N/A"/>
    <n v="0"/>
    <s v="Confirmed"/>
    <m/>
    <x v="1"/>
    <x v="0"/>
    <m/>
    <x v="0"/>
    <x v="0"/>
    <m/>
    <n v="2"/>
    <x v="0"/>
    <s v="N/A"/>
    <n v="12787914.977715338"/>
  </r>
  <r>
    <x v="0"/>
    <x v="45"/>
    <x v="45"/>
    <x v="3"/>
    <x v="0"/>
    <x v="3"/>
    <x v="24"/>
    <x v="8"/>
    <s v="Multi-Year"/>
    <x v="1"/>
    <s v="N/A"/>
    <n v="766500"/>
    <s v="Confirmed"/>
    <m/>
    <x v="1"/>
    <x v="0"/>
    <m/>
    <x v="2"/>
    <x v="0"/>
    <m/>
    <n v="2"/>
    <x v="0"/>
    <s v="N/A"/>
    <n v="101271737.65410839"/>
  </r>
  <r>
    <x v="0"/>
    <x v="46"/>
    <x v="46"/>
    <x v="3"/>
    <x v="0"/>
    <x v="3"/>
    <x v="24"/>
    <x v="8"/>
    <s v="Multi-Year"/>
    <x v="1"/>
    <s v="N/A"/>
    <n v="2775000"/>
    <s v="Confirmed"/>
    <m/>
    <x v="1"/>
    <x v="0"/>
    <m/>
    <x v="0"/>
    <x v="0"/>
    <m/>
    <n v="3"/>
    <x v="0"/>
    <s v="High"/>
    <n v="618344226.71759331"/>
  </r>
  <r>
    <x v="0"/>
    <x v="47"/>
    <x v="47"/>
    <x v="6"/>
    <x v="0"/>
    <x v="3"/>
    <x v="24"/>
    <x v="8"/>
    <s v="Multi-Year"/>
    <x v="1"/>
    <s v="N/A"/>
    <n v="400000"/>
    <s v="Confirmed"/>
    <m/>
    <x v="1"/>
    <x v="0"/>
    <m/>
    <x v="1"/>
    <x v="0"/>
    <m/>
    <n v="0"/>
    <x v="1"/>
    <s v="…"/>
    <n v="129483872.95906857"/>
  </r>
  <r>
    <x v="0"/>
    <x v="48"/>
    <x v="48"/>
    <x v="5"/>
    <x v="0"/>
    <x v="3"/>
    <x v="24"/>
    <x v="8"/>
    <s v="Multi-Year"/>
    <x v="1"/>
    <s v="N/A"/>
    <s v=""/>
    <s v="Confirmed"/>
    <m/>
    <x v="1"/>
    <x v="0"/>
    <m/>
    <x v="1"/>
    <x v="1"/>
    <m/>
    <n v="0"/>
    <x v="0"/>
    <s v="N/A"/>
    <n v="271184658.35014349"/>
  </r>
  <r>
    <x v="0"/>
    <x v="49"/>
    <x v="49"/>
    <x v="5"/>
    <x v="0"/>
    <x v="3"/>
    <x v="24"/>
    <x v="8"/>
    <s v="Multi-Year"/>
    <x v="1"/>
    <s v="N/A"/>
    <n v="552287"/>
    <s v="Confirmed"/>
    <m/>
    <x v="1"/>
    <x v="0"/>
    <m/>
    <x v="0"/>
    <x v="0"/>
    <m/>
    <n v="0"/>
    <x v="0"/>
    <s v="High"/>
    <n v="15455265.086884515"/>
  </r>
  <r>
    <x v="0"/>
    <x v="50"/>
    <x v="50"/>
    <x v="1"/>
    <x v="0"/>
    <x v="3"/>
    <x v="24"/>
    <x v="8"/>
    <s v="Multi-Year"/>
    <x v="1"/>
    <s v="N/A"/>
    <n v="200000"/>
    <s v="Confirmed"/>
    <m/>
    <x v="1"/>
    <x v="0"/>
    <m/>
    <x v="1"/>
    <x v="1"/>
    <m/>
    <n v="0"/>
    <x v="0"/>
    <s v="N/A"/>
    <n v="494021502.525527"/>
  </r>
  <r>
    <x v="0"/>
    <x v="51"/>
    <x v="51"/>
    <x v="5"/>
    <x v="0"/>
    <x v="3"/>
    <x v="24"/>
    <x v="8"/>
    <s v="Multi-Year"/>
    <x v="1"/>
    <s v="N/A"/>
    <n v="0"/>
    <s v="Confirmed"/>
    <m/>
    <x v="1"/>
    <x v="0"/>
    <m/>
    <x v="2"/>
    <x v="0"/>
    <m/>
    <n v="0"/>
    <x v="0"/>
    <s v="High"/>
    <n v="902005621.73836684"/>
  </r>
  <r>
    <x v="0"/>
    <x v="52"/>
    <x v="52"/>
    <x v="4"/>
    <x v="0"/>
    <x v="3"/>
    <x v="24"/>
    <x v="8"/>
    <s v="Multi-Year"/>
    <x v="1"/>
    <s v="N/A"/>
    <n v="75000"/>
    <s v="Confirmed"/>
    <m/>
    <x v="1"/>
    <x v="0"/>
    <m/>
    <x v="1"/>
    <x v="0"/>
    <m/>
    <n v="0"/>
    <x v="1"/>
    <s v="In distress"/>
    <n v="20201670.142996579"/>
  </r>
  <r>
    <x v="0"/>
    <x v="53"/>
    <x v="53"/>
    <x v="4"/>
    <x v="0"/>
    <x v="3"/>
    <x v="24"/>
    <x v="8"/>
    <s v="Multi-Year"/>
    <x v="1"/>
    <s v="N/A"/>
    <n v="0"/>
    <s v="Confirmed"/>
    <m/>
    <x v="1"/>
    <x v="0"/>
    <m/>
    <x v="1"/>
    <x v="1"/>
    <m/>
    <n v="0"/>
    <x v="0"/>
    <s v=""/>
    <n v="1612434649.6948864"/>
  </r>
  <r>
    <x v="0"/>
    <x v="54"/>
    <x v="54"/>
    <x v="5"/>
    <x v="0"/>
    <x v="3"/>
    <x v="24"/>
    <x v="8"/>
    <s v="Multi-Year"/>
    <x v="1"/>
    <s v="N/A"/>
    <n v="378110"/>
    <s v="Confirmed"/>
    <m/>
    <x v="1"/>
    <x v="0"/>
    <m/>
    <x v="0"/>
    <x v="0"/>
    <m/>
    <n v="0"/>
    <x v="0"/>
    <s v="Moderate"/>
    <n v="78203134.118229344"/>
  </r>
  <r>
    <x v="0"/>
    <x v="55"/>
    <x v="55"/>
    <x v="5"/>
    <x v="0"/>
    <x v="3"/>
    <x v="24"/>
    <x v="8"/>
    <s v="Multi-Year"/>
    <x v="1"/>
    <s v="N/A"/>
    <n v="225847"/>
    <s v="Confirmed"/>
    <m/>
    <x v="1"/>
    <x v="0"/>
    <m/>
    <x v="0"/>
    <x v="0"/>
    <m/>
    <n v="2"/>
    <x v="1"/>
    <s v="High"/>
    <n v="9151637.7411015611"/>
  </r>
  <r>
    <x v="0"/>
    <x v="56"/>
    <x v="56"/>
    <x v="4"/>
    <x v="0"/>
    <x v="3"/>
    <x v="24"/>
    <x v="8"/>
    <s v="Multi-Year"/>
    <x v="1"/>
    <s v="N/A"/>
    <n v="100000"/>
    <s v="Confirmed"/>
    <m/>
    <x v="1"/>
    <x v="0"/>
    <m/>
    <x v="1"/>
    <x v="0"/>
    <m/>
    <n v="0"/>
    <x v="1"/>
    <s v="Moderate"/>
    <n v="142455920.02856269"/>
  </r>
  <r>
    <x v="0"/>
    <x v="57"/>
    <x v="57"/>
    <x v="4"/>
    <x v="0"/>
    <x v="3"/>
    <x v="24"/>
    <x v="8"/>
    <s v="Multi-Year"/>
    <x v="1"/>
    <s v="N/A"/>
    <n v="1500000"/>
    <s v="Confirmed"/>
    <m/>
    <x v="1"/>
    <x v="0"/>
    <m/>
    <x v="2"/>
    <x v="0"/>
    <m/>
    <n v="1"/>
    <x v="1"/>
    <s v="High"/>
    <n v="85611818.171245083"/>
  </r>
  <r>
    <x v="0"/>
    <x v="58"/>
    <x v="58"/>
    <x v="4"/>
    <x v="0"/>
    <x v="3"/>
    <x v="24"/>
    <x v="8"/>
    <s v="Multi-Year"/>
    <x v="1"/>
    <s v="N/A"/>
    <n v="300000"/>
    <s v="Confirmed"/>
    <m/>
    <x v="1"/>
    <x v="0"/>
    <m/>
    <x v="2"/>
    <x v="0"/>
    <m/>
    <n v="0"/>
    <x v="0"/>
    <s v="Low"/>
    <n v="680289736.30082119"/>
  </r>
  <r>
    <x v="0"/>
    <x v="59"/>
    <x v="59"/>
    <x v="0"/>
    <x v="0"/>
    <x v="3"/>
    <x v="24"/>
    <x v="8"/>
    <s v="Multi-Year"/>
    <x v="1"/>
    <s v="N/A"/>
    <n v="12694456"/>
    <s v="Confirmed"/>
    <m/>
    <x v="1"/>
    <x v="0"/>
    <m/>
    <x v="2"/>
    <x v="0"/>
    <m/>
    <n v="0"/>
    <x v="0"/>
    <s v="N/A"/>
    <n v="26554332750.47023"/>
  </r>
  <r>
    <x v="0"/>
    <x v="60"/>
    <x v="60"/>
    <x v="6"/>
    <x v="0"/>
    <x v="3"/>
    <x v="24"/>
    <x v="8"/>
    <s v="Multi-Year"/>
    <x v="1"/>
    <s v="N/A"/>
    <n v="0"/>
    <s v="Confirmed"/>
    <m/>
    <x v="1"/>
    <x v="0"/>
    <m/>
    <x v="2"/>
    <x v="0"/>
    <m/>
    <n v="0"/>
    <x v="0"/>
    <s v="N/A"/>
    <n v="14745961064.890842"/>
  </r>
  <r>
    <x v="0"/>
    <x v="61"/>
    <x v="61"/>
    <x v="2"/>
    <x v="0"/>
    <x v="3"/>
    <x v="24"/>
    <x v="8"/>
    <s v="Multi-Year"/>
    <x v="1"/>
    <s v="N/A"/>
    <n v="2428858"/>
    <s v="Confirmed"/>
    <m/>
    <x v="1"/>
    <x v="0"/>
    <m/>
    <x v="2"/>
    <x v="1"/>
    <m/>
    <n v="0"/>
    <x v="0"/>
    <s v="N/A"/>
    <n v="18194076299.786381"/>
  </r>
  <r>
    <x v="0"/>
    <x v="62"/>
    <x v="62"/>
    <x v="2"/>
    <x v="0"/>
    <x v="3"/>
    <x v="24"/>
    <x v="8"/>
    <s v="Multi-Year"/>
    <x v="1"/>
    <s v="N/A"/>
    <n v="5799334"/>
    <s v="Confirmed"/>
    <m/>
    <x v="1"/>
    <x v="0"/>
    <m/>
    <x v="1"/>
    <x v="1"/>
    <m/>
    <n v="0"/>
    <x v="0"/>
    <s v="N/A"/>
    <n v="4428819387.769825"/>
  </r>
  <r>
    <x v="0"/>
    <x v="63"/>
    <x v="63"/>
    <x v="4"/>
    <x v="0"/>
    <x v="3"/>
    <x v="24"/>
    <x v="8"/>
    <s v="Multi-Year"/>
    <x v="1"/>
    <s v="N/A"/>
    <n v="0"/>
    <s v="Confirmed"/>
    <m/>
    <x v="1"/>
    <x v="0"/>
    <m/>
    <x v="1"/>
    <x v="1"/>
    <m/>
    <n v="0"/>
    <x v="1"/>
    <s v=""/>
    <n v="611739560.62679195"/>
  </r>
  <r>
    <x v="0"/>
    <x v="64"/>
    <x v="64"/>
    <x v="2"/>
    <x v="0"/>
    <x v="3"/>
    <x v="24"/>
    <x v="8"/>
    <s v="Multi-Year"/>
    <x v="1"/>
    <s v="N/A"/>
    <n v="1423400"/>
    <s v="Confirmed"/>
    <m/>
    <x v="1"/>
    <x v="0"/>
    <m/>
    <x v="1"/>
    <x v="1"/>
    <m/>
    <n v="0"/>
    <x v="0"/>
    <s v="N/A"/>
    <n v="1617913383.0481031"/>
  </r>
  <r>
    <x v="0"/>
    <x v="65"/>
    <x v="65"/>
    <x v="1"/>
    <x v="0"/>
    <x v="3"/>
    <x v="24"/>
    <x v="8"/>
    <s v="Multi-Year"/>
    <x v="1"/>
    <s v="N/A"/>
    <n v="50000"/>
    <s v="Confirmed"/>
    <m/>
    <x v="1"/>
    <x v="0"/>
    <m/>
    <x v="1"/>
    <x v="1"/>
    <m/>
    <n v="0"/>
    <x v="0"/>
    <s v=""/>
    <n v="3074419112.4562683"/>
  </r>
  <r>
    <x v="0"/>
    <x v="66"/>
    <x v="66"/>
    <x v="3"/>
    <x v="0"/>
    <x v="3"/>
    <x v="24"/>
    <x v="8"/>
    <s v="Multi-Year"/>
    <x v="1"/>
    <s v="N/A"/>
    <n v="500000"/>
    <s v="Confirmed"/>
    <m/>
    <x v="1"/>
    <x v="0"/>
    <m/>
    <x v="2"/>
    <x v="0"/>
    <m/>
    <n v="0"/>
    <x v="0"/>
    <s v="High"/>
    <n v="1914014279.8929913"/>
  </r>
  <r>
    <x v="0"/>
    <x v="67"/>
    <x v="67"/>
    <x v="6"/>
    <x v="0"/>
    <x v="3"/>
    <x v="24"/>
    <x v="8"/>
    <s v="Multi-Year"/>
    <x v="1"/>
    <s v="N/A"/>
    <n v="0"/>
    <s v="Confirmed"/>
    <m/>
    <x v="1"/>
    <x v="0"/>
    <m/>
    <x v="2"/>
    <x v="0"/>
    <m/>
    <n v="0"/>
    <x v="1"/>
    <s v="High"/>
    <n v="17422005.762907442"/>
  </r>
  <r>
    <x v="0"/>
    <x v="68"/>
    <x v="68"/>
    <x v="6"/>
    <x v="0"/>
    <x v="3"/>
    <x v="24"/>
    <x v="8"/>
    <s v="Multi-Year"/>
    <x v="1"/>
    <s v="N/A"/>
    <n v="0"/>
    <s v="Confirmed"/>
    <m/>
    <x v="1"/>
    <x v="0"/>
    <m/>
    <x v="0"/>
    <x v="0"/>
    <m/>
    <n v="0"/>
    <x v="0"/>
    <s v="N/A"/>
    <s v=""/>
  </r>
  <r>
    <x v="0"/>
    <x v="69"/>
    <x v="69"/>
    <x v="1"/>
    <x v="0"/>
    <x v="3"/>
    <x v="24"/>
    <x v="8"/>
    <s v="Multi-Year"/>
    <x v="1"/>
    <s v="N/A"/>
    <n v="619000"/>
    <s v="Confirmed"/>
    <m/>
    <x v="1"/>
    <x v="0"/>
    <m/>
    <x v="1"/>
    <x v="0"/>
    <m/>
    <n v="0"/>
    <x v="0"/>
    <s v="…"/>
    <s v=""/>
  </r>
  <r>
    <x v="0"/>
    <x v="70"/>
    <x v="70"/>
    <x v="1"/>
    <x v="0"/>
    <x v="3"/>
    <x v="24"/>
    <x v="8"/>
    <s v="Multi-Year"/>
    <x v="1"/>
    <s v="N/A"/>
    <n v="1220000"/>
    <s v="Confirmed"/>
    <m/>
    <x v="1"/>
    <x v="0"/>
    <m/>
    <x v="2"/>
    <x v="0"/>
    <m/>
    <n v="2"/>
    <x v="0"/>
    <s v="Moderate"/>
    <n v="231506834.84347546"/>
  </r>
  <r>
    <x v="0"/>
    <x v="71"/>
    <x v="71"/>
    <x v="6"/>
    <x v="0"/>
    <x v="3"/>
    <x v="24"/>
    <x v="8"/>
    <s v="Multi-Year"/>
    <x v="1"/>
    <s v="N/A"/>
    <n v="850000"/>
    <s v="Confirmed"/>
    <m/>
    <x v="1"/>
    <x v="0"/>
    <m/>
    <x v="2"/>
    <x v="0"/>
    <m/>
    <n v="0"/>
    <x v="0"/>
    <s v="High"/>
    <n v="156059428.62944782"/>
  </r>
  <r>
    <x v="0"/>
    <x v="72"/>
    <x v="72"/>
    <x v="2"/>
    <x v="0"/>
    <x v="3"/>
    <x v="24"/>
    <x v="8"/>
    <s v="Multi-Year"/>
    <x v="1"/>
    <s v="N/A"/>
    <n v="8535626"/>
    <s v="Confirmed"/>
    <m/>
    <x v="1"/>
    <x v="0"/>
    <m/>
    <x v="1"/>
    <x v="1"/>
    <m/>
    <n v="0"/>
    <x v="0"/>
    <s v="N/A"/>
    <n v="2355391507.1635861"/>
  </r>
  <r>
    <x v="0"/>
    <x v="73"/>
    <x v="73"/>
    <x v="3"/>
    <x v="0"/>
    <x v="3"/>
    <x v="24"/>
    <x v="8"/>
    <s v="Multi-Year"/>
    <x v="1"/>
    <s v="N/A"/>
    <n v="720000"/>
    <s v="Confirmed"/>
    <m/>
    <x v="1"/>
    <x v="0"/>
    <m/>
    <x v="2"/>
    <x v="0"/>
    <m/>
    <n v="0"/>
    <x v="0"/>
    <s v="Moderate"/>
    <n v="152760919.7684873"/>
  </r>
  <r>
    <x v="0"/>
    <x v="74"/>
    <x v="74"/>
    <x v="5"/>
    <x v="0"/>
    <x v="3"/>
    <x v="24"/>
    <x v="8"/>
    <s v="Multi-Year"/>
    <x v="1"/>
    <s v="N/A"/>
    <n v="586872"/>
    <s v="Confirmed"/>
    <m/>
    <x v="1"/>
    <x v="0"/>
    <m/>
    <x v="0"/>
    <x v="0"/>
    <m/>
    <n v="0"/>
    <x v="0"/>
    <s v="High"/>
    <n v="55072006.864440605"/>
  </r>
  <r>
    <x v="0"/>
    <x v="75"/>
    <x v="75"/>
    <x v="2"/>
    <x v="0"/>
    <x v="3"/>
    <x v="24"/>
    <x v="8"/>
    <s v="Multi-Year"/>
    <x v="1"/>
    <s v="N/A"/>
    <n v="1000000"/>
    <s v="Confirmed"/>
    <m/>
    <x v="1"/>
    <x v="0"/>
    <m/>
    <x v="1"/>
    <x v="1"/>
    <m/>
    <n v="0"/>
    <x v="0"/>
    <s v="N/A"/>
    <s v=""/>
  </r>
  <r>
    <x v="0"/>
    <x v="76"/>
    <x v="76"/>
    <x v="3"/>
    <x v="0"/>
    <x v="3"/>
    <x v="24"/>
    <x v="8"/>
    <s v="Multi-Year"/>
    <x v="1"/>
    <s v="N/A"/>
    <n v="1100000"/>
    <s v="Confirmed"/>
    <m/>
    <x v="1"/>
    <x v="0"/>
    <m/>
    <x v="0"/>
    <x v="0"/>
    <m/>
    <n v="2"/>
    <x v="0"/>
    <s v="Moderate"/>
    <n v="206914157.05429548"/>
  </r>
  <r>
    <x v="0"/>
    <x v="77"/>
    <x v="77"/>
    <x v="3"/>
    <x v="0"/>
    <x v="3"/>
    <x v="24"/>
    <x v="8"/>
    <s v="Multi-Year"/>
    <x v="1"/>
    <s v="N/A"/>
    <n v="1066214"/>
    <s v="Confirmed"/>
    <m/>
    <x v="1"/>
    <x v="0"/>
    <m/>
    <x v="0"/>
    <x v="0"/>
    <m/>
    <n v="2"/>
    <x v="0"/>
    <s v="High"/>
    <n v="185999915.02066413"/>
  </r>
  <r>
    <x v="0"/>
    <x v="78"/>
    <x v="78"/>
    <x v="6"/>
    <x v="0"/>
    <x v="3"/>
    <x v="24"/>
    <x v="8"/>
    <s v="Multi-Year"/>
    <x v="1"/>
    <s v="N/A"/>
    <s v=""/>
    <s v="Confirmed"/>
    <m/>
    <x v="1"/>
    <x v="0"/>
    <m/>
    <x v="1"/>
    <x v="1"/>
    <m/>
    <n v="0"/>
    <x v="0"/>
    <s v=""/>
    <n v="6893755763.2501726"/>
  </r>
  <r>
    <x v="0"/>
    <x v="79"/>
    <x v="79"/>
    <x v="0"/>
    <x v="0"/>
    <x v="3"/>
    <x v="24"/>
    <x v="8"/>
    <s v="Multi-Year"/>
    <x v="1"/>
    <s v="N/A"/>
    <n v="77341"/>
    <s v="Confirmed"/>
    <m/>
    <x v="1"/>
    <x v="0"/>
    <m/>
    <x v="1"/>
    <x v="0"/>
    <m/>
    <n v="0"/>
    <x v="1"/>
    <s v="High"/>
    <n v="354560231.58276606"/>
  </r>
  <r>
    <x v="0"/>
    <x v="80"/>
    <x v="80"/>
    <x v="5"/>
    <x v="0"/>
    <x v="3"/>
    <x v="24"/>
    <x v="8"/>
    <s v="Multi-Year"/>
    <x v="1"/>
    <s v="N/A"/>
    <n v="1802789"/>
    <s v="Confirmed"/>
    <m/>
    <x v="1"/>
    <x v="0"/>
    <m/>
    <x v="0"/>
    <x v="0"/>
    <m/>
    <n v="1"/>
    <x v="0"/>
    <s v="Moderate"/>
    <n v="188169167.56540567"/>
  </r>
  <r>
    <x v="0"/>
    <x v="81"/>
    <x v="81"/>
    <x v="6"/>
    <x v="0"/>
    <x v="3"/>
    <x v="24"/>
    <x v="8"/>
    <s v="Multi-Year"/>
    <x v="1"/>
    <s v="N/A"/>
    <s v=""/>
    <s v="Confirmed"/>
    <m/>
    <x v="1"/>
    <x v="0"/>
    <m/>
    <x v="1"/>
    <x v="0"/>
    <m/>
    <n v="0"/>
    <x v="1"/>
    <s v=""/>
    <n v="16312106.556340856"/>
  </r>
  <r>
    <x v="0"/>
    <x v="82"/>
    <x v="82"/>
    <x v="5"/>
    <x v="0"/>
    <x v="3"/>
    <x v="24"/>
    <x v="8"/>
    <s v="Multi-Year"/>
    <x v="1"/>
    <s v="N/A"/>
    <n v="535076"/>
    <s v="Confirmed"/>
    <m/>
    <x v="1"/>
    <x v="0"/>
    <m/>
    <x v="2"/>
    <x v="0"/>
    <m/>
    <n v="2"/>
    <x v="0"/>
    <s v="High"/>
    <n v="86083833.534053758"/>
  </r>
  <r>
    <x v="0"/>
    <x v="83"/>
    <x v="83"/>
    <x v="3"/>
    <x v="0"/>
    <x v="3"/>
    <x v="24"/>
    <x v="8"/>
    <s v="Multi-Year"/>
    <x v="1"/>
    <s v="N/A"/>
    <s v=""/>
    <s v="Confirmed"/>
    <m/>
    <x v="1"/>
    <x v="0"/>
    <m/>
    <x v="1"/>
    <x v="1"/>
    <m/>
    <n v="0"/>
    <x v="1"/>
    <s v="N/A"/>
    <n v="357220835.93762809"/>
  </r>
  <r>
    <x v="0"/>
    <x v="84"/>
    <x v="84"/>
    <x v="4"/>
    <x v="0"/>
    <x v="3"/>
    <x v="24"/>
    <x v="8"/>
    <s v="Multi-Year"/>
    <x v="1"/>
    <s v="N/A"/>
    <n v="0"/>
    <s v="Confirmed"/>
    <m/>
    <x v="1"/>
    <x v="0"/>
    <m/>
    <x v="1"/>
    <x v="1"/>
    <m/>
    <n v="0"/>
    <x v="0"/>
    <s v=""/>
    <n v="32831598153.796387"/>
  </r>
  <r>
    <x v="0"/>
    <x v="85"/>
    <x v="85"/>
    <x v="6"/>
    <x v="0"/>
    <x v="3"/>
    <x v="24"/>
    <x v="8"/>
    <s v="Multi-Year"/>
    <x v="1"/>
    <s v="N/A"/>
    <n v="0"/>
    <s v="Confirmed"/>
    <m/>
    <x v="1"/>
    <x v="0"/>
    <m/>
    <x v="2"/>
    <x v="0"/>
    <m/>
    <n v="0"/>
    <x v="1"/>
    <s v="High"/>
    <n v="12329056.093798399"/>
  </r>
  <r>
    <x v="0"/>
    <x v="86"/>
    <x v="86"/>
    <x v="1"/>
    <x v="0"/>
    <x v="3"/>
    <x v="24"/>
    <x v="8"/>
    <s v="Multi-Year"/>
    <x v="1"/>
    <s v="N/A"/>
    <n v="672500"/>
    <s v="Confirmed"/>
    <m/>
    <x v="1"/>
    <x v="0"/>
    <m/>
    <x v="1"/>
    <x v="0"/>
    <m/>
    <n v="0"/>
    <x v="0"/>
    <s v="Low"/>
    <n v="426639742.85328001"/>
  </r>
  <r>
    <x v="0"/>
    <x v="87"/>
    <x v="87"/>
    <x v="6"/>
    <x v="0"/>
    <x v="3"/>
    <x v="24"/>
    <x v="8"/>
    <s v="Multi-Year"/>
    <x v="1"/>
    <s v="N/A"/>
    <n v="0"/>
    <s v="Confirmed"/>
    <m/>
    <x v="1"/>
    <x v="0"/>
    <m/>
    <x v="2"/>
    <x v="0"/>
    <m/>
    <n v="0"/>
    <x v="0"/>
    <s v="…"/>
    <n v="288519671.85870522"/>
  </r>
  <r>
    <x v="0"/>
    <x v="88"/>
    <x v="88"/>
    <x v="1"/>
    <x v="0"/>
    <x v="3"/>
    <x v="24"/>
    <x v="8"/>
    <s v="Multi-Year"/>
    <x v="1"/>
    <s v="N/A"/>
    <n v="100000"/>
    <s v="Confirmed"/>
    <m/>
    <x v="1"/>
    <x v="0"/>
    <m/>
    <x v="1"/>
    <x v="1"/>
    <m/>
    <n v="0"/>
    <x v="0"/>
    <s v="N/A"/>
    <n v="275606560.78491527"/>
  </r>
  <r>
    <x v="0"/>
    <x v="89"/>
    <x v="89"/>
    <x v="2"/>
    <x v="0"/>
    <x v="3"/>
    <x v="24"/>
    <x v="8"/>
    <s v="Multi-Year"/>
    <x v="1"/>
    <s v="N/A"/>
    <n v="200000"/>
    <s v="Confirmed"/>
    <m/>
    <x v="1"/>
    <x v="0"/>
    <m/>
    <x v="2"/>
    <x v="0"/>
    <m/>
    <n v="0"/>
    <x v="0"/>
    <s v="N/A"/>
    <n v="2530937679.3725696"/>
  </r>
  <r>
    <x v="0"/>
    <x v="90"/>
    <x v="90"/>
    <x v="3"/>
    <x v="0"/>
    <x v="3"/>
    <x v="24"/>
    <x v="8"/>
    <s v="Multi-Year"/>
    <x v="1"/>
    <s v="N/A"/>
    <n v="860469"/>
    <s v="Confirmed"/>
    <m/>
    <x v="1"/>
    <x v="0"/>
    <m/>
    <x v="0"/>
    <x v="0"/>
    <m/>
    <n v="0"/>
    <x v="0"/>
    <s v="In distress"/>
    <n v="251432156.86255455"/>
  </r>
  <r>
    <x v="0"/>
    <x v="91"/>
    <x v="91"/>
    <x v="6"/>
    <x v="0"/>
    <x v="3"/>
    <x v="24"/>
    <x v="8"/>
    <s v="Multi-Year"/>
    <x v="1"/>
    <s v="N/A"/>
    <n v="1240000"/>
    <s v="Confirmed"/>
    <m/>
    <x v="1"/>
    <x v="0"/>
    <m/>
    <x v="2"/>
    <x v="0"/>
    <m/>
    <n v="0"/>
    <x v="0"/>
    <s v="Low"/>
    <n v="471534500.60109437"/>
  </r>
  <r>
    <x v="0"/>
    <x v="92"/>
    <x v="92"/>
    <x v="3"/>
    <x v="0"/>
    <x v="3"/>
    <x v="24"/>
    <x v="8"/>
    <s v="Multi-Year"/>
    <x v="1"/>
    <s v="N/A"/>
    <n v="1642000"/>
    <s v="Confirmed"/>
    <m/>
    <x v="1"/>
    <x v="0"/>
    <m/>
    <x v="1"/>
    <x v="1"/>
    <m/>
    <n v="0"/>
    <x v="0"/>
    <s v=""/>
    <n v="531677611.80447447"/>
  </r>
  <r>
    <x v="0"/>
    <x v="93"/>
    <x v="93"/>
    <x v="6"/>
    <x v="0"/>
    <x v="3"/>
    <x v="24"/>
    <x v="8"/>
    <s v="Multi-Year"/>
    <x v="1"/>
    <s v="N/A"/>
    <s v=""/>
    <s v="Confirmed"/>
    <m/>
    <x v="1"/>
    <x v="0"/>
    <m/>
    <x v="3"/>
    <x v="1"/>
    <m/>
    <n v="0"/>
    <x v="1"/>
    <s v=""/>
    <n v="8528751.6418357007"/>
  </r>
  <r>
    <x v="0"/>
    <x v="94"/>
    <x v="94"/>
    <x v="0"/>
    <x v="0"/>
    <x v="3"/>
    <x v="24"/>
    <x v="8"/>
    <s v="Multi-Year"/>
    <x v="1"/>
    <s v="N/A"/>
    <n v="1889000"/>
    <s v="Confirmed"/>
    <m/>
    <x v="1"/>
    <x v="0"/>
    <m/>
    <x v="2"/>
    <x v="0"/>
    <m/>
    <n v="0"/>
    <x v="0"/>
    <s v="Low"/>
    <n v="407084543.19089872"/>
  </r>
  <r>
    <x v="0"/>
    <x v="95"/>
    <x v="95"/>
    <x v="4"/>
    <x v="0"/>
    <x v="3"/>
    <x v="24"/>
    <x v="8"/>
    <s v="Multi-Year"/>
    <x v="1"/>
    <s v="N/A"/>
    <n v="800000"/>
    <s v="Confirmed"/>
    <m/>
    <x v="1"/>
    <x v="0"/>
    <m/>
    <x v="2"/>
    <x v="0"/>
    <m/>
    <n v="0"/>
    <x v="0"/>
    <s v="Moderate"/>
    <n v="671998341.93592453"/>
  </r>
  <r>
    <x v="0"/>
    <x v="96"/>
    <x v="96"/>
    <x v="5"/>
    <x v="0"/>
    <x v="3"/>
    <x v="24"/>
    <x v="8"/>
    <s v="Multi-Year"/>
    <x v="1"/>
    <s v="N/A"/>
    <n v="1345921"/>
    <s v="Confirmed"/>
    <m/>
    <x v="1"/>
    <x v="0"/>
    <m/>
    <x v="0"/>
    <x v="0"/>
    <m/>
    <n v="1"/>
    <x v="0"/>
    <s v="Moderate"/>
    <n v="226203289.67158964"/>
  </r>
  <r>
    <x v="0"/>
    <x v="97"/>
    <x v="97"/>
    <x v="5"/>
    <x v="0"/>
    <x v="3"/>
    <x v="24"/>
    <x v="8"/>
    <s v="Multi-Year"/>
    <x v="1"/>
    <s v="N/A"/>
    <n v="5036546"/>
    <s v="Confirmed"/>
    <m/>
    <x v="1"/>
    <x v="0"/>
    <m/>
    <x v="2"/>
    <x v="0"/>
    <m/>
    <n v="3"/>
    <x v="0"/>
    <s v="…"/>
    <n v="2438881113.1244688"/>
  </r>
  <r>
    <x v="0"/>
    <x v="98"/>
    <x v="98"/>
    <x v="1"/>
    <x v="0"/>
    <x v="3"/>
    <x v="24"/>
    <x v="8"/>
    <s v="Multi-Year"/>
    <x v="1"/>
    <s v="N/A"/>
    <n v="100000"/>
    <s v="Confirmed"/>
    <m/>
    <x v="1"/>
    <x v="0"/>
    <m/>
    <x v="1"/>
    <x v="1"/>
    <m/>
    <n v="0"/>
    <x v="0"/>
    <s v=""/>
    <n v="476517795.73174149"/>
  </r>
  <r>
    <x v="0"/>
    <x v="99"/>
    <x v="99"/>
    <x v="0"/>
    <x v="0"/>
    <x v="3"/>
    <x v="24"/>
    <x v="8"/>
    <s v="Multi-Year"/>
    <x v="1"/>
    <s v="N/A"/>
    <n v="3000000"/>
    <s v="Confirmed"/>
    <m/>
    <x v="1"/>
    <x v="0"/>
    <m/>
    <x v="2"/>
    <x v="0"/>
    <m/>
    <n v="0"/>
    <x v="0"/>
    <s v="…"/>
    <n v="3233351297.7679496"/>
  </r>
  <r>
    <x v="0"/>
    <x v="100"/>
    <x v="100"/>
    <x v="4"/>
    <x v="0"/>
    <x v="3"/>
    <x v="24"/>
    <x v="8"/>
    <s v="Multi-Year"/>
    <x v="1"/>
    <s v="N/A"/>
    <s v=""/>
    <s v="Confirmed"/>
    <m/>
    <x v="1"/>
    <x v="0"/>
    <m/>
    <x v="3"/>
    <x v="1"/>
    <m/>
    <n v="0"/>
    <x v="1"/>
    <s v=""/>
    <n v="18180646.808608256"/>
  </r>
  <r>
    <x v="0"/>
    <x v="101"/>
    <x v="101"/>
    <x v="4"/>
    <x v="0"/>
    <x v="3"/>
    <x v="24"/>
    <x v="8"/>
    <s v="Multi-Year"/>
    <x v="1"/>
    <s v="N/A"/>
    <n v="0"/>
    <s v="Confirmed"/>
    <m/>
    <x v="1"/>
    <x v="0"/>
    <m/>
    <x v="1"/>
    <x v="1"/>
    <m/>
    <n v="0"/>
    <x v="0"/>
    <s v="N/A"/>
    <n v="3020530707.3485303"/>
  </r>
  <r>
    <x v="0"/>
    <x v="102"/>
    <x v="102"/>
    <x v="6"/>
    <x v="0"/>
    <x v="3"/>
    <x v="24"/>
    <x v="8"/>
    <s v="Multi-Year"/>
    <x v="1"/>
    <s v="N/A"/>
    <n v="400000"/>
    <s v="Confirmed"/>
    <m/>
    <x v="1"/>
    <x v="0"/>
    <m/>
    <x v="2"/>
    <x v="0"/>
    <m/>
    <n v="1"/>
    <x v="1"/>
    <s v="High"/>
    <n v="384406316.46074712"/>
  </r>
  <r>
    <x v="0"/>
    <x v="103"/>
    <x v="103"/>
    <x v="4"/>
    <x v="0"/>
    <x v="3"/>
    <x v="24"/>
    <x v="8"/>
    <s v="Multi-Year"/>
    <x v="1"/>
    <s v="N/A"/>
    <n v="200000"/>
    <s v="Confirmed"/>
    <m/>
    <x v="1"/>
    <x v="0"/>
    <m/>
    <x v="1"/>
    <x v="1"/>
    <m/>
    <n v="0"/>
    <x v="0"/>
    <s v=""/>
    <n v="1218747108.9554784"/>
  </r>
  <r>
    <x v="0"/>
    <x v="104"/>
    <x v="104"/>
    <x v="4"/>
    <x v="0"/>
    <x v="3"/>
    <x v="24"/>
    <x v="8"/>
    <s v="Multi-Year"/>
    <x v="1"/>
    <s v="N/A"/>
    <n v="802143"/>
    <s v="Confirmed"/>
    <m/>
    <x v="1"/>
    <x v="0"/>
    <m/>
    <x v="1"/>
    <x v="1"/>
    <m/>
    <n v="0"/>
    <x v="0"/>
    <s v=""/>
    <n v="7392665952.5895758"/>
  </r>
  <r>
    <x v="0"/>
    <x v="105"/>
    <x v="105"/>
    <x v="6"/>
    <x v="0"/>
    <x v="3"/>
    <x v="24"/>
    <x v="8"/>
    <s v="Multi-Year"/>
    <x v="1"/>
    <s v="N/A"/>
    <n v="100000"/>
    <s v="Confirmed"/>
    <m/>
    <x v="1"/>
    <x v="0"/>
    <m/>
    <x v="2"/>
    <x v="0"/>
    <m/>
    <n v="0"/>
    <x v="0"/>
    <s v="N/A"/>
    <n v="4754985988.6004429"/>
  </r>
  <r>
    <x v="0"/>
    <x v="106"/>
    <x v="106"/>
    <x v="1"/>
    <x v="0"/>
    <x v="3"/>
    <x v="24"/>
    <x v="8"/>
    <s v="Multi-Year"/>
    <x v="1"/>
    <s v="N/A"/>
    <s v=""/>
    <s v="Confirmed"/>
    <m/>
    <x v="1"/>
    <x v="0"/>
    <m/>
    <x v="3"/>
    <x v="1"/>
    <m/>
    <n v="0"/>
    <x v="0"/>
    <s v=""/>
    <n v="26422210443.037273"/>
  </r>
  <r>
    <x v="0"/>
    <x v="107"/>
    <x v="107"/>
    <x v="1"/>
    <x v="0"/>
    <x v="3"/>
    <x v="24"/>
    <x v="8"/>
    <s v="Multi-Year"/>
    <x v="1"/>
    <s v="N/A"/>
    <n v="50000"/>
    <s v="Confirmed"/>
    <m/>
    <x v="1"/>
    <x v="0"/>
    <m/>
    <x v="1"/>
    <x v="1"/>
    <m/>
    <n v="0"/>
    <x v="0"/>
    <s v=""/>
    <n v="10696495313.15033"/>
  </r>
  <r>
    <x v="0"/>
    <x v="108"/>
    <x v="108"/>
    <x v="1"/>
    <x v="0"/>
    <x v="3"/>
    <x v="24"/>
    <x v="8"/>
    <s v="Multi-Year"/>
    <x v="1"/>
    <s v="N/A"/>
    <s v=""/>
    <s v="Confirmed"/>
    <m/>
    <x v="1"/>
    <x v="0"/>
    <m/>
    <x v="1"/>
    <x v="1"/>
    <m/>
    <n v="0"/>
    <x v="0"/>
    <s v=""/>
    <n v="52769713433.240509"/>
  </r>
  <r>
    <x v="0"/>
    <x v="109"/>
    <x v="109"/>
    <x v="3"/>
    <x v="0"/>
    <x v="3"/>
    <x v="24"/>
    <x v="8"/>
    <s v="Multi-Year"/>
    <x v="1"/>
    <s v="N/A"/>
    <n v="374000"/>
    <s v="Confirmed"/>
    <m/>
    <x v="1"/>
    <x v="0"/>
    <m/>
    <x v="0"/>
    <x v="0"/>
    <m/>
    <n v="0"/>
    <x v="0"/>
    <s v="Moderate"/>
    <n v="225799814.51943746"/>
  </r>
  <r>
    <x v="0"/>
    <x v="110"/>
    <x v="110"/>
    <x v="6"/>
    <x v="0"/>
    <x v="3"/>
    <x v="24"/>
    <x v="8"/>
    <s v="Multi-Year"/>
    <x v="1"/>
    <s v="N/A"/>
    <n v="0"/>
    <s v="Confirmed"/>
    <m/>
    <x v="1"/>
    <x v="0"/>
    <m/>
    <x v="2"/>
    <x v="0"/>
    <m/>
    <n v="0"/>
    <x v="1"/>
    <s v="High"/>
    <n v="32192988.027009469"/>
  </r>
  <r>
    <x v="0"/>
    <x v="111"/>
    <x v="111"/>
    <x v="5"/>
    <x v="0"/>
    <x v="3"/>
    <x v="24"/>
    <x v="8"/>
    <s v="Multi-Year"/>
    <x v="1"/>
    <s v="N/A"/>
    <n v="0"/>
    <s v="Confirmed"/>
    <m/>
    <x v="1"/>
    <x v="0"/>
    <m/>
    <x v="2"/>
    <x v="0"/>
    <m/>
    <n v="0"/>
    <x v="1"/>
    <s v="In distress"/>
    <n v="11633535.136477679"/>
  </r>
  <r>
    <x v="0"/>
    <x v="112"/>
    <x v="112"/>
    <x v="5"/>
    <x v="0"/>
    <x v="3"/>
    <x v="24"/>
    <x v="8"/>
    <s v="Multi-Year"/>
    <x v="1"/>
    <s v="N/A"/>
    <n v="779275"/>
    <s v="Confirmed"/>
    <m/>
    <x v="1"/>
    <x v="0"/>
    <m/>
    <x v="2"/>
    <x v="0"/>
    <m/>
    <n v="2"/>
    <x v="0"/>
    <s v="Moderate"/>
    <n v="222008693.93354639"/>
  </r>
  <r>
    <x v="0"/>
    <x v="113"/>
    <x v="113"/>
    <x v="1"/>
    <x v="0"/>
    <x v="3"/>
    <x v="24"/>
    <x v="8"/>
    <s v="Multi-Year"/>
    <x v="1"/>
    <s v="N/A"/>
    <n v="100000"/>
    <s v="Confirmed"/>
    <m/>
    <x v="1"/>
    <x v="0"/>
    <m/>
    <x v="1"/>
    <x v="1"/>
    <m/>
    <n v="0"/>
    <x v="0"/>
    <s v=""/>
    <n v="2564993795.1894679"/>
  </r>
  <r>
    <x v="0"/>
    <x v="114"/>
    <x v="114"/>
    <x v="3"/>
    <x v="0"/>
    <x v="3"/>
    <x v="24"/>
    <x v="8"/>
    <s v="Multi-Year"/>
    <x v="1"/>
    <s v="N/A"/>
    <s v=""/>
    <s v="Confirmed"/>
    <m/>
    <x v="1"/>
    <x v="0"/>
    <m/>
    <x v="3"/>
    <x v="1"/>
    <m/>
    <n v="0"/>
    <x v="1"/>
    <s v="N/A"/>
    <n v="60237542.945069775"/>
  </r>
  <r>
    <x v="0"/>
    <x v="115"/>
    <x v="115"/>
    <x v="5"/>
    <x v="0"/>
    <x v="3"/>
    <x v="24"/>
    <x v="8"/>
    <s v="Multi-Year"/>
    <x v="1"/>
    <s v="N/A"/>
    <n v="472533"/>
    <s v="Confirmed"/>
    <m/>
    <x v="1"/>
    <x v="0"/>
    <m/>
    <x v="0"/>
    <x v="0"/>
    <m/>
    <n v="0"/>
    <x v="0"/>
    <s v="High"/>
    <n v="63738640.538260505"/>
  </r>
  <r>
    <x v="0"/>
    <x v="116"/>
    <x v="116"/>
    <x v="6"/>
    <x v="0"/>
    <x v="3"/>
    <x v="24"/>
    <x v="8"/>
    <s v="Multi-Year"/>
    <x v="1"/>
    <s v="N/A"/>
    <n v="0"/>
    <s v="Confirmed"/>
    <m/>
    <x v="1"/>
    <x v="0"/>
    <m/>
    <x v="2"/>
    <x v="0"/>
    <m/>
    <n v="0"/>
    <x v="1"/>
    <s v="Moderate"/>
    <n v="49012774.055630356"/>
  </r>
  <r>
    <x v="0"/>
    <x v="117"/>
    <x v="117"/>
    <x v="3"/>
    <x v="0"/>
    <x v="3"/>
    <x v="24"/>
    <x v="8"/>
    <s v="Multi-Year"/>
    <x v="1"/>
    <s v="N/A"/>
    <n v="2015014"/>
    <s v="Confirmed"/>
    <m/>
    <x v="1"/>
    <x v="0"/>
    <m/>
    <x v="0"/>
    <x v="0"/>
    <m/>
    <n v="1"/>
    <x v="0"/>
    <s v="In distress"/>
    <s v=""/>
  </r>
  <r>
    <x v="0"/>
    <x v="118"/>
    <x v="118"/>
    <x v="3"/>
    <x v="0"/>
    <x v="3"/>
    <x v="24"/>
    <x v="8"/>
    <s v="Multi-Year"/>
    <x v="1"/>
    <s v="N/A"/>
    <n v="1872229"/>
    <s v="Confirmed"/>
    <m/>
    <x v="1"/>
    <x v="0"/>
    <m/>
    <x v="1"/>
    <x v="1"/>
    <m/>
    <n v="0"/>
    <x v="0"/>
    <s v="N/A"/>
    <n v="16429121142.784708"/>
  </r>
  <r>
    <x v="0"/>
    <x v="119"/>
    <x v="119"/>
    <x v="3"/>
    <x v="0"/>
    <x v="3"/>
    <x v="24"/>
    <x v="8"/>
    <s v="Multi-Year"/>
    <x v="1"/>
    <s v="N/A"/>
    <n v="680600"/>
    <s v="Confirmed"/>
    <m/>
    <x v="1"/>
    <x v="0"/>
    <m/>
    <x v="0"/>
    <x v="0"/>
    <m/>
    <n v="1"/>
    <x v="0"/>
    <s v="High"/>
    <n v="31684581.76217727"/>
  </r>
  <r>
    <x v="0"/>
    <x v="120"/>
    <x v="120"/>
    <x v="0"/>
    <x v="0"/>
    <x v="3"/>
    <x v="24"/>
    <x v="8"/>
    <s v="Multi-Year"/>
    <x v="1"/>
    <s v="N/A"/>
    <n v="500000"/>
    <s v="Confirmed"/>
    <m/>
    <x v="1"/>
    <x v="0"/>
    <m/>
    <x v="2"/>
    <x v="0"/>
    <m/>
    <n v="0"/>
    <x v="0"/>
    <s v="N/A"/>
    <n v="1373621563.5182886"/>
  </r>
  <r>
    <x v="0"/>
    <x v="121"/>
    <x v="121"/>
    <x v="4"/>
    <x v="0"/>
    <x v="3"/>
    <x v="24"/>
    <x v="8"/>
    <s v="Multi-Year"/>
    <x v="1"/>
    <s v="N/A"/>
    <s v=""/>
    <s v="Confirmed"/>
    <m/>
    <x v="1"/>
    <x v="0"/>
    <m/>
    <x v="3"/>
    <x v="1"/>
    <m/>
    <n v="0"/>
    <x v="1"/>
    <s v=""/>
    <n v="24214370.889062837"/>
  </r>
  <r>
    <x v="0"/>
    <x v="122"/>
    <x v="122"/>
    <x v="4"/>
    <x v="0"/>
    <x v="3"/>
    <x v="24"/>
    <x v="8"/>
    <s v="Multi-Year"/>
    <x v="1"/>
    <s v="N/A"/>
    <n v="75000"/>
    <s v="Confirmed"/>
    <m/>
    <x v="1"/>
    <x v="0"/>
    <m/>
    <x v="1"/>
    <x v="0"/>
    <m/>
    <n v="0"/>
    <x v="1"/>
    <s v="…"/>
    <n v="39941279.609447442"/>
  </r>
  <r>
    <x v="0"/>
    <x v="123"/>
    <x v="123"/>
    <x v="4"/>
    <x v="0"/>
    <x v="3"/>
    <x v="24"/>
    <x v="8"/>
    <s v="Multi-Year"/>
    <x v="1"/>
    <s v="N/A"/>
    <n v="75000"/>
    <s v="Confirmed"/>
    <m/>
    <x v="1"/>
    <x v="0"/>
    <m/>
    <x v="1"/>
    <x v="0"/>
    <m/>
    <n v="0"/>
    <x v="1"/>
    <s v="High"/>
    <n v="24761675.260059897"/>
  </r>
  <r>
    <x v="0"/>
    <x v="124"/>
    <x v="124"/>
    <x v="2"/>
    <x v="0"/>
    <x v="3"/>
    <x v="24"/>
    <x v="8"/>
    <s v="Multi-Year"/>
    <x v="1"/>
    <s v="N/A"/>
    <n v="450000"/>
    <s v="Confirmed"/>
    <m/>
    <x v="1"/>
    <x v="0"/>
    <m/>
    <x v="2"/>
    <x v="0"/>
    <m/>
    <n v="0"/>
    <x v="0"/>
    <s v="N/A"/>
    <s v=""/>
  </r>
  <r>
    <x v="0"/>
    <x v="125"/>
    <x v="125"/>
    <x v="2"/>
    <x v="0"/>
    <x v="3"/>
    <x v="24"/>
    <x v="8"/>
    <s v="Multi-Year"/>
    <x v="1"/>
    <s v="N/A"/>
    <n v="7767500"/>
    <s v="Confirmed"/>
    <m/>
    <x v="1"/>
    <x v="0"/>
    <m/>
    <x v="0"/>
    <x v="0"/>
    <m/>
    <n v="1"/>
    <x v="0"/>
    <s v="N/A"/>
    <n v="577156172.71229994"/>
  </r>
  <r>
    <x v="0"/>
    <x v="126"/>
    <x v="126"/>
    <x v="6"/>
    <x v="0"/>
    <x v="3"/>
    <x v="24"/>
    <x v="8"/>
    <s v="Multi-Year"/>
    <x v="1"/>
    <s v="N/A"/>
    <n v="0"/>
    <s v="Confirmed"/>
    <m/>
    <x v="1"/>
    <x v="0"/>
    <m/>
    <x v="1"/>
    <x v="1"/>
    <m/>
    <n v="0"/>
    <x v="1"/>
    <s v=""/>
    <n v="180052034.19851837"/>
  </r>
  <r>
    <x v="0"/>
    <x v="127"/>
    <x v="127"/>
    <x v="2"/>
    <x v="0"/>
    <x v="3"/>
    <x v="24"/>
    <x v="8"/>
    <s v="Multi-Year"/>
    <x v="1"/>
    <s v="N/A"/>
    <n v="5153018"/>
    <s v="Confirmed"/>
    <m/>
    <x v="1"/>
    <x v="0"/>
    <m/>
    <x v="0"/>
    <x v="0"/>
    <m/>
    <n v="1"/>
    <x v="0"/>
    <s v="N/A"/>
    <s v=""/>
  </r>
  <r>
    <x v="0"/>
    <x v="128"/>
    <x v="128"/>
    <x v="1"/>
    <x v="0"/>
    <x v="3"/>
    <x v="24"/>
    <x v="8"/>
    <s v="Multi-Year"/>
    <x v="1"/>
    <s v="N/A"/>
    <n v="0"/>
    <s v="Confirmed"/>
    <m/>
    <x v="1"/>
    <x v="0"/>
    <m/>
    <x v="2"/>
    <x v="0"/>
    <m/>
    <n v="0"/>
    <x v="0"/>
    <s v="High"/>
    <n v="147296124.32232863"/>
  </r>
  <r>
    <x v="0"/>
    <x v="129"/>
    <x v="129"/>
    <x v="3"/>
    <x v="0"/>
    <x v="3"/>
    <x v="24"/>
    <x v="8"/>
    <s v="Multi-Year"/>
    <x v="1"/>
    <s v="N/A"/>
    <n v="1824000"/>
    <s v="Confirmed"/>
    <m/>
    <x v="1"/>
    <x v="0"/>
    <m/>
    <x v="2"/>
    <x v="0"/>
    <m/>
    <n v="0"/>
    <x v="0"/>
    <s v="…"/>
    <n v="890576536.83065879"/>
  </r>
  <r>
    <x v="0"/>
    <x v="130"/>
    <x v="130"/>
    <x v="6"/>
    <x v="0"/>
    <x v="3"/>
    <x v="24"/>
    <x v="8"/>
    <s v="Multi-Year"/>
    <x v="1"/>
    <s v="N/A"/>
    <s v=""/>
    <s v="Confirmed"/>
    <m/>
    <x v="1"/>
    <x v="0"/>
    <m/>
    <x v="1"/>
    <x v="1"/>
    <m/>
    <n v="0"/>
    <x v="0"/>
    <s v=""/>
    <n v="14611129792.346064"/>
  </r>
  <r>
    <x v="0"/>
    <x v="131"/>
    <x v="131"/>
    <x v="6"/>
    <x v="0"/>
    <x v="3"/>
    <x v="24"/>
    <x v="8"/>
    <s v="Multi-Year"/>
    <x v="1"/>
    <s v="N/A"/>
    <n v="260000"/>
    <s v="Confirmed"/>
    <m/>
    <x v="1"/>
    <x v="0"/>
    <m/>
    <x v="2"/>
    <x v="0"/>
    <m/>
    <n v="0"/>
    <x v="1"/>
    <s v="Low"/>
    <n v="72046877.233008593"/>
  </r>
  <r>
    <x v="0"/>
    <x v="132"/>
    <x v="132"/>
    <x v="5"/>
    <x v="0"/>
    <x v="3"/>
    <x v="24"/>
    <x v="8"/>
    <s v="Multi-Year"/>
    <x v="1"/>
    <s v="N/A"/>
    <n v="500000"/>
    <s v="Confirmed"/>
    <m/>
    <x v="1"/>
    <x v="0"/>
    <m/>
    <x v="0"/>
    <x v="0"/>
    <m/>
    <n v="0"/>
    <x v="0"/>
    <s v="High"/>
    <n v="56248139.267255567"/>
  </r>
  <r>
    <x v="0"/>
    <x v="133"/>
    <x v="133"/>
    <x v="6"/>
    <x v="0"/>
    <x v="3"/>
    <x v="24"/>
    <x v="8"/>
    <s v="Multi-Year"/>
    <x v="1"/>
    <s v="N/A"/>
    <n v="0"/>
    <s v="Confirmed"/>
    <m/>
    <x v="1"/>
    <x v="0"/>
    <m/>
    <x v="1"/>
    <x v="0"/>
    <m/>
    <n v="0"/>
    <x v="1"/>
    <s v="High"/>
    <n v="15464031.712942109"/>
  </r>
  <r>
    <x v="0"/>
    <x v="134"/>
    <x v="134"/>
    <x v="4"/>
    <x v="0"/>
    <x v="3"/>
    <x v="24"/>
    <x v="8"/>
    <s v="Multi-Year"/>
    <x v="1"/>
    <s v="N/A"/>
    <s v=""/>
    <s v="Confirmed"/>
    <m/>
    <x v="1"/>
    <x v="0"/>
    <m/>
    <x v="3"/>
    <x v="1"/>
    <m/>
    <n v="0"/>
    <x v="1"/>
    <s v="N/A"/>
    <n v="769564399.33249676"/>
  </r>
  <r>
    <x v="0"/>
    <x v="135"/>
    <x v="135"/>
    <x v="2"/>
    <x v="0"/>
    <x v="3"/>
    <x v="24"/>
    <x v="8"/>
    <s v="Multi-Year"/>
    <x v="1"/>
    <s v="N/A"/>
    <n v="0"/>
    <s v="Confirmed"/>
    <m/>
    <x v="1"/>
    <x v="0"/>
    <m/>
    <x v="2"/>
    <x v="0"/>
    <m/>
    <n v="0"/>
    <x v="0"/>
    <s v="N/A"/>
    <n v="1668954539.7630196"/>
  </r>
  <r>
    <x v="0"/>
    <x v="136"/>
    <x v="136"/>
    <x v="1"/>
    <x v="0"/>
    <x v="3"/>
    <x v="24"/>
    <x v="8"/>
    <s v="Multi-Year"/>
    <x v="1"/>
    <s v="N/A"/>
    <s v=""/>
    <s v="Confirmed"/>
    <m/>
    <x v="1"/>
    <x v="0"/>
    <m/>
    <x v="1"/>
    <x v="1"/>
    <m/>
    <n v="0"/>
    <x v="0"/>
    <s v=""/>
    <n v="24840920016.18832"/>
  </r>
  <r>
    <x v="0"/>
    <x v="137"/>
    <x v="137"/>
    <x v="1"/>
    <x v="0"/>
    <x v="3"/>
    <x v="24"/>
    <x v="8"/>
    <s v="Multi-Year"/>
    <x v="1"/>
    <s v="N/A"/>
    <s v=""/>
    <s v="Confirmed"/>
    <m/>
    <x v="1"/>
    <x v="0"/>
    <m/>
    <x v="1"/>
    <x v="1"/>
    <m/>
    <n v="0"/>
    <x v="0"/>
    <s v="N/A"/>
    <n v="487888462.83720118"/>
  </r>
  <r>
    <x v="0"/>
    <x v="138"/>
    <x v="138"/>
    <x v="6"/>
    <x v="0"/>
    <x v="3"/>
    <x v="24"/>
    <x v="8"/>
    <s v="Multi-Year"/>
    <x v="1"/>
    <s v="N/A"/>
    <n v="0"/>
    <s v="Confirmed"/>
    <m/>
    <x v="1"/>
    <x v="0"/>
    <m/>
    <x v="1"/>
    <x v="0"/>
    <m/>
    <n v="0"/>
    <x v="1"/>
    <s v="…"/>
    <n v="6365061.1736073596"/>
  </r>
  <r>
    <x v="0"/>
    <x v="139"/>
    <x v="139"/>
    <x v="3"/>
    <x v="0"/>
    <x v="3"/>
    <x v="24"/>
    <x v="8"/>
    <s v="Multi-Year"/>
    <x v="1"/>
    <s v="N/A"/>
    <n v="316219"/>
    <s v="Confirmed"/>
    <m/>
    <x v="1"/>
    <x v="0"/>
    <m/>
    <x v="0"/>
    <x v="0"/>
    <m/>
    <n v="2"/>
    <x v="0"/>
    <s v="Low"/>
    <n v="291799092.90196139"/>
  </r>
  <r>
    <x v="0"/>
    <x v="140"/>
    <x v="140"/>
    <x v="1"/>
    <x v="0"/>
    <x v="3"/>
    <x v="24"/>
    <x v="8"/>
    <s v="Multi-Year"/>
    <x v="1"/>
    <s v="N/A"/>
    <n v="1450000"/>
    <s v="Confirmed"/>
    <m/>
    <x v="1"/>
    <x v="0"/>
    <m/>
    <x v="2"/>
    <x v="0"/>
    <m/>
    <n v="0"/>
    <x v="0"/>
    <s v="N/A"/>
    <n v="4844815340.2135534"/>
  </r>
  <r>
    <x v="0"/>
    <x v="141"/>
    <x v="141"/>
    <x v="4"/>
    <x v="0"/>
    <x v="3"/>
    <x v="24"/>
    <x v="8"/>
    <s v="Multi-Year"/>
    <x v="1"/>
    <s v="N/A"/>
    <n v="0"/>
    <s v="Confirmed"/>
    <m/>
    <x v="1"/>
    <x v="0"/>
    <m/>
    <x v="3"/>
    <x v="1"/>
    <m/>
    <n v="0"/>
    <x v="0"/>
    <s v=""/>
    <n v="4001891446.6871672"/>
  </r>
  <r>
    <x v="0"/>
    <x v="142"/>
    <x v="142"/>
    <x v="1"/>
    <x v="0"/>
    <x v="3"/>
    <x v="24"/>
    <x v="8"/>
    <s v="Multi-Year"/>
    <x v="1"/>
    <s v="N/A"/>
    <n v="950000"/>
    <s v="Confirmed"/>
    <m/>
    <x v="1"/>
    <x v="0"/>
    <m/>
    <x v="2"/>
    <x v="0"/>
    <m/>
    <n v="0"/>
    <x v="0"/>
    <s v="Low"/>
    <n v="1019800630.5853213"/>
  </r>
  <r>
    <x v="0"/>
    <x v="143"/>
    <x v="143"/>
    <x v="6"/>
    <x v="0"/>
    <x v="3"/>
    <x v="24"/>
    <x v="8"/>
    <s v="Multi-Year"/>
    <x v="1"/>
    <s v="N/A"/>
    <n v="0"/>
    <s v="Confirmed"/>
    <m/>
    <x v="1"/>
    <x v="0"/>
    <m/>
    <x v="2"/>
    <x v="0"/>
    <m/>
    <n v="0"/>
    <x v="1"/>
    <s v="Moderate"/>
    <n v="19578671.310841195"/>
  </r>
  <r>
    <x v="0"/>
    <x v="144"/>
    <x v="144"/>
    <x v="4"/>
    <x v="0"/>
    <x v="3"/>
    <x v="24"/>
    <x v="8"/>
    <s v="Multi-Year"/>
    <x v="1"/>
    <s v="N/A"/>
    <n v="1000000"/>
    <s v="Confirmed"/>
    <m/>
    <x v="1"/>
    <x v="0"/>
    <m/>
    <x v="4"/>
    <x v="1"/>
    <m/>
    <n v="0"/>
    <x v="0"/>
    <s v="N/A"/>
    <n v="3551452001.0684834"/>
  </r>
  <r>
    <x v="0"/>
    <x v="145"/>
    <x v="145"/>
    <x v="6"/>
    <x v="0"/>
    <x v="3"/>
    <x v="24"/>
    <x v="8"/>
    <s v="Multi-Year"/>
    <x v="1"/>
    <s v="N/A"/>
    <n v="1000000"/>
    <s v="Confirmed"/>
    <m/>
    <x v="1"/>
    <x v="0"/>
    <m/>
    <x v="2"/>
    <x v="0"/>
    <m/>
    <n v="0"/>
    <x v="0"/>
    <s v="N/A"/>
    <n v="6603048821.7575006"/>
  </r>
  <r>
    <x v="0"/>
    <x v="146"/>
    <x v="146"/>
    <x v="2"/>
    <x v="0"/>
    <x v="3"/>
    <x v="24"/>
    <x v="8"/>
    <s v="Multi-Year"/>
    <x v="1"/>
    <s v="N/A"/>
    <n v="5929249"/>
    <s v="Confirmed"/>
    <m/>
    <x v="1"/>
    <x v="0"/>
    <m/>
    <x v="0"/>
    <x v="0"/>
    <m/>
    <n v="1"/>
    <x v="0"/>
    <s v="…"/>
    <s v=""/>
  </r>
  <r>
    <x v="0"/>
    <x v="147"/>
    <x v="147"/>
    <x v="3"/>
    <x v="0"/>
    <x v="3"/>
    <x v="24"/>
    <x v="8"/>
    <s v="Multi-Year"/>
    <x v="1"/>
    <s v="N/A"/>
    <n v="1080000"/>
    <s v="Confirmed"/>
    <m/>
    <x v="1"/>
    <x v="0"/>
    <m/>
    <x v="2"/>
    <x v="0"/>
    <m/>
    <n v="0"/>
    <x v="0"/>
    <s v="High"/>
    <n v="515352723.9821828"/>
  </r>
  <r>
    <x v="0"/>
    <x v="148"/>
    <x v="148"/>
    <x v="3"/>
    <x v="0"/>
    <x v="3"/>
    <x v="24"/>
    <x v="8"/>
    <s v="Multi-Year"/>
    <x v="1"/>
    <s v="N/A"/>
    <n v="315226"/>
    <s v="Confirmed"/>
    <m/>
    <x v="1"/>
    <x v="0"/>
    <m/>
    <x v="2"/>
    <x v="0"/>
    <m/>
    <n v="0"/>
    <x v="0"/>
    <s v="N/A"/>
    <n v="566711742.22428358"/>
  </r>
  <r>
    <x v="0"/>
    <x v="0"/>
    <x v="0"/>
    <x v="0"/>
    <x v="1"/>
    <x v="5"/>
    <x v="25"/>
    <x v="11"/>
    <m/>
    <x v="1"/>
    <m/>
    <m/>
    <m/>
    <m/>
    <x v="0"/>
    <x v="0"/>
    <m/>
    <x v="0"/>
    <x v="0"/>
    <n v="39835428"/>
    <n v="1"/>
    <x v="0"/>
    <s v="High"/>
    <n v="95829480.719269618"/>
  </r>
  <r>
    <x v="0"/>
    <x v="1"/>
    <x v="1"/>
    <x v="1"/>
    <x v="1"/>
    <x v="5"/>
    <x v="25"/>
    <x v="11"/>
    <m/>
    <x v="1"/>
    <m/>
    <m/>
    <m/>
    <m/>
    <x v="0"/>
    <x v="0"/>
    <m/>
    <x v="1"/>
    <x v="1"/>
    <n v="2872934"/>
    <n v="0"/>
    <x v="0"/>
    <s v=""/>
    <n v="427904035.52443534"/>
  </r>
  <r>
    <x v="0"/>
    <x v="2"/>
    <x v="2"/>
    <x v="2"/>
    <x v="1"/>
    <x v="5"/>
    <x v="25"/>
    <x v="11"/>
    <m/>
    <x v="1"/>
    <m/>
    <m/>
    <m/>
    <m/>
    <x v="0"/>
    <x v="0"/>
    <m/>
    <x v="2"/>
    <x v="0"/>
    <n v="44616626"/>
    <n v="0"/>
    <x v="0"/>
    <s v="N/A"/>
    <n v="7113361022.7267885"/>
  </r>
  <r>
    <x v="0"/>
    <x v="3"/>
    <x v="3"/>
    <x v="3"/>
    <x v="1"/>
    <x v="5"/>
    <x v="25"/>
    <x v="11"/>
    <m/>
    <x v="1"/>
    <m/>
    <m/>
    <m/>
    <m/>
    <x v="0"/>
    <x v="0"/>
    <m/>
    <x v="2"/>
    <x v="0"/>
    <n v="33933611"/>
    <n v="0"/>
    <x v="0"/>
    <s v="…"/>
    <n v="1131865946.5875781"/>
  </r>
  <r>
    <x v="0"/>
    <x v="4"/>
    <x v="4"/>
    <x v="4"/>
    <x v="1"/>
    <x v="5"/>
    <x v="25"/>
    <x v="11"/>
    <m/>
    <x v="1"/>
    <m/>
    <m/>
    <m/>
    <m/>
    <x v="0"/>
    <x v="0"/>
    <m/>
    <x v="3"/>
    <x v="1"/>
    <n v="97928"/>
    <n v="0"/>
    <x v="1"/>
    <s v=""/>
    <n v="46777779.823447868"/>
  </r>
  <r>
    <x v="0"/>
    <x v="5"/>
    <x v="5"/>
    <x v="4"/>
    <x v="1"/>
    <x v="5"/>
    <x v="25"/>
    <x v="11"/>
    <m/>
    <x v="1"/>
    <m/>
    <m/>
    <m/>
    <m/>
    <x v="0"/>
    <x v="0"/>
    <m/>
    <x v="1"/>
    <x v="1"/>
    <n v="45605823"/>
    <n v="0"/>
    <x v="0"/>
    <s v=""/>
    <n v="30725305777.596794"/>
  </r>
  <r>
    <x v="0"/>
    <x v="6"/>
    <x v="6"/>
    <x v="1"/>
    <x v="1"/>
    <x v="5"/>
    <x v="25"/>
    <x v="11"/>
    <m/>
    <x v="1"/>
    <m/>
    <m/>
    <m/>
    <m/>
    <x v="0"/>
    <x v="0"/>
    <m/>
    <x v="1"/>
    <x v="1"/>
    <n v="2968128"/>
    <n v="0"/>
    <x v="0"/>
    <s v=""/>
    <n v="153815827.8380394"/>
  </r>
  <r>
    <x v="0"/>
    <x v="7"/>
    <x v="7"/>
    <x v="1"/>
    <x v="1"/>
    <x v="5"/>
    <x v="25"/>
    <x v="11"/>
    <m/>
    <x v="1"/>
    <m/>
    <m/>
    <m/>
    <m/>
    <x v="0"/>
    <x v="0"/>
    <m/>
    <x v="1"/>
    <x v="1"/>
    <n v="10223344"/>
    <n v="0"/>
    <x v="0"/>
    <s v="N/A"/>
    <n v="437525105.31216973"/>
  </r>
  <r>
    <x v="0"/>
    <x v="8"/>
    <x v="8"/>
    <x v="4"/>
    <x v="1"/>
    <x v="5"/>
    <x v="25"/>
    <x v="11"/>
    <m/>
    <x v="1"/>
    <m/>
    <m/>
    <m/>
    <m/>
    <x v="0"/>
    <x v="0"/>
    <m/>
    <x v="3"/>
    <x v="1"/>
    <n v="0"/>
    <n v="0"/>
    <x v="1"/>
    <s v=""/>
    <n v="149463302.00602186"/>
  </r>
  <r>
    <x v="0"/>
    <x v="9"/>
    <x v="9"/>
    <x v="0"/>
    <x v="1"/>
    <x v="5"/>
    <x v="25"/>
    <x v="11"/>
    <m/>
    <x v="1"/>
    <m/>
    <m/>
    <m/>
    <m/>
    <x v="0"/>
    <x v="0"/>
    <m/>
    <x v="2"/>
    <x v="0"/>
    <n v="166303494"/>
    <n v="0"/>
    <x v="0"/>
    <s v="Low"/>
    <n v="1148322593.9600098"/>
  </r>
  <r>
    <x v="0"/>
    <x v="10"/>
    <x v="10"/>
    <x v="1"/>
    <x v="1"/>
    <x v="5"/>
    <x v="25"/>
    <x v="11"/>
    <m/>
    <x v="1"/>
    <m/>
    <m/>
    <m/>
    <m/>
    <x v="0"/>
    <x v="0"/>
    <m/>
    <x v="1"/>
    <x v="1"/>
    <n v="9442867"/>
    <n v="0"/>
    <x v="0"/>
    <s v=""/>
    <n v="2371102058.1093163"/>
  </r>
  <r>
    <x v="0"/>
    <x v="11"/>
    <x v="11"/>
    <x v="4"/>
    <x v="1"/>
    <x v="5"/>
    <x v="25"/>
    <x v="11"/>
    <m/>
    <x v="1"/>
    <m/>
    <m/>
    <m/>
    <m/>
    <x v="0"/>
    <x v="0"/>
    <m/>
    <x v="2"/>
    <x v="1"/>
    <n v="404915"/>
    <n v="0"/>
    <x v="1"/>
    <s v="N/A"/>
    <n v="75151620.005215243"/>
  </r>
  <r>
    <x v="0"/>
    <x v="12"/>
    <x v="12"/>
    <x v="5"/>
    <x v="1"/>
    <x v="5"/>
    <x v="25"/>
    <x v="11"/>
    <m/>
    <x v="1"/>
    <m/>
    <m/>
    <m/>
    <m/>
    <x v="0"/>
    <x v="0"/>
    <m/>
    <x v="2"/>
    <x v="0"/>
    <n v="12451031"/>
    <n v="0"/>
    <x v="0"/>
    <s v="Moderate"/>
    <n v="69958487.197715744"/>
  </r>
  <r>
    <x v="0"/>
    <x v="13"/>
    <x v="13"/>
    <x v="0"/>
    <x v="1"/>
    <x v="5"/>
    <x v="25"/>
    <x v="11"/>
    <m/>
    <x v="1"/>
    <m/>
    <m/>
    <m/>
    <m/>
    <x v="0"/>
    <x v="0"/>
    <m/>
    <x v="2"/>
    <x v="0"/>
    <n v="779900"/>
    <n v="0"/>
    <x v="0"/>
    <s v="…"/>
    <n v="61654608.560629159"/>
  </r>
  <r>
    <x v="0"/>
    <x v="14"/>
    <x v="14"/>
    <x v="4"/>
    <x v="1"/>
    <x v="5"/>
    <x v="25"/>
    <x v="11"/>
    <m/>
    <x v="1"/>
    <m/>
    <m/>
    <m/>
    <m/>
    <x v="0"/>
    <x v="0"/>
    <m/>
    <x v="2"/>
    <x v="0"/>
    <n v="11832936"/>
    <n v="0"/>
    <x v="0"/>
    <s v="N/A"/>
    <n v="1806638707.7615163"/>
  </r>
  <r>
    <x v="0"/>
    <x v="15"/>
    <x v="15"/>
    <x v="1"/>
    <x v="1"/>
    <x v="5"/>
    <x v="25"/>
    <x v="11"/>
    <m/>
    <x v="1"/>
    <m/>
    <m/>
    <m/>
    <m/>
    <x v="0"/>
    <x v="0"/>
    <m/>
    <x v="1"/>
    <x v="1"/>
    <n v="3263459"/>
    <n v="0"/>
    <x v="0"/>
    <s v="N/A"/>
    <n v="1252696525.0627904"/>
  </r>
  <r>
    <x v="0"/>
    <x v="16"/>
    <x v="16"/>
    <x v="3"/>
    <x v="1"/>
    <x v="5"/>
    <x v="25"/>
    <x v="11"/>
    <m/>
    <x v="1"/>
    <m/>
    <m/>
    <m/>
    <m/>
    <x v="0"/>
    <x v="0"/>
    <m/>
    <x v="1"/>
    <x v="1"/>
    <n v="2397240"/>
    <n v="0"/>
    <x v="0"/>
    <s v=""/>
    <n v="843425084.07334602"/>
  </r>
  <r>
    <x v="0"/>
    <x v="17"/>
    <x v="17"/>
    <x v="4"/>
    <x v="1"/>
    <x v="5"/>
    <x v="25"/>
    <x v="11"/>
    <m/>
    <x v="1"/>
    <m/>
    <m/>
    <m/>
    <m/>
    <x v="0"/>
    <x v="0"/>
    <m/>
    <x v="1"/>
    <x v="1"/>
    <n v="213993441"/>
    <n v="0"/>
    <x v="0"/>
    <s v="N/A"/>
    <n v="74055620038.853683"/>
  </r>
  <r>
    <x v="0"/>
    <x v="18"/>
    <x v="18"/>
    <x v="1"/>
    <x v="1"/>
    <x v="5"/>
    <x v="25"/>
    <x v="11"/>
    <m/>
    <x v="1"/>
    <m/>
    <m/>
    <m/>
    <m/>
    <x v="0"/>
    <x v="0"/>
    <m/>
    <x v="1"/>
    <x v="1"/>
    <n v="6948445"/>
    <n v="0"/>
    <x v="0"/>
    <s v=""/>
    <n v="2803357765.5888777"/>
  </r>
  <r>
    <x v="0"/>
    <x v="19"/>
    <x v="19"/>
    <x v="5"/>
    <x v="1"/>
    <x v="5"/>
    <x v="25"/>
    <x v="11"/>
    <m/>
    <x v="1"/>
    <m/>
    <m/>
    <m/>
    <m/>
    <x v="0"/>
    <x v="0"/>
    <m/>
    <x v="0"/>
    <x v="0"/>
    <n v="21497097"/>
    <n v="2"/>
    <x v="0"/>
    <s v="Moderate"/>
    <n v="337927779.25510043"/>
  </r>
  <r>
    <x v="0"/>
    <x v="20"/>
    <x v="20"/>
    <x v="3"/>
    <x v="1"/>
    <x v="5"/>
    <x v="25"/>
    <x v="11"/>
    <m/>
    <x v="1"/>
    <m/>
    <m/>
    <m/>
    <m/>
    <x v="0"/>
    <x v="0"/>
    <m/>
    <x v="0"/>
    <x v="0"/>
    <n v="12255429"/>
    <n v="2"/>
    <x v="0"/>
    <s v="…"/>
    <n v="65979512.47399316"/>
  </r>
  <r>
    <x v="0"/>
    <x v="21"/>
    <x v="21"/>
    <x v="5"/>
    <x v="1"/>
    <x v="5"/>
    <x v="25"/>
    <x v="11"/>
    <m/>
    <x v="1"/>
    <m/>
    <m/>
    <m/>
    <m/>
    <x v="0"/>
    <x v="0"/>
    <m/>
    <x v="2"/>
    <x v="0"/>
    <n v="561901"/>
    <n v="0"/>
    <x v="1"/>
    <s v="High"/>
    <n v="63748362.778827004"/>
  </r>
  <r>
    <x v="0"/>
    <x v="22"/>
    <x v="22"/>
    <x v="6"/>
    <x v="1"/>
    <x v="5"/>
    <x v="25"/>
    <x v="11"/>
    <m/>
    <x v="1"/>
    <m/>
    <m/>
    <m/>
    <m/>
    <x v="0"/>
    <x v="0"/>
    <m/>
    <x v="2"/>
    <x v="0"/>
    <n v="16946446"/>
    <n v="0"/>
    <x v="0"/>
    <s v="Low"/>
    <n v="313039649.45369786"/>
  </r>
  <r>
    <x v="0"/>
    <x v="23"/>
    <x v="23"/>
    <x v="5"/>
    <x v="1"/>
    <x v="5"/>
    <x v="25"/>
    <x v="11"/>
    <m/>
    <x v="1"/>
    <m/>
    <m/>
    <m/>
    <m/>
    <x v="0"/>
    <x v="0"/>
    <m/>
    <x v="2"/>
    <x v="0"/>
    <n v="27224262"/>
    <n v="2"/>
    <x v="0"/>
    <s v="High"/>
    <n v="81361801.477472037"/>
  </r>
  <r>
    <x v="0"/>
    <x v="24"/>
    <x v="24"/>
    <x v="5"/>
    <x v="1"/>
    <x v="5"/>
    <x v="25"/>
    <x v="11"/>
    <m/>
    <x v="1"/>
    <m/>
    <m/>
    <m/>
    <m/>
    <x v="0"/>
    <x v="0"/>
    <m/>
    <x v="0"/>
    <x v="0"/>
    <n v="4919987"/>
    <n v="1"/>
    <x v="0"/>
    <s v="High"/>
    <s v=""/>
  </r>
  <r>
    <x v="0"/>
    <x v="25"/>
    <x v="25"/>
    <x v="5"/>
    <x v="1"/>
    <x v="5"/>
    <x v="25"/>
    <x v="11"/>
    <m/>
    <x v="1"/>
    <m/>
    <m/>
    <m/>
    <m/>
    <x v="0"/>
    <x v="0"/>
    <m/>
    <x v="0"/>
    <x v="0"/>
    <n v="16914985"/>
    <n v="1"/>
    <x v="0"/>
    <s v="High"/>
    <n v="76939306.715636879"/>
  </r>
  <r>
    <x v="0"/>
    <x v="26"/>
    <x v="26"/>
    <x v="4"/>
    <x v="1"/>
    <x v="5"/>
    <x v="25"/>
    <x v="11"/>
    <m/>
    <x v="1"/>
    <m/>
    <m/>
    <m/>
    <m/>
    <x v="0"/>
    <x v="0"/>
    <m/>
    <x v="3"/>
    <x v="1"/>
    <n v="19116209"/>
    <n v="0"/>
    <x v="0"/>
    <s v=""/>
    <n v="13859708717.682571"/>
  </r>
  <r>
    <x v="0"/>
    <x v="27"/>
    <x v="27"/>
    <x v="6"/>
    <x v="1"/>
    <x v="5"/>
    <x v="25"/>
    <x v="11"/>
    <m/>
    <x v="1"/>
    <m/>
    <m/>
    <m/>
    <m/>
    <x v="0"/>
    <x v="0"/>
    <m/>
    <x v="1"/>
    <x v="1"/>
    <n v="1439323774"/>
    <n v="0"/>
    <x v="0"/>
    <s v=""/>
    <n v="403567160707.7016"/>
  </r>
  <r>
    <x v="0"/>
    <x v="28"/>
    <x v="28"/>
    <x v="4"/>
    <x v="1"/>
    <x v="5"/>
    <x v="25"/>
    <x v="11"/>
    <m/>
    <x v="1"/>
    <m/>
    <m/>
    <m/>
    <m/>
    <x v="0"/>
    <x v="0"/>
    <m/>
    <x v="1"/>
    <x v="1"/>
    <n v="51265841"/>
    <n v="0"/>
    <x v="0"/>
    <s v=""/>
    <n v="18250225995.972618"/>
  </r>
  <r>
    <x v="0"/>
    <x v="29"/>
    <x v="29"/>
    <x v="3"/>
    <x v="1"/>
    <x v="5"/>
    <x v="25"/>
    <x v="11"/>
    <m/>
    <x v="1"/>
    <m/>
    <m/>
    <m/>
    <m/>
    <x v="0"/>
    <x v="0"/>
    <m/>
    <x v="2"/>
    <x v="0"/>
    <n v="888456"/>
    <n v="0"/>
    <x v="1"/>
    <s v="Moderate"/>
    <n v="5027591.1682657599"/>
  </r>
  <r>
    <x v="0"/>
    <x v="30"/>
    <x v="30"/>
    <x v="5"/>
    <x v="1"/>
    <x v="5"/>
    <x v="25"/>
    <x v="11"/>
    <m/>
    <x v="1"/>
    <m/>
    <m/>
    <m/>
    <m/>
    <x v="0"/>
    <x v="0"/>
    <m/>
    <x v="0"/>
    <x v="0"/>
    <n v="92377986"/>
    <n v="3"/>
    <x v="0"/>
    <s v="Moderate"/>
    <n v="234645958.63289919"/>
  </r>
  <r>
    <x v="0"/>
    <x v="31"/>
    <x v="31"/>
    <x v="5"/>
    <x v="1"/>
    <x v="5"/>
    <x v="25"/>
    <x v="11"/>
    <m/>
    <x v="1"/>
    <m/>
    <m/>
    <m/>
    <m/>
    <x v="0"/>
    <x v="0"/>
    <m/>
    <x v="2"/>
    <x v="0"/>
    <n v="5657017"/>
    <n v="2"/>
    <x v="0"/>
    <s v="In distress"/>
    <n v="91590910.247314155"/>
  </r>
  <r>
    <x v="0"/>
    <x v="32"/>
    <x v="32"/>
    <x v="6"/>
    <x v="1"/>
    <x v="5"/>
    <x v="25"/>
    <x v="11"/>
    <m/>
    <x v="1"/>
    <m/>
    <m/>
    <m/>
    <m/>
    <x v="0"/>
    <x v="0"/>
    <m/>
    <x v="4"/>
    <x v="1"/>
    <n v="17564"/>
    <n v="0"/>
    <x v="1"/>
    <s v="N/A"/>
    <n v="8560012.8840167802"/>
  </r>
  <r>
    <x v="0"/>
    <x v="33"/>
    <x v="33"/>
    <x v="4"/>
    <x v="1"/>
    <x v="5"/>
    <x v="25"/>
    <x v="11"/>
    <m/>
    <x v="1"/>
    <m/>
    <m/>
    <m/>
    <m/>
    <x v="0"/>
    <x v="0"/>
    <m/>
    <x v="1"/>
    <x v="1"/>
    <n v="5139053"/>
    <n v="0"/>
    <x v="0"/>
    <s v="N/A"/>
    <n v="3292372960.3962669"/>
  </r>
  <r>
    <x v="0"/>
    <x v="34"/>
    <x v="34"/>
    <x v="5"/>
    <x v="1"/>
    <x v="5"/>
    <x v="25"/>
    <x v="11"/>
    <m/>
    <x v="1"/>
    <m/>
    <m/>
    <m/>
    <m/>
    <x v="0"/>
    <x v="0"/>
    <m/>
    <x v="2"/>
    <x v="0"/>
    <n v="27053629"/>
    <n v="0"/>
    <x v="0"/>
    <s v="Moderate"/>
    <n v="519209981.22981054"/>
  </r>
  <r>
    <x v="0"/>
    <x v="35"/>
    <x v="35"/>
    <x v="1"/>
    <x v="1"/>
    <x v="5"/>
    <x v="25"/>
    <x v="11"/>
    <m/>
    <x v="1"/>
    <m/>
    <m/>
    <m/>
    <m/>
    <x v="0"/>
    <x v="0"/>
    <m/>
    <x v="3"/>
    <x v="1"/>
    <n v="4105268"/>
    <n v="0"/>
    <x v="0"/>
    <s v=""/>
    <n v="3464739907.1604805"/>
  </r>
  <r>
    <x v="0"/>
    <x v="36"/>
    <x v="36"/>
    <x v="4"/>
    <x v="1"/>
    <x v="5"/>
    <x v="25"/>
    <x v="11"/>
    <m/>
    <x v="1"/>
    <m/>
    <m/>
    <m/>
    <m/>
    <x v="0"/>
    <x v="0"/>
    <m/>
    <x v="1"/>
    <x v="1"/>
    <n v="11317498"/>
    <n v="0"/>
    <x v="1"/>
    <s v=""/>
    <n v="9948521252.2569065"/>
  </r>
  <r>
    <x v="0"/>
    <x v="37"/>
    <x v="37"/>
    <x v="2"/>
    <x v="1"/>
    <x v="5"/>
    <x v="25"/>
    <x v="11"/>
    <m/>
    <x v="1"/>
    <m/>
    <m/>
    <m/>
    <m/>
    <x v="0"/>
    <x v="0"/>
    <m/>
    <x v="2"/>
    <x v="0"/>
    <n v="1002197"/>
    <n v="1"/>
    <x v="0"/>
    <s v="High"/>
    <n v="33679192.765657313"/>
  </r>
  <r>
    <x v="0"/>
    <x v="38"/>
    <x v="38"/>
    <x v="4"/>
    <x v="1"/>
    <x v="5"/>
    <x v="25"/>
    <x v="11"/>
    <m/>
    <x v="1"/>
    <m/>
    <m/>
    <m/>
    <m/>
    <x v="0"/>
    <x v="0"/>
    <m/>
    <x v="1"/>
    <x v="0"/>
    <n v="71625"/>
    <n v="0"/>
    <x v="1"/>
    <s v="…"/>
    <n v="22784494.365742501"/>
  </r>
  <r>
    <x v="0"/>
    <x v="39"/>
    <x v="39"/>
    <x v="4"/>
    <x v="1"/>
    <x v="5"/>
    <x v="25"/>
    <x v="11"/>
    <m/>
    <x v="1"/>
    <m/>
    <m/>
    <m/>
    <m/>
    <x v="0"/>
    <x v="0"/>
    <m/>
    <x v="1"/>
    <x v="1"/>
    <n v="10953714"/>
    <n v="0"/>
    <x v="1"/>
    <s v=""/>
    <n v="2173208011.4858823"/>
  </r>
  <r>
    <x v="0"/>
    <x v="40"/>
    <x v="40"/>
    <x v="4"/>
    <x v="1"/>
    <x v="5"/>
    <x v="25"/>
    <x v="11"/>
    <m/>
    <x v="1"/>
    <m/>
    <m/>
    <m/>
    <m/>
    <x v="0"/>
    <x v="0"/>
    <m/>
    <x v="1"/>
    <x v="1"/>
    <n v="17888474"/>
    <n v="0"/>
    <x v="0"/>
    <s v="N/A"/>
    <n v="4585736158.8323269"/>
  </r>
  <r>
    <x v="0"/>
    <x v="41"/>
    <x v="41"/>
    <x v="2"/>
    <x v="1"/>
    <x v="5"/>
    <x v="25"/>
    <x v="11"/>
    <m/>
    <x v="1"/>
    <m/>
    <m/>
    <m/>
    <m/>
    <x v="0"/>
    <x v="0"/>
    <m/>
    <x v="2"/>
    <x v="0"/>
    <n v="104258327"/>
    <n v="0"/>
    <x v="0"/>
    <s v="N/A"/>
    <n v="3550291584.8645592"/>
  </r>
  <r>
    <x v="0"/>
    <x v="42"/>
    <x v="42"/>
    <x v="4"/>
    <x v="1"/>
    <x v="5"/>
    <x v="25"/>
    <x v="11"/>
    <m/>
    <x v="1"/>
    <m/>
    <m/>
    <m/>
    <m/>
    <x v="0"/>
    <x v="0"/>
    <m/>
    <x v="2"/>
    <x v="0"/>
    <n v="6518500"/>
    <n v="0"/>
    <x v="0"/>
    <s v="N/A"/>
    <n v="1182840319.0410969"/>
  </r>
  <r>
    <x v="0"/>
    <x v="43"/>
    <x v="43"/>
    <x v="4"/>
    <x v="1"/>
    <x v="5"/>
    <x v="25"/>
    <x v="11"/>
    <m/>
    <x v="1"/>
    <m/>
    <m/>
    <m/>
    <m/>
    <x v="0"/>
    <x v="0"/>
    <m/>
    <x v="1"/>
    <x v="1"/>
    <n v="1449891"/>
    <n v="0"/>
    <x v="0"/>
    <s v=""/>
    <n v="81728347.604567245"/>
  </r>
  <r>
    <x v="0"/>
    <x v="44"/>
    <x v="44"/>
    <x v="3"/>
    <x v="1"/>
    <x v="5"/>
    <x v="25"/>
    <x v="11"/>
    <m/>
    <x v="1"/>
    <m/>
    <m/>
    <m/>
    <m/>
    <x v="0"/>
    <x v="0"/>
    <m/>
    <x v="0"/>
    <x v="0"/>
    <n v="3601462"/>
    <n v="2"/>
    <x v="0"/>
    <s v="N/A"/>
    <n v="12787914.977715338"/>
  </r>
  <r>
    <x v="0"/>
    <x v="45"/>
    <x v="45"/>
    <x v="3"/>
    <x v="1"/>
    <x v="5"/>
    <x v="25"/>
    <x v="11"/>
    <m/>
    <x v="1"/>
    <m/>
    <m/>
    <m/>
    <m/>
    <x v="0"/>
    <x v="0"/>
    <m/>
    <x v="2"/>
    <x v="0"/>
    <n v="1172369"/>
    <n v="2"/>
    <x v="0"/>
    <s v="N/A"/>
    <n v="101271737.65410839"/>
  </r>
  <r>
    <x v="0"/>
    <x v="46"/>
    <x v="46"/>
    <x v="3"/>
    <x v="1"/>
    <x v="5"/>
    <x v="25"/>
    <x v="11"/>
    <m/>
    <x v="1"/>
    <m/>
    <m/>
    <m/>
    <m/>
    <x v="0"/>
    <x v="0"/>
    <m/>
    <x v="0"/>
    <x v="0"/>
    <n v="117876226"/>
    <n v="3"/>
    <x v="0"/>
    <s v="High"/>
    <n v="618344226.71759331"/>
  </r>
  <r>
    <x v="0"/>
    <x v="47"/>
    <x v="47"/>
    <x v="6"/>
    <x v="1"/>
    <x v="5"/>
    <x v="25"/>
    <x v="11"/>
    <m/>
    <x v="1"/>
    <m/>
    <m/>
    <m/>
    <m/>
    <x v="0"/>
    <x v="0"/>
    <m/>
    <x v="1"/>
    <x v="0"/>
    <n v="902899"/>
    <n v="0"/>
    <x v="1"/>
    <s v="…"/>
    <n v="129483872.95906857"/>
  </r>
  <r>
    <x v="0"/>
    <x v="48"/>
    <x v="48"/>
    <x v="5"/>
    <x v="1"/>
    <x v="5"/>
    <x v="25"/>
    <x v="11"/>
    <m/>
    <x v="1"/>
    <m/>
    <m/>
    <m/>
    <m/>
    <x v="0"/>
    <x v="0"/>
    <m/>
    <x v="1"/>
    <x v="1"/>
    <n v="2278829"/>
    <n v="0"/>
    <x v="0"/>
    <s v="N/A"/>
    <n v="271184658.35014349"/>
  </r>
  <r>
    <x v="0"/>
    <x v="49"/>
    <x v="49"/>
    <x v="5"/>
    <x v="1"/>
    <x v="5"/>
    <x v="25"/>
    <x v="11"/>
    <m/>
    <x v="1"/>
    <m/>
    <m/>
    <m/>
    <m/>
    <x v="0"/>
    <x v="0"/>
    <m/>
    <x v="0"/>
    <x v="0"/>
    <n v="2486937"/>
    <n v="0"/>
    <x v="0"/>
    <s v="High"/>
    <n v="15455265.086884515"/>
  </r>
  <r>
    <x v="0"/>
    <x v="50"/>
    <x v="50"/>
    <x v="1"/>
    <x v="1"/>
    <x v="5"/>
    <x v="25"/>
    <x v="11"/>
    <m/>
    <x v="1"/>
    <m/>
    <m/>
    <m/>
    <m/>
    <x v="0"/>
    <x v="0"/>
    <m/>
    <x v="1"/>
    <x v="1"/>
    <n v="3979773"/>
    <n v="0"/>
    <x v="0"/>
    <s v="N/A"/>
    <n v="494021502.525527"/>
  </r>
  <r>
    <x v="0"/>
    <x v="51"/>
    <x v="51"/>
    <x v="5"/>
    <x v="1"/>
    <x v="5"/>
    <x v="25"/>
    <x v="11"/>
    <m/>
    <x v="1"/>
    <m/>
    <m/>
    <m/>
    <m/>
    <x v="0"/>
    <x v="0"/>
    <m/>
    <x v="2"/>
    <x v="0"/>
    <n v="31732128"/>
    <n v="0"/>
    <x v="0"/>
    <s v="High"/>
    <n v="902005621.73836684"/>
  </r>
  <r>
    <x v="0"/>
    <x v="52"/>
    <x v="52"/>
    <x v="4"/>
    <x v="1"/>
    <x v="5"/>
    <x v="25"/>
    <x v="11"/>
    <m/>
    <x v="1"/>
    <m/>
    <m/>
    <m/>
    <m/>
    <x v="0"/>
    <x v="0"/>
    <m/>
    <x v="1"/>
    <x v="0"/>
    <n v="113015"/>
    <n v="0"/>
    <x v="1"/>
    <s v="In distress"/>
    <n v="20201670.142996579"/>
  </r>
  <r>
    <x v="0"/>
    <x v="53"/>
    <x v="53"/>
    <x v="4"/>
    <x v="1"/>
    <x v="5"/>
    <x v="25"/>
    <x v="11"/>
    <m/>
    <x v="1"/>
    <m/>
    <m/>
    <m/>
    <m/>
    <x v="0"/>
    <x v="0"/>
    <m/>
    <x v="1"/>
    <x v="1"/>
    <n v="18249868"/>
    <n v="0"/>
    <x v="0"/>
    <s v=""/>
    <n v="1612434649.6948864"/>
  </r>
  <r>
    <x v="0"/>
    <x v="54"/>
    <x v="54"/>
    <x v="5"/>
    <x v="1"/>
    <x v="5"/>
    <x v="25"/>
    <x v="11"/>
    <m/>
    <x v="1"/>
    <m/>
    <m/>
    <m/>
    <m/>
    <x v="0"/>
    <x v="0"/>
    <m/>
    <x v="0"/>
    <x v="0"/>
    <n v="13497237"/>
    <n v="0"/>
    <x v="0"/>
    <s v="Moderate"/>
    <n v="78203134.118229344"/>
  </r>
  <r>
    <x v="0"/>
    <x v="55"/>
    <x v="55"/>
    <x v="5"/>
    <x v="1"/>
    <x v="5"/>
    <x v="25"/>
    <x v="11"/>
    <m/>
    <x v="1"/>
    <m/>
    <m/>
    <m/>
    <m/>
    <x v="0"/>
    <x v="0"/>
    <m/>
    <x v="0"/>
    <x v="0"/>
    <n v="2015490"/>
    <n v="2"/>
    <x v="1"/>
    <s v="High"/>
    <n v="9151637.7411015611"/>
  </r>
  <r>
    <x v="0"/>
    <x v="56"/>
    <x v="56"/>
    <x v="4"/>
    <x v="1"/>
    <x v="5"/>
    <x v="25"/>
    <x v="11"/>
    <m/>
    <x v="1"/>
    <m/>
    <m/>
    <m/>
    <m/>
    <x v="0"/>
    <x v="0"/>
    <m/>
    <x v="1"/>
    <x v="0"/>
    <n v="790329"/>
    <n v="0"/>
    <x v="1"/>
    <s v="Moderate"/>
    <n v="142455920.02856269"/>
  </r>
  <r>
    <x v="0"/>
    <x v="57"/>
    <x v="57"/>
    <x v="4"/>
    <x v="1"/>
    <x v="5"/>
    <x v="25"/>
    <x v="11"/>
    <m/>
    <x v="1"/>
    <m/>
    <m/>
    <m/>
    <m/>
    <x v="0"/>
    <x v="0"/>
    <m/>
    <x v="2"/>
    <x v="0"/>
    <n v="11541683"/>
    <n v="1"/>
    <x v="1"/>
    <s v="High"/>
    <n v="85611818.171245083"/>
  </r>
  <r>
    <x v="0"/>
    <x v="58"/>
    <x v="58"/>
    <x v="4"/>
    <x v="1"/>
    <x v="5"/>
    <x v="25"/>
    <x v="11"/>
    <m/>
    <x v="1"/>
    <m/>
    <m/>
    <m/>
    <m/>
    <x v="0"/>
    <x v="0"/>
    <m/>
    <x v="2"/>
    <x v="0"/>
    <n v="10062994"/>
    <n v="0"/>
    <x v="0"/>
    <s v="Low"/>
    <n v="680289736.30082119"/>
  </r>
  <r>
    <x v="0"/>
    <x v="59"/>
    <x v="59"/>
    <x v="0"/>
    <x v="1"/>
    <x v="5"/>
    <x v="25"/>
    <x v="11"/>
    <m/>
    <x v="1"/>
    <m/>
    <m/>
    <m/>
    <m/>
    <x v="0"/>
    <x v="0"/>
    <m/>
    <x v="2"/>
    <x v="0"/>
    <n v="1393409033"/>
    <n v="0"/>
    <x v="0"/>
    <s v="N/A"/>
    <n v="26554332750.47023"/>
  </r>
  <r>
    <x v="0"/>
    <x v="60"/>
    <x v="60"/>
    <x v="6"/>
    <x v="1"/>
    <x v="5"/>
    <x v="25"/>
    <x v="11"/>
    <m/>
    <x v="1"/>
    <m/>
    <m/>
    <m/>
    <m/>
    <x v="0"/>
    <x v="0"/>
    <m/>
    <x v="2"/>
    <x v="0"/>
    <n v="276361788"/>
    <n v="0"/>
    <x v="0"/>
    <s v="N/A"/>
    <n v="14745961064.890842"/>
  </r>
  <r>
    <x v="0"/>
    <x v="61"/>
    <x v="61"/>
    <x v="2"/>
    <x v="1"/>
    <x v="5"/>
    <x v="25"/>
    <x v="11"/>
    <m/>
    <x v="1"/>
    <m/>
    <m/>
    <m/>
    <m/>
    <x v="0"/>
    <x v="0"/>
    <m/>
    <x v="2"/>
    <x v="1"/>
    <n v="85028760"/>
    <n v="0"/>
    <x v="0"/>
    <s v="N/A"/>
    <n v="18194076299.786381"/>
  </r>
  <r>
    <x v="0"/>
    <x v="62"/>
    <x v="62"/>
    <x v="2"/>
    <x v="1"/>
    <x v="5"/>
    <x v="25"/>
    <x v="11"/>
    <m/>
    <x v="1"/>
    <m/>
    <m/>
    <m/>
    <m/>
    <x v="0"/>
    <x v="0"/>
    <m/>
    <x v="1"/>
    <x v="1"/>
    <n v="41179351"/>
    <n v="0"/>
    <x v="0"/>
    <s v="N/A"/>
    <n v="4428819387.769825"/>
  </r>
  <r>
    <x v="0"/>
    <x v="63"/>
    <x v="63"/>
    <x v="4"/>
    <x v="1"/>
    <x v="5"/>
    <x v="25"/>
    <x v="11"/>
    <m/>
    <x v="1"/>
    <m/>
    <m/>
    <m/>
    <m/>
    <x v="0"/>
    <x v="0"/>
    <m/>
    <x v="1"/>
    <x v="1"/>
    <n v="2973462"/>
    <n v="0"/>
    <x v="1"/>
    <s v=""/>
    <n v="611739560.62679195"/>
  </r>
  <r>
    <x v="0"/>
    <x v="64"/>
    <x v="64"/>
    <x v="2"/>
    <x v="1"/>
    <x v="5"/>
    <x v="25"/>
    <x v="11"/>
    <m/>
    <x v="1"/>
    <m/>
    <m/>
    <m/>
    <m/>
    <x v="0"/>
    <x v="0"/>
    <m/>
    <x v="1"/>
    <x v="1"/>
    <n v="10269022"/>
    <n v="0"/>
    <x v="0"/>
    <s v="N/A"/>
    <n v="1617913383.0481031"/>
  </r>
  <r>
    <x v="0"/>
    <x v="65"/>
    <x v="65"/>
    <x v="1"/>
    <x v="1"/>
    <x v="5"/>
    <x v="25"/>
    <x v="11"/>
    <m/>
    <x v="1"/>
    <m/>
    <m/>
    <m/>
    <m/>
    <x v="0"/>
    <x v="0"/>
    <m/>
    <x v="1"/>
    <x v="1"/>
    <n v="18994958"/>
    <n v="0"/>
    <x v="0"/>
    <s v=""/>
    <n v="3074419112.4562683"/>
  </r>
  <r>
    <x v="0"/>
    <x v="66"/>
    <x v="66"/>
    <x v="3"/>
    <x v="1"/>
    <x v="5"/>
    <x v="25"/>
    <x v="11"/>
    <m/>
    <x v="1"/>
    <m/>
    <m/>
    <m/>
    <m/>
    <x v="0"/>
    <x v="0"/>
    <m/>
    <x v="2"/>
    <x v="0"/>
    <n v="54985702"/>
    <n v="0"/>
    <x v="0"/>
    <s v="High"/>
    <n v="1914014279.8929913"/>
  </r>
  <r>
    <x v="0"/>
    <x v="67"/>
    <x v="67"/>
    <x v="6"/>
    <x v="1"/>
    <x v="5"/>
    <x v="25"/>
    <x v="11"/>
    <m/>
    <x v="1"/>
    <m/>
    <m/>
    <m/>
    <m/>
    <x v="0"/>
    <x v="0"/>
    <m/>
    <x v="2"/>
    <x v="0"/>
    <n v="121388"/>
    <n v="0"/>
    <x v="1"/>
    <s v="High"/>
    <n v="17422005.762907442"/>
  </r>
  <r>
    <x v="0"/>
    <x v="68"/>
    <x v="68"/>
    <x v="6"/>
    <x v="1"/>
    <x v="5"/>
    <x v="25"/>
    <x v="11"/>
    <m/>
    <x v="1"/>
    <m/>
    <m/>
    <m/>
    <m/>
    <x v="0"/>
    <x v="0"/>
    <m/>
    <x v="0"/>
    <x v="0"/>
    <n v="25887045"/>
    <n v="0"/>
    <x v="0"/>
    <s v="N/A"/>
    <s v=""/>
  </r>
  <r>
    <x v="0"/>
    <x v="69"/>
    <x v="69"/>
    <x v="1"/>
    <x v="1"/>
    <x v="5"/>
    <x v="25"/>
    <x v="11"/>
    <m/>
    <x v="1"/>
    <m/>
    <m/>
    <m/>
    <m/>
    <x v="0"/>
    <x v="0"/>
    <m/>
    <x v="1"/>
    <x v="0"/>
    <n v="1794000"/>
    <n v="0"/>
    <x v="0"/>
    <s v="…"/>
    <s v=""/>
  </r>
  <r>
    <x v="0"/>
    <x v="70"/>
    <x v="70"/>
    <x v="1"/>
    <x v="1"/>
    <x v="5"/>
    <x v="25"/>
    <x v="11"/>
    <m/>
    <x v="1"/>
    <m/>
    <m/>
    <m/>
    <m/>
    <x v="0"/>
    <x v="0"/>
    <m/>
    <x v="2"/>
    <x v="0"/>
    <n v="6628347"/>
    <n v="2"/>
    <x v="0"/>
    <s v="Moderate"/>
    <n v="231506834.84347546"/>
  </r>
  <r>
    <x v="0"/>
    <x v="71"/>
    <x v="71"/>
    <x v="6"/>
    <x v="1"/>
    <x v="5"/>
    <x v="25"/>
    <x v="11"/>
    <m/>
    <x v="1"/>
    <m/>
    <m/>
    <m/>
    <m/>
    <x v="0"/>
    <x v="0"/>
    <m/>
    <x v="2"/>
    <x v="0"/>
    <n v="7379358"/>
    <n v="0"/>
    <x v="0"/>
    <s v="High"/>
    <n v="156059428.62944782"/>
  </r>
  <r>
    <x v="0"/>
    <x v="72"/>
    <x v="72"/>
    <x v="2"/>
    <x v="1"/>
    <x v="5"/>
    <x v="25"/>
    <x v="11"/>
    <m/>
    <x v="1"/>
    <m/>
    <m/>
    <m/>
    <m/>
    <x v="0"/>
    <x v="0"/>
    <m/>
    <x v="1"/>
    <x v="1"/>
    <n v="6769151"/>
    <n v="0"/>
    <x v="0"/>
    <s v="N/A"/>
    <n v="2355391507.1635861"/>
  </r>
  <r>
    <x v="0"/>
    <x v="73"/>
    <x v="73"/>
    <x v="3"/>
    <x v="1"/>
    <x v="5"/>
    <x v="25"/>
    <x v="11"/>
    <m/>
    <x v="1"/>
    <m/>
    <m/>
    <m/>
    <m/>
    <x v="0"/>
    <x v="0"/>
    <m/>
    <x v="2"/>
    <x v="0"/>
    <n v="2159067"/>
    <n v="0"/>
    <x v="0"/>
    <s v="Moderate"/>
    <n v="152760919.7684873"/>
  </r>
  <r>
    <x v="0"/>
    <x v="74"/>
    <x v="74"/>
    <x v="5"/>
    <x v="1"/>
    <x v="5"/>
    <x v="25"/>
    <x v="11"/>
    <m/>
    <x v="1"/>
    <m/>
    <m/>
    <m/>
    <m/>
    <x v="0"/>
    <x v="0"/>
    <m/>
    <x v="0"/>
    <x v="0"/>
    <n v="5180208"/>
    <n v="0"/>
    <x v="0"/>
    <s v="High"/>
    <n v="55072006.864440605"/>
  </r>
  <r>
    <x v="0"/>
    <x v="75"/>
    <x v="75"/>
    <x v="2"/>
    <x v="1"/>
    <x v="5"/>
    <x v="25"/>
    <x v="11"/>
    <m/>
    <x v="1"/>
    <m/>
    <m/>
    <m/>
    <m/>
    <x v="0"/>
    <x v="0"/>
    <m/>
    <x v="1"/>
    <x v="1"/>
    <n v="6958538"/>
    <n v="0"/>
    <x v="0"/>
    <s v="N/A"/>
    <s v=""/>
  </r>
  <r>
    <x v="0"/>
    <x v="76"/>
    <x v="76"/>
    <x v="3"/>
    <x v="1"/>
    <x v="5"/>
    <x v="25"/>
    <x v="11"/>
    <m/>
    <x v="1"/>
    <m/>
    <m/>
    <m/>
    <m/>
    <x v="0"/>
    <x v="0"/>
    <m/>
    <x v="0"/>
    <x v="0"/>
    <n v="28427333"/>
    <n v="2"/>
    <x v="0"/>
    <s v="Moderate"/>
    <n v="206914157.05429548"/>
  </r>
  <r>
    <x v="0"/>
    <x v="77"/>
    <x v="77"/>
    <x v="3"/>
    <x v="1"/>
    <x v="5"/>
    <x v="25"/>
    <x v="11"/>
    <m/>
    <x v="1"/>
    <m/>
    <m/>
    <m/>
    <m/>
    <x v="0"/>
    <x v="0"/>
    <m/>
    <x v="0"/>
    <x v="0"/>
    <n v="19647681"/>
    <n v="2"/>
    <x v="0"/>
    <s v="High"/>
    <n v="185999915.02066413"/>
  </r>
  <r>
    <x v="0"/>
    <x v="78"/>
    <x v="78"/>
    <x v="6"/>
    <x v="1"/>
    <x v="5"/>
    <x v="25"/>
    <x v="11"/>
    <m/>
    <x v="1"/>
    <m/>
    <m/>
    <m/>
    <m/>
    <x v="0"/>
    <x v="0"/>
    <m/>
    <x v="1"/>
    <x v="1"/>
    <n v="32776195"/>
    <n v="0"/>
    <x v="0"/>
    <s v=""/>
    <n v="6893755763.2501726"/>
  </r>
  <r>
    <x v="0"/>
    <x v="79"/>
    <x v="79"/>
    <x v="0"/>
    <x v="1"/>
    <x v="5"/>
    <x v="25"/>
    <x v="11"/>
    <m/>
    <x v="1"/>
    <m/>
    <m/>
    <m/>
    <m/>
    <x v="0"/>
    <x v="0"/>
    <m/>
    <x v="1"/>
    <x v="0"/>
    <n v="543620"/>
    <n v="0"/>
    <x v="1"/>
    <s v="High"/>
    <n v="354560231.58276606"/>
  </r>
  <r>
    <x v="0"/>
    <x v="80"/>
    <x v="80"/>
    <x v="5"/>
    <x v="1"/>
    <x v="5"/>
    <x v="25"/>
    <x v="11"/>
    <m/>
    <x v="1"/>
    <m/>
    <m/>
    <m/>
    <m/>
    <x v="0"/>
    <x v="0"/>
    <m/>
    <x v="0"/>
    <x v="0"/>
    <n v="20855724"/>
    <n v="1"/>
    <x v="0"/>
    <s v="Moderate"/>
    <n v="188169167.56540567"/>
  </r>
  <r>
    <x v="0"/>
    <x v="81"/>
    <x v="81"/>
    <x v="6"/>
    <x v="1"/>
    <x v="5"/>
    <x v="25"/>
    <x v="11"/>
    <m/>
    <x v="1"/>
    <m/>
    <m/>
    <m/>
    <m/>
    <x v="0"/>
    <x v="0"/>
    <m/>
    <x v="1"/>
    <x v="0"/>
    <n v="58413"/>
    <n v="0"/>
    <x v="1"/>
    <s v=""/>
    <n v="16312106.556340856"/>
  </r>
  <r>
    <x v="0"/>
    <x v="82"/>
    <x v="82"/>
    <x v="5"/>
    <x v="1"/>
    <x v="5"/>
    <x v="25"/>
    <x v="11"/>
    <m/>
    <x v="1"/>
    <m/>
    <m/>
    <m/>
    <m/>
    <x v="0"/>
    <x v="0"/>
    <m/>
    <x v="2"/>
    <x v="0"/>
    <n v="4775110"/>
    <n v="2"/>
    <x v="0"/>
    <s v="High"/>
    <n v="86083833.534053758"/>
  </r>
  <r>
    <x v="0"/>
    <x v="83"/>
    <x v="83"/>
    <x v="3"/>
    <x v="1"/>
    <x v="5"/>
    <x v="25"/>
    <x v="11"/>
    <m/>
    <x v="1"/>
    <m/>
    <m/>
    <m/>
    <m/>
    <x v="0"/>
    <x v="0"/>
    <m/>
    <x v="1"/>
    <x v="1"/>
    <n v="1273428"/>
    <n v="0"/>
    <x v="1"/>
    <s v="N/A"/>
    <n v="357220835.93762809"/>
  </r>
  <r>
    <x v="0"/>
    <x v="84"/>
    <x v="84"/>
    <x v="4"/>
    <x v="1"/>
    <x v="5"/>
    <x v="25"/>
    <x v="11"/>
    <m/>
    <x v="1"/>
    <m/>
    <m/>
    <m/>
    <m/>
    <x v="0"/>
    <x v="0"/>
    <m/>
    <x v="1"/>
    <x v="1"/>
    <n v="130262220"/>
    <n v="0"/>
    <x v="0"/>
    <s v=""/>
    <n v="32831598153.796387"/>
  </r>
  <r>
    <x v="0"/>
    <x v="85"/>
    <x v="85"/>
    <x v="6"/>
    <x v="1"/>
    <x v="5"/>
    <x v="25"/>
    <x v="11"/>
    <m/>
    <x v="1"/>
    <m/>
    <m/>
    <m/>
    <m/>
    <x v="0"/>
    <x v="0"/>
    <m/>
    <x v="2"/>
    <x v="0"/>
    <n v="116255"/>
    <n v="0"/>
    <x v="1"/>
    <s v="High"/>
    <n v="12329056.093798399"/>
  </r>
  <r>
    <x v="0"/>
    <x v="86"/>
    <x v="86"/>
    <x v="1"/>
    <x v="1"/>
    <x v="5"/>
    <x v="25"/>
    <x v="11"/>
    <m/>
    <x v="1"/>
    <m/>
    <m/>
    <m/>
    <m/>
    <x v="0"/>
    <x v="0"/>
    <m/>
    <x v="1"/>
    <x v="0"/>
    <n v="4024025"/>
    <n v="0"/>
    <x v="0"/>
    <s v="Low"/>
    <n v="426639742.85328001"/>
  </r>
  <r>
    <x v="0"/>
    <x v="87"/>
    <x v="87"/>
    <x v="6"/>
    <x v="1"/>
    <x v="5"/>
    <x v="25"/>
    <x v="11"/>
    <m/>
    <x v="1"/>
    <m/>
    <m/>
    <m/>
    <m/>
    <x v="0"/>
    <x v="0"/>
    <m/>
    <x v="2"/>
    <x v="0"/>
    <n v="3329282"/>
    <n v="0"/>
    <x v="0"/>
    <s v="…"/>
    <n v="288519671.85870522"/>
  </r>
  <r>
    <x v="0"/>
    <x v="88"/>
    <x v="88"/>
    <x v="1"/>
    <x v="1"/>
    <x v="5"/>
    <x v="25"/>
    <x v="11"/>
    <m/>
    <x v="1"/>
    <m/>
    <m/>
    <m/>
    <m/>
    <x v="0"/>
    <x v="0"/>
    <m/>
    <x v="1"/>
    <x v="1"/>
    <n v="628051"/>
    <n v="0"/>
    <x v="0"/>
    <s v="N/A"/>
    <n v="275606560.78491527"/>
  </r>
  <r>
    <x v="0"/>
    <x v="89"/>
    <x v="89"/>
    <x v="2"/>
    <x v="1"/>
    <x v="5"/>
    <x v="25"/>
    <x v="11"/>
    <m/>
    <x v="1"/>
    <m/>
    <m/>
    <m/>
    <m/>
    <x v="0"/>
    <x v="0"/>
    <m/>
    <x v="2"/>
    <x v="0"/>
    <n v="37344787"/>
    <n v="0"/>
    <x v="0"/>
    <s v="N/A"/>
    <n v="2530937679.3725696"/>
  </r>
  <r>
    <x v="0"/>
    <x v="90"/>
    <x v="90"/>
    <x v="3"/>
    <x v="1"/>
    <x v="5"/>
    <x v="25"/>
    <x v="11"/>
    <m/>
    <x v="1"/>
    <m/>
    <m/>
    <m/>
    <m/>
    <x v="0"/>
    <x v="0"/>
    <m/>
    <x v="0"/>
    <x v="0"/>
    <n v="32163045"/>
    <n v="0"/>
    <x v="0"/>
    <s v="In distress"/>
    <n v="251432156.86255455"/>
  </r>
  <r>
    <x v="0"/>
    <x v="91"/>
    <x v="91"/>
    <x v="6"/>
    <x v="1"/>
    <x v="5"/>
    <x v="25"/>
    <x v="11"/>
    <m/>
    <x v="1"/>
    <m/>
    <m/>
    <m/>
    <m/>
    <x v="0"/>
    <x v="0"/>
    <m/>
    <x v="2"/>
    <x v="0"/>
    <n v="54806014"/>
    <n v="0"/>
    <x v="0"/>
    <s v="Low"/>
    <n v="471534500.60109437"/>
  </r>
  <r>
    <x v="0"/>
    <x v="92"/>
    <x v="92"/>
    <x v="3"/>
    <x v="1"/>
    <x v="5"/>
    <x v="25"/>
    <x v="11"/>
    <m/>
    <x v="1"/>
    <m/>
    <m/>
    <m/>
    <m/>
    <x v="0"/>
    <x v="0"/>
    <m/>
    <x v="1"/>
    <x v="1"/>
    <n v="2587344"/>
    <n v="0"/>
    <x v="0"/>
    <s v=""/>
    <n v="531677611.80447447"/>
  </r>
  <r>
    <x v="0"/>
    <x v="93"/>
    <x v="93"/>
    <x v="6"/>
    <x v="1"/>
    <x v="5"/>
    <x v="25"/>
    <x v="11"/>
    <m/>
    <x v="1"/>
    <m/>
    <m/>
    <m/>
    <m/>
    <x v="0"/>
    <x v="0"/>
    <m/>
    <x v="3"/>
    <x v="1"/>
    <n v="10834"/>
    <n v="0"/>
    <x v="1"/>
    <s v=""/>
    <n v="8528751.6418357007"/>
  </r>
  <r>
    <x v="0"/>
    <x v="94"/>
    <x v="94"/>
    <x v="0"/>
    <x v="1"/>
    <x v="5"/>
    <x v="25"/>
    <x v="11"/>
    <m/>
    <x v="1"/>
    <m/>
    <m/>
    <m/>
    <m/>
    <x v="0"/>
    <x v="0"/>
    <m/>
    <x v="2"/>
    <x v="0"/>
    <n v="29674920"/>
    <n v="0"/>
    <x v="0"/>
    <s v="Low"/>
    <n v="407084543.19089872"/>
  </r>
  <r>
    <x v="0"/>
    <x v="95"/>
    <x v="95"/>
    <x v="4"/>
    <x v="1"/>
    <x v="5"/>
    <x v="25"/>
    <x v="11"/>
    <m/>
    <x v="1"/>
    <m/>
    <m/>
    <m/>
    <m/>
    <x v="0"/>
    <x v="0"/>
    <m/>
    <x v="2"/>
    <x v="0"/>
    <n v="6702379"/>
    <n v="0"/>
    <x v="0"/>
    <s v="Moderate"/>
    <n v="671998341.93592453"/>
  </r>
  <r>
    <x v="0"/>
    <x v="96"/>
    <x v="96"/>
    <x v="5"/>
    <x v="1"/>
    <x v="5"/>
    <x v="25"/>
    <x v="11"/>
    <m/>
    <x v="1"/>
    <m/>
    <m/>
    <m/>
    <m/>
    <x v="0"/>
    <x v="0"/>
    <m/>
    <x v="0"/>
    <x v="0"/>
    <n v="25130810"/>
    <n v="1"/>
    <x v="0"/>
    <s v="Moderate"/>
    <n v="226203289.67158964"/>
  </r>
  <r>
    <x v="0"/>
    <x v="97"/>
    <x v="97"/>
    <x v="5"/>
    <x v="1"/>
    <x v="5"/>
    <x v="25"/>
    <x v="11"/>
    <m/>
    <x v="1"/>
    <m/>
    <m/>
    <m/>
    <m/>
    <x v="0"/>
    <x v="0"/>
    <m/>
    <x v="2"/>
    <x v="0"/>
    <n v="211400704"/>
    <n v="3"/>
    <x v="0"/>
    <s v="…"/>
    <n v="2438881113.1244688"/>
  </r>
  <r>
    <x v="0"/>
    <x v="98"/>
    <x v="98"/>
    <x v="1"/>
    <x v="1"/>
    <x v="5"/>
    <x v="25"/>
    <x v="11"/>
    <m/>
    <x v="1"/>
    <m/>
    <m/>
    <m/>
    <m/>
    <x v="0"/>
    <x v="0"/>
    <m/>
    <x v="1"/>
    <x v="1"/>
    <n v="2082662"/>
    <n v="0"/>
    <x v="0"/>
    <s v=""/>
    <n v="476517795.73174149"/>
  </r>
  <r>
    <x v="0"/>
    <x v="99"/>
    <x v="99"/>
    <x v="0"/>
    <x v="1"/>
    <x v="5"/>
    <x v="25"/>
    <x v="11"/>
    <m/>
    <x v="1"/>
    <m/>
    <m/>
    <m/>
    <m/>
    <x v="0"/>
    <x v="0"/>
    <m/>
    <x v="2"/>
    <x v="0"/>
    <n v="225199929"/>
    <n v="0"/>
    <x v="0"/>
    <s v="…"/>
    <n v="3233351297.7679496"/>
  </r>
  <r>
    <x v="0"/>
    <x v="100"/>
    <x v="100"/>
    <x v="4"/>
    <x v="1"/>
    <x v="5"/>
    <x v="25"/>
    <x v="11"/>
    <m/>
    <x v="1"/>
    <m/>
    <m/>
    <m/>
    <m/>
    <x v="0"/>
    <x v="0"/>
    <m/>
    <x v="3"/>
    <x v="1"/>
    <n v="18092"/>
    <n v="0"/>
    <x v="1"/>
    <s v=""/>
    <n v="18180646.808608256"/>
  </r>
  <r>
    <x v="0"/>
    <x v="101"/>
    <x v="101"/>
    <x v="4"/>
    <x v="1"/>
    <x v="5"/>
    <x v="25"/>
    <x v="11"/>
    <m/>
    <x v="1"/>
    <m/>
    <m/>
    <m/>
    <m/>
    <x v="0"/>
    <x v="0"/>
    <m/>
    <x v="1"/>
    <x v="1"/>
    <n v="4381583"/>
    <n v="0"/>
    <x v="0"/>
    <s v="N/A"/>
    <n v="3020530707.3485303"/>
  </r>
  <r>
    <x v="0"/>
    <x v="102"/>
    <x v="102"/>
    <x v="6"/>
    <x v="1"/>
    <x v="5"/>
    <x v="25"/>
    <x v="11"/>
    <m/>
    <x v="1"/>
    <m/>
    <m/>
    <m/>
    <m/>
    <x v="0"/>
    <x v="0"/>
    <m/>
    <x v="2"/>
    <x v="0"/>
    <n v="9119005"/>
    <n v="1"/>
    <x v="1"/>
    <s v="High"/>
    <n v="384406316.46074712"/>
  </r>
  <r>
    <x v="0"/>
    <x v="103"/>
    <x v="103"/>
    <x v="4"/>
    <x v="1"/>
    <x v="5"/>
    <x v="25"/>
    <x v="11"/>
    <m/>
    <x v="1"/>
    <m/>
    <m/>
    <m/>
    <m/>
    <x v="0"/>
    <x v="0"/>
    <m/>
    <x v="1"/>
    <x v="1"/>
    <n v="7219641"/>
    <n v="0"/>
    <x v="0"/>
    <s v=""/>
    <n v="1218747108.9554784"/>
  </r>
  <r>
    <x v="0"/>
    <x v="104"/>
    <x v="104"/>
    <x v="4"/>
    <x v="1"/>
    <x v="5"/>
    <x v="25"/>
    <x v="11"/>
    <m/>
    <x v="1"/>
    <m/>
    <m/>
    <m/>
    <m/>
    <x v="0"/>
    <x v="0"/>
    <m/>
    <x v="1"/>
    <x v="1"/>
    <n v="33359416"/>
    <n v="0"/>
    <x v="0"/>
    <s v=""/>
    <n v="7392665952.5895758"/>
  </r>
  <r>
    <x v="0"/>
    <x v="105"/>
    <x v="105"/>
    <x v="6"/>
    <x v="1"/>
    <x v="5"/>
    <x v="25"/>
    <x v="11"/>
    <m/>
    <x v="1"/>
    <m/>
    <m/>
    <m/>
    <m/>
    <x v="0"/>
    <x v="0"/>
    <m/>
    <x v="2"/>
    <x v="0"/>
    <n v="111046910"/>
    <n v="0"/>
    <x v="0"/>
    <s v="N/A"/>
    <n v="4754985988.6004429"/>
  </r>
  <r>
    <x v="0"/>
    <x v="106"/>
    <x v="106"/>
    <x v="1"/>
    <x v="1"/>
    <x v="5"/>
    <x v="25"/>
    <x v="11"/>
    <m/>
    <x v="1"/>
    <m/>
    <m/>
    <m/>
    <m/>
    <x v="0"/>
    <x v="0"/>
    <m/>
    <x v="3"/>
    <x v="1"/>
    <n v="37846605"/>
    <n v="0"/>
    <x v="0"/>
    <s v=""/>
    <n v="26422210443.037273"/>
  </r>
  <r>
    <x v="0"/>
    <x v="107"/>
    <x v="107"/>
    <x v="1"/>
    <x v="1"/>
    <x v="5"/>
    <x v="25"/>
    <x v="11"/>
    <m/>
    <x v="1"/>
    <m/>
    <m/>
    <m/>
    <m/>
    <x v="0"/>
    <x v="0"/>
    <m/>
    <x v="1"/>
    <x v="1"/>
    <n v="19237682"/>
    <n v="0"/>
    <x v="0"/>
    <s v=""/>
    <n v="10696495313.15033"/>
  </r>
  <r>
    <x v="0"/>
    <x v="108"/>
    <x v="108"/>
    <x v="1"/>
    <x v="1"/>
    <x v="5"/>
    <x v="25"/>
    <x v="11"/>
    <m/>
    <x v="1"/>
    <m/>
    <m/>
    <m/>
    <m/>
    <x v="0"/>
    <x v="0"/>
    <m/>
    <x v="1"/>
    <x v="1"/>
    <n v="145934460"/>
    <n v="0"/>
    <x v="0"/>
    <s v=""/>
    <n v="52769713433.240509"/>
  </r>
  <r>
    <x v="0"/>
    <x v="109"/>
    <x v="109"/>
    <x v="3"/>
    <x v="1"/>
    <x v="5"/>
    <x v="25"/>
    <x v="11"/>
    <m/>
    <x v="1"/>
    <m/>
    <m/>
    <m/>
    <m/>
    <x v="0"/>
    <x v="0"/>
    <m/>
    <x v="0"/>
    <x v="0"/>
    <n v="13276517"/>
    <n v="0"/>
    <x v="0"/>
    <s v="Moderate"/>
    <n v="225799814.51943746"/>
  </r>
  <r>
    <x v="0"/>
    <x v="110"/>
    <x v="110"/>
    <x v="6"/>
    <x v="1"/>
    <x v="5"/>
    <x v="25"/>
    <x v="11"/>
    <m/>
    <x v="1"/>
    <m/>
    <m/>
    <m/>
    <m/>
    <x v="0"/>
    <x v="0"/>
    <m/>
    <x v="2"/>
    <x v="0"/>
    <n v="200144"/>
    <n v="0"/>
    <x v="1"/>
    <s v="High"/>
    <n v="32192988.027009469"/>
  </r>
  <r>
    <x v="0"/>
    <x v="111"/>
    <x v="111"/>
    <x v="5"/>
    <x v="1"/>
    <x v="5"/>
    <x v="25"/>
    <x v="11"/>
    <m/>
    <x v="1"/>
    <m/>
    <m/>
    <m/>
    <m/>
    <x v="0"/>
    <x v="0"/>
    <m/>
    <x v="2"/>
    <x v="0"/>
    <n v="223364"/>
    <n v="0"/>
    <x v="1"/>
    <s v="In distress"/>
    <n v="11633535.136477679"/>
  </r>
  <r>
    <x v="0"/>
    <x v="112"/>
    <x v="112"/>
    <x v="5"/>
    <x v="1"/>
    <x v="5"/>
    <x v="25"/>
    <x v="11"/>
    <m/>
    <x v="1"/>
    <m/>
    <m/>
    <m/>
    <m/>
    <x v="0"/>
    <x v="0"/>
    <m/>
    <x v="2"/>
    <x v="0"/>
    <n v="17196308"/>
    <n v="2"/>
    <x v="0"/>
    <s v="Moderate"/>
    <n v="222008693.93354639"/>
  </r>
  <r>
    <x v="0"/>
    <x v="113"/>
    <x v="113"/>
    <x v="1"/>
    <x v="1"/>
    <x v="5"/>
    <x v="25"/>
    <x v="11"/>
    <m/>
    <x v="1"/>
    <m/>
    <m/>
    <m/>
    <m/>
    <x v="0"/>
    <x v="0"/>
    <m/>
    <x v="1"/>
    <x v="1"/>
    <n v="8697547"/>
    <n v="0"/>
    <x v="0"/>
    <s v=""/>
    <n v="2564993795.1894679"/>
  </r>
  <r>
    <x v="0"/>
    <x v="114"/>
    <x v="114"/>
    <x v="3"/>
    <x v="1"/>
    <x v="5"/>
    <x v="25"/>
    <x v="11"/>
    <m/>
    <x v="1"/>
    <m/>
    <m/>
    <m/>
    <m/>
    <x v="0"/>
    <x v="0"/>
    <m/>
    <x v="3"/>
    <x v="1"/>
    <n v="98340"/>
    <n v="0"/>
    <x v="1"/>
    <s v="N/A"/>
    <n v="60237542.945069775"/>
  </r>
  <r>
    <x v="0"/>
    <x v="115"/>
    <x v="115"/>
    <x v="5"/>
    <x v="1"/>
    <x v="5"/>
    <x v="25"/>
    <x v="11"/>
    <m/>
    <x v="1"/>
    <m/>
    <m/>
    <m/>
    <m/>
    <x v="0"/>
    <x v="0"/>
    <m/>
    <x v="0"/>
    <x v="0"/>
    <n v="8141343"/>
    <n v="0"/>
    <x v="0"/>
    <s v="High"/>
    <n v="63738640.538260505"/>
  </r>
  <r>
    <x v="0"/>
    <x v="116"/>
    <x v="116"/>
    <x v="6"/>
    <x v="1"/>
    <x v="5"/>
    <x v="25"/>
    <x v="11"/>
    <m/>
    <x v="1"/>
    <m/>
    <m/>
    <m/>
    <m/>
    <x v="0"/>
    <x v="0"/>
    <m/>
    <x v="2"/>
    <x v="0"/>
    <n v="703995"/>
    <n v="0"/>
    <x v="1"/>
    <s v="Moderate"/>
    <n v="49012774.055630356"/>
  </r>
  <r>
    <x v="0"/>
    <x v="117"/>
    <x v="117"/>
    <x v="3"/>
    <x v="1"/>
    <x v="5"/>
    <x v="25"/>
    <x v="11"/>
    <m/>
    <x v="1"/>
    <m/>
    <m/>
    <m/>
    <m/>
    <x v="0"/>
    <x v="0"/>
    <m/>
    <x v="0"/>
    <x v="0"/>
    <n v="16359500"/>
    <n v="1"/>
    <x v="0"/>
    <s v="In distress"/>
    <s v=""/>
  </r>
  <r>
    <x v="0"/>
    <x v="118"/>
    <x v="118"/>
    <x v="3"/>
    <x v="1"/>
    <x v="5"/>
    <x v="25"/>
    <x v="11"/>
    <m/>
    <x v="1"/>
    <m/>
    <m/>
    <m/>
    <m/>
    <x v="0"/>
    <x v="0"/>
    <m/>
    <x v="1"/>
    <x v="1"/>
    <n v="60041996"/>
    <n v="0"/>
    <x v="0"/>
    <s v="N/A"/>
    <n v="16429121142.784708"/>
  </r>
  <r>
    <x v="0"/>
    <x v="119"/>
    <x v="119"/>
    <x v="3"/>
    <x v="1"/>
    <x v="5"/>
    <x v="25"/>
    <x v="11"/>
    <m/>
    <x v="1"/>
    <m/>
    <m/>
    <m/>
    <m/>
    <x v="0"/>
    <x v="0"/>
    <m/>
    <x v="0"/>
    <x v="0"/>
    <n v="11381377"/>
    <n v="1"/>
    <x v="0"/>
    <s v="High"/>
    <n v="31684581.76217727"/>
  </r>
  <r>
    <x v="0"/>
    <x v="120"/>
    <x v="120"/>
    <x v="0"/>
    <x v="1"/>
    <x v="5"/>
    <x v="25"/>
    <x v="11"/>
    <m/>
    <x v="1"/>
    <m/>
    <m/>
    <m/>
    <m/>
    <x v="0"/>
    <x v="0"/>
    <m/>
    <x v="2"/>
    <x v="0"/>
    <n v="21497306"/>
    <n v="0"/>
    <x v="0"/>
    <s v="N/A"/>
    <n v="1373621563.5182886"/>
  </r>
  <r>
    <x v="0"/>
    <x v="121"/>
    <x v="121"/>
    <x v="4"/>
    <x v="1"/>
    <x v="5"/>
    <x v="25"/>
    <x v="11"/>
    <m/>
    <x v="1"/>
    <m/>
    <m/>
    <m/>
    <m/>
    <x v="0"/>
    <x v="0"/>
    <m/>
    <x v="3"/>
    <x v="1"/>
    <n v="53192"/>
    <n v="0"/>
    <x v="1"/>
    <s v=""/>
    <n v="24214370.889062837"/>
  </r>
  <r>
    <x v="0"/>
    <x v="122"/>
    <x v="122"/>
    <x v="4"/>
    <x v="1"/>
    <x v="5"/>
    <x v="25"/>
    <x v="11"/>
    <m/>
    <x v="1"/>
    <m/>
    <m/>
    <m/>
    <m/>
    <x v="0"/>
    <x v="0"/>
    <m/>
    <x v="1"/>
    <x v="0"/>
    <n v="184401"/>
    <n v="0"/>
    <x v="1"/>
    <s v="…"/>
    <n v="39941279.609447442"/>
  </r>
  <r>
    <x v="0"/>
    <x v="123"/>
    <x v="123"/>
    <x v="4"/>
    <x v="1"/>
    <x v="5"/>
    <x v="25"/>
    <x v="11"/>
    <m/>
    <x v="1"/>
    <m/>
    <m/>
    <m/>
    <m/>
    <x v="0"/>
    <x v="0"/>
    <m/>
    <x v="1"/>
    <x v="0"/>
    <n v="111269"/>
    <n v="0"/>
    <x v="1"/>
    <s v="High"/>
    <n v="24761675.260059897"/>
  </r>
  <r>
    <x v="0"/>
    <x v="124"/>
    <x v="124"/>
    <x v="2"/>
    <x v="1"/>
    <x v="5"/>
    <x v="25"/>
    <x v="11"/>
    <m/>
    <x v="1"/>
    <m/>
    <m/>
    <m/>
    <m/>
    <x v="0"/>
    <x v="0"/>
    <m/>
    <x v="2"/>
    <x v="0"/>
    <n v="5222756"/>
    <n v="0"/>
    <x v="0"/>
    <s v="N/A"/>
    <s v=""/>
  </r>
  <r>
    <x v="0"/>
    <x v="125"/>
    <x v="125"/>
    <x v="2"/>
    <x v="1"/>
    <x v="5"/>
    <x v="25"/>
    <x v="11"/>
    <m/>
    <x v="1"/>
    <m/>
    <m/>
    <m/>
    <m/>
    <x v="0"/>
    <x v="0"/>
    <m/>
    <x v="0"/>
    <x v="0"/>
    <n v="44909351"/>
    <n v="1"/>
    <x v="0"/>
    <s v="N/A"/>
    <n v="577156172.71229994"/>
  </r>
  <r>
    <x v="0"/>
    <x v="126"/>
    <x v="126"/>
    <x v="6"/>
    <x v="1"/>
    <x v="5"/>
    <x v="25"/>
    <x v="11"/>
    <m/>
    <x v="1"/>
    <m/>
    <m/>
    <m/>
    <m/>
    <x v="0"/>
    <x v="0"/>
    <m/>
    <x v="1"/>
    <x v="1"/>
    <n v="591798"/>
    <n v="0"/>
    <x v="1"/>
    <s v=""/>
    <n v="180052034.19851837"/>
  </r>
  <r>
    <x v="0"/>
    <x v="127"/>
    <x v="127"/>
    <x v="2"/>
    <x v="1"/>
    <x v="5"/>
    <x v="25"/>
    <x v="11"/>
    <m/>
    <x v="1"/>
    <m/>
    <m/>
    <m/>
    <m/>
    <x v="0"/>
    <x v="0"/>
    <m/>
    <x v="0"/>
    <x v="0"/>
    <n v="18275704"/>
    <n v="1"/>
    <x v="0"/>
    <s v="N/A"/>
    <s v=""/>
  </r>
  <r>
    <x v="0"/>
    <x v="128"/>
    <x v="128"/>
    <x v="1"/>
    <x v="1"/>
    <x v="5"/>
    <x v="25"/>
    <x v="11"/>
    <m/>
    <x v="1"/>
    <m/>
    <m/>
    <m/>
    <m/>
    <x v="0"/>
    <x v="0"/>
    <m/>
    <x v="2"/>
    <x v="0"/>
    <n v="9749625"/>
    <n v="0"/>
    <x v="0"/>
    <s v="High"/>
    <n v="147296124.32232863"/>
  </r>
  <r>
    <x v="0"/>
    <x v="129"/>
    <x v="129"/>
    <x v="3"/>
    <x v="1"/>
    <x v="5"/>
    <x v="25"/>
    <x v="11"/>
    <m/>
    <x v="1"/>
    <m/>
    <m/>
    <m/>
    <m/>
    <x v="0"/>
    <x v="0"/>
    <m/>
    <x v="2"/>
    <x v="0"/>
    <n v="61498438"/>
    <n v="0"/>
    <x v="0"/>
    <s v="…"/>
    <n v="890576536.83065879"/>
  </r>
  <r>
    <x v="0"/>
    <x v="130"/>
    <x v="130"/>
    <x v="6"/>
    <x v="1"/>
    <x v="5"/>
    <x v="25"/>
    <x v="11"/>
    <m/>
    <x v="1"/>
    <m/>
    <m/>
    <m/>
    <m/>
    <x v="0"/>
    <x v="0"/>
    <m/>
    <x v="1"/>
    <x v="1"/>
    <n v="69950844"/>
    <n v="0"/>
    <x v="0"/>
    <s v=""/>
    <n v="14611129792.346064"/>
  </r>
  <r>
    <x v="0"/>
    <x v="131"/>
    <x v="131"/>
    <x v="6"/>
    <x v="1"/>
    <x v="5"/>
    <x v="25"/>
    <x v="11"/>
    <m/>
    <x v="1"/>
    <m/>
    <m/>
    <m/>
    <m/>
    <x v="0"/>
    <x v="0"/>
    <m/>
    <x v="2"/>
    <x v="0"/>
    <n v="1343875"/>
    <n v="0"/>
    <x v="1"/>
    <s v="Low"/>
    <n v="72046877.233008593"/>
  </r>
  <r>
    <x v="0"/>
    <x v="132"/>
    <x v="132"/>
    <x v="5"/>
    <x v="1"/>
    <x v="5"/>
    <x v="25"/>
    <x v="11"/>
    <m/>
    <x v="1"/>
    <m/>
    <m/>
    <m/>
    <m/>
    <x v="0"/>
    <x v="0"/>
    <m/>
    <x v="0"/>
    <x v="0"/>
    <n v="8478242"/>
    <n v="0"/>
    <x v="0"/>
    <s v="High"/>
    <n v="56248139.267255567"/>
  </r>
  <r>
    <x v="0"/>
    <x v="133"/>
    <x v="133"/>
    <x v="6"/>
    <x v="1"/>
    <x v="5"/>
    <x v="25"/>
    <x v="11"/>
    <m/>
    <x v="1"/>
    <m/>
    <m/>
    <m/>
    <m/>
    <x v="0"/>
    <x v="0"/>
    <m/>
    <x v="1"/>
    <x v="0"/>
    <n v="106759"/>
    <n v="0"/>
    <x v="1"/>
    <s v="High"/>
    <n v="15464031.712942109"/>
  </r>
  <r>
    <x v="0"/>
    <x v="134"/>
    <x v="134"/>
    <x v="4"/>
    <x v="1"/>
    <x v="5"/>
    <x v="25"/>
    <x v="11"/>
    <m/>
    <x v="1"/>
    <m/>
    <m/>
    <m/>
    <m/>
    <x v="0"/>
    <x v="0"/>
    <m/>
    <x v="3"/>
    <x v="1"/>
    <n v="1399491"/>
    <n v="0"/>
    <x v="1"/>
    <s v="N/A"/>
    <n v="769564399.33249676"/>
  </r>
  <r>
    <x v="0"/>
    <x v="135"/>
    <x v="135"/>
    <x v="2"/>
    <x v="1"/>
    <x v="5"/>
    <x v="25"/>
    <x v="11"/>
    <m/>
    <x v="1"/>
    <m/>
    <m/>
    <m/>
    <m/>
    <x v="0"/>
    <x v="0"/>
    <m/>
    <x v="2"/>
    <x v="0"/>
    <n v="11935764"/>
    <n v="0"/>
    <x v="0"/>
    <s v="N/A"/>
    <n v="1668954539.7630196"/>
  </r>
  <r>
    <x v="0"/>
    <x v="136"/>
    <x v="136"/>
    <x v="1"/>
    <x v="1"/>
    <x v="5"/>
    <x v="25"/>
    <x v="11"/>
    <m/>
    <x v="1"/>
    <m/>
    <m/>
    <m/>
    <m/>
    <x v="0"/>
    <x v="0"/>
    <m/>
    <x v="1"/>
    <x v="1"/>
    <n v="85042736"/>
    <n v="0"/>
    <x v="0"/>
    <s v=""/>
    <n v="24840920016.18832"/>
  </r>
  <r>
    <x v="0"/>
    <x v="137"/>
    <x v="137"/>
    <x v="1"/>
    <x v="1"/>
    <x v="5"/>
    <x v="25"/>
    <x v="11"/>
    <m/>
    <x v="1"/>
    <m/>
    <m/>
    <m/>
    <m/>
    <x v="0"/>
    <x v="0"/>
    <m/>
    <x v="1"/>
    <x v="1"/>
    <n v="6117933"/>
    <n v="0"/>
    <x v="0"/>
    <s v="N/A"/>
    <n v="487888462.83720118"/>
  </r>
  <r>
    <x v="0"/>
    <x v="138"/>
    <x v="138"/>
    <x v="6"/>
    <x v="1"/>
    <x v="5"/>
    <x v="25"/>
    <x v="11"/>
    <m/>
    <x v="1"/>
    <m/>
    <m/>
    <m/>
    <m/>
    <x v="0"/>
    <x v="0"/>
    <m/>
    <x v="1"/>
    <x v="0"/>
    <n v="77132"/>
    <n v="0"/>
    <x v="1"/>
    <s v="…"/>
    <n v="6365061.1736073596"/>
  </r>
  <r>
    <x v="0"/>
    <x v="139"/>
    <x v="139"/>
    <x v="3"/>
    <x v="1"/>
    <x v="5"/>
    <x v="25"/>
    <x v="11"/>
    <m/>
    <x v="1"/>
    <m/>
    <m/>
    <m/>
    <m/>
    <x v="0"/>
    <x v="0"/>
    <m/>
    <x v="0"/>
    <x v="0"/>
    <n v="47123533"/>
    <n v="2"/>
    <x v="0"/>
    <s v="Low"/>
    <n v="291799092.90196139"/>
  </r>
  <r>
    <x v="0"/>
    <x v="140"/>
    <x v="140"/>
    <x v="1"/>
    <x v="1"/>
    <x v="5"/>
    <x v="25"/>
    <x v="11"/>
    <m/>
    <x v="1"/>
    <m/>
    <m/>
    <m/>
    <m/>
    <x v="0"/>
    <x v="0"/>
    <m/>
    <x v="2"/>
    <x v="0"/>
    <n v="43466822"/>
    <n v="0"/>
    <x v="0"/>
    <s v="N/A"/>
    <n v="4844815340.2135534"/>
  </r>
  <r>
    <x v="0"/>
    <x v="141"/>
    <x v="141"/>
    <x v="4"/>
    <x v="1"/>
    <x v="5"/>
    <x v="25"/>
    <x v="11"/>
    <m/>
    <x v="1"/>
    <m/>
    <m/>
    <m/>
    <m/>
    <x v="0"/>
    <x v="0"/>
    <m/>
    <x v="3"/>
    <x v="1"/>
    <n v="3473727"/>
    <n v="0"/>
    <x v="0"/>
    <s v=""/>
    <n v="4001891446.6871672"/>
  </r>
  <r>
    <x v="0"/>
    <x v="142"/>
    <x v="142"/>
    <x v="1"/>
    <x v="1"/>
    <x v="5"/>
    <x v="25"/>
    <x v="11"/>
    <m/>
    <x v="1"/>
    <m/>
    <m/>
    <m/>
    <m/>
    <x v="0"/>
    <x v="0"/>
    <m/>
    <x v="2"/>
    <x v="0"/>
    <n v="33935765"/>
    <n v="0"/>
    <x v="0"/>
    <s v="Low"/>
    <n v="1019800630.5853213"/>
  </r>
  <r>
    <x v="0"/>
    <x v="143"/>
    <x v="143"/>
    <x v="6"/>
    <x v="1"/>
    <x v="5"/>
    <x v="25"/>
    <x v="11"/>
    <m/>
    <x v="1"/>
    <m/>
    <m/>
    <m/>
    <m/>
    <x v="0"/>
    <x v="0"/>
    <m/>
    <x v="2"/>
    <x v="0"/>
    <n v="314464"/>
    <n v="0"/>
    <x v="1"/>
    <s v="Moderate"/>
    <n v="19578671.310841195"/>
  </r>
  <r>
    <x v="0"/>
    <x v="144"/>
    <x v="144"/>
    <x v="4"/>
    <x v="1"/>
    <x v="5"/>
    <x v="25"/>
    <x v="11"/>
    <m/>
    <x v="1"/>
    <m/>
    <m/>
    <m/>
    <m/>
    <x v="0"/>
    <x v="0"/>
    <m/>
    <x v="4"/>
    <x v="1"/>
    <n v="28704947"/>
    <n v="0"/>
    <x v="0"/>
    <s v="N/A"/>
    <n v="3551452001.0684834"/>
  </r>
  <r>
    <x v="0"/>
    <x v="145"/>
    <x v="145"/>
    <x v="6"/>
    <x v="1"/>
    <x v="5"/>
    <x v="25"/>
    <x v="11"/>
    <m/>
    <x v="1"/>
    <m/>
    <m/>
    <m/>
    <m/>
    <x v="0"/>
    <x v="0"/>
    <m/>
    <x v="2"/>
    <x v="0"/>
    <n v="98168829"/>
    <n v="0"/>
    <x v="0"/>
    <s v="N/A"/>
    <n v="6603048821.7575006"/>
  </r>
  <r>
    <x v="0"/>
    <x v="146"/>
    <x v="146"/>
    <x v="2"/>
    <x v="1"/>
    <x v="5"/>
    <x v="25"/>
    <x v="11"/>
    <m/>
    <x v="1"/>
    <m/>
    <m/>
    <m/>
    <m/>
    <x v="0"/>
    <x v="0"/>
    <m/>
    <x v="0"/>
    <x v="0"/>
    <n v="30490639"/>
    <n v="1"/>
    <x v="0"/>
    <s v="…"/>
    <s v=""/>
  </r>
  <r>
    <x v="0"/>
    <x v="147"/>
    <x v="147"/>
    <x v="3"/>
    <x v="1"/>
    <x v="5"/>
    <x v="25"/>
    <x v="11"/>
    <m/>
    <x v="1"/>
    <m/>
    <m/>
    <m/>
    <m/>
    <x v="0"/>
    <x v="0"/>
    <m/>
    <x v="2"/>
    <x v="0"/>
    <n v="18920657"/>
    <n v="0"/>
    <x v="0"/>
    <s v="High"/>
    <n v="515352723.9821828"/>
  </r>
  <r>
    <x v="0"/>
    <x v="148"/>
    <x v="148"/>
    <x v="3"/>
    <x v="1"/>
    <x v="5"/>
    <x v="25"/>
    <x v="11"/>
    <m/>
    <x v="1"/>
    <m/>
    <m/>
    <m/>
    <m/>
    <x v="0"/>
    <x v="0"/>
    <m/>
    <x v="2"/>
    <x v="0"/>
    <n v="15092171"/>
    <n v="0"/>
    <x v="0"/>
    <s v="N/A"/>
    <n v="566711742.22428358"/>
  </r>
  <r>
    <x v="0"/>
    <x v="0"/>
    <x v="0"/>
    <x v="0"/>
    <x v="0"/>
    <x v="1"/>
    <x v="5"/>
    <x v="6"/>
    <s v="Multi-Year"/>
    <x v="1"/>
    <s v="N/A"/>
    <n v="6949908"/>
    <s v="Confirmed"/>
    <s v=""/>
    <x v="1"/>
    <x v="1"/>
    <m/>
    <x v="0"/>
    <x v="0"/>
    <m/>
    <n v="1"/>
    <x v="0"/>
    <s v="High"/>
    <n v="95829480.719269618"/>
  </r>
  <r>
    <x v="0"/>
    <x v="1"/>
    <x v="1"/>
    <x v="1"/>
    <x v="0"/>
    <x v="1"/>
    <x v="5"/>
    <x v="6"/>
    <s v="Multi-Year"/>
    <x v="1"/>
    <s v="N/A"/>
    <s v=""/>
    <s v="Confirmed"/>
    <s v=""/>
    <x v="1"/>
    <x v="1"/>
    <m/>
    <x v="1"/>
    <x v="1"/>
    <m/>
    <n v="0"/>
    <x v="0"/>
    <s v=""/>
    <n v="427904035.52443534"/>
  </r>
  <r>
    <x v="0"/>
    <x v="2"/>
    <x v="2"/>
    <x v="2"/>
    <x v="0"/>
    <x v="1"/>
    <x v="5"/>
    <x v="6"/>
    <s v="Multi-Year"/>
    <x v="1"/>
    <s v="N/A"/>
    <n v="0"/>
    <s v="Confirmed"/>
    <s v=""/>
    <x v="1"/>
    <x v="1"/>
    <m/>
    <x v="2"/>
    <x v="0"/>
    <m/>
    <n v="0"/>
    <x v="0"/>
    <s v="N/A"/>
    <n v="7113361022.7267885"/>
  </r>
  <r>
    <x v="0"/>
    <x v="3"/>
    <x v="3"/>
    <x v="3"/>
    <x v="0"/>
    <x v="1"/>
    <x v="5"/>
    <x v="6"/>
    <s v="Multi-Year"/>
    <x v="1"/>
    <s v="N/A"/>
    <n v="1000000"/>
    <s v="Confirmed"/>
    <s v=""/>
    <x v="1"/>
    <x v="1"/>
    <m/>
    <x v="2"/>
    <x v="0"/>
    <m/>
    <n v="0"/>
    <x v="0"/>
    <s v="…"/>
    <n v="1131865946.5875781"/>
  </r>
  <r>
    <x v="0"/>
    <x v="4"/>
    <x v="4"/>
    <x v="4"/>
    <x v="0"/>
    <x v="1"/>
    <x v="5"/>
    <x v="6"/>
    <s v="Multi-Year"/>
    <x v="1"/>
    <s v="N/A"/>
    <s v=""/>
    <s v="Confirmed"/>
    <s v=""/>
    <x v="1"/>
    <x v="1"/>
    <m/>
    <x v="3"/>
    <x v="1"/>
    <m/>
    <n v="0"/>
    <x v="1"/>
    <s v=""/>
    <n v="46777779.823447868"/>
  </r>
  <r>
    <x v="0"/>
    <x v="5"/>
    <x v="5"/>
    <x v="4"/>
    <x v="0"/>
    <x v="1"/>
    <x v="5"/>
    <x v="6"/>
    <s v="Multi-Year"/>
    <x v="1"/>
    <s v="N/A"/>
    <s v=""/>
    <s v="Confirmed"/>
    <s v=""/>
    <x v="1"/>
    <x v="1"/>
    <m/>
    <x v="1"/>
    <x v="1"/>
    <m/>
    <n v="0"/>
    <x v="0"/>
    <s v=""/>
    <n v="30725305777.596794"/>
  </r>
  <r>
    <x v="0"/>
    <x v="6"/>
    <x v="6"/>
    <x v="1"/>
    <x v="0"/>
    <x v="1"/>
    <x v="5"/>
    <x v="6"/>
    <s v="Multi-Year"/>
    <x v="1"/>
    <s v="N/A"/>
    <s v=""/>
    <s v="Confirmed"/>
    <s v=""/>
    <x v="1"/>
    <x v="1"/>
    <m/>
    <x v="1"/>
    <x v="1"/>
    <m/>
    <n v="0"/>
    <x v="0"/>
    <s v=""/>
    <n v="153815827.8380394"/>
  </r>
  <r>
    <x v="0"/>
    <x v="7"/>
    <x v="7"/>
    <x v="1"/>
    <x v="0"/>
    <x v="1"/>
    <x v="5"/>
    <x v="6"/>
    <s v="Multi-Year"/>
    <x v="1"/>
    <s v="N/A"/>
    <s v=""/>
    <s v="Confirmed"/>
    <s v=""/>
    <x v="1"/>
    <x v="1"/>
    <m/>
    <x v="1"/>
    <x v="1"/>
    <m/>
    <n v="0"/>
    <x v="0"/>
    <s v="N/A"/>
    <n v="437525105.31216973"/>
  </r>
  <r>
    <x v="0"/>
    <x v="8"/>
    <x v="8"/>
    <x v="4"/>
    <x v="0"/>
    <x v="1"/>
    <x v="5"/>
    <x v="6"/>
    <s v="Multi-Year"/>
    <x v="1"/>
    <s v="N/A"/>
    <s v=""/>
    <s v="Confirmed"/>
    <s v=""/>
    <x v="1"/>
    <x v="1"/>
    <m/>
    <x v="3"/>
    <x v="1"/>
    <m/>
    <n v="0"/>
    <x v="1"/>
    <s v=""/>
    <n v="149463302.00602186"/>
  </r>
  <r>
    <x v="0"/>
    <x v="9"/>
    <x v="9"/>
    <x v="0"/>
    <x v="0"/>
    <x v="1"/>
    <x v="5"/>
    <x v="6"/>
    <s v="Multi-Year"/>
    <x v="1"/>
    <s v="N/A"/>
    <n v="4927567"/>
    <s v="Confirmed"/>
    <s v=""/>
    <x v="1"/>
    <x v="1"/>
    <m/>
    <x v="2"/>
    <x v="0"/>
    <m/>
    <n v="0"/>
    <x v="0"/>
    <s v="Low"/>
    <n v="1148322593.9600098"/>
  </r>
  <r>
    <x v="0"/>
    <x v="10"/>
    <x v="10"/>
    <x v="1"/>
    <x v="0"/>
    <x v="1"/>
    <x v="5"/>
    <x v="6"/>
    <s v="Multi-Year"/>
    <x v="1"/>
    <s v="N/A"/>
    <s v=""/>
    <s v="Confirmed"/>
    <s v=""/>
    <x v="1"/>
    <x v="1"/>
    <m/>
    <x v="1"/>
    <x v="1"/>
    <m/>
    <n v="0"/>
    <x v="0"/>
    <s v=""/>
    <n v="2371102058.1093163"/>
  </r>
  <r>
    <x v="0"/>
    <x v="11"/>
    <x v="11"/>
    <x v="4"/>
    <x v="0"/>
    <x v="1"/>
    <x v="5"/>
    <x v="6"/>
    <s v="Multi-Year"/>
    <x v="1"/>
    <s v="N/A"/>
    <s v=""/>
    <s v="Confirmed"/>
    <s v=""/>
    <x v="1"/>
    <x v="1"/>
    <m/>
    <x v="2"/>
    <x v="1"/>
    <m/>
    <n v="0"/>
    <x v="1"/>
    <s v="N/A"/>
    <n v="75151620.005215243"/>
  </r>
  <r>
    <x v="0"/>
    <x v="12"/>
    <x v="12"/>
    <x v="5"/>
    <x v="0"/>
    <x v="1"/>
    <x v="5"/>
    <x v="6"/>
    <s v="Multi-Year"/>
    <x v="1"/>
    <s v="N/A"/>
    <n v="1974291"/>
    <s v="Confirmed"/>
    <s v=""/>
    <x v="1"/>
    <x v="1"/>
    <m/>
    <x v="2"/>
    <x v="0"/>
    <m/>
    <n v="0"/>
    <x v="0"/>
    <s v="Moderate"/>
    <n v="69958487.197715744"/>
  </r>
  <r>
    <x v="0"/>
    <x v="13"/>
    <x v="13"/>
    <x v="0"/>
    <x v="0"/>
    <x v="1"/>
    <x v="5"/>
    <x v="6"/>
    <s v="Multi-Year"/>
    <x v="1"/>
    <s v="N/A"/>
    <n v="0"/>
    <s v="Confirmed"/>
    <s v=""/>
    <x v="1"/>
    <x v="1"/>
    <m/>
    <x v="2"/>
    <x v="0"/>
    <m/>
    <n v="0"/>
    <x v="0"/>
    <s v="…"/>
    <n v="61654608.560629159"/>
  </r>
  <r>
    <x v="0"/>
    <x v="14"/>
    <x v="14"/>
    <x v="4"/>
    <x v="0"/>
    <x v="1"/>
    <x v="5"/>
    <x v="6"/>
    <s v="Multi-Year"/>
    <x v="1"/>
    <s v="N/A"/>
    <n v="0"/>
    <s v="Confirmed"/>
    <s v=""/>
    <x v="1"/>
    <x v="1"/>
    <m/>
    <x v="2"/>
    <x v="0"/>
    <m/>
    <n v="0"/>
    <x v="0"/>
    <s v="N/A"/>
    <n v="1806638707.7615163"/>
  </r>
  <r>
    <x v="0"/>
    <x v="15"/>
    <x v="15"/>
    <x v="1"/>
    <x v="0"/>
    <x v="1"/>
    <x v="5"/>
    <x v="6"/>
    <s v="Multi-Year"/>
    <x v="1"/>
    <s v="N/A"/>
    <s v=""/>
    <s v="Confirmed"/>
    <s v=""/>
    <x v="1"/>
    <x v="1"/>
    <m/>
    <x v="1"/>
    <x v="1"/>
    <m/>
    <n v="0"/>
    <x v="0"/>
    <s v="N/A"/>
    <n v="1252696525.0627904"/>
  </r>
  <r>
    <x v="0"/>
    <x v="16"/>
    <x v="16"/>
    <x v="3"/>
    <x v="0"/>
    <x v="1"/>
    <x v="5"/>
    <x v="6"/>
    <s v="Multi-Year"/>
    <x v="1"/>
    <s v="N/A"/>
    <s v=""/>
    <s v="Confirmed"/>
    <s v=""/>
    <x v="1"/>
    <x v="1"/>
    <m/>
    <x v="1"/>
    <x v="1"/>
    <m/>
    <n v="0"/>
    <x v="0"/>
    <s v=""/>
    <n v="843425084.07334602"/>
  </r>
  <r>
    <x v="0"/>
    <x v="17"/>
    <x v="17"/>
    <x v="4"/>
    <x v="0"/>
    <x v="1"/>
    <x v="5"/>
    <x v="6"/>
    <s v="Multi-Year"/>
    <x v="1"/>
    <s v="N/A"/>
    <s v=""/>
    <s v="Confirmed"/>
    <s v=""/>
    <x v="1"/>
    <x v="1"/>
    <m/>
    <x v="1"/>
    <x v="1"/>
    <m/>
    <n v="0"/>
    <x v="0"/>
    <s v="N/A"/>
    <n v="74055620038.853683"/>
  </r>
  <r>
    <x v="0"/>
    <x v="18"/>
    <x v="18"/>
    <x v="1"/>
    <x v="0"/>
    <x v="1"/>
    <x v="5"/>
    <x v="6"/>
    <s v="Multi-Year"/>
    <x v="1"/>
    <s v="N/A"/>
    <s v=""/>
    <s v="Confirmed"/>
    <s v=""/>
    <x v="1"/>
    <x v="1"/>
    <m/>
    <x v="1"/>
    <x v="1"/>
    <m/>
    <n v="0"/>
    <x v="0"/>
    <s v=""/>
    <n v="2803357765.5888777"/>
  </r>
  <r>
    <x v="0"/>
    <x v="19"/>
    <x v="19"/>
    <x v="5"/>
    <x v="0"/>
    <x v="1"/>
    <x v="5"/>
    <x v="6"/>
    <s v="Multi-Year"/>
    <x v="1"/>
    <s v="N/A"/>
    <n v="0"/>
    <s v="Confirmed"/>
    <s v=""/>
    <x v="1"/>
    <x v="1"/>
    <m/>
    <x v="0"/>
    <x v="0"/>
    <m/>
    <n v="2"/>
    <x v="0"/>
    <s v="Moderate"/>
    <n v="337927779.25510043"/>
  </r>
  <r>
    <x v="0"/>
    <x v="20"/>
    <x v="20"/>
    <x v="3"/>
    <x v="0"/>
    <x v="1"/>
    <x v="5"/>
    <x v="6"/>
    <s v="Multi-Year"/>
    <x v="1"/>
    <s v="N/A"/>
    <s v=""/>
    <s v="Confirmed"/>
    <s v=""/>
    <x v="1"/>
    <x v="1"/>
    <m/>
    <x v="0"/>
    <x v="0"/>
    <m/>
    <n v="2"/>
    <x v="0"/>
    <s v="…"/>
    <n v="65979512.47399316"/>
  </r>
  <r>
    <x v="0"/>
    <x v="21"/>
    <x v="21"/>
    <x v="5"/>
    <x v="0"/>
    <x v="1"/>
    <x v="5"/>
    <x v="6"/>
    <s v="Multi-Year"/>
    <x v="1"/>
    <s v="N/A"/>
    <n v="0"/>
    <s v="Confirmed"/>
    <s v=""/>
    <x v="1"/>
    <x v="1"/>
    <m/>
    <x v="2"/>
    <x v="0"/>
    <m/>
    <n v="0"/>
    <x v="1"/>
    <s v="High"/>
    <n v="63748362.778827004"/>
  </r>
  <r>
    <x v="0"/>
    <x v="22"/>
    <x v="22"/>
    <x v="6"/>
    <x v="0"/>
    <x v="1"/>
    <x v="5"/>
    <x v="6"/>
    <s v="Multi-Year"/>
    <x v="1"/>
    <s v="N/A"/>
    <n v="0"/>
    <s v="Confirmed"/>
    <s v=""/>
    <x v="1"/>
    <x v="1"/>
    <m/>
    <x v="2"/>
    <x v="0"/>
    <m/>
    <n v="0"/>
    <x v="0"/>
    <s v="Low"/>
    <n v="313039649.45369786"/>
  </r>
  <r>
    <x v="0"/>
    <x v="23"/>
    <x v="23"/>
    <x v="5"/>
    <x v="0"/>
    <x v="1"/>
    <x v="5"/>
    <x v="6"/>
    <s v="Multi-Year"/>
    <x v="1"/>
    <s v="N/A"/>
    <n v="196992"/>
    <s v="Confirmed"/>
    <s v=""/>
    <x v="1"/>
    <x v="1"/>
    <m/>
    <x v="2"/>
    <x v="0"/>
    <m/>
    <n v="2"/>
    <x v="0"/>
    <s v="High"/>
    <n v="81361801.477472037"/>
  </r>
  <r>
    <x v="0"/>
    <x v="24"/>
    <x v="24"/>
    <x v="5"/>
    <x v="0"/>
    <x v="1"/>
    <x v="5"/>
    <x v="6"/>
    <s v="Multi-Year"/>
    <x v="1"/>
    <s v="N/A"/>
    <n v="1303508"/>
    <s v="Confirmed"/>
    <s v=""/>
    <x v="1"/>
    <x v="1"/>
    <m/>
    <x v="0"/>
    <x v="0"/>
    <m/>
    <n v="1"/>
    <x v="0"/>
    <s v="High"/>
    <s v=""/>
  </r>
  <r>
    <x v="0"/>
    <x v="25"/>
    <x v="25"/>
    <x v="5"/>
    <x v="0"/>
    <x v="1"/>
    <x v="5"/>
    <x v="6"/>
    <s v="Multi-Year"/>
    <x v="1"/>
    <s v="N/A"/>
    <n v="0"/>
    <s v="Confirmed"/>
    <s v=""/>
    <x v="1"/>
    <x v="1"/>
    <m/>
    <x v="0"/>
    <x v="0"/>
    <m/>
    <n v="1"/>
    <x v="0"/>
    <s v="High"/>
    <n v="76939306.715636879"/>
  </r>
  <r>
    <x v="0"/>
    <x v="26"/>
    <x v="26"/>
    <x v="4"/>
    <x v="0"/>
    <x v="1"/>
    <x v="5"/>
    <x v="6"/>
    <s v="Multi-Year"/>
    <x v="1"/>
    <s v="N/A"/>
    <s v=""/>
    <s v="Confirmed"/>
    <s v=""/>
    <x v="1"/>
    <x v="1"/>
    <m/>
    <x v="3"/>
    <x v="1"/>
    <m/>
    <n v="0"/>
    <x v="0"/>
    <s v=""/>
    <n v="13859708717.682571"/>
  </r>
  <r>
    <x v="0"/>
    <x v="27"/>
    <x v="27"/>
    <x v="6"/>
    <x v="0"/>
    <x v="1"/>
    <x v="5"/>
    <x v="6"/>
    <s v="Multi-Year"/>
    <x v="1"/>
    <s v="N/A"/>
    <s v=""/>
    <s v="Confirmed"/>
    <s v=""/>
    <x v="1"/>
    <x v="1"/>
    <m/>
    <x v="1"/>
    <x v="1"/>
    <m/>
    <n v="0"/>
    <x v="0"/>
    <s v=""/>
    <n v="403567160707.7016"/>
  </r>
  <r>
    <x v="0"/>
    <x v="28"/>
    <x v="28"/>
    <x v="4"/>
    <x v="0"/>
    <x v="1"/>
    <x v="5"/>
    <x v="6"/>
    <s v="Multi-Year"/>
    <x v="1"/>
    <s v="N/A"/>
    <s v=""/>
    <s v="Confirmed"/>
    <s v=""/>
    <x v="1"/>
    <x v="1"/>
    <m/>
    <x v="1"/>
    <x v="1"/>
    <m/>
    <n v="0"/>
    <x v="0"/>
    <s v=""/>
    <n v="18250225995.972618"/>
  </r>
  <r>
    <x v="0"/>
    <x v="29"/>
    <x v="29"/>
    <x v="3"/>
    <x v="0"/>
    <x v="1"/>
    <x v="5"/>
    <x v="6"/>
    <s v="Multi-Year"/>
    <x v="1"/>
    <s v="N/A"/>
    <n v="146720"/>
    <s v="Confirmed"/>
    <s v=""/>
    <x v="1"/>
    <x v="1"/>
    <m/>
    <x v="2"/>
    <x v="0"/>
    <m/>
    <n v="0"/>
    <x v="1"/>
    <s v="Moderate"/>
    <n v="5027591.1682657599"/>
  </r>
  <r>
    <x v="0"/>
    <x v="30"/>
    <x v="30"/>
    <x v="5"/>
    <x v="0"/>
    <x v="1"/>
    <x v="5"/>
    <x v="6"/>
    <s v="Multi-Year"/>
    <x v="1"/>
    <s v="N/A"/>
    <n v="8507891"/>
    <s v="Confirmed"/>
    <s v=""/>
    <x v="1"/>
    <x v="1"/>
    <m/>
    <x v="0"/>
    <x v="0"/>
    <m/>
    <n v="3"/>
    <x v="0"/>
    <s v="Moderate"/>
    <n v="234645958.63289919"/>
  </r>
  <r>
    <x v="0"/>
    <x v="31"/>
    <x v="31"/>
    <x v="5"/>
    <x v="0"/>
    <x v="1"/>
    <x v="5"/>
    <x v="6"/>
    <s v="Multi-Year"/>
    <x v="1"/>
    <s v="N/A"/>
    <n v="978460"/>
    <s v="Confirmed"/>
    <s v=""/>
    <x v="1"/>
    <x v="1"/>
    <m/>
    <x v="2"/>
    <x v="0"/>
    <m/>
    <n v="2"/>
    <x v="0"/>
    <s v="In distress"/>
    <n v="91590910.247314155"/>
  </r>
  <r>
    <x v="0"/>
    <x v="32"/>
    <x v="32"/>
    <x v="6"/>
    <x v="0"/>
    <x v="1"/>
    <x v="5"/>
    <x v="6"/>
    <s v="Multi-Year"/>
    <x v="1"/>
    <s v="N/A"/>
    <s v=""/>
    <s v="Confirmed"/>
    <s v=""/>
    <x v="1"/>
    <x v="1"/>
    <m/>
    <x v="4"/>
    <x v="1"/>
    <m/>
    <n v="0"/>
    <x v="1"/>
    <s v="N/A"/>
    <n v="8560012.8840167802"/>
  </r>
  <r>
    <x v="0"/>
    <x v="33"/>
    <x v="33"/>
    <x v="4"/>
    <x v="0"/>
    <x v="1"/>
    <x v="5"/>
    <x v="6"/>
    <s v="Multi-Year"/>
    <x v="1"/>
    <s v="N/A"/>
    <s v=""/>
    <s v="Confirmed"/>
    <s v=""/>
    <x v="1"/>
    <x v="1"/>
    <m/>
    <x v="1"/>
    <x v="1"/>
    <m/>
    <n v="0"/>
    <x v="0"/>
    <s v="N/A"/>
    <n v="3292372960.3962669"/>
  </r>
  <r>
    <x v="0"/>
    <x v="34"/>
    <x v="34"/>
    <x v="5"/>
    <x v="0"/>
    <x v="1"/>
    <x v="5"/>
    <x v="6"/>
    <s v="Multi-Year"/>
    <x v="1"/>
    <s v="N/A"/>
    <n v="0"/>
    <s v="Confirmed"/>
    <s v=""/>
    <x v="1"/>
    <x v="1"/>
    <m/>
    <x v="2"/>
    <x v="0"/>
    <m/>
    <n v="0"/>
    <x v="0"/>
    <s v="Moderate"/>
    <n v="519209981.22981054"/>
  </r>
  <r>
    <x v="0"/>
    <x v="35"/>
    <x v="35"/>
    <x v="1"/>
    <x v="0"/>
    <x v="1"/>
    <x v="5"/>
    <x v="6"/>
    <s v="Multi-Year"/>
    <x v="1"/>
    <s v="N/A"/>
    <s v=""/>
    <s v="Confirmed"/>
    <s v=""/>
    <x v="1"/>
    <x v="1"/>
    <m/>
    <x v="3"/>
    <x v="1"/>
    <m/>
    <n v="0"/>
    <x v="0"/>
    <s v=""/>
    <n v="3464739907.1604805"/>
  </r>
  <r>
    <x v="0"/>
    <x v="36"/>
    <x v="36"/>
    <x v="4"/>
    <x v="0"/>
    <x v="1"/>
    <x v="5"/>
    <x v="6"/>
    <s v="Multi-Year"/>
    <x v="1"/>
    <s v="N/A"/>
    <s v=""/>
    <s v="Confirmed"/>
    <s v=""/>
    <x v="1"/>
    <x v="1"/>
    <m/>
    <x v="1"/>
    <x v="1"/>
    <m/>
    <n v="0"/>
    <x v="1"/>
    <s v=""/>
    <n v="9948521252.2569065"/>
  </r>
  <r>
    <x v="0"/>
    <x v="37"/>
    <x v="37"/>
    <x v="2"/>
    <x v="0"/>
    <x v="1"/>
    <x v="5"/>
    <x v="6"/>
    <s v="Multi-Year"/>
    <x v="1"/>
    <s v="N/A"/>
    <n v="292108"/>
    <s v="Confirmed"/>
    <s v=""/>
    <x v="1"/>
    <x v="1"/>
    <m/>
    <x v="2"/>
    <x v="0"/>
    <m/>
    <n v="1"/>
    <x v="0"/>
    <s v="High"/>
    <n v="33679192.765657313"/>
  </r>
  <r>
    <x v="0"/>
    <x v="38"/>
    <x v="38"/>
    <x v="4"/>
    <x v="0"/>
    <x v="1"/>
    <x v="5"/>
    <x v="6"/>
    <s v="Multi-Year"/>
    <x v="1"/>
    <s v="N/A"/>
    <n v="0"/>
    <s v="Confirmed"/>
    <s v=""/>
    <x v="1"/>
    <x v="1"/>
    <m/>
    <x v="1"/>
    <x v="0"/>
    <m/>
    <n v="0"/>
    <x v="1"/>
    <s v="…"/>
    <n v="22784494.365742501"/>
  </r>
  <r>
    <x v="0"/>
    <x v="39"/>
    <x v="39"/>
    <x v="4"/>
    <x v="0"/>
    <x v="1"/>
    <x v="5"/>
    <x v="6"/>
    <s v="Multi-Year"/>
    <x v="1"/>
    <s v="N/A"/>
    <s v=""/>
    <s v="Confirmed"/>
    <s v=""/>
    <x v="1"/>
    <x v="1"/>
    <m/>
    <x v="1"/>
    <x v="1"/>
    <m/>
    <n v="0"/>
    <x v="1"/>
    <s v=""/>
    <n v="2173208011.4858823"/>
  </r>
  <r>
    <x v="0"/>
    <x v="40"/>
    <x v="40"/>
    <x v="4"/>
    <x v="0"/>
    <x v="1"/>
    <x v="5"/>
    <x v="6"/>
    <s v="Multi-Year"/>
    <x v="1"/>
    <s v="N/A"/>
    <s v=""/>
    <s v="Confirmed"/>
    <s v=""/>
    <x v="1"/>
    <x v="1"/>
    <m/>
    <x v="1"/>
    <x v="1"/>
    <m/>
    <n v="0"/>
    <x v="0"/>
    <s v="N/A"/>
    <n v="4585736158.8323269"/>
  </r>
  <r>
    <x v="0"/>
    <x v="41"/>
    <x v="41"/>
    <x v="2"/>
    <x v="0"/>
    <x v="1"/>
    <x v="5"/>
    <x v="6"/>
    <s v="Multi-Year"/>
    <x v="1"/>
    <s v="N/A"/>
    <n v="0"/>
    <s v="Confirmed"/>
    <s v=""/>
    <x v="1"/>
    <x v="1"/>
    <m/>
    <x v="2"/>
    <x v="0"/>
    <m/>
    <n v="0"/>
    <x v="0"/>
    <s v="N/A"/>
    <n v="3550291584.8645592"/>
  </r>
  <r>
    <x v="0"/>
    <x v="42"/>
    <x v="42"/>
    <x v="4"/>
    <x v="0"/>
    <x v="1"/>
    <x v="5"/>
    <x v="6"/>
    <s v="Multi-Year"/>
    <x v="1"/>
    <s v="N/A"/>
    <n v="0"/>
    <s v="Confirmed"/>
    <s v=""/>
    <x v="1"/>
    <x v="1"/>
    <m/>
    <x v="2"/>
    <x v="0"/>
    <m/>
    <n v="0"/>
    <x v="0"/>
    <s v="N/A"/>
    <n v="1182840319.0410969"/>
  </r>
  <r>
    <x v="0"/>
    <x v="43"/>
    <x v="43"/>
    <x v="4"/>
    <x v="0"/>
    <x v="1"/>
    <x v="5"/>
    <x v="6"/>
    <s v="Multi-Year"/>
    <x v="1"/>
    <s v="N/A"/>
    <s v=""/>
    <s v="Confirmed"/>
    <s v=""/>
    <x v="1"/>
    <x v="1"/>
    <m/>
    <x v="1"/>
    <x v="1"/>
    <m/>
    <n v="0"/>
    <x v="0"/>
    <s v=""/>
    <n v="81728347.604567245"/>
  </r>
  <r>
    <x v="0"/>
    <x v="44"/>
    <x v="44"/>
    <x v="3"/>
    <x v="0"/>
    <x v="1"/>
    <x v="5"/>
    <x v="6"/>
    <s v="Multi-Year"/>
    <x v="1"/>
    <s v="N/A"/>
    <s v=""/>
    <s v="Confirmed"/>
    <s v=""/>
    <x v="1"/>
    <x v="1"/>
    <m/>
    <x v="0"/>
    <x v="0"/>
    <m/>
    <n v="2"/>
    <x v="0"/>
    <s v="N/A"/>
    <n v="12787914.977715338"/>
  </r>
  <r>
    <x v="0"/>
    <x v="45"/>
    <x v="45"/>
    <x v="3"/>
    <x v="0"/>
    <x v="1"/>
    <x v="5"/>
    <x v="6"/>
    <s v="Multi-Year"/>
    <x v="1"/>
    <s v="N/A"/>
    <n v="0"/>
    <s v="Confirmed"/>
    <s v=""/>
    <x v="1"/>
    <x v="1"/>
    <m/>
    <x v="2"/>
    <x v="0"/>
    <m/>
    <n v="2"/>
    <x v="0"/>
    <s v="N/A"/>
    <n v="101271737.65410839"/>
  </r>
  <r>
    <x v="0"/>
    <x v="46"/>
    <x v="46"/>
    <x v="3"/>
    <x v="0"/>
    <x v="1"/>
    <x v="5"/>
    <x v="6"/>
    <s v="Multi-Year"/>
    <x v="1"/>
    <s v="N/A"/>
    <n v="0"/>
    <s v="Confirmed"/>
    <s v=""/>
    <x v="1"/>
    <x v="1"/>
    <m/>
    <x v="0"/>
    <x v="0"/>
    <m/>
    <n v="3"/>
    <x v="0"/>
    <s v="High"/>
    <n v="618344226.71759331"/>
  </r>
  <r>
    <x v="0"/>
    <x v="47"/>
    <x v="47"/>
    <x v="6"/>
    <x v="0"/>
    <x v="1"/>
    <x v="5"/>
    <x v="6"/>
    <s v="Multi-Year"/>
    <x v="1"/>
    <s v="N/A"/>
    <n v="0"/>
    <s v="Confirmed"/>
    <s v=""/>
    <x v="1"/>
    <x v="1"/>
    <m/>
    <x v="1"/>
    <x v="0"/>
    <m/>
    <n v="0"/>
    <x v="1"/>
    <s v="…"/>
    <n v="129483872.95906857"/>
  </r>
  <r>
    <x v="0"/>
    <x v="48"/>
    <x v="48"/>
    <x v="5"/>
    <x v="0"/>
    <x v="1"/>
    <x v="5"/>
    <x v="6"/>
    <s v="Multi-Year"/>
    <x v="1"/>
    <s v="N/A"/>
    <s v=""/>
    <s v="Confirmed"/>
    <s v=""/>
    <x v="1"/>
    <x v="1"/>
    <m/>
    <x v="1"/>
    <x v="1"/>
    <m/>
    <n v="0"/>
    <x v="0"/>
    <s v="N/A"/>
    <n v="271184658.35014349"/>
  </r>
  <r>
    <x v="0"/>
    <x v="49"/>
    <x v="49"/>
    <x v="5"/>
    <x v="0"/>
    <x v="1"/>
    <x v="5"/>
    <x v="6"/>
    <s v="Multi-Year"/>
    <x v="1"/>
    <s v="N/A"/>
    <n v="0"/>
    <s v="Confirmed"/>
    <s v=""/>
    <x v="1"/>
    <x v="1"/>
    <m/>
    <x v="0"/>
    <x v="0"/>
    <m/>
    <n v="0"/>
    <x v="0"/>
    <s v="High"/>
    <n v="15455265.086884515"/>
  </r>
  <r>
    <x v="0"/>
    <x v="50"/>
    <x v="50"/>
    <x v="1"/>
    <x v="0"/>
    <x v="1"/>
    <x v="5"/>
    <x v="6"/>
    <s v="Multi-Year"/>
    <x v="1"/>
    <s v="N/A"/>
    <s v=""/>
    <s v="Confirmed"/>
    <s v=""/>
    <x v="1"/>
    <x v="1"/>
    <m/>
    <x v="1"/>
    <x v="1"/>
    <m/>
    <n v="0"/>
    <x v="0"/>
    <s v="N/A"/>
    <n v="494021502.525527"/>
  </r>
  <r>
    <x v="0"/>
    <x v="51"/>
    <x v="51"/>
    <x v="5"/>
    <x v="0"/>
    <x v="1"/>
    <x v="5"/>
    <x v="6"/>
    <s v="Multi-Year"/>
    <x v="1"/>
    <s v="N/A"/>
    <n v="80488"/>
    <s v="Confirmed"/>
    <s v=""/>
    <x v="1"/>
    <x v="1"/>
    <m/>
    <x v="2"/>
    <x v="0"/>
    <m/>
    <n v="0"/>
    <x v="0"/>
    <s v="High"/>
    <n v="902005621.73836684"/>
  </r>
  <r>
    <x v="0"/>
    <x v="52"/>
    <x v="52"/>
    <x v="4"/>
    <x v="0"/>
    <x v="1"/>
    <x v="5"/>
    <x v="6"/>
    <s v="Multi-Year"/>
    <x v="1"/>
    <s v="N/A"/>
    <n v="0"/>
    <s v="Confirmed"/>
    <s v=""/>
    <x v="1"/>
    <x v="1"/>
    <m/>
    <x v="1"/>
    <x v="0"/>
    <m/>
    <n v="0"/>
    <x v="1"/>
    <s v="In distress"/>
    <n v="20201670.142996579"/>
  </r>
  <r>
    <x v="0"/>
    <x v="53"/>
    <x v="53"/>
    <x v="4"/>
    <x v="0"/>
    <x v="1"/>
    <x v="5"/>
    <x v="6"/>
    <s v="Multi-Year"/>
    <x v="1"/>
    <s v="N/A"/>
    <s v=""/>
    <s v="Confirmed"/>
    <s v=""/>
    <x v="1"/>
    <x v="1"/>
    <m/>
    <x v="1"/>
    <x v="1"/>
    <m/>
    <n v="0"/>
    <x v="0"/>
    <s v=""/>
    <n v="1612434649.6948864"/>
  </r>
  <r>
    <x v="0"/>
    <x v="54"/>
    <x v="54"/>
    <x v="5"/>
    <x v="0"/>
    <x v="1"/>
    <x v="5"/>
    <x v="6"/>
    <s v="Multi-Year"/>
    <x v="1"/>
    <s v="N/A"/>
    <n v="0"/>
    <s v="Confirmed"/>
    <s v=""/>
    <x v="1"/>
    <x v="1"/>
    <m/>
    <x v="0"/>
    <x v="0"/>
    <m/>
    <n v="0"/>
    <x v="0"/>
    <s v="Moderate"/>
    <n v="78203134.118229344"/>
  </r>
  <r>
    <x v="0"/>
    <x v="55"/>
    <x v="55"/>
    <x v="5"/>
    <x v="0"/>
    <x v="1"/>
    <x v="5"/>
    <x v="6"/>
    <s v="Multi-Year"/>
    <x v="1"/>
    <s v="N/A"/>
    <n v="978460"/>
    <s v="Confirmed"/>
    <s v=""/>
    <x v="1"/>
    <x v="1"/>
    <m/>
    <x v="0"/>
    <x v="0"/>
    <m/>
    <n v="2"/>
    <x v="1"/>
    <s v="High"/>
    <n v="9151637.7411015611"/>
  </r>
  <r>
    <x v="0"/>
    <x v="56"/>
    <x v="56"/>
    <x v="4"/>
    <x v="0"/>
    <x v="1"/>
    <x v="5"/>
    <x v="6"/>
    <s v="Multi-Year"/>
    <x v="1"/>
    <s v="N/A"/>
    <n v="0"/>
    <s v="Confirmed"/>
    <s v=""/>
    <x v="1"/>
    <x v="1"/>
    <m/>
    <x v="1"/>
    <x v="0"/>
    <m/>
    <n v="0"/>
    <x v="1"/>
    <s v="Moderate"/>
    <n v="142455920.02856269"/>
  </r>
  <r>
    <x v="0"/>
    <x v="57"/>
    <x v="57"/>
    <x v="4"/>
    <x v="0"/>
    <x v="1"/>
    <x v="5"/>
    <x v="6"/>
    <s v="Multi-Year"/>
    <x v="1"/>
    <s v="N/A"/>
    <n v="1686667"/>
    <s v="Confirmed"/>
    <s v=""/>
    <x v="1"/>
    <x v="1"/>
    <m/>
    <x v="2"/>
    <x v="0"/>
    <m/>
    <n v="1"/>
    <x v="1"/>
    <s v="High"/>
    <n v="85611818.171245083"/>
  </r>
  <r>
    <x v="0"/>
    <x v="58"/>
    <x v="58"/>
    <x v="4"/>
    <x v="0"/>
    <x v="1"/>
    <x v="5"/>
    <x v="6"/>
    <s v="Multi-Year"/>
    <x v="1"/>
    <s v="N/A"/>
    <n v="0"/>
    <s v="Confirmed"/>
    <s v=""/>
    <x v="1"/>
    <x v="1"/>
    <m/>
    <x v="2"/>
    <x v="0"/>
    <m/>
    <n v="0"/>
    <x v="0"/>
    <s v="Low"/>
    <n v="680289736.30082119"/>
  </r>
  <r>
    <x v="0"/>
    <x v="59"/>
    <x v="59"/>
    <x v="0"/>
    <x v="0"/>
    <x v="1"/>
    <x v="5"/>
    <x v="6"/>
    <s v="Multi-Year"/>
    <x v="1"/>
    <s v="N/A"/>
    <n v="3100000"/>
    <s v="Confirmed"/>
    <s v=""/>
    <x v="1"/>
    <x v="1"/>
    <m/>
    <x v="2"/>
    <x v="0"/>
    <m/>
    <n v="0"/>
    <x v="0"/>
    <s v="N/A"/>
    <n v="26554332750.47023"/>
  </r>
  <r>
    <x v="0"/>
    <x v="60"/>
    <x v="60"/>
    <x v="6"/>
    <x v="0"/>
    <x v="1"/>
    <x v="5"/>
    <x v="6"/>
    <s v="Multi-Year"/>
    <x v="1"/>
    <s v="N/A"/>
    <n v="0"/>
    <s v="Confirmed"/>
    <s v=""/>
    <x v="1"/>
    <x v="1"/>
    <m/>
    <x v="2"/>
    <x v="0"/>
    <m/>
    <n v="0"/>
    <x v="0"/>
    <s v="N/A"/>
    <n v="14745961064.890842"/>
  </r>
  <r>
    <x v="0"/>
    <x v="61"/>
    <x v="61"/>
    <x v="2"/>
    <x v="0"/>
    <x v="1"/>
    <x v="5"/>
    <x v="6"/>
    <s v="Multi-Year"/>
    <x v="1"/>
    <s v="N/A"/>
    <s v=""/>
    <s v="Confirmed"/>
    <s v=""/>
    <x v="1"/>
    <x v="1"/>
    <m/>
    <x v="2"/>
    <x v="1"/>
    <m/>
    <n v="0"/>
    <x v="0"/>
    <s v="N/A"/>
    <n v="18194076299.786381"/>
  </r>
  <r>
    <x v="0"/>
    <x v="62"/>
    <x v="62"/>
    <x v="2"/>
    <x v="0"/>
    <x v="1"/>
    <x v="5"/>
    <x v="6"/>
    <s v="Multi-Year"/>
    <x v="1"/>
    <s v="N/A"/>
    <s v=""/>
    <s v="Confirmed"/>
    <s v=""/>
    <x v="1"/>
    <x v="1"/>
    <m/>
    <x v="1"/>
    <x v="1"/>
    <m/>
    <n v="0"/>
    <x v="0"/>
    <s v="N/A"/>
    <n v="4428819387.769825"/>
  </r>
  <r>
    <x v="0"/>
    <x v="63"/>
    <x v="63"/>
    <x v="4"/>
    <x v="0"/>
    <x v="1"/>
    <x v="5"/>
    <x v="6"/>
    <s v="Multi-Year"/>
    <x v="1"/>
    <s v="N/A"/>
    <s v=""/>
    <s v="Confirmed"/>
    <s v=""/>
    <x v="1"/>
    <x v="1"/>
    <m/>
    <x v="1"/>
    <x v="1"/>
    <m/>
    <n v="0"/>
    <x v="1"/>
    <s v=""/>
    <n v="611739560.62679195"/>
  </r>
  <r>
    <x v="0"/>
    <x v="64"/>
    <x v="64"/>
    <x v="2"/>
    <x v="0"/>
    <x v="1"/>
    <x v="5"/>
    <x v="6"/>
    <s v="Multi-Year"/>
    <x v="1"/>
    <s v="N/A"/>
    <s v=""/>
    <s v="Confirmed"/>
    <s v=""/>
    <x v="1"/>
    <x v="1"/>
    <m/>
    <x v="1"/>
    <x v="1"/>
    <m/>
    <n v="0"/>
    <x v="0"/>
    <s v="N/A"/>
    <n v="1617913383.0481031"/>
  </r>
  <r>
    <x v="0"/>
    <x v="65"/>
    <x v="65"/>
    <x v="1"/>
    <x v="0"/>
    <x v="1"/>
    <x v="5"/>
    <x v="6"/>
    <s v="Multi-Year"/>
    <x v="1"/>
    <s v="N/A"/>
    <s v=""/>
    <s v="Confirmed"/>
    <s v=""/>
    <x v="1"/>
    <x v="1"/>
    <m/>
    <x v="1"/>
    <x v="1"/>
    <m/>
    <n v="0"/>
    <x v="0"/>
    <s v=""/>
    <n v="3074419112.4562683"/>
  </r>
  <r>
    <x v="0"/>
    <x v="66"/>
    <x v="66"/>
    <x v="3"/>
    <x v="0"/>
    <x v="1"/>
    <x v="5"/>
    <x v="6"/>
    <s v="Multi-Year"/>
    <x v="1"/>
    <s v="N/A"/>
    <n v="2306517"/>
    <s v="Confirmed"/>
    <s v=""/>
    <x v="1"/>
    <x v="1"/>
    <m/>
    <x v="2"/>
    <x v="0"/>
    <m/>
    <n v="0"/>
    <x v="0"/>
    <s v="High"/>
    <n v="1914014279.8929913"/>
  </r>
  <r>
    <x v="0"/>
    <x v="67"/>
    <x v="67"/>
    <x v="6"/>
    <x v="0"/>
    <x v="1"/>
    <x v="5"/>
    <x v="6"/>
    <s v="Multi-Year"/>
    <x v="1"/>
    <s v="N/A"/>
    <s v=""/>
    <s v="Confirmed"/>
    <s v=""/>
    <x v="1"/>
    <x v="1"/>
    <m/>
    <x v="2"/>
    <x v="0"/>
    <m/>
    <n v="0"/>
    <x v="1"/>
    <s v="High"/>
    <n v="17422005.762907442"/>
  </r>
  <r>
    <x v="0"/>
    <x v="68"/>
    <x v="68"/>
    <x v="6"/>
    <x v="0"/>
    <x v="1"/>
    <x v="5"/>
    <x v="6"/>
    <s v="Multi-Year"/>
    <x v="1"/>
    <s v="N/A"/>
    <s v=""/>
    <s v="Confirmed"/>
    <s v=""/>
    <x v="1"/>
    <x v="1"/>
    <m/>
    <x v="0"/>
    <x v="0"/>
    <m/>
    <n v="0"/>
    <x v="0"/>
    <s v="N/A"/>
    <s v=""/>
  </r>
  <r>
    <x v="0"/>
    <x v="69"/>
    <x v="69"/>
    <x v="1"/>
    <x v="0"/>
    <x v="1"/>
    <x v="5"/>
    <x v="6"/>
    <s v="Multi-Year"/>
    <x v="1"/>
    <s v="N/A"/>
    <n v="0"/>
    <s v="Confirmed"/>
    <s v=""/>
    <x v="1"/>
    <x v="1"/>
    <m/>
    <x v="1"/>
    <x v="0"/>
    <m/>
    <n v="0"/>
    <x v="0"/>
    <s v="…"/>
    <s v=""/>
  </r>
  <r>
    <x v="0"/>
    <x v="70"/>
    <x v="70"/>
    <x v="1"/>
    <x v="0"/>
    <x v="1"/>
    <x v="5"/>
    <x v="6"/>
    <s v="Multi-Year"/>
    <x v="1"/>
    <s v="N/A"/>
    <n v="438418"/>
    <s v="Confirmed"/>
    <s v=""/>
    <x v="1"/>
    <x v="1"/>
    <m/>
    <x v="2"/>
    <x v="0"/>
    <m/>
    <n v="2"/>
    <x v="0"/>
    <s v="Moderate"/>
    <n v="231506834.84347546"/>
  </r>
  <r>
    <x v="0"/>
    <x v="71"/>
    <x v="71"/>
    <x v="6"/>
    <x v="0"/>
    <x v="1"/>
    <x v="5"/>
    <x v="6"/>
    <s v="Multi-Year"/>
    <x v="1"/>
    <s v="N/A"/>
    <n v="48600"/>
    <s v="Confirmed"/>
    <s v=""/>
    <x v="1"/>
    <x v="1"/>
    <m/>
    <x v="2"/>
    <x v="0"/>
    <m/>
    <n v="0"/>
    <x v="0"/>
    <s v="High"/>
    <n v="156059428.62944782"/>
  </r>
  <r>
    <x v="0"/>
    <x v="72"/>
    <x v="72"/>
    <x v="2"/>
    <x v="0"/>
    <x v="1"/>
    <x v="5"/>
    <x v="6"/>
    <s v="Multi-Year"/>
    <x v="1"/>
    <s v="N/A"/>
    <s v=""/>
    <s v="Confirmed"/>
    <s v=""/>
    <x v="1"/>
    <x v="1"/>
    <m/>
    <x v="1"/>
    <x v="1"/>
    <m/>
    <n v="0"/>
    <x v="0"/>
    <s v="N/A"/>
    <n v="2355391507.1635861"/>
  </r>
  <r>
    <x v="0"/>
    <x v="73"/>
    <x v="73"/>
    <x v="3"/>
    <x v="0"/>
    <x v="1"/>
    <x v="5"/>
    <x v="6"/>
    <s v="Multi-Year"/>
    <x v="1"/>
    <s v="N/A"/>
    <n v="390226"/>
    <s v="Confirmed"/>
    <s v=""/>
    <x v="1"/>
    <x v="1"/>
    <m/>
    <x v="2"/>
    <x v="0"/>
    <m/>
    <n v="0"/>
    <x v="0"/>
    <s v="Moderate"/>
    <n v="152760919.7684873"/>
  </r>
  <r>
    <x v="0"/>
    <x v="74"/>
    <x v="74"/>
    <x v="5"/>
    <x v="0"/>
    <x v="1"/>
    <x v="5"/>
    <x v="6"/>
    <s v="Multi-Year"/>
    <x v="1"/>
    <s v="N/A"/>
    <n v="0"/>
    <s v="Confirmed"/>
    <s v=""/>
    <x v="1"/>
    <x v="1"/>
    <m/>
    <x v="0"/>
    <x v="0"/>
    <m/>
    <n v="0"/>
    <x v="0"/>
    <s v="High"/>
    <n v="55072006.864440605"/>
  </r>
  <r>
    <x v="0"/>
    <x v="75"/>
    <x v="75"/>
    <x v="2"/>
    <x v="0"/>
    <x v="1"/>
    <x v="5"/>
    <x v="6"/>
    <s v="Multi-Year"/>
    <x v="1"/>
    <s v="N/A"/>
    <s v=""/>
    <s v="Confirmed"/>
    <s v=""/>
    <x v="1"/>
    <x v="1"/>
    <m/>
    <x v="1"/>
    <x v="1"/>
    <m/>
    <n v="0"/>
    <x v="0"/>
    <s v="N/A"/>
    <s v=""/>
  </r>
  <r>
    <x v="0"/>
    <x v="76"/>
    <x v="76"/>
    <x v="3"/>
    <x v="0"/>
    <x v="1"/>
    <x v="5"/>
    <x v="6"/>
    <s v="Multi-Year"/>
    <x v="1"/>
    <s v="N/A"/>
    <n v="0"/>
    <s v="Confirmed"/>
    <s v=""/>
    <x v="1"/>
    <x v="1"/>
    <m/>
    <x v="0"/>
    <x v="0"/>
    <m/>
    <n v="2"/>
    <x v="0"/>
    <s v="Moderate"/>
    <n v="206914157.05429548"/>
  </r>
  <r>
    <x v="0"/>
    <x v="77"/>
    <x v="77"/>
    <x v="3"/>
    <x v="0"/>
    <x v="1"/>
    <x v="5"/>
    <x v="6"/>
    <s v="Multi-Year"/>
    <x v="1"/>
    <s v="N/A"/>
    <n v="1131560"/>
    <s v="Confirmed"/>
    <s v=""/>
    <x v="1"/>
    <x v="1"/>
    <m/>
    <x v="0"/>
    <x v="0"/>
    <m/>
    <n v="2"/>
    <x v="0"/>
    <s v="High"/>
    <n v="185999915.02066413"/>
  </r>
  <r>
    <x v="0"/>
    <x v="78"/>
    <x v="78"/>
    <x v="6"/>
    <x v="0"/>
    <x v="1"/>
    <x v="5"/>
    <x v="6"/>
    <s v="Multi-Year"/>
    <x v="1"/>
    <s v="N/A"/>
    <s v=""/>
    <s v="Confirmed"/>
    <s v=""/>
    <x v="1"/>
    <x v="1"/>
    <m/>
    <x v="1"/>
    <x v="1"/>
    <m/>
    <n v="0"/>
    <x v="0"/>
    <s v=""/>
    <n v="6893755763.2501726"/>
  </r>
  <r>
    <x v="0"/>
    <x v="79"/>
    <x v="79"/>
    <x v="0"/>
    <x v="0"/>
    <x v="1"/>
    <x v="5"/>
    <x v="6"/>
    <s v="Multi-Year"/>
    <x v="1"/>
    <s v="N/A"/>
    <n v="0"/>
    <s v="Confirmed"/>
    <s v=""/>
    <x v="1"/>
    <x v="1"/>
    <m/>
    <x v="1"/>
    <x v="0"/>
    <m/>
    <n v="0"/>
    <x v="1"/>
    <s v="High"/>
    <n v="354560231.58276606"/>
  </r>
  <r>
    <x v="0"/>
    <x v="80"/>
    <x v="80"/>
    <x v="5"/>
    <x v="0"/>
    <x v="1"/>
    <x v="5"/>
    <x v="6"/>
    <s v="Multi-Year"/>
    <x v="1"/>
    <s v="N/A"/>
    <n v="3501223"/>
    <s v="Confirmed"/>
    <s v=""/>
    <x v="1"/>
    <x v="1"/>
    <m/>
    <x v="0"/>
    <x v="0"/>
    <m/>
    <n v="1"/>
    <x v="0"/>
    <s v="Moderate"/>
    <n v="188169167.56540567"/>
  </r>
  <r>
    <x v="0"/>
    <x v="81"/>
    <x v="81"/>
    <x v="6"/>
    <x v="0"/>
    <x v="1"/>
    <x v="5"/>
    <x v="6"/>
    <s v="Multi-Year"/>
    <x v="1"/>
    <s v="N/A"/>
    <s v=""/>
    <s v="Confirmed"/>
    <s v=""/>
    <x v="1"/>
    <x v="1"/>
    <m/>
    <x v="1"/>
    <x v="0"/>
    <m/>
    <n v="0"/>
    <x v="1"/>
    <s v=""/>
    <n v="16312106.556340856"/>
  </r>
  <r>
    <x v="0"/>
    <x v="82"/>
    <x v="82"/>
    <x v="5"/>
    <x v="0"/>
    <x v="1"/>
    <x v="5"/>
    <x v="6"/>
    <s v="Multi-Year"/>
    <x v="1"/>
    <s v="N/A"/>
    <n v="0"/>
    <s v="Confirmed"/>
    <s v=""/>
    <x v="1"/>
    <x v="1"/>
    <m/>
    <x v="2"/>
    <x v="0"/>
    <m/>
    <n v="2"/>
    <x v="0"/>
    <s v="High"/>
    <n v="86083833.534053758"/>
  </r>
  <r>
    <x v="0"/>
    <x v="83"/>
    <x v="83"/>
    <x v="3"/>
    <x v="0"/>
    <x v="1"/>
    <x v="5"/>
    <x v="6"/>
    <s v="Multi-Year"/>
    <x v="1"/>
    <s v="N/A"/>
    <s v=""/>
    <s v="Confirmed"/>
    <s v=""/>
    <x v="1"/>
    <x v="1"/>
    <m/>
    <x v="1"/>
    <x v="1"/>
    <m/>
    <n v="0"/>
    <x v="1"/>
    <s v="N/A"/>
    <n v="357220835.93762809"/>
  </r>
  <r>
    <x v="0"/>
    <x v="84"/>
    <x v="84"/>
    <x v="4"/>
    <x v="0"/>
    <x v="1"/>
    <x v="5"/>
    <x v="6"/>
    <s v="Multi-Year"/>
    <x v="1"/>
    <s v="N/A"/>
    <s v=""/>
    <s v="Confirmed"/>
    <s v=""/>
    <x v="1"/>
    <x v="1"/>
    <m/>
    <x v="1"/>
    <x v="1"/>
    <m/>
    <n v="0"/>
    <x v="0"/>
    <s v=""/>
    <n v="32831598153.796387"/>
  </r>
  <r>
    <x v="0"/>
    <x v="85"/>
    <x v="85"/>
    <x v="6"/>
    <x v="0"/>
    <x v="1"/>
    <x v="5"/>
    <x v="6"/>
    <s v="Multi-Year"/>
    <x v="1"/>
    <s v="N/A"/>
    <s v=""/>
    <s v="Confirmed"/>
    <s v=""/>
    <x v="1"/>
    <x v="1"/>
    <m/>
    <x v="2"/>
    <x v="0"/>
    <m/>
    <n v="0"/>
    <x v="1"/>
    <s v="High"/>
    <n v="12329056.093798399"/>
  </r>
  <r>
    <x v="0"/>
    <x v="86"/>
    <x v="86"/>
    <x v="1"/>
    <x v="0"/>
    <x v="1"/>
    <x v="5"/>
    <x v="6"/>
    <s v="Multi-Year"/>
    <x v="1"/>
    <s v="N/A"/>
    <n v="0"/>
    <s v="Confirmed"/>
    <s v=""/>
    <x v="1"/>
    <x v="1"/>
    <m/>
    <x v="1"/>
    <x v="0"/>
    <m/>
    <n v="0"/>
    <x v="0"/>
    <s v="Low"/>
    <n v="426639742.85328001"/>
  </r>
  <r>
    <x v="0"/>
    <x v="87"/>
    <x v="87"/>
    <x v="6"/>
    <x v="0"/>
    <x v="1"/>
    <x v="5"/>
    <x v="6"/>
    <s v="Multi-Year"/>
    <x v="1"/>
    <s v="N/A"/>
    <n v="0"/>
    <s v="Confirmed"/>
    <s v=""/>
    <x v="1"/>
    <x v="1"/>
    <m/>
    <x v="2"/>
    <x v="0"/>
    <m/>
    <n v="0"/>
    <x v="0"/>
    <s v="…"/>
    <n v="288519671.85870522"/>
  </r>
  <r>
    <x v="0"/>
    <x v="88"/>
    <x v="88"/>
    <x v="1"/>
    <x v="0"/>
    <x v="1"/>
    <x v="5"/>
    <x v="6"/>
    <s v="Multi-Year"/>
    <x v="1"/>
    <s v="N/A"/>
    <s v=""/>
    <s v="Confirmed"/>
    <s v=""/>
    <x v="1"/>
    <x v="1"/>
    <m/>
    <x v="1"/>
    <x v="1"/>
    <m/>
    <n v="0"/>
    <x v="0"/>
    <s v="N/A"/>
    <n v="275606560.78491527"/>
  </r>
  <r>
    <x v="0"/>
    <x v="89"/>
    <x v="89"/>
    <x v="2"/>
    <x v="0"/>
    <x v="1"/>
    <x v="5"/>
    <x v="6"/>
    <s v="Multi-Year"/>
    <x v="1"/>
    <s v="N/A"/>
    <s v=""/>
    <s v="Confirmed"/>
    <s v=""/>
    <x v="1"/>
    <x v="1"/>
    <m/>
    <x v="2"/>
    <x v="0"/>
    <m/>
    <n v="0"/>
    <x v="0"/>
    <s v="N/A"/>
    <n v="2530937679.3725696"/>
  </r>
  <r>
    <x v="0"/>
    <x v="90"/>
    <x v="90"/>
    <x v="3"/>
    <x v="0"/>
    <x v="1"/>
    <x v="5"/>
    <x v="6"/>
    <s v="Multi-Year"/>
    <x v="1"/>
    <s v="N/A"/>
    <n v="1625597"/>
    <s v="Confirmed"/>
    <s v=""/>
    <x v="1"/>
    <x v="1"/>
    <m/>
    <x v="0"/>
    <x v="0"/>
    <m/>
    <n v="0"/>
    <x v="0"/>
    <s v="In distress"/>
    <n v="251432156.86255455"/>
  </r>
  <r>
    <x v="0"/>
    <x v="91"/>
    <x v="91"/>
    <x v="6"/>
    <x v="0"/>
    <x v="1"/>
    <x v="5"/>
    <x v="6"/>
    <s v="Multi-Year"/>
    <x v="1"/>
    <s v="N/A"/>
    <n v="0"/>
    <s v="Confirmed"/>
    <s v=""/>
    <x v="1"/>
    <x v="1"/>
    <m/>
    <x v="2"/>
    <x v="0"/>
    <m/>
    <n v="0"/>
    <x v="0"/>
    <s v="Low"/>
    <n v="471534500.60109437"/>
  </r>
  <r>
    <x v="0"/>
    <x v="92"/>
    <x v="92"/>
    <x v="3"/>
    <x v="0"/>
    <x v="1"/>
    <x v="5"/>
    <x v="6"/>
    <s v="Multi-Year"/>
    <x v="1"/>
    <s v="N/A"/>
    <s v=""/>
    <s v="Confirmed"/>
    <s v=""/>
    <x v="1"/>
    <x v="1"/>
    <m/>
    <x v="1"/>
    <x v="1"/>
    <m/>
    <n v="0"/>
    <x v="0"/>
    <s v=""/>
    <n v="531677611.80447447"/>
  </r>
  <r>
    <x v="0"/>
    <x v="93"/>
    <x v="93"/>
    <x v="6"/>
    <x v="0"/>
    <x v="1"/>
    <x v="5"/>
    <x v="6"/>
    <s v="Multi-Year"/>
    <x v="1"/>
    <s v="N/A"/>
    <s v=""/>
    <s v="Confirmed"/>
    <s v=""/>
    <x v="1"/>
    <x v="1"/>
    <m/>
    <x v="3"/>
    <x v="1"/>
    <m/>
    <n v="0"/>
    <x v="1"/>
    <s v=""/>
    <n v="8528751.6418357007"/>
  </r>
  <r>
    <x v="0"/>
    <x v="94"/>
    <x v="94"/>
    <x v="0"/>
    <x v="0"/>
    <x v="1"/>
    <x v="5"/>
    <x v="6"/>
    <s v="Multi-Year"/>
    <x v="1"/>
    <s v="N/A"/>
    <n v="1058356"/>
    <s v="Confirmed"/>
    <s v=""/>
    <x v="1"/>
    <x v="1"/>
    <m/>
    <x v="2"/>
    <x v="0"/>
    <m/>
    <n v="0"/>
    <x v="0"/>
    <s v="Low"/>
    <n v="407084543.19089872"/>
  </r>
  <r>
    <x v="0"/>
    <x v="95"/>
    <x v="95"/>
    <x v="4"/>
    <x v="0"/>
    <x v="1"/>
    <x v="5"/>
    <x v="6"/>
    <s v="Multi-Year"/>
    <x v="1"/>
    <s v="N/A"/>
    <n v="0"/>
    <s v="Confirmed"/>
    <s v=""/>
    <x v="1"/>
    <x v="1"/>
    <m/>
    <x v="2"/>
    <x v="0"/>
    <m/>
    <n v="0"/>
    <x v="0"/>
    <s v="Moderate"/>
    <n v="671998341.93592453"/>
  </r>
  <r>
    <x v="0"/>
    <x v="96"/>
    <x v="96"/>
    <x v="5"/>
    <x v="0"/>
    <x v="1"/>
    <x v="5"/>
    <x v="6"/>
    <s v="Multi-Year"/>
    <x v="1"/>
    <s v="N/A"/>
    <n v="0"/>
    <s v="Confirmed"/>
    <s v=""/>
    <x v="1"/>
    <x v="1"/>
    <m/>
    <x v="0"/>
    <x v="0"/>
    <m/>
    <n v="1"/>
    <x v="0"/>
    <s v="Moderate"/>
    <n v="226203289.67158964"/>
  </r>
  <r>
    <x v="0"/>
    <x v="97"/>
    <x v="97"/>
    <x v="5"/>
    <x v="0"/>
    <x v="1"/>
    <x v="5"/>
    <x v="6"/>
    <s v="Multi-Year"/>
    <x v="1"/>
    <s v="N/A"/>
    <n v="5124130"/>
    <s v="Confirmed"/>
    <s v=""/>
    <x v="1"/>
    <x v="1"/>
    <m/>
    <x v="2"/>
    <x v="0"/>
    <m/>
    <n v="3"/>
    <x v="0"/>
    <s v="…"/>
    <n v="2438881113.1244688"/>
  </r>
  <r>
    <x v="0"/>
    <x v="98"/>
    <x v="98"/>
    <x v="1"/>
    <x v="0"/>
    <x v="1"/>
    <x v="5"/>
    <x v="6"/>
    <s v="Multi-Year"/>
    <x v="1"/>
    <s v="N/A"/>
    <s v=""/>
    <s v="Confirmed"/>
    <s v=""/>
    <x v="1"/>
    <x v="1"/>
    <m/>
    <x v="1"/>
    <x v="1"/>
    <m/>
    <n v="0"/>
    <x v="0"/>
    <s v=""/>
    <n v="476517795.73174149"/>
  </r>
  <r>
    <x v="0"/>
    <x v="99"/>
    <x v="99"/>
    <x v="0"/>
    <x v="0"/>
    <x v="1"/>
    <x v="5"/>
    <x v="6"/>
    <s v="Multi-Year"/>
    <x v="1"/>
    <s v="N/A"/>
    <n v="6705086"/>
    <s v="Confirmed"/>
    <s v=""/>
    <x v="1"/>
    <x v="1"/>
    <m/>
    <x v="2"/>
    <x v="0"/>
    <m/>
    <n v="0"/>
    <x v="0"/>
    <s v="…"/>
    <n v="3233351297.7679496"/>
  </r>
  <r>
    <x v="0"/>
    <x v="100"/>
    <x v="100"/>
    <x v="4"/>
    <x v="0"/>
    <x v="1"/>
    <x v="5"/>
    <x v="6"/>
    <s v="Multi-Year"/>
    <x v="1"/>
    <s v="N/A"/>
    <s v=""/>
    <s v="Confirmed"/>
    <s v=""/>
    <x v="1"/>
    <x v="1"/>
    <m/>
    <x v="3"/>
    <x v="1"/>
    <m/>
    <n v="0"/>
    <x v="1"/>
    <s v=""/>
    <n v="18180646.808608256"/>
  </r>
  <r>
    <x v="0"/>
    <x v="101"/>
    <x v="101"/>
    <x v="4"/>
    <x v="0"/>
    <x v="1"/>
    <x v="5"/>
    <x v="6"/>
    <s v="Multi-Year"/>
    <x v="1"/>
    <s v="N/A"/>
    <s v=""/>
    <s v="Confirmed"/>
    <s v=""/>
    <x v="1"/>
    <x v="1"/>
    <m/>
    <x v="1"/>
    <x v="1"/>
    <m/>
    <n v="0"/>
    <x v="0"/>
    <s v="N/A"/>
    <n v="3020530707.3485303"/>
  </r>
  <r>
    <x v="0"/>
    <x v="102"/>
    <x v="102"/>
    <x v="6"/>
    <x v="0"/>
    <x v="1"/>
    <x v="5"/>
    <x v="6"/>
    <s v="Multi-Year"/>
    <x v="1"/>
    <s v="N/A"/>
    <n v="0"/>
    <s v="Confirmed"/>
    <s v=""/>
    <x v="1"/>
    <x v="1"/>
    <m/>
    <x v="2"/>
    <x v="0"/>
    <m/>
    <n v="1"/>
    <x v="1"/>
    <s v="High"/>
    <n v="384406316.46074712"/>
  </r>
  <r>
    <x v="0"/>
    <x v="103"/>
    <x v="103"/>
    <x v="4"/>
    <x v="0"/>
    <x v="1"/>
    <x v="5"/>
    <x v="6"/>
    <s v="Multi-Year"/>
    <x v="1"/>
    <s v="N/A"/>
    <s v=""/>
    <s v="Confirmed"/>
    <s v=""/>
    <x v="1"/>
    <x v="1"/>
    <m/>
    <x v="1"/>
    <x v="1"/>
    <m/>
    <n v="0"/>
    <x v="0"/>
    <s v=""/>
    <n v="1218747108.9554784"/>
  </r>
  <r>
    <x v="0"/>
    <x v="104"/>
    <x v="104"/>
    <x v="4"/>
    <x v="0"/>
    <x v="1"/>
    <x v="5"/>
    <x v="6"/>
    <s v="Multi-Year"/>
    <x v="1"/>
    <s v="N/A"/>
    <s v=""/>
    <s v="Confirmed"/>
    <s v=""/>
    <x v="1"/>
    <x v="1"/>
    <m/>
    <x v="1"/>
    <x v="1"/>
    <m/>
    <n v="0"/>
    <x v="0"/>
    <s v=""/>
    <n v="7392665952.5895758"/>
  </r>
  <r>
    <x v="0"/>
    <x v="105"/>
    <x v="105"/>
    <x v="6"/>
    <x v="0"/>
    <x v="1"/>
    <x v="5"/>
    <x v="6"/>
    <s v="Multi-Year"/>
    <x v="1"/>
    <s v="N/A"/>
    <n v="0"/>
    <s v="Confirmed"/>
    <s v=""/>
    <x v="1"/>
    <x v="1"/>
    <m/>
    <x v="2"/>
    <x v="0"/>
    <m/>
    <n v="0"/>
    <x v="0"/>
    <s v="N/A"/>
    <n v="4754985988.6004429"/>
  </r>
  <r>
    <x v="0"/>
    <x v="106"/>
    <x v="106"/>
    <x v="1"/>
    <x v="0"/>
    <x v="1"/>
    <x v="5"/>
    <x v="6"/>
    <s v="Multi-Year"/>
    <x v="1"/>
    <s v="N/A"/>
    <s v=""/>
    <s v="Confirmed"/>
    <s v=""/>
    <x v="1"/>
    <x v="1"/>
    <m/>
    <x v="3"/>
    <x v="1"/>
    <m/>
    <n v="0"/>
    <x v="0"/>
    <s v=""/>
    <n v="26422210443.037273"/>
  </r>
  <r>
    <x v="0"/>
    <x v="107"/>
    <x v="107"/>
    <x v="1"/>
    <x v="0"/>
    <x v="1"/>
    <x v="5"/>
    <x v="6"/>
    <s v="Multi-Year"/>
    <x v="1"/>
    <s v="N/A"/>
    <s v=""/>
    <s v="Confirmed"/>
    <s v=""/>
    <x v="1"/>
    <x v="1"/>
    <m/>
    <x v="1"/>
    <x v="1"/>
    <m/>
    <n v="0"/>
    <x v="0"/>
    <s v=""/>
    <n v="10696495313.15033"/>
  </r>
  <r>
    <x v="0"/>
    <x v="108"/>
    <x v="108"/>
    <x v="1"/>
    <x v="0"/>
    <x v="1"/>
    <x v="5"/>
    <x v="6"/>
    <s v="Multi-Year"/>
    <x v="1"/>
    <s v="N/A"/>
    <s v=""/>
    <s v="Confirmed"/>
    <s v=""/>
    <x v="1"/>
    <x v="1"/>
    <m/>
    <x v="1"/>
    <x v="1"/>
    <m/>
    <n v="0"/>
    <x v="0"/>
    <s v=""/>
    <n v="52769713433.240509"/>
  </r>
  <r>
    <x v="0"/>
    <x v="109"/>
    <x v="109"/>
    <x v="3"/>
    <x v="0"/>
    <x v="1"/>
    <x v="5"/>
    <x v="6"/>
    <s v="Multi-Year"/>
    <x v="1"/>
    <s v="N/A"/>
    <n v="58776"/>
    <s v="Confirmed"/>
    <s v=""/>
    <x v="1"/>
    <x v="1"/>
    <m/>
    <x v="0"/>
    <x v="0"/>
    <m/>
    <n v="0"/>
    <x v="0"/>
    <s v="Moderate"/>
    <n v="225799814.51943746"/>
  </r>
  <r>
    <x v="0"/>
    <x v="110"/>
    <x v="110"/>
    <x v="6"/>
    <x v="0"/>
    <x v="1"/>
    <x v="5"/>
    <x v="6"/>
    <s v="Multi-Year"/>
    <x v="1"/>
    <s v="N/A"/>
    <s v=""/>
    <s v="Confirmed"/>
    <s v=""/>
    <x v="1"/>
    <x v="1"/>
    <m/>
    <x v="2"/>
    <x v="0"/>
    <m/>
    <n v="0"/>
    <x v="1"/>
    <s v="High"/>
    <n v="32192988.027009469"/>
  </r>
  <r>
    <x v="0"/>
    <x v="111"/>
    <x v="111"/>
    <x v="5"/>
    <x v="0"/>
    <x v="1"/>
    <x v="5"/>
    <x v="6"/>
    <s v="Multi-Year"/>
    <x v="1"/>
    <s v="N/A"/>
    <n v="194440"/>
    <s v="Confirmed"/>
    <s v=""/>
    <x v="1"/>
    <x v="1"/>
    <m/>
    <x v="2"/>
    <x v="0"/>
    <m/>
    <n v="0"/>
    <x v="1"/>
    <s v="In distress"/>
    <n v="11633535.136477679"/>
  </r>
  <r>
    <x v="0"/>
    <x v="112"/>
    <x v="112"/>
    <x v="5"/>
    <x v="0"/>
    <x v="1"/>
    <x v="5"/>
    <x v="6"/>
    <s v="Multi-Year"/>
    <x v="1"/>
    <s v="N/A"/>
    <n v="0"/>
    <s v="Confirmed"/>
    <s v=""/>
    <x v="1"/>
    <x v="1"/>
    <m/>
    <x v="2"/>
    <x v="0"/>
    <m/>
    <n v="2"/>
    <x v="0"/>
    <s v="Moderate"/>
    <n v="222008693.93354639"/>
  </r>
  <r>
    <x v="0"/>
    <x v="113"/>
    <x v="113"/>
    <x v="1"/>
    <x v="0"/>
    <x v="1"/>
    <x v="5"/>
    <x v="6"/>
    <s v="Multi-Year"/>
    <x v="1"/>
    <s v="N/A"/>
    <s v=""/>
    <s v="Confirmed"/>
    <s v=""/>
    <x v="1"/>
    <x v="1"/>
    <m/>
    <x v="1"/>
    <x v="1"/>
    <m/>
    <n v="0"/>
    <x v="0"/>
    <s v=""/>
    <n v="2564993795.1894679"/>
  </r>
  <r>
    <x v="0"/>
    <x v="114"/>
    <x v="114"/>
    <x v="3"/>
    <x v="0"/>
    <x v="1"/>
    <x v="5"/>
    <x v="6"/>
    <s v="Multi-Year"/>
    <x v="1"/>
    <s v="N/A"/>
    <s v=""/>
    <s v="Confirmed"/>
    <s v=""/>
    <x v="1"/>
    <x v="1"/>
    <m/>
    <x v="3"/>
    <x v="1"/>
    <m/>
    <n v="0"/>
    <x v="1"/>
    <s v="N/A"/>
    <n v="60237542.945069775"/>
  </r>
  <r>
    <x v="0"/>
    <x v="115"/>
    <x v="115"/>
    <x v="5"/>
    <x v="0"/>
    <x v="1"/>
    <x v="5"/>
    <x v="6"/>
    <s v="Multi-Year"/>
    <x v="1"/>
    <s v="N/A"/>
    <n v="715040"/>
    <s v="Confirmed"/>
    <s v=""/>
    <x v="1"/>
    <x v="1"/>
    <m/>
    <x v="0"/>
    <x v="0"/>
    <m/>
    <n v="0"/>
    <x v="0"/>
    <s v="High"/>
    <n v="63738640.538260505"/>
  </r>
  <r>
    <x v="0"/>
    <x v="116"/>
    <x v="116"/>
    <x v="6"/>
    <x v="0"/>
    <x v="1"/>
    <x v="5"/>
    <x v="6"/>
    <s v="Multi-Year"/>
    <x v="1"/>
    <s v="N/A"/>
    <s v=""/>
    <s v="Confirmed"/>
    <s v=""/>
    <x v="1"/>
    <x v="1"/>
    <m/>
    <x v="2"/>
    <x v="0"/>
    <m/>
    <n v="0"/>
    <x v="1"/>
    <s v="Moderate"/>
    <n v="49012774.055630356"/>
  </r>
  <r>
    <x v="0"/>
    <x v="117"/>
    <x v="117"/>
    <x v="3"/>
    <x v="0"/>
    <x v="1"/>
    <x v="5"/>
    <x v="6"/>
    <s v="Multi-Year"/>
    <x v="1"/>
    <s v="N/A"/>
    <n v="2620776"/>
    <s v="Confirmed"/>
    <s v=""/>
    <x v="1"/>
    <x v="1"/>
    <m/>
    <x v="0"/>
    <x v="0"/>
    <m/>
    <n v="1"/>
    <x v="0"/>
    <s v="In distress"/>
    <s v=""/>
  </r>
  <r>
    <x v="0"/>
    <x v="118"/>
    <x v="118"/>
    <x v="3"/>
    <x v="0"/>
    <x v="1"/>
    <x v="5"/>
    <x v="6"/>
    <s v="Multi-Year"/>
    <x v="1"/>
    <s v="N/A"/>
    <s v=""/>
    <s v="Confirmed"/>
    <s v=""/>
    <x v="1"/>
    <x v="1"/>
    <m/>
    <x v="1"/>
    <x v="1"/>
    <m/>
    <n v="0"/>
    <x v="0"/>
    <s v="N/A"/>
    <n v="16429121142.784708"/>
  </r>
  <r>
    <x v="0"/>
    <x v="119"/>
    <x v="119"/>
    <x v="3"/>
    <x v="0"/>
    <x v="1"/>
    <x v="5"/>
    <x v="6"/>
    <s v="Multi-Year"/>
    <x v="1"/>
    <s v="N/A"/>
    <n v="970391"/>
    <s v="Confirmed"/>
    <s v=""/>
    <x v="1"/>
    <x v="1"/>
    <m/>
    <x v="0"/>
    <x v="0"/>
    <m/>
    <n v="1"/>
    <x v="0"/>
    <s v="High"/>
    <n v="31684581.76217727"/>
  </r>
  <r>
    <x v="0"/>
    <x v="120"/>
    <x v="120"/>
    <x v="0"/>
    <x v="0"/>
    <x v="1"/>
    <x v="5"/>
    <x v="6"/>
    <s v="Multi-Year"/>
    <x v="1"/>
    <s v="N/A"/>
    <n v="0"/>
    <s v="Confirmed"/>
    <s v=""/>
    <x v="1"/>
    <x v="1"/>
    <m/>
    <x v="2"/>
    <x v="0"/>
    <m/>
    <n v="0"/>
    <x v="0"/>
    <s v="N/A"/>
    <n v="1373621563.5182886"/>
  </r>
  <r>
    <x v="0"/>
    <x v="121"/>
    <x v="121"/>
    <x v="4"/>
    <x v="0"/>
    <x v="1"/>
    <x v="5"/>
    <x v="6"/>
    <s v="Multi-Year"/>
    <x v="1"/>
    <s v="N/A"/>
    <s v=""/>
    <s v="Confirmed"/>
    <s v=""/>
    <x v="1"/>
    <x v="1"/>
    <m/>
    <x v="3"/>
    <x v="1"/>
    <m/>
    <n v="0"/>
    <x v="1"/>
    <s v=""/>
    <n v="24214370.889062837"/>
  </r>
  <r>
    <x v="0"/>
    <x v="122"/>
    <x v="122"/>
    <x v="4"/>
    <x v="0"/>
    <x v="1"/>
    <x v="5"/>
    <x v="6"/>
    <s v="Multi-Year"/>
    <x v="1"/>
    <s v="N/A"/>
    <n v="0"/>
    <s v="Confirmed"/>
    <s v=""/>
    <x v="1"/>
    <x v="1"/>
    <m/>
    <x v="1"/>
    <x v="0"/>
    <m/>
    <n v="0"/>
    <x v="1"/>
    <s v="…"/>
    <n v="39941279.609447442"/>
  </r>
  <r>
    <x v="0"/>
    <x v="123"/>
    <x v="123"/>
    <x v="4"/>
    <x v="0"/>
    <x v="1"/>
    <x v="5"/>
    <x v="6"/>
    <s v="Multi-Year"/>
    <x v="1"/>
    <s v="N/A"/>
    <n v="0"/>
    <s v="Confirmed"/>
    <s v=""/>
    <x v="1"/>
    <x v="1"/>
    <m/>
    <x v="1"/>
    <x v="0"/>
    <m/>
    <n v="0"/>
    <x v="1"/>
    <s v="High"/>
    <n v="24761675.260059897"/>
  </r>
  <r>
    <x v="0"/>
    <x v="124"/>
    <x v="124"/>
    <x v="2"/>
    <x v="0"/>
    <x v="1"/>
    <x v="5"/>
    <x v="6"/>
    <s v="Multi-Year"/>
    <x v="1"/>
    <s v="N/A"/>
    <n v="0"/>
    <s v="Confirmed"/>
    <s v=""/>
    <x v="1"/>
    <x v="1"/>
    <m/>
    <x v="2"/>
    <x v="0"/>
    <m/>
    <n v="0"/>
    <x v="0"/>
    <s v="N/A"/>
    <s v=""/>
  </r>
  <r>
    <x v="0"/>
    <x v="125"/>
    <x v="125"/>
    <x v="2"/>
    <x v="0"/>
    <x v="1"/>
    <x v="5"/>
    <x v="6"/>
    <s v="Multi-Year"/>
    <x v="1"/>
    <s v="N/A"/>
    <n v="1124355"/>
    <s v="Confirmed"/>
    <s v=""/>
    <x v="1"/>
    <x v="1"/>
    <m/>
    <x v="0"/>
    <x v="0"/>
    <m/>
    <n v="1"/>
    <x v="0"/>
    <s v="N/A"/>
    <n v="577156172.71229994"/>
  </r>
  <r>
    <x v="0"/>
    <x v="126"/>
    <x v="126"/>
    <x v="6"/>
    <x v="0"/>
    <x v="1"/>
    <x v="5"/>
    <x v="6"/>
    <s v="Multi-Year"/>
    <x v="1"/>
    <s v="N/A"/>
    <s v=""/>
    <s v="Confirmed"/>
    <s v=""/>
    <x v="1"/>
    <x v="1"/>
    <m/>
    <x v="1"/>
    <x v="1"/>
    <m/>
    <n v="0"/>
    <x v="1"/>
    <s v=""/>
    <n v="180052034.19851837"/>
  </r>
  <r>
    <x v="0"/>
    <x v="127"/>
    <x v="127"/>
    <x v="2"/>
    <x v="0"/>
    <x v="1"/>
    <x v="5"/>
    <x v="6"/>
    <s v="Multi-Year"/>
    <x v="1"/>
    <s v="N/A"/>
    <n v="1725869"/>
    <s v="Confirmed"/>
    <s v=""/>
    <x v="1"/>
    <x v="1"/>
    <m/>
    <x v="0"/>
    <x v="0"/>
    <m/>
    <n v="1"/>
    <x v="0"/>
    <s v="N/A"/>
    <s v=""/>
  </r>
  <r>
    <x v="0"/>
    <x v="128"/>
    <x v="128"/>
    <x v="1"/>
    <x v="0"/>
    <x v="1"/>
    <x v="5"/>
    <x v="6"/>
    <s v="Multi-Year"/>
    <x v="1"/>
    <s v="N/A"/>
    <n v="276360"/>
    <s v="Confirmed"/>
    <s v=""/>
    <x v="1"/>
    <x v="1"/>
    <m/>
    <x v="2"/>
    <x v="0"/>
    <m/>
    <n v="0"/>
    <x v="0"/>
    <s v="High"/>
    <n v="147296124.32232863"/>
  </r>
  <r>
    <x v="0"/>
    <x v="129"/>
    <x v="129"/>
    <x v="3"/>
    <x v="0"/>
    <x v="1"/>
    <x v="5"/>
    <x v="6"/>
    <s v="Multi-Year"/>
    <x v="1"/>
    <s v="N/A"/>
    <n v="0"/>
    <s v="Confirmed"/>
    <s v=""/>
    <x v="1"/>
    <x v="1"/>
    <m/>
    <x v="2"/>
    <x v="0"/>
    <m/>
    <n v="0"/>
    <x v="0"/>
    <s v="…"/>
    <n v="890576536.83065879"/>
  </r>
  <r>
    <x v="0"/>
    <x v="130"/>
    <x v="130"/>
    <x v="6"/>
    <x v="0"/>
    <x v="1"/>
    <x v="5"/>
    <x v="6"/>
    <s v="Multi-Year"/>
    <x v="1"/>
    <s v="N/A"/>
    <s v=""/>
    <s v="Confirmed"/>
    <s v=""/>
    <x v="1"/>
    <x v="1"/>
    <m/>
    <x v="1"/>
    <x v="1"/>
    <m/>
    <n v="0"/>
    <x v="0"/>
    <s v=""/>
    <n v="14611129792.346064"/>
  </r>
  <r>
    <x v="0"/>
    <x v="131"/>
    <x v="131"/>
    <x v="6"/>
    <x v="0"/>
    <x v="1"/>
    <x v="5"/>
    <x v="6"/>
    <s v="Multi-Year"/>
    <x v="1"/>
    <s v="N/A"/>
    <n v="0"/>
    <s v="Confirmed"/>
    <s v=""/>
    <x v="1"/>
    <x v="1"/>
    <m/>
    <x v="2"/>
    <x v="0"/>
    <m/>
    <n v="0"/>
    <x v="1"/>
    <s v="Low"/>
    <n v="72046877.233008593"/>
  </r>
  <r>
    <x v="0"/>
    <x v="132"/>
    <x v="132"/>
    <x v="5"/>
    <x v="0"/>
    <x v="1"/>
    <x v="5"/>
    <x v="6"/>
    <s v="Multi-Year"/>
    <x v="1"/>
    <s v="N/A"/>
    <n v="0"/>
    <s v="Confirmed"/>
    <s v=""/>
    <x v="1"/>
    <x v="1"/>
    <m/>
    <x v="0"/>
    <x v="0"/>
    <m/>
    <n v="0"/>
    <x v="0"/>
    <s v="High"/>
    <n v="56248139.267255567"/>
  </r>
  <r>
    <x v="0"/>
    <x v="133"/>
    <x v="133"/>
    <x v="6"/>
    <x v="0"/>
    <x v="1"/>
    <x v="5"/>
    <x v="6"/>
    <s v="Multi-Year"/>
    <x v="1"/>
    <s v="N/A"/>
    <n v="0"/>
    <s v="Confirmed"/>
    <s v=""/>
    <x v="1"/>
    <x v="1"/>
    <m/>
    <x v="1"/>
    <x v="0"/>
    <m/>
    <n v="0"/>
    <x v="1"/>
    <s v="High"/>
    <n v="15464031.712942109"/>
  </r>
  <r>
    <x v="0"/>
    <x v="134"/>
    <x v="134"/>
    <x v="4"/>
    <x v="0"/>
    <x v="1"/>
    <x v="5"/>
    <x v="6"/>
    <s v="Multi-Year"/>
    <x v="1"/>
    <s v="N/A"/>
    <s v=""/>
    <s v="Confirmed"/>
    <s v=""/>
    <x v="1"/>
    <x v="1"/>
    <m/>
    <x v="3"/>
    <x v="1"/>
    <m/>
    <n v="0"/>
    <x v="1"/>
    <s v="N/A"/>
    <n v="769564399.33249676"/>
  </r>
  <r>
    <x v="0"/>
    <x v="135"/>
    <x v="135"/>
    <x v="2"/>
    <x v="0"/>
    <x v="1"/>
    <x v="5"/>
    <x v="6"/>
    <s v="Multi-Year"/>
    <x v="1"/>
    <s v="N/A"/>
    <n v="0"/>
    <s v="Confirmed"/>
    <s v=""/>
    <x v="1"/>
    <x v="1"/>
    <m/>
    <x v="2"/>
    <x v="0"/>
    <m/>
    <n v="0"/>
    <x v="0"/>
    <s v="N/A"/>
    <n v="1668954539.7630196"/>
  </r>
  <r>
    <x v="0"/>
    <x v="136"/>
    <x v="136"/>
    <x v="1"/>
    <x v="0"/>
    <x v="1"/>
    <x v="5"/>
    <x v="6"/>
    <s v="Multi-Year"/>
    <x v="1"/>
    <s v="N/A"/>
    <s v=""/>
    <s v="Confirmed"/>
    <s v=""/>
    <x v="1"/>
    <x v="1"/>
    <m/>
    <x v="1"/>
    <x v="1"/>
    <m/>
    <n v="0"/>
    <x v="0"/>
    <s v=""/>
    <n v="24840920016.18832"/>
  </r>
  <r>
    <x v="0"/>
    <x v="137"/>
    <x v="137"/>
    <x v="1"/>
    <x v="0"/>
    <x v="1"/>
    <x v="5"/>
    <x v="6"/>
    <s v="Multi-Year"/>
    <x v="1"/>
    <s v="N/A"/>
    <s v=""/>
    <s v="Confirmed"/>
    <s v=""/>
    <x v="1"/>
    <x v="1"/>
    <m/>
    <x v="1"/>
    <x v="1"/>
    <m/>
    <n v="0"/>
    <x v="0"/>
    <s v="N/A"/>
    <n v="487888462.83720118"/>
  </r>
  <r>
    <x v="0"/>
    <x v="138"/>
    <x v="138"/>
    <x v="6"/>
    <x v="0"/>
    <x v="1"/>
    <x v="5"/>
    <x v="6"/>
    <s v="Multi-Year"/>
    <x v="1"/>
    <s v="N/A"/>
    <n v="0"/>
    <s v="Confirmed"/>
    <s v=""/>
    <x v="1"/>
    <x v="1"/>
    <m/>
    <x v="1"/>
    <x v="0"/>
    <m/>
    <n v="0"/>
    <x v="1"/>
    <s v="…"/>
    <n v="6365061.1736073596"/>
  </r>
  <r>
    <x v="0"/>
    <x v="139"/>
    <x v="139"/>
    <x v="3"/>
    <x v="0"/>
    <x v="1"/>
    <x v="5"/>
    <x v="6"/>
    <s v="Multi-Year"/>
    <x v="1"/>
    <s v="N/A"/>
    <n v="0"/>
    <s v="Confirmed"/>
    <s v=""/>
    <x v="1"/>
    <x v="1"/>
    <m/>
    <x v="0"/>
    <x v="0"/>
    <m/>
    <n v="2"/>
    <x v="0"/>
    <s v="Low"/>
    <n v="291799092.90196139"/>
  </r>
  <r>
    <x v="0"/>
    <x v="140"/>
    <x v="140"/>
    <x v="1"/>
    <x v="0"/>
    <x v="1"/>
    <x v="5"/>
    <x v="6"/>
    <s v="Multi-Year"/>
    <x v="1"/>
    <s v="N/A"/>
    <n v="0"/>
    <s v="Confirmed"/>
    <s v=""/>
    <x v="1"/>
    <x v="1"/>
    <m/>
    <x v="2"/>
    <x v="0"/>
    <m/>
    <n v="0"/>
    <x v="0"/>
    <s v="N/A"/>
    <n v="4844815340.2135534"/>
  </r>
  <r>
    <x v="0"/>
    <x v="141"/>
    <x v="141"/>
    <x v="4"/>
    <x v="0"/>
    <x v="1"/>
    <x v="5"/>
    <x v="6"/>
    <s v="Multi-Year"/>
    <x v="1"/>
    <s v="N/A"/>
    <s v=""/>
    <s v="Confirmed"/>
    <s v=""/>
    <x v="1"/>
    <x v="1"/>
    <m/>
    <x v="3"/>
    <x v="1"/>
    <m/>
    <n v="0"/>
    <x v="0"/>
    <s v=""/>
    <n v="4001891446.6871672"/>
  </r>
  <r>
    <x v="0"/>
    <x v="142"/>
    <x v="142"/>
    <x v="1"/>
    <x v="0"/>
    <x v="1"/>
    <x v="5"/>
    <x v="6"/>
    <s v="Multi-Year"/>
    <x v="1"/>
    <s v="N/A"/>
    <n v="1981860"/>
    <s v="Confirmed"/>
    <s v=""/>
    <x v="1"/>
    <x v="1"/>
    <m/>
    <x v="2"/>
    <x v="0"/>
    <m/>
    <n v="0"/>
    <x v="0"/>
    <s v="Low"/>
    <n v="1019800630.5853213"/>
  </r>
  <r>
    <x v="0"/>
    <x v="143"/>
    <x v="143"/>
    <x v="6"/>
    <x v="0"/>
    <x v="1"/>
    <x v="5"/>
    <x v="6"/>
    <s v="Multi-Year"/>
    <x v="1"/>
    <s v="N/A"/>
    <n v="0"/>
    <s v="Confirmed"/>
    <s v=""/>
    <x v="1"/>
    <x v="1"/>
    <m/>
    <x v="2"/>
    <x v="0"/>
    <m/>
    <n v="0"/>
    <x v="1"/>
    <s v="Moderate"/>
    <n v="19578671.310841195"/>
  </r>
  <r>
    <x v="0"/>
    <x v="144"/>
    <x v="144"/>
    <x v="4"/>
    <x v="0"/>
    <x v="1"/>
    <x v="5"/>
    <x v="6"/>
    <s v="Multi-Year"/>
    <x v="1"/>
    <s v="N/A"/>
    <s v=""/>
    <s v="Confirmed"/>
    <s v=""/>
    <x v="1"/>
    <x v="1"/>
    <m/>
    <x v="4"/>
    <x v="1"/>
    <m/>
    <n v="0"/>
    <x v="0"/>
    <s v="N/A"/>
    <n v="3551452001.0684834"/>
  </r>
  <r>
    <x v="0"/>
    <x v="145"/>
    <x v="145"/>
    <x v="6"/>
    <x v="0"/>
    <x v="1"/>
    <x v="5"/>
    <x v="6"/>
    <s v="Multi-Year"/>
    <x v="1"/>
    <s v="N/A"/>
    <n v="822197"/>
    <s v="Confirmed"/>
    <s v=""/>
    <x v="1"/>
    <x v="1"/>
    <m/>
    <x v="2"/>
    <x v="0"/>
    <m/>
    <n v="0"/>
    <x v="0"/>
    <s v="N/A"/>
    <n v="6603048821.7575006"/>
  </r>
  <r>
    <x v="0"/>
    <x v="146"/>
    <x v="146"/>
    <x v="2"/>
    <x v="0"/>
    <x v="1"/>
    <x v="5"/>
    <x v="6"/>
    <s v="Multi-Year"/>
    <x v="1"/>
    <s v="N/A"/>
    <n v="1043077"/>
    <s v="Confirmed"/>
    <s v=""/>
    <x v="1"/>
    <x v="1"/>
    <m/>
    <x v="0"/>
    <x v="0"/>
    <m/>
    <n v="1"/>
    <x v="0"/>
    <s v="…"/>
    <s v=""/>
  </r>
  <r>
    <x v="0"/>
    <x v="147"/>
    <x v="147"/>
    <x v="3"/>
    <x v="0"/>
    <x v="1"/>
    <x v="5"/>
    <x v="6"/>
    <s v="Multi-Year"/>
    <x v="1"/>
    <s v="N/A"/>
    <n v="637595"/>
    <s v="Confirmed"/>
    <s v=""/>
    <x v="1"/>
    <x v="1"/>
    <m/>
    <x v="2"/>
    <x v="0"/>
    <m/>
    <n v="0"/>
    <x v="0"/>
    <s v="High"/>
    <n v="515352723.9821828"/>
  </r>
  <r>
    <x v="0"/>
    <x v="148"/>
    <x v="148"/>
    <x v="3"/>
    <x v="0"/>
    <x v="1"/>
    <x v="5"/>
    <x v="6"/>
    <s v="Multi-Year"/>
    <x v="1"/>
    <s v="N/A"/>
    <n v="1157210"/>
    <s v="Confirmed"/>
    <s v=""/>
    <x v="1"/>
    <x v="1"/>
    <m/>
    <x v="2"/>
    <x v="0"/>
    <m/>
    <n v="0"/>
    <x v="0"/>
    <s v="N/A"/>
    <n v="566711742.22428358"/>
  </r>
  <r>
    <x v="0"/>
    <x v="129"/>
    <x v="129"/>
    <x v="3"/>
    <x v="0"/>
    <x v="2"/>
    <x v="26"/>
    <x v="8"/>
    <s v="Multi-Year"/>
    <x v="1"/>
    <s v="N/A"/>
    <n v="506757"/>
    <s v="Confirmed"/>
    <m/>
    <x v="1"/>
    <x v="0"/>
    <m/>
    <x v="2"/>
    <x v="0"/>
    <m/>
    <n v="0"/>
    <x v="0"/>
    <s v="…"/>
    <n v="890576536.83065879"/>
  </r>
  <r>
    <x v="1"/>
    <x v="149"/>
    <x v="149"/>
    <x v="7"/>
    <x v="0"/>
    <x v="4"/>
    <x v="27"/>
    <x v="12"/>
    <s v="Multi-Year"/>
    <x v="1"/>
    <s v="N/A"/>
    <n v="653000000"/>
    <s v="Unconfirmed"/>
    <m/>
    <x v="0"/>
    <x v="0"/>
    <m/>
    <x v="5"/>
    <x v="2"/>
    <m/>
    <m/>
    <x v="2"/>
    <s v=""/>
    <s v=""/>
  </r>
  <r>
    <x v="1"/>
    <x v="149"/>
    <x v="149"/>
    <x v="7"/>
    <x v="0"/>
    <x v="4"/>
    <x v="27"/>
    <x v="12"/>
    <s v="Multi-Year"/>
    <x v="0"/>
    <s v="N/A"/>
    <n v="500000000"/>
    <s v="Unconfirmed"/>
    <m/>
    <x v="0"/>
    <x v="0"/>
    <m/>
    <x v="5"/>
    <x v="2"/>
    <m/>
    <m/>
    <x v="2"/>
    <s v=""/>
    <s v=""/>
  </r>
  <r>
    <x v="1"/>
    <x v="149"/>
    <x v="149"/>
    <x v="7"/>
    <x v="0"/>
    <x v="2"/>
    <x v="28"/>
    <x v="13"/>
    <s v="Multi-Year"/>
    <x v="1"/>
    <s v="N/A"/>
    <n v="370000000"/>
    <s v="Unconfirmed"/>
    <m/>
    <x v="0"/>
    <x v="0"/>
    <m/>
    <x v="5"/>
    <x v="2"/>
    <m/>
    <m/>
    <x v="2"/>
    <s v=""/>
    <s v=""/>
  </r>
  <r>
    <x v="1"/>
    <x v="149"/>
    <x v="149"/>
    <x v="7"/>
    <x v="0"/>
    <x v="1"/>
    <x v="9"/>
    <x v="6"/>
    <s v="Multi-Year"/>
    <x v="1"/>
    <s v="N/A"/>
    <n v="36080554.690000005"/>
    <s v="Confirmed"/>
    <m/>
    <x v="0"/>
    <x v="0"/>
    <m/>
    <x v="5"/>
    <x v="2"/>
    <m/>
    <m/>
    <x v="2"/>
    <s v=""/>
    <s v=""/>
  </r>
  <r>
    <x v="0"/>
    <x v="0"/>
    <x v="0"/>
    <x v="0"/>
    <x v="0"/>
    <x v="1"/>
    <x v="29"/>
    <x v="6"/>
    <n v="2022"/>
    <x v="1"/>
    <s v="N/A"/>
    <s v=""/>
    <s v="Confirmed"/>
    <m/>
    <x v="0"/>
    <x v="0"/>
    <m/>
    <x v="0"/>
    <x v="0"/>
    <m/>
    <n v="1"/>
    <x v="0"/>
    <s v="High"/>
    <n v="95829480.719269618"/>
  </r>
  <r>
    <x v="0"/>
    <x v="1"/>
    <x v="1"/>
    <x v="1"/>
    <x v="0"/>
    <x v="1"/>
    <x v="29"/>
    <x v="6"/>
    <n v="2022"/>
    <x v="1"/>
    <s v="N/A"/>
    <s v=""/>
    <s v="Confirmed"/>
    <m/>
    <x v="0"/>
    <x v="0"/>
    <m/>
    <x v="1"/>
    <x v="1"/>
    <m/>
    <n v="0"/>
    <x v="0"/>
    <s v=""/>
    <n v="427904035.52443534"/>
  </r>
  <r>
    <x v="0"/>
    <x v="2"/>
    <x v="2"/>
    <x v="2"/>
    <x v="0"/>
    <x v="1"/>
    <x v="29"/>
    <x v="6"/>
    <n v="2022"/>
    <x v="1"/>
    <s v="N/A"/>
    <n v="849470"/>
    <s v="Confirmed"/>
    <m/>
    <x v="0"/>
    <x v="0"/>
    <m/>
    <x v="2"/>
    <x v="0"/>
    <m/>
    <n v="0"/>
    <x v="0"/>
    <s v="N/A"/>
    <n v="7113361022.7267885"/>
  </r>
  <r>
    <x v="0"/>
    <x v="3"/>
    <x v="3"/>
    <x v="3"/>
    <x v="0"/>
    <x v="1"/>
    <x v="29"/>
    <x v="6"/>
    <n v="2022"/>
    <x v="1"/>
    <s v="N/A"/>
    <s v=""/>
    <s v="Confirmed"/>
    <m/>
    <x v="0"/>
    <x v="0"/>
    <m/>
    <x v="2"/>
    <x v="0"/>
    <m/>
    <n v="0"/>
    <x v="0"/>
    <s v="…"/>
    <n v="1131865946.5875781"/>
  </r>
  <r>
    <x v="0"/>
    <x v="4"/>
    <x v="4"/>
    <x v="4"/>
    <x v="0"/>
    <x v="1"/>
    <x v="29"/>
    <x v="6"/>
    <n v="2022"/>
    <x v="1"/>
    <s v="N/A"/>
    <s v=""/>
    <s v="Confirmed"/>
    <m/>
    <x v="0"/>
    <x v="0"/>
    <m/>
    <x v="3"/>
    <x v="1"/>
    <m/>
    <n v="0"/>
    <x v="1"/>
    <s v=""/>
    <n v="46777779.823447868"/>
  </r>
  <r>
    <x v="0"/>
    <x v="5"/>
    <x v="5"/>
    <x v="4"/>
    <x v="0"/>
    <x v="1"/>
    <x v="29"/>
    <x v="6"/>
    <n v="2022"/>
    <x v="1"/>
    <s v="N/A"/>
    <s v=""/>
    <s v="Confirmed"/>
    <m/>
    <x v="0"/>
    <x v="0"/>
    <m/>
    <x v="1"/>
    <x v="1"/>
    <m/>
    <n v="0"/>
    <x v="0"/>
    <s v=""/>
    <n v="30725305777.596794"/>
  </r>
  <r>
    <x v="0"/>
    <x v="6"/>
    <x v="6"/>
    <x v="1"/>
    <x v="0"/>
    <x v="1"/>
    <x v="29"/>
    <x v="6"/>
    <n v="2022"/>
    <x v="1"/>
    <s v="N/A"/>
    <s v=""/>
    <s v="Confirmed"/>
    <m/>
    <x v="0"/>
    <x v="0"/>
    <m/>
    <x v="1"/>
    <x v="1"/>
    <m/>
    <n v="0"/>
    <x v="0"/>
    <s v=""/>
    <n v="153815827.8380394"/>
  </r>
  <r>
    <x v="0"/>
    <x v="7"/>
    <x v="7"/>
    <x v="1"/>
    <x v="0"/>
    <x v="1"/>
    <x v="29"/>
    <x v="6"/>
    <n v="2022"/>
    <x v="1"/>
    <s v="N/A"/>
    <s v=""/>
    <s v="Confirmed"/>
    <m/>
    <x v="0"/>
    <x v="0"/>
    <m/>
    <x v="1"/>
    <x v="1"/>
    <m/>
    <n v="0"/>
    <x v="0"/>
    <s v="N/A"/>
    <n v="437525105.31216973"/>
  </r>
  <r>
    <x v="0"/>
    <x v="8"/>
    <x v="8"/>
    <x v="4"/>
    <x v="0"/>
    <x v="1"/>
    <x v="29"/>
    <x v="6"/>
    <n v="2022"/>
    <x v="1"/>
    <s v="N/A"/>
    <s v=""/>
    <s v="Confirmed"/>
    <m/>
    <x v="0"/>
    <x v="0"/>
    <m/>
    <x v="3"/>
    <x v="1"/>
    <m/>
    <n v="0"/>
    <x v="1"/>
    <s v=""/>
    <n v="149463302.00602186"/>
  </r>
  <r>
    <x v="0"/>
    <x v="9"/>
    <x v="9"/>
    <x v="0"/>
    <x v="0"/>
    <x v="1"/>
    <x v="29"/>
    <x v="6"/>
    <n v="2022"/>
    <x v="1"/>
    <s v="N/A"/>
    <s v=""/>
    <s v="Confirmed"/>
    <m/>
    <x v="0"/>
    <x v="0"/>
    <m/>
    <x v="2"/>
    <x v="0"/>
    <m/>
    <n v="0"/>
    <x v="0"/>
    <s v="Low"/>
    <n v="1148322593.9600098"/>
  </r>
  <r>
    <x v="0"/>
    <x v="10"/>
    <x v="10"/>
    <x v="1"/>
    <x v="0"/>
    <x v="1"/>
    <x v="29"/>
    <x v="6"/>
    <n v="2022"/>
    <x v="1"/>
    <s v="N/A"/>
    <s v=""/>
    <s v="Confirmed"/>
    <m/>
    <x v="0"/>
    <x v="0"/>
    <m/>
    <x v="1"/>
    <x v="1"/>
    <m/>
    <n v="0"/>
    <x v="0"/>
    <s v=""/>
    <n v="2371102058.1093163"/>
  </r>
  <r>
    <x v="0"/>
    <x v="11"/>
    <x v="11"/>
    <x v="4"/>
    <x v="0"/>
    <x v="1"/>
    <x v="29"/>
    <x v="6"/>
    <n v="2022"/>
    <x v="1"/>
    <s v="N/A"/>
    <s v=""/>
    <s v="Confirmed"/>
    <m/>
    <x v="0"/>
    <x v="0"/>
    <m/>
    <x v="2"/>
    <x v="1"/>
    <m/>
    <n v="0"/>
    <x v="1"/>
    <s v="N/A"/>
    <n v="75151620.005215243"/>
  </r>
  <r>
    <x v="0"/>
    <x v="12"/>
    <x v="12"/>
    <x v="5"/>
    <x v="0"/>
    <x v="1"/>
    <x v="29"/>
    <x v="6"/>
    <n v="2022"/>
    <x v="1"/>
    <s v="N/A"/>
    <s v=""/>
    <s v="Confirmed"/>
    <m/>
    <x v="0"/>
    <x v="0"/>
    <m/>
    <x v="2"/>
    <x v="0"/>
    <m/>
    <n v="0"/>
    <x v="0"/>
    <s v="Moderate"/>
    <n v="69958487.197715744"/>
  </r>
  <r>
    <x v="0"/>
    <x v="13"/>
    <x v="13"/>
    <x v="0"/>
    <x v="0"/>
    <x v="1"/>
    <x v="29"/>
    <x v="6"/>
    <n v="2022"/>
    <x v="1"/>
    <s v="N/A"/>
    <n v="230000"/>
    <s v="Confirmed"/>
    <m/>
    <x v="0"/>
    <x v="0"/>
    <m/>
    <x v="2"/>
    <x v="0"/>
    <m/>
    <n v="0"/>
    <x v="0"/>
    <s v="…"/>
    <n v="61654608.560629159"/>
  </r>
  <r>
    <x v="0"/>
    <x v="14"/>
    <x v="14"/>
    <x v="4"/>
    <x v="0"/>
    <x v="1"/>
    <x v="29"/>
    <x v="6"/>
    <n v="2022"/>
    <x v="1"/>
    <s v="N/A"/>
    <n v="1280000"/>
    <s v="Confirmed"/>
    <m/>
    <x v="0"/>
    <x v="0"/>
    <m/>
    <x v="2"/>
    <x v="0"/>
    <m/>
    <n v="0"/>
    <x v="0"/>
    <s v="N/A"/>
    <n v="1806638707.7615163"/>
  </r>
  <r>
    <x v="0"/>
    <x v="15"/>
    <x v="15"/>
    <x v="1"/>
    <x v="0"/>
    <x v="1"/>
    <x v="29"/>
    <x v="6"/>
    <n v="2022"/>
    <x v="1"/>
    <s v="N/A"/>
    <s v=""/>
    <s v="Confirmed"/>
    <m/>
    <x v="0"/>
    <x v="0"/>
    <m/>
    <x v="1"/>
    <x v="1"/>
    <m/>
    <n v="0"/>
    <x v="0"/>
    <s v="N/A"/>
    <n v="1252696525.0627904"/>
  </r>
  <r>
    <x v="0"/>
    <x v="16"/>
    <x v="16"/>
    <x v="3"/>
    <x v="0"/>
    <x v="1"/>
    <x v="29"/>
    <x v="6"/>
    <n v="2022"/>
    <x v="1"/>
    <s v="N/A"/>
    <s v=""/>
    <s v="Confirmed"/>
    <m/>
    <x v="0"/>
    <x v="0"/>
    <m/>
    <x v="1"/>
    <x v="1"/>
    <m/>
    <n v="0"/>
    <x v="0"/>
    <s v=""/>
    <n v="843425084.07334602"/>
  </r>
  <r>
    <x v="0"/>
    <x v="17"/>
    <x v="17"/>
    <x v="4"/>
    <x v="0"/>
    <x v="1"/>
    <x v="29"/>
    <x v="6"/>
    <n v="2022"/>
    <x v="1"/>
    <s v="N/A"/>
    <s v=""/>
    <s v="Confirmed"/>
    <m/>
    <x v="0"/>
    <x v="0"/>
    <m/>
    <x v="1"/>
    <x v="1"/>
    <m/>
    <n v="0"/>
    <x v="0"/>
    <s v="N/A"/>
    <n v="74055620038.853683"/>
  </r>
  <r>
    <x v="0"/>
    <x v="18"/>
    <x v="18"/>
    <x v="1"/>
    <x v="0"/>
    <x v="1"/>
    <x v="29"/>
    <x v="6"/>
    <n v="2022"/>
    <x v="1"/>
    <s v="N/A"/>
    <s v=""/>
    <s v="Confirmed"/>
    <m/>
    <x v="0"/>
    <x v="0"/>
    <m/>
    <x v="1"/>
    <x v="1"/>
    <m/>
    <n v="0"/>
    <x v="0"/>
    <s v=""/>
    <n v="2803357765.5888777"/>
  </r>
  <r>
    <x v="0"/>
    <x v="19"/>
    <x v="19"/>
    <x v="5"/>
    <x v="0"/>
    <x v="1"/>
    <x v="29"/>
    <x v="6"/>
    <n v="2022"/>
    <x v="1"/>
    <s v="N/A"/>
    <s v=""/>
    <s v="Confirmed"/>
    <m/>
    <x v="0"/>
    <x v="0"/>
    <m/>
    <x v="0"/>
    <x v="0"/>
    <m/>
    <n v="2"/>
    <x v="0"/>
    <s v="Moderate"/>
    <n v="337927779.25510043"/>
  </r>
  <r>
    <x v="0"/>
    <x v="20"/>
    <x v="20"/>
    <x v="3"/>
    <x v="0"/>
    <x v="1"/>
    <x v="29"/>
    <x v="6"/>
    <n v="2022"/>
    <x v="1"/>
    <s v="N/A"/>
    <s v=""/>
    <s v="Confirmed"/>
    <m/>
    <x v="0"/>
    <x v="0"/>
    <m/>
    <x v="0"/>
    <x v="0"/>
    <m/>
    <n v="2"/>
    <x v="0"/>
    <s v="…"/>
    <n v="65979512.47399316"/>
  </r>
  <r>
    <x v="0"/>
    <x v="21"/>
    <x v="21"/>
    <x v="5"/>
    <x v="0"/>
    <x v="1"/>
    <x v="29"/>
    <x v="6"/>
    <n v="2022"/>
    <x v="1"/>
    <s v="N/A"/>
    <n v="227642"/>
    <s v="Confirmed"/>
    <m/>
    <x v="0"/>
    <x v="0"/>
    <m/>
    <x v="2"/>
    <x v="0"/>
    <m/>
    <n v="0"/>
    <x v="1"/>
    <s v="High"/>
    <n v="63748362.778827004"/>
  </r>
  <r>
    <x v="0"/>
    <x v="22"/>
    <x v="22"/>
    <x v="6"/>
    <x v="0"/>
    <x v="1"/>
    <x v="29"/>
    <x v="6"/>
    <n v="2022"/>
    <x v="1"/>
    <s v="N/A"/>
    <s v=""/>
    <s v="Confirmed"/>
    <m/>
    <x v="0"/>
    <x v="0"/>
    <m/>
    <x v="2"/>
    <x v="0"/>
    <m/>
    <n v="0"/>
    <x v="0"/>
    <s v="Low"/>
    <n v="313039649.45369786"/>
  </r>
  <r>
    <x v="0"/>
    <x v="23"/>
    <x v="23"/>
    <x v="5"/>
    <x v="0"/>
    <x v="1"/>
    <x v="29"/>
    <x v="6"/>
    <n v="2022"/>
    <x v="1"/>
    <s v="N/A"/>
    <s v=""/>
    <s v="Confirmed"/>
    <m/>
    <x v="0"/>
    <x v="0"/>
    <m/>
    <x v="2"/>
    <x v="0"/>
    <m/>
    <n v="2"/>
    <x v="0"/>
    <s v="High"/>
    <n v="81361801.477472037"/>
  </r>
  <r>
    <x v="0"/>
    <x v="24"/>
    <x v="24"/>
    <x v="5"/>
    <x v="0"/>
    <x v="1"/>
    <x v="29"/>
    <x v="6"/>
    <n v="2022"/>
    <x v="1"/>
    <s v="N/A"/>
    <s v=""/>
    <s v="Confirmed"/>
    <m/>
    <x v="0"/>
    <x v="0"/>
    <m/>
    <x v="0"/>
    <x v="0"/>
    <m/>
    <n v="1"/>
    <x v="0"/>
    <s v="High"/>
    <s v=""/>
  </r>
  <r>
    <x v="0"/>
    <x v="25"/>
    <x v="25"/>
    <x v="5"/>
    <x v="0"/>
    <x v="1"/>
    <x v="29"/>
    <x v="6"/>
    <n v="2022"/>
    <x v="1"/>
    <s v="N/A"/>
    <s v=""/>
    <s v="Confirmed"/>
    <m/>
    <x v="0"/>
    <x v="0"/>
    <m/>
    <x v="0"/>
    <x v="0"/>
    <m/>
    <n v="1"/>
    <x v="0"/>
    <s v="High"/>
    <n v="76939306.715636879"/>
  </r>
  <r>
    <x v="0"/>
    <x v="26"/>
    <x v="26"/>
    <x v="4"/>
    <x v="0"/>
    <x v="1"/>
    <x v="29"/>
    <x v="6"/>
    <n v="2022"/>
    <x v="1"/>
    <s v="N/A"/>
    <s v=""/>
    <s v="Confirmed"/>
    <m/>
    <x v="0"/>
    <x v="0"/>
    <m/>
    <x v="3"/>
    <x v="1"/>
    <m/>
    <n v="0"/>
    <x v="0"/>
    <s v=""/>
    <n v="13859708717.682571"/>
  </r>
  <r>
    <x v="0"/>
    <x v="27"/>
    <x v="27"/>
    <x v="6"/>
    <x v="0"/>
    <x v="1"/>
    <x v="29"/>
    <x v="6"/>
    <n v="2022"/>
    <x v="1"/>
    <s v="N/A"/>
    <s v=""/>
    <s v="Confirmed"/>
    <m/>
    <x v="0"/>
    <x v="0"/>
    <m/>
    <x v="1"/>
    <x v="1"/>
    <m/>
    <n v="0"/>
    <x v="0"/>
    <s v=""/>
    <n v="403567160707.7016"/>
  </r>
  <r>
    <x v="0"/>
    <x v="28"/>
    <x v="28"/>
    <x v="4"/>
    <x v="0"/>
    <x v="1"/>
    <x v="29"/>
    <x v="6"/>
    <n v="2022"/>
    <x v="1"/>
    <s v="N/A"/>
    <s v=""/>
    <s v="Confirmed"/>
    <m/>
    <x v="0"/>
    <x v="0"/>
    <m/>
    <x v="1"/>
    <x v="1"/>
    <m/>
    <n v="0"/>
    <x v="0"/>
    <s v=""/>
    <n v="18250225995.972618"/>
  </r>
  <r>
    <x v="0"/>
    <x v="29"/>
    <x v="29"/>
    <x v="3"/>
    <x v="0"/>
    <x v="1"/>
    <x v="29"/>
    <x v="6"/>
    <n v="2022"/>
    <x v="1"/>
    <s v="N/A"/>
    <s v=""/>
    <s v="Confirmed"/>
    <m/>
    <x v="0"/>
    <x v="0"/>
    <m/>
    <x v="2"/>
    <x v="0"/>
    <m/>
    <n v="0"/>
    <x v="1"/>
    <s v="Moderate"/>
    <n v="5027591.1682657599"/>
  </r>
  <r>
    <x v="0"/>
    <x v="30"/>
    <x v="30"/>
    <x v="5"/>
    <x v="0"/>
    <x v="1"/>
    <x v="29"/>
    <x v="6"/>
    <n v="2022"/>
    <x v="1"/>
    <s v="N/A"/>
    <s v=""/>
    <s v="Confirmed"/>
    <m/>
    <x v="0"/>
    <x v="0"/>
    <m/>
    <x v="0"/>
    <x v="0"/>
    <m/>
    <n v="3"/>
    <x v="0"/>
    <s v="Moderate"/>
    <n v="234645958.63289919"/>
  </r>
  <r>
    <x v="0"/>
    <x v="31"/>
    <x v="31"/>
    <x v="5"/>
    <x v="0"/>
    <x v="1"/>
    <x v="29"/>
    <x v="6"/>
    <n v="2022"/>
    <x v="1"/>
    <s v="N/A"/>
    <s v=""/>
    <s v="Confirmed"/>
    <m/>
    <x v="0"/>
    <x v="0"/>
    <m/>
    <x v="2"/>
    <x v="0"/>
    <m/>
    <n v="2"/>
    <x v="0"/>
    <s v="In distress"/>
    <n v="91590910.247314155"/>
  </r>
  <r>
    <x v="0"/>
    <x v="32"/>
    <x v="32"/>
    <x v="6"/>
    <x v="0"/>
    <x v="1"/>
    <x v="29"/>
    <x v="6"/>
    <n v="2022"/>
    <x v="1"/>
    <s v="N/A"/>
    <s v=""/>
    <s v="Confirmed"/>
    <m/>
    <x v="0"/>
    <x v="0"/>
    <m/>
    <x v="4"/>
    <x v="1"/>
    <m/>
    <n v="0"/>
    <x v="1"/>
    <s v="N/A"/>
    <n v="8560012.8840167802"/>
  </r>
  <r>
    <x v="0"/>
    <x v="33"/>
    <x v="33"/>
    <x v="4"/>
    <x v="0"/>
    <x v="1"/>
    <x v="29"/>
    <x v="6"/>
    <n v="2022"/>
    <x v="1"/>
    <s v="N/A"/>
    <s v=""/>
    <s v="Confirmed"/>
    <m/>
    <x v="0"/>
    <x v="0"/>
    <m/>
    <x v="1"/>
    <x v="1"/>
    <m/>
    <n v="0"/>
    <x v="0"/>
    <s v="N/A"/>
    <n v="3292372960.3962669"/>
  </r>
  <r>
    <x v="0"/>
    <x v="34"/>
    <x v="34"/>
    <x v="5"/>
    <x v="0"/>
    <x v="1"/>
    <x v="29"/>
    <x v="6"/>
    <n v="2022"/>
    <x v="1"/>
    <s v="N/A"/>
    <s v=""/>
    <s v="Confirmed"/>
    <m/>
    <x v="0"/>
    <x v="0"/>
    <m/>
    <x v="2"/>
    <x v="0"/>
    <m/>
    <n v="0"/>
    <x v="0"/>
    <s v="Moderate"/>
    <n v="519209981.22981054"/>
  </r>
  <r>
    <x v="0"/>
    <x v="35"/>
    <x v="35"/>
    <x v="1"/>
    <x v="0"/>
    <x v="1"/>
    <x v="29"/>
    <x v="6"/>
    <n v="2022"/>
    <x v="1"/>
    <s v="N/A"/>
    <s v=""/>
    <s v="Confirmed"/>
    <m/>
    <x v="0"/>
    <x v="0"/>
    <m/>
    <x v="3"/>
    <x v="1"/>
    <m/>
    <n v="0"/>
    <x v="0"/>
    <s v=""/>
    <n v="3464739907.1604805"/>
  </r>
  <r>
    <x v="0"/>
    <x v="36"/>
    <x v="36"/>
    <x v="4"/>
    <x v="0"/>
    <x v="1"/>
    <x v="29"/>
    <x v="6"/>
    <n v="2022"/>
    <x v="1"/>
    <s v="N/A"/>
    <s v=""/>
    <s v="Confirmed"/>
    <m/>
    <x v="0"/>
    <x v="0"/>
    <m/>
    <x v="1"/>
    <x v="1"/>
    <m/>
    <n v="0"/>
    <x v="1"/>
    <s v=""/>
    <n v="9948521252.2569065"/>
  </r>
  <r>
    <x v="0"/>
    <x v="37"/>
    <x v="37"/>
    <x v="2"/>
    <x v="0"/>
    <x v="1"/>
    <x v="29"/>
    <x v="6"/>
    <n v="2022"/>
    <x v="1"/>
    <s v="N/A"/>
    <s v=""/>
    <s v="Confirmed"/>
    <m/>
    <x v="0"/>
    <x v="0"/>
    <m/>
    <x v="2"/>
    <x v="0"/>
    <m/>
    <n v="1"/>
    <x v="0"/>
    <s v="High"/>
    <n v="33679192.765657313"/>
  </r>
  <r>
    <x v="0"/>
    <x v="38"/>
    <x v="38"/>
    <x v="4"/>
    <x v="0"/>
    <x v="1"/>
    <x v="29"/>
    <x v="6"/>
    <n v="2022"/>
    <x v="1"/>
    <s v="N/A"/>
    <n v="200000"/>
    <s v="Confirmed"/>
    <m/>
    <x v="0"/>
    <x v="0"/>
    <m/>
    <x v="1"/>
    <x v="0"/>
    <m/>
    <n v="0"/>
    <x v="1"/>
    <s v="…"/>
    <n v="22784494.365742501"/>
  </r>
  <r>
    <x v="0"/>
    <x v="39"/>
    <x v="39"/>
    <x v="4"/>
    <x v="0"/>
    <x v="1"/>
    <x v="29"/>
    <x v="6"/>
    <n v="2022"/>
    <x v="1"/>
    <s v="N/A"/>
    <s v=""/>
    <s v="Confirmed"/>
    <m/>
    <x v="0"/>
    <x v="0"/>
    <m/>
    <x v="1"/>
    <x v="1"/>
    <m/>
    <n v="0"/>
    <x v="1"/>
    <s v=""/>
    <n v="2173208011.4858823"/>
  </r>
  <r>
    <x v="0"/>
    <x v="40"/>
    <x v="40"/>
    <x v="4"/>
    <x v="0"/>
    <x v="1"/>
    <x v="29"/>
    <x v="6"/>
    <n v="2022"/>
    <x v="1"/>
    <s v="N/A"/>
    <s v=""/>
    <s v="Confirmed"/>
    <m/>
    <x v="0"/>
    <x v="0"/>
    <m/>
    <x v="1"/>
    <x v="1"/>
    <m/>
    <n v="0"/>
    <x v="0"/>
    <s v="N/A"/>
    <n v="4585736158.8323269"/>
  </r>
  <r>
    <x v="0"/>
    <x v="41"/>
    <x v="41"/>
    <x v="2"/>
    <x v="0"/>
    <x v="1"/>
    <x v="29"/>
    <x v="6"/>
    <n v="2022"/>
    <x v="1"/>
    <s v="N/A"/>
    <n v="3628370"/>
    <s v="Confirmed"/>
    <m/>
    <x v="0"/>
    <x v="0"/>
    <m/>
    <x v="2"/>
    <x v="0"/>
    <m/>
    <n v="0"/>
    <x v="0"/>
    <s v="N/A"/>
    <n v="3550291584.8645592"/>
  </r>
  <r>
    <x v="0"/>
    <x v="42"/>
    <x v="42"/>
    <x v="4"/>
    <x v="0"/>
    <x v="1"/>
    <x v="29"/>
    <x v="6"/>
    <n v="2022"/>
    <x v="1"/>
    <s v="N/A"/>
    <n v="1191606"/>
    <s v="Confirmed"/>
    <m/>
    <x v="0"/>
    <x v="0"/>
    <m/>
    <x v="2"/>
    <x v="0"/>
    <m/>
    <n v="0"/>
    <x v="0"/>
    <s v="N/A"/>
    <n v="1182840319.0410969"/>
  </r>
  <r>
    <x v="0"/>
    <x v="43"/>
    <x v="43"/>
    <x v="4"/>
    <x v="0"/>
    <x v="1"/>
    <x v="29"/>
    <x v="6"/>
    <n v="2022"/>
    <x v="1"/>
    <s v="N/A"/>
    <s v=""/>
    <s v="Confirmed"/>
    <m/>
    <x v="0"/>
    <x v="0"/>
    <m/>
    <x v="1"/>
    <x v="1"/>
    <m/>
    <n v="0"/>
    <x v="0"/>
    <s v=""/>
    <n v="81728347.604567245"/>
  </r>
  <r>
    <x v="0"/>
    <x v="44"/>
    <x v="44"/>
    <x v="3"/>
    <x v="0"/>
    <x v="1"/>
    <x v="29"/>
    <x v="6"/>
    <n v="2022"/>
    <x v="1"/>
    <s v="N/A"/>
    <s v=""/>
    <s v="Confirmed"/>
    <m/>
    <x v="0"/>
    <x v="0"/>
    <m/>
    <x v="0"/>
    <x v="0"/>
    <m/>
    <n v="2"/>
    <x v="0"/>
    <s v="N/A"/>
    <n v="12787914.977715338"/>
  </r>
  <r>
    <x v="0"/>
    <x v="45"/>
    <x v="45"/>
    <x v="3"/>
    <x v="0"/>
    <x v="1"/>
    <x v="29"/>
    <x v="6"/>
    <n v="2022"/>
    <x v="1"/>
    <s v="N/A"/>
    <n v="230000"/>
    <s v="Confirmed"/>
    <m/>
    <x v="0"/>
    <x v="0"/>
    <m/>
    <x v="2"/>
    <x v="0"/>
    <m/>
    <n v="2"/>
    <x v="0"/>
    <s v="N/A"/>
    <n v="101271737.65410839"/>
  </r>
  <r>
    <x v="0"/>
    <x v="46"/>
    <x v="46"/>
    <x v="3"/>
    <x v="0"/>
    <x v="1"/>
    <x v="29"/>
    <x v="6"/>
    <n v="2022"/>
    <x v="1"/>
    <s v="N/A"/>
    <s v=""/>
    <s v="Confirmed"/>
    <m/>
    <x v="0"/>
    <x v="0"/>
    <m/>
    <x v="0"/>
    <x v="0"/>
    <m/>
    <n v="3"/>
    <x v="0"/>
    <s v="High"/>
    <n v="618344226.71759331"/>
  </r>
  <r>
    <x v="0"/>
    <x v="47"/>
    <x v="47"/>
    <x v="6"/>
    <x v="0"/>
    <x v="1"/>
    <x v="29"/>
    <x v="6"/>
    <n v="2022"/>
    <x v="1"/>
    <s v="N/A"/>
    <n v="230000"/>
    <s v="Confirmed"/>
    <m/>
    <x v="0"/>
    <x v="0"/>
    <m/>
    <x v="1"/>
    <x v="0"/>
    <m/>
    <n v="0"/>
    <x v="1"/>
    <s v="…"/>
    <n v="129483872.95906857"/>
  </r>
  <r>
    <x v="0"/>
    <x v="48"/>
    <x v="48"/>
    <x v="5"/>
    <x v="0"/>
    <x v="1"/>
    <x v="29"/>
    <x v="6"/>
    <n v="2022"/>
    <x v="1"/>
    <s v="N/A"/>
    <s v=""/>
    <s v="Confirmed"/>
    <m/>
    <x v="0"/>
    <x v="0"/>
    <m/>
    <x v="1"/>
    <x v="1"/>
    <m/>
    <n v="0"/>
    <x v="0"/>
    <s v="N/A"/>
    <n v="271184658.35014349"/>
  </r>
  <r>
    <x v="0"/>
    <x v="49"/>
    <x v="49"/>
    <x v="5"/>
    <x v="0"/>
    <x v="1"/>
    <x v="29"/>
    <x v="6"/>
    <n v="2022"/>
    <x v="1"/>
    <s v="N/A"/>
    <s v=""/>
    <s v="Confirmed"/>
    <m/>
    <x v="0"/>
    <x v="0"/>
    <m/>
    <x v="0"/>
    <x v="0"/>
    <m/>
    <n v="0"/>
    <x v="0"/>
    <s v="High"/>
    <n v="15455265.086884515"/>
  </r>
  <r>
    <x v="0"/>
    <x v="50"/>
    <x v="50"/>
    <x v="1"/>
    <x v="0"/>
    <x v="1"/>
    <x v="29"/>
    <x v="6"/>
    <n v="2022"/>
    <x v="1"/>
    <s v="N/A"/>
    <s v=""/>
    <s v="Confirmed"/>
    <m/>
    <x v="0"/>
    <x v="0"/>
    <m/>
    <x v="1"/>
    <x v="1"/>
    <m/>
    <n v="0"/>
    <x v="0"/>
    <s v="N/A"/>
    <n v="494021502.525527"/>
  </r>
  <r>
    <x v="0"/>
    <x v="51"/>
    <x v="51"/>
    <x v="5"/>
    <x v="0"/>
    <x v="1"/>
    <x v="29"/>
    <x v="6"/>
    <n v="2022"/>
    <x v="1"/>
    <s v="N/A"/>
    <s v=""/>
    <s v="Confirmed"/>
    <m/>
    <x v="0"/>
    <x v="0"/>
    <m/>
    <x v="2"/>
    <x v="0"/>
    <m/>
    <n v="0"/>
    <x v="0"/>
    <s v="High"/>
    <n v="902005621.73836684"/>
  </r>
  <r>
    <x v="0"/>
    <x v="52"/>
    <x v="52"/>
    <x v="4"/>
    <x v="0"/>
    <x v="1"/>
    <x v="29"/>
    <x v="6"/>
    <n v="2022"/>
    <x v="1"/>
    <s v="N/A"/>
    <n v="200000"/>
    <s v="Confirmed"/>
    <m/>
    <x v="0"/>
    <x v="0"/>
    <m/>
    <x v="1"/>
    <x v="0"/>
    <m/>
    <n v="0"/>
    <x v="1"/>
    <s v="In distress"/>
    <n v="20201670.142996579"/>
  </r>
  <r>
    <x v="0"/>
    <x v="53"/>
    <x v="53"/>
    <x v="4"/>
    <x v="0"/>
    <x v="1"/>
    <x v="29"/>
    <x v="6"/>
    <n v="2022"/>
    <x v="1"/>
    <s v="N/A"/>
    <s v=""/>
    <s v="Confirmed"/>
    <m/>
    <x v="0"/>
    <x v="0"/>
    <m/>
    <x v="1"/>
    <x v="1"/>
    <m/>
    <n v="0"/>
    <x v="0"/>
    <s v=""/>
    <n v="1612434649.6948864"/>
  </r>
  <r>
    <x v="0"/>
    <x v="54"/>
    <x v="54"/>
    <x v="5"/>
    <x v="0"/>
    <x v="1"/>
    <x v="29"/>
    <x v="6"/>
    <n v="2022"/>
    <x v="1"/>
    <s v="N/A"/>
    <s v=""/>
    <s v="Confirmed"/>
    <m/>
    <x v="0"/>
    <x v="0"/>
    <m/>
    <x v="0"/>
    <x v="0"/>
    <m/>
    <n v="0"/>
    <x v="0"/>
    <s v="Moderate"/>
    <n v="78203134.118229344"/>
  </r>
  <r>
    <x v="0"/>
    <x v="55"/>
    <x v="55"/>
    <x v="5"/>
    <x v="0"/>
    <x v="1"/>
    <x v="29"/>
    <x v="6"/>
    <n v="2022"/>
    <x v="1"/>
    <s v="N/A"/>
    <s v=""/>
    <s v="Confirmed"/>
    <m/>
    <x v="0"/>
    <x v="0"/>
    <m/>
    <x v="0"/>
    <x v="0"/>
    <m/>
    <n v="2"/>
    <x v="1"/>
    <s v="High"/>
    <n v="9151637.7411015611"/>
  </r>
  <r>
    <x v="0"/>
    <x v="56"/>
    <x v="56"/>
    <x v="4"/>
    <x v="0"/>
    <x v="1"/>
    <x v="29"/>
    <x v="6"/>
    <n v="2022"/>
    <x v="1"/>
    <s v="N/A"/>
    <n v="600000"/>
    <s v="Confirmed"/>
    <m/>
    <x v="0"/>
    <x v="0"/>
    <m/>
    <x v="1"/>
    <x v="0"/>
    <m/>
    <n v="0"/>
    <x v="1"/>
    <s v="Moderate"/>
    <n v="142455920.02856269"/>
  </r>
  <r>
    <x v="0"/>
    <x v="57"/>
    <x v="57"/>
    <x v="4"/>
    <x v="0"/>
    <x v="1"/>
    <x v="29"/>
    <x v="6"/>
    <n v="2022"/>
    <x v="1"/>
    <s v="N/A"/>
    <s v=""/>
    <s v="Confirmed"/>
    <m/>
    <x v="0"/>
    <x v="0"/>
    <m/>
    <x v="2"/>
    <x v="0"/>
    <m/>
    <n v="1"/>
    <x v="1"/>
    <s v="High"/>
    <n v="85611818.171245083"/>
  </r>
  <r>
    <x v="0"/>
    <x v="58"/>
    <x v="58"/>
    <x v="4"/>
    <x v="0"/>
    <x v="1"/>
    <x v="29"/>
    <x v="6"/>
    <n v="2022"/>
    <x v="1"/>
    <s v="N/A"/>
    <n v="1035145"/>
    <s v="Confirmed"/>
    <m/>
    <x v="0"/>
    <x v="0"/>
    <m/>
    <x v="2"/>
    <x v="0"/>
    <m/>
    <n v="0"/>
    <x v="0"/>
    <s v="Low"/>
    <n v="680289736.30082119"/>
  </r>
  <r>
    <x v="0"/>
    <x v="59"/>
    <x v="59"/>
    <x v="0"/>
    <x v="0"/>
    <x v="1"/>
    <x v="29"/>
    <x v="6"/>
    <n v="2022"/>
    <x v="1"/>
    <s v="N/A"/>
    <s v=""/>
    <s v="Confirmed"/>
    <m/>
    <x v="0"/>
    <x v="0"/>
    <m/>
    <x v="2"/>
    <x v="0"/>
    <m/>
    <n v="0"/>
    <x v="0"/>
    <s v="N/A"/>
    <n v="26554332750.47023"/>
  </r>
  <r>
    <x v="0"/>
    <x v="60"/>
    <x v="60"/>
    <x v="6"/>
    <x v="0"/>
    <x v="1"/>
    <x v="29"/>
    <x v="6"/>
    <n v="2022"/>
    <x v="1"/>
    <s v="N/A"/>
    <s v=""/>
    <s v="Confirmed"/>
    <m/>
    <x v="0"/>
    <x v="0"/>
    <m/>
    <x v="2"/>
    <x v="0"/>
    <m/>
    <n v="0"/>
    <x v="0"/>
    <s v="N/A"/>
    <n v="14745961064.890842"/>
  </r>
  <r>
    <x v="0"/>
    <x v="61"/>
    <x v="61"/>
    <x v="2"/>
    <x v="0"/>
    <x v="1"/>
    <x v="29"/>
    <x v="6"/>
    <n v="2022"/>
    <x v="1"/>
    <s v="N/A"/>
    <s v=""/>
    <s v="Confirmed"/>
    <m/>
    <x v="0"/>
    <x v="0"/>
    <m/>
    <x v="2"/>
    <x v="1"/>
    <m/>
    <n v="0"/>
    <x v="0"/>
    <s v="N/A"/>
    <n v="18194076299.786381"/>
  </r>
  <r>
    <x v="0"/>
    <x v="62"/>
    <x v="62"/>
    <x v="2"/>
    <x v="0"/>
    <x v="1"/>
    <x v="29"/>
    <x v="6"/>
    <n v="2022"/>
    <x v="1"/>
    <s v="N/A"/>
    <s v=""/>
    <s v="Confirmed"/>
    <m/>
    <x v="0"/>
    <x v="0"/>
    <m/>
    <x v="1"/>
    <x v="1"/>
    <m/>
    <n v="0"/>
    <x v="0"/>
    <s v="N/A"/>
    <n v="4428819387.769825"/>
  </r>
  <r>
    <x v="0"/>
    <x v="63"/>
    <x v="63"/>
    <x v="4"/>
    <x v="0"/>
    <x v="1"/>
    <x v="29"/>
    <x v="6"/>
    <n v="2022"/>
    <x v="1"/>
    <s v="N/A"/>
    <s v=""/>
    <s v="Confirmed"/>
    <m/>
    <x v="0"/>
    <x v="0"/>
    <m/>
    <x v="1"/>
    <x v="1"/>
    <m/>
    <n v="0"/>
    <x v="1"/>
    <s v=""/>
    <n v="611739560.62679195"/>
  </r>
  <r>
    <x v="0"/>
    <x v="64"/>
    <x v="64"/>
    <x v="2"/>
    <x v="0"/>
    <x v="1"/>
    <x v="29"/>
    <x v="6"/>
    <n v="2022"/>
    <x v="1"/>
    <s v="N/A"/>
    <s v=""/>
    <s v="Confirmed"/>
    <m/>
    <x v="0"/>
    <x v="0"/>
    <m/>
    <x v="1"/>
    <x v="1"/>
    <m/>
    <n v="0"/>
    <x v="0"/>
    <s v="N/A"/>
    <n v="1617913383.0481031"/>
  </r>
  <r>
    <x v="0"/>
    <x v="65"/>
    <x v="65"/>
    <x v="1"/>
    <x v="0"/>
    <x v="1"/>
    <x v="29"/>
    <x v="6"/>
    <n v="2022"/>
    <x v="1"/>
    <s v="N/A"/>
    <s v=""/>
    <s v="Confirmed"/>
    <m/>
    <x v="0"/>
    <x v="0"/>
    <m/>
    <x v="1"/>
    <x v="1"/>
    <m/>
    <n v="0"/>
    <x v="0"/>
    <s v=""/>
    <n v="3074419112.4562683"/>
  </r>
  <r>
    <x v="0"/>
    <x v="66"/>
    <x v="66"/>
    <x v="3"/>
    <x v="0"/>
    <x v="1"/>
    <x v="29"/>
    <x v="6"/>
    <n v="2022"/>
    <x v="1"/>
    <s v="N/A"/>
    <s v=""/>
    <s v="Confirmed"/>
    <m/>
    <x v="0"/>
    <x v="0"/>
    <m/>
    <x v="2"/>
    <x v="0"/>
    <m/>
    <n v="0"/>
    <x v="0"/>
    <s v="High"/>
    <n v="1914014279.8929913"/>
  </r>
  <r>
    <x v="0"/>
    <x v="67"/>
    <x v="67"/>
    <x v="6"/>
    <x v="0"/>
    <x v="1"/>
    <x v="29"/>
    <x v="6"/>
    <n v="2022"/>
    <x v="1"/>
    <s v="N/A"/>
    <s v=""/>
    <s v="Confirmed"/>
    <m/>
    <x v="0"/>
    <x v="0"/>
    <m/>
    <x v="2"/>
    <x v="0"/>
    <m/>
    <n v="0"/>
    <x v="1"/>
    <s v="High"/>
    <n v="17422005.762907442"/>
  </r>
  <r>
    <x v="0"/>
    <x v="68"/>
    <x v="68"/>
    <x v="6"/>
    <x v="0"/>
    <x v="1"/>
    <x v="29"/>
    <x v="6"/>
    <n v="2022"/>
    <x v="1"/>
    <s v="N/A"/>
    <s v=""/>
    <s v="Confirmed"/>
    <m/>
    <x v="0"/>
    <x v="0"/>
    <m/>
    <x v="0"/>
    <x v="0"/>
    <m/>
    <n v="0"/>
    <x v="0"/>
    <s v="N/A"/>
    <s v=""/>
  </r>
  <r>
    <x v="0"/>
    <x v="69"/>
    <x v="69"/>
    <x v="1"/>
    <x v="0"/>
    <x v="1"/>
    <x v="29"/>
    <x v="6"/>
    <n v="2022"/>
    <x v="1"/>
    <s v="N/A"/>
    <n v="230000"/>
    <s v="Confirmed"/>
    <m/>
    <x v="0"/>
    <x v="0"/>
    <m/>
    <x v="1"/>
    <x v="0"/>
    <m/>
    <n v="0"/>
    <x v="0"/>
    <s v="…"/>
    <s v=""/>
  </r>
  <r>
    <x v="0"/>
    <x v="70"/>
    <x v="70"/>
    <x v="1"/>
    <x v="0"/>
    <x v="1"/>
    <x v="29"/>
    <x v="6"/>
    <n v="2022"/>
    <x v="1"/>
    <s v="N/A"/>
    <s v=""/>
    <s v="Confirmed"/>
    <m/>
    <x v="0"/>
    <x v="0"/>
    <m/>
    <x v="2"/>
    <x v="0"/>
    <m/>
    <n v="2"/>
    <x v="0"/>
    <s v="Moderate"/>
    <n v="231506834.84347546"/>
  </r>
  <r>
    <x v="0"/>
    <x v="71"/>
    <x v="71"/>
    <x v="6"/>
    <x v="0"/>
    <x v="1"/>
    <x v="29"/>
    <x v="6"/>
    <n v="2022"/>
    <x v="1"/>
    <s v="N/A"/>
    <s v=""/>
    <s v="Confirmed"/>
    <m/>
    <x v="0"/>
    <x v="0"/>
    <m/>
    <x v="2"/>
    <x v="0"/>
    <m/>
    <n v="0"/>
    <x v="0"/>
    <s v="High"/>
    <n v="156059428.62944782"/>
  </r>
  <r>
    <x v="0"/>
    <x v="72"/>
    <x v="72"/>
    <x v="2"/>
    <x v="0"/>
    <x v="1"/>
    <x v="29"/>
    <x v="6"/>
    <n v="2022"/>
    <x v="1"/>
    <s v="N/A"/>
    <s v=""/>
    <s v="Confirmed"/>
    <m/>
    <x v="0"/>
    <x v="0"/>
    <m/>
    <x v="1"/>
    <x v="1"/>
    <m/>
    <n v="0"/>
    <x v="0"/>
    <s v="N/A"/>
    <n v="2355391507.1635861"/>
  </r>
  <r>
    <x v="0"/>
    <x v="73"/>
    <x v="73"/>
    <x v="3"/>
    <x v="0"/>
    <x v="1"/>
    <x v="29"/>
    <x v="6"/>
    <n v="2022"/>
    <x v="1"/>
    <s v="N/A"/>
    <s v=""/>
    <s v="Confirmed"/>
    <m/>
    <x v="0"/>
    <x v="0"/>
    <m/>
    <x v="2"/>
    <x v="0"/>
    <m/>
    <n v="0"/>
    <x v="0"/>
    <s v="Moderate"/>
    <n v="152760919.7684873"/>
  </r>
  <r>
    <x v="0"/>
    <x v="74"/>
    <x v="74"/>
    <x v="5"/>
    <x v="0"/>
    <x v="1"/>
    <x v="29"/>
    <x v="6"/>
    <n v="2022"/>
    <x v="1"/>
    <s v="N/A"/>
    <s v=""/>
    <s v="Confirmed"/>
    <m/>
    <x v="0"/>
    <x v="0"/>
    <m/>
    <x v="0"/>
    <x v="0"/>
    <m/>
    <n v="0"/>
    <x v="0"/>
    <s v="High"/>
    <n v="55072006.864440605"/>
  </r>
  <r>
    <x v="0"/>
    <x v="75"/>
    <x v="75"/>
    <x v="2"/>
    <x v="0"/>
    <x v="1"/>
    <x v="29"/>
    <x v="6"/>
    <n v="2022"/>
    <x v="1"/>
    <s v="N/A"/>
    <s v=""/>
    <s v="Confirmed"/>
    <m/>
    <x v="0"/>
    <x v="0"/>
    <m/>
    <x v="1"/>
    <x v="1"/>
    <m/>
    <n v="0"/>
    <x v="0"/>
    <s v="N/A"/>
    <s v=""/>
  </r>
  <r>
    <x v="0"/>
    <x v="76"/>
    <x v="76"/>
    <x v="3"/>
    <x v="0"/>
    <x v="1"/>
    <x v="29"/>
    <x v="6"/>
    <n v="2022"/>
    <x v="1"/>
    <s v="N/A"/>
    <s v=""/>
    <s v="Confirmed"/>
    <m/>
    <x v="0"/>
    <x v="0"/>
    <m/>
    <x v="0"/>
    <x v="0"/>
    <m/>
    <n v="2"/>
    <x v="0"/>
    <s v="Moderate"/>
    <n v="206914157.05429548"/>
  </r>
  <r>
    <x v="0"/>
    <x v="77"/>
    <x v="77"/>
    <x v="3"/>
    <x v="0"/>
    <x v="1"/>
    <x v="29"/>
    <x v="6"/>
    <n v="2022"/>
    <x v="1"/>
    <s v="N/A"/>
    <s v=""/>
    <s v="Confirmed"/>
    <m/>
    <x v="0"/>
    <x v="0"/>
    <m/>
    <x v="0"/>
    <x v="0"/>
    <m/>
    <n v="2"/>
    <x v="0"/>
    <s v="High"/>
    <n v="185999915.02066413"/>
  </r>
  <r>
    <x v="0"/>
    <x v="78"/>
    <x v="78"/>
    <x v="6"/>
    <x v="0"/>
    <x v="1"/>
    <x v="29"/>
    <x v="6"/>
    <n v="2022"/>
    <x v="1"/>
    <s v="N/A"/>
    <s v=""/>
    <s v="Confirmed"/>
    <m/>
    <x v="0"/>
    <x v="0"/>
    <m/>
    <x v="1"/>
    <x v="1"/>
    <m/>
    <n v="0"/>
    <x v="0"/>
    <s v=""/>
    <n v="6893755763.2501726"/>
  </r>
  <r>
    <x v="0"/>
    <x v="79"/>
    <x v="79"/>
    <x v="0"/>
    <x v="0"/>
    <x v="1"/>
    <x v="29"/>
    <x v="6"/>
    <n v="2022"/>
    <x v="1"/>
    <s v="N/A"/>
    <n v="230000"/>
    <s v="Confirmed"/>
    <m/>
    <x v="0"/>
    <x v="0"/>
    <m/>
    <x v="1"/>
    <x v="0"/>
    <m/>
    <n v="0"/>
    <x v="1"/>
    <s v="High"/>
    <n v="354560231.58276606"/>
  </r>
  <r>
    <x v="0"/>
    <x v="80"/>
    <x v="80"/>
    <x v="5"/>
    <x v="0"/>
    <x v="1"/>
    <x v="29"/>
    <x v="6"/>
    <n v="2022"/>
    <x v="1"/>
    <s v="N/A"/>
    <s v=""/>
    <s v="Confirmed"/>
    <m/>
    <x v="0"/>
    <x v="0"/>
    <m/>
    <x v="0"/>
    <x v="0"/>
    <m/>
    <n v="1"/>
    <x v="0"/>
    <s v="Moderate"/>
    <n v="188169167.56540567"/>
  </r>
  <r>
    <x v="0"/>
    <x v="81"/>
    <x v="81"/>
    <x v="6"/>
    <x v="0"/>
    <x v="1"/>
    <x v="29"/>
    <x v="6"/>
    <n v="2022"/>
    <x v="1"/>
    <s v="N/A"/>
    <s v=""/>
    <s v="Confirmed"/>
    <m/>
    <x v="0"/>
    <x v="0"/>
    <m/>
    <x v="1"/>
    <x v="0"/>
    <m/>
    <n v="0"/>
    <x v="1"/>
    <s v=""/>
    <n v="16312106.556340856"/>
  </r>
  <r>
    <x v="0"/>
    <x v="82"/>
    <x v="82"/>
    <x v="5"/>
    <x v="0"/>
    <x v="1"/>
    <x v="29"/>
    <x v="6"/>
    <n v="2022"/>
    <x v="1"/>
    <s v="N/A"/>
    <s v=""/>
    <s v="Confirmed"/>
    <m/>
    <x v="0"/>
    <x v="0"/>
    <m/>
    <x v="2"/>
    <x v="0"/>
    <m/>
    <n v="2"/>
    <x v="0"/>
    <s v="High"/>
    <n v="86083833.534053758"/>
  </r>
  <r>
    <x v="0"/>
    <x v="83"/>
    <x v="83"/>
    <x v="3"/>
    <x v="0"/>
    <x v="1"/>
    <x v="29"/>
    <x v="6"/>
    <n v="2022"/>
    <x v="1"/>
    <s v="N/A"/>
    <s v=""/>
    <s v="Confirmed"/>
    <m/>
    <x v="0"/>
    <x v="0"/>
    <m/>
    <x v="1"/>
    <x v="1"/>
    <m/>
    <n v="0"/>
    <x v="1"/>
    <s v="N/A"/>
    <n v="357220835.93762809"/>
  </r>
  <r>
    <x v="0"/>
    <x v="84"/>
    <x v="84"/>
    <x v="4"/>
    <x v="0"/>
    <x v="1"/>
    <x v="29"/>
    <x v="6"/>
    <n v="2022"/>
    <x v="1"/>
    <s v="N/A"/>
    <s v=""/>
    <s v="Confirmed"/>
    <m/>
    <x v="0"/>
    <x v="0"/>
    <m/>
    <x v="1"/>
    <x v="1"/>
    <m/>
    <n v="0"/>
    <x v="0"/>
    <s v=""/>
    <n v="32831598153.796387"/>
  </r>
  <r>
    <x v="0"/>
    <x v="85"/>
    <x v="85"/>
    <x v="6"/>
    <x v="0"/>
    <x v="1"/>
    <x v="29"/>
    <x v="6"/>
    <n v="2022"/>
    <x v="1"/>
    <s v="N/A"/>
    <n v="230000"/>
    <s v="Confirmed"/>
    <m/>
    <x v="0"/>
    <x v="0"/>
    <m/>
    <x v="2"/>
    <x v="0"/>
    <m/>
    <n v="0"/>
    <x v="1"/>
    <s v="High"/>
    <n v="12329056.093798399"/>
  </r>
  <r>
    <x v="0"/>
    <x v="86"/>
    <x v="86"/>
    <x v="1"/>
    <x v="0"/>
    <x v="1"/>
    <x v="29"/>
    <x v="6"/>
    <n v="2022"/>
    <x v="1"/>
    <s v="N/A"/>
    <n v="370000.2"/>
    <s v="Confirmed"/>
    <m/>
    <x v="0"/>
    <x v="0"/>
    <m/>
    <x v="1"/>
    <x v="0"/>
    <m/>
    <n v="0"/>
    <x v="0"/>
    <s v="Low"/>
    <n v="426639742.85328001"/>
  </r>
  <r>
    <x v="0"/>
    <x v="87"/>
    <x v="87"/>
    <x v="6"/>
    <x v="0"/>
    <x v="1"/>
    <x v="29"/>
    <x v="6"/>
    <n v="2022"/>
    <x v="1"/>
    <s v="N/A"/>
    <n v="230000"/>
    <s v="Confirmed"/>
    <m/>
    <x v="0"/>
    <x v="0"/>
    <m/>
    <x v="2"/>
    <x v="0"/>
    <m/>
    <n v="0"/>
    <x v="0"/>
    <s v="…"/>
    <n v="288519671.85870522"/>
  </r>
  <r>
    <x v="0"/>
    <x v="88"/>
    <x v="88"/>
    <x v="1"/>
    <x v="0"/>
    <x v="1"/>
    <x v="29"/>
    <x v="6"/>
    <n v="2022"/>
    <x v="1"/>
    <s v="N/A"/>
    <s v=""/>
    <s v="Confirmed"/>
    <m/>
    <x v="0"/>
    <x v="0"/>
    <m/>
    <x v="1"/>
    <x v="1"/>
    <m/>
    <n v="0"/>
    <x v="0"/>
    <s v="N/A"/>
    <n v="275606560.78491527"/>
  </r>
  <r>
    <x v="0"/>
    <x v="89"/>
    <x v="89"/>
    <x v="2"/>
    <x v="0"/>
    <x v="1"/>
    <x v="29"/>
    <x v="6"/>
    <n v="2022"/>
    <x v="1"/>
    <s v="N/A"/>
    <n v="100000"/>
    <s v="Confirmed"/>
    <m/>
    <x v="0"/>
    <x v="0"/>
    <m/>
    <x v="2"/>
    <x v="0"/>
    <m/>
    <n v="0"/>
    <x v="0"/>
    <s v="N/A"/>
    <n v="2530937679.3725696"/>
  </r>
  <r>
    <x v="0"/>
    <x v="90"/>
    <x v="90"/>
    <x v="3"/>
    <x v="0"/>
    <x v="1"/>
    <x v="29"/>
    <x v="6"/>
    <n v="2022"/>
    <x v="1"/>
    <s v="N/A"/>
    <s v=""/>
    <s v="Confirmed"/>
    <m/>
    <x v="0"/>
    <x v="0"/>
    <m/>
    <x v="0"/>
    <x v="0"/>
    <m/>
    <n v="0"/>
    <x v="0"/>
    <s v="In distress"/>
    <n v="251432156.86255455"/>
  </r>
  <r>
    <x v="0"/>
    <x v="91"/>
    <x v="91"/>
    <x v="6"/>
    <x v="0"/>
    <x v="1"/>
    <x v="29"/>
    <x v="6"/>
    <n v="2022"/>
    <x v="1"/>
    <s v="N/A"/>
    <s v=""/>
    <s v="Confirmed"/>
    <m/>
    <x v="0"/>
    <x v="0"/>
    <m/>
    <x v="2"/>
    <x v="0"/>
    <m/>
    <n v="0"/>
    <x v="0"/>
    <s v="Low"/>
    <n v="471534500.60109437"/>
  </r>
  <r>
    <x v="0"/>
    <x v="92"/>
    <x v="92"/>
    <x v="3"/>
    <x v="0"/>
    <x v="1"/>
    <x v="29"/>
    <x v="6"/>
    <n v="2022"/>
    <x v="1"/>
    <s v="N/A"/>
    <s v=""/>
    <s v="Confirmed"/>
    <m/>
    <x v="0"/>
    <x v="0"/>
    <m/>
    <x v="1"/>
    <x v="1"/>
    <m/>
    <n v="0"/>
    <x v="0"/>
    <s v=""/>
    <n v="531677611.80447447"/>
  </r>
  <r>
    <x v="0"/>
    <x v="93"/>
    <x v="93"/>
    <x v="6"/>
    <x v="0"/>
    <x v="1"/>
    <x v="29"/>
    <x v="6"/>
    <n v="2022"/>
    <x v="1"/>
    <s v="N/A"/>
    <s v=""/>
    <s v="Confirmed"/>
    <m/>
    <x v="0"/>
    <x v="0"/>
    <m/>
    <x v="3"/>
    <x v="1"/>
    <m/>
    <n v="0"/>
    <x v="1"/>
    <s v=""/>
    <n v="8528751.6418357007"/>
  </r>
  <r>
    <x v="0"/>
    <x v="94"/>
    <x v="94"/>
    <x v="0"/>
    <x v="0"/>
    <x v="1"/>
    <x v="29"/>
    <x v="6"/>
    <n v="2022"/>
    <x v="1"/>
    <s v="N/A"/>
    <s v=""/>
    <s v="Confirmed"/>
    <m/>
    <x v="0"/>
    <x v="0"/>
    <m/>
    <x v="2"/>
    <x v="0"/>
    <m/>
    <n v="0"/>
    <x v="0"/>
    <s v="Low"/>
    <n v="407084543.19089872"/>
  </r>
  <r>
    <x v="0"/>
    <x v="95"/>
    <x v="95"/>
    <x v="4"/>
    <x v="0"/>
    <x v="1"/>
    <x v="29"/>
    <x v="6"/>
    <n v="2022"/>
    <x v="1"/>
    <s v="N/A"/>
    <s v=""/>
    <s v="Confirmed"/>
    <m/>
    <x v="0"/>
    <x v="0"/>
    <m/>
    <x v="2"/>
    <x v="0"/>
    <m/>
    <n v="0"/>
    <x v="0"/>
    <s v="Moderate"/>
    <n v="671998341.93592453"/>
  </r>
  <r>
    <x v="0"/>
    <x v="96"/>
    <x v="96"/>
    <x v="5"/>
    <x v="0"/>
    <x v="1"/>
    <x v="29"/>
    <x v="6"/>
    <n v="2022"/>
    <x v="1"/>
    <s v="N/A"/>
    <s v=""/>
    <s v="Confirmed"/>
    <m/>
    <x v="0"/>
    <x v="0"/>
    <m/>
    <x v="0"/>
    <x v="0"/>
    <m/>
    <n v="1"/>
    <x v="0"/>
    <s v="Moderate"/>
    <n v="226203289.67158964"/>
  </r>
  <r>
    <x v="0"/>
    <x v="97"/>
    <x v="97"/>
    <x v="5"/>
    <x v="0"/>
    <x v="1"/>
    <x v="29"/>
    <x v="6"/>
    <n v="2022"/>
    <x v="1"/>
    <s v="N/A"/>
    <s v=""/>
    <s v="Confirmed"/>
    <m/>
    <x v="0"/>
    <x v="0"/>
    <m/>
    <x v="2"/>
    <x v="0"/>
    <m/>
    <n v="3"/>
    <x v="0"/>
    <s v="…"/>
    <n v="2438881113.1244688"/>
  </r>
  <r>
    <x v="0"/>
    <x v="98"/>
    <x v="98"/>
    <x v="1"/>
    <x v="0"/>
    <x v="1"/>
    <x v="29"/>
    <x v="6"/>
    <n v="2022"/>
    <x v="1"/>
    <s v="N/A"/>
    <s v=""/>
    <s v="Confirmed"/>
    <m/>
    <x v="0"/>
    <x v="0"/>
    <m/>
    <x v="1"/>
    <x v="1"/>
    <m/>
    <n v="0"/>
    <x v="0"/>
    <s v=""/>
    <n v="476517795.73174149"/>
  </r>
  <r>
    <x v="0"/>
    <x v="99"/>
    <x v="99"/>
    <x v="0"/>
    <x v="0"/>
    <x v="1"/>
    <x v="29"/>
    <x v="6"/>
    <n v="2022"/>
    <x v="1"/>
    <s v="N/A"/>
    <s v=""/>
    <s v="Confirmed"/>
    <m/>
    <x v="0"/>
    <x v="0"/>
    <m/>
    <x v="2"/>
    <x v="0"/>
    <m/>
    <n v="0"/>
    <x v="0"/>
    <s v="…"/>
    <n v="3233351297.7679496"/>
  </r>
  <r>
    <x v="0"/>
    <x v="100"/>
    <x v="100"/>
    <x v="4"/>
    <x v="0"/>
    <x v="1"/>
    <x v="29"/>
    <x v="6"/>
    <n v="2022"/>
    <x v="1"/>
    <s v="N/A"/>
    <s v=""/>
    <s v="Confirmed"/>
    <m/>
    <x v="0"/>
    <x v="0"/>
    <m/>
    <x v="3"/>
    <x v="1"/>
    <m/>
    <n v="0"/>
    <x v="1"/>
    <s v=""/>
    <n v="18180646.808608256"/>
  </r>
  <r>
    <x v="0"/>
    <x v="101"/>
    <x v="101"/>
    <x v="4"/>
    <x v="0"/>
    <x v="1"/>
    <x v="29"/>
    <x v="6"/>
    <n v="2022"/>
    <x v="1"/>
    <s v="N/A"/>
    <s v=""/>
    <s v="Confirmed"/>
    <m/>
    <x v="0"/>
    <x v="0"/>
    <m/>
    <x v="1"/>
    <x v="1"/>
    <m/>
    <n v="0"/>
    <x v="0"/>
    <s v="N/A"/>
    <n v="3020530707.3485303"/>
  </r>
  <r>
    <x v="0"/>
    <x v="102"/>
    <x v="102"/>
    <x v="6"/>
    <x v="0"/>
    <x v="1"/>
    <x v="29"/>
    <x v="6"/>
    <n v="2022"/>
    <x v="1"/>
    <s v="N/A"/>
    <s v=""/>
    <s v="Confirmed"/>
    <m/>
    <x v="0"/>
    <x v="0"/>
    <m/>
    <x v="2"/>
    <x v="0"/>
    <m/>
    <n v="1"/>
    <x v="1"/>
    <s v="High"/>
    <n v="384406316.46074712"/>
  </r>
  <r>
    <x v="0"/>
    <x v="103"/>
    <x v="103"/>
    <x v="4"/>
    <x v="0"/>
    <x v="1"/>
    <x v="29"/>
    <x v="6"/>
    <n v="2022"/>
    <x v="1"/>
    <s v="N/A"/>
    <s v=""/>
    <s v="Confirmed"/>
    <m/>
    <x v="0"/>
    <x v="0"/>
    <m/>
    <x v="1"/>
    <x v="1"/>
    <m/>
    <n v="0"/>
    <x v="0"/>
    <s v=""/>
    <n v="1218747108.9554784"/>
  </r>
  <r>
    <x v="0"/>
    <x v="104"/>
    <x v="104"/>
    <x v="4"/>
    <x v="0"/>
    <x v="1"/>
    <x v="29"/>
    <x v="6"/>
    <n v="2022"/>
    <x v="1"/>
    <s v="N/A"/>
    <s v=""/>
    <s v="Confirmed"/>
    <m/>
    <x v="0"/>
    <x v="0"/>
    <m/>
    <x v="1"/>
    <x v="1"/>
    <m/>
    <n v="0"/>
    <x v="0"/>
    <s v=""/>
    <n v="7392665952.5895758"/>
  </r>
  <r>
    <x v="0"/>
    <x v="105"/>
    <x v="105"/>
    <x v="6"/>
    <x v="0"/>
    <x v="1"/>
    <x v="29"/>
    <x v="6"/>
    <n v="2022"/>
    <x v="1"/>
    <s v="N/A"/>
    <n v="4499999.7"/>
    <s v="Confirmed"/>
    <m/>
    <x v="0"/>
    <x v="0"/>
    <m/>
    <x v="2"/>
    <x v="0"/>
    <m/>
    <n v="0"/>
    <x v="0"/>
    <s v="N/A"/>
    <n v="4754985988.6004429"/>
  </r>
  <r>
    <x v="0"/>
    <x v="106"/>
    <x v="106"/>
    <x v="1"/>
    <x v="0"/>
    <x v="1"/>
    <x v="29"/>
    <x v="6"/>
    <n v="2022"/>
    <x v="1"/>
    <s v="N/A"/>
    <s v=""/>
    <s v="Confirmed"/>
    <m/>
    <x v="0"/>
    <x v="0"/>
    <m/>
    <x v="3"/>
    <x v="1"/>
    <m/>
    <n v="0"/>
    <x v="0"/>
    <s v=""/>
    <n v="26422210443.037273"/>
  </r>
  <r>
    <x v="0"/>
    <x v="107"/>
    <x v="107"/>
    <x v="1"/>
    <x v="0"/>
    <x v="1"/>
    <x v="29"/>
    <x v="6"/>
    <n v="2022"/>
    <x v="1"/>
    <s v="N/A"/>
    <s v=""/>
    <s v="Confirmed"/>
    <m/>
    <x v="0"/>
    <x v="0"/>
    <m/>
    <x v="1"/>
    <x v="1"/>
    <m/>
    <n v="0"/>
    <x v="0"/>
    <s v=""/>
    <n v="10696495313.15033"/>
  </r>
  <r>
    <x v="0"/>
    <x v="108"/>
    <x v="108"/>
    <x v="1"/>
    <x v="0"/>
    <x v="1"/>
    <x v="29"/>
    <x v="6"/>
    <n v="2022"/>
    <x v="1"/>
    <s v="N/A"/>
    <s v=""/>
    <s v="Confirmed"/>
    <m/>
    <x v="0"/>
    <x v="0"/>
    <m/>
    <x v="1"/>
    <x v="1"/>
    <m/>
    <n v="0"/>
    <x v="0"/>
    <s v=""/>
    <n v="52769713433.240509"/>
  </r>
  <r>
    <x v="0"/>
    <x v="109"/>
    <x v="109"/>
    <x v="3"/>
    <x v="0"/>
    <x v="1"/>
    <x v="29"/>
    <x v="6"/>
    <n v="2022"/>
    <x v="1"/>
    <s v="N/A"/>
    <s v=""/>
    <s v="Confirmed"/>
    <m/>
    <x v="0"/>
    <x v="0"/>
    <m/>
    <x v="0"/>
    <x v="0"/>
    <m/>
    <n v="0"/>
    <x v="0"/>
    <s v="Moderate"/>
    <n v="225799814.51943746"/>
  </r>
  <r>
    <x v="0"/>
    <x v="110"/>
    <x v="110"/>
    <x v="6"/>
    <x v="0"/>
    <x v="1"/>
    <x v="29"/>
    <x v="6"/>
    <n v="2022"/>
    <x v="1"/>
    <s v="N/A"/>
    <s v=""/>
    <s v="Confirmed"/>
    <m/>
    <x v="0"/>
    <x v="0"/>
    <m/>
    <x v="2"/>
    <x v="0"/>
    <m/>
    <n v="0"/>
    <x v="1"/>
    <s v="High"/>
    <n v="32192988.027009469"/>
  </r>
  <r>
    <x v="0"/>
    <x v="111"/>
    <x v="111"/>
    <x v="5"/>
    <x v="0"/>
    <x v="1"/>
    <x v="29"/>
    <x v="6"/>
    <n v="2022"/>
    <x v="1"/>
    <s v="N/A"/>
    <s v=""/>
    <s v="Confirmed"/>
    <m/>
    <x v="0"/>
    <x v="0"/>
    <m/>
    <x v="2"/>
    <x v="0"/>
    <m/>
    <n v="0"/>
    <x v="1"/>
    <s v="In distress"/>
    <n v="11633535.136477679"/>
  </r>
  <r>
    <x v="0"/>
    <x v="112"/>
    <x v="112"/>
    <x v="5"/>
    <x v="0"/>
    <x v="1"/>
    <x v="29"/>
    <x v="6"/>
    <n v="2022"/>
    <x v="1"/>
    <s v="N/A"/>
    <s v=""/>
    <s v="Confirmed"/>
    <m/>
    <x v="0"/>
    <x v="0"/>
    <m/>
    <x v="2"/>
    <x v="0"/>
    <m/>
    <n v="2"/>
    <x v="0"/>
    <s v="Moderate"/>
    <n v="222008693.93354639"/>
  </r>
  <r>
    <x v="0"/>
    <x v="113"/>
    <x v="113"/>
    <x v="1"/>
    <x v="0"/>
    <x v="1"/>
    <x v="29"/>
    <x v="6"/>
    <n v="2022"/>
    <x v="1"/>
    <s v="N/A"/>
    <s v=""/>
    <s v="Confirmed"/>
    <m/>
    <x v="0"/>
    <x v="0"/>
    <m/>
    <x v="1"/>
    <x v="1"/>
    <m/>
    <n v="0"/>
    <x v="0"/>
    <s v=""/>
    <n v="2564993795.1894679"/>
  </r>
  <r>
    <x v="0"/>
    <x v="114"/>
    <x v="114"/>
    <x v="3"/>
    <x v="0"/>
    <x v="1"/>
    <x v="29"/>
    <x v="6"/>
    <n v="2022"/>
    <x v="1"/>
    <s v="N/A"/>
    <s v=""/>
    <s v="Confirmed"/>
    <m/>
    <x v="0"/>
    <x v="0"/>
    <m/>
    <x v="3"/>
    <x v="1"/>
    <m/>
    <n v="0"/>
    <x v="1"/>
    <s v="N/A"/>
    <n v="60237542.945069775"/>
  </r>
  <r>
    <x v="0"/>
    <x v="115"/>
    <x v="115"/>
    <x v="5"/>
    <x v="0"/>
    <x v="1"/>
    <x v="29"/>
    <x v="6"/>
    <n v="2022"/>
    <x v="1"/>
    <s v="N/A"/>
    <s v=""/>
    <s v="Confirmed"/>
    <m/>
    <x v="0"/>
    <x v="0"/>
    <m/>
    <x v="0"/>
    <x v="0"/>
    <m/>
    <n v="0"/>
    <x v="0"/>
    <s v="High"/>
    <n v="63738640.538260505"/>
  </r>
  <r>
    <x v="0"/>
    <x v="116"/>
    <x v="116"/>
    <x v="6"/>
    <x v="0"/>
    <x v="1"/>
    <x v="29"/>
    <x v="6"/>
    <n v="2022"/>
    <x v="1"/>
    <s v="N/A"/>
    <s v=""/>
    <s v="Confirmed"/>
    <m/>
    <x v="0"/>
    <x v="0"/>
    <m/>
    <x v="2"/>
    <x v="0"/>
    <m/>
    <n v="0"/>
    <x v="1"/>
    <s v="Moderate"/>
    <n v="49012774.055630356"/>
  </r>
  <r>
    <x v="0"/>
    <x v="117"/>
    <x v="117"/>
    <x v="3"/>
    <x v="0"/>
    <x v="1"/>
    <x v="29"/>
    <x v="6"/>
    <n v="2022"/>
    <x v="1"/>
    <s v="N/A"/>
    <s v=""/>
    <s v="Confirmed"/>
    <m/>
    <x v="0"/>
    <x v="0"/>
    <m/>
    <x v="0"/>
    <x v="0"/>
    <m/>
    <n v="1"/>
    <x v="0"/>
    <s v="In distress"/>
    <s v=""/>
  </r>
  <r>
    <x v="0"/>
    <x v="118"/>
    <x v="118"/>
    <x v="3"/>
    <x v="0"/>
    <x v="1"/>
    <x v="29"/>
    <x v="6"/>
    <n v="2022"/>
    <x v="1"/>
    <s v="N/A"/>
    <s v=""/>
    <s v="Confirmed"/>
    <m/>
    <x v="0"/>
    <x v="0"/>
    <m/>
    <x v="1"/>
    <x v="1"/>
    <m/>
    <n v="0"/>
    <x v="0"/>
    <s v="N/A"/>
    <n v="16429121142.784708"/>
  </r>
  <r>
    <x v="0"/>
    <x v="119"/>
    <x v="119"/>
    <x v="3"/>
    <x v="0"/>
    <x v="1"/>
    <x v="29"/>
    <x v="6"/>
    <n v="2022"/>
    <x v="1"/>
    <s v="N/A"/>
    <s v=""/>
    <s v="Confirmed"/>
    <m/>
    <x v="0"/>
    <x v="0"/>
    <m/>
    <x v="0"/>
    <x v="0"/>
    <m/>
    <n v="1"/>
    <x v="0"/>
    <s v="High"/>
    <n v="31684581.76217727"/>
  </r>
  <r>
    <x v="0"/>
    <x v="120"/>
    <x v="120"/>
    <x v="0"/>
    <x v="0"/>
    <x v="1"/>
    <x v="29"/>
    <x v="6"/>
    <n v="2022"/>
    <x v="1"/>
    <s v="N/A"/>
    <n v="979797"/>
    <s v="Confirmed"/>
    <m/>
    <x v="0"/>
    <x v="0"/>
    <m/>
    <x v="2"/>
    <x v="0"/>
    <m/>
    <n v="0"/>
    <x v="0"/>
    <s v="N/A"/>
    <n v="1373621563.5182886"/>
  </r>
  <r>
    <x v="0"/>
    <x v="121"/>
    <x v="121"/>
    <x v="4"/>
    <x v="0"/>
    <x v="1"/>
    <x v="29"/>
    <x v="6"/>
    <n v="2022"/>
    <x v="1"/>
    <s v="N/A"/>
    <s v=""/>
    <s v="Confirmed"/>
    <m/>
    <x v="0"/>
    <x v="0"/>
    <m/>
    <x v="3"/>
    <x v="1"/>
    <m/>
    <n v="0"/>
    <x v="1"/>
    <s v=""/>
    <n v="24214370.889062837"/>
  </r>
  <r>
    <x v="0"/>
    <x v="122"/>
    <x v="122"/>
    <x v="4"/>
    <x v="0"/>
    <x v="1"/>
    <x v="29"/>
    <x v="6"/>
    <n v="2022"/>
    <x v="1"/>
    <s v="N/A"/>
    <s v=""/>
    <s v="Confirmed"/>
    <m/>
    <x v="0"/>
    <x v="0"/>
    <m/>
    <x v="1"/>
    <x v="0"/>
    <m/>
    <n v="0"/>
    <x v="1"/>
    <s v="…"/>
    <n v="39941279.609447442"/>
  </r>
  <r>
    <x v="0"/>
    <x v="123"/>
    <x v="123"/>
    <x v="4"/>
    <x v="0"/>
    <x v="1"/>
    <x v="29"/>
    <x v="6"/>
    <n v="2022"/>
    <x v="1"/>
    <s v="N/A"/>
    <n v="200000"/>
    <s v="Confirmed"/>
    <m/>
    <x v="0"/>
    <x v="0"/>
    <m/>
    <x v="1"/>
    <x v="0"/>
    <m/>
    <n v="0"/>
    <x v="1"/>
    <s v="High"/>
    <n v="24761675.260059897"/>
  </r>
  <r>
    <x v="0"/>
    <x v="124"/>
    <x v="124"/>
    <x v="2"/>
    <x v="0"/>
    <x v="1"/>
    <x v="29"/>
    <x v="6"/>
    <n v="2022"/>
    <x v="1"/>
    <s v="N/A"/>
    <n v="1000000"/>
    <s v="Confirmed"/>
    <m/>
    <x v="0"/>
    <x v="0"/>
    <m/>
    <x v="2"/>
    <x v="0"/>
    <m/>
    <n v="0"/>
    <x v="0"/>
    <s v="N/A"/>
    <s v=""/>
  </r>
  <r>
    <x v="0"/>
    <x v="125"/>
    <x v="125"/>
    <x v="2"/>
    <x v="0"/>
    <x v="1"/>
    <x v="29"/>
    <x v="6"/>
    <n v="2022"/>
    <x v="1"/>
    <s v="N/A"/>
    <s v=""/>
    <s v="Confirmed"/>
    <m/>
    <x v="0"/>
    <x v="0"/>
    <m/>
    <x v="0"/>
    <x v="0"/>
    <m/>
    <n v="1"/>
    <x v="0"/>
    <s v="N/A"/>
    <n v="577156172.71229994"/>
  </r>
  <r>
    <x v="0"/>
    <x v="126"/>
    <x v="126"/>
    <x v="6"/>
    <x v="0"/>
    <x v="1"/>
    <x v="29"/>
    <x v="6"/>
    <n v="2022"/>
    <x v="1"/>
    <s v="N/A"/>
    <s v=""/>
    <s v="Confirmed"/>
    <m/>
    <x v="0"/>
    <x v="0"/>
    <m/>
    <x v="1"/>
    <x v="1"/>
    <m/>
    <n v="0"/>
    <x v="1"/>
    <s v=""/>
    <n v="180052034.19851837"/>
  </r>
  <r>
    <x v="0"/>
    <x v="127"/>
    <x v="127"/>
    <x v="2"/>
    <x v="0"/>
    <x v="1"/>
    <x v="29"/>
    <x v="6"/>
    <n v="2022"/>
    <x v="1"/>
    <s v="N/A"/>
    <s v=""/>
    <s v="Confirmed"/>
    <m/>
    <x v="0"/>
    <x v="0"/>
    <m/>
    <x v="0"/>
    <x v="0"/>
    <m/>
    <n v="1"/>
    <x v="0"/>
    <s v="N/A"/>
    <s v=""/>
  </r>
  <r>
    <x v="0"/>
    <x v="128"/>
    <x v="128"/>
    <x v="1"/>
    <x v="0"/>
    <x v="1"/>
    <x v="29"/>
    <x v="6"/>
    <n v="2022"/>
    <x v="1"/>
    <s v="N/A"/>
    <s v=""/>
    <s v="Confirmed"/>
    <m/>
    <x v="0"/>
    <x v="0"/>
    <m/>
    <x v="2"/>
    <x v="0"/>
    <m/>
    <n v="0"/>
    <x v="0"/>
    <s v="High"/>
    <n v="147296124.32232863"/>
  </r>
  <r>
    <x v="0"/>
    <x v="129"/>
    <x v="129"/>
    <x v="3"/>
    <x v="0"/>
    <x v="1"/>
    <x v="29"/>
    <x v="6"/>
    <n v="2022"/>
    <x v="1"/>
    <s v="N/A"/>
    <s v=""/>
    <s v="Confirmed"/>
    <m/>
    <x v="0"/>
    <x v="0"/>
    <m/>
    <x v="2"/>
    <x v="0"/>
    <m/>
    <n v="0"/>
    <x v="0"/>
    <s v="…"/>
    <n v="890576536.83065879"/>
  </r>
  <r>
    <x v="0"/>
    <x v="130"/>
    <x v="130"/>
    <x v="6"/>
    <x v="0"/>
    <x v="1"/>
    <x v="29"/>
    <x v="6"/>
    <n v="2022"/>
    <x v="1"/>
    <s v="N/A"/>
    <s v=""/>
    <s v="Confirmed"/>
    <m/>
    <x v="0"/>
    <x v="0"/>
    <m/>
    <x v="1"/>
    <x v="1"/>
    <m/>
    <n v="0"/>
    <x v="0"/>
    <s v=""/>
    <n v="14611129792.346064"/>
  </r>
  <r>
    <x v="0"/>
    <x v="131"/>
    <x v="131"/>
    <x v="6"/>
    <x v="0"/>
    <x v="1"/>
    <x v="29"/>
    <x v="6"/>
    <n v="2022"/>
    <x v="1"/>
    <s v="N/A"/>
    <s v=""/>
    <s v="Confirmed"/>
    <m/>
    <x v="0"/>
    <x v="0"/>
    <m/>
    <x v="2"/>
    <x v="0"/>
    <m/>
    <n v="0"/>
    <x v="1"/>
    <s v="Low"/>
    <n v="72046877.233008593"/>
  </r>
  <r>
    <x v="0"/>
    <x v="132"/>
    <x v="132"/>
    <x v="5"/>
    <x v="0"/>
    <x v="1"/>
    <x v="29"/>
    <x v="6"/>
    <n v="2022"/>
    <x v="1"/>
    <s v="N/A"/>
    <s v=""/>
    <s v="Confirmed"/>
    <m/>
    <x v="0"/>
    <x v="0"/>
    <m/>
    <x v="0"/>
    <x v="0"/>
    <m/>
    <n v="0"/>
    <x v="0"/>
    <s v="High"/>
    <n v="56248139.267255567"/>
  </r>
  <r>
    <x v="0"/>
    <x v="133"/>
    <x v="133"/>
    <x v="6"/>
    <x v="0"/>
    <x v="1"/>
    <x v="29"/>
    <x v="6"/>
    <n v="2022"/>
    <x v="1"/>
    <s v="N/A"/>
    <n v="230000"/>
    <s v="Confirmed"/>
    <m/>
    <x v="0"/>
    <x v="0"/>
    <m/>
    <x v="1"/>
    <x v="0"/>
    <m/>
    <n v="0"/>
    <x v="1"/>
    <s v="High"/>
    <n v="15464031.712942109"/>
  </r>
  <r>
    <x v="0"/>
    <x v="134"/>
    <x v="134"/>
    <x v="4"/>
    <x v="0"/>
    <x v="1"/>
    <x v="29"/>
    <x v="6"/>
    <n v="2022"/>
    <x v="1"/>
    <s v="N/A"/>
    <s v=""/>
    <s v="Confirmed"/>
    <m/>
    <x v="0"/>
    <x v="0"/>
    <m/>
    <x v="3"/>
    <x v="1"/>
    <m/>
    <n v="0"/>
    <x v="1"/>
    <s v="N/A"/>
    <n v="769564399.33249676"/>
  </r>
  <r>
    <x v="0"/>
    <x v="135"/>
    <x v="135"/>
    <x v="2"/>
    <x v="0"/>
    <x v="1"/>
    <x v="29"/>
    <x v="6"/>
    <n v="2022"/>
    <x v="1"/>
    <s v="N/A"/>
    <n v="499854"/>
    <s v="Confirmed"/>
    <m/>
    <x v="0"/>
    <x v="0"/>
    <m/>
    <x v="2"/>
    <x v="0"/>
    <m/>
    <n v="0"/>
    <x v="0"/>
    <s v="N/A"/>
    <n v="1668954539.7630196"/>
  </r>
  <r>
    <x v="0"/>
    <x v="136"/>
    <x v="136"/>
    <x v="1"/>
    <x v="0"/>
    <x v="1"/>
    <x v="29"/>
    <x v="6"/>
    <n v="2022"/>
    <x v="1"/>
    <s v="N/A"/>
    <s v=""/>
    <s v="Confirmed"/>
    <m/>
    <x v="0"/>
    <x v="0"/>
    <m/>
    <x v="1"/>
    <x v="1"/>
    <m/>
    <n v="0"/>
    <x v="0"/>
    <s v=""/>
    <n v="24840920016.18832"/>
  </r>
  <r>
    <x v="0"/>
    <x v="137"/>
    <x v="137"/>
    <x v="1"/>
    <x v="0"/>
    <x v="1"/>
    <x v="29"/>
    <x v="6"/>
    <n v="2022"/>
    <x v="1"/>
    <s v="N/A"/>
    <s v=""/>
    <s v="Confirmed"/>
    <m/>
    <x v="0"/>
    <x v="0"/>
    <m/>
    <x v="1"/>
    <x v="1"/>
    <m/>
    <n v="0"/>
    <x v="0"/>
    <s v="N/A"/>
    <n v="487888462.83720118"/>
  </r>
  <r>
    <x v="0"/>
    <x v="138"/>
    <x v="138"/>
    <x v="6"/>
    <x v="0"/>
    <x v="1"/>
    <x v="29"/>
    <x v="6"/>
    <n v="2022"/>
    <x v="1"/>
    <s v="N/A"/>
    <n v="230000"/>
    <s v="Confirmed"/>
    <m/>
    <x v="0"/>
    <x v="0"/>
    <m/>
    <x v="1"/>
    <x v="0"/>
    <m/>
    <n v="0"/>
    <x v="1"/>
    <s v="…"/>
    <n v="6365061.1736073596"/>
  </r>
  <r>
    <x v="0"/>
    <x v="139"/>
    <x v="139"/>
    <x v="3"/>
    <x v="0"/>
    <x v="1"/>
    <x v="29"/>
    <x v="6"/>
    <n v="2022"/>
    <x v="1"/>
    <s v="N/A"/>
    <s v=""/>
    <s v="Confirmed"/>
    <m/>
    <x v="0"/>
    <x v="0"/>
    <m/>
    <x v="0"/>
    <x v="0"/>
    <m/>
    <n v="2"/>
    <x v="0"/>
    <s v="Low"/>
    <n v="291799092.90196139"/>
  </r>
  <r>
    <x v="0"/>
    <x v="140"/>
    <x v="140"/>
    <x v="1"/>
    <x v="0"/>
    <x v="1"/>
    <x v="29"/>
    <x v="6"/>
    <n v="2022"/>
    <x v="1"/>
    <s v="N/A"/>
    <n v="1979999.5220290006"/>
    <s v="Confirmed"/>
    <m/>
    <x v="0"/>
    <x v="0"/>
    <m/>
    <x v="2"/>
    <x v="0"/>
    <m/>
    <n v="0"/>
    <x v="0"/>
    <s v="N/A"/>
    <n v="4844815340.2135534"/>
  </r>
  <r>
    <x v="0"/>
    <x v="141"/>
    <x v="141"/>
    <x v="4"/>
    <x v="0"/>
    <x v="1"/>
    <x v="29"/>
    <x v="6"/>
    <n v="2022"/>
    <x v="1"/>
    <s v="N/A"/>
    <s v=""/>
    <s v="Confirmed"/>
    <m/>
    <x v="0"/>
    <x v="0"/>
    <m/>
    <x v="3"/>
    <x v="1"/>
    <m/>
    <n v="0"/>
    <x v="0"/>
    <s v=""/>
    <n v="4001891446.6871672"/>
  </r>
  <r>
    <x v="0"/>
    <x v="142"/>
    <x v="142"/>
    <x v="1"/>
    <x v="0"/>
    <x v="1"/>
    <x v="29"/>
    <x v="6"/>
    <n v="2022"/>
    <x v="1"/>
    <s v="N/A"/>
    <s v=""/>
    <s v="Confirmed"/>
    <m/>
    <x v="0"/>
    <x v="0"/>
    <m/>
    <x v="2"/>
    <x v="0"/>
    <m/>
    <n v="0"/>
    <x v="0"/>
    <s v="Low"/>
    <n v="1019800630.5853213"/>
  </r>
  <r>
    <x v="0"/>
    <x v="143"/>
    <x v="143"/>
    <x v="6"/>
    <x v="0"/>
    <x v="1"/>
    <x v="29"/>
    <x v="6"/>
    <n v="2022"/>
    <x v="1"/>
    <s v="N/A"/>
    <n v="230000.22990000001"/>
    <s v="Confirmed"/>
    <m/>
    <x v="0"/>
    <x v="0"/>
    <m/>
    <x v="2"/>
    <x v="0"/>
    <m/>
    <n v="0"/>
    <x v="1"/>
    <s v="Moderate"/>
    <n v="19578671.310841195"/>
  </r>
  <r>
    <x v="0"/>
    <x v="144"/>
    <x v="144"/>
    <x v="4"/>
    <x v="0"/>
    <x v="1"/>
    <x v="29"/>
    <x v="6"/>
    <n v="2022"/>
    <x v="1"/>
    <s v="N/A"/>
    <s v=""/>
    <s v="Confirmed"/>
    <m/>
    <x v="0"/>
    <x v="0"/>
    <m/>
    <x v="4"/>
    <x v="1"/>
    <m/>
    <n v="0"/>
    <x v="0"/>
    <s v="N/A"/>
    <n v="3551452001.0684834"/>
  </r>
  <r>
    <x v="0"/>
    <x v="145"/>
    <x v="145"/>
    <x v="6"/>
    <x v="0"/>
    <x v="1"/>
    <x v="29"/>
    <x v="6"/>
    <n v="2022"/>
    <x v="1"/>
    <s v="N/A"/>
    <s v=""/>
    <s v="Confirmed"/>
    <m/>
    <x v="0"/>
    <x v="0"/>
    <m/>
    <x v="2"/>
    <x v="0"/>
    <m/>
    <n v="0"/>
    <x v="0"/>
    <s v="N/A"/>
    <n v="6603048821.7575006"/>
  </r>
  <r>
    <x v="0"/>
    <x v="146"/>
    <x v="146"/>
    <x v="2"/>
    <x v="0"/>
    <x v="1"/>
    <x v="29"/>
    <x v="6"/>
    <n v="2022"/>
    <x v="1"/>
    <s v="N/A"/>
    <s v=""/>
    <s v="Confirmed"/>
    <m/>
    <x v="0"/>
    <x v="0"/>
    <m/>
    <x v="0"/>
    <x v="0"/>
    <m/>
    <n v="1"/>
    <x v="0"/>
    <s v="…"/>
    <s v=""/>
  </r>
  <r>
    <x v="0"/>
    <x v="147"/>
    <x v="147"/>
    <x v="3"/>
    <x v="0"/>
    <x v="1"/>
    <x v="29"/>
    <x v="6"/>
    <n v="2022"/>
    <x v="1"/>
    <s v="N/A"/>
    <s v=""/>
    <s v="Confirmed"/>
    <m/>
    <x v="0"/>
    <x v="0"/>
    <m/>
    <x v="2"/>
    <x v="0"/>
    <m/>
    <n v="0"/>
    <x v="0"/>
    <s v="High"/>
    <n v="515352723.9821828"/>
  </r>
  <r>
    <x v="0"/>
    <x v="148"/>
    <x v="148"/>
    <x v="3"/>
    <x v="0"/>
    <x v="1"/>
    <x v="29"/>
    <x v="6"/>
    <n v="2022"/>
    <x v="1"/>
    <s v="N/A"/>
    <s v=""/>
    <s v="Confirmed"/>
    <m/>
    <x v="0"/>
    <x v="0"/>
    <m/>
    <x v="2"/>
    <x v="0"/>
    <m/>
    <n v="0"/>
    <x v="0"/>
    <s v="N/A"/>
    <n v="566711742.22428358"/>
  </r>
  <r>
    <x v="0"/>
    <x v="0"/>
    <x v="0"/>
    <x v="0"/>
    <x v="0"/>
    <x v="1"/>
    <x v="30"/>
    <x v="6"/>
    <n v="2022"/>
    <x v="1"/>
    <s v="N/A"/>
    <n v="0"/>
    <s v="Confirmed"/>
    <s v=""/>
    <x v="0"/>
    <x v="0"/>
    <m/>
    <x v="0"/>
    <x v="0"/>
    <m/>
    <n v="1"/>
    <x v="0"/>
    <s v="High"/>
    <n v="95829480.719269618"/>
  </r>
  <r>
    <x v="0"/>
    <x v="1"/>
    <x v="1"/>
    <x v="1"/>
    <x v="0"/>
    <x v="1"/>
    <x v="30"/>
    <x v="6"/>
    <n v="2022"/>
    <x v="1"/>
    <s v="N/A"/>
    <n v="0"/>
    <s v="Confirmed"/>
    <s v=""/>
    <x v="0"/>
    <x v="0"/>
    <m/>
    <x v="1"/>
    <x v="1"/>
    <m/>
    <n v="0"/>
    <x v="0"/>
    <s v=""/>
    <n v="427904035.52443534"/>
  </r>
  <r>
    <x v="0"/>
    <x v="2"/>
    <x v="2"/>
    <x v="2"/>
    <x v="0"/>
    <x v="1"/>
    <x v="30"/>
    <x v="6"/>
    <n v="2022"/>
    <x v="1"/>
    <s v="N/A"/>
    <n v="0"/>
    <s v="Confirmed"/>
    <s v=""/>
    <x v="0"/>
    <x v="0"/>
    <m/>
    <x v="2"/>
    <x v="0"/>
    <m/>
    <n v="0"/>
    <x v="0"/>
    <s v="N/A"/>
    <n v="7113361022.7267885"/>
  </r>
  <r>
    <x v="0"/>
    <x v="3"/>
    <x v="3"/>
    <x v="3"/>
    <x v="0"/>
    <x v="1"/>
    <x v="30"/>
    <x v="6"/>
    <n v="2022"/>
    <x v="1"/>
    <s v="N/A"/>
    <n v="0"/>
    <s v="Confirmed"/>
    <s v=""/>
    <x v="0"/>
    <x v="0"/>
    <m/>
    <x v="2"/>
    <x v="0"/>
    <m/>
    <n v="0"/>
    <x v="0"/>
    <s v="…"/>
    <n v="1131865946.5875781"/>
  </r>
  <r>
    <x v="0"/>
    <x v="4"/>
    <x v="4"/>
    <x v="4"/>
    <x v="0"/>
    <x v="1"/>
    <x v="30"/>
    <x v="6"/>
    <n v="2022"/>
    <x v="1"/>
    <s v="N/A"/>
    <n v="0"/>
    <s v="Confirmed"/>
    <s v=""/>
    <x v="0"/>
    <x v="0"/>
    <m/>
    <x v="3"/>
    <x v="1"/>
    <m/>
    <n v="0"/>
    <x v="1"/>
    <s v=""/>
    <n v="46777779.823447868"/>
  </r>
  <r>
    <x v="0"/>
    <x v="5"/>
    <x v="5"/>
    <x v="4"/>
    <x v="0"/>
    <x v="1"/>
    <x v="30"/>
    <x v="6"/>
    <n v="2022"/>
    <x v="1"/>
    <s v="N/A"/>
    <n v="0"/>
    <s v="Confirmed"/>
    <s v=""/>
    <x v="0"/>
    <x v="0"/>
    <m/>
    <x v="1"/>
    <x v="1"/>
    <m/>
    <n v="0"/>
    <x v="0"/>
    <s v=""/>
    <n v="30725305777.596794"/>
  </r>
  <r>
    <x v="0"/>
    <x v="6"/>
    <x v="6"/>
    <x v="1"/>
    <x v="0"/>
    <x v="1"/>
    <x v="30"/>
    <x v="6"/>
    <n v="2022"/>
    <x v="1"/>
    <s v="N/A"/>
    <n v="0"/>
    <s v="Confirmed"/>
    <s v=""/>
    <x v="0"/>
    <x v="0"/>
    <m/>
    <x v="1"/>
    <x v="1"/>
    <m/>
    <n v="0"/>
    <x v="0"/>
    <s v=""/>
    <n v="153815827.8380394"/>
  </r>
  <r>
    <x v="0"/>
    <x v="7"/>
    <x v="7"/>
    <x v="1"/>
    <x v="0"/>
    <x v="1"/>
    <x v="30"/>
    <x v="6"/>
    <n v="2022"/>
    <x v="1"/>
    <s v="N/A"/>
    <n v="0"/>
    <s v="Confirmed"/>
    <s v=""/>
    <x v="0"/>
    <x v="0"/>
    <m/>
    <x v="1"/>
    <x v="1"/>
    <m/>
    <n v="0"/>
    <x v="0"/>
    <s v="N/A"/>
    <n v="437525105.31216973"/>
  </r>
  <r>
    <x v="0"/>
    <x v="8"/>
    <x v="8"/>
    <x v="4"/>
    <x v="0"/>
    <x v="1"/>
    <x v="30"/>
    <x v="6"/>
    <n v="2022"/>
    <x v="1"/>
    <s v="N/A"/>
    <n v="0"/>
    <s v="Confirmed"/>
    <s v=""/>
    <x v="0"/>
    <x v="0"/>
    <m/>
    <x v="3"/>
    <x v="1"/>
    <m/>
    <n v="0"/>
    <x v="1"/>
    <s v=""/>
    <n v="149463302.00602186"/>
  </r>
  <r>
    <x v="0"/>
    <x v="9"/>
    <x v="9"/>
    <x v="0"/>
    <x v="0"/>
    <x v="1"/>
    <x v="30"/>
    <x v="6"/>
    <n v="2022"/>
    <x v="1"/>
    <s v="N/A"/>
    <n v="0"/>
    <s v="Confirmed"/>
    <s v=""/>
    <x v="0"/>
    <x v="0"/>
    <m/>
    <x v="2"/>
    <x v="0"/>
    <m/>
    <n v="0"/>
    <x v="0"/>
    <s v="Low"/>
    <n v="1148322593.9600098"/>
  </r>
  <r>
    <x v="0"/>
    <x v="10"/>
    <x v="10"/>
    <x v="1"/>
    <x v="0"/>
    <x v="1"/>
    <x v="30"/>
    <x v="6"/>
    <n v="2022"/>
    <x v="1"/>
    <s v="N/A"/>
    <n v="0"/>
    <s v="Confirmed"/>
    <s v=""/>
    <x v="0"/>
    <x v="0"/>
    <m/>
    <x v="1"/>
    <x v="1"/>
    <m/>
    <n v="0"/>
    <x v="0"/>
    <s v=""/>
    <n v="2371102058.1093163"/>
  </r>
  <r>
    <x v="0"/>
    <x v="11"/>
    <x v="11"/>
    <x v="4"/>
    <x v="0"/>
    <x v="1"/>
    <x v="30"/>
    <x v="6"/>
    <n v="2022"/>
    <x v="1"/>
    <s v="N/A"/>
    <n v="0"/>
    <s v="Confirmed"/>
    <s v=""/>
    <x v="0"/>
    <x v="0"/>
    <m/>
    <x v="2"/>
    <x v="1"/>
    <m/>
    <n v="0"/>
    <x v="1"/>
    <s v="N/A"/>
    <n v="75151620.005215243"/>
  </r>
  <r>
    <x v="0"/>
    <x v="12"/>
    <x v="12"/>
    <x v="5"/>
    <x v="0"/>
    <x v="1"/>
    <x v="30"/>
    <x v="6"/>
    <n v="2022"/>
    <x v="1"/>
    <s v="N/A"/>
    <n v="1880277"/>
    <s v="Confirmed"/>
    <s v=""/>
    <x v="0"/>
    <x v="0"/>
    <m/>
    <x v="2"/>
    <x v="0"/>
    <m/>
    <n v="0"/>
    <x v="0"/>
    <s v="Moderate"/>
    <n v="69958487.197715744"/>
  </r>
  <r>
    <x v="0"/>
    <x v="13"/>
    <x v="13"/>
    <x v="0"/>
    <x v="0"/>
    <x v="1"/>
    <x v="30"/>
    <x v="6"/>
    <n v="2022"/>
    <x v="1"/>
    <s v="N/A"/>
    <n v="0"/>
    <s v="Confirmed"/>
    <s v=""/>
    <x v="0"/>
    <x v="0"/>
    <m/>
    <x v="2"/>
    <x v="0"/>
    <m/>
    <n v="0"/>
    <x v="0"/>
    <s v="…"/>
    <n v="61654608.560629159"/>
  </r>
  <r>
    <x v="0"/>
    <x v="14"/>
    <x v="14"/>
    <x v="4"/>
    <x v="0"/>
    <x v="1"/>
    <x v="30"/>
    <x v="6"/>
    <n v="2022"/>
    <x v="1"/>
    <s v="N/A"/>
    <n v="0"/>
    <s v="Confirmed"/>
    <s v=""/>
    <x v="0"/>
    <x v="0"/>
    <m/>
    <x v="2"/>
    <x v="0"/>
    <m/>
    <n v="0"/>
    <x v="0"/>
    <s v="N/A"/>
    <n v="1806638707.7615163"/>
  </r>
  <r>
    <x v="0"/>
    <x v="15"/>
    <x v="15"/>
    <x v="1"/>
    <x v="0"/>
    <x v="1"/>
    <x v="30"/>
    <x v="6"/>
    <n v="2022"/>
    <x v="1"/>
    <s v="N/A"/>
    <n v="0"/>
    <s v="Confirmed"/>
    <s v=""/>
    <x v="0"/>
    <x v="0"/>
    <m/>
    <x v="1"/>
    <x v="1"/>
    <m/>
    <n v="0"/>
    <x v="0"/>
    <s v="N/A"/>
    <n v="1252696525.0627904"/>
  </r>
  <r>
    <x v="0"/>
    <x v="16"/>
    <x v="16"/>
    <x v="3"/>
    <x v="0"/>
    <x v="1"/>
    <x v="30"/>
    <x v="6"/>
    <n v="2022"/>
    <x v="1"/>
    <s v="N/A"/>
    <n v="0"/>
    <s v="Confirmed"/>
    <s v=""/>
    <x v="0"/>
    <x v="0"/>
    <m/>
    <x v="1"/>
    <x v="1"/>
    <m/>
    <n v="0"/>
    <x v="0"/>
    <s v=""/>
    <n v="843425084.07334602"/>
  </r>
  <r>
    <x v="0"/>
    <x v="17"/>
    <x v="17"/>
    <x v="4"/>
    <x v="0"/>
    <x v="1"/>
    <x v="30"/>
    <x v="6"/>
    <n v="2022"/>
    <x v="1"/>
    <s v="N/A"/>
    <n v="0"/>
    <s v="Confirmed"/>
    <s v=""/>
    <x v="0"/>
    <x v="0"/>
    <m/>
    <x v="1"/>
    <x v="1"/>
    <m/>
    <n v="0"/>
    <x v="0"/>
    <s v="N/A"/>
    <n v="74055620038.853683"/>
  </r>
  <r>
    <x v="0"/>
    <x v="18"/>
    <x v="18"/>
    <x v="1"/>
    <x v="0"/>
    <x v="1"/>
    <x v="30"/>
    <x v="6"/>
    <n v="2022"/>
    <x v="1"/>
    <s v="N/A"/>
    <n v="0"/>
    <s v="Confirmed"/>
    <s v=""/>
    <x v="0"/>
    <x v="0"/>
    <m/>
    <x v="1"/>
    <x v="1"/>
    <m/>
    <n v="0"/>
    <x v="0"/>
    <s v=""/>
    <n v="2803357765.5888777"/>
  </r>
  <r>
    <x v="0"/>
    <x v="19"/>
    <x v="19"/>
    <x v="5"/>
    <x v="0"/>
    <x v="1"/>
    <x v="30"/>
    <x v="6"/>
    <n v="2022"/>
    <x v="1"/>
    <s v="N/A"/>
    <n v="0"/>
    <s v="Confirmed"/>
    <s v=""/>
    <x v="0"/>
    <x v="0"/>
    <m/>
    <x v="0"/>
    <x v="0"/>
    <m/>
    <n v="2"/>
    <x v="0"/>
    <s v="Moderate"/>
    <n v="337927779.25510043"/>
  </r>
  <r>
    <x v="0"/>
    <x v="20"/>
    <x v="20"/>
    <x v="3"/>
    <x v="0"/>
    <x v="1"/>
    <x v="30"/>
    <x v="6"/>
    <n v="2022"/>
    <x v="1"/>
    <s v="N/A"/>
    <n v="0"/>
    <s v="Confirmed"/>
    <s v=""/>
    <x v="0"/>
    <x v="0"/>
    <m/>
    <x v="0"/>
    <x v="0"/>
    <m/>
    <n v="2"/>
    <x v="0"/>
    <s v="…"/>
    <n v="65979512.47399316"/>
  </r>
  <r>
    <x v="0"/>
    <x v="21"/>
    <x v="21"/>
    <x v="5"/>
    <x v="0"/>
    <x v="1"/>
    <x v="30"/>
    <x v="6"/>
    <n v="2022"/>
    <x v="1"/>
    <s v="N/A"/>
    <n v="0"/>
    <s v="Confirmed"/>
    <s v=""/>
    <x v="0"/>
    <x v="0"/>
    <m/>
    <x v="2"/>
    <x v="0"/>
    <m/>
    <n v="0"/>
    <x v="1"/>
    <s v="High"/>
    <n v="63748362.778827004"/>
  </r>
  <r>
    <x v="0"/>
    <x v="22"/>
    <x v="22"/>
    <x v="6"/>
    <x v="0"/>
    <x v="1"/>
    <x v="30"/>
    <x v="6"/>
    <n v="2022"/>
    <x v="1"/>
    <s v="N/A"/>
    <n v="0"/>
    <s v="Confirmed"/>
    <s v=""/>
    <x v="0"/>
    <x v="0"/>
    <m/>
    <x v="2"/>
    <x v="0"/>
    <m/>
    <n v="0"/>
    <x v="0"/>
    <s v="Low"/>
    <n v="313039649.45369786"/>
  </r>
  <r>
    <x v="0"/>
    <x v="23"/>
    <x v="23"/>
    <x v="5"/>
    <x v="0"/>
    <x v="1"/>
    <x v="30"/>
    <x v="6"/>
    <n v="2022"/>
    <x v="1"/>
    <s v="N/A"/>
    <n v="0"/>
    <s v="Confirmed"/>
    <s v=""/>
    <x v="0"/>
    <x v="0"/>
    <m/>
    <x v="2"/>
    <x v="0"/>
    <m/>
    <n v="2"/>
    <x v="0"/>
    <s v="High"/>
    <n v="81361801.477472037"/>
  </r>
  <r>
    <x v="0"/>
    <x v="24"/>
    <x v="24"/>
    <x v="5"/>
    <x v="0"/>
    <x v="1"/>
    <x v="30"/>
    <x v="6"/>
    <n v="2022"/>
    <x v="1"/>
    <s v="N/A"/>
    <n v="0"/>
    <s v="Confirmed"/>
    <s v=""/>
    <x v="0"/>
    <x v="0"/>
    <m/>
    <x v="0"/>
    <x v="0"/>
    <m/>
    <n v="1"/>
    <x v="0"/>
    <s v="High"/>
    <s v=""/>
  </r>
  <r>
    <x v="0"/>
    <x v="25"/>
    <x v="25"/>
    <x v="5"/>
    <x v="0"/>
    <x v="1"/>
    <x v="30"/>
    <x v="6"/>
    <n v="2022"/>
    <x v="1"/>
    <s v="N/A"/>
    <n v="0"/>
    <s v="Confirmed"/>
    <s v=""/>
    <x v="0"/>
    <x v="0"/>
    <m/>
    <x v="0"/>
    <x v="0"/>
    <m/>
    <n v="1"/>
    <x v="0"/>
    <s v="High"/>
    <n v="76939306.715636879"/>
  </r>
  <r>
    <x v="0"/>
    <x v="26"/>
    <x v="26"/>
    <x v="4"/>
    <x v="0"/>
    <x v="1"/>
    <x v="30"/>
    <x v="6"/>
    <n v="2022"/>
    <x v="1"/>
    <s v="N/A"/>
    <n v="0"/>
    <s v="Confirmed"/>
    <s v=""/>
    <x v="0"/>
    <x v="0"/>
    <m/>
    <x v="3"/>
    <x v="1"/>
    <m/>
    <n v="0"/>
    <x v="0"/>
    <s v=""/>
    <n v="13859708717.682571"/>
  </r>
  <r>
    <x v="0"/>
    <x v="27"/>
    <x v="27"/>
    <x v="6"/>
    <x v="0"/>
    <x v="1"/>
    <x v="30"/>
    <x v="6"/>
    <n v="2022"/>
    <x v="1"/>
    <s v="N/A"/>
    <n v="0"/>
    <s v="Confirmed"/>
    <s v=""/>
    <x v="0"/>
    <x v="0"/>
    <m/>
    <x v="1"/>
    <x v="1"/>
    <m/>
    <n v="0"/>
    <x v="0"/>
    <s v=""/>
    <n v="403567160707.7016"/>
  </r>
  <r>
    <x v="0"/>
    <x v="28"/>
    <x v="28"/>
    <x v="4"/>
    <x v="0"/>
    <x v="1"/>
    <x v="30"/>
    <x v="6"/>
    <n v="2022"/>
    <x v="1"/>
    <s v="N/A"/>
    <n v="0"/>
    <s v="Confirmed"/>
    <s v=""/>
    <x v="0"/>
    <x v="0"/>
    <m/>
    <x v="1"/>
    <x v="1"/>
    <m/>
    <n v="0"/>
    <x v="0"/>
    <s v=""/>
    <n v="18250225995.972618"/>
  </r>
  <r>
    <x v="0"/>
    <x v="29"/>
    <x v="29"/>
    <x v="3"/>
    <x v="0"/>
    <x v="1"/>
    <x v="30"/>
    <x v="6"/>
    <n v="2022"/>
    <x v="1"/>
    <s v="N/A"/>
    <n v="0"/>
    <s v="Confirmed"/>
    <s v=""/>
    <x v="0"/>
    <x v="0"/>
    <m/>
    <x v="2"/>
    <x v="0"/>
    <m/>
    <n v="0"/>
    <x v="1"/>
    <s v="Moderate"/>
    <n v="5027591.1682657599"/>
  </r>
  <r>
    <x v="0"/>
    <x v="30"/>
    <x v="30"/>
    <x v="5"/>
    <x v="0"/>
    <x v="1"/>
    <x v="30"/>
    <x v="6"/>
    <n v="2022"/>
    <x v="1"/>
    <s v="N/A"/>
    <n v="0"/>
    <s v="Confirmed"/>
    <s v=""/>
    <x v="0"/>
    <x v="0"/>
    <m/>
    <x v="0"/>
    <x v="0"/>
    <m/>
    <n v="3"/>
    <x v="0"/>
    <s v="Moderate"/>
    <n v="234645958.63289919"/>
  </r>
  <r>
    <x v="0"/>
    <x v="31"/>
    <x v="31"/>
    <x v="5"/>
    <x v="0"/>
    <x v="1"/>
    <x v="30"/>
    <x v="6"/>
    <n v="2022"/>
    <x v="1"/>
    <s v="N/A"/>
    <n v="0"/>
    <s v="Confirmed"/>
    <s v=""/>
    <x v="0"/>
    <x v="0"/>
    <m/>
    <x v="2"/>
    <x v="0"/>
    <m/>
    <n v="2"/>
    <x v="0"/>
    <s v="In distress"/>
    <n v="91590910.247314155"/>
  </r>
  <r>
    <x v="0"/>
    <x v="32"/>
    <x v="32"/>
    <x v="6"/>
    <x v="0"/>
    <x v="1"/>
    <x v="30"/>
    <x v="6"/>
    <n v="2022"/>
    <x v="1"/>
    <s v="N/A"/>
    <n v="0"/>
    <s v="Confirmed"/>
    <s v=""/>
    <x v="0"/>
    <x v="0"/>
    <m/>
    <x v="4"/>
    <x v="1"/>
    <m/>
    <n v="0"/>
    <x v="1"/>
    <s v="N/A"/>
    <n v="8560012.8840167802"/>
  </r>
  <r>
    <x v="0"/>
    <x v="33"/>
    <x v="33"/>
    <x v="4"/>
    <x v="0"/>
    <x v="1"/>
    <x v="30"/>
    <x v="6"/>
    <n v="2022"/>
    <x v="1"/>
    <s v="N/A"/>
    <n v="0"/>
    <s v="Confirmed"/>
    <s v=""/>
    <x v="0"/>
    <x v="0"/>
    <m/>
    <x v="1"/>
    <x v="1"/>
    <m/>
    <n v="0"/>
    <x v="0"/>
    <s v="N/A"/>
    <n v="3292372960.3962669"/>
  </r>
  <r>
    <x v="0"/>
    <x v="34"/>
    <x v="34"/>
    <x v="5"/>
    <x v="0"/>
    <x v="1"/>
    <x v="30"/>
    <x v="6"/>
    <n v="2022"/>
    <x v="1"/>
    <s v="N/A"/>
    <n v="0"/>
    <s v="Confirmed"/>
    <s v=""/>
    <x v="0"/>
    <x v="0"/>
    <m/>
    <x v="2"/>
    <x v="0"/>
    <m/>
    <n v="0"/>
    <x v="0"/>
    <s v="Moderate"/>
    <n v="519209981.22981054"/>
  </r>
  <r>
    <x v="0"/>
    <x v="35"/>
    <x v="35"/>
    <x v="1"/>
    <x v="0"/>
    <x v="1"/>
    <x v="30"/>
    <x v="6"/>
    <n v="2022"/>
    <x v="1"/>
    <s v="N/A"/>
    <n v="0"/>
    <s v="Confirmed"/>
    <s v=""/>
    <x v="0"/>
    <x v="0"/>
    <m/>
    <x v="3"/>
    <x v="1"/>
    <m/>
    <n v="0"/>
    <x v="0"/>
    <s v=""/>
    <n v="3464739907.1604805"/>
  </r>
  <r>
    <x v="0"/>
    <x v="36"/>
    <x v="36"/>
    <x v="4"/>
    <x v="0"/>
    <x v="1"/>
    <x v="30"/>
    <x v="6"/>
    <n v="2022"/>
    <x v="1"/>
    <s v="N/A"/>
    <n v="0"/>
    <s v="Confirmed"/>
    <s v=""/>
    <x v="0"/>
    <x v="0"/>
    <m/>
    <x v="1"/>
    <x v="1"/>
    <m/>
    <n v="0"/>
    <x v="1"/>
    <s v=""/>
    <n v="9948521252.2569065"/>
  </r>
  <r>
    <x v="0"/>
    <x v="37"/>
    <x v="37"/>
    <x v="2"/>
    <x v="0"/>
    <x v="1"/>
    <x v="30"/>
    <x v="6"/>
    <n v="2022"/>
    <x v="1"/>
    <s v="N/A"/>
    <n v="0"/>
    <s v="Confirmed"/>
    <s v=""/>
    <x v="0"/>
    <x v="0"/>
    <m/>
    <x v="2"/>
    <x v="0"/>
    <m/>
    <n v="1"/>
    <x v="0"/>
    <s v="High"/>
    <n v="33679192.765657313"/>
  </r>
  <r>
    <x v="0"/>
    <x v="38"/>
    <x v="38"/>
    <x v="4"/>
    <x v="0"/>
    <x v="1"/>
    <x v="30"/>
    <x v="6"/>
    <n v="2022"/>
    <x v="1"/>
    <s v="N/A"/>
    <n v="0"/>
    <s v="Confirmed"/>
    <s v=""/>
    <x v="0"/>
    <x v="0"/>
    <m/>
    <x v="1"/>
    <x v="0"/>
    <m/>
    <n v="0"/>
    <x v="1"/>
    <s v="…"/>
    <n v="22784494.365742501"/>
  </r>
  <r>
    <x v="0"/>
    <x v="39"/>
    <x v="39"/>
    <x v="4"/>
    <x v="0"/>
    <x v="1"/>
    <x v="30"/>
    <x v="6"/>
    <n v="2022"/>
    <x v="1"/>
    <s v="N/A"/>
    <n v="0"/>
    <s v="Confirmed"/>
    <s v=""/>
    <x v="0"/>
    <x v="0"/>
    <m/>
    <x v="1"/>
    <x v="1"/>
    <m/>
    <n v="0"/>
    <x v="1"/>
    <s v=""/>
    <n v="2173208011.4858823"/>
  </r>
  <r>
    <x v="0"/>
    <x v="40"/>
    <x v="40"/>
    <x v="4"/>
    <x v="0"/>
    <x v="1"/>
    <x v="30"/>
    <x v="6"/>
    <n v="2022"/>
    <x v="1"/>
    <s v="N/A"/>
    <n v="0"/>
    <s v="Confirmed"/>
    <s v=""/>
    <x v="0"/>
    <x v="0"/>
    <m/>
    <x v="1"/>
    <x v="1"/>
    <m/>
    <n v="0"/>
    <x v="0"/>
    <s v="N/A"/>
    <n v="4585736158.8323269"/>
  </r>
  <r>
    <x v="0"/>
    <x v="41"/>
    <x v="41"/>
    <x v="2"/>
    <x v="0"/>
    <x v="1"/>
    <x v="30"/>
    <x v="6"/>
    <n v="2022"/>
    <x v="1"/>
    <s v="N/A"/>
    <n v="0"/>
    <s v="Confirmed"/>
    <s v=""/>
    <x v="0"/>
    <x v="0"/>
    <m/>
    <x v="2"/>
    <x v="0"/>
    <m/>
    <n v="0"/>
    <x v="0"/>
    <s v="N/A"/>
    <n v="3550291584.8645592"/>
  </r>
  <r>
    <x v="0"/>
    <x v="42"/>
    <x v="42"/>
    <x v="4"/>
    <x v="0"/>
    <x v="1"/>
    <x v="30"/>
    <x v="6"/>
    <n v="2022"/>
    <x v="1"/>
    <s v="N/A"/>
    <n v="0"/>
    <s v="Confirmed"/>
    <s v=""/>
    <x v="0"/>
    <x v="0"/>
    <m/>
    <x v="2"/>
    <x v="0"/>
    <m/>
    <n v="0"/>
    <x v="0"/>
    <s v="N/A"/>
    <n v="1182840319.0410969"/>
  </r>
  <r>
    <x v="0"/>
    <x v="43"/>
    <x v="43"/>
    <x v="4"/>
    <x v="0"/>
    <x v="1"/>
    <x v="30"/>
    <x v="6"/>
    <n v="2022"/>
    <x v="1"/>
    <s v="N/A"/>
    <n v="0"/>
    <s v="Confirmed"/>
    <s v=""/>
    <x v="0"/>
    <x v="0"/>
    <m/>
    <x v="1"/>
    <x v="1"/>
    <m/>
    <n v="0"/>
    <x v="0"/>
    <s v=""/>
    <n v="81728347.604567245"/>
  </r>
  <r>
    <x v="0"/>
    <x v="44"/>
    <x v="44"/>
    <x v="3"/>
    <x v="0"/>
    <x v="1"/>
    <x v="30"/>
    <x v="6"/>
    <n v="2022"/>
    <x v="1"/>
    <s v="N/A"/>
    <n v="0"/>
    <s v="Confirmed"/>
    <s v=""/>
    <x v="0"/>
    <x v="0"/>
    <m/>
    <x v="0"/>
    <x v="0"/>
    <m/>
    <n v="2"/>
    <x v="0"/>
    <s v="N/A"/>
    <n v="12787914.977715338"/>
  </r>
  <r>
    <x v="0"/>
    <x v="45"/>
    <x v="45"/>
    <x v="3"/>
    <x v="0"/>
    <x v="1"/>
    <x v="30"/>
    <x v="6"/>
    <n v="2022"/>
    <x v="1"/>
    <s v="N/A"/>
    <n v="0"/>
    <s v="Confirmed"/>
    <s v=""/>
    <x v="0"/>
    <x v="0"/>
    <m/>
    <x v="2"/>
    <x v="0"/>
    <m/>
    <n v="2"/>
    <x v="0"/>
    <s v="N/A"/>
    <n v="101271737.65410839"/>
  </r>
  <r>
    <x v="0"/>
    <x v="46"/>
    <x v="46"/>
    <x v="3"/>
    <x v="0"/>
    <x v="1"/>
    <x v="30"/>
    <x v="6"/>
    <n v="2022"/>
    <x v="1"/>
    <s v="N/A"/>
    <n v="0"/>
    <s v="Confirmed"/>
    <s v=""/>
    <x v="0"/>
    <x v="0"/>
    <m/>
    <x v="0"/>
    <x v="0"/>
    <m/>
    <n v="3"/>
    <x v="0"/>
    <s v="High"/>
    <n v="618344226.71759331"/>
  </r>
  <r>
    <x v="0"/>
    <x v="47"/>
    <x v="47"/>
    <x v="6"/>
    <x v="0"/>
    <x v="1"/>
    <x v="30"/>
    <x v="6"/>
    <n v="2022"/>
    <x v="1"/>
    <s v="N/A"/>
    <n v="0"/>
    <s v="Confirmed"/>
    <s v=""/>
    <x v="0"/>
    <x v="0"/>
    <m/>
    <x v="1"/>
    <x v="0"/>
    <m/>
    <n v="0"/>
    <x v="1"/>
    <s v="…"/>
    <n v="129483872.95906857"/>
  </r>
  <r>
    <x v="0"/>
    <x v="48"/>
    <x v="48"/>
    <x v="5"/>
    <x v="0"/>
    <x v="1"/>
    <x v="30"/>
    <x v="6"/>
    <n v="2022"/>
    <x v="1"/>
    <s v="N/A"/>
    <n v="0"/>
    <s v="Confirmed"/>
    <s v=""/>
    <x v="0"/>
    <x v="0"/>
    <m/>
    <x v="1"/>
    <x v="1"/>
    <m/>
    <n v="0"/>
    <x v="0"/>
    <s v="N/A"/>
    <n v="271184658.35014349"/>
  </r>
  <r>
    <x v="0"/>
    <x v="49"/>
    <x v="49"/>
    <x v="5"/>
    <x v="0"/>
    <x v="1"/>
    <x v="30"/>
    <x v="6"/>
    <n v="2022"/>
    <x v="1"/>
    <s v="N/A"/>
    <n v="0"/>
    <s v="Confirmed"/>
    <s v=""/>
    <x v="0"/>
    <x v="0"/>
    <m/>
    <x v="0"/>
    <x v="0"/>
    <m/>
    <n v="0"/>
    <x v="0"/>
    <s v="High"/>
    <n v="15455265.086884515"/>
  </r>
  <r>
    <x v="0"/>
    <x v="50"/>
    <x v="50"/>
    <x v="1"/>
    <x v="0"/>
    <x v="1"/>
    <x v="30"/>
    <x v="6"/>
    <n v="2022"/>
    <x v="1"/>
    <s v="N/A"/>
    <n v="0"/>
    <s v="Confirmed"/>
    <s v=""/>
    <x v="0"/>
    <x v="0"/>
    <m/>
    <x v="1"/>
    <x v="1"/>
    <m/>
    <n v="0"/>
    <x v="0"/>
    <s v="N/A"/>
    <n v="494021502.525527"/>
  </r>
  <r>
    <x v="0"/>
    <x v="51"/>
    <x v="51"/>
    <x v="5"/>
    <x v="0"/>
    <x v="1"/>
    <x v="30"/>
    <x v="6"/>
    <n v="2022"/>
    <x v="1"/>
    <s v="N/A"/>
    <n v="0"/>
    <s v="Confirmed"/>
    <s v=""/>
    <x v="0"/>
    <x v="0"/>
    <m/>
    <x v="2"/>
    <x v="0"/>
    <m/>
    <n v="0"/>
    <x v="0"/>
    <s v="High"/>
    <n v="902005621.73836684"/>
  </r>
  <r>
    <x v="0"/>
    <x v="52"/>
    <x v="52"/>
    <x v="4"/>
    <x v="0"/>
    <x v="1"/>
    <x v="30"/>
    <x v="6"/>
    <n v="2022"/>
    <x v="1"/>
    <s v="N/A"/>
    <n v="0"/>
    <s v="Confirmed"/>
    <s v=""/>
    <x v="0"/>
    <x v="0"/>
    <m/>
    <x v="1"/>
    <x v="0"/>
    <m/>
    <n v="0"/>
    <x v="1"/>
    <s v="In distress"/>
    <n v="20201670.142996579"/>
  </r>
  <r>
    <x v="0"/>
    <x v="53"/>
    <x v="53"/>
    <x v="4"/>
    <x v="0"/>
    <x v="1"/>
    <x v="30"/>
    <x v="6"/>
    <n v="2022"/>
    <x v="1"/>
    <s v="N/A"/>
    <n v="0"/>
    <s v="Confirmed"/>
    <s v=""/>
    <x v="0"/>
    <x v="0"/>
    <m/>
    <x v="1"/>
    <x v="1"/>
    <m/>
    <n v="0"/>
    <x v="0"/>
    <s v=""/>
    <n v="1612434649.6948864"/>
  </r>
  <r>
    <x v="0"/>
    <x v="54"/>
    <x v="54"/>
    <x v="5"/>
    <x v="0"/>
    <x v="1"/>
    <x v="30"/>
    <x v="6"/>
    <n v="2022"/>
    <x v="1"/>
    <s v="N/A"/>
    <n v="0"/>
    <s v="Confirmed"/>
    <s v=""/>
    <x v="0"/>
    <x v="0"/>
    <m/>
    <x v="0"/>
    <x v="0"/>
    <m/>
    <n v="0"/>
    <x v="0"/>
    <s v="Moderate"/>
    <n v="78203134.118229344"/>
  </r>
  <r>
    <x v="0"/>
    <x v="55"/>
    <x v="55"/>
    <x v="5"/>
    <x v="0"/>
    <x v="1"/>
    <x v="30"/>
    <x v="6"/>
    <n v="2022"/>
    <x v="1"/>
    <s v="N/A"/>
    <n v="0"/>
    <s v="Confirmed"/>
    <s v=""/>
    <x v="0"/>
    <x v="0"/>
    <m/>
    <x v="0"/>
    <x v="0"/>
    <m/>
    <n v="2"/>
    <x v="1"/>
    <s v="High"/>
    <n v="9151637.7411015611"/>
  </r>
  <r>
    <x v="0"/>
    <x v="56"/>
    <x v="56"/>
    <x v="4"/>
    <x v="0"/>
    <x v="1"/>
    <x v="30"/>
    <x v="6"/>
    <n v="2022"/>
    <x v="1"/>
    <s v="N/A"/>
    <n v="0"/>
    <s v="Confirmed"/>
    <s v=""/>
    <x v="0"/>
    <x v="0"/>
    <m/>
    <x v="1"/>
    <x v="0"/>
    <m/>
    <n v="0"/>
    <x v="1"/>
    <s v="Moderate"/>
    <n v="142455920.02856269"/>
  </r>
  <r>
    <x v="0"/>
    <x v="57"/>
    <x v="57"/>
    <x v="4"/>
    <x v="0"/>
    <x v="1"/>
    <x v="30"/>
    <x v="6"/>
    <n v="2022"/>
    <x v="1"/>
    <s v="N/A"/>
    <n v="0"/>
    <s v="Confirmed"/>
    <s v=""/>
    <x v="0"/>
    <x v="0"/>
    <m/>
    <x v="2"/>
    <x v="0"/>
    <m/>
    <n v="1"/>
    <x v="1"/>
    <s v="High"/>
    <n v="85611818.171245083"/>
  </r>
  <r>
    <x v="0"/>
    <x v="58"/>
    <x v="58"/>
    <x v="4"/>
    <x v="0"/>
    <x v="1"/>
    <x v="30"/>
    <x v="6"/>
    <n v="2022"/>
    <x v="1"/>
    <s v="N/A"/>
    <n v="0"/>
    <s v="Confirmed"/>
    <s v=""/>
    <x v="0"/>
    <x v="0"/>
    <m/>
    <x v="2"/>
    <x v="0"/>
    <m/>
    <n v="0"/>
    <x v="0"/>
    <s v="Low"/>
    <n v="680289736.30082119"/>
  </r>
  <r>
    <x v="0"/>
    <x v="59"/>
    <x v="59"/>
    <x v="0"/>
    <x v="0"/>
    <x v="1"/>
    <x v="30"/>
    <x v="6"/>
    <n v="2022"/>
    <x v="1"/>
    <s v="N/A"/>
    <n v="0"/>
    <s v="Confirmed"/>
    <s v=""/>
    <x v="0"/>
    <x v="0"/>
    <m/>
    <x v="2"/>
    <x v="0"/>
    <m/>
    <n v="0"/>
    <x v="0"/>
    <s v="N/A"/>
    <n v="26554332750.47023"/>
  </r>
  <r>
    <x v="0"/>
    <x v="60"/>
    <x v="60"/>
    <x v="6"/>
    <x v="0"/>
    <x v="1"/>
    <x v="30"/>
    <x v="6"/>
    <n v="2022"/>
    <x v="1"/>
    <s v="N/A"/>
    <n v="0"/>
    <s v="Confirmed"/>
    <s v=""/>
    <x v="0"/>
    <x v="0"/>
    <m/>
    <x v="2"/>
    <x v="0"/>
    <m/>
    <n v="0"/>
    <x v="0"/>
    <s v="N/A"/>
    <n v="14745961064.890842"/>
  </r>
  <r>
    <x v="0"/>
    <x v="61"/>
    <x v="61"/>
    <x v="2"/>
    <x v="0"/>
    <x v="1"/>
    <x v="30"/>
    <x v="6"/>
    <n v="2022"/>
    <x v="1"/>
    <s v="N/A"/>
    <n v="0"/>
    <s v="Confirmed"/>
    <s v=""/>
    <x v="0"/>
    <x v="0"/>
    <m/>
    <x v="2"/>
    <x v="1"/>
    <m/>
    <n v="0"/>
    <x v="0"/>
    <s v="N/A"/>
    <n v="18194076299.786381"/>
  </r>
  <r>
    <x v="0"/>
    <x v="62"/>
    <x v="62"/>
    <x v="2"/>
    <x v="0"/>
    <x v="1"/>
    <x v="30"/>
    <x v="6"/>
    <n v="2022"/>
    <x v="1"/>
    <s v="N/A"/>
    <n v="0"/>
    <s v="Confirmed"/>
    <s v=""/>
    <x v="0"/>
    <x v="0"/>
    <m/>
    <x v="1"/>
    <x v="1"/>
    <m/>
    <n v="0"/>
    <x v="0"/>
    <s v="N/A"/>
    <n v="4428819387.769825"/>
  </r>
  <r>
    <x v="0"/>
    <x v="63"/>
    <x v="63"/>
    <x v="4"/>
    <x v="0"/>
    <x v="1"/>
    <x v="30"/>
    <x v="6"/>
    <n v="2022"/>
    <x v="1"/>
    <s v="N/A"/>
    <n v="0"/>
    <s v="Confirmed"/>
    <s v=""/>
    <x v="0"/>
    <x v="0"/>
    <m/>
    <x v="1"/>
    <x v="1"/>
    <m/>
    <n v="0"/>
    <x v="1"/>
    <s v=""/>
    <n v="611739560.62679195"/>
  </r>
  <r>
    <x v="0"/>
    <x v="64"/>
    <x v="64"/>
    <x v="2"/>
    <x v="0"/>
    <x v="1"/>
    <x v="30"/>
    <x v="6"/>
    <n v="2022"/>
    <x v="1"/>
    <s v="N/A"/>
    <n v="0"/>
    <s v="Confirmed"/>
    <s v=""/>
    <x v="0"/>
    <x v="0"/>
    <m/>
    <x v="1"/>
    <x v="1"/>
    <m/>
    <n v="0"/>
    <x v="0"/>
    <s v="N/A"/>
    <n v="1617913383.0481031"/>
  </r>
  <r>
    <x v="0"/>
    <x v="65"/>
    <x v="65"/>
    <x v="1"/>
    <x v="0"/>
    <x v="1"/>
    <x v="30"/>
    <x v="6"/>
    <n v="2022"/>
    <x v="1"/>
    <s v="N/A"/>
    <n v="0"/>
    <s v="Confirmed"/>
    <s v=""/>
    <x v="0"/>
    <x v="0"/>
    <m/>
    <x v="1"/>
    <x v="1"/>
    <m/>
    <n v="0"/>
    <x v="0"/>
    <s v=""/>
    <n v="3074419112.4562683"/>
  </r>
  <r>
    <x v="0"/>
    <x v="66"/>
    <x v="66"/>
    <x v="3"/>
    <x v="0"/>
    <x v="1"/>
    <x v="30"/>
    <x v="6"/>
    <n v="2022"/>
    <x v="1"/>
    <s v="N/A"/>
    <n v="0"/>
    <s v="Confirmed"/>
    <s v=""/>
    <x v="0"/>
    <x v="0"/>
    <m/>
    <x v="2"/>
    <x v="0"/>
    <m/>
    <n v="0"/>
    <x v="0"/>
    <s v="High"/>
    <n v="1914014279.8929913"/>
  </r>
  <r>
    <x v="0"/>
    <x v="67"/>
    <x v="67"/>
    <x v="6"/>
    <x v="0"/>
    <x v="1"/>
    <x v="30"/>
    <x v="6"/>
    <n v="2022"/>
    <x v="1"/>
    <s v="N/A"/>
    <n v="0"/>
    <s v="Confirmed"/>
    <s v=""/>
    <x v="0"/>
    <x v="0"/>
    <m/>
    <x v="2"/>
    <x v="0"/>
    <m/>
    <n v="0"/>
    <x v="1"/>
    <s v="High"/>
    <n v="17422005.762907442"/>
  </r>
  <r>
    <x v="0"/>
    <x v="68"/>
    <x v="68"/>
    <x v="6"/>
    <x v="0"/>
    <x v="1"/>
    <x v="30"/>
    <x v="6"/>
    <n v="2022"/>
    <x v="1"/>
    <s v="N/A"/>
    <n v="0"/>
    <s v="Confirmed"/>
    <s v=""/>
    <x v="0"/>
    <x v="0"/>
    <m/>
    <x v="0"/>
    <x v="0"/>
    <m/>
    <n v="0"/>
    <x v="0"/>
    <s v="N/A"/>
    <s v=""/>
  </r>
  <r>
    <x v="0"/>
    <x v="69"/>
    <x v="69"/>
    <x v="1"/>
    <x v="0"/>
    <x v="1"/>
    <x v="30"/>
    <x v="6"/>
    <n v="2022"/>
    <x v="1"/>
    <s v="N/A"/>
    <n v="0"/>
    <s v="Confirmed"/>
    <s v=""/>
    <x v="0"/>
    <x v="0"/>
    <m/>
    <x v="1"/>
    <x v="0"/>
    <m/>
    <n v="0"/>
    <x v="0"/>
    <s v="…"/>
    <s v=""/>
  </r>
  <r>
    <x v="0"/>
    <x v="70"/>
    <x v="70"/>
    <x v="1"/>
    <x v="0"/>
    <x v="1"/>
    <x v="30"/>
    <x v="6"/>
    <n v="2022"/>
    <x v="1"/>
    <s v="N/A"/>
    <n v="0"/>
    <s v="Confirmed"/>
    <s v=""/>
    <x v="0"/>
    <x v="0"/>
    <m/>
    <x v="2"/>
    <x v="0"/>
    <m/>
    <n v="2"/>
    <x v="0"/>
    <s v="Moderate"/>
    <n v="231506834.84347546"/>
  </r>
  <r>
    <x v="0"/>
    <x v="71"/>
    <x v="71"/>
    <x v="6"/>
    <x v="0"/>
    <x v="1"/>
    <x v="30"/>
    <x v="6"/>
    <n v="2022"/>
    <x v="1"/>
    <s v="N/A"/>
    <n v="0"/>
    <s v="Confirmed"/>
    <s v=""/>
    <x v="0"/>
    <x v="0"/>
    <m/>
    <x v="2"/>
    <x v="0"/>
    <m/>
    <n v="0"/>
    <x v="0"/>
    <s v="High"/>
    <n v="156059428.62944782"/>
  </r>
  <r>
    <x v="0"/>
    <x v="72"/>
    <x v="72"/>
    <x v="2"/>
    <x v="0"/>
    <x v="1"/>
    <x v="30"/>
    <x v="6"/>
    <n v="2022"/>
    <x v="1"/>
    <s v="N/A"/>
    <n v="0"/>
    <s v="Confirmed"/>
    <s v=""/>
    <x v="0"/>
    <x v="0"/>
    <m/>
    <x v="1"/>
    <x v="1"/>
    <m/>
    <n v="0"/>
    <x v="0"/>
    <s v="N/A"/>
    <n v="2355391507.1635861"/>
  </r>
  <r>
    <x v="0"/>
    <x v="73"/>
    <x v="73"/>
    <x v="3"/>
    <x v="0"/>
    <x v="1"/>
    <x v="30"/>
    <x v="6"/>
    <n v="2022"/>
    <x v="1"/>
    <s v="N/A"/>
    <n v="0"/>
    <s v="Confirmed"/>
    <s v=""/>
    <x v="0"/>
    <x v="0"/>
    <m/>
    <x v="2"/>
    <x v="0"/>
    <m/>
    <n v="0"/>
    <x v="0"/>
    <s v="Moderate"/>
    <n v="152760919.7684873"/>
  </r>
  <r>
    <x v="0"/>
    <x v="74"/>
    <x v="74"/>
    <x v="5"/>
    <x v="0"/>
    <x v="1"/>
    <x v="30"/>
    <x v="6"/>
    <n v="2022"/>
    <x v="1"/>
    <s v="N/A"/>
    <n v="0"/>
    <s v="Confirmed"/>
    <s v=""/>
    <x v="0"/>
    <x v="0"/>
    <m/>
    <x v="0"/>
    <x v="0"/>
    <m/>
    <n v="0"/>
    <x v="0"/>
    <s v="High"/>
    <n v="55072006.864440605"/>
  </r>
  <r>
    <x v="0"/>
    <x v="75"/>
    <x v="75"/>
    <x v="2"/>
    <x v="0"/>
    <x v="1"/>
    <x v="30"/>
    <x v="6"/>
    <n v="2022"/>
    <x v="1"/>
    <s v="N/A"/>
    <n v="0"/>
    <s v="Confirmed"/>
    <s v=""/>
    <x v="0"/>
    <x v="0"/>
    <m/>
    <x v="1"/>
    <x v="1"/>
    <m/>
    <n v="0"/>
    <x v="0"/>
    <s v="N/A"/>
    <s v=""/>
  </r>
  <r>
    <x v="0"/>
    <x v="76"/>
    <x v="76"/>
    <x v="3"/>
    <x v="0"/>
    <x v="1"/>
    <x v="30"/>
    <x v="6"/>
    <n v="2022"/>
    <x v="1"/>
    <s v="N/A"/>
    <n v="0"/>
    <s v="Confirmed"/>
    <s v=""/>
    <x v="0"/>
    <x v="0"/>
    <m/>
    <x v="0"/>
    <x v="0"/>
    <m/>
    <n v="2"/>
    <x v="0"/>
    <s v="Moderate"/>
    <n v="206914157.05429548"/>
  </r>
  <r>
    <x v="0"/>
    <x v="77"/>
    <x v="77"/>
    <x v="3"/>
    <x v="0"/>
    <x v="1"/>
    <x v="30"/>
    <x v="6"/>
    <n v="2022"/>
    <x v="1"/>
    <s v="N/A"/>
    <n v="0"/>
    <s v="Confirmed"/>
    <s v=""/>
    <x v="0"/>
    <x v="0"/>
    <m/>
    <x v="0"/>
    <x v="0"/>
    <m/>
    <n v="2"/>
    <x v="0"/>
    <s v="High"/>
    <n v="185999915.02066413"/>
  </r>
  <r>
    <x v="0"/>
    <x v="78"/>
    <x v="78"/>
    <x v="6"/>
    <x v="0"/>
    <x v="1"/>
    <x v="30"/>
    <x v="6"/>
    <n v="2022"/>
    <x v="1"/>
    <s v="N/A"/>
    <n v="0"/>
    <s v="Confirmed"/>
    <s v=""/>
    <x v="0"/>
    <x v="0"/>
    <m/>
    <x v="1"/>
    <x v="1"/>
    <m/>
    <n v="0"/>
    <x v="0"/>
    <s v=""/>
    <n v="6893755763.2501726"/>
  </r>
  <r>
    <x v="0"/>
    <x v="79"/>
    <x v="79"/>
    <x v="0"/>
    <x v="0"/>
    <x v="1"/>
    <x v="30"/>
    <x v="6"/>
    <n v="2022"/>
    <x v="1"/>
    <s v="N/A"/>
    <n v="0"/>
    <s v="Confirmed"/>
    <s v=""/>
    <x v="0"/>
    <x v="0"/>
    <m/>
    <x v="1"/>
    <x v="0"/>
    <m/>
    <n v="0"/>
    <x v="1"/>
    <s v="High"/>
    <n v="354560231.58276606"/>
  </r>
  <r>
    <x v="0"/>
    <x v="80"/>
    <x v="80"/>
    <x v="5"/>
    <x v="0"/>
    <x v="1"/>
    <x v="30"/>
    <x v="6"/>
    <n v="2022"/>
    <x v="1"/>
    <s v="N/A"/>
    <n v="0"/>
    <s v="Confirmed"/>
    <s v=""/>
    <x v="0"/>
    <x v="0"/>
    <m/>
    <x v="0"/>
    <x v="0"/>
    <m/>
    <n v="1"/>
    <x v="0"/>
    <s v="Moderate"/>
    <n v="188169167.56540567"/>
  </r>
  <r>
    <x v="0"/>
    <x v="81"/>
    <x v="81"/>
    <x v="6"/>
    <x v="0"/>
    <x v="1"/>
    <x v="30"/>
    <x v="6"/>
    <n v="2022"/>
    <x v="1"/>
    <s v="N/A"/>
    <n v="0"/>
    <s v="Confirmed"/>
    <s v=""/>
    <x v="0"/>
    <x v="0"/>
    <m/>
    <x v="1"/>
    <x v="0"/>
    <m/>
    <n v="0"/>
    <x v="1"/>
    <s v=""/>
    <n v="16312106.556340856"/>
  </r>
  <r>
    <x v="0"/>
    <x v="82"/>
    <x v="82"/>
    <x v="5"/>
    <x v="0"/>
    <x v="1"/>
    <x v="30"/>
    <x v="6"/>
    <n v="2022"/>
    <x v="1"/>
    <s v="N/A"/>
    <n v="0"/>
    <s v="Confirmed"/>
    <s v=""/>
    <x v="0"/>
    <x v="0"/>
    <m/>
    <x v="2"/>
    <x v="0"/>
    <m/>
    <n v="2"/>
    <x v="0"/>
    <s v="High"/>
    <n v="86083833.534053758"/>
  </r>
  <r>
    <x v="0"/>
    <x v="83"/>
    <x v="83"/>
    <x v="3"/>
    <x v="0"/>
    <x v="1"/>
    <x v="30"/>
    <x v="6"/>
    <n v="2022"/>
    <x v="1"/>
    <s v="N/A"/>
    <n v="0"/>
    <s v="Confirmed"/>
    <s v=""/>
    <x v="0"/>
    <x v="0"/>
    <m/>
    <x v="1"/>
    <x v="1"/>
    <m/>
    <n v="0"/>
    <x v="1"/>
    <s v="N/A"/>
    <n v="357220835.93762809"/>
  </r>
  <r>
    <x v="0"/>
    <x v="84"/>
    <x v="84"/>
    <x v="4"/>
    <x v="0"/>
    <x v="1"/>
    <x v="30"/>
    <x v="6"/>
    <n v="2022"/>
    <x v="1"/>
    <s v="N/A"/>
    <n v="0"/>
    <s v="Confirmed"/>
    <s v=""/>
    <x v="0"/>
    <x v="0"/>
    <m/>
    <x v="1"/>
    <x v="1"/>
    <m/>
    <n v="0"/>
    <x v="0"/>
    <s v=""/>
    <n v="32831598153.796387"/>
  </r>
  <r>
    <x v="0"/>
    <x v="85"/>
    <x v="85"/>
    <x v="6"/>
    <x v="0"/>
    <x v="1"/>
    <x v="30"/>
    <x v="6"/>
    <n v="2022"/>
    <x v="1"/>
    <s v="N/A"/>
    <n v="0"/>
    <s v="Confirmed"/>
    <s v=""/>
    <x v="0"/>
    <x v="0"/>
    <m/>
    <x v="2"/>
    <x v="0"/>
    <m/>
    <n v="0"/>
    <x v="1"/>
    <s v="High"/>
    <n v="12329056.093798399"/>
  </r>
  <r>
    <x v="0"/>
    <x v="86"/>
    <x v="86"/>
    <x v="1"/>
    <x v="0"/>
    <x v="1"/>
    <x v="30"/>
    <x v="6"/>
    <n v="2022"/>
    <x v="1"/>
    <s v="N/A"/>
    <n v="0"/>
    <s v="Confirmed"/>
    <s v=""/>
    <x v="0"/>
    <x v="0"/>
    <m/>
    <x v="1"/>
    <x v="0"/>
    <m/>
    <n v="0"/>
    <x v="0"/>
    <s v="Low"/>
    <n v="426639742.85328001"/>
  </r>
  <r>
    <x v="0"/>
    <x v="87"/>
    <x v="87"/>
    <x v="6"/>
    <x v="0"/>
    <x v="1"/>
    <x v="30"/>
    <x v="6"/>
    <n v="2022"/>
    <x v="1"/>
    <s v="N/A"/>
    <n v="0"/>
    <s v="Confirmed"/>
    <s v=""/>
    <x v="0"/>
    <x v="0"/>
    <m/>
    <x v="2"/>
    <x v="0"/>
    <m/>
    <n v="0"/>
    <x v="0"/>
    <s v="…"/>
    <n v="288519671.85870522"/>
  </r>
  <r>
    <x v="0"/>
    <x v="88"/>
    <x v="88"/>
    <x v="1"/>
    <x v="0"/>
    <x v="1"/>
    <x v="30"/>
    <x v="6"/>
    <n v="2022"/>
    <x v="1"/>
    <s v="N/A"/>
    <n v="0"/>
    <s v="Confirmed"/>
    <s v=""/>
    <x v="0"/>
    <x v="0"/>
    <m/>
    <x v="1"/>
    <x v="1"/>
    <m/>
    <n v="0"/>
    <x v="0"/>
    <s v="N/A"/>
    <n v="275606560.78491527"/>
  </r>
  <r>
    <x v="0"/>
    <x v="89"/>
    <x v="89"/>
    <x v="2"/>
    <x v="0"/>
    <x v="1"/>
    <x v="30"/>
    <x v="6"/>
    <n v="2022"/>
    <x v="1"/>
    <s v="N/A"/>
    <n v="0"/>
    <s v="Confirmed"/>
    <s v=""/>
    <x v="0"/>
    <x v="0"/>
    <m/>
    <x v="2"/>
    <x v="0"/>
    <m/>
    <n v="0"/>
    <x v="0"/>
    <s v="N/A"/>
    <n v="2530937679.3725696"/>
  </r>
  <r>
    <x v="0"/>
    <x v="90"/>
    <x v="90"/>
    <x v="3"/>
    <x v="0"/>
    <x v="1"/>
    <x v="30"/>
    <x v="6"/>
    <n v="2022"/>
    <x v="1"/>
    <s v="N/A"/>
    <n v="0"/>
    <s v="Confirmed"/>
    <s v=""/>
    <x v="0"/>
    <x v="0"/>
    <m/>
    <x v="0"/>
    <x v="0"/>
    <m/>
    <n v="0"/>
    <x v="0"/>
    <s v="In distress"/>
    <n v="251432156.86255455"/>
  </r>
  <r>
    <x v="0"/>
    <x v="91"/>
    <x v="91"/>
    <x v="6"/>
    <x v="0"/>
    <x v="1"/>
    <x v="30"/>
    <x v="6"/>
    <n v="2022"/>
    <x v="1"/>
    <s v="N/A"/>
    <n v="0"/>
    <s v="Confirmed"/>
    <s v=""/>
    <x v="0"/>
    <x v="0"/>
    <m/>
    <x v="2"/>
    <x v="0"/>
    <m/>
    <n v="0"/>
    <x v="0"/>
    <s v="Low"/>
    <n v="471534500.60109437"/>
  </r>
  <r>
    <x v="0"/>
    <x v="92"/>
    <x v="92"/>
    <x v="3"/>
    <x v="0"/>
    <x v="1"/>
    <x v="30"/>
    <x v="6"/>
    <n v="2022"/>
    <x v="1"/>
    <s v="N/A"/>
    <n v="0"/>
    <s v="Confirmed"/>
    <s v=""/>
    <x v="0"/>
    <x v="0"/>
    <m/>
    <x v="1"/>
    <x v="1"/>
    <m/>
    <n v="0"/>
    <x v="0"/>
    <s v=""/>
    <n v="531677611.80447447"/>
  </r>
  <r>
    <x v="0"/>
    <x v="93"/>
    <x v="93"/>
    <x v="6"/>
    <x v="0"/>
    <x v="1"/>
    <x v="30"/>
    <x v="6"/>
    <n v="2022"/>
    <x v="1"/>
    <s v="N/A"/>
    <n v="0"/>
    <s v="Confirmed"/>
    <s v=""/>
    <x v="0"/>
    <x v="0"/>
    <m/>
    <x v="3"/>
    <x v="1"/>
    <m/>
    <n v="0"/>
    <x v="1"/>
    <s v=""/>
    <n v="8528751.6418357007"/>
  </r>
  <r>
    <x v="0"/>
    <x v="94"/>
    <x v="94"/>
    <x v="0"/>
    <x v="0"/>
    <x v="1"/>
    <x v="30"/>
    <x v="6"/>
    <n v="2022"/>
    <x v="1"/>
    <s v="N/A"/>
    <n v="0"/>
    <s v="Confirmed"/>
    <s v=""/>
    <x v="0"/>
    <x v="0"/>
    <m/>
    <x v="2"/>
    <x v="0"/>
    <m/>
    <n v="0"/>
    <x v="0"/>
    <s v="Low"/>
    <n v="407084543.19089872"/>
  </r>
  <r>
    <x v="0"/>
    <x v="95"/>
    <x v="95"/>
    <x v="4"/>
    <x v="0"/>
    <x v="1"/>
    <x v="30"/>
    <x v="6"/>
    <n v="2022"/>
    <x v="1"/>
    <s v="N/A"/>
    <n v="0"/>
    <s v="Confirmed"/>
    <s v=""/>
    <x v="0"/>
    <x v="0"/>
    <m/>
    <x v="2"/>
    <x v="0"/>
    <m/>
    <n v="0"/>
    <x v="0"/>
    <s v="Moderate"/>
    <n v="671998341.93592453"/>
  </r>
  <r>
    <x v="0"/>
    <x v="96"/>
    <x v="96"/>
    <x v="5"/>
    <x v="0"/>
    <x v="1"/>
    <x v="30"/>
    <x v="6"/>
    <n v="2022"/>
    <x v="1"/>
    <s v="N/A"/>
    <n v="0"/>
    <s v="Confirmed"/>
    <s v=""/>
    <x v="0"/>
    <x v="0"/>
    <m/>
    <x v="0"/>
    <x v="0"/>
    <m/>
    <n v="1"/>
    <x v="0"/>
    <s v="Moderate"/>
    <n v="226203289.67158964"/>
  </r>
  <r>
    <x v="0"/>
    <x v="97"/>
    <x v="97"/>
    <x v="5"/>
    <x v="0"/>
    <x v="1"/>
    <x v="30"/>
    <x v="6"/>
    <n v="2022"/>
    <x v="1"/>
    <s v="N/A"/>
    <n v="0"/>
    <s v="Confirmed"/>
    <s v=""/>
    <x v="0"/>
    <x v="0"/>
    <m/>
    <x v="2"/>
    <x v="0"/>
    <m/>
    <n v="3"/>
    <x v="0"/>
    <s v="…"/>
    <n v="2438881113.1244688"/>
  </r>
  <r>
    <x v="0"/>
    <x v="98"/>
    <x v="98"/>
    <x v="1"/>
    <x v="0"/>
    <x v="1"/>
    <x v="30"/>
    <x v="6"/>
    <n v="2022"/>
    <x v="1"/>
    <s v="N/A"/>
    <n v="0"/>
    <s v="Confirmed"/>
    <s v=""/>
    <x v="0"/>
    <x v="0"/>
    <m/>
    <x v="1"/>
    <x v="1"/>
    <m/>
    <n v="0"/>
    <x v="0"/>
    <s v=""/>
    <n v="476517795.73174149"/>
  </r>
  <r>
    <x v="0"/>
    <x v="99"/>
    <x v="99"/>
    <x v="0"/>
    <x v="0"/>
    <x v="1"/>
    <x v="30"/>
    <x v="6"/>
    <n v="2022"/>
    <x v="1"/>
    <s v="N/A"/>
    <n v="0"/>
    <s v="Confirmed"/>
    <s v=""/>
    <x v="0"/>
    <x v="0"/>
    <m/>
    <x v="2"/>
    <x v="0"/>
    <m/>
    <n v="0"/>
    <x v="0"/>
    <s v="…"/>
    <n v="3233351297.7679496"/>
  </r>
  <r>
    <x v="0"/>
    <x v="100"/>
    <x v="100"/>
    <x v="4"/>
    <x v="0"/>
    <x v="1"/>
    <x v="30"/>
    <x v="6"/>
    <n v="2022"/>
    <x v="1"/>
    <s v="N/A"/>
    <n v="0"/>
    <s v="Confirmed"/>
    <s v=""/>
    <x v="0"/>
    <x v="0"/>
    <m/>
    <x v="3"/>
    <x v="1"/>
    <m/>
    <n v="0"/>
    <x v="1"/>
    <s v=""/>
    <n v="18180646.808608256"/>
  </r>
  <r>
    <x v="0"/>
    <x v="101"/>
    <x v="101"/>
    <x v="4"/>
    <x v="0"/>
    <x v="1"/>
    <x v="30"/>
    <x v="6"/>
    <n v="2022"/>
    <x v="1"/>
    <s v="N/A"/>
    <n v="0"/>
    <s v="Confirmed"/>
    <s v=""/>
    <x v="0"/>
    <x v="0"/>
    <m/>
    <x v="1"/>
    <x v="1"/>
    <m/>
    <n v="0"/>
    <x v="0"/>
    <s v="N/A"/>
    <n v="3020530707.3485303"/>
  </r>
  <r>
    <x v="0"/>
    <x v="102"/>
    <x v="102"/>
    <x v="6"/>
    <x v="0"/>
    <x v="1"/>
    <x v="30"/>
    <x v="6"/>
    <n v="2022"/>
    <x v="1"/>
    <s v="N/A"/>
    <n v="0"/>
    <s v="Confirmed"/>
    <s v=""/>
    <x v="0"/>
    <x v="0"/>
    <m/>
    <x v="2"/>
    <x v="0"/>
    <m/>
    <n v="1"/>
    <x v="1"/>
    <s v="High"/>
    <n v="384406316.46074712"/>
  </r>
  <r>
    <x v="0"/>
    <x v="103"/>
    <x v="103"/>
    <x v="4"/>
    <x v="0"/>
    <x v="1"/>
    <x v="30"/>
    <x v="6"/>
    <n v="2022"/>
    <x v="1"/>
    <s v="N/A"/>
    <n v="0"/>
    <s v="Confirmed"/>
    <s v=""/>
    <x v="0"/>
    <x v="0"/>
    <m/>
    <x v="1"/>
    <x v="1"/>
    <m/>
    <n v="0"/>
    <x v="0"/>
    <s v=""/>
    <n v="1218747108.9554784"/>
  </r>
  <r>
    <x v="0"/>
    <x v="104"/>
    <x v="104"/>
    <x v="4"/>
    <x v="0"/>
    <x v="1"/>
    <x v="30"/>
    <x v="6"/>
    <n v="2022"/>
    <x v="1"/>
    <s v="N/A"/>
    <n v="0"/>
    <s v="Confirmed"/>
    <s v=""/>
    <x v="0"/>
    <x v="0"/>
    <m/>
    <x v="1"/>
    <x v="1"/>
    <m/>
    <n v="0"/>
    <x v="0"/>
    <s v=""/>
    <n v="7392665952.5895758"/>
  </r>
  <r>
    <x v="0"/>
    <x v="105"/>
    <x v="105"/>
    <x v="6"/>
    <x v="0"/>
    <x v="1"/>
    <x v="30"/>
    <x v="6"/>
    <n v="2022"/>
    <x v="1"/>
    <s v="N/A"/>
    <n v="0"/>
    <s v="Confirmed"/>
    <s v=""/>
    <x v="0"/>
    <x v="0"/>
    <m/>
    <x v="2"/>
    <x v="0"/>
    <m/>
    <n v="0"/>
    <x v="0"/>
    <s v="N/A"/>
    <n v="4754985988.6004429"/>
  </r>
  <r>
    <x v="0"/>
    <x v="106"/>
    <x v="106"/>
    <x v="1"/>
    <x v="0"/>
    <x v="1"/>
    <x v="30"/>
    <x v="6"/>
    <n v="2022"/>
    <x v="1"/>
    <s v="N/A"/>
    <n v="0"/>
    <s v="Confirmed"/>
    <s v=""/>
    <x v="0"/>
    <x v="0"/>
    <m/>
    <x v="3"/>
    <x v="1"/>
    <m/>
    <n v="0"/>
    <x v="0"/>
    <s v=""/>
    <n v="26422210443.037273"/>
  </r>
  <r>
    <x v="0"/>
    <x v="107"/>
    <x v="107"/>
    <x v="1"/>
    <x v="0"/>
    <x v="1"/>
    <x v="30"/>
    <x v="6"/>
    <n v="2022"/>
    <x v="1"/>
    <s v="N/A"/>
    <n v="0"/>
    <s v="Confirmed"/>
    <s v=""/>
    <x v="0"/>
    <x v="0"/>
    <m/>
    <x v="1"/>
    <x v="1"/>
    <m/>
    <n v="0"/>
    <x v="0"/>
    <s v=""/>
    <n v="10696495313.15033"/>
  </r>
  <r>
    <x v="0"/>
    <x v="108"/>
    <x v="108"/>
    <x v="1"/>
    <x v="0"/>
    <x v="1"/>
    <x v="30"/>
    <x v="6"/>
    <n v="2022"/>
    <x v="1"/>
    <s v="N/A"/>
    <n v="0"/>
    <s v="Confirmed"/>
    <s v=""/>
    <x v="0"/>
    <x v="0"/>
    <m/>
    <x v="1"/>
    <x v="1"/>
    <m/>
    <n v="0"/>
    <x v="0"/>
    <s v=""/>
    <n v="52769713433.240509"/>
  </r>
  <r>
    <x v="0"/>
    <x v="109"/>
    <x v="109"/>
    <x v="3"/>
    <x v="0"/>
    <x v="1"/>
    <x v="30"/>
    <x v="6"/>
    <n v="2022"/>
    <x v="1"/>
    <s v="N/A"/>
    <n v="0"/>
    <s v="Confirmed"/>
    <s v=""/>
    <x v="0"/>
    <x v="0"/>
    <m/>
    <x v="0"/>
    <x v="0"/>
    <m/>
    <n v="0"/>
    <x v="0"/>
    <s v="Moderate"/>
    <n v="225799814.51943746"/>
  </r>
  <r>
    <x v="0"/>
    <x v="110"/>
    <x v="110"/>
    <x v="6"/>
    <x v="0"/>
    <x v="1"/>
    <x v="30"/>
    <x v="6"/>
    <n v="2022"/>
    <x v="1"/>
    <s v="N/A"/>
    <n v="0"/>
    <s v="Confirmed"/>
    <s v=""/>
    <x v="0"/>
    <x v="0"/>
    <m/>
    <x v="2"/>
    <x v="0"/>
    <m/>
    <n v="0"/>
    <x v="1"/>
    <s v="High"/>
    <n v="32192988.027009469"/>
  </r>
  <r>
    <x v="0"/>
    <x v="111"/>
    <x v="111"/>
    <x v="5"/>
    <x v="0"/>
    <x v="1"/>
    <x v="30"/>
    <x v="6"/>
    <n v="2022"/>
    <x v="1"/>
    <s v="N/A"/>
    <n v="0"/>
    <s v="Confirmed"/>
    <s v=""/>
    <x v="0"/>
    <x v="0"/>
    <m/>
    <x v="2"/>
    <x v="0"/>
    <m/>
    <n v="0"/>
    <x v="1"/>
    <s v="In distress"/>
    <n v="11633535.136477679"/>
  </r>
  <r>
    <x v="0"/>
    <x v="112"/>
    <x v="112"/>
    <x v="5"/>
    <x v="0"/>
    <x v="1"/>
    <x v="30"/>
    <x v="6"/>
    <n v="2022"/>
    <x v="1"/>
    <s v="N/A"/>
    <n v="0"/>
    <s v="Confirmed"/>
    <s v=""/>
    <x v="0"/>
    <x v="0"/>
    <m/>
    <x v="2"/>
    <x v="0"/>
    <m/>
    <n v="2"/>
    <x v="0"/>
    <s v="Moderate"/>
    <n v="222008693.93354639"/>
  </r>
  <r>
    <x v="0"/>
    <x v="113"/>
    <x v="113"/>
    <x v="1"/>
    <x v="0"/>
    <x v="1"/>
    <x v="30"/>
    <x v="6"/>
    <n v="2022"/>
    <x v="1"/>
    <s v="N/A"/>
    <n v="0"/>
    <s v="Confirmed"/>
    <s v=""/>
    <x v="0"/>
    <x v="0"/>
    <m/>
    <x v="1"/>
    <x v="1"/>
    <m/>
    <n v="0"/>
    <x v="0"/>
    <s v=""/>
    <n v="2564993795.1894679"/>
  </r>
  <r>
    <x v="0"/>
    <x v="114"/>
    <x v="114"/>
    <x v="3"/>
    <x v="0"/>
    <x v="1"/>
    <x v="30"/>
    <x v="6"/>
    <n v="2022"/>
    <x v="1"/>
    <s v="N/A"/>
    <n v="0"/>
    <s v="Confirmed"/>
    <s v=""/>
    <x v="0"/>
    <x v="0"/>
    <m/>
    <x v="3"/>
    <x v="1"/>
    <m/>
    <n v="0"/>
    <x v="1"/>
    <s v="N/A"/>
    <n v="60237542.945069775"/>
  </r>
  <r>
    <x v="0"/>
    <x v="115"/>
    <x v="115"/>
    <x v="5"/>
    <x v="0"/>
    <x v="1"/>
    <x v="30"/>
    <x v="6"/>
    <n v="2022"/>
    <x v="1"/>
    <s v="N/A"/>
    <n v="2172278.56"/>
    <s v="Confirmed"/>
    <s v=""/>
    <x v="0"/>
    <x v="0"/>
    <m/>
    <x v="0"/>
    <x v="0"/>
    <m/>
    <n v="0"/>
    <x v="0"/>
    <s v="High"/>
    <n v="63738640.538260505"/>
  </r>
  <r>
    <x v="0"/>
    <x v="116"/>
    <x v="116"/>
    <x v="6"/>
    <x v="0"/>
    <x v="1"/>
    <x v="30"/>
    <x v="6"/>
    <n v="2022"/>
    <x v="1"/>
    <s v="N/A"/>
    <n v="0"/>
    <s v="Confirmed"/>
    <s v=""/>
    <x v="0"/>
    <x v="0"/>
    <m/>
    <x v="2"/>
    <x v="0"/>
    <m/>
    <n v="0"/>
    <x v="1"/>
    <s v="Moderate"/>
    <n v="49012774.055630356"/>
  </r>
  <r>
    <x v="0"/>
    <x v="117"/>
    <x v="117"/>
    <x v="3"/>
    <x v="0"/>
    <x v="1"/>
    <x v="30"/>
    <x v="6"/>
    <n v="2022"/>
    <x v="1"/>
    <s v="N/A"/>
    <n v="0"/>
    <s v="Confirmed"/>
    <s v=""/>
    <x v="0"/>
    <x v="0"/>
    <m/>
    <x v="0"/>
    <x v="0"/>
    <m/>
    <n v="1"/>
    <x v="0"/>
    <s v="In distress"/>
    <s v=""/>
  </r>
  <r>
    <x v="0"/>
    <x v="118"/>
    <x v="118"/>
    <x v="3"/>
    <x v="0"/>
    <x v="1"/>
    <x v="30"/>
    <x v="6"/>
    <n v="2022"/>
    <x v="1"/>
    <s v="N/A"/>
    <n v="0"/>
    <s v="Confirmed"/>
    <s v=""/>
    <x v="0"/>
    <x v="0"/>
    <m/>
    <x v="1"/>
    <x v="1"/>
    <m/>
    <n v="0"/>
    <x v="0"/>
    <s v="N/A"/>
    <n v="16429121142.784708"/>
  </r>
  <r>
    <x v="0"/>
    <x v="119"/>
    <x v="119"/>
    <x v="3"/>
    <x v="0"/>
    <x v="1"/>
    <x v="30"/>
    <x v="6"/>
    <n v="2022"/>
    <x v="1"/>
    <s v="N/A"/>
    <n v="0"/>
    <s v="Confirmed"/>
    <s v=""/>
    <x v="0"/>
    <x v="0"/>
    <m/>
    <x v="0"/>
    <x v="0"/>
    <m/>
    <n v="1"/>
    <x v="0"/>
    <s v="High"/>
    <n v="31684581.76217727"/>
  </r>
  <r>
    <x v="0"/>
    <x v="120"/>
    <x v="120"/>
    <x v="0"/>
    <x v="0"/>
    <x v="1"/>
    <x v="30"/>
    <x v="6"/>
    <n v="2022"/>
    <x v="1"/>
    <s v="N/A"/>
    <n v="0"/>
    <s v="Confirmed"/>
    <s v=""/>
    <x v="0"/>
    <x v="0"/>
    <m/>
    <x v="2"/>
    <x v="0"/>
    <m/>
    <n v="0"/>
    <x v="0"/>
    <s v="N/A"/>
    <n v="1373621563.5182886"/>
  </r>
  <r>
    <x v="0"/>
    <x v="121"/>
    <x v="121"/>
    <x v="4"/>
    <x v="0"/>
    <x v="1"/>
    <x v="30"/>
    <x v="6"/>
    <n v="2022"/>
    <x v="1"/>
    <s v="N/A"/>
    <n v="0"/>
    <s v="Confirmed"/>
    <s v=""/>
    <x v="0"/>
    <x v="0"/>
    <m/>
    <x v="3"/>
    <x v="1"/>
    <m/>
    <n v="0"/>
    <x v="1"/>
    <s v=""/>
    <n v="24214370.889062837"/>
  </r>
  <r>
    <x v="0"/>
    <x v="122"/>
    <x v="122"/>
    <x v="4"/>
    <x v="0"/>
    <x v="1"/>
    <x v="30"/>
    <x v="6"/>
    <n v="2022"/>
    <x v="1"/>
    <s v="N/A"/>
    <n v="0"/>
    <s v="Confirmed"/>
    <s v=""/>
    <x v="0"/>
    <x v="0"/>
    <m/>
    <x v="1"/>
    <x v="0"/>
    <m/>
    <n v="0"/>
    <x v="1"/>
    <s v="…"/>
    <n v="39941279.609447442"/>
  </r>
  <r>
    <x v="0"/>
    <x v="123"/>
    <x v="123"/>
    <x v="4"/>
    <x v="0"/>
    <x v="1"/>
    <x v="30"/>
    <x v="6"/>
    <n v="2022"/>
    <x v="1"/>
    <s v="N/A"/>
    <n v="0"/>
    <s v="Confirmed"/>
    <s v=""/>
    <x v="0"/>
    <x v="0"/>
    <m/>
    <x v="1"/>
    <x v="0"/>
    <m/>
    <n v="0"/>
    <x v="1"/>
    <s v="High"/>
    <n v="24761675.260059897"/>
  </r>
  <r>
    <x v="0"/>
    <x v="124"/>
    <x v="124"/>
    <x v="2"/>
    <x v="0"/>
    <x v="1"/>
    <x v="30"/>
    <x v="6"/>
    <n v="2022"/>
    <x v="1"/>
    <s v="N/A"/>
    <n v="0"/>
    <s v="Confirmed"/>
    <s v=""/>
    <x v="0"/>
    <x v="0"/>
    <m/>
    <x v="2"/>
    <x v="0"/>
    <m/>
    <n v="0"/>
    <x v="0"/>
    <s v="N/A"/>
    <s v=""/>
  </r>
  <r>
    <x v="0"/>
    <x v="125"/>
    <x v="125"/>
    <x v="2"/>
    <x v="0"/>
    <x v="1"/>
    <x v="30"/>
    <x v="6"/>
    <n v="2022"/>
    <x v="1"/>
    <s v="N/A"/>
    <n v="0"/>
    <s v="Confirmed"/>
    <s v=""/>
    <x v="0"/>
    <x v="0"/>
    <m/>
    <x v="0"/>
    <x v="0"/>
    <m/>
    <n v="1"/>
    <x v="0"/>
    <s v="N/A"/>
    <n v="577156172.71229994"/>
  </r>
  <r>
    <x v="0"/>
    <x v="126"/>
    <x v="126"/>
    <x v="6"/>
    <x v="0"/>
    <x v="1"/>
    <x v="30"/>
    <x v="6"/>
    <n v="2022"/>
    <x v="1"/>
    <s v="N/A"/>
    <n v="0"/>
    <s v="Confirmed"/>
    <s v=""/>
    <x v="0"/>
    <x v="0"/>
    <m/>
    <x v="1"/>
    <x v="1"/>
    <m/>
    <n v="0"/>
    <x v="1"/>
    <s v=""/>
    <n v="180052034.19851837"/>
  </r>
  <r>
    <x v="0"/>
    <x v="127"/>
    <x v="127"/>
    <x v="2"/>
    <x v="0"/>
    <x v="1"/>
    <x v="30"/>
    <x v="6"/>
    <n v="2022"/>
    <x v="1"/>
    <s v="N/A"/>
    <n v="0"/>
    <s v="Confirmed"/>
    <s v=""/>
    <x v="0"/>
    <x v="0"/>
    <m/>
    <x v="0"/>
    <x v="0"/>
    <m/>
    <n v="1"/>
    <x v="0"/>
    <s v="N/A"/>
    <s v=""/>
  </r>
  <r>
    <x v="0"/>
    <x v="128"/>
    <x v="128"/>
    <x v="1"/>
    <x v="0"/>
    <x v="1"/>
    <x v="30"/>
    <x v="6"/>
    <n v="2022"/>
    <x v="1"/>
    <s v="N/A"/>
    <n v="0"/>
    <s v="Confirmed"/>
    <s v=""/>
    <x v="0"/>
    <x v="0"/>
    <m/>
    <x v="2"/>
    <x v="0"/>
    <m/>
    <n v="0"/>
    <x v="0"/>
    <s v="High"/>
    <n v="147296124.32232863"/>
  </r>
  <r>
    <x v="0"/>
    <x v="129"/>
    <x v="129"/>
    <x v="3"/>
    <x v="0"/>
    <x v="1"/>
    <x v="30"/>
    <x v="6"/>
    <n v="2022"/>
    <x v="1"/>
    <s v="N/A"/>
    <n v="0"/>
    <s v="Confirmed"/>
    <s v=""/>
    <x v="0"/>
    <x v="0"/>
    <m/>
    <x v="2"/>
    <x v="0"/>
    <m/>
    <n v="0"/>
    <x v="0"/>
    <s v="…"/>
    <n v="890576536.83065879"/>
  </r>
  <r>
    <x v="0"/>
    <x v="130"/>
    <x v="130"/>
    <x v="6"/>
    <x v="0"/>
    <x v="1"/>
    <x v="30"/>
    <x v="6"/>
    <n v="2022"/>
    <x v="1"/>
    <s v="N/A"/>
    <n v="0"/>
    <s v="Confirmed"/>
    <s v=""/>
    <x v="0"/>
    <x v="0"/>
    <m/>
    <x v="1"/>
    <x v="1"/>
    <m/>
    <n v="0"/>
    <x v="0"/>
    <s v=""/>
    <n v="14611129792.346064"/>
  </r>
  <r>
    <x v="0"/>
    <x v="131"/>
    <x v="131"/>
    <x v="6"/>
    <x v="0"/>
    <x v="1"/>
    <x v="30"/>
    <x v="6"/>
    <n v="2022"/>
    <x v="1"/>
    <s v="N/A"/>
    <n v="0"/>
    <s v="Confirmed"/>
    <s v=""/>
    <x v="0"/>
    <x v="0"/>
    <m/>
    <x v="2"/>
    <x v="0"/>
    <m/>
    <n v="0"/>
    <x v="1"/>
    <s v="Low"/>
    <n v="72046877.233008593"/>
  </r>
  <r>
    <x v="0"/>
    <x v="132"/>
    <x v="132"/>
    <x v="5"/>
    <x v="0"/>
    <x v="1"/>
    <x v="30"/>
    <x v="6"/>
    <n v="2022"/>
    <x v="1"/>
    <s v="N/A"/>
    <n v="0"/>
    <s v="Confirmed"/>
    <s v=""/>
    <x v="0"/>
    <x v="0"/>
    <m/>
    <x v="0"/>
    <x v="0"/>
    <m/>
    <n v="0"/>
    <x v="0"/>
    <s v="High"/>
    <n v="56248139.267255567"/>
  </r>
  <r>
    <x v="0"/>
    <x v="133"/>
    <x v="133"/>
    <x v="6"/>
    <x v="0"/>
    <x v="1"/>
    <x v="30"/>
    <x v="6"/>
    <n v="2022"/>
    <x v="1"/>
    <s v="N/A"/>
    <n v="0"/>
    <s v="Confirmed"/>
    <s v=""/>
    <x v="0"/>
    <x v="0"/>
    <m/>
    <x v="1"/>
    <x v="0"/>
    <m/>
    <n v="0"/>
    <x v="1"/>
    <s v="High"/>
    <n v="15464031.712942109"/>
  </r>
  <r>
    <x v="0"/>
    <x v="134"/>
    <x v="134"/>
    <x v="4"/>
    <x v="0"/>
    <x v="1"/>
    <x v="30"/>
    <x v="6"/>
    <n v="2022"/>
    <x v="1"/>
    <s v="N/A"/>
    <n v="0"/>
    <s v="Confirmed"/>
    <s v=""/>
    <x v="0"/>
    <x v="0"/>
    <m/>
    <x v="3"/>
    <x v="1"/>
    <m/>
    <n v="0"/>
    <x v="1"/>
    <s v="N/A"/>
    <n v="769564399.33249676"/>
  </r>
  <r>
    <x v="0"/>
    <x v="135"/>
    <x v="135"/>
    <x v="2"/>
    <x v="0"/>
    <x v="1"/>
    <x v="30"/>
    <x v="6"/>
    <n v="2022"/>
    <x v="1"/>
    <s v="N/A"/>
    <n v="0"/>
    <s v="Confirmed"/>
    <s v=""/>
    <x v="0"/>
    <x v="0"/>
    <m/>
    <x v="2"/>
    <x v="0"/>
    <m/>
    <n v="0"/>
    <x v="0"/>
    <s v="N/A"/>
    <n v="1668954539.7630196"/>
  </r>
  <r>
    <x v="0"/>
    <x v="136"/>
    <x v="136"/>
    <x v="1"/>
    <x v="0"/>
    <x v="1"/>
    <x v="30"/>
    <x v="6"/>
    <n v="2022"/>
    <x v="1"/>
    <s v="N/A"/>
    <n v="0"/>
    <s v="Confirmed"/>
    <s v=""/>
    <x v="0"/>
    <x v="0"/>
    <m/>
    <x v="1"/>
    <x v="1"/>
    <m/>
    <n v="0"/>
    <x v="0"/>
    <s v=""/>
    <n v="24840920016.18832"/>
  </r>
  <r>
    <x v="0"/>
    <x v="137"/>
    <x v="137"/>
    <x v="1"/>
    <x v="0"/>
    <x v="1"/>
    <x v="30"/>
    <x v="6"/>
    <n v="2022"/>
    <x v="1"/>
    <s v="N/A"/>
    <n v="0"/>
    <s v="Confirmed"/>
    <s v=""/>
    <x v="0"/>
    <x v="0"/>
    <m/>
    <x v="1"/>
    <x v="1"/>
    <m/>
    <n v="0"/>
    <x v="0"/>
    <s v="N/A"/>
    <n v="487888462.83720118"/>
  </r>
  <r>
    <x v="0"/>
    <x v="138"/>
    <x v="138"/>
    <x v="6"/>
    <x v="0"/>
    <x v="1"/>
    <x v="30"/>
    <x v="6"/>
    <n v="2022"/>
    <x v="1"/>
    <s v="N/A"/>
    <n v="0"/>
    <s v="Confirmed"/>
    <s v=""/>
    <x v="0"/>
    <x v="0"/>
    <m/>
    <x v="1"/>
    <x v="0"/>
    <m/>
    <n v="0"/>
    <x v="1"/>
    <s v="…"/>
    <n v="6365061.1736073596"/>
  </r>
  <r>
    <x v="0"/>
    <x v="139"/>
    <x v="139"/>
    <x v="3"/>
    <x v="0"/>
    <x v="1"/>
    <x v="30"/>
    <x v="6"/>
    <n v="2022"/>
    <x v="1"/>
    <s v="N/A"/>
    <n v="0"/>
    <s v="Confirmed"/>
    <s v=""/>
    <x v="0"/>
    <x v="0"/>
    <m/>
    <x v="0"/>
    <x v="0"/>
    <m/>
    <n v="2"/>
    <x v="0"/>
    <s v="Low"/>
    <n v="291799092.90196139"/>
  </r>
  <r>
    <x v="0"/>
    <x v="140"/>
    <x v="140"/>
    <x v="1"/>
    <x v="0"/>
    <x v="1"/>
    <x v="30"/>
    <x v="6"/>
    <n v="2022"/>
    <x v="1"/>
    <s v="N/A"/>
    <n v="0"/>
    <s v="Confirmed"/>
    <s v=""/>
    <x v="0"/>
    <x v="0"/>
    <m/>
    <x v="2"/>
    <x v="0"/>
    <m/>
    <n v="0"/>
    <x v="0"/>
    <s v="N/A"/>
    <n v="4844815340.2135534"/>
  </r>
  <r>
    <x v="0"/>
    <x v="141"/>
    <x v="141"/>
    <x v="4"/>
    <x v="0"/>
    <x v="1"/>
    <x v="30"/>
    <x v="6"/>
    <n v="2022"/>
    <x v="1"/>
    <s v="N/A"/>
    <n v="0"/>
    <s v="Confirmed"/>
    <s v=""/>
    <x v="0"/>
    <x v="0"/>
    <m/>
    <x v="3"/>
    <x v="1"/>
    <m/>
    <n v="0"/>
    <x v="0"/>
    <s v=""/>
    <n v="4001891446.6871672"/>
  </r>
  <r>
    <x v="0"/>
    <x v="142"/>
    <x v="142"/>
    <x v="1"/>
    <x v="0"/>
    <x v="1"/>
    <x v="30"/>
    <x v="6"/>
    <n v="2022"/>
    <x v="1"/>
    <s v="N/A"/>
    <n v="0"/>
    <s v="Confirmed"/>
    <s v=""/>
    <x v="0"/>
    <x v="0"/>
    <m/>
    <x v="2"/>
    <x v="0"/>
    <m/>
    <n v="0"/>
    <x v="0"/>
    <s v="Low"/>
    <n v="1019800630.5853213"/>
  </r>
  <r>
    <x v="0"/>
    <x v="143"/>
    <x v="143"/>
    <x v="6"/>
    <x v="0"/>
    <x v="1"/>
    <x v="30"/>
    <x v="6"/>
    <n v="2022"/>
    <x v="1"/>
    <s v="N/A"/>
    <n v="0"/>
    <s v="Confirmed"/>
    <s v=""/>
    <x v="0"/>
    <x v="0"/>
    <m/>
    <x v="2"/>
    <x v="0"/>
    <m/>
    <n v="0"/>
    <x v="1"/>
    <s v="Moderate"/>
    <n v="19578671.310841195"/>
  </r>
  <r>
    <x v="0"/>
    <x v="144"/>
    <x v="144"/>
    <x v="4"/>
    <x v="0"/>
    <x v="1"/>
    <x v="30"/>
    <x v="6"/>
    <n v="2022"/>
    <x v="1"/>
    <s v="N/A"/>
    <n v="0"/>
    <s v="Confirmed"/>
    <s v=""/>
    <x v="0"/>
    <x v="0"/>
    <m/>
    <x v="4"/>
    <x v="1"/>
    <m/>
    <n v="0"/>
    <x v="0"/>
    <s v="N/A"/>
    <n v="3551452001.0684834"/>
  </r>
  <r>
    <x v="0"/>
    <x v="145"/>
    <x v="145"/>
    <x v="6"/>
    <x v="0"/>
    <x v="1"/>
    <x v="30"/>
    <x v="6"/>
    <n v="2022"/>
    <x v="1"/>
    <s v="N/A"/>
    <n v="0"/>
    <s v="Confirmed"/>
    <s v=""/>
    <x v="0"/>
    <x v="0"/>
    <m/>
    <x v="2"/>
    <x v="0"/>
    <m/>
    <n v="0"/>
    <x v="0"/>
    <s v="N/A"/>
    <n v="6603048821.7575006"/>
  </r>
  <r>
    <x v="0"/>
    <x v="146"/>
    <x v="146"/>
    <x v="2"/>
    <x v="0"/>
    <x v="1"/>
    <x v="30"/>
    <x v="6"/>
    <n v="2022"/>
    <x v="1"/>
    <s v="N/A"/>
    <n v="0"/>
    <s v="Confirmed"/>
    <s v=""/>
    <x v="0"/>
    <x v="0"/>
    <m/>
    <x v="0"/>
    <x v="0"/>
    <m/>
    <n v="1"/>
    <x v="0"/>
    <s v="…"/>
    <s v=""/>
  </r>
  <r>
    <x v="0"/>
    <x v="147"/>
    <x v="147"/>
    <x v="3"/>
    <x v="0"/>
    <x v="1"/>
    <x v="30"/>
    <x v="6"/>
    <n v="2022"/>
    <x v="1"/>
    <s v="N/A"/>
    <n v="0"/>
    <s v="Confirmed"/>
    <s v=""/>
    <x v="0"/>
    <x v="0"/>
    <m/>
    <x v="2"/>
    <x v="0"/>
    <m/>
    <n v="0"/>
    <x v="0"/>
    <s v="High"/>
    <n v="515352723.9821828"/>
  </r>
  <r>
    <x v="0"/>
    <x v="148"/>
    <x v="148"/>
    <x v="3"/>
    <x v="0"/>
    <x v="1"/>
    <x v="30"/>
    <x v="6"/>
    <n v="2022"/>
    <x v="1"/>
    <s v="N/A"/>
    <n v="0"/>
    <s v="Confirmed"/>
    <s v=""/>
    <x v="0"/>
    <x v="0"/>
    <m/>
    <x v="2"/>
    <x v="0"/>
    <m/>
    <n v="0"/>
    <x v="0"/>
    <s v="N/A"/>
    <n v="566711742.22428358"/>
  </r>
  <r>
    <x v="2"/>
    <x v="150"/>
    <x v="150"/>
    <x v="8"/>
    <x v="2"/>
    <x v="5"/>
    <x v="25"/>
    <x v="11"/>
    <m/>
    <x v="3"/>
    <m/>
    <m/>
    <m/>
    <m/>
    <x v="0"/>
    <x v="0"/>
    <m/>
    <x v="5"/>
    <x v="2"/>
    <m/>
    <m/>
    <x v="2"/>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x v="0"/>
    <s v="Self-financing / AMC"/>
    <m/>
    <s v="World Bank Financing Instruments"/>
    <m/>
    <m/>
    <m/>
    <m/>
    <m/>
    <m/>
    <s v="DSSI Eligibility"/>
    <s v="DSSI Participation"/>
    <s v="Debt Distress"/>
    <s v="Use of CVIC"/>
    <s v="NDVP Budget Quality"/>
    <m/>
    <s v="World Bank"/>
    <m/>
    <m/>
    <m/>
    <m/>
    <m/>
    <m/>
    <m/>
    <s v="ADB"/>
    <m/>
    <m/>
    <m/>
    <m/>
    <m/>
    <m/>
    <s v="IsDB"/>
    <m/>
    <m/>
    <s v="AfDB Eligibility"/>
    <m/>
    <m/>
    <s v="Inter-American Development Bank (IDB)"/>
    <m/>
    <m/>
    <m/>
    <m/>
    <s v="Gavi Bridge Funding"/>
    <m/>
    <s v="ELMA Funding "/>
    <s v="JICA Funding "/>
    <s v="USAID Funding (Total country envelope)"/>
    <s v="Japan MoFA funding (Cold Chain)"/>
    <s v="UNICEF ACT-A HAC (Thematic and Flexible Funding Allocation)"/>
    <s v="GAVI COVAX TA to UNICEF"/>
    <s v="GAVI COVAX TA to WHO"/>
    <s v="Australia (Multi-Year Contributions)"/>
    <s v="New Zealand"/>
    <s v="GAVI Cold Chain"/>
    <m/>
    <s v="Covid-19 Delivery Support (CDS)"/>
    <m/>
    <m/>
    <m/>
    <m/>
    <m/>
    <m/>
    <m/>
    <m/>
    <m/>
    <m/>
    <m/>
    <m/>
    <m/>
    <m/>
    <m/>
    <m/>
    <m/>
    <m/>
    <m/>
    <m/>
    <m/>
    <m/>
    <s v="30% of population"/>
    <s v="40% of Population"/>
    <s v="70% of population"/>
    <s v="100% of population"/>
    <m/>
    <m/>
    <m/>
    <m/>
    <m/>
  </r>
  <r>
    <m/>
    <x v="1"/>
    <x v="1"/>
    <x v="1"/>
    <m/>
    <s v="IMR Watchlist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m/>
    <m/>
    <m/>
    <m/>
    <s v="Application"/>
    <s v="Disbursement"/>
    <s v="Funds Administration Modality"/>
    <s v="CDS EAW Status"/>
    <s v="CDS EAW Amount"/>
    <s v="CDS Needs-based status"/>
    <s v="CDS Needs-based Amount"/>
    <s v="Republic of Korea"/>
    <s v="Czech Republic"/>
    <s v="Norway"/>
    <s v="Other private donations "/>
    <s v="BMZ-GAVI"/>
    <s v="BMGF"/>
    <s v="CDC"/>
    <s v="European Commission/ECHO"/>
    <s v="Germany - Federal Foreign Office (AA)"/>
    <s v="Government of France - Gavi"/>
    <s v="Ireland"/>
    <s v="USAID HAC"/>
    <s v="Australia HAC"/>
    <s v="CDS-61 (channelled though UNICEF HAC)"/>
    <s v="All CDS Funds channelled through UNICEF)"/>
    <s v="Total Population (Linksbridge + UN Pop)"/>
    <s v="30% of Total Population (Linksbridge + UN Pop)"/>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HAC - Delivery Funding"/>
    <s v="Total Gavi - Delivery Funding"/>
  </r>
  <r>
    <s v="AFG"/>
    <x v="2"/>
    <x v="2"/>
    <x v="2"/>
    <s v="AMC"/>
    <n v="1"/>
    <s v="No"/>
    <s v="No"/>
    <s v="No"/>
    <s v="Yes"/>
    <s v="No"/>
    <s v="Yes"/>
    <s v="Yes"/>
    <s v="Yes"/>
    <s v="Yes"/>
    <s v="High"/>
    <m/>
    <m/>
    <n v="95829480.719269618"/>
    <s v="IDA"/>
    <s v="Approved"/>
    <n v="113000000"/>
    <n v="53100000"/>
    <n v="59900000"/>
    <n v="70800000"/>
    <n v="33600000"/>
    <n v="8600000"/>
    <s v="Yes"/>
    <s v="Approved"/>
    <s v="Grant"/>
    <n v="50000000"/>
    <n v="43173076.92307692"/>
    <n v="2019230.7692307692"/>
    <n v="4807692.3076923136"/>
    <s v="Yes"/>
    <m/>
    <m/>
    <m/>
    <m/>
    <m/>
    <m/>
    <m/>
    <s v=""/>
    <s v=""/>
    <s v=""/>
    <m/>
    <m/>
    <m/>
    <m/>
    <n v="4050000"/>
    <m/>
    <n v="2000000"/>
    <n v="567847.22222222213"/>
    <n v="502703"/>
    <s v=""/>
    <m/>
    <s v="Yes"/>
    <n v="922566"/>
    <s v="GAVI"/>
    <s v="Disbursed"/>
    <n v="7481878"/>
    <s v=""/>
    <s v=""/>
    <m/>
    <m/>
    <m/>
    <m/>
    <n v="1063750"/>
    <n v="99000"/>
    <m/>
    <m/>
    <m/>
    <m/>
    <m/>
    <n v="0"/>
    <s v=""/>
    <n v="6949908"/>
    <n v="6949908"/>
    <n v="39835428"/>
    <n v="11950628.4"/>
    <n v="52306974.991452992"/>
    <n v="4.3769225550894868"/>
    <n v="3.2826919163171153"/>
    <n v="1.875823952181209"/>
    <n v="1.3130767665268461"/>
    <n v="35619230.769230768"/>
    <n v="4050000"/>
    <n v="99000"/>
    <n v="8949908"/>
    <n v="10538744.222222222"/>
  </r>
  <r>
    <s v="ALB"/>
    <x v="3"/>
    <x v="3"/>
    <x v="3"/>
    <s v="SFC"/>
    <m/>
    <s v="Yes"/>
    <s v="Yes"/>
    <s v="No"/>
    <s v="No"/>
    <s v="Yes"/>
    <s v="Yes"/>
    <s v="No"/>
    <s v="No"/>
    <s v="No"/>
    <m/>
    <m/>
    <m/>
    <n v="427904035.52443534"/>
    <s v="IBRD"/>
    <s v=""/>
    <s v=""/>
    <s v=""/>
    <s v=""/>
    <s v=""/>
    <s v=""/>
    <s v=""/>
    <m/>
    <m/>
    <s v=""/>
    <s v=""/>
    <s v=""/>
    <s v=""/>
    <s v=""/>
    <s v="Yes"/>
    <m/>
    <m/>
    <m/>
    <m/>
    <m/>
    <m/>
    <m/>
    <s v=""/>
    <s v=""/>
    <s v=""/>
    <m/>
    <m/>
    <m/>
    <m/>
    <n v="500000"/>
    <m/>
    <n v="100000"/>
    <n v="0"/>
    <n v="0"/>
    <s v=""/>
    <m/>
    <s v=""/>
    <s v=""/>
    <s v=""/>
    <s v=""/>
    <s v=""/>
    <s v=""/>
    <s v=""/>
    <m/>
    <m/>
    <m/>
    <m/>
    <n v="0"/>
    <s v=""/>
    <m/>
    <m/>
    <m/>
    <m/>
    <m/>
    <n v="0"/>
    <s v=""/>
    <s v=""/>
    <n v="0"/>
    <n v="2872934"/>
    <n v="861880.2"/>
    <n v="600000"/>
    <n v="0.69615243510641045"/>
    <n v="0.5221143263298077"/>
    <n v="0.29835104361703307"/>
    <n v="0.20884573053192312"/>
    <n v="0"/>
    <n v="500000"/>
    <n v="0"/>
    <n v="100000"/>
    <n v="0"/>
  </r>
  <r>
    <s v="DZA"/>
    <x v="4"/>
    <x v="4"/>
    <x v="4"/>
    <s v="AMC"/>
    <m/>
    <s v="Yes"/>
    <s v="Yes"/>
    <s v="No"/>
    <s v="No"/>
    <s v="Yes"/>
    <s v="Yes"/>
    <s v="No"/>
    <s v="No"/>
    <s v="No"/>
    <s v="N/A"/>
    <m/>
    <m/>
    <n v="7113361022.7267885"/>
    <s v="IBRD"/>
    <s v=""/>
    <s v=""/>
    <s v=""/>
    <s v=""/>
    <s v=""/>
    <s v=""/>
    <s v=""/>
    <s v="Yes"/>
    <m/>
    <s v=""/>
    <s v=""/>
    <s v=""/>
    <s v=""/>
    <s v=""/>
    <m/>
    <m/>
    <m/>
    <m/>
    <m/>
    <m/>
    <m/>
    <m/>
    <s v=""/>
    <s v=""/>
    <s v=""/>
    <m/>
    <m/>
    <m/>
    <s v="Yes"/>
    <n v="541945"/>
    <n v="625566"/>
    <n v="0"/>
    <n v="59999.999999999993"/>
    <n v="33499.5"/>
    <s v=""/>
    <m/>
    <s v="Yes"/>
    <n v="682071"/>
    <s v="UNICEF"/>
    <s v="Disbursed"/>
    <n v="847780"/>
    <s v="Disbursed"/>
    <n v="849470"/>
    <m/>
    <m/>
    <m/>
    <m/>
    <n v="50000"/>
    <s v=""/>
    <m/>
    <m/>
    <m/>
    <m/>
    <m/>
    <n v="541945"/>
    <s v=""/>
    <n v="0"/>
    <n v="847780"/>
    <n v="44616626"/>
    <n v="13384987.799999999"/>
    <n v="3690331.5"/>
    <n v="0.2757067511111217"/>
    <n v="0.20678006333334123"/>
    <n v="0.11816003619048072"/>
    <n v="8.2712025333336506E-2"/>
    <n v="0"/>
    <n v="1167511"/>
    <n v="0"/>
    <n v="1167511"/>
    <n v="3372290.5"/>
  </r>
  <r>
    <s v="AGO"/>
    <x v="5"/>
    <x v="5"/>
    <x v="4"/>
    <s v="AMC"/>
    <m/>
    <s v="Yes"/>
    <s v="Yes"/>
    <s v="No"/>
    <s v="No"/>
    <s v="Yes"/>
    <s v="Yes"/>
    <s v="Yes"/>
    <s v="Yes"/>
    <s v="Yes"/>
    <s v="…"/>
    <m/>
    <m/>
    <n v="1131865946.5875781"/>
    <s v="IBRD"/>
    <s v="Approved"/>
    <n v="150000000"/>
    <n v="150000000"/>
    <n v="0"/>
    <n v="90000000"/>
    <n v="43000000"/>
    <n v="17000000"/>
    <m/>
    <m/>
    <s v=""/>
    <s v=""/>
    <s v=""/>
    <s v=""/>
    <s v=""/>
    <m/>
    <m/>
    <m/>
    <s v="Yes"/>
    <m/>
    <m/>
    <m/>
    <m/>
    <s v=""/>
    <s v=""/>
    <s v=""/>
    <m/>
    <m/>
    <m/>
    <s v="Yes"/>
    <n v="2218200"/>
    <n v="412890"/>
    <n v="839236"/>
    <n v="20000"/>
    <n v="29999.59"/>
    <s v=""/>
    <m/>
    <s v="Yes"/>
    <n v="539335"/>
    <s v="GAVI"/>
    <s v="Disbursed"/>
    <n v="3845583"/>
    <s v=""/>
    <s v=""/>
    <m/>
    <m/>
    <m/>
    <m/>
    <n v="175000"/>
    <n v="191000"/>
    <m/>
    <m/>
    <m/>
    <m/>
    <m/>
    <n v="0"/>
    <s v=""/>
    <n v="1000000"/>
    <n v="1000000"/>
    <n v="33933611"/>
    <n v="10180083.299999999"/>
    <n v="51271243.590000004"/>
    <n v="5.0364267245239542"/>
    <n v="3.7773200433929652"/>
    <n v="2.1584685962245516"/>
    <n v="1.5109280173571862"/>
    <n v="43000000"/>
    <n v="2631090"/>
    <n v="191000"/>
    <n v="2252126"/>
    <n v="4609917.59"/>
  </r>
  <r>
    <s v="ATG"/>
    <x v="6"/>
    <x v="6"/>
    <x v="5"/>
    <s v="SFC"/>
    <m/>
    <s v="Yes"/>
    <s v="Yes"/>
    <s v="No"/>
    <s v="No"/>
    <s v="Yes"/>
    <s v="Yes"/>
    <s v="No"/>
    <s v="No"/>
    <s v="No"/>
    <m/>
    <m/>
    <m/>
    <n v="46777779.823447868"/>
    <s v="IBRD"/>
    <s v=""/>
    <s v=""/>
    <s v=""/>
    <s v=""/>
    <s v=""/>
    <s v=""/>
    <s v=""/>
    <m/>
    <m/>
    <s v=""/>
    <s v=""/>
    <s v=""/>
    <s v=""/>
    <s v=""/>
    <m/>
    <m/>
    <m/>
    <m/>
    <m/>
    <m/>
    <m/>
    <m/>
    <s v=""/>
    <s v=""/>
    <s v=""/>
    <m/>
    <m/>
    <m/>
    <m/>
    <s v=""/>
    <m/>
    <s v=""/>
    <n v="0"/>
    <n v="0"/>
    <s v=""/>
    <m/>
    <s v=""/>
    <s v=""/>
    <s v=""/>
    <s v=""/>
    <s v=""/>
    <s v=""/>
    <s v=""/>
    <m/>
    <m/>
    <m/>
    <m/>
    <s v=""/>
    <s v=""/>
    <m/>
    <m/>
    <m/>
    <m/>
    <m/>
    <n v="0"/>
    <s v=""/>
    <s v=""/>
    <n v="0"/>
    <n v="97928"/>
    <n v="29378.399999999998"/>
    <n v="0"/>
    <n v="0"/>
    <n v="0"/>
    <n v="0"/>
    <n v="0"/>
    <n v="0"/>
    <n v="0"/>
    <n v="0"/>
    <n v="0"/>
    <n v="0"/>
  </r>
  <r>
    <s v="ARG"/>
    <x v="7"/>
    <x v="6"/>
    <x v="3"/>
    <s v="SFC"/>
    <m/>
    <s v="Yes"/>
    <s v="Yes"/>
    <s v="No"/>
    <s v="No"/>
    <s v="Yes"/>
    <s v="Yes"/>
    <s v="No"/>
    <s v="No"/>
    <s v="No"/>
    <m/>
    <m/>
    <m/>
    <n v="30725305777.596794"/>
    <s v="IBRD"/>
    <s v="Approved"/>
    <n v="500000000"/>
    <n v="500000000"/>
    <n v="0"/>
    <n v="498000000"/>
    <n v="1000000"/>
    <n v="1000000"/>
    <m/>
    <m/>
    <s v=""/>
    <s v=""/>
    <s v=""/>
    <s v=""/>
    <s v=""/>
    <m/>
    <m/>
    <m/>
    <m/>
    <m/>
    <m/>
    <s v="Yes"/>
    <s v="Loan"/>
    <n v="115869903"/>
    <n v="93117000"/>
    <n v="22752903"/>
    <m/>
    <m/>
    <m/>
    <m/>
    <s v=""/>
    <m/>
    <n v="0"/>
    <n v="0"/>
    <n v="0"/>
    <s v=""/>
    <m/>
    <s v=""/>
    <s v=""/>
    <s v=""/>
    <s v=""/>
    <s v=""/>
    <s v=""/>
    <s v=""/>
    <m/>
    <m/>
    <m/>
    <n v="68056"/>
    <n v="0"/>
    <s v=""/>
    <m/>
    <m/>
    <m/>
    <m/>
    <m/>
    <n v="0"/>
    <s v=""/>
    <s v=""/>
    <n v="0"/>
    <n v="45605823"/>
    <n v="13681746.9"/>
    <n v="23820959"/>
    <n v="1.7410758417114118"/>
    <n v="1.305806881283559"/>
    <n v="0.74617536073346225"/>
    <n v="0.52232275251342353"/>
    <n v="23752903"/>
    <n v="0"/>
    <n v="68056"/>
    <n v="68056"/>
    <n v="0"/>
  </r>
  <r>
    <s v="ARM"/>
    <x v="8"/>
    <x v="3"/>
    <x v="3"/>
    <s v="SFC"/>
    <m/>
    <s v="Yes"/>
    <s v="Yes"/>
    <s v="No"/>
    <s v="No"/>
    <s v="Yes"/>
    <s v="Yes"/>
    <s v="No"/>
    <s v="No"/>
    <s v="No"/>
    <m/>
    <m/>
    <m/>
    <n v="153815827.8380394"/>
    <s v="IBRD"/>
    <s v=""/>
    <s v=""/>
    <s v=""/>
    <s v=""/>
    <s v=""/>
    <s v=""/>
    <s v=""/>
    <m/>
    <m/>
    <s v=""/>
    <s v=""/>
    <s v=""/>
    <s v=""/>
    <s v=""/>
    <m/>
    <m/>
    <m/>
    <m/>
    <m/>
    <m/>
    <m/>
    <m/>
    <s v=""/>
    <s v=""/>
    <s v=""/>
    <m/>
    <m/>
    <m/>
    <m/>
    <n v="2700000"/>
    <m/>
    <n v="100000"/>
    <n v="0"/>
    <n v="0"/>
    <s v=""/>
    <m/>
    <s v=""/>
    <s v=""/>
    <s v=""/>
    <s v=""/>
    <s v=""/>
    <s v=""/>
    <s v=""/>
    <m/>
    <m/>
    <m/>
    <m/>
    <n v="0"/>
    <s v=""/>
    <m/>
    <m/>
    <m/>
    <m/>
    <m/>
    <n v="1700000"/>
    <s v=""/>
    <s v=""/>
    <n v="0"/>
    <n v="2968128"/>
    <n v="890438.4"/>
    <n v="2800000"/>
    <n v="3.1445184753936934"/>
    <n v="2.3583888565452704"/>
    <n v="1.3476507751687259"/>
    <n v="0.94335554261810817"/>
    <n v="0"/>
    <n v="2700000"/>
    <n v="0"/>
    <n v="1800000"/>
    <n v="0"/>
  </r>
  <r>
    <s v="AZE"/>
    <x v="9"/>
    <x v="3"/>
    <x v="3"/>
    <s v="SFC"/>
    <m/>
    <s v="Yes"/>
    <s v="Yes"/>
    <s v="No"/>
    <s v="No"/>
    <s v="Yes"/>
    <s v="Yes"/>
    <s v="No"/>
    <s v="No"/>
    <s v="No"/>
    <s v="N/A"/>
    <m/>
    <m/>
    <n v="437525105.31216973"/>
    <s v="IBRD"/>
    <s v=""/>
    <n v="0"/>
    <n v="0"/>
    <n v="0"/>
    <n v="0"/>
    <n v="0"/>
    <n v="0"/>
    <s v="Yes"/>
    <m/>
    <s v=""/>
    <s v=""/>
    <s v=""/>
    <s v=""/>
    <s v=""/>
    <s v="Yes"/>
    <m/>
    <m/>
    <m/>
    <m/>
    <m/>
    <m/>
    <m/>
    <s v=""/>
    <s v=""/>
    <s v=""/>
    <m/>
    <m/>
    <m/>
    <m/>
    <n v="1000000"/>
    <m/>
    <n v="100000"/>
    <n v="0"/>
    <n v="0"/>
    <s v=""/>
    <m/>
    <s v=""/>
    <s v=""/>
    <s v=""/>
    <s v=""/>
    <s v=""/>
    <s v=""/>
    <s v=""/>
    <m/>
    <m/>
    <m/>
    <m/>
    <n v="0"/>
    <s v=""/>
    <m/>
    <m/>
    <m/>
    <m/>
    <m/>
    <n v="0"/>
    <s v=""/>
    <s v=""/>
    <n v="0"/>
    <n v="10223344"/>
    <n v="3067003.1999999997"/>
    <n v="1100000"/>
    <n v="0.35865629354413459"/>
    <n v="0.26899222015810093"/>
    <n v="0.15370984009034339"/>
    <n v="0.10759688806324036"/>
    <n v="0"/>
    <n v="1000000"/>
    <n v="0"/>
    <n v="100000"/>
    <n v="0"/>
  </r>
  <r>
    <s v="BRB"/>
    <x v="10"/>
    <x v="6"/>
    <x v="5"/>
    <s v="SFC"/>
    <m/>
    <m/>
    <m/>
    <m/>
    <m/>
    <m/>
    <m/>
    <m/>
    <m/>
    <m/>
    <m/>
    <m/>
    <m/>
    <n v="149463302.00602186"/>
    <m/>
    <m/>
    <m/>
    <m/>
    <m/>
    <m/>
    <m/>
    <m/>
    <m/>
    <m/>
    <m/>
    <m/>
    <m/>
    <m/>
    <m/>
    <m/>
    <m/>
    <m/>
    <m/>
    <m/>
    <m/>
    <m/>
    <m/>
    <m/>
    <m/>
    <m/>
    <m/>
    <m/>
    <m/>
    <m/>
    <m/>
    <m/>
    <s v=""/>
    <m/>
    <m/>
    <m/>
    <m/>
    <m/>
    <m/>
    <s v=""/>
    <m/>
    <m/>
    <s v=""/>
    <s v=""/>
    <m/>
    <m/>
    <m/>
    <m/>
    <n v="0"/>
    <m/>
    <m/>
    <m/>
    <m/>
    <m/>
    <m/>
    <n v="894200"/>
    <m/>
    <s v=""/>
    <n v="0"/>
    <m/>
    <m/>
    <n v="0"/>
    <m/>
    <m/>
    <m/>
    <m/>
    <m/>
    <n v="0"/>
    <m/>
    <n v="894200"/>
    <n v="0"/>
  </r>
  <r>
    <s v="BGD"/>
    <x v="11"/>
    <x v="2"/>
    <x v="4"/>
    <s v="AMC"/>
    <m/>
    <s v="No"/>
    <s v="No"/>
    <s v="No"/>
    <s v="Yes"/>
    <s v="No"/>
    <s v="Yes"/>
    <s v="Yes"/>
    <s v="Yes"/>
    <s v="No"/>
    <s v="Low"/>
    <m/>
    <m/>
    <n v="1148322593.9600098"/>
    <s v="IDA"/>
    <s v="Approved"/>
    <n v="500000000"/>
    <n v="500000000"/>
    <n v="0"/>
    <n v="412300000"/>
    <n v="87700000"/>
    <n v="0"/>
    <s v="Yes"/>
    <s v="Approved"/>
    <s v="Loan"/>
    <n v="940000000"/>
    <n v="893080000"/>
    <n v="0"/>
    <n v="46919999.999999963"/>
    <s v="Yes"/>
    <s v="Requested"/>
    <n v="33299999.999999996"/>
    <m/>
    <m/>
    <m/>
    <m/>
    <m/>
    <s v=""/>
    <s v=""/>
    <s v=""/>
    <m/>
    <m/>
    <m/>
    <m/>
    <n v="3992811"/>
    <m/>
    <n v="3000000"/>
    <n v="326500"/>
    <n v="389427"/>
    <s v=""/>
    <m/>
    <s v="Yes"/>
    <n v="2482278"/>
    <s v="GAVI"/>
    <s v="Disbursed"/>
    <n v="10151220"/>
    <s v=""/>
    <s v=""/>
    <m/>
    <m/>
    <m/>
    <n v="391896"/>
    <n v="625000"/>
    <n v="1074000"/>
    <m/>
    <m/>
    <n v="4594003.5999999996"/>
    <m/>
    <m/>
    <n v="0"/>
    <s v=""/>
    <n v="4927567"/>
    <n v="4927567"/>
    <n v="166303494"/>
    <n v="49891048.199999996"/>
    <n v="114727135.59999999"/>
    <n v="2.2995535219081646"/>
    <n v="1.7246651414311234"/>
    <n v="0.98552293796064194"/>
    <n v="0.68986605657244937"/>
    <n v="87700000"/>
    <n v="8586814.5999999996"/>
    <n v="1465896"/>
    <n v="12913466.6"/>
    <n v="13974425"/>
  </r>
  <r>
    <s v="BLR"/>
    <x v="12"/>
    <x v="3"/>
    <x v="3"/>
    <s v="SFC"/>
    <m/>
    <s v="Yes"/>
    <s v="Yes"/>
    <s v="No"/>
    <s v="No"/>
    <s v="Yes"/>
    <s v="Yes"/>
    <s v="No"/>
    <s v="No"/>
    <s v="No"/>
    <m/>
    <m/>
    <m/>
    <n v="2371102058.1093163"/>
    <s v="IBRD"/>
    <s v=""/>
    <s v=""/>
    <s v=""/>
    <s v=""/>
    <s v=""/>
    <s v=""/>
    <s v=""/>
    <m/>
    <m/>
    <s v=""/>
    <s v=""/>
    <s v=""/>
    <s v=""/>
    <s v=""/>
    <m/>
    <m/>
    <m/>
    <m/>
    <m/>
    <m/>
    <m/>
    <m/>
    <s v=""/>
    <s v=""/>
    <s v=""/>
    <m/>
    <m/>
    <m/>
    <m/>
    <n v="500000"/>
    <m/>
    <s v=""/>
    <n v="0"/>
    <n v="0"/>
    <s v=""/>
    <m/>
    <s v=""/>
    <s v=""/>
    <s v=""/>
    <s v=""/>
    <s v=""/>
    <s v=""/>
    <s v=""/>
    <m/>
    <m/>
    <m/>
    <m/>
    <n v="0"/>
    <s v=""/>
    <m/>
    <m/>
    <m/>
    <m/>
    <m/>
    <n v="0"/>
    <s v=""/>
    <s v=""/>
    <n v="0"/>
    <n v="9442867"/>
    <n v="2832860.1"/>
    <n v="500000"/>
    <n v="0.17650006789957612"/>
    <n v="0.13237505092468208"/>
    <n v="7.5642886242675483E-2"/>
    <n v="5.2950020369872834E-2"/>
    <n v="0"/>
    <n v="500000"/>
    <n v="0"/>
    <n v="0"/>
    <n v="0"/>
  </r>
  <r>
    <s v="BLZ"/>
    <x v="13"/>
    <x v="6"/>
    <x v="4"/>
    <s v="SFC"/>
    <m/>
    <s v="Yes"/>
    <s v="Yes"/>
    <s v="No"/>
    <s v="No"/>
    <s v="Yes"/>
    <s v="Yes"/>
    <s v="No"/>
    <s v="No"/>
    <s v="No"/>
    <s v="N/A"/>
    <s v="Yes"/>
    <m/>
    <n v="75151620.005215243"/>
    <s v="IBRD"/>
    <s v=""/>
    <s v=""/>
    <s v=""/>
    <s v=""/>
    <s v=""/>
    <s v=""/>
    <s v=""/>
    <m/>
    <m/>
    <s v=""/>
    <s v=""/>
    <s v=""/>
    <s v=""/>
    <s v=""/>
    <m/>
    <m/>
    <m/>
    <m/>
    <m/>
    <m/>
    <s v="Yes"/>
    <s v="Blend"/>
    <n v="5133210"/>
    <n v="2210705"/>
    <n v="2922505"/>
    <m/>
    <m/>
    <m/>
    <m/>
    <s v=""/>
    <m/>
    <n v="100000"/>
    <n v="0"/>
    <n v="0"/>
    <s v=""/>
    <m/>
    <s v=""/>
    <s v=""/>
    <s v=""/>
    <s v=""/>
    <s v=""/>
    <s v=""/>
    <s v=""/>
    <m/>
    <m/>
    <m/>
    <m/>
    <n v="0"/>
    <s v=""/>
    <m/>
    <m/>
    <n v="824765"/>
    <m/>
    <m/>
    <n v="0"/>
    <s v=""/>
    <s v=""/>
    <n v="0"/>
    <n v="404915"/>
    <n v="121474.5"/>
    <n v="3847270"/>
    <n v="31.671420750857177"/>
    <n v="23.753565563142882"/>
    <n v="13.573466036081646"/>
    <n v="9.501426225257152"/>
    <n v="2922505"/>
    <n v="824765"/>
    <n v="0"/>
    <n v="924765"/>
    <n v="0"/>
  </r>
  <r>
    <s v="BEN"/>
    <x v="14"/>
    <x v="7"/>
    <x v="4"/>
    <s v="AMC"/>
    <m/>
    <s v="No"/>
    <s v="No"/>
    <s v="No"/>
    <s v="Yes"/>
    <s v="No"/>
    <s v="Yes"/>
    <s v="Yes"/>
    <s v="Yes"/>
    <s v="No"/>
    <s v="Moderate"/>
    <m/>
    <m/>
    <n v="69958487.197715744"/>
    <s v="IDA"/>
    <s v="Approved"/>
    <n v="30000000"/>
    <n v="15000000"/>
    <n v="15000000"/>
    <n v="25000000"/>
    <n v="5000000"/>
    <n v="0"/>
    <m/>
    <m/>
    <s v=""/>
    <s v=""/>
    <s v=""/>
    <s v=""/>
    <s v=""/>
    <s v="Yes"/>
    <s v="Requested"/>
    <n v="19300000"/>
    <s v="Yes"/>
    <m/>
    <m/>
    <m/>
    <m/>
    <s v=""/>
    <s v=""/>
    <s v=""/>
    <m/>
    <m/>
    <m/>
    <m/>
    <n v="1810000"/>
    <m/>
    <n v="564235"/>
    <n v="91200"/>
    <n v="142437"/>
    <s v=""/>
    <m/>
    <s v="Yes"/>
    <n v="386989"/>
    <s v="GAVI"/>
    <s v="Disbursed"/>
    <n v="1974291"/>
    <s v=""/>
    <s v=""/>
    <m/>
    <m/>
    <m/>
    <m/>
    <n v="1130000"/>
    <s v=""/>
    <m/>
    <m/>
    <m/>
    <n v="1880277"/>
    <m/>
    <n v="0"/>
    <s v=""/>
    <n v="1974291"/>
    <n v="1974291"/>
    <n v="12451031"/>
    <n v="3735309.3"/>
    <n v="12979429"/>
    <n v="3.4747936402482118"/>
    <n v="2.6060952301861589"/>
    <n v="1.4891972743920909"/>
    <n v="1.0424380920744636"/>
    <n v="5000000"/>
    <n v="1810000"/>
    <n v="0"/>
    <n v="2538526"/>
    <n v="5605194"/>
  </r>
  <r>
    <s v="BTN"/>
    <x v="15"/>
    <x v="2"/>
    <x v="4"/>
    <s v="AMC"/>
    <m/>
    <s v="No"/>
    <s v="No"/>
    <s v="No"/>
    <s v="Yes"/>
    <s v="No"/>
    <s v="Yes"/>
    <s v="Yes"/>
    <s v="Yes"/>
    <s v="No"/>
    <s v="…"/>
    <m/>
    <m/>
    <n v="61654608.560629159"/>
    <s v="IDA"/>
    <s v="Approved"/>
    <n v="2000000"/>
    <n v="0"/>
    <n v="2000000"/>
    <n v="0"/>
    <n v="0"/>
    <n v="0"/>
    <s v="Yes"/>
    <s v="Under Preparation"/>
    <n v="0"/>
    <s v=""/>
    <s v=""/>
    <s v=""/>
    <s v=""/>
    <m/>
    <m/>
    <m/>
    <m/>
    <m/>
    <m/>
    <m/>
    <m/>
    <s v=""/>
    <s v=""/>
    <s v=""/>
    <m/>
    <m/>
    <m/>
    <m/>
    <s v=""/>
    <n v="923174"/>
    <n v="110950"/>
    <n v="29999.999999999996"/>
    <n v="40000"/>
    <s v=""/>
    <m/>
    <s v="Yes"/>
    <n v="69721"/>
    <s v="UNICEF"/>
    <s v="Disbursed"/>
    <n v="230000"/>
    <s v="Disbursed"/>
    <n v="230000"/>
    <m/>
    <m/>
    <m/>
    <m/>
    <n v="0"/>
    <s v=""/>
    <m/>
    <m/>
    <m/>
    <m/>
    <m/>
    <n v="0"/>
    <s v=""/>
    <n v="0"/>
    <n v="230000"/>
    <n v="779900"/>
    <n v="233970"/>
    <n v="1633845"/>
    <n v="6.9831388639569179"/>
    <n v="5.2373541479676877"/>
    <n v="2.9927737988386789"/>
    <n v="2.0949416591870751"/>
    <n v="0"/>
    <n v="923174"/>
    <n v="0"/>
    <n v="1034124"/>
    <n v="829721"/>
  </r>
  <r>
    <s v="BOL"/>
    <x v="16"/>
    <x v="6"/>
    <x v="4"/>
    <s v="AMC"/>
    <m/>
    <s v="Yes"/>
    <s v="Yes"/>
    <s v="No"/>
    <s v="No"/>
    <s v="Yes"/>
    <s v="Yes"/>
    <s v="Yes"/>
    <s v="No"/>
    <s v="No"/>
    <s v="N/A"/>
    <s v="Yes"/>
    <m/>
    <n v="1806638707.7615163"/>
    <s v="IBRD"/>
    <s v=""/>
    <n v="0"/>
    <n v="0"/>
    <n v="0"/>
    <n v="0"/>
    <n v="0"/>
    <n v="0"/>
    <m/>
    <m/>
    <s v=""/>
    <s v=""/>
    <s v=""/>
    <s v=""/>
    <s v=""/>
    <m/>
    <m/>
    <m/>
    <m/>
    <m/>
    <m/>
    <s v="Yes"/>
    <m/>
    <s v=""/>
    <s v=""/>
    <s v=""/>
    <m/>
    <m/>
    <m/>
    <m/>
    <n v="2700000"/>
    <m/>
    <n v="400000"/>
    <n v="0"/>
    <n v="100000"/>
    <s v=""/>
    <m/>
    <s v="Yes"/>
    <n v="283036"/>
    <s v="UNICEF"/>
    <s v="Disbursed"/>
    <n v="920000"/>
    <s v="Disbursed"/>
    <n v="1280000"/>
    <m/>
    <m/>
    <m/>
    <n v="273483"/>
    <n v="0"/>
    <s v=""/>
    <m/>
    <m/>
    <m/>
    <m/>
    <m/>
    <n v="0"/>
    <s v=""/>
    <n v="0"/>
    <n v="920000"/>
    <n v="11832936"/>
    <n v="3549880.8"/>
    <n v="5956519"/>
    <n v="1.6779490173303848"/>
    <n v="1.2584617629977883"/>
    <n v="0.71912100742730778"/>
    <n v="0.50338470519911538"/>
    <n v="0"/>
    <n v="2700000"/>
    <n v="273483"/>
    <n v="673483"/>
    <n v="3863036"/>
  </r>
  <r>
    <s v="BIH"/>
    <x v="17"/>
    <x v="3"/>
    <x v="3"/>
    <s v="SFC"/>
    <m/>
    <s v="Yes"/>
    <s v="Yes"/>
    <s v="No"/>
    <s v="No"/>
    <s v="Yes"/>
    <s v="Yes"/>
    <s v="No"/>
    <s v="No"/>
    <s v="No"/>
    <s v="N/A"/>
    <m/>
    <m/>
    <n v="1252696525.0627904"/>
    <s v="IBRD"/>
    <s v=""/>
    <s v=""/>
    <s v=""/>
    <s v=""/>
    <s v=""/>
    <s v=""/>
    <s v=""/>
    <m/>
    <m/>
    <s v=""/>
    <s v=""/>
    <s v=""/>
    <s v=""/>
    <s v=""/>
    <m/>
    <m/>
    <m/>
    <m/>
    <m/>
    <m/>
    <m/>
    <m/>
    <s v=""/>
    <s v=""/>
    <s v=""/>
    <m/>
    <m/>
    <m/>
    <m/>
    <n v="2050000"/>
    <m/>
    <n v="200000"/>
    <n v="0"/>
    <n v="0"/>
    <s v=""/>
    <m/>
    <s v=""/>
    <s v=""/>
    <s v=""/>
    <s v=""/>
    <s v=""/>
    <s v=""/>
    <s v=""/>
    <m/>
    <m/>
    <m/>
    <m/>
    <n v="0"/>
    <s v=""/>
    <m/>
    <m/>
    <m/>
    <m/>
    <m/>
    <n v="1800000"/>
    <s v=""/>
    <s v=""/>
    <n v="0"/>
    <n v="3263459"/>
    <n v="979037.7"/>
    <n v="2250000"/>
    <n v="2.2981750345262495"/>
    <n v="1.723631275894687"/>
    <n v="0.98493215765410702"/>
    <n v="0.68945251035787491"/>
    <n v="0"/>
    <n v="2050000"/>
    <n v="0"/>
    <n v="2000000"/>
    <n v="0"/>
  </r>
  <r>
    <s v="BWA"/>
    <x v="18"/>
    <x v="5"/>
    <x v="3"/>
    <s v="SFC"/>
    <m/>
    <s v="Yes"/>
    <s v="Yes"/>
    <s v="No"/>
    <s v="No"/>
    <s v="Yes"/>
    <s v="Yes"/>
    <s v="No"/>
    <s v="No"/>
    <s v="No"/>
    <m/>
    <m/>
    <m/>
    <n v="843425084.07334602"/>
    <s v="IBRD"/>
    <s v=""/>
    <s v=""/>
    <s v=""/>
    <s v=""/>
    <s v=""/>
    <s v=""/>
    <s v=""/>
    <m/>
    <m/>
    <s v=""/>
    <s v=""/>
    <s v=""/>
    <s v=""/>
    <s v=""/>
    <m/>
    <m/>
    <m/>
    <s v="Yes"/>
    <m/>
    <m/>
    <m/>
    <m/>
    <s v=""/>
    <s v=""/>
    <s v=""/>
    <m/>
    <m/>
    <n v="266162"/>
    <m/>
    <n v="3555000"/>
    <m/>
    <n v="650000"/>
    <n v="0"/>
    <n v="0"/>
    <s v=""/>
    <m/>
    <s v=""/>
    <s v=""/>
    <s v=""/>
    <s v=""/>
    <s v=""/>
    <s v=""/>
    <s v=""/>
    <m/>
    <m/>
    <m/>
    <m/>
    <n v="0"/>
    <s v=""/>
    <m/>
    <m/>
    <m/>
    <m/>
    <m/>
    <n v="0"/>
    <s v=""/>
    <s v=""/>
    <n v="0"/>
    <n v="2397240"/>
    <n v="719172"/>
    <n v="4471162"/>
    <n v="6.2170968836384066"/>
    <n v="4.6628226627288045"/>
    <n v="2.6644700929878886"/>
    <n v="1.865129065091522"/>
    <n v="0"/>
    <n v="3555000"/>
    <n v="266162"/>
    <n v="916162"/>
    <n v="0"/>
  </r>
  <r>
    <s v="BRA"/>
    <x v="19"/>
    <x v="6"/>
    <x v="3"/>
    <s v="SFC"/>
    <m/>
    <s v="Yes"/>
    <s v="Yes"/>
    <s v="No"/>
    <s v="No"/>
    <s v="Yes"/>
    <s v="Yes"/>
    <s v="No"/>
    <s v="No"/>
    <s v="No"/>
    <s v="N/A"/>
    <m/>
    <m/>
    <n v="74055620038.853683"/>
    <s v="IBRD"/>
    <s v=""/>
    <s v=""/>
    <s v=""/>
    <s v=""/>
    <s v=""/>
    <s v=""/>
    <s v=""/>
    <m/>
    <m/>
    <s v=""/>
    <s v=""/>
    <s v=""/>
    <s v=""/>
    <s v=""/>
    <m/>
    <m/>
    <m/>
    <m/>
    <m/>
    <m/>
    <s v="Yes"/>
    <m/>
    <s v=""/>
    <s v=""/>
    <s v=""/>
    <m/>
    <m/>
    <m/>
    <m/>
    <n v="3750000"/>
    <m/>
    <n v="660000"/>
    <n v="0"/>
    <n v="0"/>
    <s v=""/>
    <m/>
    <s v=""/>
    <s v=""/>
    <s v=""/>
    <s v=""/>
    <s v=""/>
    <s v=""/>
    <s v=""/>
    <m/>
    <m/>
    <m/>
    <n v="92593"/>
    <n v="0"/>
    <s v=""/>
    <m/>
    <m/>
    <m/>
    <m/>
    <m/>
    <n v="0"/>
    <s v=""/>
    <s v=""/>
    <n v="0"/>
    <n v="213993441"/>
    <n v="64198032.299999997"/>
    <n v="4502593"/>
    <n v="7.0135996987558763E-2"/>
    <n v="5.2601997740669065E-2"/>
    <n v="3.0058284423239472E-2"/>
    <n v="2.1040799096267628E-2"/>
    <n v="0"/>
    <n v="3750000"/>
    <n v="92593"/>
    <n v="752593"/>
    <n v="0"/>
  </r>
  <r>
    <s v="BGR"/>
    <x v="20"/>
    <x v="3"/>
    <x v="3"/>
    <s v="SFC"/>
    <m/>
    <s v="Yes"/>
    <s v="Yes"/>
    <s v="No"/>
    <s v="No"/>
    <s v="Yes"/>
    <s v="Yes"/>
    <s v="No"/>
    <s v="No"/>
    <s v="No"/>
    <m/>
    <m/>
    <m/>
    <n v="2803357765.5888777"/>
    <s v="IBRD"/>
    <s v=""/>
    <s v=""/>
    <s v=""/>
    <s v=""/>
    <s v=""/>
    <s v=""/>
    <s v=""/>
    <m/>
    <m/>
    <s v=""/>
    <s v=""/>
    <s v=""/>
    <s v=""/>
    <s v=""/>
    <m/>
    <m/>
    <m/>
    <m/>
    <m/>
    <m/>
    <m/>
    <m/>
    <s v=""/>
    <s v=""/>
    <s v=""/>
    <m/>
    <m/>
    <m/>
    <m/>
    <n v="1300000"/>
    <m/>
    <s v=""/>
    <n v="0"/>
    <n v="0"/>
    <s v=""/>
    <m/>
    <s v=""/>
    <s v=""/>
    <s v=""/>
    <s v=""/>
    <s v=""/>
    <s v=""/>
    <s v=""/>
    <m/>
    <m/>
    <m/>
    <m/>
    <n v="0"/>
    <s v=""/>
    <m/>
    <m/>
    <m/>
    <m/>
    <m/>
    <n v="0"/>
    <s v=""/>
    <s v=""/>
    <n v="0"/>
    <n v="6948445"/>
    <n v="2084533.5"/>
    <n v="1300000"/>
    <n v="0.62364073304650658"/>
    <n v="0.46773054978487993"/>
    <n v="0.26727459987707425"/>
    <n v="0.18709221991395197"/>
    <n v="0"/>
    <n v="1300000"/>
    <n v="0"/>
    <n v="0"/>
    <n v="0"/>
  </r>
  <r>
    <s v="BFA"/>
    <x v="21"/>
    <x v="7"/>
    <x v="2"/>
    <s v="AMC"/>
    <n v="2"/>
    <s v="No"/>
    <s v="No"/>
    <s v="No"/>
    <s v="Yes"/>
    <s v="No"/>
    <s v="Yes"/>
    <s v="Yes"/>
    <s v="Yes"/>
    <s v="Yes"/>
    <s v="Moderate"/>
    <m/>
    <m/>
    <n v="337927779.25510043"/>
    <s v="IDA"/>
    <s v=""/>
    <s v=""/>
    <s v=""/>
    <s v=""/>
    <s v=""/>
    <s v=""/>
    <s v=""/>
    <m/>
    <m/>
    <s v=""/>
    <s v=""/>
    <s v=""/>
    <s v=""/>
    <s v=""/>
    <s v="Yes"/>
    <m/>
    <m/>
    <m/>
    <m/>
    <m/>
    <m/>
    <m/>
    <s v=""/>
    <s v=""/>
    <s v=""/>
    <m/>
    <m/>
    <m/>
    <m/>
    <n v="2000000"/>
    <m/>
    <n v="898700"/>
    <n v="385000"/>
    <n v="398040"/>
    <s v=""/>
    <m/>
    <s v="Yes"/>
    <n v="555832"/>
    <s v="GAVI"/>
    <s v="Disbursed"/>
    <n v="1144242"/>
    <s v=""/>
    <s v=""/>
    <m/>
    <m/>
    <m/>
    <m/>
    <n v="78000"/>
    <n v="2736000"/>
    <m/>
    <n v="1110635"/>
    <m/>
    <m/>
    <m/>
    <n v="350000"/>
    <s v=""/>
    <n v="0"/>
    <n v="0"/>
    <n v="21497097"/>
    <n v="6449129.0999999996"/>
    <n v="9306449"/>
    <n v="1.4430551560830129"/>
    <n v="1.0822913670622596"/>
    <n v="0.6184522097498627"/>
    <n v="0.43291654682490383"/>
    <n v="0"/>
    <n v="3110635"/>
    <n v="2736000"/>
    <n v="2359335"/>
    <n v="2561114"/>
  </r>
  <r>
    <s v="BDI"/>
    <x v="22"/>
    <x v="5"/>
    <x v="2"/>
    <s v="AMC"/>
    <n v="2"/>
    <s v="No"/>
    <s v="No"/>
    <s v="No"/>
    <s v="Yes"/>
    <s v="No"/>
    <s v="Yes"/>
    <s v="Yes"/>
    <s v="Yes"/>
    <s v="Yes"/>
    <s v="…"/>
    <m/>
    <m/>
    <n v="65979512.47399316"/>
    <s v="IDA"/>
    <s v="Approved"/>
    <n v="60000000"/>
    <n v="0"/>
    <n v="60000000"/>
    <n v="21300000"/>
    <n v="17800000"/>
    <n v="20900000"/>
    <m/>
    <m/>
    <s v=""/>
    <s v=""/>
    <s v=""/>
    <s v=""/>
    <s v=""/>
    <m/>
    <m/>
    <m/>
    <s v="Yes"/>
    <m/>
    <m/>
    <m/>
    <m/>
    <s v=""/>
    <s v=""/>
    <s v=""/>
    <m/>
    <m/>
    <m/>
    <m/>
    <n v="1000000"/>
    <m/>
    <n v="575000"/>
    <n v="172200"/>
    <n v="185859"/>
    <s v=""/>
    <m/>
    <s v=""/>
    <s v=""/>
    <s v="GAVI"/>
    <s v=""/>
    <s v=""/>
    <s v=""/>
    <s v=""/>
    <m/>
    <m/>
    <m/>
    <m/>
    <n v="175000"/>
    <s v=""/>
    <m/>
    <m/>
    <m/>
    <m/>
    <m/>
    <n v="500000"/>
    <s v=""/>
    <s v=""/>
    <n v="0"/>
    <n v="12255429"/>
    <n v="3676628.6999999997"/>
    <n v="19908059"/>
    <n v="5.4147591787008578"/>
    <n v="4.0610693840256422"/>
    <n v="2.3206110765860819"/>
    <n v="1.6244277536102572"/>
    <n v="17800000"/>
    <n v="1000000"/>
    <n v="0"/>
    <n v="1075000"/>
    <n v="533059"/>
  </r>
  <r>
    <s v="CPV"/>
    <x v="23"/>
    <x v="7"/>
    <x v="4"/>
    <s v="AMC"/>
    <m/>
    <s v="No"/>
    <s v="No"/>
    <s v="Yes"/>
    <s v="Yes"/>
    <s v="No"/>
    <s v="Yes"/>
    <s v="No"/>
    <s v="Yes"/>
    <s v="Yes"/>
    <s v="High"/>
    <m/>
    <m/>
    <n v="63748362.778827004"/>
    <s v="Blend"/>
    <s v="Approved"/>
    <n v="15000000"/>
    <n v="15000000"/>
    <n v="0"/>
    <n v="8600000"/>
    <n v="4700000"/>
    <n v="1700000"/>
    <m/>
    <m/>
    <s v=""/>
    <s v=""/>
    <s v=""/>
    <s v=""/>
    <s v=""/>
    <m/>
    <m/>
    <m/>
    <s v="Yes"/>
    <m/>
    <m/>
    <m/>
    <m/>
    <s v=""/>
    <s v=""/>
    <s v=""/>
    <m/>
    <m/>
    <m/>
    <m/>
    <n v="500000"/>
    <m/>
    <n v="0"/>
    <n v="23148.148148148146"/>
    <n v="104999.54000000001"/>
    <s v=""/>
    <m/>
    <s v=""/>
    <s v=""/>
    <s v="UNICEF"/>
    <s v="Disbursed"/>
    <n v="72358"/>
    <s v="Disbursed"/>
    <n v="227642"/>
    <m/>
    <m/>
    <m/>
    <m/>
    <n v="40000"/>
    <s v=""/>
    <m/>
    <m/>
    <m/>
    <m/>
    <m/>
    <n v="500000"/>
    <s v=""/>
    <n v="0"/>
    <n v="72358"/>
    <n v="561901"/>
    <n v="168570.3"/>
    <n v="5668147.6881481484"/>
    <n v="33.624830045079996"/>
    <n v="25.218622533809995"/>
    <n v="14.410641447891429"/>
    <n v="10.087449013523999"/>
    <n v="4700000"/>
    <n v="500000"/>
    <n v="0"/>
    <n v="500000"/>
    <n v="695789.68814814813"/>
  </r>
  <r>
    <s v="KHM"/>
    <x v="24"/>
    <x v="8"/>
    <x v="4"/>
    <s v="AMC"/>
    <m/>
    <s v="Yes"/>
    <s v="Yes"/>
    <s v="No"/>
    <s v="No"/>
    <s v="Yes"/>
    <s v="Yes"/>
    <s v="Yes"/>
    <s v="Yes"/>
    <s v="No"/>
    <s v="Low"/>
    <m/>
    <m/>
    <n v="313039649.45369786"/>
    <s v="IBRD"/>
    <s v="Approved"/>
    <n v="3500000"/>
    <n v="0"/>
    <n v="3500000"/>
    <n v="0"/>
    <n v="3500000"/>
    <n v="0"/>
    <m/>
    <s v="Under Preparation"/>
    <n v="0"/>
    <s v=""/>
    <s v=""/>
    <s v=""/>
    <s v=""/>
    <m/>
    <m/>
    <m/>
    <s v="Yes"/>
    <m/>
    <m/>
    <m/>
    <m/>
    <s v=""/>
    <s v=""/>
    <s v=""/>
    <m/>
    <m/>
    <m/>
    <m/>
    <n v="662222"/>
    <n v="615359"/>
    <n v="0"/>
    <n v="95138.888888888876"/>
    <n v="136826"/>
    <n v="5452817"/>
    <m/>
    <s v="Yes"/>
    <n v="459999"/>
    <s v="GAVI"/>
    <s v="Disbursed"/>
    <n v="1238955"/>
    <s v=""/>
    <s v=""/>
    <m/>
    <n v="279000"/>
    <m/>
    <m/>
    <n v="0"/>
    <n v="354000"/>
    <m/>
    <m/>
    <m/>
    <m/>
    <m/>
    <n v="0"/>
    <n v="1642589"/>
    <n v="0"/>
    <n v="0"/>
    <n v="16946446"/>
    <n v="5083933.8"/>
    <n v="12794316.888888888"/>
    <n v="2.5166175234006567"/>
    <n v="1.8874631425504922"/>
    <n v="1.07855036717171"/>
    <n v="0.75498525702019692"/>
    <n v="3500000"/>
    <n v="7009398"/>
    <n v="354000"/>
    <n v="2536948"/>
    <n v="1930918.888888889"/>
  </r>
  <r>
    <s v="CMR"/>
    <x v="25"/>
    <x v="7"/>
    <x v="4"/>
    <s v="AMC"/>
    <n v="2"/>
    <s v="No"/>
    <s v="No"/>
    <s v="Yes"/>
    <s v="Yes"/>
    <s v="No"/>
    <s v="Yes"/>
    <s v="Yes"/>
    <s v="Yes"/>
    <s v="Yes"/>
    <s v="High"/>
    <s v="Yes"/>
    <m/>
    <n v="81361801.477472037"/>
    <s v="Blend"/>
    <s v="Approved"/>
    <n v="44600000"/>
    <n v="0"/>
    <n v="44600000"/>
    <n v="29600000"/>
    <n v="18000000"/>
    <n v="11000000"/>
    <m/>
    <m/>
    <s v=""/>
    <s v=""/>
    <s v=""/>
    <s v=""/>
    <s v=""/>
    <s v="Yes"/>
    <s v="Requested"/>
    <n v="30000000"/>
    <s v="Yes"/>
    <m/>
    <m/>
    <m/>
    <m/>
    <s v=""/>
    <s v=""/>
    <s v=""/>
    <m/>
    <n v="380000"/>
    <m/>
    <s v="Yes"/>
    <n v="1600000"/>
    <n v="925640"/>
    <n v="1645844"/>
    <n v="208184.85185185185"/>
    <n v="328692"/>
    <s v=""/>
    <m/>
    <s v="Yes"/>
    <n v="690768"/>
    <s v="GAVI"/>
    <s v="Disbursed"/>
    <n v="5427618"/>
    <s v=""/>
    <s v=""/>
    <m/>
    <m/>
    <m/>
    <m/>
    <n v="627400"/>
    <s v=""/>
    <m/>
    <m/>
    <m/>
    <m/>
    <m/>
    <n v="500000"/>
    <s v=""/>
    <n v="196992"/>
    <n v="196992"/>
    <n v="27224262"/>
    <n v="8167278.5999999996"/>
    <n v="29834146.851851851"/>
    <n v="3.6528871259334599"/>
    <n v="2.7396653444500947"/>
    <n v="1.5655230539714828"/>
    <n v="1.0958661377800378"/>
    <n v="18000000"/>
    <n v="2525640"/>
    <n v="0"/>
    <n v="3268476"/>
    <n v="7662662.8518518517"/>
  </r>
  <r>
    <s v="CAF"/>
    <x v="26"/>
    <x v="7"/>
    <x v="2"/>
    <s v="AMC"/>
    <n v="1"/>
    <s v="No"/>
    <s v="No"/>
    <s v="No"/>
    <s v="Yes"/>
    <s v="No"/>
    <s v="Yes"/>
    <s v="Yes"/>
    <s v="Yes"/>
    <s v="Yes"/>
    <s v="High"/>
    <m/>
    <m/>
    <s v=""/>
    <s v="IDA"/>
    <s v=""/>
    <s v=""/>
    <s v=""/>
    <s v=""/>
    <s v=""/>
    <s v=""/>
    <s v=""/>
    <m/>
    <m/>
    <s v=""/>
    <s v=""/>
    <s v=""/>
    <s v=""/>
    <s v=""/>
    <m/>
    <m/>
    <m/>
    <s v="Yes"/>
    <m/>
    <m/>
    <m/>
    <m/>
    <s v=""/>
    <s v=""/>
    <s v=""/>
    <s v="Yes"/>
    <n v="500000"/>
    <m/>
    <m/>
    <n v="1150000"/>
    <m/>
    <n v="0"/>
    <n v="390170.37037037034"/>
    <n v="557042"/>
    <s v=""/>
    <m/>
    <s v="Yes"/>
    <n v="201700"/>
    <s v="GAVI"/>
    <s v="Disbursed"/>
    <n v="1303508"/>
    <s v=""/>
    <s v=""/>
    <m/>
    <m/>
    <m/>
    <m/>
    <n v="265000"/>
    <s v=""/>
    <m/>
    <n v="1110635"/>
    <m/>
    <m/>
    <m/>
    <n v="1150000"/>
    <s v=""/>
    <n v="1303508"/>
    <n v="1303508"/>
    <n v="4919987"/>
    <n v="1475996.0999999999"/>
    <n v="5478055.3703703703"/>
    <n v="3.7114294342446912"/>
    <n v="2.7835720756835181"/>
    <n v="1.5906126146762962"/>
    <n v="1.1134288302734072"/>
    <n v="0"/>
    <n v="2260635"/>
    <n v="0"/>
    <n v="3564143"/>
    <n v="3217420.3703703703"/>
  </r>
  <r>
    <s v="TCD"/>
    <x v="27"/>
    <x v="7"/>
    <x v="2"/>
    <s v="AMC"/>
    <n v="1"/>
    <s v="No"/>
    <s v="No"/>
    <s v="No"/>
    <s v="Yes"/>
    <s v="No"/>
    <s v="Yes"/>
    <s v="Yes"/>
    <s v="Yes"/>
    <s v="Yes"/>
    <s v="High"/>
    <m/>
    <m/>
    <n v="76939306.715636879"/>
    <s v="IDA"/>
    <s v="Approved"/>
    <n v="38200000"/>
    <n v="0"/>
    <n v="38200000"/>
    <n v="26200000"/>
    <n v="9000000"/>
    <n v="3000000"/>
    <m/>
    <m/>
    <s v=""/>
    <s v=""/>
    <s v=""/>
    <s v=""/>
    <s v=""/>
    <s v="Yes"/>
    <s v="Requested"/>
    <n v="20000000"/>
    <s v="Yes"/>
    <m/>
    <m/>
    <m/>
    <m/>
    <s v=""/>
    <s v=""/>
    <s v=""/>
    <s v="Yes"/>
    <n v="1582483"/>
    <m/>
    <m/>
    <s v=""/>
    <m/>
    <n v="1086043"/>
    <n v="225360.18518518517"/>
    <n v="455627"/>
    <s v=""/>
    <m/>
    <s v="Yes"/>
    <s v=" $-   "/>
    <s v="GAVI"/>
    <s v="Disbursed"/>
    <n v="4700000"/>
    <s v=""/>
    <s v=""/>
    <m/>
    <m/>
    <m/>
    <m/>
    <n v="1069300"/>
    <s v=""/>
    <m/>
    <m/>
    <m/>
    <m/>
    <m/>
    <n v="0"/>
    <s v=""/>
    <n v="0"/>
    <n v="0"/>
    <n v="16914985"/>
    <n v="5074495.5"/>
    <n v="18118813.185185187"/>
    <n v="3.5705644403833223"/>
    <n v="2.6779233302874914"/>
    <n v="1.5302419030214238"/>
    <n v="1.0711693321149967"/>
    <n v="9000000"/>
    <n v="0"/>
    <n v="0"/>
    <n v="1086043"/>
    <n v="8032770.1851851847"/>
  </r>
  <r>
    <s v="CHL"/>
    <x v="28"/>
    <x v="6"/>
    <x v="5"/>
    <s v="SFC"/>
    <m/>
    <s v="Yes"/>
    <s v="Yes"/>
    <s v="No"/>
    <s v="No"/>
    <s v="Yes"/>
    <s v="Yes"/>
    <s v="No"/>
    <s v="No"/>
    <s v="No"/>
    <m/>
    <m/>
    <m/>
    <n v="13859708717.682571"/>
    <s v="IBRD"/>
    <s v=""/>
    <s v=""/>
    <s v=""/>
    <s v=""/>
    <s v=""/>
    <s v=""/>
    <s v=""/>
    <m/>
    <m/>
    <s v=""/>
    <s v=""/>
    <s v=""/>
    <s v=""/>
    <s v=""/>
    <m/>
    <m/>
    <m/>
    <m/>
    <m/>
    <m/>
    <s v="Yes"/>
    <m/>
    <s v=""/>
    <s v=""/>
    <s v=""/>
    <m/>
    <m/>
    <m/>
    <m/>
    <s v=""/>
    <m/>
    <n v="0"/>
    <n v="0"/>
    <n v="0"/>
    <s v=""/>
    <m/>
    <s v=""/>
    <s v=""/>
    <s v=""/>
    <s v=""/>
    <s v=""/>
    <s v=""/>
    <s v=""/>
    <m/>
    <m/>
    <m/>
    <m/>
    <n v="0"/>
    <s v=""/>
    <m/>
    <m/>
    <m/>
    <m/>
    <m/>
    <n v="0"/>
    <s v=""/>
    <s v=""/>
    <n v="0"/>
    <n v="19116209"/>
    <n v="5734862.7000000002"/>
    <n v="0"/>
    <n v="0"/>
    <n v="0"/>
    <n v="0"/>
    <n v="0"/>
    <n v="0"/>
    <n v="0"/>
    <n v="0"/>
    <n v="0"/>
    <n v="0"/>
  </r>
  <r>
    <s v="CHN"/>
    <x v="29"/>
    <x v="8"/>
    <x v="3"/>
    <s v="SFC"/>
    <m/>
    <s v="Yes"/>
    <s v="Yes"/>
    <s v="No"/>
    <s v="No"/>
    <s v="Yes"/>
    <s v="Yes"/>
    <s v="No"/>
    <s v="No"/>
    <s v="No"/>
    <m/>
    <m/>
    <m/>
    <n v="403567160707.7016"/>
    <s v="IBRD"/>
    <s v=""/>
    <s v=""/>
    <s v=""/>
    <s v=""/>
    <s v=""/>
    <s v=""/>
    <s v=""/>
    <m/>
    <m/>
    <s v=""/>
    <s v=""/>
    <s v=""/>
    <s v=""/>
    <s v=""/>
    <m/>
    <m/>
    <m/>
    <m/>
    <m/>
    <m/>
    <m/>
    <m/>
    <s v=""/>
    <s v=""/>
    <s v=""/>
    <m/>
    <m/>
    <m/>
    <m/>
    <s v=""/>
    <m/>
    <s v=""/>
    <n v="0"/>
    <n v="0"/>
    <s v=""/>
    <m/>
    <s v=""/>
    <s v=""/>
    <s v=""/>
    <s v=""/>
    <s v=""/>
    <s v=""/>
    <s v=""/>
    <m/>
    <m/>
    <m/>
    <m/>
    <n v="0"/>
    <s v=""/>
    <m/>
    <m/>
    <m/>
    <m/>
    <m/>
    <n v="0"/>
    <s v=""/>
    <s v=""/>
    <n v="0"/>
    <n v="1439323774"/>
    <n v="431797132.19999999"/>
    <n v="0"/>
    <n v="0"/>
    <n v="0"/>
    <n v="0"/>
    <n v="0"/>
    <n v="0"/>
    <n v="0"/>
    <n v="0"/>
    <n v="0"/>
    <n v="0"/>
  </r>
  <r>
    <s v="COL"/>
    <x v="30"/>
    <x v="6"/>
    <x v="3"/>
    <s v="SFC"/>
    <m/>
    <s v="Yes"/>
    <s v="Yes"/>
    <s v="No"/>
    <s v="No"/>
    <s v="Yes"/>
    <s v="Yes"/>
    <s v="No"/>
    <s v="No"/>
    <s v="No"/>
    <m/>
    <m/>
    <m/>
    <n v="18250225995.972618"/>
    <s v="IBRD"/>
    <s v=""/>
    <s v=""/>
    <s v=""/>
    <s v=""/>
    <s v=""/>
    <s v=""/>
    <s v=""/>
    <m/>
    <m/>
    <s v=""/>
    <s v=""/>
    <s v=""/>
    <s v=""/>
    <s v=""/>
    <m/>
    <m/>
    <m/>
    <m/>
    <m/>
    <m/>
    <s v="Yes"/>
    <m/>
    <s v=""/>
    <s v=""/>
    <s v=""/>
    <m/>
    <m/>
    <m/>
    <m/>
    <n v="11000000"/>
    <m/>
    <n v="200000"/>
    <n v="0"/>
    <n v="0"/>
    <s v=""/>
    <m/>
    <s v=""/>
    <s v=""/>
    <s v=""/>
    <s v=""/>
    <s v=""/>
    <s v=""/>
    <s v=""/>
    <m/>
    <m/>
    <m/>
    <m/>
    <n v="0"/>
    <s v=""/>
    <m/>
    <m/>
    <m/>
    <m/>
    <m/>
    <n v="0"/>
    <s v=""/>
    <s v=""/>
    <n v="0"/>
    <n v="51265841"/>
    <n v="15379752.299999999"/>
    <n v="11200000"/>
    <n v="0.72823019392841593"/>
    <n v="0.54617264544631183"/>
    <n v="0.3120986545407497"/>
    <n v="0.21846905817852477"/>
    <n v="0"/>
    <n v="11000000"/>
    <n v="0"/>
    <n v="200000"/>
    <n v="0"/>
  </r>
  <r>
    <s v="COM"/>
    <x v="31"/>
    <x v="5"/>
    <x v="4"/>
    <s v="AMC"/>
    <m/>
    <s v="No"/>
    <s v="No"/>
    <s v="No"/>
    <s v="Yes"/>
    <s v="No"/>
    <s v="Yes"/>
    <s v="Yes"/>
    <s v="Yes"/>
    <s v="Yes"/>
    <s v="Moderate"/>
    <m/>
    <m/>
    <n v="5027591.1682657599"/>
    <s v="IDA"/>
    <s v="Approved"/>
    <n v="21000000"/>
    <n v="10000000"/>
    <n v="11000000"/>
    <n v="5600000"/>
    <n v="12800000"/>
    <n v="2700000"/>
    <m/>
    <m/>
    <s v=""/>
    <s v=""/>
    <s v=""/>
    <s v=""/>
    <s v=""/>
    <m/>
    <m/>
    <m/>
    <s v="Yes"/>
    <m/>
    <m/>
    <m/>
    <m/>
    <s v=""/>
    <s v=""/>
    <s v=""/>
    <m/>
    <m/>
    <m/>
    <m/>
    <n v="100000"/>
    <m/>
    <n v="143500"/>
    <n v="118499.99999999999"/>
    <n v="146590"/>
    <s v=""/>
    <m/>
    <s v="Yes"/>
    <n v="80000"/>
    <s v="GAVI"/>
    <s v="Disbursed"/>
    <n v="146720"/>
    <s v=""/>
    <s v=""/>
    <m/>
    <m/>
    <m/>
    <m/>
    <n v="0"/>
    <s v=""/>
    <m/>
    <m/>
    <m/>
    <m/>
    <m/>
    <n v="0"/>
    <s v=""/>
    <n v="146720"/>
    <n v="146720"/>
    <n v="888456"/>
    <n v="266536.8"/>
    <n v="13535310"/>
    <n v="50.782143403837672"/>
    <n v="38.086607552878249"/>
    <n v="21.76377574450186"/>
    <n v="15.234643021151301"/>
    <n v="12800000"/>
    <n v="100000"/>
    <n v="0"/>
    <n v="290220"/>
    <n v="491810"/>
  </r>
  <r>
    <s v="COD"/>
    <x v="32"/>
    <x v="7"/>
    <x v="2"/>
    <s v="AMC"/>
    <n v="3"/>
    <s v="No"/>
    <s v="No"/>
    <s v="No"/>
    <s v="Yes"/>
    <s v="No"/>
    <s v="Yes"/>
    <s v="Yes"/>
    <s v="Yes"/>
    <s v="Yes"/>
    <s v="Moderate"/>
    <m/>
    <m/>
    <n v="234645958.63289919"/>
    <s v="IDA"/>
    <s v="Approved"/>
    <n v="200000000"/>
    <n v="100000000"/>
    <n v="100000000"/>
    <n v="85000000"/>
    <n v="50000000"/>
    <n v="65000000"/>
    <m/>
    <m/>
    <s v=""/>
    <s v=""/>
    <s v=""/>
    <s v=""/>
    <s v=""/>
    <m/>
    <m/>
    <m/>
    <s v="Yes"/>
    <m/>
    <m/>
    <m/>
    <m/>
    <s v=""/>
    <s v=""/>
    <s v=""/>
    <m/>
    <n v="2438852"/>
    <m/>
    <s v="Yes"/>
    <n v="5350000"/>
    <n v="2313812"/>
    <n v="3858268"/>
    <n v="457699.99999999994"/>
    <n v="512667"/>
    <s v=""/>
    <m/>
    <s v="Yes"/>
    <n v="1737208"/>
    <s v="GAVI"/>
    <s v="Disbursed"/>
    <n v="13184599"/>
    <s v="Submitted"/>
    <s v=""/>
    <m/>
    <m/>
    <m/>
    <n v="250899"/>
    <n v="2313750"/>
    <n v="850000"/>
    <n v="1997233"/>
    <n v="1693999"/>
    <m/>
    <m/>
    <m/>
    <n v="250899"/>
    <s v=""/>
    <n v="8507891"/>
    <n v="8507891"/>
    <n v="92377986"/>
    <n v="27713395.800000001"/>
    <n v="86958987"/>
    <n v="3.1377961628217355"/>
    <n v="2.3533471221163018"/>
    <n v="1.3447697840664581"/>
    <n v="0.94133884884652064"/>
    <n v="50000000"/>
    <n v="11355044"/>
    <n v="1100899"/>
    <n v="18873001"/>
    <n v="20644776"/>
  </r>
  <r>
    <s v="COG"/>
    <x v="33"/>
    <x v="7"/>
    <x v="4"/>
    <s v="AMC"/>
    <n v="2"/>
    <s v="No"/>
    <s v="No"/>
    <s v="Yes"/>
    <s v="Yes"/>
    <s v="No"/>
    <s v="Yes"/>
    <s v="Yes"/>
    <s v="Yes"/>
    <s v="Yes"/>
    <s v="In distress"/>
    <m/>
    <m/>
    <n v="91590910.247314155"/>
    <s v="Blend"/>
    <s v="Approved"/>
    <n v="12000000"/>
    <n v="12000000"/>
    <n v="0"/>
    <n v="7100000"/>
    <n v="3000000"/>
    <n v="1900000"/>
    <m/>
    <m/>
    <s v=""/>
    <s v=""/>
    <s v=""/>
    <s v=""/>
    <s v=""/>
    <m/>
    <m/>
    <m/>
    <m/>
    <m/>
    <m/>
    <m/>
    <m/>
    <s v=""/>
    <s v=""/>
    <s v=""/>
    <m/>
    <m/>
    <m/>
    <s v="Yes"/>
    <n v="1500000"/>
    <m/>
    <n v="555079"/>
    <n v="155000"/>
    <n v="203300"/>
    <s v=""/>
    <m/>
    <s v="Yes"/>
    <n v="180490"/>
    <s v="GAVI"/>
    <s v="Disbursed"/>
    <n v="978460"/>
    <s v=""/>
    <s v=""/>
    <m/>
    <m/>
    <m/>
    <m/>
    <n v="45600"/>
    <s v=""/>
    <m/>
    <m/>
    <m/>
    <m/>
    <m/>
    <n v="1500000"/>
    <s v=""/>
    <n v="978460"/>
    <n v="978460"/>
    <n v="5657017"/>
    <n v="1697105.0999999999"/>
    <n v="6617929"/>
    <n v="3.899539869392886"/>
    <n v="2.9246549020446637"/>
    <n v="1.671231372596951"/>
    <n v="1.1698619608178658"/>
    <n v="3000000"/>
    <n v="1500000"/>
    <n v="0"/>
    <n v="3033539"/>
    <n v="1562850"/>
  </r>
  <r>
    <s v="COK"/>
    <x v="34"/>
    <x v="8"/>
    <x v="6"/>
    <s v="SFC"/>
    <m/>
    <s v="No"/>
    <s v="No"/>
    <s v="No"/>
    <s v="No"/>
    <s v="No"/>
    <s v="Yes"/>
    <s v="No"/>
    <s v="No"/>
    <s v="No"/>
    <s v="N/A"/>
    <s v="Yes"/>
    <m/>
    <n v="8560012.8840167802"/>
    <m/>
    <s v=""/>
    <s v=""/>
    <s v=""/>
    <s v=""/>
    <s v=""/>
    <s v=""/>
    <s v=""/>
    <s v="Yes"/>
    <m/>
    <s v=""/>
    <s v=""/>
    <s v=""/>
    <s v=""/>
    <s v=""/>
    <m/>
    <m/>
    <m/>
    <m/>
    <m/>
    <m/>
    <m/>
    <m/>
    <s v=""/>
    <s v=""/>
    <s v=""/>
    <m/>
    <m/>
    <m/>
    <m/>
    <s v=""/>
    <n v="198193"/>
    <s v=""/>
    <n v="0"/>
    <n v="0"/>
    <s v=""/>
    <m/>
    <s v=""/>
    <s v=""/>
    <s v=""/>
    <s v=""/>
    <s v=""/>
    <s v=""/>
    <s v=""/>
    <m/>
    <m/>
    <m/>
    <m/>
    <s v=""/>
    <s v=""/>
    <m/>
    <m/>
    <m/>
    <m/>
    <m/>
    <n v="0"/>
    <s v=""/>
    <s v=""/>
    <n v="0"/>
    <n v="17564"/>
    <n v="5269.2"/>
    <n v="198193"/>
    <n v="37.613489713808548"/>
    <n v="28.210117285356411"/>
    <n v="16.120067020203663"/>
    <n v="11.284046914142564"/>
    <n v="0"/>
    <n v="198193"/>
    <n v="0"/>
    <n v="198193"/>
    <n v="0"/>
  </r>
  <r>
    <s v="CRI"/>
    <x v="35"/>
    <x v="6"/>
    <x v="3"/>
    <s v="SFC"/>
    <m/>
    <s v="Yes"/>
    <s v="Yes"/>
    <s v="No"/>
    <s v="No"/>
    <s v="Yes"/>
    <s v="Yes"/>
    <s v="No"/>
    <s v="No"/>
    <s v="No"/>
    <s v="N/A"/>
    <s v="Yes"/>
    <m/>
    <n v="3292372960.3962669"/>
    <s v="IBRD"/>
    <s v=""/>
    <s v=""/>
    <s v=""/>
    <s v=""/>
    <s v=""/>
    <s v=""/>
    <s v=""/>
    <m/>
    <m/>
    <s v=""/>
    <s v=""/>
    <s v=""/>
    <s v=""/>
    <s v=""/>
    <m/>
    <m/>
    <m/>
    <m/>
    <m/>
    <m/>
    <s v="Yes"/>
    <m/>
    <s v=""/>
    <s v=""/>
    <s v=""/>
    <m/>
    <m/>
    <m/>
    <m/>
    <n v="550000"/>
    <m/>
    <n v="0"/>
    <n v="0"/>
    <n v="0"/>
    <s v=""/>
    <m/>
    <s v=""/>
    <s v=""/>
    <s v=""/>
    <s v=""/>
    <s v=""/>
    <s v=""/>
    <s v=""/>
    <m/>
    <m/>
    <m/>
    <m/>
    <n v="0"/>
    <s v=""/>
    <m/>
    <m/>
    <m/>
    <m/>
    <m/>
    <n v="0"/>
    <s v=""/>
    <s v=""/>
    <n v="0"/>
    <n v="5139053"/>
    <n v="1541715.9"/>
    <n v="550000"/>
    <n v="0.35674536404534718"/>
    <n v="0.2675590230340103"/>
    <n v="0.15289087030514878"/>
    <n v="0.10702360921360414"/>
    <n v="0"/>
    <n v="550000"/>
    <n v="0"/>
    <n v="0"/>
    <n v="0"/>
  </r>
  <r>
    <s v="CIV"/>
    <x v="36"/>
    <x v="7"/>
    <x v="4"/>
    <s v="AMC"/>
    <m/>
    <s v="No"/>
    <s v="No"/>
    <s v="No"/>
    <s v="Yes"/>
    <s v="No"/>
    <s v="Yes"/>
    <s v="Yes"/>
    <s v="Yes"/>
    <s v="Yes"/>
    <s v="Moderate"/>
    <s v="Yes"/>
    <m/>
    <n v="519209981.22981054"/>
    <s v="IDA"/>
    <s v="Approved"/>
    <n v="100000000"/>
    <n v="100000000"/>
    <n v="0"/>
    <n v="63000000"/>
    <n v="31900000"/>
    <n v="5100000"/>
    <m/>
    <m/>
    <s v=""/>
    <s v=""/>
    <s v=""/>
    <s v=""/>
    <s v=""/>
    <s v="Yes"/>
    <m/>
    <m/>
    <s v="Yes"/>
    <m/>
    <m/>
    <m/>
    <m/>
    <s v=""/>
    <s v=""/>
    <s v=""/>
    <m/>
    <n v="1000526"/>
    <n v="675541"/>
    <s v="Yes"/>
    <n v="4476000"/>
    <m/>
    <n v="1677055"/>
    <n v="74074.074074074073"/>
    <n v="92436.2"/>
    <s v=""/>
    <m/>
    <s v="Yes"/>
    <n v="664320"/>
    <s v="GAVI"/>
    <s v="Disbursed"/>
    <n v="2628307"/>
    <s v=""/>
    <s v=""/>
    <m/>
    <m/>
    <m/>
    <m/>
    <n v="400000"/>
    <n v="1500000"/>
    <m/>
    <m/>
    <m/>
    <m/>
    <m/>
    <n v="600000"/>
    <s v=""/>
    <n v="0"/>
    <n v="0"/>
    <n v="27053629"/>
    <n v="8116088.6999999993"/>
    <n v="45088259.274074078"/>
    <n v="5.5554172632531831"/>
    <n v="4.1665629474398864"/>
    <n v="2.3808931128227928"/>
    <n v="1.6666251789759547"/>
    <n v="31900000"/>
    <n v="4476000"/>
    <n v="2175541"/>
    <n v="2952596"/>
    <n v="4859663.2740740739"/>
  </r>
  <r>
    <s v="HRV"/>
    <x v="37"/>
    <x v="3"/>
    <x v="5"/>
    <s v="SFC"/>
    <m/>
    <s v="Yes"/>
    <s v="Yes"/>
    <s v="No"/>
    <s v="No"/>
    <s v="Yes"/>
    <s v="Yes"/>
    <s v="No"/>
    <s v="No"/>
    <s v="No"/>
    <m/>
    <m/>
    <m/>
    <n v="3464739907.1604805"/>
    <s v="IBRD"/>
    <s v=""/>
    <s v=""/>
    <s v=""/>
    <s v=""/>
    <s v=""/>
    <s v=""/>
    <s v=""/>
    <m/>
    <m/>
    <s v=""/>
    <s v=""/>
    <s v=""/>
    <s v=""/>
    <s v=""/>
    <m/>
    <m/>
    <m/>
    <s v="Yes"/>
    <m/>
    <m/>
    <m/>
    <m/>
    <s v=""/>
    <s v=""/>
    <s v=""/>
    <m/>
    <m/>
    <m/>
    <m/>
    <s v=""/>
    <m/>
    <s v=""/>
    <n v="0"/>
    <n v="0"/>
    <s v=""/>
    <m/>
    <s v=""/>
    <s v=""/>
    <s v=""/>
    <s v=""/>
    <s v=""/>
    <s v=""/>
    <s v=""/>
    <m/>
    <m/>
    <m/>
    <m/>
    <n v="0"/>
    <s v=""/>
    <m/>
    <m/>
    <m/>
    <m/>
    <m/>
    <n v="0"/>
    <s v=""/>
    <s v=""/>
    <n v="0"/>
    <n v="4105268"/>
    <n v="1231580.3999999999"/>
    <n v="0"/>
    <n v="0"/>
    <n v="0"/>
    <n v="0"/>
    <n v="0"/>
    <n v="0"/>
    <n v="0"/>
    <n v="0"/>
    <n v="0"/>
    <n v="0"/>
  </r>
  <r>
    <s v="CUB"/>
    <x v="38"/>
    <x v="6"/>
    <x v="3"/>
    <s v="SFC"/>
    <m/>
    <m/>
    <m/>
    <m/>
    <m/>
    <m/>
    <m/>
    <m/>
    <m/>
    <m/>
    <m/>
    <m/>
    <m/>
    <n v="9948521252.2569065"/>
    <m/>
    <s v=""/>
    <s v=""/>
    <s v=""/>
    <s v=""/>
    <s v=""/>
    <s v=""/>
    <s v=""/>
    <m/>
    <m/>
    <s v=""/>
    <s v=""/>
    <s v=""/>
    <s v=""/>
    <s v=""/>
    <m/>
    <m/>
    <m/>
    <m/>
    <m/>
    <m/>
    <m/>
    <m/>
    <s v=""/>
    <s v=""/>
    <s v=""/>
    <m/>
    <m/>
    <m/>
    <m/>
    <s v=""/>
    <m/>
    <n v="500000"/>
    <n v="0"/>
    <n v="0"/>
    <s v=""/>
    <m/>
    <s v=""/>
    <s v=""/>
    <s v=""/>
    <s v=""/>
    <s v=""/>
    <s v=""/>
    <s v=""/>
    <m/>
    <m/>
    <m/>
    <m/>
    <n v="0"/>
    <s v=""/>
    <m/>
    <m/>
    <n v="715090"/>
    <m/>
    <m/>
    <n v="0"/>
    <s v=""/>
    <s v=""/>
    <n v="0"/>
    <n v="11317498"/>
    <n v="3395249.4"/>
    <n v="1215090"/>
    <n v="0.357879453568271"/>
    <n v="0.26840959017620325"/>
    <n v="0.15337690867211615"/>
    <n v="0.10736383607048131"/>
    <n v="0"/>
    <n v="715090"/>
    <n v="0"/>
    <n v="1215090"/>
    <n v="0"/>
  </r>
  <r>
    <s v="DJI"/>
    <x v="39"/>
    <x v="4"/>
    <x v="4"/>
    <s v="AMC"/>
    <n v="1"/>
    <s v="No"/>
    <s v="No"/>
    <s v="Yes"/>
    <s v="Yes"/>
    <s v="No"/>
    <s v="Yes"/>
    <s v="Yes"/>
    <s v="Yes"/>
    <s v="Yes"/>
    <s v="High"/>
    <s v="Yes"/>
    <m/>
    <n v="33679192.765657313"/>
    <s v="Blend"/>
    <s v=""/>
    <s v=""/>
    <s v=""/>
    <s v=""/>
    <s v=""/>
    <s v=""/>
    <s v=""/>
    <s v="Yes"/>
    <m/>
    <s v=""/>
    <s v=""/>
    <s v=""/>
    <s v=""/>
    <s v=""/>
    <m/>
    <m/>
    <m/>
    <m/>
    <m/>
    <m/>
    <m/>
    <m/>
    <s v=""/>
    <s v=""/>
    <s v=""/>
    <m/>
    <m/>
    <m/>
    <s v="Yes"/>
    <n v="1100000"/>
    <n v="92553"/>
    <n v="0"/>
    <n v="168981.48148148146"/>
    <n v="189473"/>
    <s v=""/>
    <m/>
    <s v=""/>
    <s v=""/>
    <s v="GAVI"/>
    <s v="Disbursed"/>
    <n v="978421"/>
    <s v=""/>
    <s v=""/>
    <m/>
    <m/>
    <m/>
    <m/>
    <n v="40000"/>
    <s v=""/>
    <m/>
    <m/>
    <m/>
    <m/>
    <m/>
    <n v="0"/>
    <s v=""/>
    <n v="292108"/>
    <n v="292108"/>
    <n v="1002197"/>
    <n v="300659.09999999998"/>
    <n v="2569428.4814814813"/>
    <n v="8.5459860735347153"/>
    <n v="6.409489555151036"/>
    <n v="3.6625654600863071"/>
    <n v="2.5637958220604147"/>
    <n v="0"/>
    <n v="1192553"/>
    <n v="0"/>
    <n v="384661"/>
    <n v="1376875.4814814813"/>
  </r>
  <r>
    <s v="DMA"/>
    <x v="40"/>
    <x v="6"/>
    <x v="3"/>
    <s v="AMC"/>
    <m/>
    <s v="No"/>
    <s v="No"/>
    <s v="No"/>
    <s v="Yes"/>
    <s v="No"/>
    <s v="Yes"/>
    <s v="No"/>
    <s v="Yes"/>
    <s v="Yes"/>
    <s v="…"/>
    <m/>
    <m/>
    <n v="22784494.365742501"/>
    <s v="IDA"/>
    <s v=""/>
    <s v=""/>
    <s v=""/>
    <s v=""/>
    <s v=""/>
    <s v=""/>
    <s v=""/>
    <s v="Yes"/>
    <m/>
    <s v=""/>
    <s v=""/>
    <s v=""/>
    <s v=""/>
    <s v=""/>
    <m/>
    <m/>
    <m/>
    <m/>
    <m/>
    <m/>
    <m/>
    <m/>
    <s v=""/>
    <s v=""/>
    <s v=""/>
    <m/>
    <m/>
    <m/>
    <m/>
    <s v=""/>
    <m/>
    <n v="75000"/>
    <n v="0"/>
    <n v="50000.030000000006"/>
    <s v=""/>
    <m/>
    <s v=""/>
    <s v=""/>
    <s v="UNICEF"/>
    <s v="Disbursed"/>
    <n v="230000"/>
    <s v="Disbursed"/>
    <n v="200000"/>
    <m/>
    <m/>
    <m/>
    <m/>
    <n v="0"/>
    <s v=""/>
    <m/>
    <m/>
    <m/>
    <m/>
    <m/>
    <n v="0"/>
    <s v=""/>
    <n v="0"/>
    <n v="230000"/>
    <n v="71625"/>
    <n v="21487.5"/>
    <n v="555000.03"/>
    <n v="25.828971727748691"/>
    <n v="19.371728795811521"/>
    <n v="11.069559311892297"/>
    <n v="7.7486915183246081"/>
    <n v="0"/>
    <n v="0"/>
    <n v="0"/>
    <n v="75000"/>
    <n v="680000.03"/>
  </r>
  <r>
    <s v="DOM"/>
    <x v="41"/>
    <x v="6"/>
    <x v="3"/>
    <s v="SFC"/>
    <m/>
    <s v="Yes"/>
    <s v="Yes"/>
    <s v="No"/>
    <s v="No"/>
    <s v="Yes"/>
    <s v="Yes"/>
    <s v="No"/>
    <s v="No"/>
    <s v="No"/>
    <m/>
    <m/>
    <m/>
    <n v="2173208011.4858823"/>
    <s v="IBRD"/>
    <s v=""/>
    <s v=""/>
    <s v=""/>
    <s v=""/>
    <s v=""/>
    <s v=""/>
    <s v=""/>
    <s v="Yes"/>
    <m/>
    <s v=""/>
    <s v=""/>
    <s v=""/>
    <s v=""/>
    <s v=""/>
    <s v="Yes"/>
    <m/>
    <m/>
    <m/>
    <m/>
    <m/>
    <s v="Yes"/>
    <s v="Loan"/>
    <n v="23249585"/>
    <n v="22889280"/>
    <n v="360305"/>
    <m/>
    <m/>
    <m/>
    <m/>
    <n v="241451"/>
    <m/>
    <n v="200000"/>
    <n v="0"/>
    <n v="0"/>
    <s v=""/>
    <m/>
    <s v=""/>
    <s v=""/>
    <s v=""/>
    <s v=""/>
    <s v=""/>
    <s v=""/>
    <s v=""/>
    <m/>
    <m/>
    <m/>
    <m/>
    <n v="0"/>
    <s v=""/>
    <m/>
    <m/>
    <m/>
    <m/>
    <m/>
    <n v="0"/>
    <s v=""/>
    <s v=""/>
    <n v="0"/>
    <n v="10953714"/>
    <n v="3286114.1999999997"/>
    <n v="801756"/>
    <n v="0.24398299973871879"/>
    <n v="0.18298724980403905"/>
    <n v="0.10456414274516518"/>
    <n v="7.3194899921615625E-2"/>
    <n v="360305"/>
    <n v="241451"/>
    <n v="0"/>
    <n v="200000"/>
    <n v="0"/>
  </r>
  <r>
    <s v="ECU"/>
    <x v="42"/>
    <x v="6"/>
    <x v="3"/>
    <s v="SFC"/>
    <m/>
    <s v="No"/>
    <s v="No"/>
    <s v="No"/>
    <s v="Yes"/>
    <s v="No"/>
    <s v="Yes"/>
    <s v="No"/>
    <s v="No"/>
    <s v="No"/>
    <s v="N/A"/>
    <m/>
    <m/>
    <n v="4585736158.8323269"/>
    <s v="IDA"/>
    <s v="Approved"/>
    <n v="150000000"/>
    <n v="150000000"/>
    <n v="0"/>
    <n v="92200000"/>
    <n v="30100000"/>
    <n v="27700000"/>
    <s v="Yes"/>
    <m/>
    <s v=""/>
    <s v=""/>
    <s v=""/>
    <s v=""/>
    <s v=""/>
    <s v="Yes"/>
    <m/>
    <m/>
    <m/>
    <m/>
    <m/>
    <s v="Yes"/>
    <s v="Blend"/>
    <n v="143241534"/>
    <n v="142567587"/>
    <n v="673947"/>
    <m/>
    <m/>
    <m/>
    <m/>
    <n v="3320000"/>
    <m/>
    <n v="0"/>
    <n v="0"/>
    <n v="0"/>
    <s v=""/>
    <m/>
    <s v=""/>
    <s v=""/>
    <s v=""/>
    <s v=""/>
    <s v=""/>
    <s v=""/>
    <s v=""/>
    <m/>
    <m/>
    <m/>
    <m/>
    <n v="0"/>
    <s v=""/>
    <m/>
    <m/>
    <m/>
    <m/>
    <m/>
    <n v="0"/>
    <s v=""/>
    <s v=""/>
    <n v="0"/>
    <n v="17888474"/>
    <n v="5366542.2"/>
    <n v="34093947"/>
    <n v="6.3530567224459729"/>
    <n v="4.7647925418344794"/>
    <n v="2.7227385953339884"/>
    <n v="1.9059170167337918"/>
    <n v="30773947"/>
    <n v="3320000"/>
    <n v="0"/>
    <n v="0"/>
    <n v="0"/>
  </r>
  <r>
    <s v="EGY"/>
    <x v="43"/>
    <x v="4"/>
    <x v="4"/>
    <s v="AMC"/>
    <m/>
    <s v="No"/>
    <s v="No"/>
    <s v="No"/>
    <s v="Yes"/>
    <s v="No"/>
    <s v="Yes"/>
    <s v="Yes"/>
    <s v="No"/>
    <s v="No"/>
    <s v="N/A"/>
    <s v="Yes"/>
    <m/>
    <n v="3550291584.8645592"/>
    <s v="IDA"/>
    <s v=""/>
    <n v="0"/>
    <n v="0"/>
    <n v="0"/>
    <n v="0"/>
    <n v="0"/>
    <n v="0"/>
    <s v="Yes"/>
    <m/>
    <s v=""/>
    <s v=""/>
    <s v=""/>
    <s v=""/>
    <s v=""/>
    <m/>
    <m/>
    <m/>
    <m/>
    <m/>
    <m/>
    <m/>
    <m/>
    <s v=""/>
    <s v=""/>
    <s v=""/>
    <m/>
    <m/>
    <m/>
    <s v="Yes"/>
    <n v="5400000"/>
    <n v="1546200"/>
    <n v="1458302"/>
    <n v="70820.370370370365"/>
    <n v="45000"/>
    <s v=""/>
    <m/>
    <s v="Yes"/>
    <n v="1466837"/>
    <s v="UNICEF"/>
    <s v="Disbursed"/>
    <n v="4499931"/>
    <s v="Disbursed"/>
    <n v="3628370"/>
    <m/>
    <m/>
    <m/>
    <n v="92593"/>
    <n v="70000"/>
    <s v=""/>
    <m/>
    <m/>
    <m/>
    <m/>
    <m/>
    <n v="0"/>
    <s v=""/>
    <n v="0"/>
    <n v="4499931"/>
    <n v="104258327"/>
    <n v="31277498.099999998"/>
    <n v="18278053.370370369"/>
    <n v="0.58438348591476286"/>
    <n v="0.43828761443607206"/>
    <n v="0.25045006539204123"/>
    <n v="0.17531504577442883"/>
    <n v="0"/>
    <n v="6946200"/>
    <n v="92593"/>
    <n v="3097095"/>
    <n v="13409328.370370369"/>
  </r>
  <r>
    <s v="SLV"/>
    <x v="44"/>
    <x v="6"/>
    <x v="4"/>
    <s v="AMC"/>
    <m/>
    <s v="Yes"/>
    <s v="Yes"/>
    <s v="No"/>
    <s v="No"/>
    <s v="Yes"/>
    <s v="Yes"/>
    <s v="No"/>
    <s v="No"/>
    <s v="No"/>
    <s v="N/A"/>
    <m/>
    <m/>
    <n v="1182840319.0410969"/>
    <s v="IBRD"/>
    <s v="Approved"/>
    <n v="50000000"/>
    <n v="50000000"/>
    <n v="0"/>
    <n v="10000000"/>
    <n v="26000000"/>
    <n v="14000000"/>
    <m/>
    <m/>
    <s v=""/>
    <s v=""/>
    <s v=""/>
    <s v=""/>
    <s v=""/>
    <m/>
    <m/>
    <m/>
    <m/>
    <m/>
    <m/>
    <s v="Yes"/>
    <s v="Loan"/>
    <n v="40000000"/>
    <n v="20000000"/>
    <n v="20000000"/>
    <m/>
    <m/>
    <m/>
    <m/>
    <n v="2800000"/>
    <m/>
    <n v="300000"/>
    <n v="0"/>
    <n v="30000.000000000007"/>
    <s v=""/>
    <m/>
    <s v="Yes"/>
    <n v="158796"/>
    <s v="UNICEF"/>
    <s v="Disbursed"/>
    <n v="279812"/>
    <s v="Disbursed"/>
    <n v="1191606"/>
    <m/>
    <n v="40000"/>
    <m/>
    <m/>
    <n v="135000"/>
    <s v=""/>
    <m/>
    <m/>
    <m/>
    <m/>
    <m/>
    <n v="0"/>
    <s v=""/>
    <n v="0"/>
    <n v="279812"/>
    <n v="6518500"/>
    <n v="1955550"/>
    <n v="50935214"/>
    <n v="26.046490245710924"/>
    <n v="19.534867684283196"/>
    <n v="11.16278153387611"/>
    <n v="7.8139470737132779"/>
    <n v="46000000"/>
    <n v="2840000"/>
    <n v="0"/>
    <n v="340000"/>
    <n v="2986820"/>
  </r>
  <r>
    <s v="GNQ"/>
    <x v="45"/>
    <x v="6"/>
    <x v="3"/>
    <s v="SFC"/>
    <m/>
    <s v="Yes"/>
    <s v="Yes"/>
    <s v="No"/>
    <s v="No"/>
    <s v="Yes"/>
    <s v="Yes"/>
    <s v="No"/>
    <s v="No"/>
    <s v="No"/>
    <m/>
    <m/>
    <m/>
    <n v="81728347.604567245"/>
    <s v="IBRD"/>
    <s v=""/>
    <s v=""/>
    <s v=""/>
    <s v=""/>
    <s v=""/>
    <s v=""/>
    <s v=""/>
    <s v="Yes"/>
    <m/>
    <s v=""/>
    <s v=""/>
    <s v=""/>
    <s v=""/>
    <s v=""/>
    <m/>
    <m/>
    <m/>
    <m/>
    <m/>
    <m/>
    <m/>
    <m/>
    <s v=""/>
    <s v=""/>
    <s v=""/>
    <m/>
    <m/>
    <m/>
    <m/>
    <s v=""/>
    <m/>
    <s v=""/>
    <n v="0"/>
    <n v="0"/>
    <s v=""/>
    <m/>
    <s v=""/>
    <s v=""/>
    <s v=""/>
    <s v=""/>
    <s v=""/>
    <s v=""/>
    <s v=""/>
    <m/>
    <m/>
    <m/>
    <m/>
    <n v="0"/>
    <s v=""/>
    <m/>
    <m/>
    <m/>
    <m/>
    <m/>
    <n v="0"/>
    <s v=""/>
    <s v=""/>
    <n v="0"/>
    <n v="1449891"/>
    <n v="434967.3"/>
    <n v="0"/>
    <n v="0"/>
    <n v="0"/>
    <n v="0"/>
    <n v="0"/>
    <n v="0"/>
    <n v="0"/>
    <n v="0"/>
    <n v="0"/>
    <n v="0"/>
  </r>
  <r>
    <s v="ERI"/>
    <x v="46"/>
    <x v="5"/>
    <x v="2"/>
    <s v="AMC"/>
    <n v="2"/>
    <s v="No"/>
    <s v="No"/>
    <s v="No"/>
    <s v="Yes"/>
    <s v="No"/>
    <s v="Yes"/>
    <s v="Yes"/>
    <s v="No"/>
    <s v="No"/>
    <s v="N/A"/>
    <m/>
    <m/>
    <n v="12787914.977715338"/>
    <s v="IDA"/>
    <s v=""/>
    <s v=""/>
    <s v=""/>
    <s v=""/>
    <s v=""/>
    <s v=""/>
    <s v=""/>
    <s v="Yes"/>
    <m/>
    <s v=""/>
    <s v=""/>
    <s v=""/>
    <s v=""/>
    <s v=""/>
    <m/>
    <m/>
    <m/>
    <m/>
    <m/>
    <m/>
    <m/>
    <m/>
    <s v=""/>
    <s v=""/>
    <s v=""/>
    <m/>
    <m/>
    <m/>
    <m/>
    <s v=""/>
    <m/>
    <n v="0"/>
    <n v="174129.62962962961"/>
    <n v="183655"/>
    <s v=""/>
    <m/>
    <s v=""/>
    <s v=""/>
    <s v="GAVI"/>
    <s v=""/>
    <s v=""/>
    <s v=""/>
    <s v=""/>
    <m/>
    <m/>
    <m/>
    <m/>
    <s v=""/>
    <s v=""/>
    <m/>
    <m/>
    <m/>
    <m/>
    <m/>
    <n v="0"/>
    <s v=""/>
    <s v=""/>
    <n v="0"/>
    <n v="3601462"/>
    <n v="1080438.5999999999"/>
    <n v="357784.62962962961"/>
    <n v="0.3311475817595092"/>
    <n v="0.24836068631963185"/>
    <n v="0.14192039218264679"/>
    <n v="9.9344274527852744E-2"/>
    <n v="0"/>
    <n v="0"/>
    <n v="0"/>
    <n v="0"/>
    <n v="357784.62962962961"/>
  </r>
  <r>
    <s v="SWZ"/>
    <x v="47"/>
    <x v="5"/>
    <x v="4"/>
    <s v="AMC"/>
    <n v="2"/>
    <s v="Yes"/>
    <s v="Yes"/>
    <s v="No"/>
    <s v="No"/>
    <s v="Yes"/>
    <s v="Yes"/>
    <s v="No"/>
    <s v="No"/>
    <s v="No"/>
    <s v="N/A"/>
    <s v="Yes"/>
    <m/>
    <n v="101271737.65410839"/>
    <s v="IBRD"/>
    <s v="Approved"/>
    <n v="8000000"/>
    <n v="5000000"/>
    <n v="3000000"/>
    <n v="800000"/>
    <n v="3700000"/>
    <n v="3500000"/>
    <m/>
    <m/>
    <s v=""/>
    <s v=""/>
    <s v=""/>
    <s v=""/>
    <s v=""/>
    <m/>
    <m/>
    <m/>
    <s v="Yes"/>
    <m/>
    <m/>
    <m/>
    <m/>
    <s v=""/>
    <s v=""/>
    <s v=""/>
    <m/>
    <m/>
    <n v="401732"/>
    <s v="Yes"/>
    <n v="2650000"/>
    <n v="109293"/>
    <n v="766500"/>
    <n v="26100"/>
    <n v="25000"/>
    <s v=""/>
    <m/>
    <s v="Yes"/>
    <n v="50213"/>
    <s v="UNICEF"/>
    <s v="Disbursed"/>
    <n v="230000"/>
    <s v="Disbursed"/>
    <n v="230000"/>
    <m/>
    <m/>
    <m/>
    <m/>
    <n v="40000"/>
    <s v=""/>
    <m/>
    <n v="783159"/>
    <m/>
    <m/>
    <m/>
    <n v="0"/>
    <s v=""/>
    <n v="0"/>
    <n v="230000"/>
    <n v="1172369"/>
    <n v="351710.7"/>
    <n v="9011997"/>
    <n v="25.623323373443004"/>
    <n v="19.21749253008225"/>
    <n v="10.981424302904145"/>
    <n v="7.6869970120329008"/>
    <n v="3700000"/>
    <n v="3542452"/>
    <n v="401732"/>
    <n v="2060684"/>
    <n v="831313"/>
  </r>
  <r>
    <s v="ETH"/>
    <x v="48"/>
    <x v="5"/>
    <x v="2"/>
    <s v="AMC"/>
    <n v="3"/>
    <s v="No"/>
    <s v="No"/>
    <s v="No"/>
    <s v="Yes"/>
    <s v="No"/>
    <s v="Yes"/>
    <s v="Yes"/>
    <s v="Yes"/>
    <s v="Yes"/>
    <s v="High"/>
    <s v="Yes"/>
    <m/>
    <n v="618344226.71759331"/>
    <s v="IDA"/>
    <s v="Approved"/>
    <n v="413000000"/>
    <n v="0"/>
    <n v="413000000"/>
    <n v="197200000"/>
    <n v="167200000"/>
    <n v="48600000"/>
    <s v="Yes"/>
    <m/>
    <s v=""/>
    <s v=""/>
    <s v=""/>
    <s v=""/>
    <s v=""/>
    <m/>
    <m/>
    <m/>
    <m/>
    <m/>
    <m/>
    <m/>
    <m/>
    <s v=""/>
    <s v=""/>
    <s v=""/>
    <m/>
    <m/>
    <n v="1101933"/>
    <s v="Yes"/>
    <n v="6900000"/>
    <n v="1343285"/>
    <n v="2775000"/>
    <n v="268302.77777777775"/>
    <n v="534413"/>
    <s v=""/>
    <m/>
    <s v="Yes"/>
    <n v="2119570"/>
    <s v="GAVI"/>
    <s v="Disbursed"/>
    <n v="14685613"/>
    <s v=""/>
    <s v=""/>
    <m/>
    <m/>
    <m/>
    <n v="454015"/>
    <n v="842209"/>
    <n v="3158000"/>
    <m/>
    <n v="2791137"/>
    <m/>
    <m/>
    <m/>
    <n v="0"/>
    <s v=""/>
    <n v="0"/>
    <n v="0"/>
    <n v="117876226"/>
    <n v="35362867.799999997"/>
    <n v="204173477.77777779"/>
    <n v="5.7736685534813388"/>
    <n v="4.330251415111003"/>
    <n v="2.4744293800634312"/>
    <n v="1.7321005660444015"/>
    <n v="167200000"/>
    <n v="11034422"/>
    <n v="4713948"/>
    <n v="8465370"/>
    <n v="18450107.777777776"/>
  </r>
  <r>
    <s v="FJI"/>
    <x v="49"/>
    <x v="8"/>
    <x v="3"/>
    <s v="AMC"/>
    <m/>
    <s v="No"/>
    <s v="No"/>
    <s v="No"/>
    <s v="Yes"/>
    <s v="No"/>
    <s v="Yes"/>
    <s v="No"/>
    <s v="Yes"/>
    <s v="Yes"/>
    <s v="…"/>
    <m/>
    <m/>
    <n v="129483872.95906857"/>
    <s v="IDA"/>
    <s v=""/>
    <s v=""/>
    <s v=""/>
    <s v=""/>
    <s v=""/>
    <s v=""/>
    <s v=""/>
    <s v="Yes"/>
    <m/>
    <s v=""/>
    <s v=""/>
    <s v=""/>
    <s v=""/>
    <s v=""/>
    <s v="Yes"/>
    <m/>
    <m/>
    <m/>
    <m/>
    <m/>
    <m/>
    <m/>
    <s v=""/>
    <s v=""/>
    <s v=""/>
    <m/>
    <m/>
    <m/>
    <m/>
    <n v="1500000"/>
    <n v="639730"/>
    <n v="400000"/>
    <n v="46750"/>
    <n v="25000"/>
    <n v="6148491"/>
    <n v="1000000"/>
    <s v=""/>
    <s v=""/>
    <s v="UNICEF"/>
    <s v="Disbursed"/>
    <n v="230000"/>
    <s v="Disbursed"/>
    <n v="230000"/>
    <m/>
    <m/>
    <m/>
    <n v="226328"/>
    <n v="0"/>
    <s v=""/>
    <m/>
    <m/>
    <m/>
    <m/>
    <m/>
    <n v="1500000"/>
    <n v="3904500"/>
    <n v="0"/>
    <n v="230000"/>
    <n v="902899"/>
    <n v="270869.7"/>
    <n v="10446299"/>
    <n v="38.565771660691468"/>
    <n v="28.924328745518601"/>
    <n v="16.528187854582061"/>
    <n v="11.569731498207441"/>
    <n v="0"/>
    <n v="9288221"/>
    <n v="226328"/>
    <n v="7670558"/>
    <n v="761750"/>
  </r>
  <r>
    <s v="GAB"/>
    <x v="50"/>
    <x v="7"/>
    <x v="3"/>
    <s v="SFC"/>
    <m/>
    <s v="No"/>
    <s v="No"/>
    <s v="No"/>
    <s v="Yes"/>
    <s v="No"/>
    <s v="Yes"/>
    <s v="No"/>
    <s v="No"/>
    <s v="No"/>
    <s v="N/A"/>
    <m/>
    <m/>
    <n v="271184658.35014349"/>
    <s v="IDA"/>
    <s v="Approved"/>
    <n v="12000000"/>
    <n v="12000000"/>
    <n v="0"/>
    <n v="8100000"/>
    <n v="2900000"/>
    <n v="1000000"/>
    <s v="Yes"/>
    <m/>
    <s v=""/>
    <s v=""/>
    <s v=""/>
    <s v=""/>
    <s v=""/>
    <m/>
    <m/>
    <m/>
    <m/>
    <m/>
    <m/>
    <m/>
    <m/>
    <s v=""/>
    <s v=""/>
    <s v=""/>
    <m/>
    <m/>
    <m/>
    <m/>
    <n v="300000"/>
    <m/>
    <s v=""/>
    <n v="0"/>
    <n v="0"/>
    <s v=""/>
    <m/>
    <s v=""/>
    <s v=""/>
    <s v=""/>
    <s v=""/>
    <s v=""/>
    <s v=""/>
    <s v=""/>
    <m/>
    <m/>
    <m/>
    <m/>
    <n v="0"/>
    <s v=""/>
    <m/>
    <m/>
    <m/>
    <m/>
    <m/>
    <n v="0"/>
    <s v=""/>
    <s v=""/>
    <n v="0"/>
    <n v="2278829"/>
    <n v="683648.7"/>
    <n v="3200000"/>
    <n v="4.6807665984006119"/>
    <n v="3.5105749488004583"/>
    <n v="2.0060428278859765"/>
    <n v="1.4042299795201834"/>
    <n v="2900000"/>
    <n v="300000"/>
    <n v="0"/>
    <n v="0"/>
    <n v="0"/>
  </r>
  <r>
    <s v="GMB"/>
    <x v="51"/>
    <x v="7"/>
    <x v="2"/>
    <s v="AMC"/>
    <m/>
    <s v="No"/>
    <s v="No"/>
    <s v="Yes"/>
    <s v="Yes"/>
    <s v="No"/>
    <s v="Yes"/>
    <s v="Yes"/>
    <s v="Yes"/>
    <s v="Yes"/>
    <s v="High"/>
    <m/>
    <m/>
    <n v="15455265.086884515"/>
    <s v="Blend"/>
    <s v="Approved"/>
    <n v="8000000"/>
    <n v="0"/>
    <n v="8000000"/>
    <n v="6400000"/>
    <n v="1600000"/>
    <n v="0"/>
    <s v="Yes"/>
    <m/>
    <s v=""/>
    <s v=""/>
    <s v=""/>
    <s v=""/>
    <s v=""/>
    <s v="Yes"/>
    <m/>
    <m/>
    <m/>
    <m/>
    <m/>
    <m/>
    <m/>
    <s v=""/>
    <s v=""/>
    <s v=""/>
    <m/>
    <m/>
    <m/>
    <m/>
    <n v="1085000"/>
    <m/>
    <n v="552287"/>
    <n v="104000"/>
    <n v="86135"/>
    <s v=""/>
    <m/>
    <s v="Yes"/>
    <n v="98207"/>
    <s v="GAVI"/>
    <s v="Disbursed"/>
    <n v="977007"/>
    <s v=""/>
    <s v=""/>
    <m/>
    <m/>
    <m/>
    <m/>
    <n v="0"/>
    <s v=""/>
    <m/>
    <m/>
    <m/>
    <m/>
    <m/>
    <n v="1085000"/>
    <s v=""/>
    <n v="0"/>
    <n v="0"/>
    <n v="2486937"/>
    <n v="746081.1"/>
    <n v="4502636"/>
    <n v="6.0350490047261616"/>
    <n v="4.5262867535446212"/>
    <n v="2.5864495734540696"/>
    <n v="1.8105147014178486"/>
    <n v="1600000"/>
    <n v="1085000"/>
    <n v="0"/>
    <n v="1637287"/>
    <n v="1265349"/>
  </r>
  <r>
    <s v="GEO"/>
    <x v="52"/>
    <x v="3"/>
    <x v="3"/>
    <s v="SFC"/>
    <m/>
    <s v="Yes"/>
    <s v="Yes"/>
    <s v="No"/>
    <s v="No"/>
    <s v="Yes"/>
    <s v="Yes"/>
    <s v="No"/>
    <s v="No"/>
    <s v="No"/>
    <s v="N/A"/>
    <m/>
    <m/>
    <n v="494021502.525527"/>
    <s v="IBRD"/>
    <s v="Approved"/>
    <n v="34500000"/>
    <n v="34500000"/>
    <n v="0"/>
    <n v="32900000"/>
    <n v="1100000"/>
    <n v="500000"/>
    <s v="Yes"/>
    <m/>
    <s v=""/>
    <s v=""/>
    <s v=""/>
    <s v=""/>
    <s v=""/>
    <m/>
    <m/>
    <m/>
    <m/>
    <m/>
    <m/>
    <m/>
    <m/>
    <s v=""/>
    <s v=""/>
    <s v=""/>
    <m/>
    <m/>
    <m/>
    <m/>
    <n v="4400000"/>
    <m/>
    <n v="200000"/>
    <n v="0"/>
    <n v="0"/>
    <s v=""/>
    <m/>
    <s v=""/>
    <s v=""/>
    <s v=""/>
    <s v=""/>
    <s v=""/>
    <s v=""/>
    <s v=""/>
    <m/>
    <m/>
    <m/>
    <m/>
    <n v="0"/>
    <s v=""/>
    <m/>
    <m/>
    <m/>
    <m/>
    <m/>
    <n v="1000000"/>
    <s v=""/>
    <s v=""/>
    <n v="0"/>
    <n v="3979773"/>
    <n v="1193931.8999999999"/>
    <n v="5700000"/>
    <n v="4.7741416407418216"/>
    <n v="3.5806062305563655"/>
    <n v="2.0460607031750664"/>
    <n v="1.4322424922225463"/>
    <n v="1100000"/>
    <n v="4400000"/>
    <n v="0"/>
    <n v="1200000"/>
    <n v="0"/>
  </r>
  <r>
    <s v="GHA"/>
    <x v="53"/>
    <x v="7"/>
    <x v="4"/>
    <s v="AMC"/>
    <m/>
    <s v="Yes"/>
    <s v="Yes"/>
    <s v="No"/>
    <s v="No"/>
    <s v="Yes"/>
    <s v="Yes"/>
    <s v="Yes"/>
    <s v="Yes"/>
    <s v="No"/>
    <s v="High"/>
    <s v="Yes"/>
    <m/>
    <n v="902005621.73836684"/>
    <s v="IBRD"/>
    <s v="Approved"/>
    <n v="200000000"/>
    <n v="200000000"/>
    <n v="0"/>
    <n v="137200000"/>
    <n v="7000000"/>
    <n v="55800000"/>
    <s v="Yes"/>
    <m/>
    <s v=""/>
    <s v=""/>
    <s v=""/>
    <s v=""/>
    <s v=""/>
    <s v="Yes"/>
    <m/>
    <m/>
    <m/>
    <m/>
    <m/>
    <m/>
    <m/>
    <s v=""/>
    <s v=""/>
    <s v=""/>
    <m/>
    <m/>
    <n v="608549"/>
    <m/>
    <n v="2950000"/>
    <n v="925925"/>
    <n v="0"/>
    <n v="193425"/>
    <n v="204263"/>
    <s v=""/>
    <m/>
    <s v="Yes"/>
    <n v="793746"/>
    <s v="GAVI"/>
    <s v="Disbursed"/>
    <n v="2108935"/>
    <s v="Submitted"/>
    <s v=""/>
    <m/>
    <m/>
    <m/>
    <n v="142909"/>
    <n v="890000"/>
    <n v="223000"/>
    <m/>
    <m/>
    <m/>
    <m/>
    <m/>
    <n v="0"/>
    <s v=""/>
    <n v="80488"/>
    <n v="80488"/>
    <n v="31732128"/>
    <n v="9519638.4000000004"/>
    <n v="16040752"/>
    <n v="1.685016943500711"/>
    <n v="1.2637627076255333"/>
    <n v="0.72215011864316203"/>
    <n v="0.50550508305021336"/>
    <n v="7000000"/>
    <n v="3875925"/>
    <n v="974458"/>
    <n v="1757871"/>
    <n v="4190369"/>
  </r>
  <r>
    <s v="GRD"/>
    <x v="54"/>
    <x v="6"/>
    <x v="3"/>
    <s v="AMC"/>
    <m/>
    <s v="No"/>
    <s v="No"/>
    <s v="Yes"/>
    <s v="Yes"/>
    <s v="No"/>
    <s v="Yes"/>
    <s v="No"/>
    <s v="Yes"/>
    <s v="Yes"/>
    <s v="In distress"/>
    <m/>
    <m/>
    <n v="20201670.142996579"/>
    <s v="Blend"/>
    <s v=""/>
    <s v=""/>
    <s v=""/>
    <s v=""/>
    <s v=""/>
    <s v=""/>
    <s v=""/>
    <s v="Yes"/>
    <m/>
    <s v=""/>
    <s v=""/>
    <s v=""/>
    <s v=""/>
    <s v=""/>
    <m/>
    <m/>
    <m/>
    <m/>
    <m/>
    <m/>
    <m/>
    <m/>
    <s v=""/>
    <s v=""/>
    <s v=""/>
    <m/>
    <m/>
    <m/>
    <m/>
    <s v=""/>
    <m/>
    <n v="75000"/>
    <n v="0"/>
    <n v="50000"/>
    <s v=""/>
    <m/>
    <s v=""/>
    <s v=""/>
    <s v="UNICEF"/>
    <s v="Disbursed"/>
    <n v="230000"/>
    <s v="Disbursed"/>
    <n v="200000"/>
    <m/>
    <m/>
    <m/>
    <m/>
    <n v="0"/>
    <s v=""/>
    <m/>
    <m/>
    <m/>
    <m/>
    <m/>
    <n v="0"/>
    <s v=""/>
    <n v="0"/>
    <n v="230000"/>
    <n v="113015"/>
    <n v="33904.5"/>
    <n v="555000"/>
    <n v="16.369508472326682"/>
    <n v="12.277131354245011"/>
    <n v="7.0155036309971495"/>
    <n v="4.9108525416980049"/>
    <n v="0"/>
    <n v="0"/>
    <n v="0"/>
    <n v="75000"/>
    <n v="680000"/>
  </r>
  <r>
    <s v="GTM"/>
    <x v="55"/>
    <x v="6"/>
    <x v="3"/>
    <s v="SFC"/>
    <m/>
    <s v="No"/>
    <s v="No"/>
    <s v="No"/>
    <s v="Yes"/>
    <s v="No"/>
    <s v="Yes"/>
    <s v="Yes"/>
    <s v="No"/>
    <s v="No"/>
    <m/>
    <m/>
    <m/>
    <n v="1612434649.6948864"/>
    <s v="IDA"/>
    <s v=""/>
    <s v=""/>
    <s v=""/>
    <s v=""/>
    <s v=""/>
    <s v=""/>
    <s v=""/>
    <m/>
    <m/>
    <s v=""/>
    <s v=""/>
    <s v=""/>
    <s v=""/>
    <s v=""/>
    <s v="Yes"/>
    <m/>
    <m/>
    <s v="Yes"/>
    <m/>
    <m/>
    <s v="Yes"/>
    <m/>
    <s v=""/>
    <s v=""/>
    <s v=""/>
    <m/>
    <m/>
    <m/>
    <s v="Yes"/>
    <n v="5395000"/>
    <n v="1388889"/>
    <n v="0"/>
    <n v="0"/>
    <n v="0"/>
    <s v=""/>
    <m/>
    <s v=""/>
    <s v=""/>
    <s v=""/>
    <s v=""/>
    <s v=""/>
    <s v=""/>
    <s v=""/>
    <m/>
    <m/>
    <m/>
    <m/>
    <s v=""/>
    <s v=""/>
    <m/>
    <m/>
    <m/>
    <m/>
    <m/>
    <n v="0"/>
    <s v=""/>
    <s v=""/>
    <n v="0"/>
    <n v="18249868"/>
    <n v="5474960.3999999994"/>
    <n v="6783889"/>
    <n v="1.2390754460982039"/>
    <n v="0.92930658457365278"/>
    <n v="0.53103233404208738"/>
    <n v="0.37172263382946114"/>
    <n v="0"/>
    <n v="6783889"/>
    <n v="0"/>
    <n v="1388889"/>
    <n v="0"/>
  </r>
  <r>
    <s v="GIN"/>
    <x v="56"/>
    <x v="7"/>
    <x v="2"/>
    <s v="AMC"/>
    <m/>
    <s v="Yes"/>
    <s v="Yes"/>
    <s v="No"/>
    <s v="No"/>
    <s v="Yes"/>
    <s v="Yes"/>
    <s v="Yes"/>
    <s v="Yes"/>
    <s v="Yes"/>
    <s v="Moderate"/>
    <m/>
    <m/>
    <n v="78203134.118229344"/>
    <s v="IBRD"/>
    <s v="Approved"/>
    <n v="28200000"/>
    <n v="14100000"/>
    <n v="14100000"/>
    <n v="17600000"/>
    <n v="10600000"/>
    <n v="0"/>
    <s v="Yes"/>
    <m/>
    <s v=""/>
    <s v=""/>
    <s v=""/>
    <s v=""/>
    <s v=""/>
    <m/>
    <m/>
    <m/>
    <m/>
    <m/>
    <m/>
    <m/>
    <m/>
    <s v=""/>
    <s v=""/>
    <s v=""/>
    <s v="Yes"/>
    <m/>
    <m/>
    <m/>
    <n v="2900000"/>
    <n v="926346"/>
    <n v="378110"/>
    <n v="252699.99999999997"/>
    <n v="440787"/>
    <s v=""/>
    <m/>
    <s v="Yes"/>
    <n v="390259"/>
    <s v="GAVI"/>
    <s v="Disbursed"/>
    <n v="2304800"/>
    <s v=""/>
    <s v=""/>
    <m/>
    <m/>
    <m/>
    <n v="378110"/>
    <n v="225000"/>
    <s v=""/>
    <m/>
    <m/>
    <m/>
    <m/>
    <m/>
    <n v="0"/>
    <s v=""/>
    <n v="0"/>
    <n v="0"/>
    <n v="13497237"/>
    <n v="4049171.0999999996"/>
    <n v="18796112"/>
    <n v="4.6419653642198524"/>
    <n v="3.4814740231648886"/>
    <n v="1.9894137275227941"/>
    <n v="1.3925896092659558"/>
    <n v="10600000"/>
    <n v="3826346"/>
    <n v="378110"/>
    <n v="1682566"/>
    <n v="3613546"/>
  </r>
  <r>
    <s v="GNB"/>
    <x v="57"/>
    <x v="7"/>
    <x v="2"/>
    <s v="AMC"/>
    <n v="2"/>
    <s v="Yes"/>
    <s v="Yes"/>
    <s v="No"/>
    <s v="No"/>
    <s v="Yes"/>
    <s v="Yes"/>
    <s v="Yes"/>
    <s v="Yes"/>
    <s v="Yes"/>
    <s v="High"/>
    <m/>
    <m/>
    <n v="9151637.7411015611"/>
    <s v="IBRD"/>
    <s v="Approved"/>
    <n v="7200000"/>
    <n v="0"/>
    <n v="7200000"/>
    <n v="4800000.0000000009"/>
    <n v="2100000"/>
    <n v="300000"/>
    <s v="Yes"/>
    <m/>
    <s v=""/>
    <s v=""/>
    <s v=""/>
    <s v=""/>
    <s v=""/>
    <m/>
    <m/>
    <m/>
    <m/>
    <m/>
    <m/>
    <m/>
    <m/>
    <s v=""/>
    <s v=""/>
    <s v=""/>
    <s v="Yes"/>
    <m/>
    <m/>
    <m/>
    <n v="200000"/>
    <m/>
    <n v="225847"/>
    <n v="173660.18518518517"/>
    <n v="180992"/>
    <s v=""/>
    <m/>
    <s v="Yes"/>
    <n v="105973"/>
    <s v="GAVI"/>
    <s v="Disbursed"/>
    <n v="978460"/>
    <s v=""/>
    <s v=""/>
    <m/>
    <m/>
    <m/>
    <n v="225847"/>
    <n v="45600"/>
    <s v=""/>
    <m/>
    <m/>
    <m/>
    <m/>
    <m/>
    <n v="200000"/>
    <s v=""/>
    <n v="978460"/>
    <n v="978460"/>
    <n v="2015490"/>
    <n v="604647"/>
    <n v="4236379.1851851847"/>
    <n v="7.0063676577989877"/>
    <n v="5.2547757433492412"/>
    <n v="3.0027289961995662"/>
    <n v="2.1019102973396966"/>
    <n v="2100000"/>
    <n v="200000"/>
    <n v="225847"/>
    <n v="1630154"/>
    <n v="1484685.1851851852"/>
  </r>
  <r>
    <s v="GUY"/>
    <x v="58"/>
    <x v="6"/>
    <x v="3"/>
    <s v="AMC"/>
    <m/>
    <s v="No"/>
    <s v="No"/>
    <s v="Yes"/>
    <s v="Yes"/>
    <s v="No"/>
    <s v="Yes"/>
    <s v="No"/>
    <s v="Yes"/>
    <s v="No"/>
    <s v="Moderate"/>
    <m/>
    <m/>
    <n v="142455920.02856269"/>
    <s v="Blend"/>
    <s v="Approved"/>
    <n v="5000000"/>
    <n v="5000000"/>
    <n v="0"/>
    <n v="3300000"/>
    <n v="200000"/>
    <n v="1500000"/>
    <m/>
    <m/>
    <s v=""/>
    <s v=""/>
    <s v=""/>
    <s v=""/>
    <s v=""/>
    <m/>
    <m/>
    <m/>
    <m/>
    <m/>
    <m/>
    <s v="Yes"/>
    <m/>
    <s v=""/>
    <s v=""/>
    <s v=""/>
    <m/>
    <m/>
    <m/>
    <m/>
    <n v="705800"/>
    <m/>
    <n v="100000"/>
    <n v="0"/>
    <n v="44999.999999999964"/>
    <s v=""/>
    <m/>
    <s v="Yes"/>
    <n v="62549"/>
    <s v="UNICEF"/>
    <s v="Disbursed"/>
    <n v="230000"/>
    <s v="Disbursed"/>
    <n v="600000"/>
    <m/>
    <m/>
    <m/>
    <m/>
    <n v="215000"/>
    <s v=""/>
    <m/>
    <m/>
    <m/>
    <m/>
    <m/>
    <n v="705800"/>
    <s v=""/>
    <n v="0"/>
    <n v="230000"/>
    <n v="790329"/>
    <n v="237098.69999999998"/>
    <n v="2158349"/>
    <n v="9.1031667402647098"/>
    <n v="6.8273750551985302"/>
    <n v="3.9013571743991613"/>
    <n v="2.7309500220794125"/>
    <n v="200000"/>
    <n v="705800"/>
    <n v="0"/>
    <n v="805800"/>
    <n v="1752549"/>
  </r>
  <r>
    <s v="HTI"/>
    <x v="59"/>
    <x v="6"/>
    <x v="4"/>
    <s v="AMC"/>
    <n v="1"/>
    <s v="Yes"/>
    <s v="Yes"/>
    <s v="No"/>
    <s v="No"/>
    <s v="Yes"/>
    <s v="Yes"/>
    <s v="Yes"/>
    <s v="Yes"/>
    <s v="No"/>
    <s v="High"/>
    <s v="Yes"/>
    <m/>
    <n v="85611818.171245083"/>
    <s v="IBRD"/>
    <s v=""/>
    <s v=""/>
    <s v=""/>
    <s v=""/>
    <s v=""/>
    <s v=""/>
    <s v=""/>
    <m/>
    <m/>
    <s v=""/>
    <s v=""/>
    <s v=""/>
    <s v=""/>
    <s v=""/>
    <m/>
    <m/>
    <m/>
    <m/>
    <m/>
    <m/>
    <s v="Yes"/>
    <m/>
    <s v=""/>
    <s v=""/>
    <s v=""/>
    <m/>
    <m/>
    <m/>
    <s v="Yes"/>
    <n v="2650000"/>
    <n v="1851852"/>
    <n v="1500000"/>
    <n v="315255.55555555556"/>
    <n v="403390"/>
    <s v=""/>
    <m/>
    <s v="Yes"/>
    <n v="365688"/>
    <s v="GAVI"/>
    <s v="Disbursed"/>
    <n v="2138482"/>
    <s v=""/>
    <s v=""/>
    <n v="49489.62"/>
    <m/>
    <m/>
    <m/>
    <n v="1160000"/>
    <n v="99000"/>
    <m/>
    <m/>
    <n v="4969926"/>
    <m/>
    <m/>
    <n v="0"/>
    <s v=""/>
    <n v="1686667"/>
    <n v="1686667"/>
    <n v="11541683"/>
    <n v="3462504.9"/>
    <n v="15503083.175555555"/>
    <n v="4.4774184075683348"/>
    <n v="3.3580638056762506"/>
    <n v="1.9188936032435719"/>
    <n v="1.3432255222705003"/>
    <n v="0"/>
    <n v="9521267.620000001"/>
    <n v="99000"/>
    <n v="10057934.620000001"/>
    <n v="4382815.555555556"/>
  </r>
  <r>
    <s v="HND"/>
    <x v="60"/>
    <x v="6"/>
    <x v="4"/>
    <s v="AMC"/>
    <m/>
    <s v="Yes"/>
    <s v="Yes"/>
    <s v="No"/>
    <s v="No"/>
    <s v="Yes"/>
    <s v="Yes"/>
    <s v="Yes"/>
    <s v="Yes"/>
    <s v="No"/>
    <s v="Low"/>
    <m/>
    <m/>
    <n v="680289736.30082119"/>
    <s v="IBRD"/>
    <s v="Approved"/>
    <n v="20000000"/>
    <n v="20000000"/>
    <n v="0"/>
    <n v="5750000"/>
    <n v="13800000"/>
    <n v="500000"/>
    <m/>
    <m/>
    <s v=""/>
    <s v=""/>
    <s v=""/>
    <s v=""/>
    <s v=""/>
    <m/>
    <m/>
    <m/>
    <m/>
    <m/>
    <m/>
    <s v="Yes"/>
    <s v="Loan"/>
    <n v="29300000"/>
    <n v="13500000"/>
    <n v="15800000"/>
    <m/>
    <m/>
    <m/>
    <m/>
    <n v="4652400"/>
    <m/>
    <n v="300000"/>
    <n v="24259.259259259259"/>
    <n v="232501.58"/>
    <s v=""/>
    <m/>
    <s v="Yes"/>
    <n v="219032"/>
    <s v="UNICEF"/>
    <s v="Disbursed"/>
    <n v="369382"/>
    <s v="Disbursed"/>
    <n v="1035145"/>
    <m/>
    <m/>
    <m/>
    <m/>
    <n v="130000"/>
    <s v=""/>
    <m/>
    <m/>
    <m/>
    <m/>
    <m/>
    <n v="0"/>
    <s v=""/>
    <n v="0"/>
    <n v="369382"/>
    <n v="10062994"/>
    <n v="3018898.1999999997"/>
    <n v="36562719.839259259"/>
    <n v="12.111279485760488"/>
    <n v="9.0834596143203648"/>
    <n v="5.1905483510402091"/>
    <n v="3.633383845728146"/>
    <n v="29600000"/>
    <n v="4652400"/>
    <n v="0"/>
    <n v="300000"/>
    <n v="3045464.8392592594"/>
  </r>
  <r>
    <s v="IND"/>
    <x v="61"/>
    <x v="2"/>
    <x v="4"/>
    <s v="AMC"/>
    <m/>
    <s v="No"/>
    <s v="No"/>
    <s v="No"/>
    <s v="Yes"/>
    <s v="No"/>
    <s v="Yes"/>
    <s v="Yes"/>
    <s v="No"/>
    <s v="No"/>
    <s v="N/A"/>
    <m/>
    <m/>
    <n v="26554332750.47023"/>
    <s v="IDA"/>
    <s v=""/>
    <s v=""/>
    <s v=""/>
    <s v=""/>
    <s v=""/>
    <s v=""/>
    <s v=""/>
    <m/>
    <s v="Approved"/>
    <s v="Grant"/>
    <n v="7000000"/>
    <n v="0"/>
    <n v="7000000"/>
    <n v="0"/>
    <m/>
    <m/>
    <m/>
    <s v="Yes"/>
    <m/>
    <m/>
    <m/>
    <m/>
    <s v=""/>
    <s v=""/>
    <s v=""/>
    <m/>
    <m/>
    <m/>
    <m/>
    <n v="36840139"/>
    <m/>
    <n v="12694456"/>
    <n v="5971660.1851851847"/>
    <n v="10181364"/>
    <s v=""/>
    <m/>
    <s v="Yes"/>
    <n v="8716494"/>
    <s v="GAVI"/>
    <s v="Disbursed"/>
    <n v="10867000"/>
    <s v=""/>
    <s v=""/>
    <m/>
    <m/>
    <m/>
    <n v="24758715"/>
    <n v="0"/>
    <n v="81000"/>
    <m/>
    <m/>
    <n v="1200000"/>
    <m/>
    <m/>
    <n v="2000000"/>
    <s v=""/>
    <n v="3100000"/>
    <n v="3100000"/>
    <n v="1393409033"/>
    <n v="418022709.89999998"/>
    <n v="118310828.18518519"/>
    <n v="0.2830248821014717"/>
    <n v="0.21226866157610375"/>
    <n v="0.12129637804348788"/>
    <n v="8.4907464630441506E-2"/>
    <n v="7000000"/>
    <n v="38040139"/>
    <n v="24839715"/>
    <n v="43753171"/>
    <n v="35736518.185185187"/>
  </r>
  <r>
    <s v="IDN"/>
    <x v="62"/>
    <x v="8"/>
    <x v="4"/>
    <s v="AMC"/>
    <m/>
    <s v="Yes"/>
    <s v="Yes"/>
    <s v="No"/>
    <s v="No"/>
    <s v="Yes"/>
    <s v="Yes"/>
    <s v="Yes"/>
    <s v="No"/>
    <s v="No"/>
    <s v="N/A"/>
    <m/>
    <m/>
    <n v="14745961064.890842"/>
    <s v="IBRD"/>
    <s v="Approved"/>
    <n v="509900000"/>
    <n v="509900000"/>
    <n v="0"/>
    <n v="0"/>
    <n v="258300000"/>
    <n v="251600000"/>
    <m/>
    <s v="Approved"/>
    <s v="Loan"/>
    <n v="450000000"/>
    <n v="445270000"/>
    <n v="0"/>
    <n v="4730000.0000000186"/>
    <s v="Yes"/>
    <s v="Requested"/>
    <n v="100000000"/>
    <m/>
    <m/>
    <m/>
    <m/>
    <m/>
    <s v=""/>
    <s v=""/>
    <s v=""/>
    <m/>
    <m/>
    <m/>
    <m/>
    <n v="13950000"/>
    <n v="3751813"/>
    <n v="0"/>
    <n v="100000"/>
    <n v="115000"/>
    <n v="2711076"/>
    <n v="3230725"/>
    <s v="Yes"/>
    <n v="1734565"/>
    <s v="GAVI"/>
    <s v="Disbursed"/>
    <n v="0"/>
    <s v=""/>
    <s v=""/>
    <m/>
    <m/>
    <m/>
    <n v="93593"/>
    <n v="165200"/>
    <s v=""/>
    <m/>
    <m/>
    <m/>
    <m/>
    <m/>
    <n v="4700000"/>
    <n v="774593"/>
    <n v="0"/>
    <n v="0"/>
    <n v="276361788"/>
    <n v="82908536.399999991"/>
    <n v="284151972"/>
    <n v="3.4272945143921274"/>
    <n v="2.5704708857940952"/>
    <n v="1.4688405061680545"/>
    <n v="1.0281883543176382"/>
    <n v="258300000"/>
    <n v="23643614"/>
    <n v="93593"/>
    <n v="12550724"/>
    <n v="2114765"/>
  </r>
  <r>
    <s v="IRN"/>
    <x v="63"/>
    <x v="4"/>
    <x v="4"/>
    <s v="SFC"/>
    <m/>
    <s v="No"/>
    <s v="No"/>
    <s v="No"/>
    <s v="Yes"/>
    <s v="No"/>
    <s v="Yes"/>
    <s v="No"/>
    <s v="No"/>
    <s v="No"/>
    <s v="N/A"/>
    <m/>
    <m/>
    <n v="18194076299.786381"/>
    <s v="IDA"/>
    <s v=""/>
    <s v=""/>
    <s v=""/>
    <s v=""/>
    <s v=""/>
    <s v=""/>
    <s v=""/>
    <m/>
    <m/>
    <s v=""/>
    <s v=""/>
    <s v=""/>
    <s v=""/>
    <s v=""/>
    <m/>
    <m/>
    <m/>
    <s v="Yes"/>
    <m/>
    <m/>
    <m/>
    <m/>
    <s v=""/>
    <s v=""/>
    <s v=""/>
    <m/>
    <m/>
    <m/>
    <m/>
    <s v=""/>
    <m/>
    <n v="2428858"/>
    <n v="0"/>
    <n v="0"/>
    <s v=""/>
    <m/>
    <s v=""/>
    <s v=""/>
    <s v=""/>
    <s v=""/>
    <s v=""/>
    <s v=""/>
    <s v=""/>
    <m/>
    <m/>
    <m/>
    <m/>
    <n v="0"/>
    <s v=""/>
    <m/>
    <m/>
    <m/>
    <m/>
    <m/>
    <n v="0"/>
    <s v=""/>
    <s v=""/>
    <n v="0"/>
    <n v="85028760"/>
    <n v="25508628"/>
    <n v="2428858"/>
    <n v="9.521711634196868E-2"/>
    <n v="7.1412837256476513E-2"/>
    <n v="4.0807335575129444E-2"/>
    <n v="2.8565134902590605E-2"/>
    <n v="0"/>
    <n v="0"/>
    <n v="0"/>
    <n v="2428858"/>
    <n v="0"/>
  </r>
  <r>
    <s v="IRQ"/>
    <x v="64"/>
    <x v="4"/>
    <x v="3"/>
    <s v="SFC"/>
    <m/>
    <s v="Yes"/>
    <s v="Yes"/>
    <s v="No"/>
    <s v="No"/>
    <s v="Yes"/>
    <s v="Yes"/>
    <s v="No"/>
    <s v="No"/>
    <s v="No"/>
    <s v="N/A"/>
    <m/>
    <m/>
    <n v="4428819387.769825"/>
    <s v="IBRD"/>
    <s v="Approved"/>
    <n v="100000000"/>
    <n v="98000000"/>
    <n v="2000000"/>
    <n v="72000000"/>
    <n v="25000000"/>
    <n v="3000000"/>
    <m/>
    <m/>
    <s v=""/>
    <s v=""/>
    <s v=""/>
    <s v=""/>
    <s v=""/>
    <s v="Yes"/>
    <m/>
    <m/>
    <s v="Yes"/>
    <m/>
    <m/>
    <m/>
    <m/>
    <s v=""/>
    <s v=""/>
    <s v=""/>
    <m/>
    <m/>
    <m/>
    <m/>
    <n v="1534768"/>
    <m/>
    <n v="5799334"/>
    <n v="0"/>
    <n v="0"/>
    <s v=""/>
    <m/>
    <s v=""/>
    <s v=""/>
    <s v=""/>
    <s v=""/>
    <s v=""/>
    <s v=""/>
    <s v=""/>
    <m/>
    <m/>
    <m/>
    <m/>
    <n v="0"/>
    <s v=""/>
    <m/>
    <m/>
    <m/>
    <m/>
    <m/>
    <n v="1290000"/>
    <s v=""/>
    <s v=""/>
    <n v="0"/>
    <n v="41179351"/>
    <n v="12353805.299999999"/>
    <n v="32334102"/>
    <n v="2.617339452484329"/>
    <n v="1.9630045893632466"/>
    <n v="1.1217169082075695"/>
    <n v="0.78520183574529867"/>
    <n v="25000000"/>
    <n v="1534768"/>
    <n v="0"/>
    <n v="7089334"/>
    <n v="0"/>
  </r>
  <r>
    <s v="JAM"/>
    <x v="65"/>
    <x v="6"/>
    <x v="3"/>
    <s v="SFC"/>
    <m/>
    <s v="Yes"/>
    <s v="Yes"/>
    <s v="No"/>
    <s v="No"/>
    <s v="Yes"/>
    <s v="Yes"/>
    <s v="No"/>
    <s v="No"/>
    <s v="No"/>
    <m/>
    <m/>
    <m/>
    <n v="611739560.62679195"/>
    <s v="IBRD"/>
    <s v=""/>
    <s v=""/>
    <s v=""/>
    <s v=""/>
    <s v=""/>
    <s v=""/>
    <s v=""/>
    <m/>
    <m/>
    <s v=""/>
    <s v=""/>
    <s v=""/>
    <s v=""/>
    <s v=""/>
    <m/>
    <m/>
    <m/>
    <m/>
    <m/>
    <m/>
    <s v="Yes"/>
    <m/>
    <s v=""/>
    <s v=""/>
    <s v=""/>
    <m/>
    <m/>
    <m/>
    <s v="Yes"/>
    <n v="3450000"/>
    <n v="1129630"/>
    <n v="0"/>
    <n v="0"/>
    <n v="0"/>
    <s v=""/>
    <m/>
    <s v=""/>
    <s v=""/>
    <s v=""/>
    <s v=""/>
    <s v=""/>
    <s v=""/>
    <s v=""/>
    <m/>
    <m/>
    <m/>
    <m/>
    <n v="0"/>
    <s v=""/>
    <m/>
    <m/>
    <m/>
    <m/>
    <m/>
    <n v="0"/>
    <s v=""/>
    <s v=""/>
    <n v="0"/>
    <n v="2973462"/>
    <n v="892038.6"/>
    <n v="4579630"/>
    <n v="5.1338921880734762"/>
    <n v="3.8504191410551067"/>
    <n v="2.200239509174347"/>
    <n v="1.5401676564220428"/>
    <n v="0"/>
    <n v="4579630"/>
    <n v="0"/>
    <n v="1129630"/>
    <n v="0"/>
  </r>
  <r>
    <s v="JOR"/>
    <x v="66"/>
    <x v="4"/>
    <x v="3"/>
    <s v="SFC"/>
    <m/>
    <s v="No"/>
    <s v="No"/>
    <s v="No"/>
    <s v="Yes"/>
    <s v="No"/>
    <s v="Yes"/>
    <s v="No"/>
    <s v="No"/>
    <s v="No"/>
    <s v="N/A"/>
    <m/>
    <m/>
    <n v="1617913383.0481031"/>
    <s v="IDA"/>
    <s v="Approved"/>
    <n v="63800000"/>
    <n v="50000000"/>
    <n v="13800000"/>
    <n v="60300000"/>
    <n v="1300000"/>
    <n v="2300000"/>
    <m/>
    <m/>
    <s v=""/>
    <s v=""/>
    <s v=""/>
    <s v=""/>
    <s v=""/>
    <m/>
    <m/>
    <m/>
    <s v="Yes"/>
    <m/>
    <m/>
    <m/>
    <m/>
    <s v=""/>
    <s v=""/>
    <s v=""/>
    <m/>
    <m/>
    <m/>
    <m/>
    <n v="2979126"/>
    <m/>
    <n v="1423400"/>
    <n v="0"/>
    <n v="0"/>
    <s v=""/>
    <m/>
    <s v=""/>
    <s v=""/>
    <s v=""/>
    <s v=""/>
    <s v=""/>
    <s v=""/>
    <s v=""/>
    <m/>
    <m/>
    <m/>
    <m/>
    <n v="0"/>
    <s v=""/>
    <m/>
    <m/>
    <m/>
    <m/>
    <m/>
    <n v="0"/>
    <s v=""/>
    <s v=""/>
    <n v="0"/>
    <n v="10269022"/>
    <n v="3080706.6"/>
    <n v="5702526"/>
    <n v="1.8510448219898643"/>
    <n v="1.3882836164923982"/>
    <n v="0.79330492370994188"/>
    <n v="0.55531344659695925"/>
    <n v="1300000"/>
    <n v="2979126"/>
    <n v="0"/>
    <n v="1423400"/>
    <n v="0"/>
  </r>
  <r>
    <s v="KAZ"/>
    <x v="67"/>
    <x v="3"/>
    <x v="3"/>
    <s v="SFC"/>
    <m/>
    <s v="No"/>
    <s v="No"/>
    <s v="No"/>
    <s v="Yes"/>
    <s v="No"/>
    <s v="Yes"/>
    <s v="No"/>
    <s v="No"/>
    <s v="No"/>
    <m/>
    <m/>
    <m/>
    <n v="3074419112.4562683"/>
    <s v="IDA"/>
    <s v=""/>
    <s v=""/>
    <s v=""/>
    <s v=""/>
    <s v=""/>
    <s v=""/>
    <s v=""/>
    <m/>
    <m/>
    <s v=""/>
    <s v=""/>
    <s v=""/>
    <s v=""/>
    <s v=""/>
    <s v="Yes"/>
    <m/>
    <m/>
    <s v="Yes"/>
    <m/>
    <m/>
    <m/>
    <m/>
    <s v=""/>
    <s v=""/>
    <s v=""/>
    <m/>
    <m/>
    <m/>
    <m/>
    <n v="2450000"/>
    <m/>
    <n v="50000"/>
    <n v="0"/>
    <n v="0"/>
    <s v=""/>
    <m/>
    <s v=""/>
    <s v=""/>
    <s v=""/>
    <s v=""/>
    <s v=""/>
    <s v=""/>
    <s v=""/>
    <m/>
    <m/>
    <m/>
    <m/>
    <n v="0"/>
    <s v=""/>
    <m/>
    <m/>
    <m/>
    <m/>
    <m/>
    <n v="700000"/>
    <s v=""/>
    <s v=""/>
    <n v="0"/>
    <n v="18994958"/>
    <n v="5698487.3999999994"/>
    <n v="2500000"/>
    <n v="0.43871291178076488"/>
    <n v="0.3290346838355736"/>
    <n v="0.18801981933461351"/>
    <n v="0.13161387353422946"/>
    <n v="0"/>
    <n v="2450000"/>
    <n v="0"/>
    <n v="750000"/>
    <n v="0"/>
  </r>
  <r>
    <s v="KEN"/>
    <x v="68"/>
    <x v="5"/>
    <x v="4"/>
    <s v="AMC"/>
    <m/>
    <s v="No"/>
    <s v="No"/>
    <s v="No"/>
    <s v="Yes"/>
    <s v="No"/>
    <s v="Yes"/>
    <s v="Yes"/>
    <s v="Yes"/>
    <s v="Yes"/>
    <s v="High"/>
    <m/>
    <m/>
    <n v="1914014279.8929913"/>
    <s v="IDA"/>
    <s v="Approved"/>
    <n v="130000000"/>
    <n v="130000000"/>
    <n v="0"/>
    <n v="108400000"/>
    <n v="18700000"/>
    <n v="3000000"/>
    <m/>
    <m/>
    <s v=""/>
    <s v=""/>
    <s v=""/>
    <s v=""/>
    <s v=""/>
    <s v="Yes"/>
    <m/>
    <m/>
    <s v="Yes"/>
    <m/>
    <m/>
    <m/>
    <m/>
    <s v=""/>
    <s v=""/>
    <s v=""/>
    <m/>
    <m/>
    <m/>
    <s v="Yes"/>
    <n v="3850000"/>
    <n v="1337969"/>
    <n v="500000"/>
    <n v="279000"/>
    <n v="196345"/>
    <s v=""/>
    <m/>
    <s v="Yes"/>
    <n v="1181227"/>
    <s v="GAVI"/>
    <s v="Disbursed"/>
    <n v="3006517"/>
    <s v="Disbursed"/>
    <s v=""/>
    <m/>
    <m/>
    <m/>
    <n v="2399110"/>
    <n v="1015000"/>
    <n v="2702000"/>
    <m/>
    <m/>
    <m/>
    <m/>
    <m/>
    <n v="0"/>
    <s v=""/>
    <n v="2306517"/>
    <n v="2306517"/>
    <n v="54985702"/>
    <n v="16495710.6"/>
    <n v="35167168"/>
    <n v="2.1318977310380314"/>
    <n v="1.5989232982785233"/>
    <n v="0.91367045615915621"/>
    <n v="0.63956931931140937"/>
    <n v="18700000"/>
    <n v="5187969"/>
    <n v="5101110"/>
    <n v="6543596"/>
    <n v="5678089"/>
  </r>
  <r>
    <s v="KIR"/>
    <x v="69"/>
    <x v="8"/>
    <x v="4"/>
    <s v="AMC"/>
    <m/>
    <s v="No"/>
    <s v="No"/>
    <s v="Yes"/>
    <s v="Yes"/>
    <s v="No"/>
    <s v="Yes"/>
    <s v="No"/>
    <s v="Yes"/>
    <s v="No"/>
    <s v="High"/>
    <m/>
    <m/>
    <n v="17422005.762907442"/>
    <s v="Blend"/>
    <s v=""/>
    <s v=""/>
    <s v=""/>
    <s v=""/>
    <s v=""/>
    <s v=""/>
    <s v=""/>
    <m/>
    <m/>
    <s v=""/>
    <s v=""/>
    <s v=""/>
    <s v=""/>
    <s v=""/>
    <m/>
    <m/>
    <m/>
    <m/>
    <m/>
    <m/>
    <m/>
    <m/>
    <s v=""/>
    <s v=""/>
    <s v=""/>
    <m/>
    <m/>
    <m/>
    <m/>
    <s v=""/>
    <m/>
    <n v="0"/>
    <n v="46450"/>
    <n v="0"/>
    <n v="0"/>
    <n v="4750"/>
    <s v=""/>
    <s v=""/>
    <s v="UNICEF"/>
    <s v=""/>
    <s v=""/>
    <s v=""/>
    <s v=""/>
    <m/>
    <m/>
    <m/>
    <m/>
    <s v=""/>
    <n v="99000"/>
    <m/>
    <m/>
    <m/>
    <m/>
    <m/>
    <n v="0"/>
    <n v="0"/>
    <s v=""/>
    <n v="0"/>
    <n v="121388"/>
    <n v="36416.400000000001"/>
    <n v="150200"/>
    <n v="4.1245153282586964"/>
    <n v="3.0933864961940221"/>
    <n v="1.7676494263965845"/>
    <n v="1.2373545984776091"/>
    <n v="0"/>
    <n v="4750"/>
    <n v="99000"/>
    <n v="4750"/>
    <n v="46450"/>
  </r>
  <r>
    <s v="PRK"/>
    <x v="70"/>
    <x v="8"/>
    <x v="2"/>
    <s v="AMC"/>
    <m/>
    <s v="No"/>
    <s v="No"/>
    <s v="No"/>
    <s v="No"/>
    <s v="No"/>
    <s v="Yes"/>
    <s v="No"/>
    <s v="No"/>
    <s v="No"/>
    <s v="N/A"/>
    <m/>
    <m/>
    <s v=""/>
    <m/>
    <s v=""/>
    <s v=""/>
    <s v=""/>
    <s v=""/>
    <s v=""/>
    <s v=""/>
    <s v=""/>
    <m/>
    <m/>
    <s v=""/>
    <s v=""/>
    <s v=""/>
    <s v=""/>
    <s v=""/>
    <m/>
    <m/>
    <m/>
    <m/>
    <m/>
    <m/>
    <m/>
    <m/>
    <s v=""/>
    <s v=""/>
    <s v=""/>
    <m/>
    <m/>
    <m/>
    <m/>
    <s v=""/>
    <m/>
    <n v="0"/>
    <n v="0"/>
    <n v="0"/>
    <s v=""/>
    <m/>
    <s v="Yes"/>
    <s v=" $-   "/>
    <s v="GAVI"/>
    <s v=""/>
    <s v=""/>
    <s v=""/>
    <s v=""/>
    <m/>
    <m/>
    <m/>
    <m/>
    <n v="0"/>
    <s v=""/>
    <m/>
    <m/>
    <m/>
    <m/>
    <m/>
    <n v="0"/>
    <s v=""/>
    <s v=""/>
    <n v="0"/>
    <n v="25887045"/>
    <n v="7766113.5"/>
    <n v="0"/>
    <n v="0"/>
    <n v="0"/>
    <n v="0"/>
    <n v="0"/>
    <n v="0"/>
    <n v="0"/>
    <n v="0"/>
    <n v="0"/>
    <n v="0"/>
  </r>
  <r>
    <s v="XKX"/>
    <x v="71"/>
    <x v="3"/>
    <x v="3"/>
    <s v="AMC"/>
    <m/>
    <s v="No"/>
    <s v="No"/>
    <s v="No"/>
    <s v="Yes"/>
    <s v="No"/>
    <s v="Yes"/>
    <s v="No"/>
    <s v="Yes"/>
    <s v="No"/>
    <s v="…"/>
    <s v="Yes"/>
    <m/>
    <s v=""/>
    <s v="IDA"/>
    <s v="Approved"/>
    <n v="18200000"/>
    <n v="18200000"/>
    <n v="0"/>
    <n v="2500000"/>
    <n v="2000000"/>
    <n v="13700000"/>
    <m/>
    <m/>
    <s v=""/>
    <s v=""/>
    <s v=""/>
    <s v=""/>
    <s v=""/>
    <m/>
    <m/>
    <m/>
    <m/>
    <m/>
    <m/>
    <m/>
    <m/>
    <s v=""/>
    <s v=""/>
    <s v=""/>
    <m/>
    <m/>
    <m/>
    <m/>
    <n v="2500000"/>
    <m/>
    <n v="619000"/>
    <n v="101700"/>
    <n v="27000"/>
    <s v=""/>
    <m/>
    <s v="Yes"/>
    <n v="60336"/>
    <s v="UNICEF"/>
    <s v="Disbursed"/>
    <n v="230000"/>
    <s v="Disbursed"/>
    <n v="230000"/>
    <m/>
    <m/>
    <m/>
    <m/>
    <n v="0"/>
    <s v=""/>
    <m/>
    <m/>
    <m/>
    <m/>
    <m/>
    <n v="0"/>
    <s v=""/>
    <n v="0"/>
    <n v="230000"/>
    <n v="1794000"/>
    <n v="538200"/>
    <n v="5768036"/>
    <n v="10.717272389446302"/>
    <n v="8.0379542920847271"/>
    <n v="4.59311673833413"/>
    <n v="3.2151817168338908"/>
    <n v="2000000"/>
    <n v="2500000"/>
    <n v="0"/>
    <n v="619000"/>
    <n v="879036"/>
  </r>
  <r>
    <s v="KGZ"/>
    <x v="72"/>
    <x v="3"/>
    <x v="4"/>
    <s v="AMC"/>
    <n v="2"/>
    <s v="No"/>
    <s v="No"/>
    <s v="No"/>
    <s v="Yes"/>
    <s v="No"/>
    <s v="Yes"/>
    <s v="Yes"/>
    <s v="Yes"/>
    <s v="No"/>
    <s v="Moderate"/>
    <s v="Yes"/>
    <m/>
    <n v="231506834.84347546"/>
    <s v="IDA"/>
    <s v="Approved"/>
    <n v="20000000"/>
    <n v="10000000"/>
    <n v="10000000"/>
    <n v="16500000"/>
    <n v="3000000"/>
    <n v="500000"/>
    <m/>
    <m/>
    <s v=""/>
    <s v=""/>
    <s v=""/>
    <s v=""/>
    <s v=""/>
    <s v="Yes"/>
    <s v="Requested"/>
    <n v="23000000"/>
    <s v="Yes"/>
    <m/>
    <m/>
    <m/>
    <m/>
    <s v=""/>
    <s v=""/>
    <s v=""/>
    <m/>
    <m/>
    <m/>
    <m/>
    <n v="3000000"/>
    <m/>
    <n v="1220000"/>
    <n v="80800"/>
    <n v="161891"/>
    <s v=""/>
    <m/>
    <s v="Yes"/>
    <n v="211426"/>
    <s v="GAVI"/>
    <s v="Disbursed"/>
    <n v="978461"/>
    <s v=""/>
    <s v=""/>
    <m/>
    <m/>
    <m/>
    <m/>
    <n v="276200"/>
    <s v=""/>
    <m/>
    <m/>
    <m/>
    <m/>
    <m/>
    <n v="0"/>
    <s v=""/>
    <n v="438418"/>
    <n v="438418"/>
    <n v="6628347"/>
    <n v="1988504.0999999999"/>
    <n v="8928778"/>
    <n v="4.4901984361007861"/>
    <n v="3.3676488270755889"/>
    <n v="1.9243707583289082"/>
    <n v="1.3470595308302356"/>
    <n v="3000000"/>
    <n v="3000000"/>
    <n v="0"/>
    <n v="1658418"/>
    <n v="1708778"/>
  </r>
  <r>
    <s v="LAO"/>
    <x v="73"/>
    <x v="8"/>
    <x v="4"/>
    <s v="AMC"/>
    <m/>
    <s v="No"/>
    <s v="No"/>
    <s v="No"/>
    <s v="Yes"/>
    <s v="No"/>
    <s v="Yes"/>
    <s v="Yes"/>
    <s v="Yes"/>
    <s v="No"/>
    <s v="High"/>
    <s v="Yes"/>
    <m/>
    <n v="156059428.62944782"/>
    <s v="IDA"/>
    <s v="Approved"/>
    <n v="15000000"/>
    <n v="10000000"/>
    <n v="5000000"/>
    <n v="9000000"/>
    <n v="5600000"/>
    <n v="400000"/>
    <m/>
    <m/>
    <s v=""/>
    <s v=""/>
    <s v=""/>
    <s v=""/>
    <s v=""/>
    <m/>
    <m/>
    <m/>
    <m/>
    <m/>
    <m/>
    <m/>
    <m/>
    <s v=""/>
    <s v=""/>
    <s v=""/>
    <s v="Yes"/>
    <n v="66000"/>
    <m/>
    <m/>
    <n v="2900000"/>
    <n v="1077479"/>
    <n v="850000"/>
    <n v="66358.333333333328"/>
    <n v="177570"/>
    <n v="2956038"/>
    <m/>
    <s v="Yes"/>
    <n v="134999"/>
    <s v="GAVI"/>
    <s v="Disbursed"/>
    <n v="1112744"/>
    <s v=""/>
    <s v=""/>
    <m/>
    <m/>
    <m/>
    <m/>
    <n v="0"/>
    <n v="248000"/>
    <m/>
    <m/>
    <m/>
    <m/>
    <m/>
    <n v="1900000"/>
    <n v="2661863"/>
    <n v="48600"/>
    <n v="48600"/>
    <n v="7379358"/>
    <n v="2213807.4"/>
    <n v="15189188.333333334"/>
    <n v="6.8611155303452929"/>
    <n v="5.1458366477589692"/>
    <n v="2.9404780844336971"/>
    <n v="2.058334659103588"/>
    <n v="5600000"/>
    <n v="6933517"/>
    <n v="248000"/>
    <n v="6537942"/>
    <n v="1557671.3333333333"/>
  </r>
  <r>
    <s v="LBN"/>
    <x v="74"/>
    <x v="4"/>
    <x v="3"/>
    <s v="SFC"/>
    <m/>
    <s v="No"/>
    <s v="No"/>
    <s v="No"/>
    <s v="Yes"/>
    <s v="No"/>
    <s v="Yes"/>
    <s v="No"/>
    <s v="No"/>
    <s v="No"/>
    <s v="N/A"/>
    <m/>
    <m/>
    <n v="2355391507.1635861"/>
    <s v="IDA"/>
    <s v="Approved"/>
    <n v="37000000"/>
    <n v="34000000"/>
    <n v="3000000"/>
    <n v="25000000"/>
    <n v="9000000"/>
    <n v="0"/>
    <m/>
    <m/>
    <s v=""/>
    <s v=""/>
    <s v=""/>
    <s v=""/>
    <s v=""/>
    <m/>
    <m/>
    <m/>
    <m/>
    <m/>
    <m/>
    <m/>
    <m/>
    <s v=""/>
    <s v=""/>
    <s v=""/>
    <m/>
    <m/>
    <m/>
    <m/>
    <n v="3150000"/>
    <m/>
    <n v="8535626"/>
    <n v="0"/>
    <n v="0"/>
    <s v=""/>
    <m/>
    <s v=""/>
    <s v=""/>
    <s v=""/>
    <s v=""/>
    <s v=""/>
    <s v=""/>
    <s v=""/>
    <n v="394444"/>
    <m/>
    <m/>
    <n v="14058"/>
    <n v="0"/>
    <s v=""/>
    <m/>
    <m/>
    <m/>
    <m/>
    <m/>
    <n v="0"/>
    <s v=""/>
    <s v=""/>
    <n v="0"/>
    <n v="6769151"/>
    <n v="2030745.2999999998"/>
    <n v="21094128"/>
    <n v="10.387382405858579"/>
    <n v="7.7905368043939323"/>
    <n v="4.4517353167965341"/>
    <n v="3.1162147217575735"/>
    <n v="9000000"/>
    <n v="3544444"/>
    <n v="14058"/>
    <n v="8944128"/>
    <n v="0"/>
  </r>
  <r>
    <s v="LSO"/>
    <x v="75"/>
    <x v="5"/>
    <x v="4"/>
    <s v="AMC"/>
    <m/>
    <s v="Yes"/>
    <s v="Yes"/>
    <s v="No"/>
    <s v="No"/>
    <s v="Yes"/>
    <s v="Yes"/>
    <s v="Yes"/>
    <s v="Yes"/>
    <s v="Yes"/>
    <s v="Moderate"/>
    <s v="Yes"/>
    <m/>
    <n v="152760919.7684873"/>
    <s v="IBRD"/>
    <s v="Approved"/>
    <n v="25500000"/>
    <n v="25500000"/>
    <n v="0"/>
    <n v="14000000"/>
    <n v="5500000"/>
    <n v="6000000"/>
    <m/>
    <m/>
    <s v=""/>
    <s v=""/>
    <s v=""/>
    <s v=""/>
    <s v=""/>
    <m/>
    <m/>
    <m/>
    <m/>
    <m/>
    <m/>
    <m/>
    <m/>
    <s v=""/>
    <s v=""/>
    <s v=""/>
    <m/>
    <m/>
    <m/>
    <m/>
    <n v="1860000"/>
    <m/>
    <n v="720000"/>
    <n v="119799.99999999999"/>
    <n v="117165"/>
    <s v=""/>
    <m/>
    <s v="Yes"/>
    <n v="86879"/>
    <s v="GAVI"/>
    <s v="Disbursed"/>
    <n v="390226"/>
    <s v=""/>
    <s v=""/>
    <m/>
    <m/>
    <m/>
    <m/>
    <n v="45600"/>
    <s v=""/>
    <m/>
    <n v="679123"/>
    <m/>
    <m/>
    <m/>
    <n v="0"/>
    <s v=""/>
    <n v="390226"/>
    <n v="390226"/>
    <n v="2159067"/>
    <n v="647720.1"/>
    <n v="9518793"/>
    <n v="14.695843158178974"/>
    <n v="11.021882368634229"/>
    <n v="6.2982184963624173"/>
    <n v="4.4087529474536922"/>
    <n v="5500000"/>
    <n v="2539123"/>
    <n v="0"/>
    <n v="1789349"/>
    <n v="759670"/>
  </r>
  <r>
    <s v="LBR"/>
    <x v="76"/>
    <x v="7"/>
    <x v="2"/>
    <s v="AMC"/>
    <m/>
    <s v="Yes"/>
    <s v="Yes"/>
    <s v="No"/>
    <s v="No"/>
    <s v="Yes"/>
    <s v="Yes"/>
    <s v="Yes"/>
    <s v="Yes"/>
    <s v="No"/>
    <s v="High"/>
    <m/>
    <m/>
    <n v="55072006.864440605"/>
    <s v="IBRD"/>
    <s v="Approved"/>
    <n v="8000000"/>
    <n v="0"/>
    <n v="8000000"/>
    <n v="4500000"/>
    <n v="1700000"/>
    <n v="1800000"/>
    <m/>
    <m/>
    <s v=""/>
    <s v=""/>
    <s v=""/>
    <s v=""/>
    <s v=""/>
    <m/>
    <m/>
    <m/>
    <m/>
    <m/>
    <m/>
    <m/>
    <m/>
    <s v=""/>
    <s v=""/>
    <s v=""/>
    <m/>
    <m/>
    <m/>
    <m/>
    <n v="1900000"/>
    <n v="897224"/>
    <n v="586872"/>
    <n v="127347.22222222222"/>
    <n v="147123.23000000001"/>
    <s v=""/>
    <m/>
    <s v="Yes"/>
    <n v="162026"/>
    <s v="GAVI"/>
    <s v="Disbursed"/>
    <n v="977644"/>
    <s v=""/>
    <s v=""/>
    <m/>
    <m/>
    <m/>
    <m/>
    <n v="220600"/>
    <s v=""/>
    <m/>
    <m/>
    <m/>
    <m/>
    <m/>
    <n v="500000"/>
    <s v=""/>
    <n v="0"/>
    <n v="0"/>
    <n v="5180208"/>
    <n v="1554062.4"/>
    <n v="6718836.4522222225"/>
    <n v="4.3234019767946403"/>
    <n v="3.2425514825959798"/>
    <n v="1.8528865614834173"/>
    <n v="1.297020593038392"/>
    <n v="1700000"/>
    <n v="2797224"/>
    <n v="0"/>
    <n v="1984096"/>
    <n v="1634740.4522222222"/>
  </r>
  <r>
    <s v="LBY"/>
    <x v="77"/>
    <x v="4"/>
    <x v="3"/>
    <s v="SFC"/>
    <m/>
    <s v="No"/>
    <s v="No"/>
    <s v="No"/>
    <s v="Yes"/>
    <s v="No"/>
    <s v="Yes"/>
    <s v="No"/>
    <s v="No"/>
    <s v="No"/>
    <s v="N/A"/>
    <m/>
    <m/>
    <s v=""/>
    <s v="IDA"/>
    <s v=""/>
    <s v=""/>
    <s v=""/>
    <s v=""/>
    <s v=""/>
    <s v=""/>
    <s v=""/>
    <m/>
    <m/>
    <s v=""/>
    <s v=""/>
    <s v=""/>
    <s v=""/>
    <s v=""/>
    <m/>
    <m/>
    <m/>
    <m/>
    <m/>
    <m/>
    <m/>
    <m/>
    <s v=""/>
    <s v=""/>
    <s v=""/>
    <m/>
    <m/>
    <m/>
    <m/>
    <n v="1716264"/>
    <n v="833333"/>
    <n v="1000000"/>
    <n v="0"/>
    <n v="0"/>
    <s v=""/>
    <m/>
    <s v=""/>
    <s v=""/>
    <s v=""/>
    <s v=""/>
    <s v=""/>
    <s v=""/>
    <s v=""/>
    <m/>
    <m/>
    <m/>
    <m/>
    <n v="0"/>
    <s v=""/>
    <m/>
    <n v="1789976"/>
    <m/>
    <m/>
    <m/>
    <n v="1716264"/>
    <s v=""/>
    <s v=""/>
    <n v="0"/>
    <n v="6958538"/>
    <n v="2087561.4"/>
    <n v="5339573"/>
    <n v="2.5578040483024838"/>
    <n v="1.9183530362268624"/>
    <n v="1.0962017349867788"/>
    <n v="0.76734121449074499"/>
    <n v="0"/>
    <n v="4339573"/>
    <n v="0"/>
    <n v="5339573"/>
    <n v="0"/>
  </r>
  <r>
    <s v="MDG"/>
    <x v="78"/>
    <x v="5"/>
    <x v="2"/>
    <s v="AMC"/>
    <n v="2"/>
    <s v="No"/>
    <s v="No"/>
    <s v="Yes"/>
    <s v="Yes"/>
    <s v="No"/>
    <s v="Yes"/>
    <s v="No"/>
    <s v="Yes"/>
    <s v="Yes"/>
    <s v="Moderate"/>
    <s v="Yes"/>
    <m/>
    <n v="206914157.05429548"/>
    <s v="Blend"/>
    <s v="Approved"/>
    <n v="141000000"/>
    <n v="0"/>
    <n v="141000000"/>
    <n v="80000000"/>
    <n v="58500000"/>
    <n v="2500000"/>
    <m/>
    <m/>
    <s v=""/>
    <s v=""/>
    <s v=""/>
    <s v=""/>
    <s v=""/>
    <m/>
    <m/>
    <m/>
    <s v="Yes"/>
    <m/>
    <m/>
    <m/>
    <m/>
    <s v=""/>
    <s v=""/>
    <s v=""/>
    <s v="Yes"/>
    <n v="533106"/>
    <m/>
    <m/>
    <n v="2650000"/>
    <m/>
    <n v="1100000"/>
    <n v="504961.99999999994"/>
    <n v="487213.8"/>
    <s v=""/>
    <m/>
    <s v="Yes"/>
    <n v="694958"/>
    <s v="GAVI"/>
    <s v="Disbursed"/>
    <n v="4064028"/>
    <s v=""/>
    <s v=""/>
    <m/>
    <m/>
    <m/>
    <m/>
    <n v="688600"/>
    <s v=""/>
    <m/>
    <n v="1064350"/>
    <m/>
    <m/>
    <m/>
    <n v="0"/>
    <s v=""/>
    <n v="0"/>
    <n v="0"/>
    <n v="28427333"/>
    <n v="8528199.9000000004"/>
    <n v="70287217.799999997"/>
    <n v="8.2417413550543053"/>
    <n v="6.181306016290729"/>
    <n v="3.5321748664518458"/>
    <n v="2.4725224065162918"/>
    <n v="58500000"/>
    <n v="3714350"/>
    <n v="0"/>
    <n v="2164350"/>
    <n v="6972867.7999999998"/>
  </r>
  <r>
    <s v="MWI"/>
    <x v="79"/>
    <x v="5"/>
    <x v="2"/>
    <s v="AMC"/>
    <n v="2"/>
    <s v="Yes"/>
    <s v="Yes"/>
    <s v="No"/>
    <s v="No"/>
    <s v="Yes"/>
    <s v="Yes"/>
    <s v="No"/>
    <s v="Yes"/>
    <s v="Yes"/>
    <s v="High"/>
    <s v="Yes"/>
    <m/>
    <n v="185999915.02066413"/>
    <s v="IBRD"/>
    <s v="Approved"/>
    <n v="30000000"/>
    <n v="30000000"/>
    <n v="0"/>
    <n v="21300000"/>
    <n v="4700000"/>
    <n v="4000000"/>
    <m/>
    <m/>
    <s v=""/>
    <s v=""/>
    <s v=""/>
    <s v=""/>
    <s v=""/>
    <m/>
    <m/>
    <m/>
    <m/>
    <m/>
    <m/>
    <m/>
    <m/>
    <s v=""/>
    <s v=""/>
    <s v=""/>
    <m/>
    <m/>
    <m/>
    <s v="Yes"/>
    <s v=""/>
    <n v="621248"/>
    <n v="1066214"/>
    <n v="135565"/>
    <n v="121579"/>
    <s v=""/>
    <m/>
    <s v="Yes"/>
    <n v="386999"/>
    <s v="GAVI"/>
    <s v="Disbursed"/>
    <n v="1451414"/>
    <s v="Disbursed"/>
    <s v=""/>
    <m/>
    <m/>
    <m/>
    <n v="665180"/>
    <n v="686179"/>
    <s v=""/>
    <m/>
    <m/>
    <m/>
    <m/>
    <m/>
    <n v="0"/>
    <s v=""/>
    <n v="1131560"/>
    <n v="1131560"/>
    <n v="19647681"/>
    <n v="5894304.2999999998"/>
    <n v="9834378"/>
    <n v="1.6684544094542253"/>
    <n v="1.2513408070906689"/>
    <n v="0.71505188976609657"/>
    <n v="0.50053632283626759"/>
    <n v="4700000"/>
    <n v="621248"/>
    <n v="665180"/>
    <n v="3484202"/>
    <n v="2781736"/>
  </r>
  <r>
    <s v="MYS"/>
    <x v="80"/>
    <x v="8"/>
    <x v="3"/>
    <s v="SFC"/>
    <m/>
    <s v="No"/>
    <s v="No"/>
    <s v="No"/>
    <s v="Yes"/>
    <s v="No"/>
    <s v="Yes"/>
    <s v="No"/>
    <s v="No"/>
    <s v="No"/>
    <m/>
    <m/>
    <m/>
    <n v="6893755763.2501726"/>
    <s v="IDA"/>
    <s v=""/>
    <s v=""/>
    <s v=""/>
    <s v=""/>
    <s v=""/>
    <s v=""/>
    <s v=""/>
    <m/>
    <m/>
    <s v=""/>
    <s v=""/>
    <s v=""/>
    <s v=""/>
    <s v=""/>
    <m/>
    <m/>
    <m/>
    <s v="Yes"/>
    <m/>
    <m/>
    <m/>
    <m/>
    <s v=""/>
    <s v=""/>
    <s v=""/>
    <m/>
    <m/>
    <m/>
    <m/>
    <n v="218600"/>
    <n v="1969467"/>
    <s v=""/>
    <n v="0"/>
    <n v="0"/>
    <n v="139957"/>
    <m/>
    <s v=""/>
    <s v=""/>
    <s v=""/>
    <s v=""/>
    <s v=""/>
    <s v=""/>
    <s v=""/>
    <m/>
    <m/>
    <m/>
    <n v="272222"/>
    <n v="0"/>
    <s v=""/>
    <m/>
    <m/>
    <m/>
    <m/>
    <m/>
    <n v="0"/>
    <n v="128581"/>
    <s v=""/>
    <n v="0"/>
    <n v="32776195"/>
    <n v="9832858.5"/>
    <n v="2600246"/>
    <n v="0.26444456614523643"/>
    <n v="0.19833342460892731"/>
    <n v="0.11333338549081561"/>
    <n v="7.9333369843570922E-2"/>
    <n v="0"/>
    <n v="2328024"/>
    <n v="272222"/>
    <n v="2370270"/>
    <n v="0"/>
  </r>
  <r>
    <s v="MDV"/>
    <x v="81"/>
    <x v="2"/>
    <x v="3"/>
    <s v="AMC"/>
    <m/>
    <s v="Yes"/>
    <s v="Yes"/>
    <s v="No"/>
    <s v="No"/>
    <s v="Yes"/>
    <s v="Yes"/>
    <s v="No"/>
    <s v="Yes"/>
    <s v="Yes"/>
    <s v="High"/>
    <m/>
    <m/>
    <n v="354560231.58276606"/>
    <s v="IBRD"/>
    <s v=""/>
    <s v=""/>
    <s v=""/>
    <s v=""/>
    <s v=""/>
    <s v=""/>
    <s v=""/>
    <m/>
    <s v="Under Preparation"/>
    <n v="0"/>
    <s v=""/>
    <s v=""/>
    <s v=""/>
    <s v=""/>
    <m/>
    <s v="Requested"/>
    <n v="8000000"/>
    <m/>
    <m/>
    <m/>
    <m/>
    <m/>
    <s v=""/>
    <s v=""/>
    <s v=""/>
    <m/>
    <m/>
    <m/>
    <m/>
    <n v="1000000"/>
    <n v="956222"/>
    <n v="77341"/>
    <n v="115708.33333333333"/>
    <n v="490000.00000000006"/>
    <s v=""/>
    <m/>
    <s v="Yes"/>
    <n v="60026"/>
    <s v="UNICEF"/>
    <s v="Disbursed"/>
    <n v="230000"/>
    <s v="Disbursed"/>
    <n v="230000"/>
    <m/>
    <m/>
    <m/>
    <m/>
    <n v="0"/>
    <s v=""/>
    <m/>
    <m/>
    <m/>
    <m/>
    <m/>
    <n v="0"/>
    <s v=""/>
    <n v="0"/>
    <n v="230000"/>
    <n v="543620"/>
    <n v="163086"/>
    <n v="3159297.3333333335"/>
    <n v="19.37197143429438"/>
    <n v="14.528978575720785"/>
    <n v="8.3022734718404489"/>
    <n v="5.8115914302883143"/>
    <n v="0"/>
    <n v="1956222"/>
    <n v="0"/>
    <n v="1033563"/>
    <n v="1355734.3333333335"/>
  </r>
  <r>
    <s v="MLI"/>
    <x v="82"/>
    <x v="7"/>
    <x v="2"/>
    <s v="AMC"/>
    <n v="1"/>
    <s v="No"/>
    <s v="No"/>
    <s v="Yes"/>
    <s v="Yes"/>
    <s v="No"/>
    <s v="Yes"/>
    <s v="No"/>
    <s v="Yes"/>
    <s v="Yes"/>
    <s v="Moderate"/>
    <m/>
    <m/>
    <n v="188169167.56540567"/>
    <s v="Blend"/>
    <s v="Approved"/>
    <n v="52500000"/>
    <n v="26300000"/>
    <n v="26300000"/>
    <n v="44500000"/>
    <n v="8000000"/>
    <n v="0"/>
    <m/>
    <m/>
    <s v=""/>
    <s v=""/>
    <s v=""/>
    <s v=""/>
    <s v=""/>
    <m/>
    <m/>
    <m/>
    <m/>
    <m/>
    <m/>
    <m/>
    <m/>
    <s v=""/>
    <s v=""/>
    <s v=""/>
    <s v="Yes"/>
    <n v="700000"/>
    <m/>
    <s v="Yes"/>
    <n v="3100000"/>
    <n v="925390"/>
    <n v="1802789"/>
    <n v="396300"/>
    <n v="487920"/>
    <s v=""/>
    <m/>
    <s v="Yes"/>
    <n v="530000"/>
    <s v="GAVI"/>
    <s v="Disbursed"/>
    <n v="124207"/>
    <s v=""/>
    <s v=""/>
    <m/>
    <m/>
    <m/>
    <m/>
    <n v="1350000"/>
    <s v=""/>
    <m/>
    <n v="1110635"/>
    <m/>
    <m/>
    <m/>
    <n v="0"/>
    <s v=""/>
    <n v="3501223"/>
    <n v="3501223"/>
    <n v="20855724"/>
    <n v="6256717.2000000002"/>
    <n v="18527241"/>
    <n v="2.9611760301392556"/>
    <n v="2.2208820226044419"/>
    <n v="1.2690754414882526"/>
    <n v="0.88835280904177671"/>
    <n v="8000000"/>
    <n v="5136025"/>
    <n v="0"/>
    <n v="7340037"/>
    <n v="3588427"/>
  </r>
  <r>
    <s v="MHL"/>
    <x v="83"/>
    <x v="8"/>
    <x v="3"/>
    <s v="AMC"/>
    <m/>
    <s v="No"/>
    <s v="No"/>
    <s v="No"/>
    <s v="Yes"/>
    <s v="No"/>
    <s v="Yes"/>
    <s v="No"/>
    <s v="No"/>
    <s v="No"/>
    <m/>
    <m/>
    <m/>
    <n v="16312106.556340856"/>
    <s v="IDA"/>
    <s v=""/>
    <s v=""/>
    <s v=""/>
    <s v=""/>
    <s v=""/>
    <s v=""/>
    <s v=""/>
    <m/>
    <m/>
    <s v=""/>
    <s v=""/>
    <s v=""/>
    <s v=""/>
    <s v=""/>
    <m/>
    <m/>
    <m/>
    <s v="Yes"/>
    <m/>
    <m/>
    <m/>
    <m/>
    <s v=""/>
    <s v=""/>
    <s v=""/>
    <m/>
    <m/>
    <m/>
    <m/>
    <s v=""/>
    <m/>
    <s v=""/>
    <n v="63999.999999999993"/>
    <n v="65000"/>
    <s v=""/>
    <m/>
    <s v=""/>
    <s v=""/>
    <s v=""/>
    <s v=""/>
    <s v=""/>
    <s v=""/>
    <s v=""/>
    <m/>
    <m/>
    <m/>
    <m/>
    <s v=""/>
    <s v=""/>
    <m/>
    <m/>
    <m/>
    <m/>
    <m/>
    <n v="0"/>
    <s v=""/>
    <s v=""/>
    <n v="0"/>
    <n v="58413"/>
    <n v="17523.899999999998"/>
    <n v="129000"/>
    <n v="7.361375036378889"/>
    <n v="5.5210312772841661"/>
    <n v="3.1548750155909522"/>
    <n v="2.2084125109136665"/>
    <n v="0"/>
    <n v="0"/>
    <n v="0"/>
    <n v="0"/>
    <n v="129000"/>
  </r>
  <r>
    <s v="MRT"/>
    <x v="84"/>
    <x v="7"/>
    <x v="4"/>
    <s v="AMC"/>
    <n v="2"/>
    <s v="No"/>
    <s v="No"/>
    <s v="No"/>
    <s v="Yes"/>
    <s v="No"/>
    <s v="Yes"/>
    <s v="No"/>
    <s v="Yes"/>
    <s v="Yes"/>
    <s v="High"/>
    <m/>
    <m/>
    <n v="86083833.534053758"/>
    <s v="IDA"/>
    <s v="Approved"/>
    <n v="35000000"/>
    <n v="0"/>
    <n v="35000000"/>
    <n v="11200000"/>
    <n v="16399999.999999998"/>
    <n v="6900000"/>
    <m/>
    <m/>
    <s v=""/>
    <s v=""/>
    <s v=""/>
    <s v=""/>
    <s v=""/>
    <m/>
    <m/>
    <m/>
    <s v="Yes"/>
    <m/>
    <m/>
    <m/>
    <m/>
    <s v=""/>
    <s v=""/>
    <s v=""/>
    <m/>
    <m/>
    <m/>
    <s v="Yes"/>
    <n v="862839"/>
    <n v="826642"/>
    <n v="535076"/>
    <n v="135300"/>
    <n v="194913.52"/>
    <s v=""/>
    <m/>
    <s v="Yes"/>
    <n v="180361"/>
    <s v="GAVI"/>
    <s v="Disbursed"/>
    <n v="978364"/>
    <s v="Submitted"/>
    <s v=""/>
    <m/>
    <m/>
    <m/>
    <m/>
    <n v="175000"/>
    <s v=""/>
    <m/>
    <m/>
    <m/>
    <m/>
    <m/>
    <n v="862839"/>
    <s v=""/>
    <n v="0"/>
    <n v="0"/>
    <n v="4775110"/>
    <n v="1432533"/>
    <n v="20288495.52"/>
    <n v="14.162672357286009"/>
    <n v="10.622004267964508"/>
    <n v="6.0697167245511467"/>
    <n v="4.2488017071858026"/>
    <n v="16399999.999999998"/>
    <n v="1689481"/>
    <n v="0"/>
    <n v="2224557"/>
    <n v="1663938.52"/>
  </r>
  <r>
    <s v="MUS"/>
    <x v="85"/>
    <x v="5"/>
    <x v="3"/>
    <s v="SFC"/>
    <m/>
    <s v="Yes"/>
    <s v="Yes"/>
    <s v="No"/>
    <s v="No"/>
    <s v="Yes"/>
    <s v="Yes"/>
    <s v="No"/>
    <s v="No"/>
    <s v="No"/>
    <s v="N/A"/>
    <m/>
    <m/>
    <n v="357220835.93762809"/>
    <s v="IBRD"/>
    <s v=""/>
    <n v="0"/>
    <n v="0"/>
    <n v="0"/>
    <n v="0"/>
    <n v="0"/>
    <n v="0"/>
    <m/>
    <m/>
    <s v=""/>
    <s v=""/>
    <s v=""/>
    <s v=""/>
    <s v=""/>
    <m/>
    <m/>
    <m/>
    <m/>
    <m/>
    <m/>
    <m/>
    <m/>
    <s v=""/>
    <s v=""/>
    <s v=""/>
    <m/>
    <m/>
    <m/>
    <m/>
    <n v="250000"/>
    <m/>
    <s v=""/>
    <n v="0"/>
    <n v="0"/>
    <s v=""/>
    <m/>
    <s v=""/>
    <s v=""/>
    <s v=""/>
    <s v=""/>
    <s v=""/>
    <s v=""/>
    <s v=""/>
    <m/>
    <m/>
    <m/>
    <m/>
    <s v=""/>
    <s v=""/>
    <m/>
    <m/>
    <m/>
    <m/>
    <m/>
    <n v="0"/>
    <s v=""/>
    <s v=""/>
    <n v="0"/>
    <n v="1273428"/>
    <n v="382028.39999999997"/>
    <n v="250000"/>
    <n v="0.65440160993266472"/>
    <n v="0.49080120744949851"/>
    <n v="0.28045783282828485"/>
    <n v="0.1963204829797994"/>
    <n v="0"/>
    <n v="250000"/>
    <n v="0"/>
    <n v="0"/>
    <n v="0"/>
  </r>
  <r>
    <s v="MEX"/>
    <x v="86"/>
    <x v="6"/>
    <x v="3"/>
    <s v="SFC"/>
    <m/>
    <s v="Yes"/>
    <s v="Yes"/>
    <s v="No"/>
    <s v="No"/>
    <s v="Yes"/>
    <s v="Yes"/>
    <s v="No"/>
    <s v="No"/>
    <s v="No"/>
    <m/>
    <m/>
    <m/>
    <n v="32831598153.796387"/>
    <s v="IBRD"/>
    <s v=""/>
    <s v=""/>
    <s v=""/>
    <s v=""/>
    <s v=""/>
    <s v=""/>
    <s v=""/>
    <m/>
    <m/>
    <s v=""/>
    <s v=""/>
    <s v=""/>
    <s v=""/>
    <s v=""/>
    <s v="Yes"/>
    <m/>
    <m/>
    <m/>
    <m/>
    <m/>
    <s v="Yes"/>
    <m/>
    <s v=""/>
    <s v=""/>
    <s v=""/>
    <m/>
    <m/>
    <m/>
    <m/>
    <s v=""/>
    <m/>
    <n v="0"/>
    <n v="0"/>
    <n v="0"/>
    <s v=""/>
    <m/>
    <s v=""/>
    <s v=""/>
    <s v=""/>
    <s v=""/>
    <s v=""/>
    <s v=""/>
    <s v=""/>
    <m/>
    <m/>
    <m/>
    <m/>
    <n v="0"/>
    <s v=""/>
    <m/>
    <m/>
    <m/>
    <m/>
    <m/>
    <n v="0"/>
    <s v=""/>
    <s v=""/>
    <n v="0"/>
    <n v="130262220"/>
    <n v="39078666"/>
    <n v="0"/>
    <n v="0"/>
    <n v="0"/>
    <n v="0"/>
    <n v="0"/>
    <n v="0"/>
    <n v="0"/>
    <n v="0"/>
    <n v="0"/>
    <n v="0"/>
  </r>
  <r>
    <s v="FSM"/>
    <x v="87"/>
    <x v="8"/>
    <x v="4"/>
    <s v="AMC"/>
    <m/>
    <s v="No"/>
    <s v="No"/>
    <s v="No"/>
    <s v="Yes"/>
    <s v="No"/>
    <s v="Yes"/>
    <s v="No"/>
    <s v="Yes"/>
    <s v="No"/>
    <s v="High"/>
    <m/>
    <m/>
    <n v="12329056.093798399"/>
    <s v="IDA"/>
    <s v=""/>
    <s v=""/>
    <s v=""/>
    <s v=""/>
    <s v=""/>
    <s v=""/>
    <s v=""/>
    <s v="Yes"/>
    <m/>
    <s v=""/>
    <s v=""/>
    <s v=""/>
    <s v=""/>
    <s v=""/>
    <m/>
    <m/>
    <m/>
    <m/>
    <m/>
    <m/>
    <m/>
    <m/>
    <s v=""/>
    <s v=""/>
    <s v=""/>
    <m/>
    <m/>
    <m/>
    <m/>
    <s v=""/>
    <n v="136826"/>
    <n v="0"/>
    <n v="72000"/>
    <n v="180000"/>
    <s v=""/>
    <m/>
    <s v=""/>
    <s v=""/>
    <s v="UNICEF"/>
    <s v=""/>
    <s v=""/>
    <s v="Disbursed"/>
    <n v="230000"/>
    <m/>
    <m/>
    <m/>
    <m/>
    <s v=""/>
    <s v=""/>
    <n v="1730708"/>
    <m/>
    <m/>
    <m/>
    <m/>
    <n v="0"/>
    <s v=""/>
    <s v=""/>
    <n v="0"/>
    <n v="116255"/>
    <n v="34876.5"/>
    <n v="2349534"/>
    <n v="67.367253021375419"/>
    <n v="50.525439766031568"/>
    <n v="28.871679866303754"/>
    <n v="20.210175906412626"/>
    <n v="0"/>
    <n v="1867534"/>
    <n v="0"/>
    <n v="1867534"/>
    <n v="712000"/>
  </r>
  <r>
    <s v="MDA"/>
    <x v="88"/>
    <x v="3"/>
    <x v="3"/>
    <s v="AMC"/>
    <m/>
    <s v="Yes"/>
    <s v="Yes"/>
    <s v="No"/>
    <s v="No"/>
    <s v="Yes"/>
    <s v="Yes"/>
    <s v="No"/>
    <s v="Yes"/>
    <s v="No"/>
    <s v="Low"/>
    <m/>
    <m/>
    <n v="426639742.85328001"/>
    <s v="IBRD"/>
    <s v="Approved"/>
    <n v="30000000"/>
    <n v="30000000"/>
    <n v="0"/>
    <n v="20100000"/>
    <n v="9800000"/>
    <n v="0"/>
    <m/>
    <m/>
    <s v=""/>
    <s v=""/>
    <s v=""/>
    <s v=""/>
    <s v=""/>
    <m/>
    <m/>
    <m/>
    <m/>
    <m/>
    <m/>
    <m/>
    <m/>
    <s v=""/>
    <s v=""/>
    <s v=""/>
    <m/>
    <m/>
    <m/>
    <m/>
    <n v="1900000"/>
    <m/>
    <n v="672500"/>
    <n v="37600"/>
    <n v="94999.950000000012"/>
    <s v=""/>
    <m/>
    <s v="Yes"/>
    <n v="90649"/>
    <s v="UNICEF"/>
    <s v="Disbursed"/>
    <n v="367944"/>
    <s v="Disbursed"/>
    <n v="370000.2"/>
    <m/>
    <m/>
    <m/>
    <m/>
    <n v="0"/>
    <s v=""/>
    <m/>
    <m/>
    <m/>
    <m/>
    <m/>
    <n v="726000"/>
    <s v=""/>
    <n v="0"/>
    <n v="367944"/>
    <n v="4024025"/>
    <n v="1207207.5"/>
    <n v="13333693.149999999"/>
    <n v="11.045071497650568"/>
    <n v="8.283803623237926"/>
    <n v="4.7336020704216724"/>
    <n v="3.3135214492951706"/>
    <n v="9800000"/>
    <n v="1900000"/>
    <n v="0"/>
    <n v="1398500"/>
    <n v="1331193.3500000001"/>
  </r>
  <r>
    <s v="MNG"/>
    <x v="89"/>
    <x v="8"/>
    <x v="4"/>
    <s v="AMC"/>
    <m/>
    <s v="Yes"/>
    <s v="Yes"/>
    <s v="No"/>
    <s v="No"/>
    <s v="Yes"/>
    <s v="Yes"/>
    <s v="No"/>
    <s v="Yes"/>
    <s v="No"/>
    <s v="…"/>
    <m/>
    <m/>
    <n v="288519671.85870522"/>
    <s v="IBRD"/>
    <s v="Approved"/>
    <n v="50700000"/>
    <n v="50700000"/>
    <n v="0"/>
    <n v="18700000"/>
    <n v="25500000"/>
    <n v="6500000"/>
    <m/>
    <s v="Approved"/>
    <s v="Loan"/>
    <n v="40000000"/>
    <n v="38300000"/>
    <n v="0"/>
    <n v="1700000"/>
    <s v="Yes"/>
    <m/>
    <m/>
    <m/>
    <m/>
    <m/>
    <m/>
    <m/>
    <s v=""/>
    <s v=""/>
    <s v=""/>
    <m/>
    <m/>
    <m/>
    <m/>
    <n v="500000"/>
    <n v="11111111"/>
    <n v="0"/>
    <n v="123999.99999999999"/>
    <n v="25000"/>
    <s v=""/>
    <m/>
    <s v="Yes"/>
    <n v="71067"/>
    <s v="UNICEF"/>
    <s v="Disbursed"/>
    <n v="230000"/>
    <s v="Disbursed"/>
    <n v="230000"/>
    <m/>
    <m/>
    <m/>
    <m/>
    <n v="0"/>
    <n v="99000"/>
    <m/>
    <m/>
    <m/>
    <m/>
    <m/>
    <n v="250000"/>
    <s v=""/>
    <n v="0"/>
    <n v="230000"/>
    <n v="3329282"/>
    <n v="998784.6"/>
    <n v="37890178"/>
    <n v="37.936285761714792"/>
    <n v="28.452214321286089"/>
    <n v="16.258408183592053"/>
    <n v="11.380885728514436"/>
    <n v="25500000"/>
    <n v="11611111"/>
    <n v="99000"/>
    <n v="11361111"/>
    <n v="910067"/>
  </r>
  <r>
    <s v="MNE"/>
    <x v="90"/>
    <x v="3"/>
    <x v="3"/>
    <s v="SFC"/>
    <m/>
    <s v="No"/>
    <s v="No"/>
    <s v="No"/>
    <s v="Yes"/>
    <s v="No"/>
    <s v="Yes"/>
    <s v="No"/>
    <s v="No"/>
    <s v="No"/>
    <s v="N/A"/>
    <m/>
    <m/>
    <n v="275606560.78491527"/>
    <s v="IDA"/>
    <s v=""/>
    <n v="0"/>
    <n v="0"/>
    <n v="0"/>
    <n v="0"/>
    <n v="0"/>
    <n v="0"/>
    <m/>
    <m/>
    <s v=""/>
    <s v=""/>
    <s v=""/>
    <s v=""/>
    <s v=""/>
    <m/>
    <m/>
    <m/>
    <m/>
    <m/>
    <m/>
    <m/>
    <m/>
    <s v=""/>
    <s v=""/>
    <s v=""/>
    <m/>
    <m/>
    <m/>
    <m/>
    <n v="800000"/>
    <m/>
    <n v="100000"/>
    <n v="0"/>
    <n v="0"/>
    <s v=""/>
    <m/>
    <s v=""/>
    <s v=""/>
    <s v=""/>
    <s v=""/>
    <s v=""/>
    <s v=""/>
    <s v=""/>
    <m/>
    <m/>
    <m/>
    <m/>
    <n v="0"/>
    <s v=""/>
    <m/>
    <m/>
    <m/>
    <m/>
    <m/>
    <n v="0"/>
    <s v=""/>
    <s v=""/>
    <n v="0"/>
    <n v="628051"/>
    <n v="188415.3"/>
    <n v="900000"/>
    <n v="4.7766821484242525"/>
    <n v="3.5825116113181887"/>
    <n v="2.0471494921818225"/>
    <n v="1.4330046445272757"/>
    <n v="0"/>
    <n v="800000"/>
    <n v="0"/>
    <n v="100000"/>
    <n v="0"/>
  </r>
  <r>
    <s v="MAR"/>
    <x v="91"/>
    <x v="4"/>
    <x v="4"/>
    <s v="AMC"/>
    <m/>
    <s v="Yes"/>
    <s v="Yes"/>
    <s v="No"/>
    <s v="No"/>
    <s v="Yes"/>
    <s v="Yes"/>
    <s v="No"/>
    <s v="No"/>
    <s v="No"/>
    <s v="N/A"/>
    <m/>
    <m/>
    <n v="2530937679.3725696"/>
    <s v="IBRD"/>
    <s v=""/>
    <s v=""/>
    <s v=""/>
    <s v=""/>
    <s v=""/>
    <s v=""/>
    <s v=""/>
    <m/>
    <m/>
    <s v=""/>
    <s v=""/>
    <s v=""/>
    <s v=""/>
    <s v=""/>
    <s v="Yes"/>
    <m/>
    <m/>
    <m/>
    <m/>
    <m/>
    <m/>
    <m/>
    <s v=""/>
    <s v=""/>
    <s v=""/>
    <m/>
    <m/>
    <m/>
    <m/>
    <n v="3750000"/>
    <m/>
    <n v="200000"/>
    <n v="20000"/>
    <n v="66000"/>
    <s v=""/>
    <m/>
    <s v="Yes"/>
    <s v=" $-   "/>
    <s v="UNICEF"/>
    <s v=""/>
    <s v=""/>
    <s v="Disbursed"/>
    <n v="100000"/>
    <m/>
    <m/>
    <m/>
    <m/>
    <n v="50000"/>
    <s v=""/>
    <m/>
    <m/>
    <m/>
    <m/>
    <m/>
    <n v="2500000"/>
    <s v=""/>
    <s v=""/>
    <n v="0"/>
    <n v="37344787"/>
    <n v="11203436.1"/>
    <n v="4186000"/>
    <n v="0.37363537066989655"/>
    <n v="0.28022652800242237"/>
    <n v="0.16012944457281281"/>
    <n v="0.11209061120096896"/>
    <n v="0"/>
    <n v="3750000"/>
    <n v="0"/>
    <n v="2700000"/>
    <n v="336000"/>
  </r>
  <r>
    <s v="MOZ"/>
    <x v="92"/>
    <x v="5"/>
    <x v="2"/>
    <s v="AMC"/>
    <m/>
    <s v="Yes"/>
    <s v="Yes"/>
    <s v="No"/>
    <s v="No"/>
    <s v="Yes"/>
    <s v="Yes"/>
    <s v="No"/>
    <s v="Yes"/>
    <s v="Yes"/>
    <s v="In distress"/>
    <s v="Yes"/>
    <m/>
    <n v="251432156.86255455"/>
    <s v="IBRD"/>
    <s v="Approved"/>
    <n v="215000000"/>
    <n v="0"/>
    <n v="215000000"/>
    <n v="70000000"/>
    <n v="25000000"/>
    <n v="20000000"/>
    <m/>
    <m/>
    <s v=""/>
    <s v=""/>
    <s v=""/>
    <s v=""/>
    <s v=""/>
    <m/>
    <m/>
    <m/>
    <m/>
    <m/>
    <m/>
    <m/>
    <m/>
    <s v=""/>
    <s v=""/>
    <s v=""/>
    <m/>
    <n v="741350"/>
    <m/>
    <m/>
    <n v="3450000"/>
    <n v="669732"/>
    <n v="860469"/>
    <n v="229312.96296296295"/>
    <n v="572794.06000000006"/>
    <s v=""/>
    <m/>
    <s v="Yes"/>
    <n v="322906"/>
    <s v="GAVI"/>
    <s v="Disbursed"/>
    <n v="3299996"/>
    <s v=""/>
    <s v=""/>
    <m/>
    <m/>
    <m/>
    <m/>
    <n v="1425000"/>
    <n v="1328000"/>
    <m/>
    <m/>
    <m/>
    <m/>
    <m/>
    <n v="0"/>
    <s v=""/>
    <n v="1625597"/>
    <n v="1625597"/>
    <n v="32163045"/>
    <n v="9648913.5"/>
    <n v="37899560.022962965"/>
    <n v="3.9278577865749305"/>
    <n v="2.9458933399311977"/>
    <n v="1.6833676228178274"/>
    <n v="1.178357335972479"/>
    <n v="25000000"/>
    <n v="4119732"/>
    <n v="1328000"/>
    <n v="3155798"/>
    <n v="6591359.0229629632"/>
  </r>
  <r>
    <s v="MMR"/>
    <x v="93"/>
    <x v="8"/>
    <x v="4"/>
    <s v="AMC"/>
    <m/>
    <s v="Yes"/>
    <s v="Yes"/>
    <s v="No"/>
    <s v="No"/>
    <s v="Yes"/>
    <s v="Yes"/>
    <s v="No"/>
    <s v="Yes"/>
    <s v="Yes"/>
    <s v="Low"/>
    <m/>
    <m/>
    <n v="471534500.60109437"/>
    <s v="IBRD"/>
    <s v=""/>
    <n v="0"/>
    <n v="0"/>
    <n v="0"/>
    <n v="0"/>
    <n v="0"/>
    <n v="0"/>
    <m/>
    <m/>
    <s v=""/>
    <s v=""/>
    <s v=""/>
    <s v=""/>
    <s v=""/>
    <m/>
    <m/>
    <m/>
    <m/>
    <m/>
    <m/>
    <m/>
    <m/>
    <s v=""/>
    <s v=""/>
    <s v=""/>
    <m/>
    <m/>
    <m/>
    <m/>
    <n v="2550000"/>
    <n v="1773821"/>
    <n v="1240000"/>
    <n v="505999.99999999994"/>
    <n v="630498"/>
    <n v="0"/>
    <m/>
    <s v=""/>
    <s v=""/>
    <s v="GAVI"/>
    <s v="Disbursed"/>
    <n v="0"/>
    <s v=""/>
    <s v=""/>
    <m/>
    <m/>
    <m/>
    <m/>
    <n v="295000"/>
    <s v=""/>
    <m/>
    <m/>
    <m/>
    <m/>
    <m/>
    <n v="783056"/>
    <n v="0"/>
    <n v="0"/>
    <n v="0"/>
    <n v="54806014"/>
    <n v="16441804.199999999"/>
    <n v="6995319"/>
    <n v="0.42545933006549247"/>
    <n v="0.31909449754911934"/>
    <n v="0.18233971288521106"/>
    <n v="0.12763779901964772"/>
    <n v="0"/>
    <n v="4323821"/>
    <n v="0"/>
    <n v="3796877"/>
    <n v="1431498"/>
  </r>
  <r>
    <s v="NAM"/>
    <x v="94"/>
    <x v="5"/>
    <x v="3"/>
    <s v="SFC"/>
    <m/>
    <s v="Yes"/>
    <s v="Yes"/>
    <s v="No"/>
    <s v="No"/>
    <s v="Yes"/>
    <s v="Yes"/>
    <s v="No"/>
    <s v="No"/>
    <s v="No"/>
    <m/>
    <m/>
    <m/>
    <n v="531677611.80447447"/>
    <s v="IBRD"/>
    <s v=""/>
    <s v=""/>
    <s v=""/>
    <s v=""/>
    <s v=""/>
    <s v=""/>
    <s v=""/>
    <m/>
    <m/>
    <s v=""/>
    <s v=""/>
    <s v=""/>
    <s v=""/>
    <s v=""/>
    <m/>
    <m/>
    <m/>
    <m/>
    <m/>
    <m/>
    <m/>
    <m/>
    <s v=""/>
    <s v=""/>
    <s v=""/>
    <m/>
    <m/>
    <m/>
    <m/>
    <n v="3000000"/>
    <m/>
    <n v="1642000"/>
    <n v="0"/>
    <n v="0"/>
    <s v=""/>
    <m/>
    <s v=""/>
    <s v=""/>
    <s v=""/>
    <s v=""/>
    <s v=""/>
    <s v=""/>
    <s v=""/>
    <m/>
    <m/>
    <m/>
    <m/>
    <n v="0"/>
    <s v=""/>
    <m/>
    <m/>
    <m/>
    <m/>
    <m/>
    <n v="0"/>
    <s v=""/>
    <s v=""/>
    <n v="0"/>
    <n v="2587344"/>
    <n v="776203.2"/>
    <n v="4642000"/>
    <n v="5.9803927631321283"/>
    <n v="4.4852945723490958"/>
    <n v="2.5630254699137693"/>
    <n v="1.7941178289396384"/>
    <n v="0"/>
    <n v="3000000"/>
    <n v="0"/>
    <n v="1642000"/>
    <n v="0"/>
  </r>
  <r>
    <s v="NRU"/>
    <x v="95"/>
    <x v="8"/>
    <x v="5"/>
    <s v="SFC"/>
    <m/>
    <s v="Yes"/>
    <s v="Yes"/>
    <s v="No"/>
    <s v="No"/>
    <s v="Yes"/>
    <s v="Yes"/>
    <s v="No"/>
    <s v="No"/>
    <s v="No"/>
    <m/>
    <m/>
    <m/>
    <n v="8528751.6418357007"/>
    <s v="IBRD"/>
    <s v=""/>
    <s v=""/>
    <s v=""/>
    <s v=""/>
    <s v=""/>
    <s v=""/>
    <s v=""/>
    <m/>
    <m/>
    <s v=""/>
    <s v=""/>
    <s v=""/>
    <s v=""/>
    <s v=""/>
    <m/>
    <m/>
    <m/>
    <s v="Yes"/>
    <m/>
    <m/>
    <m/>
    <m/>
    <s v=""/>
    <s v=""/>
    <s v=""/>
    <m/>
    <m/>
    <m/>
    <m/>
    <s v=""/>
    <m/>
    <s v=""/>
    <n v="0"/>
    <n v="0"/>
    <n v="0"/>
    <m/>
    <s v=""/>
    <s v=""/>
    <s v=""/>
    <s v=""/>
    <s v=""/>
    <s v=""/>
    <s v=""/>
    <m/>
    <m/>
    <m/>
    <m/>
    <s v=""/>
    <s v=""/>
    <m/>
    <m/>
    <m/>
    <m/>
    <m/>
    <n v="0"/>
    <n v="0"/>
    <s v=""/>
    <n v="0"/>
    <n v="10834"/>
    <n v="3250.2"/>
    <n v="0"/>
    <n v="0"/>
    <n v="0"/>
    <n v="0"/>
    <n v="0"/>
    <n v="0"/>
    <n v="0"/>
    <n v="0"/>
    <n v="0"/>
    <n v="0"/>
  </r>
  <r>
    <s v="NPL"/>
    <x v="96"/>
    <x v="2"/>
    <x v="4"/>
    <s v="AMC"/>
    <m/>
    <s v="No"/>
    <s v="No"/>
    <s v="No"/>
    <s v="Yes"/>
    <s v="No"/>
    <s v="Yes"/>
    <s v="No"/>
    <s v="Yes"/>
    <s v="Yes"/>
    <s v="Low"/>
    <m/>
    <m/>
    <n v="407084543.19089872"/>
    <s v="IDA"/>
    <s v="Approved"/>
    <n v="75000000"/>
    <n v="75000000"/>
    <n v="0"/>
    <n v="62600000"/>
    <n v="10900000"/>
    <n v="1500000"/>
    <m/>
    <s v="Approved"/>
    <s v="Loan"/>
    <n v="165000000"/>
    <n v="159000000"/>
    <n v="0"/>
    <n v="6000000"/>
    <m/>
    <m/>
    <m/>
    <s v="Yes"/>
    <m/>
    <m/>
    <m/>
    <m/>
    <s v=""/>
    <s v=""/>
    <s v=""/>
    <m/>
    <m/>
    <m/>
    <m/>
    <n v="4100000"/>
    <n v="1151337"/>
    <n v="1889000"/>
    <n v="346810.18518518517"/>
    <n v="374143"/>
    <s v=""/>
    <n v="729927"/>
    <s v="Yes"/>
    <n v="737464"/>
    <s v="GAVI"/>
    <s v="Disbursed"/>
    <n v="2159909"/>
    <s v=""/>
    <s v=""/>
    <m/>
    <m/>
    <m/>
    <n v="97920"/>
    <n v="295600"/>
    <n v="99000"/>
    <m/>
    <m/>
    <n v="175000"/>
    <m/>
    <m/>
    <n v="0"/>
    <s v=""/>
    <n v="1058356"/>
    <n v="1058356"/>
    <n v="29674920"/>
    <n v="8902476"/>
    <n v="23056110.185185187"/>
    <n v="2.5898536749984147"/>
    <n v="1.9423902562488109"/>
    <n v="1.1099372892850348"/>
    <n v="0.7769561024995244"/>
    <n v="10900000"/>
    <n v="6156264"/>
    <n v="196920"/>
    <n v="5101540"/>
    <n v="3913926.1851851852"/>
  </r>
  <r>
    <s v="NIC"/>
    <x v="97"/>
    <x v="6"/>
    <x v="4"/>
    <s v="AMC"/>
    <m/>
    <s v="Yes"/>
    <s v="Yes"/>
    <s v="No"/>
    <s v="No"/>
    <s v="Yes"/>
    <s v="Yes"/>
    <s v="No"/>
    <s v="Yes"/>
    <s v="No"/>
    <s v="Moderate"/>
    <s v="Yes"/>
    <m/>
    <n v="671998341.93592453"/>
    <s v="IBRD"/>
    <s v=""/>
    <s v=""/>
    <s v=""/>
    <s v=""/>
    <s v=""/>
    <s v=""/>
    <s v=""/>
    <m/>
    <m/>
    <s v=""/>
    <s v=""/>
    <s v=""/>
    <s v=""/>
    <s v=""/>
    <s v="Yes"/>
    <m/>
    <m/>
    <s v="Yes"/>
    <m/>
    <m/>
    <s v="Yes"/>
    <m/>
    <s v=""/>
    <s v=""/>
    <s v=""/>
    <m/>
    <m/>
    <m/>
    <s v="Yes"/>
    <n v="150000"/>
    <n v="1388889"/>
    <n v="800000"/>
    <n v="46300"/>
    <n v="199223.3"/>
    <s v=""/>
    <m/>
    <s v="Yes"/>
    <n v="218802"/>
    <s v="GAVI"/>
    <s v="Disbursed"/>
    <n v="0"/>
    <s v=""/>
    <s v=""/>
    <m/>
    <m/>
    <m/>
    <m/>
    <n v="390000"/>
    <s v=""/>
    <m/>
    <m/>
    <n v="1278918"/>
    <m/>
    <m/>
    <n v="0"/>
    <s v=""/>
    <n v="0"/>
    <n v="0"/>
    <n v="6702379"/>
    <n v="2010713.7"/>
    <n v="4472132.3"/>
    <n v="2.2241517029500519"/>
    <n v="1.668113777212539"/>
    <n v="0.95320787269287943"/>
    <n v="0.6672455108850156"/>
    <n v="0"/>
    <n v="2817807"/>
    <n v="0"/>
    <n v="3467807"/>
    <n v="854325.3"/>
  </r>
  <r>
    <s v="NER"/>
    <x v="98"/>
    <x v="7"/>
    <x v="2"/>
    <s v="AMC"/>
    <n v="1"/>
    <s v="No"/>
    <s v="No"/>
    <s v="No"/>
    <s v="Yes"/>
    <s v="No"/>
    <s v="Yes"/>
    <s v="No"/>
    <s v="Yes"/>
    <s v="Yes"/>
    <s v="Moderate"/>
    <m/>
    <m/>
    <n v="226203289.67158964"/>
    <s v="IDA"/>
    <s v="Approved"/>
    <n v="29200000"/>
    <n v="14000000"/>
    <n v="15200000"/>
    <n v="19800000"/>
    <n v="9400000"/>
    <n v="0"/>
    <m/>
    <m/>
    <s v=""/>
    <s v=""/>
    <s v=""/>
    <s v=""/>
    <s v=""/>
    <s v="Yes"/>
    <m/>
    <m/>
    <s v="Yes"/>
    <m/>
    <m/>
    <m/>
    <m/>
    <s v=""/>
    <s v=""/>
    <s v=""/>
    <s v="Yes"/>
    <n v="750000"/>
    <m/>
    <s v="Yes"/>
    <n v="4750000"/>
    <m/>
    <n v="1345921"/>
    <n v="475174.99999999994"/>
    <n v="478851"/>
    <s v=""/>
    <m/>
    <s v="Yes"/>
    <n v="639701"/>
    <s v="GAVI"/>
    <s v="Disbursed"/>
    <n v="3500000"/>
    <s v="Submitted"/>
    <s v=""/>
    <m/>
    <m/>
    <m/>
    <m/>
    <n v="278323.45"/>
    <s v=""/>
    <m/>
    <m/>
    <m/>
    <m/>
    <m/>
    <n v="500000"/>
    <s v=""/>
    <n v="0"/>
    <n v="0"/>
    <n v="25130810"/>
    <n v="7539243"/>
    <n v="21617971.449999999"/>
    <n v="2.8673928470006866"/>
    <n v="2.1505446352505153"/>
    <n v="1.2288826487145801"/>
    <n v="0.86021785410020601"/>
    <n v="9400000"/>
    <n v="4750000"/>
    <n v="0"/>
    <n v="1845921"/>
    <n v="6122050.4500000002"/>
  </r>
  <r>
    <s v="NGA"/>
    <x v="99"/>
    <x v="7"/>
    <x v="4"/>
    <s v="AMC"/>
    <n v="3"/>
    <s v="No"/>
    <s v="No"/>
    <s v="No"/>
    <s v="Yes"/>
    <s v="No"/>
    <s v="Yes"/>
    <s v="No"/>
    <s v="Yes"/>
    <s v="No"/>
    <s v="…"/>
    <m/>
    <m/>
    <n v="2438881113.1244688"/>
    <s v="IDA"/>
    <s v="Approved"/>
    <n v="400000000"/>
    <n v="400000000"/>
    <n v="0"/>
    <n v="357500000"/>
    <n v="76000000"/>
    <n v="80800000"/>
    <m/>
    <m/>
    <s v=""/>
    <s v=""/>
    <s v=""/>
    <s v=""/>
    <s v=""/>
    <s v="Yes"/>
    <m/>
    <m/>
    <s v="Yes"/>
    <m/>
    <m/>
    <m/>
    <m/>
    <s v=""/>
    <s v=""/>
    <s v=""/>
    <m/>
    <n v="4999000"/>
    <m/>
    <m/>
    <n v="1600863.3"/>
    <n v="2104378"/>
    <n v="5036546"/>
    <n v="190600"/>
    <n v="396163"/>
    <s v=""/>
    <m/>
    <s v="Yes"/>
    <n v="2554787"/>
    <s v="GAVI"/>
    <s v="Disbursed"/>
    <n v="9995381"/>
    <s v="Submitted"/>
    <s v=""/>
    <m/>
    <m/>
    <m/>
    <n v="42296"/>
    <n v="1459081"/>
    <n v="1714000"/>
    <m/>
    <n v="1693999"/>
    <m/>
    <m/>
    <m/>
    <n v="0"/>
    <s v=""/>
    <n v="5124130"/>
    <n v="5124130"/>
    <n v="211400704"/>
    <n v="63420211.199999996"/>
    <n v="107787094.3"/>
    <n v="1.6995700938315388"/>
    <n v="1.2746775703736539"/>
    <n v="0.72838718307065953"/>
    <n v="0.50987102814946161"/>
    <n v="76000000"/>
    <n v="5399240.2999999998"/>
    <n v="1756296"/>
    <n v="14001349"/>
    <n v="19595012"/>
  </r>
  <r>
    <s v="MKD"/>
    <x v="100"/>
    <x v="3"/>
    <x v="3"/>
    <s v="SFC"/>
    <m/>
    <s v="Yes"/>
    <s v="Yes"/>
    <s v="No"/>
    <s v="No"/>
    <s v="Yes"/>
    <s v="Yes"/>
    <s v="No"/>
    <s v="No"/>
    <s v="No"/>
    <m/>
    <m/>
    <m/>
    <n v="476517795.73174149"/>
    <s v="IBRD"/>
    <s v="Approved"/>
    <n v="11000000"/>
    <n v="11000000"/>
    <n v="0"/>
    <n v="9000000"/>
    <n v="500000"/>
    <n v="1500000"/>
    <m/>
    <m/>
    <s v=""/>
    <s v=""/>
    <s v=""/>
    <s v=""/>
    <s v=""/>
    <s v="Yes"/>
    <m/>
    <m/>
    <s v="Yes"/>
    <m/>
    <m/>
    <m/>
    <m/>
    <s v=""/>
    <s v=""/>
    <s v=""/>
    <m/>
    <m/>
    <m/>
    <m/>
    <n v="1000000"/>
    <m/>
    <n v="100000"/>
    <n v="0"/>
    <n v="0"/>
    <s v=""/>
    <m/>
    <s v=""/>
    <s v=""/>
    <s v=""/>
    <s v=""/>
    <s v=""/>
    <s v=""/>
    <s v=""/>
    <m/>
    <m/>
    <m/>
    <m/>
    <n v="0"/>
    <s v=""/>
    <m/>
    <m/>
    <m/>
    <m/>
    <m/>
    <n v="0"/>
    <s v=""/>
    <s v=""/>
    <n v="0"/>
    <n v="2082662"/>
    <n v="624798.6"/>
    <n v="1600000"/>
    <n v="2.5608252003125487"/>
    <n v="1.9206189002344114"/>
    <n v="1.0974965144196638"/>
    <n v="0.7682475600937646"/>
    <n v="500000"/>
    <n v="1000000"/>
    <n v="0"/>
    <n v="100000"/>
    <n v="0"/>
  </r>
  <r>
    <s v="PAK"/>
    <x v="101"/>
    <x v="2"/>
    <x v="4"/>
    <s v="AMC"/>
    <m/>
    <s v="No"/>
    <s v="No"/>
    <s v="No"/>
    <s v="Yes"/>
    <s v="No"/>
    <s v="Yes"/>
    <s v="No"/>
    <s v="Yes"/>
    <s v="Yes"/>
    <s v="…"/>
    <m/>
    <m/>
    <n v="3233351297.7679496"/>
    <s v="IDA"/>
    <s v="Approved"/>
    <n v="153000000"/>
    <n v="0"/>
    <n v="153000000"/>
    <n v="0"/>
    <n v="0"/>
    <n v="0"/>
    <m/>
    <s v="Approved"/>
    <s v="Loan"/>
    <n v="500000000"/>
    <n v="491700000"/>
    <n v="0"/>
    <n v="8300000.0000000009"/>
    <s v="Yes"/>
    <s v="Requested"/>
    <n v="70000000"/>
    <s v="Yes"/>
    <m/>
    <m/>
    <m/>
    <m/>
    <s v=""/>
    <s v=""/>
    <s v=""/>
    <m/>
    <m/>
    <m/>
    <m/>
    <n v="2500000"/>
    <n v="6106979"/>
    <n v="3000000"/>
    <n v="262300"/>
    <n v="693360"/>
    <s v=""/>
    <m/>
    <s v="Yes"/>
    <n v="2538909"/>
    <s v="GAVI"/>
    <s v="Disbursed"/>
    <n v="14360986"/>
    <s v=""/>
    <s v=""/>
    <m/>
    <m/>
    <m/>
    <n v="150000"/>
    <n v="870000"/>
    <n v="697000"/>
    <m/>
    <m/>
    <m/>
    <m/>
    <m/>
    <n v="950000"/>
    <s v=""/>
    <n v="6705086"/>
    <n v="6705086"/>
    <n v="225199929"/>
    <n v="67559978.700000003"/>
    <n v="31179534"/>
    <n v="0.46150893768709844"/>
    <n v="0.34613170326532383"/>
    <n v="0.19778954472304222"/>
    <n v="0.13845268130612953"/>
    <n v="0"/>
    <n v="8606979"/>
    <n v="847000"/>
    <n v="16912065"/>
    <n v="18725555"/>
  </r>
  <r>
    <s v="PLW"/>
    <x v="102"/>
    <x v="6"/>
    <x v="5"/>
    <s v="SFC"/>
    <m/>
    <s v="Yes"/>
    <s v="Yes"/>
    <s v="No"/>
    <s v="No"/>
    <s v="Yes"/>
    <s v="Yes"/>
    <s v="No"/>
    <s v="No"/>
    <s v="No"/>
    <m/>
    <m/>
    <m/>
    <n v="18180646.808608256"/>
    <s v="IBRD"/>
    <s v=""/>
    <s v=""/>
    <s v=""/>
    <s v=""/>
    <s v=""/>
    <s v=""/>
    <s v=""/>
    <m/>
    <m/>
    <s v=""/>
    <s v=""/>
    <s v=""/>
    <s v=""/>
    <s v=""/>
    <m/>
    <m/>
    <m/>
    <m/>
    <m/>
    <m/>
    <m/>
    <m/>
    <s v=""/>
    <s v=""/>
    <s v=""/>
    <m/>
    <m/>
    <m/>
    <m/>
    <s v=""/>
    <m/>
    <s v=""/>
    <n v="0"/>
    <n v="0"/>
    <s v=""/>
    <m/>
    <s v=""/>
    <s v=""/>
    <s v=""/>
    <s v=""/>
    <s v=""/>
    <s v=""/>
    <s v=""/>
    <m/>
    <m/>
    <m/>
    <m/>
    <s v=""/>
    <s v=""/>
    <m/>
    <m/>
    <m/>
    <m/>
    <m/>
    <n v="0"/>
    <s v=""/>
    <s v=""/>
    <n v="0"/>
    <n v="18092"/>
    <n v="5427.5999999999995"/>
    <n v="0"/>
    <n v="0"/>
    <n v="0"/>
    <n v="0"/>
    <n v="0"/>
    <n v="0"/>
    <n v="0"/>
    <n v="0"/>
    <n v="0"/>
    <n v="0"/>
  </r>
  <r>
    <s v="PAN"/>
    <x v="103"/>
    <x v="6"/>
    <x v="3"/>
    <s v="SFC"/>
    <m/>
    <s v="No"/>
    <s v="No"/>
    <s v="Yes"/>
    <s v="Yes"/>
    <s v="No"/>
    <s v="Yes"/>
    <s v="No"/>
    <s v="No"/>
    <s v="No"/>
    <s v="N/A"/>
    <m/>
    <m/>
    <n v="3020530707.3485303"/>
    <s v="Blend"/>
    <s v=""/>
    <n v="0"/>
    <n v="0"/>
    <n v="0"/>
    <n v="0"/>
    <n v="0"/>
    <n v="0"/>
    <m/>
    <m/>
    <s v=""/>
    <s v=""/>
    <s v=""/>
    <s v=""/>
    <s v=""/>
    <s v="Yes"/>
    <m/>
    <m/>
    <s v="Yes"/>
    <m/>
    <m/>
    <s v="Yes"/>
    <s v="Loan"/>
    <n v="22400000"/>
    <n v="20700000"/>
    <n v="1700000"/>
    <m/>
    <m/>
    <m/>
    <m/>
    <n v="200000"/>
    <m/>
    <n v="0"/>
    <n v="0"/>
    <n v="0"/>
    <s v=""/>
    <m/>
    <s v=""/>
    <s v=""/>
    <s v=""/>
    <s v=""/>
    <s v=""/>
    <s v=""/>
    <s v=""/>
    <m/>
    <m/>
    <m/>
    <m/>
    <n v="0"/>
    <s v=""/>
    <m/>
    <m/>
    <m/>
    <m/>
    <m/>
    <n v="0"/>
    <s v=""/>
    <s v=""/>
    <n v="0"/>
    <n v="4381583"/>
    <n v="1314474.8999999999"/>
    <n v="1900000"/>
    <n v="1.445444108518162"/>
    <n v="1.0840830813886213"/>
    <n v="0.61947604650778376"/>
    <n v="0.43363323255544856"/>
    <n v="1700000"/>
    <n v="200000"/>
    <n v="0"/>
    <n v="0"/>
    <n v="0"/>
  </r>
  <r>
    <s v="PNG"/>
    <x v="104"/>
    <x v="8"/>
    <x v="4"/>
    <s v="AMC"/>
    <n v="1"/>
    <s v="Yes"/>
    <s v="Yes"/>
    <s v="No"/>
    <s v="No"/>
    <s v="Yes"/>
    <s v="Yes"/>
    <s v="No"/>
    <s v="Yes"/>
    <s v="Yes"/>
    <s v="High"/>
    <s v="Yes"/>
    <m/>
    <n v="384406316.46074712"/>
    <s v="IBRD"/>
    <s v="Approved"/>
    <n v="30000000"/>
    <n v="30000000"/>
    <n v="0"/>
    <n v="0"/>
    <n v="10000000"/>
    <n v="20000000"/>
    <m/>
    <m/>
    <s v=""/>
    <s v=""/>
    <s v=""/>
    <s v=""/>
    <s v=""/>
    <m/>
    <m/>
    <m/>
    <m/>
    <m/>
    <m/>
    <m/>
    <m/>
    <s v=""/>
    <s v=""/>
    <s v=""/>
    <m/>
    <m/>
    <m/>
    <m/>
    <n v="4500000"/>
    <n v="7563717"/>
    <n v="400000"/>
    <n v="258399.99999999997"/>
    <n v="464915"/>
    <n v="0"/>
    <n v="2112690"/>
    <s v="Yes"/>
    <n v="199349"/>
    <s v="GAVI"/>
    <s v="Disbursed"/>
    <n v="31079"/>
    <s v=""/>
    <s v=""/>
    <m/>
    <m/>
    <m/>
    <n v="5067038"/>
    <n v="0"/>
    <s v=""/>
    <m/>
    <m/>
    <m/>
    <m/>
    <m/>
    <n v="500000"/>
    <n v="0"/>
    <n v="0"/>
    <n v="0"/>
    <n v="9119005"/>
    <n v="2735701.5"/>
    <n v="30597188"/>
    <n v="11.184402976713651"/>
    <n v="8.3883022325352385"/>
    <n v="4.7933155614487077"/>
    <n v="3.3553208930140954"/>
    <n v="10000000"/>
    <n v="14176407"/>
    <n v="5067038"/>
    <n v="15643445"/>
    <n v="953743"/>
  </r>
  <r>
    <s v="PRY"/>
    <x v="105"/>
    <x v="6"/>
    <x v="3"/>
    <s v="SFC"/>
    <m/>
    <s v="Yes"/>
    <s v="Yes"/>
    <s v="No"/>
    <s v="No"/>
    <s v="Yes"/>
    <s v="Yes"/>
    <s v="No"/>
    <s v="No"/>
    <s v="No"/>
    <m/>
    <m/>
    <m/>
    <n v="1218747108.9554784"/>
    <s v="IBRD"/>
    <s v=""/>
    <s v=""/>
    <s v=""/>
    <s v=""/>
    <s v=""/>
    <s v=""/>
    <s v=""/>
    <m/>
    <m/>
    <s v=""/>
    <s v=""/>
    <s v=""/>
    <s v=""/>
    <s v=""/>
    <m/>
    <m/>
    <m/>
    <m/>
    <m/>
    <m/>
    <s v="Yes"/>
    <m/>
    <s v=""/>
    <s v=""/>
    <s v=""/>
    <m/>
    <m/>
    <m/>
    <s v="Yes"/>
    <n v="2500000"/>
    <n v="1913888"/>
    <n v="200000"/>
    <n v="0"/>
    <n v="0"/>
    <s v=""/>
    <m/>
    <s v=""/>
    <s v=""/>
    <s v=""/>
    <s v=""/>
    <s v=""/>
    <s v=""/>
    <s v=""/>
    <m/>
    <m/>
    <m/>
    <m/>
    <n v="0"/>
    <s v=""/>
    <m/>
    <m/>
    <m/>
    <m/>
    <m/>
    <n v="0"/>
    <s v=""/>
    <s v=""/>
    <n v="0"/>
    <n v="7219641"/>
    <n v="2165892.2999999998"/>
    <n v="4613888"/>
    <n v="2.130248119908825"/>
    <n v="1.5976860899316183"/>
    <n v="0.91296347996092497"/>
    <n v="0.63907443597264735"/>
    <n v="0"/>
    <n v="4413888"/>
    <n v="0"/>
    <n v="2113888"/>
    <n v="0"/>
  </r>
  <r>
    <s v="PER"/>
    <x v="106"/>
    <x v="6"/>
    <x v="3"/>
    <s v="SFC"/>
    <m/>
    <s v="No"/>
    <s v="No"/>
    <s v="No"/>
    <s v="Yes"/>
    <s v="No"/>
    <s v="Yes"/>
    <s v="No"/>
    <s v="No"/>
    <s v="No"/>
    <m/>
    <m/>
    <m/>
    <n v="7392665952.5895758"/>
    <s v="IDA"/>
    <s v="Approved"/>
    <n v="500000000"/>
    <n v="500000000"/>
    <n v="0"/>
    <n v="0"/>
    <n v="500000000"/>
    <n v="0"/>
    <m/>
    <m/>
    <s v=""/>
    <s v=""/>
    <s v=""/>
    <s v=""/>
    <s v=""/>
    <m/>
    <m/>
    <m/>
    <m/>
    <m/>
    <m/>
    <s v="Yes"/>
    <m/>
    <s v=""/>
    <s v=""/>
    <s v=""/>
    <m/>
    <m/>
    <m/>
    <m/>
    <n v="6713840"/>
    <m/>
    <n v="802143"/>
    <n v="0"/>
    <n v="0"/>
    <s v=""/>
    <m/>
    <s v=""/>
    <s v=""/>
    <s v=""/>
    <s v=""/>
    <s v=""/>
    <s v=""/>
    <s v=""/>
    <m/>
    <m/>
    <m/>
    <n v="425647"/>
    <n v="0"/>
    <s v=""/>
    <m/>
    <m/>
    <m/>
    <m/>
    <m/>
    <n v="0"/>
    <s v=""/>
    <s v=""/>
    <n v="0"/>
    <n v="33359416"/>
    <n v="10007824.799999999"/>
    <n v="507941630"/>
    <n v="50.754448659013299"/>
    <n v="38.065836494259969"/>
    <n v="21.751906568148556"/>
    <n v="15.226334597703989"/>
    <n v="500000000"/>
    <n v="6713840"/>
    <n v="425647"/>
    <n v="1227790"/>
    <n v="0"/>
  </r>
  <r>
    <s v="PHL"/>
    <x v="107"/>
    <x v="8"/>
    <x v="4"/>
    <s v="AMC"/>
    <m/>
    <s v="No"/>
    <s v="No"/>
    <s v="No"/>
    <s v="Yes"/>
    <s v="No"/>
    <s v="Yes"/>
    <s v="No"/>
    <s v="No"/>
    <s v="No"/>
    <s v="N/A"/>
    <m/>
    <m/>
    <n v="4754985988.6004429"/>
    <s v="IDA"/>
    <s v="Approved"/>
    <n v="825000000"/>
    <n v="825000000"/>
    <n v="0"/>
    <n v="748000000"/>
    <n v="27000000"/>
    <n v="25000000"/>
    <m/>
    <s v="Approved"/>
    <s v="Loan"/>
    <n v="700000000"/>
    <n v="662500000"/>
    <n v="0"/>
    <n v="37500000"/>
    <m/>
    <m/>
    <m/>
    <m/>
    <m/>
    <m/>
    <m/>
    <m/>
    <s v=""/>
    <s v=""/>
    <s v=""/>
    <m/>
    <m/>
    <m/>
    <m/>
    <n v="5300000"/>
    <n v="3494059"/>
    <n v="100000"/>
    <n v="70000"/>
    <n v="25000"/>
    <n v="2678432"/>
    <m/>
    <s v="Yes"/>
    <n v="1428676"/>
    <s v="UNICEF"/>
    <s v="Disbursed"/>
    <n v="4914708"/>
    <s v="Disbursed"/>
    <n v="4499999.7"/>
    <m/>
    <m/>
    <m/>
    <n v="2831663"/>
    <n v="45600"/>
    <n v="99000"/>
    <m/>
    <m/>
    <m/>
    <m/>
    <m/>
    <n v="1600000"/>
    <n v="0"/>
    <n v="0"/>
    <n v="4914708"/>
    <n v="111046910"/>
    <n v="33314073"/>
    <n v="52487137.700000003"/>
    <n v="1.5755244848025638"/>
    <n v="1.1816433636019228"/>
    <n v="0.6752247792010988"/>
    <n v="0.47265734544076915"/>
    <n v="27000000"/>
    <n v="11472491"/>
    <n v="2930663"/>
    <n v="8025722"/>
    <n v="15483983.399999999"/>
  </r>
  <r>
    <s v="POL"/>
    <x v="108"/>
    <x v="3"/>
    <x v="5"/>
    <s v="SFC"/>
    <m/>
    <s v="Yes"/>
    <s v="Yes"/>
    <s v="No"/>
    <s v="No"/>
    <s v="Yes"/>
    <s v="Yes"/>
    <s v="No"/>
    <s v="No"/>
    <s v="No"/>
    <m/>
    <m/>
    <m/>
    <n v="26422210443.037273"/>
    <s v="IBRD"/>
    <s v=""/>
    <s v=""/>
    <s v=""/>
    <s v=""/>
    <s v=""/>
    <s v=""/>
    <s v=""/>
    <m/>
    <m/>
    <s v=""/>
    <s v=""/>
    <s v=""/>
    <s v=""/>
    <s v=""/>
    <m/>
    <m/>
    <m/>
    <m/>
    <m/>
    <m/>
    <m/>
    <m/>
    <s v=""/>
    <s v=""/>
    <s v=""/>
    <m/>
    <m/>
    <m/>
    <m/>
    <s v=""/>
    <m/>
    <s v=""/>
    <n v="0"/>
    <n v="0"/>
    <s v=""/>
    <m/>
    <s v=""/>
    <s v=""/>
    <s v=""/>
    <s v=""/>
    <s v=""/>
    <s v=""/>
    <s v=""/>
    <m/>
    <m/>
    <m/>
    <m/>
    <s v=""/>
    <s v=""/>
    <m/>
    <m/>
    <m/>
    <m/>
    <m/>
    <n v="0"/>
    <s v=""/>
    <s v=""/>
    <n v="0"/>
    <n v="37846605"/>
    <n v="11353981.5"/>
    <n v="0"/>
    <n v="0"/>
    <n v="0"/>
    <n v="0"/>
    <n v="0"/>
    <n v="0"/>
    <n v="0"/>
    <n v="0"/>
    <n v="0"/>
    <n v="0"/>
  </r>
  <r>
    <s v="ROU"/>
    <x v="109"/>
    <x v="3"/>
    <x v="3"/>
    <s v="SFC"/>
    <m/>
    <s v="Yes"/>
    <s v="Yes"/>
    <s v="No"/>
    <s v="No"/>
    <s v="Yes"/>
    <s v="Yes"/>
    <s v="No"/>
    <s v="No"/>
    <s v="No"/>
    <m/>
    <m/>
    <m/>
    <n v="10696495313.15033"/>
    <s v="IBRD"/>
    <s v=""/>
    <s v=""/>
    <s v=""/>
    <s v=""/>
    <s v=""/>
    <s v=""/>
    <s v=""/>
    <m/>
    <m/>
    <s v=""/>
    <s v=""/>
    <s v=""/>
    <s v=""/>
    <s v=""/>
    <m/>
    <m/>
    <m/>
    <m/>
    <m/>
    <m/>
    <m/>
    <m/>
    <s v=""/>
    <s v=""/>
    <s v=""/>
    <m/>
    <m/>
    <m/>
    <m/>
    <n v="2400000"/>
    <m/>
    <n v="50000"/>
    <n v="0"/>
    <n v="0"/>
    <s v=""/>
    <m/>
    <s v=""/>
    <s v=""/>
    <s v=""/>
    <s v=""/>
    <s v=""/>
    <s v=""/>
    <s v=""/>
    <m/>
    <m/>
    <m/>
    <m/>
    <n v="0"/>
    <s v=""/>
    <m/>
    <m/>
    <m/>
    <m/>
    <m/>
    <n v="1200000"/>
    <s v=""/>
    <s v=""/>
    <n v="0"/>
    <n v="19237682"/>
    <n v="5771304.5999999996"/>
    <n v="2450000"/>
    <n v="0.4245140691413169"/>
    <n v="0.3183855518559876"/>
    <n v="0.18193460106056439"/>
    <n v="0.12735422074239505"/>
    <n v="0"/>
    <n v="2400000"/>
    <n v="0"/>
    <n v="1250000"/>
    <n v="0"/>
  </r>
  <r>
    <s v="RUS"/>
    <x v="110"/>
    <x v="3"/>
    <x v="3"/>
    <s v="SFC"/>
    <m/>
    <s v="Yes"/>
    <s v="Yes"/>
    <s v="No"/>
    <s v="No"/>
    <s v="Yes"/>
    <s v="Yes"/>
    <s v="No"/>
    <s v="No"/>
    <s v="No"/>
    <m/>
    <m/>
    <m/>
    <n v="52769713433.240509"/>
    <s v="IBRD"/>
    <s v=""/>
    <s v=""/>
    <s v=""/>
    <s v=""/>
    <s v=""/>
    <s v=""/>
    <s v=""/>
    <m/>
    <m/>
    <s v=""/>
    <s v=""/>
    <s v=""/>
    <s v=""/>
    <s v=""/>
    <m/>
    <m/>
    <m/>
    <m/>
    <m/>
    <m/>
    <m/>
    <m/>
    <s v=""/>
    <s v=""/>
    <s v=""/>
    <m/>
    <m/>
    <m/>
    <m/>
    <s v=""/>
    <m/>
    <s v=""/>
    <n v="0"/>
    <n v="0"/>
    <s v=""/>
    <m/>
    <s v=""/>
    <s v=""/>
    <s v=""/>
    <s v=""/>
    <s v=""/>
    <s v=""/>
    <s v=""/>
    <m/>
    <m/>
    <m/>
    <m/>
    <s v=""/>
    <s v=""/>
    <m/>
    <m/>
    <m/>
    <m/>
    <m/>
    <n v="0"/>
    <s v=""/>
    <s v=""/>
    <n v="0"/>
    <n v="145934460"/>
    <n v="43780338"/>
    <n v="0"/>
    <n v="0"/>
    <n v="0"/>
    <n v="0"/>
    <n v="0"/>
    <n v="0"/>
    <n v="0"/>
    <n v="0"/>
    <n v="0"/>
    <n v="0"/>
  </r>
  <r>
    <s v="RWA"/>
    <x v="111"/>
    <x v="5"/>
    <x v="2"/>
    <s v="AMC"/>
    <m/>
    <s v="No"/>
    <s v="No"/>
    <s v="No"/>
    <s v="Yes"/>
    <s v="No"/>
    <s v="Yes"/>
    <s v="No"/>
    <s v="Yes"/>
    <s v="No"/>
    <s v="Moderate"/>
    <s v="Yes"/>
    <m/>
    <n v="225799814.51943746"/>
    <s v="IDA"/>
    <s v="Approved"/>
    <n v="45000000"/>
    <n v="14900000"/>
    <n v="30200000"/>
    <n v="18700000"/>
    <n v="7400000"/>
    <n v="19000000"/>
    <m/>
    <m/>
    <s v=""/>
    <s v=""/>
    <s v=""/>
    <s v=""/>
    <s v=""/>
    <m/>
    <m/>
    <m/>
    <s v="Yes"/>
    <m/>
    <m/>
    <m/>
    <m/>
    <s v=""/>
    <s v=""/>
    <s v=""/>
    <m/>
    <m/>
    <m/>
    <m/>
    <n v="1830000"/>
    <m/>
    <n v="374000"/>
    <n v="135238.88888888888"/>
    <n v="100309"/>
    <s v=""/>
    <m/>
    <s v="Yes"/>
    <n v="381994"/>
    <s v="GAVI"/>
    <s v="Disbursed"/>
    <n v="893334"/>
    <s v=""/>
    <s v=""/>
    <m/>
    <m/>
    <m/>
    <m/>
    <n v="200000"/>
    <s v=""/>
    <m/>
    <m/>
    <m/>
    <m/>
    <m/>
    <n v="0"/>
    <s v=""/>
    <n v="58776"/>
    <n v="58776"/>
    <n v="13276517"/>
    <n v="3982955.0999999996"/>
    <n v="11314875.888888888"/>
    <n v="2.8408243640228052"/>
    <n v="2.1306182730171037"/>
    <n v="1.2174961560097739"/>
    <n v="0.85224730920684155"/>
    <n v="7400000"/>
    <n v="1830000"/>
    <n v="0"/>
    <n v="432776"/>
    <n v="1710875.888888889"/>
  </r>
  <r>
    <s v="WSM"/>
    <x v="112"/>
    <x v="8"/>
    <x v="4"/>
    <s v="AMC"/>
    <m/>
    <s v="No"/>
    <s v="No"/>
    <s v="No"/>
    <s v="Yes"/>
    <s v="No"/>
    <s v="Yes"/>
    <s v="No"/>
    <s v="Yes"/>
    <s v="Yes"/>
    <s v="High"/>
    <m/>
    <m/>
    <n v="32192988.027009469"/>
    <s v="IDA"/>
    <s v=""/>
    <s v=""/>
    <s v=""/>
    <s v=""/>
    <s v=""/>
    <s v=""/>
    <s v=""/>
    <s v="Yes"/>
    <s v="Approved"/>
    <s v="Grant"/>
    <n v="8000000"/>
    <n v="2290000"/>
    <n v="3160000"/>
    <n v="2550000"/>
    <m/>
    <m/>
    <m/>
    <m/>
    <m/>
    <m/>
    <m/>
    <m/>
    <s v=""/>
    <s v=""/>
    <s v=""/>
    <m/>
    <m/>
    <m/>
    <m/>
    <s v=""/>
    <n v="126233"/>
    <n v="0"/>
    <n v="50000"/>
    <n v="25000"/>
    <n v="0"/>
    <n v="25462"/>
    <s v=""/>
    <s v=""/>
    <s v="UNICEF"/>
    <s v=""/>
    <s v=""/>
    <s v=""/>
    <s v=""/>
    <m/>
    <m/>
    <m/>
    <m/>
    <s v=""/>
    <s v=""/>
    <m/>
    <m/>
    <m/>
    <m/>
    <m/>
    <n v="0"/>
    <n v="0"/>
    <s v=""/>
    <n v="0"/>
    <n v="200144"/>
    <n v="60043.199999999997"/>
    <n v="3386695"/>
    <n v="56.404305566658678"/>
    <n v="42.303229174994001"/>
    <n v="24.17327381428229"/>
    <n v="16.921291669997601"/>
    <n v="3160000"/>
    <n v="151695"/>
    <n v="0"/>
    <n v="151695"/>
    <n v="75000"/>
  </r>
  <r>
    <s v="STP"/>
    <x v="113"/>
    <x v="7"/>
    <x v="4"/>
    <s v="AMC"/>
    <m/>
    <s v="No"/>
    <s v="No"/>
    <s v="No"/>
    <s v="Yes"/>
    <s v="No"/>
    <s v="Yes"/>
    <s v="No"/>
    <s v="Yes"/>
    <s v="Yes"/>
    <s v="In distress"/>
    <m/>
    <m/>
    <n v="11633535.136477679"/>
    <s v="IDA"/>
    <s v="Approved"/>
    <n v="6500000"/>
    <n v="0"/>
    <n v="6500000"/>
    <n v="1800000"/>
    <n v="1800000"/>
    <n v="3000000"/>
    <m/>
    <m/>
    <s v=""/>
    <s v=""/>
    <s v=""/>
    <s v=""/>
    <s v=""/>
    <m/>
    <m/>
    <m/>
    <s v="Yes"/>
    <m/>
    <m/>
    <m/>
    <m/>
    <s v=""/>
    <s v=""/>
    <s v=""/>
    <m/>
    <m/>
    <m/>
    <m/>
    <n v="200000"/>
    <m/>
    <n v="0"/>
    <n v="46300"/>
    <n v="321989"/>
    <s v=""/>
    <m/>
    <s v="Yes"/>
    <n v="91602"/>
    <s v="GAVI"/>
    <s v="Disbursed"/>
    <n v="978461"/>
    <s v=""/>
    <s v=""/>
    <m/>
    <m/>
    <m/>
    <m/>
    <n v="40000"/>
    <s v=""/>
    <m/>
    <m/>
    <m/>
    <m/>
    <m/>
    <n v="200000"/>
    <s v=""/>
    <n v="194440"/>
    <n v="194440"/>
    <n v="223364"/>
    <n v="67009.2"/>
    <n v="3478352"/>
    <n v="51.908573748082354"/>
    <n v="38.93143031106176"/>
    <n v="22.24653160632101"/>
    <n v="15.572572124424706"/>
    <n v="1800000"/>
    <n v="200000"/>
    <n v="0"/>
    <n v="394440"/>
    <n v="1478352"/>
  </r>
  <r>
    <s v="SEN"/>
    <x v="114"/>
    <x v="7"/>
    <x v="4"/>
    <s v="AMC"/>
    <n v="2"/>
    <s v="No"/>
    <s v="No"/>
    <s v="No"/>
    <s v="Yes"/>
    <s v="No"/>
    <s v="Yes"/>
    <s v="No"/>
    <s v="Yes"/>
    <s v="Yes"/>
    <s v="Moderate"/>
    <m/>
    <m/>
    <n v="222008693.93354639"/>
    <s v="IDA"/>
    <s v="Approved"/>
    <n v="134000000"/>
    <n v="67000000"/>
    <n v="67000000"/>
    <n v="76100000"/>
    <n v="54900000"/>
    <n v="3000000"/>
    <m/>
    <m/>
    <s v=""/>
    <s v=""/>
    <s v=""/>
    <s v=""/>
    <s v=""/>
    <s v="Yes"/>
    <m/>
    <m/>
    <s v="Yes"/>
    <m/>
    <m/>
    <m/>
    <m/>
    <s v=""/>
    <s v=""/>
    <s v=""/>
    <m/>
    <m/>
    <m/>
    <m/>
    <n v="2200000"/>
    <n v="891000"/>
    <n v="779275"/>
    <n v="171296.29629629629"/>
    <n v="186993"/>
    <s v=""/>
    <m/>
    <s v="Yes"/>
    <n v="463070"/>
    <s v="GAVI"/>
    <s v="Disbursed"/>
    <n v="1380115"/>
    <s v=""/>
    <s v=""/>
    <m/>
    <m/>
    <m/>
    <n v="779275"/>
    <n v="225000"/>
    <s v=""/>
    <m/>
    <m/>
    <m/>
    <m/>
    <m/>
    <n v="900000"/>
    <s v=""/>
    <n v="0"/>
    <n v="0"/>
    <n v="17196308"/>
    <n v="5158892.3999999994"/>
    <n v="61976024.296296299"/>
    <n v="12.013436119795076"/>
    <n v="9.0100770898463054"/>
    <n v="5.1486154799121753"/>
    <n v="3.6040308359385222"/>
    <n v="54900000"/>
    <n v="3091000"/>
    <n v="779275"/>
    <n v="3349550"/>
    <n v="2426474.2962962962"/>
  </r>
  <r>
    <s v="SRB"/>
    <x v="115"/>
    <x v="3"/>
    <x v="3"/>
    <s v="SFC"/>
    <m/>
    <s v="Yes"/>
    <s v="Yes"/>
    <s v="No"/>
    <s v="No"/>
    <s v="Yes"/>
    <s v="Yes"/>
    <s v="No"/>
    <s v="No"/>
    <s v="No"/>
    <m/>
    <m/>
    <m/>
    <n v="2564993795.1894679"/>
    <s v="IBRD"/>
    <s v=""/>
    <s v=""/>
    <s v=""/>
    <s v=""/>
    <s v=""/>
    <s v=""/>
    <s v=""/>
    <m/>
    <m/>
    <s v=""/>
    <s v=""/>
    <s v=""/>
    <s v=""/>
    <s v=""/>
    <m/>
    <m/>
    <m/>
    <m/>
    <m/>
    <m/>
    <m/>
    <m/>
    <s v=""/>
    <s v=""/>
    <s v=""/>
    <m/>
    <m/>
    <m/>
    <m/>
    <n v="2500000"/>
    <m/>
    <n v="100000"/>
    <n v="0"/>
    <n v="0"/>
    <s v=""/>
    <m/>
    <s v=""/>
    <s v=""/>
    <s v=""/>
    <s v=""/>
    <s v=""/>
    <s v=""/>
    <s v=""/>
    <m/>
    <m/>
    <m/>
    <m/>
    <n v="0"/>
    <s v=""/>
    <m/>
    <m/>
    <m/>
    <m/>
    <m/>
    <n v="0"/>
    <s v=""/>
    <s v=""/>
    <n v="0"/>
    <n v="8697547"/>
    <n v="2609264.1"/>
    <n v="2600000"/>
    <n v="0.99644953533067038"/>
    <n v="0.74733715149800273"/>
    <n v="0.42704980085600164"/>
    <n v="0.29893486059920116"/>
    <n v="0"/>
    <n v="2500000"/>
    <n v="0"/>
    <n v="100000"/>
    <n v="0"/>
  </r>
  <r>
    <s v="SYC"/>
    <x v="116"/>
    <x v="5"/>
    <x v="5"/>
    <s v="SFC"/>
    <m/>
    <s v="Yes"/>
    <s v="Yes"/>
    <s v="No"/>
    <s v="No"/>
    <s v="Yes"/>
    <s v="Yes"/>
    <s v="No"/>
    <s v="No"/>
    <s v="No"/>
    <s v="N/A"/>
    <m/>
    <m/>
    <n v="60237542.945069775"/>
    <s v="IBRD"/>
    <s v=""/>
    <n v="0"/>
    <n v="0"/>
    <n v="0"/>
    <n v="0"/>
    <n v="0"/>
    <n v="0"/>
    <m/>
    <m/>
    <s v=""/>
    <s v=""/>
    <s v=""/>
    <s v=""/>
    <s v=""/>
    <m/>
    <m/>
    <m/>
    <m/>
    <m/>
    <m/>
    <m/>
    <m/>
    <s v=""/>
    <s v=""/>
    <s v=""/>
    <m/>
    <m/>
    <m/>
    <m/>
    <n v="330000"/>
    <m/>
    <s v=""/>
    <n v="0"/>
    <n v="0"/>
    <s v=""/>
    <m/>
    <s v=""/>
    <s v=""/>
    <s v=""/>
    <s v=""/>
    <s v=""/>
    <s v=""/>
    <s v=""/>
    <m/>
    <m/>
    <m/>
    <m/>
    <s v=""/>
    <s v=""/>
    <m/>
    <m/>
    <m/>
    <m/>
    <m/>
    <n v="0"/>
    <s v=""/>
    <s v=""/>
    <n v="0"/>
    <n v="98340"/>
    <n v="29502"/>
    <n v="330000"/>
    <n v="11.185682326621924"/>
    <n v="8.3892617449664435"/>
    <n v="4.7938638542665393"/>
    <n v="3.3557046979865772"/>
    <n v="0"/>
    <n v="330000"/>
    <n v="0"/>
    <n v="0"/>
    <n v="0"/>
  </r>
  <r>
    <s v="SLE"/>
    <x v="117"/>
    <x v="7"/>
    <x v="2"/>
    <s v="AMC"/>
    <m/>
    <s v="No"/>
    <s v="No"/>
    <s v="No"/>
    <s v="Yes"/>
    <s v="No"/>
    <s v="Yes"/>
    <s v="No"/>
    <s v="Yes"/>
    <s v="Yes"/>
    <s v="High"/>
    <m/>
    <m/>
    <n v="63738640.538260505"/>
    <s v="IDA"/>
    <s v="Approved"/>
    <n v="26600000"/>
    <n v="0"/>
    <n v="26600000"/>
    <n v="16399999.999999998"/>
    <n v="8500000"/>
    <n v="1700000"/>
    <m/>
    <m/>
    <s v=""/>
    <s v=""/>
    <s v=""/>
    <s v=""/>
    <s v=""/>
    <m/>
    <m/>
    <m/>
    <s v="Yes"/>
    <m/>
    <m/>
    <m/>
    <m/>
    <s v=""/>
    <s v=""/>
    <s v=""/>
    <m/>
    <n v="173000"/>
    <m/>
    <n v="1114766"/>
    <n v="2000000"/>
    <m/>
    <n v="472533"/>
    <n v="94500"/>
    <n v="148730"/>
    <s v=""/>
    <m/>
    <s v="Yes"/>
    <n v="279827"/>
    <s v="GAVI"/>
    <s v="Disbursed"/>
    <n v="967687"/>
    <s v="Submitted"/>
    <s v=""/>
    <m/>
    <m/>
    <m/>
    <n v="472533"/>
    <n v="215000"/>
    <s v=""/>
    <m/>
    <m/>
    <m/>
    <n v="2172278.56"/>
    <m/>
    <n v="1450000"/>
    <s v=""/>
    <n v="715040"/>
    <n v="715040"/>
    <n v="8141343"/>
    <n v="2442402.9"/>
    <n v="16610854.560000001"/>
    <n v="6.8010296581288863"/>
    <n v="5.1007722435966647"/>
    <n v="2.9147269963409514"/>
    <n v="2.0403088974386661"/>
    <n v="8500000"/>
    <n v="3114766"/>
    <n v="472533"/>
    <n v="4224872"/>
    <n v="4051022.56"/>
  </r>
  <r>
    <s v="SLB"/>
    <x v="118"/>
    <x v="8"/>
    <x v="4"/>
    <s v="AMC"/>
    <m/>
    <s v="No"/>
    <s v="No"/>
    <s v="No"/>
    <s v="Yes"/>
    <s v="No"/>
    <s v="Yes"/>
    <s v="No"/>
    <s v="Yes"/>
    <s v="No"/>
    <s v="Moderate"/>
    <s v="Yes"/>
    <m/>
    <n v="49012774.055630356"/>
    <s v="IDA"/>
    <s v=""/>
    <s v=""/>
    <s v=""/>
    <s v=""/>
    <s v=""/>
    <s v=""/>
    <s v=""/>
    <s v="Yes"/>
    <m/>
    <s v=""/>
    <s v=""/>
    <s v=""/>
    <s v=""/>
    <s v=""/>
    <m/>
    <m/>
    <m/>
    <m/>
    <m/>
    <m/>
    <m/>
    <m/>
    <s v=""/>
    <s v=""/>
    <s v=""/>
    <m/>
    <m/>
    <m/>
    <m/>
    <s v=""/>
    <n v="3316389"/>
    <n v="0"/>
    <n v="151000"/>
    <n v="93090"/>
    <n v="0"/>
    <n v="107682"/>
    <s v=""/>
    <s v=""/>
    <s v="GAVI"/>
    <s v=""/>
    <s v=""/>
    <s v=""/>
    <s v=""/>
    <m/>
    <m/>
    <m/>
    <m/>
    <n v="75200"/>
    <s v=""/>
    <m/>
    <m/>
    <m/>
    <m/>
    <m/>
    <n v="0"/>
    <n v="0"/>
    <s v=""/>
    <n v="0"/>
    <n v="703995"/>
    <n v="211198.5"/>
    <n v="3743361"/>
    <n v="17.724373042422176"/>
    <n v="13.293279781816633"/>
    <n v="7.5961598753237904"/>
    <n v="5.3173119127266526"/>
    <n v="0"/>
    <n v="3424071"/>
    <n v="0"/>
    <n v="3424071"/>
    <n v="319290"/>
  </r>
  <r>
    <s v="SOM"/>
    <x v="119"/>
    <x v="5"/>
    <x v="2"/>
    <s v="AMC"/>
    <n v="1"/>
    <s v="No"/>
    <s v="No"/>
    <s v="No"/>
    <s v="Yes"/>
    <s v="No"/>
    <s v="Yes"/>
    <s v="No"/>
    <s v="Yes"/>
    <s v="No"/>
    <s v="In distress"/>
    <s v="Yes"/>
    <m/>
    <s v=""/>
    <s v="IDA"/>
    <s v="Approved"/>
    <n v="45000000"/>
    <n v="0"/>
    <n v="45000000"/>
    <n v="13000000"/>
    <n v="18000000"/>
    <n v="14000000"/>
    <m/>
    <m/>
    <s v=""/>
    <s v=""/>
    <s v=""/>
    <s v=""/>
    <s v=""/>
    <m/>
    <m/>
    <m/>
    <s v="Yes"/>
    <m/>
    <m/>
    <m/>
    <m/>
    <s v=""/>
    <s v=""/>
    <s v=""/>
    <m/>
    <n v="995840"/>
    <m/>
    <s v="Yes"/>
    <n v="1500000"/>
    <n v="815580"/>
    <n v="2015014"/>
    <n v="499062.40740740742"/>
    <n v="557990.22"/>
    <s v=""/>
    <m/>
    <s v="Yes"/>
    <n v="455449"/>
    <s v="GAVI"/>
    <s v="Disbursed"/>
    <n v="5100000"/>
    <s v="Not yet submitted"/>
    <s v=""/>
    <m/>
    <m/>
    <m/>
    <n v="345491"/>
    <n v="3077980"/>
    <s v=""/>
    <m/>
    <m/>
    <m/>
    <m/>
    <m/>
    <n v="1500000"/>
    <s v=""/>
    <n v="2620776"/>
    <n v="2620776"/>
    <n v="16359500"/>
    <n v="4907850"/>
    <n v="33362406.627407409"/>
    <n v="6.797764118179531"/>
    <n v="5.0983230886346478"/>
    <n v="2.9133274792197987"/>
    <n v="2.039329235453859"/>
    <n v="18000000"/>
    <n v="2315580"/>
    <n v="345491"/>
    <n v="7296861"/>
    <n v="10686321.627407407"/>
  </r>
  <r>
    <s v="ZAF"/>
    <x v="120"/>
    <x v="5"/>
    <x v="3"/>
    <s v="SFC"/>
    <m/>
    <s v="Yes"/>
    <s v="Yes"/>
    <s v="No"/>
    <s v="No"/>
    <s v="Yes"/>
    <s v="Yes"/>
    <s v="No"/>
    <s v="No"/>
    <s v="No"/>
    <s v="N/A"/>
    <m/>
    <m/>
    <n v="16429121142.784708"/>
    <s v="IBRD"/>
    <s v=""/>
    <n v="0"/>
    <n v="0"/>
    <n v="0"/>
    <n v="0"/>
    <n v="0"/>
    <n v="0"/>
    <m/>
    <m/>
    <s v=""/>
    <s v=""/>
    <s v=""/>
    <s v=""/>
    <s v=""/>
    <m/>
    <m/>
    <m/>
    <s v="Yes"/>
    <m/>
    <m/>
    <m/>
    <m/>
    <s v=""/>
    <s v=""/>
    <s v=""/>
    <m/>
    <m/>
    <m/>
    <m/>
    <n v="10000000"/>
    <m/>
    <n v="1872229"/>
    <n v="0"/>
    <n v="0"/>
    <s v=""/>
    <m/>
    <s v=""/>
    <s v=""/>
    <s v=""/>
    <s v=""/>
    <s v=""/>
    <s v=""/>
    <s v=""/>
    <m/>
    <m/>
    <m/>
    <n v="555556"/>
    <n v="0"/>
    <n v="987000"/>
    <m/>
    <m/>
    <m/>
    <m/>
    <m/>
    <n v="0"/>
    <s v=""/>
    <s v=""/>
    <n v="0"/>
    <n v="60041996"/>
    <n v="18012598.800000001"/>
    <n v="13414785"/>
    <n v="0.74474456178971793"/>
    <n v="0.55855842134228839"/>
    <n v="0.319176240767022"/>
    <n v="0.22342336853691538"/>
    <n v="0"/>
    <n v="10000000"/>
    <n v="1542556"/>
    <n v="2427785"/>
    <n v="0"/>
  </r>
  <r>
    <s v="SSD"/>
    <x v="121"/>
    <x v="5"/>
    <x v="2"/>
    <s v="AMC"/>
    <n v="1"/>
    <s v="No"/>
    <s v="No"/>
    <s v="No"/>
    <s v="Yes"/>
    <s v="No"/>
    <s v="Yes"/>
    <s v="No"/>
    <s v="Yes"/>
    <s v="No"/>
    <s v="High"/>
    <s v="Yes"/>
    <m/>
    <n v="31684581.76217727"/>
    <s v="IDA"/>
    <s v="Approved"/>
    <n v="63900000"/>
    <n v="0"/>
    <n v="63900000"/>
    <n v="0"/>
    <n v="7500000"/>
    <n v="56400000"/>
    <m/>
    <m/>
    <s v=""/>
    <s v=""/>
    <s v=""/>
    <s v=""/>
    <s v=""/>
    <m/>
    <m/>
    <m/>
    <s v="Yes"/>
    <m/>
    <m/>
    <m/>
    <m/>
    <s v=""/>
    <s v=""/>
    <s v=""/>
    <m/>
    <n v="500000"/>
    <m/>
    <s v="Yes"/>
    <n v="2934755"/>
    <n v="1005223"/>
    <n v="680600"/>
    <n v="305807.40740740742"/>
    <n v="351367"/>
    <s v=""/>
    <m/>
    <s v="Yes"/>
    <n v="344160"/>
    <s v="GAVI"/>
    <s v="Disbursed"/>
    <n v="2766766"/>
    <s v=""/>
    <s v=""/>
    <m/>
    <m/>
    <m/>
    <m/>
    <n v="1337523"/>
    <s v=""/>
    <m/>
    <n v="1620781"/>
    <m/>
    <m/>
    <m/>
    <n v="0"/>
    <s v=""/>
    <n v="970391"/>
    <n v="970391"/>
    <n v="11381377"/>
    <n v="3414413.1"/>
    <n v="19346982.407407407"/>
    <n v="5.6662687966512912"/>
    <n v="4.2497015974884693"/>
    <n v="2.4284009128505537"/>
    <n v="1.6998806389953875"/>
    <n v="7500000"/>
    <n v="5560759"/>
    <n v="0"/>
    <n v="4276995"/>
    <n v="5605623.4074074076"/>
  </r>
  <r>
    <s v="LKA"/>
    <x v="122"/>
    <x v="2"/>
    <x v="4"/>
    <s v="AMC"/>
    <m/>
    <s v="Yes"/>
    <s v="Yes"/>
    <s v="No"/>
    <s v="No"/>
    <s v="Yes"/>
    <s v="Yes"/>
    <s v="No"/>
    <s v="No"/>
    <s v="No"/>
    <s v="N/A"/>
    <m/>
    <m/>
    <n v="1373621563.5182886"/>
    <s v="IBRD"/>
    <s v="Approved"/>
    <n v="180500000"/>
    <n v="180500000"/>
    <n v="0"/>
    <n v="41400000"/>
    <n v="39100000"/>
    <n v="0"/>
    <m/>
    <s v="Approved"/>
    <s v="Loan"/>
    <n v="150000000"/>
    <n v="84000000"/>
    <n v="48970000"/>
    <n v="17030000"/>
    <s v="Yes"/>
    <m/>
    <m/>
    <m/>
    <m/>
    <m/>
    <m/>
    <m/>
    <s v=""/>
    <s v=""/>
    <s v=""/>
    <m/>
    <m/>
    <m/>
    <m/>
    <n v="1000000"/>
    <n v="2166298"/>
    <n v="500000"/>
    <n v="46000"/>
    <n v="160000"/>
    <s v=""/>
    <m/>
    <s v="Yes"/>
    <n v="374093"/>
    <s v="UNICEF"/>
    <s v="Disbursed"/>
    <n v="981803"/>
    <s v="Disbursed"/>
    <n v="979797"/>
    <m/>
    <m/>
    <m/>
    <m/>
    <n v="40000"/>
    <s v=""/>
    <m/>
    <m/>
    <m/>
    <m/>
    <m/>
    <n v="0"/>
    <s v=""/>
    <n v="0"/>
    <n v="981803"/>
    <n v="21497306"/>
    <n v="6449191.7999999998"/>
    <n v="94317991"/>
    <n v="14.624776859636894"/>
    <n v="10.96858264472767"/>
    <n v="6.2677615112729548"/>
    <n v="4.3874330578910676"/>
    <n v="88070000"/>
    <n v="3166298"/>
    <n v="0"/>
    <n v="2666298"/>
    <n v="3561490"/>
  </r>
  <r>
    <s v="KNA"/>
    <x v="123"/>
    <x v="6"/>
    <x v="5"/>
    <s v="SFC"/>
    <m/>
    <s v="Yes"/>
    <s v="Yes"/>
    <s v="No"/>
    <s v="No"/>
    <s v="Yes"/>
    <s v="Yes"/>
    <s v="No"/>
    <s v="No"/>
    <s v="No"/>
    <m/>
    <m/>
    <m/>
    <n v="24214370.889062837"/>
    <s v="IBRD"/>
    <s v=""/>
    <s v=""/>
    <s v=""/>
    <s v=""/>
    <s v=""/>
    <s v=""/>
    <s v=""/>
    <m/>
    <m/>
    <s v=""/>
    <s v=""/>
    <s v=""/>
    <s v=""/>
    <s v=""/>
    <m/>
    <m/>
    <m/>
    <m/>
    <m/>
    <m/>
    <m/>
    <m/>
    <s v=""/>
    <s v=""/>
    <s v=""/>
    <m/>
    <m/>
    <m/>
    <m/>
    <s v=""/>
    <m/>
    <s v=""/>
    <n v="0"/>
    <n v="0"/>
    <s v=""/>
    <m/>
    <s v=""/>
    <s v=""/>
    <s v=""/>
    <s v=""/>
    <s v=""/>
    <s v=""/>
    <s v=""/>
    <m/>
    <m/>
    <m/>
    <m/>
    <s v=""/>
    <s v=""/>
    <m/>
    <m/>
    <m/>
    <m/>
    <m/>
    <n v="0"/>
    <s v=""/>
    <s v=""/>
    <n v="0"/>
    <n v="53192"/>
    <n v="15957.599999999999"/>
    <n v="0"/>
    <n v="0"/>
    <n v="0"/>
    <n v="0"/>
    <n v="0"/>
    <n v="0"/>
    <n v="0"/>
    <n v="0"/>
    <n v="0"/>
    <n v="0"/>
  </r>
  <r>
    <s v="LCA"/>
    <x v="124"/>
    <x v="6"/>
    <x v="3"/>
    <s v="AMC"/>
    <m/>
    <s v="Yes"/>
    <s v="Yes"/>
    <s v="No"/>
    <s v="No"/>
    <s v="Yes"/>
    <s v="Yes"/>
    <s v="No"/>
    <s v="Yes"/>
    <s v="Yes"/>
    <s v="…"/>
    <m/>
    <m/>
    <n v="39941279.609447442"/>
    <s v="IBRD"/>
    <s v=""/>
    <s v=""/>
    <s v=""/>
    <s v=""/>
    <s v=""/>
    <s v=""/>
    <s v=""/>
    <m/>
    <m/>
    <s v=""/>
    <s v=""/>
    <s v=""/>
    <s v=""/>
    <s v=""/>
    <s v="Yes"/>
    <m/>
    <m/>
    <m/>
    <m/>
    <m/>
    <m/>
    <m/>
    <s v=""/>
    <s v=""/>
    <s v=""/>
    <m/>
    <m/>
    <m/>
    <m/>
    <s v=""/>
    <m/>
    <n v="75000"/>
    <n v="0"/>
    <n v="50000"/>
    <s v=""/>
    <m/>
    <s v=""/>
    <s v=""/>
    <s v="UNICEF"/>
    <s v="Disbursed"/>
    <n v="230000"/>
    <s v=""/>
    <s v=""/>
    <m/>
    <m/>
    <m/>
    <m/>
    <n v="0"/>
    <s v=""/>
    <m/>
    <m/>
    <m/>
    <m/>
    <m/>
    <n v="0"/>
    <s v=""/>
    <n v="0"/>
    <n v="230000"/>
    <n v="184401"/>
    <n v="55320.299999999996"/>
    <n v="355000"/>
    <n v="6.4171741657221677"/>
    <n v="4.8128806242916244"/>
    <n v="2.7502174995952147"/>
    <n v="1.9251522497166502"/>
    <n v="0"/>
    <n v="0"/>
    <n v="0"/>
    <n v="75000"/>
    <n v="280000"/>
  </r>
  <r>
    <s v="VCT"/>
    <x v="125"/>
    <x v="6"/>
    <x v="3"/>
    <s v="AMC"/>
    <m/>
    <s v="No"/>
    <s v="No"/>
    <s v="Yes"/>
    <s v="Yes"/>
    <s v="No"/>
    <s v="Yes"/>
    <s v="No"/>
    <s v="Yes"/>
    <s v="Yes"/>
    <s v="High"/>
    <m/>
    <m/>
    <n v="24761675.260059897"/>
    <s v="Blend"/>
    <s v=""/>
    <s v=""/>
    <s v=""/>
    <s v=""/>
    <s v=""/>
    <s v=""/>
    <s v=""/>
    <m/>
    <m/>
    <s v=""/>
    <s v=""/>
    <s v=""/>
    <s v=""/>
    <s v=""/>
    <m/>
    <m/>
    <m/>
    <m/>
    <m/>
    <m/>
    <m/>
    <m/>
    <s v=""/>
    <s v=""/>
    <s v=""/>
    <m/>
    <m/>
    <m/>
    <m/>
    <s v=""/>
    <m/>
    <n v="75000"/>
    <n v="0"/>
    <n v="65000"/>
    <s v=""/>
    <m/>
    <s v=""/>
    <s v=""/>
    <s v="UNICEF"/>
    <s v="Disbursed"/>
    <n v="230000"/>
    <s v="Disbursed"/>
    <n v="200000"/>
    <m/>
    <m/>
    <m/>
    <m/>
    <n v="0"/>
    <s v=""/>
    <m/>
    <m/>
    <m/>
    <m/>
    <m/>
    <n v="0"/>
    <s v=""/>
    <n v="0"/>
    <n v="230000"/>
    <n v="111269"/>
    <n v="33380.699999999997"/>
    <n v="570000"/>
    <n v="17.075735380024987"/>
    <n v="12.806801535018737"/>
    <n v="7.3181723057249943"/>
    <n v="5.1227206140074957"/>
    <n v="0"/>
    <n v="0"/>
    <n v="0"/>
    <n v="75000"/>
    <n v="695000"/>
  </r>
  <r>
    <s v="PSE"/>
    <x v="126"/>
    <x v="4"/>
    <x v="4"/>
    <s v="AMC"/>
    <m/>
    <s v="No"/>
    <s v="No"/>
    <s v="No"/>
    <s v="No"/>
    <s v="No"/>
    <s v="Yes"/>
    <s v="No"/>
    <s v="No"/>
    <s v="No"/>
    <s v="N/A"/>
    <m/>
    <m/>
    <s v=""/>
    <m/>
    <s v=""/>
    <n v="0"/>
    <n v="0"/>
    <n v="0"/>
    <n v="0"/>
    <n v="0"/>
    <n v="0"/>
    <m/>
    <m/>
    <s v=""/>
    <s v=""/>
    <s v=""/>
    <s v=""/>
    <s v=""/>
    <s v="Yes"/>
    <m/>
    <m/>
    <m/>
    <m/>
    <m/>
    <m/>
    <m/>
    <s v=""/>
    <s v=""/>
    <s v=""/>
    <m/>
    <m/>
    <m/>
    <m/>
    <n v="900000"/>
    <m/>
    <n v="450000"/>
    <n v="25000"/>
    <n v="402999.54000000004"/>
    <s v=""/>
    <m/>
    <s v=""/>
    <s v=""/>
    <s v="UNICEF"/>
    <s v="Disbursed"/>
    <n v="230000"/>
    <s v="Disbursed"/>
    <n v="1000000"/>
    <m/>
    <m/>
    <m/>
    <m/>
    <n v="0"/>
    <s v=""/>
    <m/>
    <m/>
    <m/>
    <m/>
    <m/>
    <n v="0"/>
    <s v=""/>
    <n v="0"/>
    <n v="230000"/>
    <n v="5222756"/>
    <n v="1566826.8"/>
    <n v="3007999.54"/>
    <n v="1.9198034779594018"/>
    <n v="1.4398526084695513"/>
    <n v="0.82277291912545802"/>
    <n v="0.57594104338782048"/>
    <n v="0"/>
    <n v="900000"/>
    <n v="0"/>
    <n v="450000"/>
    <n v="2657999.54"/>
  </r>
  <r>
    <s v="SDN"/>
    <x v="127"/>
    <x v="4"/>
    <x v="2"/>
    <s v="AMC"/>
    <n v="1"/>
    <s v="No"/>
    <s v="No"/>
    <s v="No"/>
    <s v="Yes"/>
    <s v="No"/>
    <s v="Yes"/>
    <s v="No"/>
    <s v="No"/>
    <s v="No"/>
    <s v="N/A"/>
    <s v="Yes"/>
    <m/>
    <n v="577156172.71229994"/>
    <s v="IDA"/>
    <s v="Approved"/>
    <n v="100900000"/>
    <n v="0"/>
    <n v="100000000"/>
    <n v="30400000"/>
    <n v="49600000"/>
    <n v="20900000"/>
    <m/>
    <m/>
    <s v=""/>
    <s v=""/>
    <s v=""/>
    <s v=""/>
    <s v=""/>
    <s v="Yes"/>
    <m/>
    <m/>
    <s v="Yes"/>
    <m/>
    <m/>
    <m/>
    <m/>
    <s v=""/>
    <s v=""/>
    <s v=""/>
    <m/>
    <m/>
    <m/>
    <m/>
    <n v="710000"/>
    <m/>
    <n v="7767500"/>
    <n v="384079.62962962961"/>
    <n v="685003"/>
    <s v=""/>
    <m/>
    <s v="Yes"/>
    <n v="936629"/>
    <s v="GAVI"/>
    <s v="Disbursed"/>
    <n v="3536433"/>
    <s v=""/>
    <s v=""/>
    <m/>
    <m/>
    <m/>
    <n v="476081.75"/>
    <n v="50000"/>
    <s v=""/>
    <m/>
    <m/>
    <m/>
    <m/>
    <m/>
    <n v="0"/>
    <s v=""/>
    <n v="1124355"/>
    <n v="1124355"/>
    <n v="44909351"/>
    <n v="13472805.299999999"/>
    <n v="64145726.379629627"/>
    <n v="4.7611262058117649"/>
    <n v="3.5708446543588228"/>
    <n v="2.0404826596336134"/>
    <n v="1.4283378617435292"/>
    <n v="49600000"/>
    <n v="710000"/>
    <n v="476081.75"/>
    <n v="9367936.75"/>
    <n v="5592144.6296296297"/>
  </r>
  <r>
    <s v="SUR"/>
    <x v="128"/>
    <x v="8"/>
    <x v="3"/>
    <s v="SFC"/>
    <m/>
    <s v="Yes"/>
    <s v="Yes"/>
    <s v="No"/>
    <s v="No"/>
    <s v="Yes"/>
    <s v="Yes"/>
    <s v="No"/>
    <s v="No"/>
    <s v="No"/>
    <m/>
    <m/>
    <m/>
    <n v="180052034.19851837"/>
    <s v="IBRD"/>
    <s v=""/>
    <s v=""/>
    <s v=""/>
    <s v=""/>
    <s v=""/>
    <s v=""/>
    <s v=""/>
    <m/>
    <m/>
    <s v=""/>
    <s v=""/>
    <s v=""/>
    <s v=""/>
    <s v=""/>
    <m/>
    <m/>
    <m/>
    <m/>
    <m/>
    <m/>
    <s v="Yes"/>
    <m/>
    <s v=""/>
    <s v=""/>
    <s v=""/>
    <m/>
    <m/>
    <m/>
    <m/>
    <s v=""/>
    <m/>
    <n v="0"/>
    <n v="0"/>
    <n v="0"/>
    <s v=""/>
    <m/>
    <s v=""/>
    <s v=""/>
    <s v=""/>
    <s v=""/>
    <s v=""/>
    <s v=""/>
    <s v=""/>
    <m/>
    <m/>
    <m/>
    <n v="282294"/>
    <s v=""/>
    <s v=""/>
    <m/>
    <m/>
    <m/>
    <m/>
    <m/>
    <n v="0"/>
    <s v=""/>
    <s v=""/>
    <n v="0"/>
    <n v="591798"/>
    <n v="177539.4"/>
    <n v="282294"/>
    <n v="1.5900357892388957"/>
    <n v="1.1925268419291717"/>
    <n v="0.68144390967381252"/>
    <n v="0.47701073677166872"/>
    <n v="0"/>
    <n v="0"/>
    <n v="282294"/>
    <n v="282294"/>
    <n v="0"/>
  </r>
  <r>
    <s v="SYR"/>
    <x v="129"/>
    <x v="4"/>
    <x v="2"/>
    <s v="AMC"/>
    <n v="1"/>
    <s v="No"/>
    <s v="No"/>
    <s v="No"/>
    <s v="Yes"/>
    <s v="No"/>
    <s v="Yes"/>
    <s v="No"/>
    <s v="No"/>
    <s v="No"/>
    <s v="N/A"/>
    <s v="Yes"/>
    <m/>
    <s v=""/>
    <s v="IDA"/>
    <s v=""/>
    <s v=""/>
    <s v=""/>
    <s v=""/>
    <s v=""/>
    <s v=""/>
    <s v=""/>
    <m/>
    <m/>
    <s v=""/>
    <s v=""/>
    <s v=""/>
    <s v=""/>
    <s v=""/>
    <s v="Yes"/>
    <m/>
    <m/>
    <m/>
    <m/>
    <m/>
    <m/>
    <m/>
    <s v=""/>
    <s v=""/>
    <s v=""/>
    <m/>
    <m/>
    <m/>
    <m/>
    <n v="300000"/>
    <m/>
    <n v="5153018"/>
    <n v="460772.22222222219"/>
    <n v="458787.5"/>
    <s v=""/>
    <m/>
    <s v="Yes"/>
    <n v="340991"/>
    <s v="GAVI"/>
    <s v="Disbursed"/>
    <n v="2730325"/>
    <s v="Submitted"/>
    <s v=""/>
    <m/>
    <m/>
    <m/>
    <m/>
    <n v="175000"/>
    <s v=""/>
    <m/>
    <m/>
    <m/>
    <m/>
    <m/>
    <n v="0"/>
    <s v=""/>
    <n v="1725869"/>
    <n v="1725869"/>
    <n v="18275704"/>
    <n v="5482711.2000000002"/>
    <n v="9618893.722222222"/>
    <n v="1.7544045949788896"/>
    <n v="1.3158034462341672"/>
    <n v="0.75188768356238134"/>
    <n v="0.52632137849366689"/>
    <n v="0"/>
    <n v="300000"/>
    <n v="0"/>
    <n v="6878887"/>
    <n v="4165875.722222222"/>
  </r>
  <r>
    <s v="TJK"/>
    <x v="130"/>
    <x v="3"/>
    <x v="4"/>
    <s v="AMC"/>
    <m/>
    <s v="No"/>
    <s v="No"/>
    <s v="No"/>
    <s v="Yes"/>
    <s v="No"/>
    <s v="Yes"/>
    <s v="No"/>
    <s v="Yes"/>
    <s v="Yes"/>
    <s v="High"/>
    <s v="Yes"/>
    <m/>
    <n v="147296124.32232863"/>
    <s v="IDA"/>
    <s v="Approved"/>
    <n v="33600000"/>
    <n v="0"/>
    <n v="33600000"/>
    <n v="5800000"/>
    <n v="2400000"/>
    <n v="500000"/>
    <m/>
    <s v="Approved"/>
    <s v="Loan"/>
    <n v="25000000"/>
    <n v="21800000"/>
    <n v="770000"/>
    <n v="2429999.9999999995"/>
    <s v="Yes"/>
    <m/>
    <m/>
    <m/>
    <m/>
    <m/>
    <m/>
    <m/>
    <s v=""/>
    <s v=""/>
    <s v=""/>
    <m/>
    <m/>
    <m/>
    <m/>
    <n v="1952000"/>
    <m/>
    <n v="0"/>
    <n v="105279.62962962962"/>
    <n v="630278.15"/>
    <s v=""/>
    <m/>
    <s v="Yes"/>
    <n v="365913"/>
    <s v="GAVI"/>
    <s v="Disbursed"/>
    <n v="978461"/>
    <s v=""/>
    <s v=""/>
    <m/>
    <m/>
    <m/>
    <m/>
    <n v="268000"/>
    <s v=""/>
    <m/>
    <m/>
    <m/>
    <m/>
    <m/>
    <n v="0"/>
    <s v=""/>
    <n v="276360"/>
    <n v="276360"/>
    <n v="9749625"/>
    <n v="2924887.5"/>
    <n v="7469931.7796296291"/>
    <n v="2.5539210583756229"/>
    <n v="1.9154407937817171"/>
    <n v="1.0945375964466955"/>
    <n v="0.76617631751268678"/>
    <n v="3170000"/>
    <n v="1952000"/>
    <n v="0"/>
    <n v="276360"/>
    <n v="2347931.7796296296"/>
  </r>
  <r>
    <s v="TZA"/>
    <x v="131"/>
    <x v="5"/>
    <x v="4"/>
    <s v="AMC"/>
    <m/>
    <s v="No"/>
    <s v="No"/>
    <s v="No"/>
    <s v="Yes"/>
    <s v="No"/>
    <s v="Yes"/>
    <s v="No"/>
    <s v="Yes"/>
    <s v="Yes"/>
    <s v="…"/>
    <m/>
    <m/>
    <n v="890576536.83065879"/>
    <s v="IDA"/>
    <s v=""/>
    <s v=""/>
    <s v=""/>
    <s v=""/>
    <s v=""/>
    <s v=""/>
    <s v=""/>
    <m/>
    <m/>
    <s v=""/>
    <s v=""/>
    <s v=""/>
    <s v=""/>
    <s v=""/>
    <m/>
    <m/>
    <m/>
    <s v="Yes"/>
    <m/>
    <m/>
    <m/>
    <m/>
    <s v=""/>
    <s v=""/>
    <s v=""/>
    <m/>
    <m/>
    <m/>
    <m/>
    <n v="2500000"/>
    <m/>
    <n v="1824000"/>
    <n v="48400"/>
    <n v="49990.400000000001"/>
    <s v=""/>
    <m/>
    <s v="Yes"/>
    <n v="1266103"/>
    <s v="GAVI"/>
    <s v="Disbursed"/>
    <n v="6752492"/>
    <s v=""/>
    <s v=""/>
    <m/>
    <m/>
    <m/>
    <m/>
    <n v="420000"/>
    <s v=""/>
    <m/>
    <m/>
    <m/>
    <m/>
    <n v="506757"/>
    <n v="750000"/>
    <s v=""/>
    <n v="0"/>
    <n v="0"/>
    <n v="61498438"/>
    <n v="18449531.399999999"/>
    <n v="13367742.4"/>
    <n v="0.72455728604575842"/>
    <n v="0.54341796453431868"/>
    <n v="0.31052455116246791"/>
    <n v="0.21736718581372749"/>
    <n v="0"/>
    <n v="3006757"/>
    <n v="0"/>
    <n v="3080757"/>
    <n v="8536985.4000000004"/>
  </r>
  <r>
    <s v="THA"/>
    <x v="132"/>
    <x v="8"/>
    <x v="3"/>
    <s v="SFC"/>
    <m/>
    <s v="Yes"/>
    <s v="Yes"/>
    <s v="No"/>
    <s v="No"/>
    <s v="Yes"/>
    <s v="Yes"/>
    <s v="No"/>
    <s v="No"/>
    <s v="No"/>
    <m/>
    <m/>
    <m/>
    <n v="14611129792.346064"/>
    <s v="IBRD"/>
    <s v=""/>
    <s v=""/>
    <s v=""/>
    <s v=""/>
    <s v=""/>
    <s v=""/>
    <s v=""/>
    <m/>
    <m/>
    <s v=""/>
    <s v=""/>
    <s v=""/>
    <s v=""/>
    <s v=""/>
    <m/>
    <m/>
    <m/>
    <m/>
    <m/>
    <m/>
    <m/>
    <m/>
    <s v=""/>
    <s v=""/>
    <s v=""/>
    <m/>
    <m/>
    <m/>
    <m/>
    <n v="1200000"/>
    <n v="693880"/>
    <s v=""/>
    <n v="0"/>
    <n v="0"/>
    <s v=""/>
    <m/>
    <s v=""/>
    <s v=""/>
    <s v=""/>
    <s v=""/>
    <s v=""/>
    <s v=""/>
    <s v=""/>
    <m/>
    <m/>
    <m/>
    <n v="272222"/>
    <n v="0"/>
    <s v=""/>
    <m/>
    <m/>
    <m/>
    <m/>
    <m/>
    <n v="0"/>
    <s v=""/>
    <s v=""/>
    <n v="0"/>
    <n v="69950844"/>
    <n v="20985253.199999999"/>
    <n v="2166102"/>
    <n v="0.10322019845822018"/>
    <n v="7.7415148843665127E-2"/>
    <n v="4.423722791066579E-2"/>
    <n v="3.0966059537466051E-2"/>
    <n v="0"/>
    <n v="1893880"/>
    <n v="272222"/>
    <n v="966102"/>
    <n v="0"/>
  </r>
  <r>
    <s v="TLS"/>
    <x v="133"/>
    <x v="8"/>
    <x v="4"/>
    <s v="AMC"/>
    <m/>
    <s v="No"/>
    <s v="No"/>
    <s v="Yes"/>
    <s v="Yes"/>
    <s v="No"/>
    <s v="Yes"/>
    <s v="No"/>
    <s v="Yes"/>
    <s v="No"/>
    <s v="Low"/>
    <m/>
    <m/>
    <n v="72046877.233008593"/>
    <s v="Blend"/>
    <s v=""/>
    <s v=""/>
    <s v=""/>
    <s v=""/>
    <s v=""/>
    <s v=""/>
    <s v=""/>
    <s v="Yes"/>
    <m/>
    <s v=""/>
    <s v=""/>
    <s v=""/>
    <s v=""/>
    <s v=""/>
    <m/>
    <m/>
    <m/>
    <m/>
    <m/>
    <m/>
    <m/>
    <m/>
    <s v=""/>
    <s v=""/>
    <s v=""/>
    <m/>
    <m/>
    <m/>
    <m/>
    <n v="725723"/>
    <n v="1135520"/>
    <n v="260000"/>
    <n v="129999.99999999999"/>
    <n v="25000"/>
    <n v="0"/>
    <m/>
    <s v="Yes"/>
    <n v="50361"/>
    <s v="GAVI"/>
    <s v="Disbursed"/>
    <n v="244615"/>
    <s v=""/>
    <s v=""/>
    <m/>
    <m/>
    <m/>
    <n v="1683183"/>
    <n v="50000"/>
    <n v="99000"/>
    <m/>
    <m/>
    <m/>
    <m/>
    <m/>
    <n v="0"/>
    <n v="0"/>
    <n v="0"/>
    <n v="0"/>
    <n v="1343875"/>
    <n v="403162.5"/>
    <n v="4403402"/>
    <n v="10.922151737822839"/>
    <n v="8.1916138033671295"/>
    <n v="4.6809221733526458"/>
    <n v="3.2766455213468513"/>
    <n v="0"/>
    <n v="1861243"/>
    <n v="1782183"/>
    <n v="3078703"/>
    <n v="499976"/>
  </r>
  <r>
    <s v="TGO"/>
    <x v="134"/>
    <x v="7"/>
    <x v="2"/>
    <s v="AMC"/>
    <m/>
    <s v="No"/>
    <s v="No"/>
    <s v="No"/>
    <s v="Yes"/>
    <s v="No"/>
    <s v="Yes"/>
    <s v="No"/>
    <s v="Yes"/>
    <s v="Yes"/>
    <s v="High"/>
    <s v="Yes"/>
    <m/>
    <n v="56248139.267255567"/>
    <s v="IDA"/>
    <s v="Approved"/>
    <n v="54500000"/>
    <n v="12400000"/>
    <n v="42100000"/>
    <n v="32500000"/>
    <n v="21600000"/>
    <n v="400000"/>
    <m/>
    <m/>
    <s v=""/>
    <s v=""/>
    <s v=""/>
    <s v=""/>
    <s v=""/>
    <s v="Yes"/>
    <m/>
    <m/>
    <s v="Yes"/>
    <m/>
    <m/>
    <m/>
    <m/>
    <s v=""/>
    <s v=""/>
    <s v=""/>
    <m/>
    <m/>
    <m/>
    <m/>
    <n v="500000"/>
    <m/>
    <n v="500000"/>
    <n v="141046.29629629629"/>
    <n v="213951"/>
    <s v=""/>
    <m/>
    <s v="Yes"/>
    <n v="283310"/>
    <s v="GAVI"/>
    <s v="Disbursed"/>
    <n v="1000017"/>
    <s v=""/>
    <s v=""/>
    <m/>
    <m/>
    <m/>
    <m/>
    <n v="40000"/>
    <s v=""/>
    <m/>
    <m/>
    <m/>
    <m/>
    <m/>
    <n v="0"/>
    <s v=""/>
    <n v="0"/>
    <n v="0"/>
    <n v="8478242"/>
    <n v="2543472.6"/>
    <n v="24278324.296296295"/>
    <n v="9.5453453268166886"/>
    <n v="7.1590089951125169"/>
    <n v="4.0908622829214387"/>
    <n v="2.8636035980450067"/>
    <n v="21600000"/>
    <n v="500000"/>
    <n v="0"/>
    <n v="500000"/>
    <n v="1678324.2962962962"/>
  </r>
  <r>
    <s v="TON"/>
    <x v="135"/>
    <x v="8"/>
    <x v="3"/>
    <s v="AMC"/>
    <m/>
    <s v="No"/>
    <s v="No"/>
    <s v="No"/>
    <s v="Yes"/>
    <s v="No"/>
    <s v="Yes"/>
    <s v="No"/>
    <s v="Yes"/>
    <s v="Yes"/>
    <s v="High"/>
    <m/>
    <m/>
    <n v="15464031.712942109"/>
    <s v="IDA"/>
    <s v=""/>
    <s v=""/>
    <s v=""/>
    <s v=""/>
    <s v=""/>
    <s v=""/>
    <s v=""/>
    <s v="Yes"/>
    <s v="Approved"/>
    <s v="Grant"/>
    <n v="5500000"/>
    <n v="1230000"/>
    <n v="2770000"/>
    <n v="1500000"/>
    <m/>
    <m/>
    <m/>
    <m/>
    <m/>
    <m/>
    <m/>
    <m/>
    <s v=""/>
    <s v=""/>
    <s v=""/>
    <m/>
    <m/>
    <m/>
    <m/>
    <s v=""/>
    <n v="498460"/>
    <n v="0"/>
    <n v="55481.481481481474"/>
    <n v="25000"/>
    <n v="0"/>
    <n v="23028"/>
    <s v=""/>
    <s v=""/>
    <s v="UNICEF"/>
    <s v="Disbursed"/>
    <n v="230000"/>
    <s v="Disbursed"/>
    <n v="230000"/>
    <m/>
    <m/>
    <m/>
    <m/>
    <n v="0"/>
    <s v=""/>
    <m/>
    <m/>
    <m/>
    <m/>
    <m/>
    <n v="0"/>
    <n v="0"/>
    <n v="0"/>
    <n v="230000"/>
    <n v="106759"/>
    <n v="32027.699999999997"/>
    <n v="3831969.4814814813"/>
    <n v="119.64547817924739"/>
    <n v="89.734108634435529"/>
    <n v="51.276633505391743"/>
    <n v="35.893643453774217"/>
    <n v="2770000"/>
    <n v="521488"/>
    <n v="0"/>
    <n v="521488"/>
    <n v="770481.48148148146"/>
  </r>
  <r>
    <s v="TTO"/>
    <x v="136"/>
    <x v="6"/>
    <x v="5"/>
    <s v="SFC"/>
    <m/>
    <s v="Yes"/>
    <s v="Yes"/>
    <s v="No"/>
    <s v="No"/>
    <s v="Yes"/>
    <s v="Yes"/>
    <s v="No"/>
    <s v="No"/>
    <s v="No"/>
    <s v="N/A"/>
    <m/>
    <m/>
    <n v="769564399.33249676"/>
    <s v="IBRD"/>
    <s v=""/>
    <s v=""/>
    <s v=""/>
    <s v=""/>
    <s v=""/>
    <s v=""/>
    <s v=""/>
    <m/>
    <m/>
    <s v=""/>
    <s v=""/>
    <s v=""/>
    <s v=""/>
    <s v=""/>
    <m/>
    <m/>
    <m/>
    <m/>
    <m/>
    <m/>
    <s v="Yes"/>
    <s v="Loan"/>
    <n v="5762057"/>
    <n v="3027000"/>
    <n v="2735057"/>
    <m/>
    <m/>
    <m/>
    <m/>
    <s v=""/>
    <m/>
    <s v=""/>
    <n v="0"/>
    <n v="0"/>
    <s v=""/>
    <m/>
    <s v=""/>
    <s v=""/>
    <s v=""/>
    <s v=""/>
    <s v=""/>
    <s v=""/>
    <s v=""/>
    <m/>
    <m/>
    <m/>
    <m/>
    <s v=""/>
    <s v=""/>
    <m/>
    <m/>
    <m/>
    <m/>
    <m/>
    <n v="0"/>
    <s v=""/>
    <s v=""/>
    <n v="0"/>
    <n v="1399491"/>
    <n v="419847.3"/>
    <n v="2735057"/>
    <n v="6.5144089291511467"/>
    <n v="4.8858066968633596"/>
    <n v="2.7918895410647773"/>
    <n v="1.9543226787453438"/>
    <n v="2735057"/>
    <n v="0"/>
    <n v="0"/>
    <n v="0"/>
    <n v="0"/>
  </r>
  <r>
    <s v="TUN"/>
    <x v="137"/>
    <x v="4"/>
    <x v="4"/>
    <s v="AMC"/>
    <m/>
    <s v="Yes"/>
    <s v="Yes"/>
    <s v="No"/>
    <s v="No"/>
    <s v="Yes"/>
    <s v="Yes"/>
    <s v="No"/>
    <s v="No"/>
    <s v="No"/>
    <s v="N/A"/>
    <m/>
    <m/>
    <n v="1668954539.7630196"/>
    <s v="IBRD"/>
    <s v="Approved"/>
    <n v="100000000"/>
    <n v="100000000"/>
    <n v="0"/>
    <n v="83000000"/>
    <n v="9300000"/>
    <n v="7800000"/>
    <m/>
    <m/>
    <s v=""/>
    <s v=""/>
    <s v=""/>
    <s v=""/>
    <s v=""/>
    <s v="Yes"/>
    <s v="Requested"/>
    <n v="2200000"/>
    <s v="Yes"/>
    <m/>
    <m/>
    <m/>
    <m/>
    <s v=""/>
    <s v=""/>
    <s v=""/>
    <m/>
    <m/>
    <m/>
    <s v="Yes"/>
    <n v="3000000"/>
    <n v="650000"/>
    <n v="0"/>
    <n v="124999.99999999999"/>
    <n v="50000.03"/>
    <s v=""/>
    <m/>
    <s v="Yes"/>
    <n v="275648"/>
    <s v="UNICEF"/>
    <s v="Disbursed"/>
    <n v="530082"/>
    <s v="Disbursed"/>
    <n v="499854"/>
    <m/>
    <m/>
    <m/>
    <n v="3118906"/>
    <n v="40000"/>
    <s v=""/>
    <m/>
    <m/>
    <m/>
    <m/>
    <m/>
    <n v="3000000"/>
    <s v=""/>
    <n v="0"/>
    <n v="530082"/>
    <n v="11935764"/>
    <n v="3580729.1999999997"/>
    <n v="17589490.030000001"/>
    <n v="4.912264806285827"/>
    <n v="3.6841986047143691"/>
    <n v="2.1052563455510684"/>
    <n v="1.4736794418857477"/>
    <n v="9300000"/>
    <n v="3650000"/>
    <n v="3118906"/>
    <n v="6768906"/>
    <n v="2020438.03"/>
  </r>
  <r>
    <s v="TUR"/>
    <x v="138"/>
    <x v="3"/>
    <x v="3"/>
    <s v="SFC"/>
    <m/>
    <s v="Yes"/>
    <s v="Yes"/>
    <s v="No"/>
    <s v="No"/>
    <s v="Yes"/>
    <s v="Yes"/>
    <s v="No"/>
    <s v="No"/>
    <s v="No"/>
    <m/>
    <m/>
    <m/>
    <n v="24840920016.18832"/>
    <s v="IBRD"/>
    <s v=""/>
    <s v=""/>
    <s v=""/>
    <s v=""/>
    <s v=""/>
    <s v=""/>
    <s v=""/>
    <m/>
    <m/>
    <s v=""/>
    <s v=""/>
    <s v=""/>
    <s v=""/>
    <s v=""/>
    <s v="Yes"/>
    <m/>
    <m/>
    <m/>
    <m/>
    <m/>
    <m/>
    <m/>
    <s v=""/>
    <s v=""/>
    <s v=""/>
    <m/>
    <m/>
    <m/>
    <m/>
    <s v=""/>
    <m/>
    <s v=""/>
    <n v="0"/>
    <n v="0"/>
    <s v=""/>
    <m/>
    <s v=""/>
    <s v=""/>
    <s v=""/>
    <s v=""/>
    <s v=""/>
    <s v=""/>
    <s v=""/>
    <m/>
    <m/>
    <m/>
    <m/>
    <n v="0"/>
    <s v=""/>
    <m/>
    <m/>
    <m/>
    <m/>
    <m/>
    <n v="0"/>
    <s v=""/>
    <s v=""/>
    <n v="0"/>
    <n v="85042736"/>
    <n v="25512820.800000001"/>
    <n v="0"/>
    <n v="0"/>
    <n v="0"/>
    <n v="0"/>
    <n v="0"/>
    <n v="0"/>
    <n v="0"/>
    <n v="0"/>
    <n v="0"/>
    <n v="0"/>
  </r>
  <r>
    <s v="TKM"/>
    <x v="139"/>
    <x v="3"/>
    <x v="3"/>
    <s v="SFC"/>
    <m/>
    <s v="Yes"/>
    <s v="Yes"/>
    <s v="No"/>
    <s v="No"/>
    <s v="Yes"/>
    <s v="Yes"/>
    <s v="No"/>
    <s v="No"/>
    <s v="No"/>
    <s v="N/A"/>
    <m/>
    <m/>
    <n v="487888462.83720118"/>
    <s v="IBRD"/>
    <s v=""/>
    <n v="0"/>
    <n v="0"/>
    <n v="0"/>
    <n v="0"/>
    <n v="0"/>
    <n v="0"/>
    <s v="Yes"/>
    <m/>
    <s v=""/>
    <s v=""/>
    <s v=""/>
    <s v=""/>
    <s v=""/>
    <s v="Yes"/>
    <m/>
    <m/>
    <m/>
    <m/>
    <m/>
    <m/>
    <m/>
    <s v=""/>
    <s v=""/>
    <s v=""/>
    <m/>
    <m/>
    <m/>
    <m/>
    <s v=""/>
    <m/>
    <s v=""/>
    <n v="0"/>
    <n v="0"/>
    <s v=""/>
    <m/>
    <s v=""/>
    <s v=""/>
    <s v=""/>
    <s v=""/>
    <s v=""/>
    <s v=""/>
    <s v=""/>
    <m/>
    <m/>
    <m/>
    <m/>
    <n v="0"/>
    <s v=""/>
    <m/>
    <m/>
    <m/>
    <m/>
    <m/>
    <n v="0"/>
    <s v=""/>
    <s v=""/>
    <n v="0"/>
    <n v="6117933"/>
    <n v="1835379.9"/>
    <n v="0"/>
    <n v="0"/>
    <n v="0"/>
    <n v="0"/>
    <n v="0"/>
    <n v="0"/>
    <n v="0"/>
    <n v="0"/>
    <n v="0"/>
    <n v="0"/>
  </r>
  <r>
    <s v="TUV"/>
    <x v="140"/>
    <x v="8"/>
    <x v="3"/>
    <s v="AMC"/>
    <m/>
    <s v="No"/>
    <s v="No"/>
    <s v="No"/>
    <s v="Yes"/>
    <s v="No"/>
    <s v="Yes"/>
    <s v="No"/>
    <s v="Yes"/>
    <s v="No"/>
    <s v="…"/>
    <m/>
    <m/>
    <n v="6365061.1736073596"/>
    <s v="IDA"/>
    <s v=""/>
    <s v=""/>
    <s v=""/>
    <s v=""/>
    <s v=""/>
    <s v=""/>
    <s v=""/>
    <s v="Yes"/>
    <s v="Approved"/>
    <s v="Grant"/>
    <n v="1500000"/>
    <n v="150000"/>
    <n v="840000.00000000012"/>
    <n v="509999.99999999988"/>
    <m/>
    <m/>
    <m/>
    <m/>
    <m/>
    <m/>
    <m/>
    <m/>
    <s v=""/>
    <s v=""/>
    <s v=""/>
    <m/>
    <m/>
    <m/>
    <m/>
    <s v=""/>
    <n v="133119"/>
    <n v="0"/>
    <n v="48270.370370370365"/>
    <n v="25000"/>
    <n v="0"/>
    <m/>
    <s v=""/>
    <s v=""/>
    <s v="UNICEF"/>
    <s v="Disbursed"/>
    <n v="230000"/>
    <s v="Disbursed"/>
    <n v="230000"/>
    <m/>
    <m/>
    <m/>
    <m/>
    <n v="0"/>
    <s v=""/>
    <m/>
    <m/>
    <m/>
    <m/>
    <m/>
    <n v="0"/>
    <n v="0"/>
    <n v="0"/>
    <n v="230000"/>
    <n v="77132"/>
    <n v="23139.599999999999"/>
    <n v="1506389.3703703703"/>
    <n v="65.10006095050781"/>
    <n v="48.825045712880843"/>
    <n v="27.900026121646203"/>
    <n v="19.530018285152341"/>
    <n v="840000.00000000012"/>
    <n v="133119"/>
    <n v="0"/>
    <n v="133119"/>
    <n v="763270.37037037034"/>
  </r>
  <r>
    <s v="UGA"/>
    <x v="141"/>
    <x v="5"/>
    <x v="2"/>
    <s v="AMC"/>
    <n v="2"/>
    <s v="No"/>
    <s v="No"/>
    <s v="No"/>
    <s v="Yes"/>
    <s v="No"/>
    <s v="Yes"/>
    <s v="No"/>
    <s v="Yes"/>
    <s v="Yes"/>
    <s v="Low"/>
    <s v="Yes"/>
    <m/>
    <n v="291799092.90196139"/>
    <s v="IDA"/>
    <s v="Approved"/>
    <n v="180300000"/>
    <n v="0"/>
    <n v="180300000"/>
    <n v="117000000"/>
    <n v="20150000"/>
    <n v="43150000"/>
    <m/>
    <m/>
    <s v=""/>
    <s v=""/>
    <s v=""/>
    <s v=""/>
    <s v=""/>
    <s v="Yes"/>
    <m/>
    <m/>
    <s v="Yes"/>
    <m/>
    <m/>
    <m/>
    <m/>
    <s v=""/>
    <s v=""/>
    <s v=""/>
    <s v="Yes"/>
    <m/>
    <n v="1105023"/>
    <s v="Yes"/>
    <n v="4863335"/>
    <n v="1518928"/>
    <n v="316219"/>
    <n v="317030.55555555556"/>
    <n v="216660"/>
    <s v=""/>
    <m/>
    <s v="Yes"/>
    <n v="1044909"/>
    <s v="GAVI"/>
    <s v="Disbursed"/>
    <n v="3554186"/>
    <s v=""/>
    <s v=""/>
    <m/>
    <m/>
    <m/>
    <n v="944445"/>
    <n v="328600"/>
    <n v="1106000"/>
    <m/>
    <n v="929362"/>
    <m/>
    <m/>
    <m/>
    <n v="0"/>
    <s v=""/>
    <n v="0"/>
    <n v="0"/>
    <n v="47123533"/>
    <n v="14137059.9"/>
    <n v="36394697.555555552"/>
    <n v="2.5744177228502476"/>
    <n v="1.9308132921376859"/>
    <n v="1.1033218812215349"/>
    <n v="0.77232531685507433"/>
    <n v="20150000"/>
    <n v="7311625"/>
    <n v="3155468"/>
    <n v="4813977"/>
    <n v="5461385.555555556"/>
  </r>
  <r>
    <s v="UKR"/>
    <x v="142"/>
    <x v="3"/>
    <x v="4"/>
    <s v="AMC"/>
    <m/>
    <s v="Yes"/>
    <s v="Yes"/>
    <s v="No"/>
    <s v="No"/>
    <s v="Yes"/>
    <s v="Yes"/>
    <s v="No"/>
    <s v="No"/>
    <s v="No"/>
    <s v="N/A"/>
    <m/>
    <m/>
    <n v="4844815340.2135534"/>
    <s v="IBRD"/>
    <s v="Approved"/>
    <n v="240000000"/>
    <n v="240000000"/>
    <n v="0"/>
    <n v="150000000"/>
    <n v="70000000"/>
    <n v="20000000"/>
    <m/>
    <m/>
    <s v=""/>
    <s v=""/>
    <s v=""/>
    <s v=""/>
    <s v=""/>
    <m/>
    <m/>
    <m/>
    <m/>
    <m/>
    <m/>
    <m/>
    <m/>
    <s v=""/>
    <s v=""/>
    <s v=""/>
    <m/>
    <m/>
    <m/>
    <m/>
    <n v="4950000"/>
    <m/>
    <n v="1450000"/>
    <n v="50891.666666666664"/>
    <n v="81000"/>
    <s v=""/>
    <m/>
    <s v="Yes"/>
    <n v="681003"/>
    <s v="UNICEF"/>
    <s v="Disbursed"/>
    <n v="1977835"/>
    <s v="Disbursed"/>
    <n v="1979999.5220290006"/>
    <m/>
    <m/>
    <m/>
    <n v="92593"/>
    <n v="110000"/>
    <s v=""/>
    <m/>
    <m/>
    <m/>
    <m/>
    <m/>
    <n v="0"/>
    <s v=""/>
    <n v="0"/>
    <n v="1977835"/>
    <n v="43466822"/>
    <n v="13040046.6"/>
    <n v="81373322.188695669"/>
    <n v="6.2402631435915019"/>
    <n v="4.6801973576936255"/>
    <n v="2.6743984901106437"/>
    <n v="1.8720789430774505"/>
    <n v="70000000"/>
    <n v="4950000"/>
    <n v="92593"/>
    <n v="1542593"/>
    <n v="6860728.7107246676"/>
  </r>
  <r>
    <s v="URY"/>
    <x v="143"/>
    <x v="6"/>
    <x v="5"/>
    <s v="SFC"/>
    <m/>
    <s v="Yes"/>
    <s v="Yes"/>
    <s v="No"/>
    <s v="No"/>
    <s v="Yes"/>
    <s v="Yes"/>
    <s v="No"/>
    <s v="No"/>
    <s v="No"/>
    <m/>
    <m/>
    <m/>
    <n v="4001891446.6871672"/>
    <s v="IBRD"/>
    <s v=""/>
    <s v=""/>
    <s v=""/>
    <s v=""/>
    <s v=""/>
    <s v=""/>
    <s v=""/>
    <m/>
    <m/>
    <s v=""/>
    <s v=""/>
    <s v=""/>
    <s v=""/>
    <s v=""/>
    <m/>
    <m/>
    <m/>
    <m/>
    <m/>
    <m/>
    <s v="Yes"/>
    <m/>
    <s v=""/>
    <s v=""/>
    <s v=""/>
    <m/>
    <m/>
    <m/>
    <m/>
    <s v=""/>
    <m/>
    <n v="0"/>
    <n v="0"/>
    <n v="0"/>
    <s v=""/>
    <m/>
    <s v=""/>
    <s v=""/>
    <s v=""/>
    <s v=""/>
    <s v=""/>
    <s v=""/>
    <s v=""/>
    <m/>
    <m/>
    <m/>
    <m/>
    <n v="412400"/>
    <s v=""/>
    <m/>
    <m/>
    <m/>
    <m/>
    <m/>
    <n v="0"/>
    <s v=""/>
    <s v=""/>
    <n v="0"/>
    <n v="3473727"/>
    <n v="1042118.1"/>
    <n v="412400"/>
    <n v="0.3957324990324993"/>
    <n v="0.29679937427437447"/>
    <n v="0.1695996424424997"/>
    <n v="0.11871974970974979"/>
    <n v="0"/>
    <n v="0"/>
    <n v="0"/>
    <n v="0"/>
    <n v="412400"/>
  </r>
  <r>
    <s v="UZB"/>
    <x v="144"/>
    <x v="3"/>
    <x v="4"/>
    <s v="AMC"/>
    <m/>
    <s v="No"/>
    <s v="No"/>
    <s v="Yes"/>
    <s v="Yes"/>
    <s v="No"/>
    <s v="Yes"/>
    <s v="No"/>
    <s v="Yes"/>
    <s v="No"/>
    <s v="Low"/>
    <s v="Yes"/>
    <m/>
    <n v="1019800630.5853213"/>
    <s v="Blend"/>
    <s v=""/>
    <s v=""/>
    <s v=""/>
    <s v=""/>
    <s v=""/>
    <s v=""/>
    <s v=""/>
    <s v="Yes"/>
    <m/>
    <s v=""/>
    <s v=""/>
    <s v=""/>
    <s v=""/>
    <s v=""/>
    <s v="Yes"/>
    <m/>
    <m/>
    <m/>
    <m/>
    <m/>
    <m/>
    <m/>
    <s v=""/>
    <s v=""/>
    <s v=""/>
    <m/>
    <m/>
    <m/>
    <m/>
    <n v="3100000"/>
    <m/>
    <n v="950000"/>
    <n v="105295.99999999999"/>
    <n v="135034"/>
    <s v=""/>
    <m/>
    <s v="Yes"/>
    <n v="949999"/>
    <s v="GAVI"/>
    <s v="Disbursed"/>
    <n v="2404057"/>
    <s v=""/>
    <s v=""/>
    <m/>
    <m/>
    <m/>
    <m/>
    <n v="275000"/>
    <s v=""/>
    <m/>
    <m/>
    <m/>
    <m/>
    <m/>
    <n v="2600000"/>
    <s v=""/>
    <n v="1981860"/>
    <n v="1981860"/>
    <n v="33935765"/>
    <n v="10180729.5"/>
    <n v="7919386"/>
    <n v="0.77788001341161261"/>
    <n v="0.58341001005870941"/>
    <n v="0.3333771486049768"/>
    <n v="0.23336400402348378"/>
    <n v="0"/>
    <n v="3100000"/>
    <n v="0"/>
    <n v="5531860"/>
    <n v="3869386"/>
  </r>
  <r>
    <s v="VUT"/>
    <x v="145"/>
    <x v="8"/>
    <x v="4"/>
    <s v="AMC"/>
    <m/>
    <s v="No"/>
    <s v="No"/>
    <s v="No"/>
    <s v="Yes"/>
    <s v="No"/>
    <s v="Yes"/>
    <s v="No"/>
    <s v="Yes"/>
    <s v="No"/>
    <s v="Moderate"/>
    <m/>
    <m/>
    <n v="19578671.310841195"/>
    <s v="IDA"/>
    <s v=""/>
    <s v=""/>
    <s v=""/>
    <s v=""/>
    <s v=""/>
    <s v=""/>
    <s v=""/>
    <s v="Yes"/>
    <s v="Approved"/>
    <s v="Grant"/>
    <n v="3880000"/>
    <n v="720000"/>
    <n v="1610000"/>
    <n v="1549999.9999999998"/>
    <m/>
    <m/>
    <m/>
    <m/>
    <m/>
    <m/>
    <m/>
    <m/>
    <s v=""/>
    <s v=""/>
    <s v=""/>
    <m/>
    <m/>
    <m/>
    <m/>
    <s v=""/>
    <n v="417188"/>
    <n v="0"/>
    <n v="0"/>
    <n v="25000"/>
    <n v="0"/>
    <n v="42755"/>
    <s v=""/>
    <s v=""/>
    <s v="UNICEF"/>
    <s v="Disbursed"/>
    <n v="230000"/>
    <s v="Disbursed"/>
    <n v="230000.22990000001"/>
    <m/>
    <m/>
    <m/>
    <m/>
    <n v="0"/>
    <s v=""/>
    <m/>
    <m/>
    <m/>
    <m/>
    <m/>
    <n v="0"/>
    <n v="0"/>
    <n v="0"/>
    <n v="230000"/>
    <n v="314464"/>
    <n v="94339.199999999997"/>
    <n v="2554943.2299000002"/>
    <n v="27.08251956662766"/>
    <n v="20.311889674970743"/>
    <n v="11.606794099983283"/>
    <n v="8.1247558699882987"/>
    <n v="1610000"/>
    <n v="459943"/>
    <n v="0"/>
    <n v="459943"/>
    <n v="715000.45980000007"/>
  </r>
  <r>
    <s v="VEN"/>
    <x v="146"/>
    <x v="6"/>
    <x v="6"/>
    <s v="SFC"/>
    <m/>
    <s v="Yes"/>
    <s v="Yes"/>
    <s v="No"/>
    <s v="No"/>
    <s v="Yes"/>
    <s v="Yes"/>
    <s v="No"/>
    <s v="No"/>
    <s v="No"/>
    <s v="N/A"/>
    <m/>
    <m/>
    <n v="3551452001.0684834"/>
    <s v="IBRD"/>
    <s v=""/>
    <s v=""/>
    <s v=""/>
    <s v=""/>
    <s v=""/>
    <s v=""/>
    <s v=""/>
    <m/>
    <m/>
    <s v=""/>
    <s v=""/>
    <s v=""/>
    <s v=""/>
    <s v=""/>
    <m/>
    <m/>
    <m/>
    <m/>
    <m/>
    <m/>
    <s v="Yes"/>
    <m/>
    <s v=""/>
    <s v=""/>
    <s v=""/>
    <m/>
    <m/>
    <m/>
    <s v="Yes"/>
    <s v=""/>
    <n v="2175926"/>
    <n v="1000000"/>
    <n v="0"/>
    <n v="0"/>
    <s v=""/>
    <m/>
    <s v=""/>
    <s v=""/>
    <s v=""/>
    <s v=""/>
    <s v=""/>
    <s v=""/>
    <s v=""/>
    <m/>
    <n v="103218.84"/>
    <n v="216262"/>
    <m/>
    <s v=""/>
    <s v=""/>
    <m/>
    <m/>
    <n v="6801213"/>
    <m/>
    <m/>
    <n v="0"/>
    <s v=""/>
    <s v=""/>
    <n v="0"/>
    <n v="28704947"/>
    <n v="8611484.0999999996"/>
    <n v="10296619.84"/>
    <n v="1.1956847066581706"/>
    <n v="0.89676352999362785"/>
    <n v="0.51243630285350172"/>
    <n v="0.35870541199745115"/>
    <n v="0"/>
    <n v="9296619.8399999999"/>
    <n v="0"/>
    <n v="10296619.84"/>
    <n v="0"/>
  </r>
  <r>
    <s v="VNM"/>
    <x v="147"/>
    <x v="8"/>
    <x v="4"/>
    <s v="AMC"/>
    <m/>
    <s v="Yes"/>
    <s v="Yes"/>
    <s v="No"/>
    <s v="No"/>
    <s v="Yes"/>
    <s v="Yes"/>
    <s v="No"/>
    <s v="No"/>
    <s v="No"/>
    <s v="N/A"/>
    <s v="Yes"/>
    <m/>
    <n v="6603048821.7575006"/>
    <s v="IBRD"/>
    <s v=""/>
    <s v=""/>
    <s v=""/>
    <s v=""/>
    <s v=""/>
    <s v=""/>
    <s v=""/>
    <s v="Yes"/>
    <m/>
    <s v=""/>
    <s v=""/>
    <s v=""/>
    <s v=""/>
    <s v=""/>
    <m/>
    <m/>
    <m/>
    <m/>
    <m/>
    <m/>
    <m/>
    <m/>
    <s v=""/>
    <s v=""/>
    <s v=""/>
    <s v="Yes"/>
    <n v="500000"/>
    <m/>
    <m/>
    <n v="2037000"/>
    <n v="1690799"/>
    <n v="1000000"/>
    <n v="100000"/>
    <n v="95000"/>
    <n v="10290519"/>
    <m/>
    <s v="Yes"/>
    <n v="1230395"/>
    <s v="GAVI"/>
    <s v="Disbursed"/>
    <n v="1172197"/>
    <s v=""/>
    <s v=""/>
    <m/>
    <m/>
    <m/>
    <m/>
    <n v="70000"/>
    <s v=""/>
    <m/>
    <m/>
    <m/>
    <m/>
    <m/>
    <n v="0"/>
    <n v="6164384"/>
    <n v="822197"/>
    <n v="822197"/>
    <n v="98168829"/>
    <n v="29450648.699999999"/>
    <n v="18185910"/>
    <n v="0.61750456450896452"/>
    <n v="0.46312842338172333"/>
    <n v="0.26464481336098478"/>
    <n v="0.18525136935268932"/>
    <n v="0"/>
    <n v="14018318"/>
    <n v="0"/>
    <n v="9677380"/>
    <n v="3167592"/>
  </r>
  <r>
    <s v="YEM"/>
    <x v="148"/>
    <x v="4"/>
    <x v="2"/>
    <s v="AMC"/>
    <n v="1"/>
    <s v="No"/>
    <s v="No"/>
    <s v="No"/>
    <s v="Yes"/>
    <s v="No"/>
    <s v="Yes"/>
    <s v="No"/>
    <s v="Yes"/>
    <s v="Yes"/>
    <s v="…"/>
    <m/>
    <m/>
    <s v=""/>
    <s v="IDA"/>
    <s v="Approved"/>
    <n v="20000000"/>
    <n v="0"/>
    <n v="20000000"/>
    <n v="0"/>
    <n v="17800000"/>
    <n v="2300000"/>
    <m/>
    <m/>
    <s v=""/>
    <s v=""/>
    <s v=""/>
    <s v=""/>
    <s v=""/>
    <s v="Yes"/>
    <m/>
    <m/>
    <m/>
    <m/>
    <m/>
    <m/>
    <m/>
    <s v=""/>
    <s v=""/>
    <s v=""/>
    <m/>
    <m/>
    <m/>
    <m/>
    <n v="2878000"/>
    <m/>
    <n v="5929249"/>
    <n v="516199.99999999994"/>
    <n v="493313.16"/>
    <s v=""/>
    <m/>
    <s v="Yes"/>
    <n v="738190"/>
    <s v="GAVI"/>
    <s v="Disbursed"/>
    <n v="4283508"/>
    <s v=""/>
    <s v=""/>
    <m/>
    <m/>
    <m/>
    <n v="126204"/>
    <n v="1953750"/>
    <s v=""/>
    <m/>
    <m/>
    <m/>
    <m/>
    <m/>
    <n v="1400000"/>
    <s v=""/>
    <n v="1043077"/>
    <n v="1043077"/>
    <n v="30490639"/>
    <n v="9147191.6999999993"/>
    <n v="34718414.159999996"/>
    <n v="3.7955271189954396"/>
    <n v="2.8466453392465794"/>
    <n v="1.6266544795694744"/>
    <n v="1.1386581356986318"/>
    <n v="17800000"/>
    <n v="2878000"/>
    <n v="126204"/>
    <n v="8498530"/>
    <n v="7984961.1600000001"/>
  </r>
  <r>
    <s v="ZMB"/>
    <x v="149"/>
    <x v="5"/>
    <x v="4"/>
    <s v="AMC"/>
    <m/>
    <s v="No"/>
    <s v="No"/>
    <s v="No"/>
    <s v="Yes"/>
    <s v="No"/>
    <s v="Yes"/>
    <s v="No"/>
    <s v="Yes"/>
    <s v="Yes"/>
    <s v="High"/>
    <s v="Yes"/>
    <m/>
    <n v="515352723.9821828"/>
    <s v="IDA"/>
    <s v="Approved"/>
    <n v="24000000"/>
    <n v="10000000"/>
    <n v="14000000"/>
    <n v="9200000"/>
    <n v="11800000"/>
    <n v="3000000"/>
    <m/>
    <m/>
    <s v=""/>
    <s v=""/>
    <s v=""/>
    <s v=""/>
    <s v=""/>
    <m/>
    <m/>
    <m/>
    <s v="Yes"/>
    <m/>
    <m/>
    <m/>
    <m/>
    <s v=""/>
    <s v=""/>
    <s v=""/>
    <m/>
    <m/>
    <m/>
    <s v="Yes"/>
    <n v="3200000"/>
    <n v="1092669"/>
    <n v="1080000"/>
    <n v="113199.99999999999"/>
    <n v="74900"/>
    <s v=""/>
    <m/>
    <s v="Yes"/>
    <n v="520291"/>
    <s v="GAVI"/>
    <s v="Disbursed"/>
    <n v="1920838"/>
    <s v=""/>
    <s v=""/>
    <m/>
    <m/>
    <m/>
    <n v="148853"/>
    <n v="265000"/>
    <s v=""/>
    <m/>
    <m/>
    <m/>
    <m/>
    <m/>
    <n v="1250000"/>
    <s v=""/>
    <n v="637595"/>
    <n v="637595"/>
    <n v="18920657"/>
    <n v="5676197.0999999996"/>
    <n v="20215751"/>
    <n v="3.5614956006372651"/>
    <n v="2.6711217004779484"/>
    <n v="1.5263552574159707"/>
    <n v="1.0684486801911794"/>
    <n v="11800000"/>
    <n v="4292669"/>
    <n v="148853"/>
    <n v="4209117"/>
    <n v="2894229"/>
  </r>
  <r>
    <s v="ZWE"/>
    <x v="150"/>
    <x v="5"/>
    <x v="4"/>
    <s v="AMC"/>
    <m/>
    <s v="No"/>
    <s v="No"/>
    <s v="Yes"/>
    <s v="Yes"/>
    <s v="No"/>
    <s v="Yes"/>
    <s v="No"/>
    <s v="No"/>
    <s v="No"/>
    <s v="N/A"/>
    <m/>
    <m/>
    <n v="566711742.22428358"/>
    <s v="Blend"/>
    <s v=""/>
    <n v="0"/>
    <n v="0"/>
    <n v="0"/>
    <n v="0"/>
    <n v="0"/>
    <n v="0"/>
    <m/>
    <m/>
    <s v=""/>
    <s v=""/>
    <s v=""/>
    <s v=""/>
    <s v=""/>
    <m/>
    <m/>
    <m/>
    <s v="Yes"/>
    <m/>
    <m/>
    <m/>
    <m/>
    <s v=""/>
    <s v=""/>
    <s v=""/>
    <m/>
    <m/>
    <m/>
    <s v="Yes"/>
    <n v="2500000"/>
    <n v="610791"/>
    <n v="315226"/>
    <n v="387250"/>
    <n v="345203"/>
    <s v=""/>
    <m/>
    <s v="Yes"/>
    <s v=" $-   "/>
    <s v="GAVI"/>
    <s v="Disbursed"/>
    <n v="1388818"/>
    <s v=""/>
    <s v=""/>
    <m/>
    <m/>
    <m/>
    <m/>
    <n v="205000"/>
    <n v="100000"/>
    <m/>
    <n v="903950"/>
    <m/>
    <m/>
    <m/>
    <n v="0"/>
    <s v=""/>
    <n v="1157210"/>
    <n v="1157210"/>
    <n v="15092171"/>
    <n v="4527651.3"/>
    <n v="6756238"/>
    <n v="1.4922169470073812"/>
    <n v="1.1191627102555357"/>
    <n v="0.63952154871744904"/>
    <n v="0.44766508410221434"/>
    <n v="0"/>
    <n v="4014741"/>
    <n v="100000"/>
    <n v="2987177"/>
    <n v="23262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BB3E55-F7A5-495F-93AB-3809A9B6192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8:C207" firstHeaderRow="1" firstDataRow="1" firstDataCol="1"/>
  <pivotFields count="86">
    <pivotField showAll="0"/>
    <pivotField axis="axisRow" showAll="0">
      <items count="149">
        <item x="0"/>
        <item x="2"/>
        <item x="35"/>
        <item x="1"/>
        <item x="5"/>
        <item x="3"/>
        <item x="4"/>
        <item x="6"/>
        <item x="10"/>
        <item x="13"/>
        <item x="14"/>
        <item x="8"/>
        <item x="17"/>
        <item x="15"/>
        <item x="12"/>
        <item x="18"/>
        <item x="16"/>
        <item x="11"/>
        <item x="9"/>
        <item x="7"/>
        <item x="29"/>
        <item x="64"/>
        <item x="23"/>
        <item x="19"/>
        <item x="122"/>
        <item x="20"/>
        <item x="21"/>
        <item x="27"/>
        <item x="28"/>
        <item x="24"/>
        <item x="25"/>
        <item x="26"/>
        <item x="30"/>
        <item x="22"/>
        <item x="53"/>
        <item x="31"/>
        <item x="32"/>
        <item x="33"/>
        <item x="34"/>
        <item x="36"/>
        <item x="37"/>
        <item x="113"/>
        <item x="48"/>
        <item x="38"/>
        <item x="119"/>
        <item x="39"/>
        <item x="40"/>
        <item x="42"/>
        <item x="46"/>
        <item x="43"/>
        <item x="44"/>
        <item x="49"/>
        <item x="50"/>
        <item x="45"/>
        <item x="47"/>
        <item x="51"/>
        <item x="54"/>
        <item x="52"/>
        <item x="56"/>
        <item x="55"/>
        <item x="57"/>
        <item x="58"/>
        <item x="59"/>
        <item x="60"/>
        <item x="61"/>
        <item x="62"/>
        <item x="65"/>
        <item x="103"/>
        <item x="143"/>
        <item x="63"/>
        <item x="67"/>
        <item x="68"/>
        <item x="73"/>
        <item x="69"/>
        <item x="70"/>
        <item x="76"/>
        <item x="88"/>
        <item x="89"/>
        <item x="77"/>
        <item x="81"/>
        <item x="79"/>
        <item x="86"/>
        <item x="87"/>
        <item x="78"/>
        <item x="41"/>
        <item x="75"/>
        <item x="84"/>
        <item x="83"/>
        <item x="74"/>
        <item x="85"/>
        <item x="82"/>
        <item x="90"/>
        <item x="95"/>
        <item x="94"/>
        <item x="93"/>
        <item x="91"/>
        <item x="92"/>
        <item x="80"/>
        <item x="96"/>
        <item x="100"/>
        <item x="97"/>
        <item x="101"/>
        <item x="104"/>
        <item x="98"/>
        <item x="99"/>
        <item x="102"/>
        <item x="106"/>
        <item x="107"/>
        <item x="108"/>
        <item x="142"/>
        <item x="117"/>
        <item x="110"/>
        <item x="115"/>
        <item x="120"/>
        <item x="112"/>
        <item x="111"/>
        <item x="114"/>
        <item x="145"/>
        <item x="116"/>
        <item x="72"/>
        <item x="66"/>
        <item x="71"/>
        <item x="138"/>
        <item x="105"/>
        <item x="109"/>
        <item x="118"/>
        <item x="121"/>
        <item x="125"/>
        <item x="133"/>
        <item x="124"/>
        <item x="127"/>
        <item x="123"/>
        <item x="128"/>
        <item x="129"/>
        <item x="130"/>
        <item x="131"/>
        <item x="126"/>
        <item x="132"/>
        <item x="134"/>
        <item x="135"/>
        <item x="136"/>
        <item x="137"/>
        <item x="141"/>
        <item x="139"/>
        <item x="140"/>
        <item x="144"/>
        <item x="146"/>
        <item x="147"/>
        <item t="default"/>
      </items>
    </pivotField>
    <pivotField showAll="0">
      <items count="8">
        <item x="5"/>
        <item x="2"/>
        <item x="1"/>
        <item x="3"/>
        <item x="6"/>
        <item x="0"/>
        <item x="4"/>
        <item t="default"/>
      </items>
    </pivotField>
    <pivotField showAll="0">
      <items count="6">
        <item x="3"/>
        <item x="0"/>
        <item x="1"/>
        <item x="2"/>
        <item x="4"/>
        <item t="default"/>
      </items>
    </pivotField>
    <pivotField showAll="0"/>
    <pivotField showAll="0">
      <items count="3">
        <item x="0"/>
        <item x="1"/>
        <item t="default"/>
      </items>
    </pivotField>
    <pivotField showAll="0"/>
    <pivotField showAll="0"/>
    <pivotField dataField="1" showAll="0"/>
    <pivotField showAll="0"/>
    <pivotField showAll="0"/>
    <pivotField showAll="0"/>
    <pivotField showAll="0">
      <items count="3">
        <item x="1"/>
        <item x="0"/>
        <item t="default"/>
      </items>
    </pivotField>
    <pivotField showAll="0"/>
    <pivotField showAll="0"/>
    <pivotField showAll="0"/>
    <pivotField numFmtId="169" showAll="0"/>
    <pivotField numFmtId="170" showAll="0"/>
    <pivotField showAll="0"/>
    <pivotField numFmtId="171" showAll="0"/>
    <pivotField showAll="0"/>
    <pivotField numFmtId="171" showAll="0"/>
    <pivotField showAll="0"/>
    <pivotField showAll="0"/>
    <pivotField showAll="0"/>
    <pivotField showAll="0"/>
    <pivotField showAll="0"/>
    <pivotField showAll="0"/>
    <pivotField numFmtId="17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t="grand">
      <x/>
    </i>
  </rowItems>
  <colItems count="1">
    <i/>
  </colItems>
  <dataFields count="1">
    <dataField name="Sum of Delivery Funding Total" fld="8" baseField="0" baseItem="0" numFmtId="167"/>
  </dataFields>
  <formats count="2">
    <format dxfId="359">
      <pivotArea outline="0" collapsedLevelsAreSubtotals="1" fieldPosition="0"/>
    </format>
    <format dxfId="3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8696B5-E24E-4B28-83BF-C09F391ECAE0}"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B36:AC46" firstHeaderRow="1" firstDataRow="1" firstDataCol="1" rowPageCount="1" colPageCount="1"/>
  <pivotFields count="86">
    <pivotField showAll="0"/>
    <pivotField axis="axisRow" showAll="0" measureFilter="1">
      <items count="149">
        <item x="0"/>
        <item x="2"/>
        <item x="35"/>
        <item x="1"/>
        <item x="5"/>
        <item x="3"/>
        <item x="4"/>
        <item x="6"/>
        <item x="10"/>
        <item x="13"/>
        <item x="14"/>
        <item x="8"/>
        <item x="17"/>
        <item x="15"/>
        <item x="12"/>
        <item x="18"/>
        <item x="16"/>
        <item x="11"/>
        <item x="9"/>
        <item x="7"/>
        <item x="29"/>
        <item x="64"/>
        <item x="23"/>
        <item x="19"/>
        <item x="122"/>
        <item x="20"/>
        <item x="21"/>
        <item x="27"/>
        <item x="28"/>
        <item x="24"/>
        <item x="25"/>
        <item x="26"/>
        <item x="30"/>
        <item x="22"/>
        <item x="53"/>
        <item x="31"/>
        <item x="32"/>
        <item x="33"/>
        <item x="34"/>
        <item x="36"/>
        <item x="37"/>
        <item x="113"/>
        <item x="48"/>
        <item x="38"/>
        <item x="119"/>
        <item x="39"/>
        <item x="40"/>
        <item x="42"/>
        <item x="46"/>
        <item x="43"/>
        <item x="44"/>
        <item x="49"/>
        <item x="50"/>
        <item x="45"/>
        <item x="47"/>
        <item x="51"/>
        <item x="54"/>
        <item x="52"/>
        <item x="56"/>
        <item x="55"/>
        <item x="57"/>
        <item x="58"/>
        <item x="59"/>
        <item x="60"/>
        <item x="61"/>
        <item x="62"/>
        <item x="65"/>
        <item x="103"/>
        <item x="143"/>
        <item x="63"/>
        <item x="67"/>
        <item x="68"/>
        <item x="73"/>
        <item x="69"/>
        <item x="70"/>
        <item x="76"/>
        <item x="88"/>
        <item x="89"/>
        <item x="77"/>
        <item x="81"/>
        <item x="79"/>
        <item x="86"/>
        <item x="87"/>
        <item x="78"/>
        <item x="41"/>
        <item x="75"/>
        <item x="84"/>
        <item x="83"/>
        <item x="74"/>
        <item x="85"/>
        <item x="82"/>
        <item x="90"/>
        <item x="95"/>
        <item x="94"/>
        <item x="93"/>
        <item x="91"/>
        <item x="92"/>
        <item x="80"/>
        <item x="96"/>
        <item x="100"/>
        <item x="97"/>
        <item x="101"/>
        <item x="104"/>
        <item x="98"/>
        <item x="99"/>
        <item x="102"/>
        <item x="106"/>
        <item x="107"/>
        <item x="108"/>
        <item x="142"/>
        <item x="117"/>
        <item x="110"/>
        <item x="115"/>
        <item x="120"/>
        <item x="112"/>
        <item x="111"/>
        <item x="114"/>
        <item x="145"/>
        <item x="116"/>
        <item x="72"/>
        <item x="66"/>
        <item x="71"/>
        <item x="138"/>
        <item x="105"/>
        <item x="109"/>
        <item x="118"/>
        <item x="121"/>
        <item x="125"/>
        <item x="133"/>
        <item x="124"/>
        <item x="127"/>
        <item x="123"/>
        <item x="128"/>
        <item x="129"/>
        <item x="130"/>
        <item x="131"/>
        <item x="126"/>
        <item x="132"/>
        <item x="134"/>
        <item x="135"/>
        <item x="136"/>
        <item x="137"/>
        <item x="141"/>
        <item x="139"/>
        <item x="140"/>
        <item x="144"/>
        <item x="146"/>
        <item x="147"/>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156">
        <item h="1" x="5"/>
        <item x="14"/>
        <item x="86"/>
        <item x="58"/>
        <item x="112"/>
        <item x="108"/>
        <item x="101"/>
        <item x="94"/>
        <item x="47"/>
        <item x="24"/>
        <item x="28"/>
        <item x="113"/>
        <item m="1" x="129"/>
        <item x="50"/>
        <item x="2"/>
        <item m="1" x="128"/>
        <item m="1" x="147"/>
        <item x="77"/>
        <item x="30"/>
        <item x="74"/>
        <item x="66"/>
        <item x="48"/>
        <item m="1" x="131"/>
        <item m="1" x="123"/>
        <item x="46"/>
        <item m="1" x="124"/>
        <item x="11"/>
        <item x="13"/>
        <item x="61"/>
        <item x="121"/>
        <item x="68"/>
        <item x="21"/>
        <item x="85"/>
        <item x="82"/>
        <item x="111"/>
        <item x="18"/>
        <item m="1" x="127"/>
        <item x="31"/>
        <item x="6"/>
        <item x="109"/>
        <item x="9"/>
        <item x="7"/>
        <item x="78"/>
        <item x="99"/>
        <item m="1" x="154"/>
        <item x="41"/>
        <item x="69"/>
        <item x="98"/>
        <item m="1" x="133"/>
        <item m="1" x="122"/>
        <item m="1" x="142"/>
        <item x="93"/>
        <item x="76"/>
        <item x="67"/>
        <item x="49"/>
        <item x="36"/>
        <item x="35"/>
        <item x="90"/>
        <item x="25"/>
        <item x="75"/>
        <item m="1" x="149"/>
        <item x="73"/>
        <item x="54"/>
        <item x="51"/>
        <item m="1" x="139"/>
        <item m="1" x="135"/>
        <item x="4"/>
        <item x="102"/>
        <item x="10"/>
        <item m="1" x="153"/>
        <item m="1" x="146"/>
        <item x="79"/>
        <item m="1" x="140"/>
        <item x="87"/>
        <item m="1" x="145"/>
        <item m="1" x="143"/>
        <item x="32"/>
        <item x="16"/>
        <item x="52"/>
        <item x="71"/>
        <item x="95"/>
        <item x="45"/>
        <item x="38"/>
        <item x="110"/>
        <item x="106"/>
        <item x="0"/>
        <item x="63"/>
        <item m="1" x="136"/>
        <item m="1" x="134"/>
        <item x="40"/>
        <item x="72"/>
        <item x="88"/>
        <item x="39"/>
        <item x="17"/>
        <item x="56"/>
        <item x="29"/>
        <item m="1" x="130"/>
        <item x="26"/>
        <item x="100"/>
        <item x="34"/>
        <item x="65"/>
        <item x="15"/>
        <item x="60"/>
        <item x="64"/>
        <item m="1" x="148"/>
        <item m="1" x="138"/>
        <item m="1" x="152"/>
        <item m="1" x="141"/>
        <item m="1" x="144"/>
        <item x="97"/>
        <item x="115"/>
        <item m="1" x="125"/>
        <item m="1" x="132"/>
        <item m="1" x="150"/>
        <item x="70"/>
        <item m="1" x="151"/>
        <item x="116"/>
        <item x="117"/>
        <item m="1" x="137"/>
        <item m="1" x="126"/>
        <item h="1" x="1"/>
        <item h="1" x="3"/>
        <item h="1" x="8"/>
        <item h="1" x="12"/>
        <item h="1" x="20"/>
        <item h="1" x="22"/>
        <item h="1" x="23"/>
        <item h="1" x="27"/>
        <item h="1" x="33"/>
        <item h="1" x="37"/>
        <item h="1" x="42"/>
        <item h="1" x="43"/>
        <item h="1" x="44"/>
        <item h="1" x="53"/>
        <item h="1" x="55"/>
        <item h="1" x="57"/>
        <item h="1" x="59"/>
        <item h="1" x="62"/>
        <item h="1" x="80"/>
        <item h="1" x="81"/>
        <item h="1" x="83"/>
        <item h="1" x="84"/>
        <item h="1" x="89"/>
        <item h="1" x="91"/>
        <item h="1" x="92"/>
        <item h="1" x="96"/>
        <item h="1" x="103"/>
        <item h="1" x="104"/>
        <item h="1" x="105"/>
        <item h="1" x="107"/>
        <item h="1" x="114"/>
        <item h="1" x="118"/>
        <item h="1" x="119"/>
        <item h="1" x="120"/>
        <item h="1" x="19"/>
        <item t="default"/>
      </items>
    </pivotField>
    <pivotField showAll="0"/>
    <pivotField showAll="0"/>
    <pivotField showAll="0"/>
    <pivotField showAll="0"/>
    <pivotField numFmtId="169" showAll="0"/>
    <pivotField numFmtId="170" showAll="0"/>
    <pivotField showAll="0"/>
    <pivotField numFmtId="171" showAll="0"/>
    <pivotField showAll="0"/>
    <pivotField numFmtId="171" showAll="0"/>
    <pivotField showAll="0"/>
    <pivotField showAll="0"/>
    <pivotField showAll="0"/>
    <pivotField showAll="0"/>
    <pivotField showAll="0"/>
    <pivotField showAll="0"/>
    <pivotField numFmtId="17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0" showAll="0"/>
    <pivotField showAll="0"/>
    <pivotField showAll="0"/>
    <pivotField showAll="0"/>
    <pivotField showAll="0"/>
    <pivotField showAll="0"/>
    <pivotField showAll="0"/>
    <pivotField showAll="0"/>
    <pivotField showAll="0"/>
    <pivotField showAll="0"/>
    <pivotField showAll="0"/>
  </pivotFields>
  <rowFields count="1">
    <field x="1"/>
  </rowFields>
  <rowItems count="10">
    <i>
      <x v="2"/>
    </i>
    <i>
      <x v="16"/>
    </i>
    <i>
      <x v="35"/>
    </i>
    <i>
      <x v="60"/>
    </i>
    <i>
      <x v="106"/>
    </i>
    <i>
      <x v="112"/>
    </i>
    <i>
      <x v="121"/>
    </i>
    <i>
      <x v="122"/>
    </i>
    <i>
      <x v="128"/>
    </i>
    <i>
      <x v="129"/>
    </i>
  </rowItems>
  <colItems count="1">
    <i/>
  </colItems>
  <pageFields count="1">
    <pageField fld="11" hier="-1"/>
  </pageFields>
  <dataFields count="1">
    <dataField name="Sum of Average Delivery Funds per Capita (30% Pop)" fld="11" baseField="0" baseItem="0" numFmtId="167"/>
  </dataFields>
  <formats count="3">
    <format dxfId="362">
      <pivotArea collapsedLevelsAreSubtotals="1" fieldPosition="0">
        <references count="1">
          <reference field="1" count="10">
            <x v="28"/>
            <x v="29"/>
            <x v="46"/>
            <x v="68"/>
            <x v="85"/>
            <x v="86"/>
            <x v="109"/>
            <x v="110"/>
            <x v="137"/>
            <x v="142"/>
          </reference>
        </references>
      </pivotArea>
    </format>
    <format dxfId="361">
      <pivotArea dataOnly="0" labelOnly="1" outline="0" axis="axisValues" fieldPosition="0"/>
    </format>
    <format dxfId="360">
      <pivotArea outline="0" collapsedLevelsAreSubtotals="1" fieldPosition="0"/>
    </format>
  </format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89:AN229" firstHeaderRow="1" firstDataRow="3"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2"/>
        <item x="1"/>
        <item x="3"/>
        <item m="1" x="7"/>
        <item x="5"/>
        <item x="4"/>
        <item m="1" x="6"/>
      </items>
    </pivotField>
    <pivotField axis="axisCol" compact="0" outline="0" showAll="0" defaultSubtotal="0">
      <items count="32">
        <item x="1"/>
        <item x="10"/>
        <item x="22"/>
        <item x="9"/>
        <item x="15"/>
        <item x="13"/>
        <item x="21"/>
        <item x="16"/>
        <item x="8"/>
        <item x="4"/>
        <item x="5"/>
        <item x="29"/>
        <item x="7"/>
        <item x="6"/>
        <item x="18"/>
        <item x="26"/>
        <item x="2"/>
        <item x="3"/>
        <item x="17"/>
        <item x="23"/>
        <item x="27"/>
        <item x="11"/>
        <item x="14"/>
        <item x="20"/>
        <item x="12"/>
        <item x="28"/>
        <item x="24"/>
        <item x="19"/>
        <item x="0"/>
        <item x="25"/>
        <item m="1" x="31"/>
        <item x="30"/>
      </items>
    </pivotField>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rowItems>
  <colFields count="2">
    <field x="5"/>
    <field x="6"/>
  </colFields>
  <colItems count="27">
    <i>
      <x/>
      <x/>
    </i>
    <i r="1">
      <x v="16"/>
    </i>
    <i r="1">
      <x v="28"/>
    </i>
    <i>
      <x v="1"/>
      <x v="1"/>
    </i>
    <i r="1">
      <x v="4"/>
    </i>
    <i r="1">
      <x v="5"/>
    </i>
    <i r="1">
      <x v="14"/>
    </i>
    <i r="1">
      <x v="15"/>
    </i>
    <i r="1">
      <x v="18"/>
    </i>
    <i r="1">
      <x v="19"/>
    </i>
    <i r="1">
      <x v="21"/>
    </i>
    <i r="1">
      <x v="22"/>
    </i>
    <i r="1">
      <x v="24"/>
    </i>
    <i r="1">
      <x v="27"/>
    </i>
    <i>
      <x v="2"/>
      <x v="3"/>
    </i>
    <i r="1">
      <x v="8"/>
    </i>
    <i r="1">
      <x v="9"/>
    </i>
    <i r="1">
      <x v="10"/>
    </i>
    <i r="1">
      <x v="11"/>
    </i>
    <i r="1">
      <x v="12"/>
    </i>
    <i r="1">
      <x v="13"/>
    </i>
    <i r="1">
      <x v="31"/>
    </i>
    <i>
      <x v="3"/>
      <x v="7"/>
    </i>
    <i r="1">
      <x v="26"/>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7">
    <format dxfId="327">
      <pivotArea field="2" type="button" dataOnly="0" labelOnly="1" outline="0" axis="axisRow" fieldPosition="0"/>
    </format>
    <format dxfId="326">
      <pivotArea dataOnly="0" labelOnly="1" outline="0" fieldPosition="0">
        <references count="2">
          <reference field="5" count="1" selected="0">
            <x v="0"/>
          </reference>
          <reference field="6" count="3">
            <x v="0"/>
            <x v="16"/>
            <x v="28"/>
          </reference>
        </references>
      </pivotArea>
    </format>
    <format dxfId="325">
      <pivotArea dataOnly="0" labelOnly="1" outline="0" fieldPosition="0">
        <references count="2">
          <reference field="5" count="1" selected="0">
            <x v="1"/>
          </reference>
          <reference field="6" count="11">
            <x v="1"/>
            <x v="4"/>
            <x v="5"/>
            <x v="14"/>
            <x v="15"/>
            <x v="18"/>
            <x v="19"/>
            <x v="21"/>
            <x v="22"/>
            <x v="24"/>
            <x v="27"/>
          </reference>
        </references>
      </pivotArea>
    </format>
    <format dxfId="324">
      <pivotArea dataOnly="0" labelOnly="1" outline="0" fieldPosition="0">
        <references count="2">
          <reference field="5" count="1" selected="0">
            <x v="2"/>
          </reference>
          <reference field="6" count="6">
            <x v="3"/>
            <x v="8"/>
            <x v="9"/>
            <x v="10"/>
            <x v="12"/>
            <x v="13"/>
          </reference>
        </references>
      </pivotArea>
    </format>
    <format dxfId="323">
      <pivotArea dataOnly="0" labelOnly="1" outline="0" fieldPosition="0">
        <references count="2">
          <reference field="5" count="1" selected="0">
            <x v="3"/>
          </reference>
          <reference field="6" count="2">
            <x v="7"/>
            <x v="26"/>
          </reference>
        </references>
      </pivotArea>
    </format>
    <format dxfId="322">
      <pivotArea dataOnly="0" labelOnly="1" outline="0" fieldPosition="0">
        <references count="2">
          <reference field="5" count="1" selected="0">
            <x v="6"/>
          </reference>
          <reference field="6" count="3">
            <x v="2"/>
            <x v="6"/>
            <x v="23"/>
          </reference>
        </references>
      </pivotArea>
    </format>
    <format dxfId="321">
      <pivotArea field="2" type="button" dataOnly="0" labelOnly="1" outline="0" axis="axisRow" fieldPosition="0"/>
    </format>
    <format dxfId="320">
      <pivotArea dataOnly="0" labelOnly="1" outline="0" fieldPosition="0">
        <references count="2">
          <reference field="5" count="1" selected="0">
            <x v="0"/>
          </reference>
          <reference field="6" count="3">
            <x v="0"/>
            <x v="16"/>
            <x v="28"/>
          </reference>
        </references>
      </pivotArea>
    </format>
    <format dxfId="319">
      <pivotArea dataOnly="0" labelOnly="1" outline="0" fieldPosition="0">
        <references count="2">
          <reference field="5" count="1" selected="0">
            <x v="1"/>
          </reference>
          <reference field="6" count="11">
            <x v="1"/>
            <x v="4"/>
            <x v="5"/>
            <x v="14"/>
            <x v="15"/>
            <x v="18"/>
            <x v="19"/>
            <x v="21"/>
            <x v="22"/>
            <x v="24"/>
            <x v="27"/>
          </reference>
        </references>
      </pivotArea>
    </format>
    <format dxfId="318">
      <pivotArea dataOnly="0" labelOnly="1" outline="0" fieldPosition="0">
        <references count="2">
          <reference field="5" count="1" selected="0">
            <x v="2"/>
          </reference>
          <reference field="6" count="6">
            <x v="3"/>
            <x v="8"/>
            <x v="9"/>
            <x v="10"/>
            <x v="12"/>
            <x v="13"/>
          </reference>
        </references>
      </pivotArea>
    </format>
    <format dxfId="317">
      <pivotArea dataOnly="0" labelOnly="1" outline="0" fieldPosition="0">
        <references count="2">
          <reference field="5" count="1" selected="0">
            <x v="3"/>
          </reference>
          <reference field="6" count="2">
            <x v="7"/>
            <x v="26"/>
          </reference>
        </references>
      </pivotArea>
    </format>
    <format dxfId="316">
      <pivotArea dataOnly="0" labelOnly="1" outline="0" fieldPosition="0">
        <references count="2">
          <reference field="5" count="1" selected="0">
            <x v="6"/>
          </reference>
          <reference field="6" count="3">
            <x v="2"/>
            <x v="6"/>
            <x v="23"/>
          </reference>
        </references>
      </pivotArea>
    </format>
    <format dxfId="315">
      <pivotArea field="2" type="button" dataOnly="0" labelOnly="1" outline="0" axis="axisRow" fieldPosition="0"/>
    </format>
    <format dxfId="314">
      <pivotArea dataOnly="0" labelOnly="1" outline="0" fieldPosition="0">
        <references count="2">
          <reference field="5" count="1" selected="0">
            <x v="0"/>
          </reference>
          <reference field="6" count="3">
            <x v="0"/>
            <x v="16"/>
            <x v="28"/>
          </reference>
        </references>
      </pivotArea>
    </format>
    <format dxfId="313">
      <pivotArea dataOnly="0" labelOnly="1" outline="0" fieldPosition="0">
        <references count="2">
          <reference field="5" count="1" selected="0">
            <x v="1"/>
          </reference>
          <reference field="6" count="11">
            <x v="1"/>
            <x v="4"/>
            <x v="5"/>
            <x v="14"/>
            <x v="15"/>
            <x v="18"/>
            <x v="19"/>
            <x v="21"/>
            <x v="22"/>
            <x v="24"/>
            <x v="27"/>
          </reference>
        </references>
      </pivotArea>
    </format>
    <format dxfId="312">
      <pivotArea dataOnly="0" labelOnly="1" outline="0" fieldPosition="0">
        <references count="2">
          <reference field="5" count="1" selected="0">
            <x v="2"/>
          </reference>
          <reference field="6" count="6">
            <x v="3"/>
            <x v="8"/>
            <x v="9"/>
            <x v="10"/>
            <x v="12"/>
            <x v="13"/>
          </reference>
        </references>
      </pivotArea>
    </format>
    <format dxfId="311">
      <pivotArea dataOnly="0" labelOnly="1" outline="0" fieldPosition="0">
        <references count="2">
          <reference field="5" count="1" selected="0">
            <x v="3"/>
          </reference>
          <reference field="6" count="2">
            <x v="7"/>
            <x v="26"/>
          </reference>
        </references>
      </pivotArea>
    </format>
    <format dxfId="310">
      <pivotArea dataOnly="0" labelOnly="1" outline="0" fieldPosition="0">
        <references count="2">
          <reference field="5" count="1" selected="0">
            <x v="6"/>
          </reference>
          <reference field="6" count="3">
            <x v="2"/>
            <x v="6"/>
            <x v="23"/>
          </reference>
        </references>
      </pivotArea>
    </format>
    <format dxfId="309">
      <pivotArea outline="0" collapsedLevelsAreSubtotals="1" fieldPosition="0"/>
    </format>
    <format dxfId="308">
      <pivotArea outline="0" collapsedLevelsAreSubtotals="1" fieldPosition="0"/>
    </format>
    <format dxfId="307">
      <pivotArea outline="0" collapsedLevelsAreSubtotals="1" fieldPosition="0"/>
    </format>
    <format dxfId="306">
      <pivotArea dataOnly="0" labelOnly="1" outline="0" fieldPosition="0">
        <references count="2">
          <reference field="5" count="1" selected="0">
            <x v="2"/>
          </reference>
          <reference field="6" count="1">
            <x v="11"/>
          </reference>
        </references>
      </pivotArea>
    </format>
    <format dxfId="305">
      <pivotArea dataOnly="0" labelOnly="1" outline="0" fieldPosition="0">
        <references count="2">
          <reference field="5" count="1" selected="0">
            <x v="2"/>
          </reference>
          <reference field="6" count="1">
            <x v="11"/>
          </reference>
        </references>
      </pivotArea>
    </format>
    <format dxfId="304">
      <pivotArea dataOnly="0" labelOnly="1" outline="0" fieldPosition="0">
        <references count="2">
          <reference field="5" count="1" selected="0">
            <x v="2"/>
          </reference>
          <reference field="6" count="1">
            <x v="11"/>
          </reference>
        </references>
      </pivotArea>
    </format>
    <format dxfId="303">
      <pivotArea dataOnly="0" labelOnly="1" outline="0" fieldPosition="0">
        <references count="1">
          <reference field="5" count="1">
            <x v="0"/>
          </reference>
        </references>
      </pivotArea>
    </format>
    <format dxfId="302">
      <pivotArea dataOnly="0" labelOnly="1" outline="0" fieldPosition="0">
        <references count="2">
          <reference field="5" count="1" selected="0">
            <x v="0"/>
          </reference>
          <reference field="6" count="3">
            <x v="0"/>
            <x v="16"/>
            <x v="28"/>
          </reference>
        </references>
      </pivotArea>
    </format>
    <format dxfId="301">
      <pivotArea dataOnly="0" labelOnly="1" outline="0" fieldPosition="0">
        <references count="1">
          <reference field="5" count="1">
            <x v="1"/>
          </reference>
        </references>
      </pivotArea>
    </format>
    <format dxfId="300">
      <pivotArea dataOnly="0" labelOnly="1" outline="0" fieldPosition="0">
        <references count="2">
          <reference field="5" count="1" selected="0">
            <x v="1"/>
          </reference>
          <reference field="6" count="11">
            <x v="1"/>
            <x v="4"/>
            <x v="5"/>
            <x v="14"/>
            <x v="15"/>
            <x v="18"/>
            <x v="19"/>
            <x v="21"/>
            <x v="22"/>
            <x v="24"/>
            <x v="27"/>
          </reference>
        </references>
      </pivotArea>
    </format>
    <format dxfId="299">
      <pivotArea dataOnly="0" labelOnly="1" outline="0" fieldPosition="0">
        <references count="2">
          <reference field="5" count="1" selected="0">
            <x v="2"/>
          </reference>
          <reference field="6" count="1">
            <x v="31"/>
          </reference>
        </references>
      </pivotArea>
    </format>
    <format dxfId="298">
      <pivotArea dataOnly="0" labelOnly="1" outline="0" fieldPosition="0">
        <references count="2">
          <reference field="5" count="1" selected="0">
            <x v="2"/>
          </reference>
          <reference field="6" count="1">
            <x v="31"/>
          </reference>
        </references>
      </pivotArea>
    </format>
    <format dxfId="297">
      <pivotArea dataOnly="0" labelOnly="1" outline="0" fieldPosition="0">
        <references count="1">
          <reference field="5" count="1">
            <x v="3"/>
          </reference>
        </references>
      </pivotArea>
    </format>
    <format dxfId="296">
      <pivotArea dataOnly="0" labelOnly="1" outline="0" fieldPosition="0">
        <references count="2">
          <reference field="5" count="1" selected="0">
            <x v="3"/>
          </reference>
          <reference field="6" count="2">
            <x v="7"/>
            <x v="26"/>
          </reference>
        </references>
      </pivotArea>
    </format>
    <format dxfId="295">
      <pivotArea dataOnly="0" labelOnly="1" outline="0" fieldPosition="0">
        <references count="1">
          <reference field="5" count="1">
            <x v="6"/>
          </reference>
        </references>
      </pivotArea>
    </format>
    <format dxfId="294">
      <pivotArea dataOnly="0" labelOnly="1" outline="0" fieldPosition="0">
        <references count="2">
          <reference field="5" count="1" selected="0">
            <x v="6"/>
          </reference>
          <reference field="6" count="3">
            <x v="2"/>
            <x v="6"/>
            <x v="23"/>
          </reference>
        </references>
      </pivotArea>
    </format>
    <format dxfId="29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0:I229" firstHeaderRow="1" firstDataRow="2"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n="MDBs" x="0"/>
        <item n="Bilaterals" x="2"/>
        <item x="1"/>
        <item n="Intl. Orgs" x="3"/>
        <item x="4"/>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357">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6">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55">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54">
      <pivotArea field="2" type="button" dataOnly="0" labelOnly="1" outline="0" axis="axisRow" fieldPosition="0"/>
    </format>
    <format dxfId="353">
      <pivotArea dataOnly="0" labelOnly="1" outline="0" fieldPosition="0">
        <references count="1">
          <reference field="5" count="5">
            <x v="0"/>
            <x v="1"/>
            <x v="2"/>
            <x v="3"/>
            <x v="4"/>
          </reference>
        </references>
      </pivotArea>
    </format>
    <format dxfId="352">
      <pivotArea field="2" type="button" dataOnly="0" labelOnly="1" outline="0" axis="axisRow" fieldPosition="0"/>
    </format>
    <format dxfId="351">
      <pivotArea dataOnly="0" labelOnly="1" outline="0" fieldPosition="0">
        <references count="1">
          <reference field="5" count="5">
            <x v="0"/>
            <x v="1"/>
            <x v="2"/>
            <x v="3"/>
            <x v="4"/>
          </reference>
        </references>
      </pivotArea>
    </format>
    <format dxfId="350">
      <pivotArea field="2" type="button" dataOnly="0" labelOnly="1" outline="0" axis="axisRow" fieldPosition="0"/>
    </format>
    <format dxfId="349">
      <pivotArea dataOnly="0" labelOnly="1" outline="0" fieldPosition="0">
        <references count="1">
          <reference field="5" count="5">
            <x v="0"/>
            <x v="1"/>
            <x v="2"/>
            <x v="3"/>
            <x v="4"/>
          </reference>
        </references>
      </pivotArea>
    </format>
    <format dxfId="348">
      <pivotArea outline="0" collapsedLevelsAreSubtotals="1" fieldPosition="0"/>
    </format>
    <format dxfId="347">
      <pivotArea outline="0" collapsedLevelsAreSubtotals="1" fieldPosition="0"/>
    </format>
    <format dxfId="346">
      <pivotArea outline="0" collapsedLevelsAreSubtotals="1" fieldPosition="0"/>
    </format>
    <format dxfId="34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3">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42">
      <pivotArea type="topRight" dataOnly="0" labelOnly="1" outline="0" offset="D1" fieldPosition="0"/>
    </format>
    <format dxfId="341">
      <pivotArea dataOnly="0" labelOnly="1" outline="0" fieldPosition="0">
        <references count="1">
          <reference field="5" count="1">
            <x v="7"/>
          </reference>
        </references>
      </pivotArea>
    </format>
    <format dxfId="340">
      <pivotArea dataOnly="0" labelOnly="1" outline="0" fieldPosition="0">
        <references count="1">
          <reference field="5" count="1">
            <x v="7"/>
          </reference>
        </references>
      </pivotArea>
    </format>
    <format dxfId="339">
      <pivotArea dataOnly="0" labelOnly="1" outline="0" fieldPosition="0">
        <references count="1">
          <reference field="5" count="1">
            <x v="7"/>
          </reference>
        </references>
      </pivotArea>
    </format>
    <format dxfId="338">
      <pivotArea outline="0" fieldPosition="0">
        <references count="1">
          <reference field="4294967294" count="1">
            <x v="0"/>
          </reference>
        </references>
      </pivotArea>
    </format>
    <format dxfId="337">
      <pivotArea field="5" type="button" dataOnly="0" labelOnly="1" outline="0" axis="axisCol" fieldPosition="0"/>
    </format>
    <format dxfId="336">
      <pivotArea dataOnly="0" labelOnly="1" outline="0" fieldPosition="0">
        <references count="1">
          <reference field="5" count="1">
            <x v="0"/>
          </reference>
        </references>
      </pivotArea>
    </format>
    <format dxfId="335">
      <pivotArea type="topRight" dataOnly="0" labelOnly="1" outline="0" offset="A1" fieldPosition="0"/>
    </format>
    <format dxfId="334">
      <pivotArea dataOnly="0" labelOnly="1" outline="0" fieldPosition="0">
        <references count="1">
          <reference field="5" count="1">
            <x v="1"/>
          </reference>
        </references>
      </pivotArea>
    </format>
    <format dxfId="333">
      <pivotArea type="topRight" dataOnly="0" labelOnly="1" outline="0" offset="B1" fieldPosition="0"/>
    </format>
    <format dxfId="332">
      <pivotArea dataOnly="0" labelOnly="1" outline="0" fieldPosition="0">
        <references count="1">
          <reference field="5" count="1">
            <x v="2"/>
          </reference>
        </references>
      </pivotArea>
    </format>
    <format dxfId="331">
      <pivotArea type="topRight" dataOnly="0" labelOnly="1" outline="0" offset="C1" fieldPosition="0"/>
    </format>
    <format dxfId="330">
      <pivotArea dataOnly="0" labelOnly="1" outline="0" fieldPosition="0">
        <references count="1">
          <reference field="5" count="1">
            <x v="3"/>
          </reference>
        </references>
      </pivotArea>
    </format>
    <format dxfId="329">
      <pivotArea type="topRight" dataOnly="0" labelOnly="1" outline="0" offset="D1" fieldPosition="0"/>
    </format>
    <format dxfId="328">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N152" firstHeaderRow="0" firstDataRow="1" firstDataCol="2" rowPageCount="1" colPageCount="1"/>
  <pivotFields count="9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h="1"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h="1"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3"/>
  </rowFields>
  <rowItems count="148">
    <i>
      <x/>
      <x v="2"/>
    </i>
    <i>
      <x v="1"/>
      <x v="4"/>
    </i>
    <i>
      <x v="2"/>
      <x v="3"/>
    </i>
    <i>
      <x v="3"/>
      <x v="3"/>
    </i>
    <i>
      <x v="4"/>
      <x/>
    </i>
    <i>
      <x v="5"/>
      <x v="4"/>
    </i>
    <i>
      <x v="6"/>
      <x v="4"/>
    </i>
    <i>
      <x v="7"/>
      <x v="4"/>
    </i>
    <i>
      <x v="8"/>
      <x v="3"/>
    </i>
    <i>
      <x v="9"/>
      <x v="4"/>
    </i>
    <i>
      <x v="10"/>
      <x v="3"/>
    </i>
    <i>
      <x v="11"/>
      <x v="3"/>
    </i>
    <i>
      <x v="12"/>
      <x v="3"/>
    </i>
    <i>
      <x v="13"/>
      <x v="3"/>
    </i>
    <i>
      <x v="14"/>
      <x v="4"/>
    </i>
    <i>
      <x v="15"/>
      <x v="4"/>
    </i>
    <i>
      <x v="16"/>
      <x v="4"/>
    </i>
    <i>
      <x v="17"/>
      <x v="4"/>
    </i>
    <i>
      <x v="18"/>
      <x v="2"/>
    </i>
    <i>
      <x v="19"/>
      <x v="2"/>
    </i>
    <i>
      <x v="20"/>
      <x v="3"/>
    </i>
    <i>
      <x v="21"/>
      <x v="3"/>
    </i>
    <i>
      <x v="22"/>
      <x v="3"/>
    </i>
    <i>
      <x v="23"/>
      <x v="2"/>
    </i>
    <i>
      <x v="24"/>
      <x v="2"/>
    </i>
    <i>
      <x v="25"/>
      <x/>
    </i>
    <i>
      <x v="26"/>
      <x v="4"/>
    </i>
    <i>
      <x v="27"/>
      <x v="4"/>
    </i>
    <i>
      <x v="28"/>
      <x v="3"/>
    </i>
    <i>
      <x v="29"/>
      <x v="2"/>
    </i>
    <i>
      <x v="30"/>
      <x v="3"/>
    </i>
    <i>
      <x v="31"/>
      <x v="6"/>
    </i>
    <i>
      <x v="32"/>
      <x v="4"/>
    </i>
    <i>
      <x v="33"/>
      <x v="3"/>
    </i>
    <i>
      <x v="35"/>
      <x/>
    </i>
    <i>
      <x v="36"/>
      <x v="4"/>
    </i>
    <i>
      <x v="37"/>
      <x v="3"/>
    </i>
    <i>
      <x v="38"/>
      <x v="4"/>
    </i>
    <i>
      <x v="39"/>
      <x v="4"/>
    </i>
    <i>
      <x v="40"/>
      <x v="4"/>
    </i>
    <i>
      <x v="41"/>
      <x v="3"/>
    </i>
    <i>
      <x v="42"/>
      <x v="3"/>
    </i>
    <i>
      <x v="43"/>
      <x v="4"/>
    </i>
    <i>
      <x v="44"/>
      <x v="2"/>
    </i>
    <i>
      <x v="45"/>
      <x v="3"/>
    </i>
    <i>
      <x v="46"/>
      <x v="2"/>
    </i>
    <i>
      <x v="47"/>
      <x v="4"/>
    </i>
    <i>
      <x v="48"/>
      <x v="4"/>
    </i>
    <i>
      <x v="49"/>
      <x v="2"/>
    </i>
    <i>
      <x v="50"/>
      <x v="4"/>
    </i>
    <i>
      <x v="51"/>
      <x v="3"/>
    </i>
    <i>
      <x v="52"/>
      <x v="4"/>
    </i>
    <i>
      <x v="53"/>
      <x v="4"/>
    </i>
    <i>
      <x v="54"/>
      <x v="2"/>
    </i>
    <i>
      <x v="55"/>
      <x v="2"/>
    </i>
    <i>
      <x v="56"/>
      <x v="4"/>
    </i>
    <i>
      <x v="57"/>
      <x v="3"/>
    </i>
    <i>
      <x v="58"/>
      <x v="3"/>
    </i>
    <i>
      <x v="59"/>
      <x v="3"/>
    </i>
    <i>
      <x v="60"/>
      <x v="3"/>
    </i>
    <i>
      <x v="61"/>
      <x v="3"/>
    </i>
    <i>
      <x v="62"/>
      <x v="4"/>
    </i>
    <i>
      <x v="63"/>
      <x v="4"/>
    </i>
    <i>
      <x v="64"/>
      <x v="4"/>
    </i>
    <i>
      <x v="65"/>
      <x v="4"/>
    </i>
    <i>
      <x v="66"/>
      <x v="3"/>
    </i>
    <i>
      <x v="67"/>
      <x v="3"/>
    </i>
    <i>
      <x v="68"/>
      <x v="2"/>
    </i>
    <i>
      <x v="69"/>
      <x v="4"/>
    </i>
    <i>
      <x v="70"/>
      <x v="3"/>
    </i>
    <i>
      <x v="71"/>
      <x v="3"/>
    </i>
    <i>
      <x v="72"/>
      <x v="4"/>
    </i>
    <i>
      <x v="73"/>
      <x v="3"/>
    </i>
    <i>
      <x v="74"/>
      <x v="2"/>
    </i>
    <i>
      <x v="75"/>
      <x v="4"/>
    </i>
    <i>
      <x v="76"/>
      <x v="2"/>
    </i>
    <i>
      <x v="77"/>
      <x v="2"/>
    </i>
    <i>
      <x v="78"/>
      <x v="4"/>
    </i>
    <i>
      <x v="79"/>
      <x v="4"/>
    </i>
    <i>
      <x v="80"/>
      <x v="2"/>
    </i>
    <i>
      <x v="81"/>
      <x v="4"/>
    </i>
    <i>
      <x v="82"/>
      <x v="3"/>
    </i>
    <i>
      <x v="83"/>
      <x v="4"/>
    </i>
    <i>
      <x v="84"/>
      <x v="4"/>
    </i>
    <i>
      <x v="85"/>
      <x v="3"/>
    </i>
    <i>
      <x v="86"/>
      <x v="4"/>
    </i>
    <i>
      <x v="87"/>
      <x v="3"/>
    </i>
    <i>
      <x v="88"/>
      <x v="4"/>
    </i>
    <i>
      <x v="89"/>
      <x v="3"/>
    </i>
    <i>
      <x v="90"/>
      <x v="2"/>
    </i>
    <i>
      <x v="91"/>
      <x v="3"/>
    </i>
    <i>
      <x v="92"/>
      <x v="4"/>
    </i>
    <i>
      <x v="93"/>
      <x/>
    </i>
    <i>
      <x v="94"/>
      <x v="3"/>
    </i>
    <i>
      <x v="95"/>
      <x v="3"/>
    </i>
    <i>
      <x v="96"/>
      <x v="2"/>
    </i>
    <i>
      <x v="97"/>
      <x v="3"/>
    </i>
    <i>
      <x v="98"/>
      <x v="4"/>
    </i>
    <i>
      <x v="99"/>
      <x v="3"/>
    </i>
    <i>
      <x v="100"/>
      <x/>
    </i>
    <i>
      <x v="101"/>
      <x v="4"/>
    </i>
    <i>
      <x v="102"/>
      <x v="3"/>
    </i>
    <i>
      <x v="103"/>
      <x v="4"/>
    </i>
    <i>
      <x v="104"/>
      <x v="4"/>
    </i>
    <i>
      <x v="105"/>
      <x v="3"/>
    </i>
    <i>
      <x v="106"/>
      <x/>
    </i>
    <i>
      <x v="107"/>
      <x v="4"/>
    </i>
    <i>
      <x v="108"/>
      <x v="4"/>
    </i>
    <i>
      <x v="109"/>
      <x v="2"/>
    </i>
    <i>
      <x v="110"/>
      <x v="3"/>
    </i>
    <i>
      <x v="111"/>
      <x v="3"/>
    </i>
    <i>
      <x v="112"/>
      <x v="3"/>
    </i>
    <i>
      <x v="113"/>
      <x v="4"/>
    </i>
    <i>
      <x v="114"/>
      <x/>
    </i>
    <i>
      <x v="115"/>
      <x v="2"/>
    </i>
    <i>
      <x v="116"/>
      <x v="3"/>
    </i>
    <i>
      <x v="117"/>
      <x v="2"/>
    </i>
    <i>
      <x v="118"/>
      <x v="4"/>
    </i>
    <i>
      <x v="119"/>
      <x v="2"/>
    </i>
    <i>
      <x v="120"/>
      <x v="3"/>
    </i>
    <i>
      <x v="121"/>
      <x/>
    </i>
    <i>
      <x v="122"/>
      <x v="4"/>
    </i>
    <i>
      <x v="123"/>
      <x v="4"/>
    </i>
    <i>
      <x v="124"/>
      <x v="3"/>
    </i>
    <i>
      <x v="125"/>
      <x v="2"/>
    </i>
    <i>
      <x v="126"/>
      <x v="4"/>
    </i>
    <i>
      <x v="127"/>
      <x v="2"/>
    </i>
    <i>
      <x v="128"/>
      <x v="3"/>
    </i>
    <i>
      <x v="129"/>
      <x v="3"/>
    </i>
    <i>
      <x v="130"/>
      <x v="4"/>
    </i>
    <i>
      <x v="131"/>
      <x v="3"/>
    </i>
    <i>
      <x v="132"/>
      <x v="2"/>
    </i>
    <i>
      <x v="133"/>
      <x v="4"/>
    </i>
    <i>
      <x v="134"/>
      <x/>
    </i>
    <i>
      <x v="135"/>
      <x v="3"/>
    </i>
    <i>
      <x v="136"/>
      <x v="4"/>
    </i>
    <i>
      <x v="137"/>
      <x v="4"/>
    </i>
    <i>
      <x v="138"/>
      <x v="4"/>
    </i>
    <i>
      <x v="139"/>
      <x v="2"/>
    </i>
    <i>
      <x v="140"/>
      <x v="3"/>
    </i>
    <i>
      <x v="141"/>
      <x/>
    </i>
    <i>
      <x v="142"/>
      <x v="3"/>
    </i>
    <i>
      <x v="143"/>
      <x v="3"/>
    </i>
    <i>
      <x v="144"/>
      <x v="6"/>
    </i>
    <i>
      <x v="145"/>
      <x v="3"/>
    </i>
    <i>
      <x v="146"/>
      <x v="2"/>
    </i>
    <i>
      <x v="147"/>
      <x v="3"/>
    </i>
    <i>
      <x v="148"/>
      <x v="3"/>
    </i>
  </rowItems>
  <colFields count="1">
    <field x="-2"/>
  </colFields>
  <colItems count="3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colItems>
  <pageFields count="1">
    <pageField fld="2" hier="-1"/>
  </pageFields>
  <dataFields count="35">
    <dataField name=" WB - Vaccine Delivery" fld="25" baseField="3" baseItem="4" numFmtId="166"/>
    <dataField name=" ADB - Vaccine Delivery" fld="32" baseField="3" baseItem="4" numFmtId="166"/>
    <dataField name=" IDB - Vaccine Delivery" fld="44" baseField="3" baseItem="4" numFmtId="166"/>
    <dataField name=" Gavi Bridge Funding - Approved" fld="46" baseField="3" baseItem="4" numFmtId="166"/>
    <dataField name=" Gavi Cold Chain - Disbursement" fld="57" baseField="3" baseItem="4" numFmtId="166"/>
    <dataField name=" BMZ-GAVI" fld="67" baseField="3" baseItem="0" numFmtId="166"/>
    <dataField name=" GAVI COVAX TA to UNICEF" fld="52" baseField="3" baseItem="0" numFmtId="166"/>
    <dataField name=" GAVI COVAX TA to WHO" fld="53" baseField="3" baseItem="0" numFmtId="166"/>
    <dataField name="CDS EAW" fld="60" baseField="3" baseItem="2" numFmtId="166"/>
    <dataField name="CDS Needs-based" fld="62" baseField="3" baseItem="2" numFmtId="166"/>
    <dataField name=" Government of France - Gavi" fld="72" baseField="3" baseItem="2" numFmtId="3"/>
    <dataField name=" JICA Funding " fld="48" baseField="3" baseItem="0" numFmtId="166"/>
    <dataField name=" Australia" fld="54" baseField="3" baseItem="0" numFmtId="166"/>
    <dataField name=" New Zealand" fld="55" baseField="3" baseItem="0" numFmtId="166"/>
    <dataField name=" Republic of Korea" fld="63" baseField="3" baseItem="0" numFmtId="166"/>
    <dataField name=" Czech Republic" fld="64" baseField="3" baseItem="0" numFmtId="166"/>
    <dataField name=" Ireland" fld="73" baseField="3" baseItem="2" numFmtId="166"/>
    <dataField name=" Norway" fld="65" baseField="3" baseItem="0" numFmtId="166"/>
    <dataField name=" CDC" fld="69" baseField="3" baseItem="0" numFmtId="166"/>
    <dataField name=" ECHO" fld="70" baseField="3" baseItem="0" numFmtId="166"/>
    <dataField name=" USAID Funding" fld="49" baseField="3" baseItem="0" numFmtId="166"/>
    <dataField name="-of which is USAID contributions to the HAC" fld="74" baseField="3" baseItem="0" numFmtId="166"/>
    <dataField name=" Japan MoFA funding (Cold Chain)" fld="50" baseField="3" baseItem="0" numFmtId="166"/>
    <dataField name=" Germany - Federal Foreign Office (AA)" fld="71" baseField="3" baseItem="3" numFmtId="166"/>
    <dataField name=" ELMA Funding " fld="47" baseField="3" baseItem="0" numFmtId="166"/>
    <dataField name=" Other private donations " fld="66" baseField="3" baseItem="0" numFmtId="166"/>
    <dataField name=" BMGF" fld="68" baseField="3" baseItem="0" numFmtId="166"/>
    <dataField name="UNICEF (Thematic and flexible funding)  ACT-A HAC Allocation" fld="51" baseField="3" baseItem="2" numFmtId="166"/>
    <dataField name=" Total MDB" fld="85" baseField="3" baseItem="2" numFmtId="166"/>
    <dataField name=" Total Bilateral (incl. ECHO)" fld="86" baseField="3" baseItem="2" numFmtId="166"/>
    <dataField name=" Total Foundation/Private" fld="87" baseField="3" baseItem="2" numFmtId="166"/>
    <dataField name=" Total UNICEF HAC" fld="88" baseField="3" baseItem="2" numFmtId="166"/>
    <dataField name=" Total Gavi" fld="89" baseField="3" baseItem="2" numFmtId="166"/>
    <dataField name=" Total External Financing for Vaccine Delivery" fld="80" baseField="3" baseItem="3" numFmtId="166"/>
    <dataField name=" Total External Financing for Vaccine Delivery per capita (30% of Pop.)" fld="81" baseField="3" baseItem="3" numFmtId="167"/>
  </dataFields>
  <formats count="231">
    <format dxfId="282">
      <pivotArea outline="0" collapsedLevelsAreSubtotals="1" fieldPosition="0"/>
    </format>
    <format dxfId="281">
      <pivotArea dataOnly="0" labelOnly="1" outline="0" fieldPosition="0">
        <references count="1">
          <reference field="4294967294" count="30">
            <x v="0"/>
            <x v="1"/>
            <x v="2"/>
            <x v="3"/>
            <x v="4"/>
            <x v="5"/>
            <x v="6"/>
            <x v="7"/>
            <x v="11"/>
            <x v="12"/>
            <x v="13"/>
            <x v="14"/>
            <x v="15"/>
            <x v="17"/>
            <x v="18"/>
            <x v="19"/>
            <x v="20"/>
            <x v="21"/>
            <x v="22"/>
            <x v="24"/>
            <x v="25"/>
            <x v="26"/>
            <x v="27"/>
            <x v="28"/>
            <x v="29"/>
            <x v="30"/>
            <x v="31"/>
            <x v="32"/>
            <x v="33"/>
            <x v="34"/>
          </reference>
        </references>
      </pivotArea>
    </format>
    <format dxfId="280">
      <pivotArea field="1" type="button" dataOnly="0" labelOnly="1" outline="0" axis="axisRow" fieldPosition="0"/>
    </format>
    <format dxfId="279">
      <pivotArea field="3" type="button" dataOnly="0" labelOnly="1" outline="0" axis="axisRow" fieldPosition="1"/>
    </format>
    <format dxfId="278">
      <pivotArea dataOnly="0" labelOnly="1" outline="0" fieldPosition="0">
        <references count="1">
          <reference field="4294967294" count="30">
            <x v="0"/>
            <x v="1"/>
            <x v="2"/>
            <x v="3"/>
            <x v="4"/>
            <x v="5"/>
            <x v="6"/>
            <x v="7"/>
            <x v="11"/>
            <x v="12"/>
            <x v="13"/>
            <x v="14"/>
            <x v="15"/>
            <x v="17"/>
            <x v="18"/>
            <x v="19"/>
            <x v="20"/>
            <x v="21"/>
            <x v="22"/>
            <x v="24"/>
            <x v="25"/>
            <x v="26"/>
            <x v="27"/>
            <x v="28"/>
            <x v="29"/>
            <x v="30"/>
            <x v="31"/>
            <x v="32"/>
            <x v="33"/>
            <x v="34"/>
          </reference>
        </references>
      </pivotArea>
    </format>
    <format dxfId="277">
      <pivotArea field="1" type="button" dataOnly="0" labelOnly="1" outline="0" axis="axisRow" fieldPosition="0"/>
    </format>
    <format dxfId="276">
      <pivotArea field="3" type="button" dataOnly="0" labelOnly="1" outline="0" axis="axisRow" fieldPosition="1"/>
    </format>
    <format dxfId="275">
      <pivotArea dataOnly="0" labelOnly="1" outline="0" fieldPosition="0">
        <references count="1">
          <reference field="4294967294" count="30">
            <x v="0"/>
            <x v="1"/>
            <x v="2"/>
            <x v="3"/>
            <x v="4"/>
            <x v="5"/>
            <x v="6"/>
            <x v="7"/>
            <x v="11"/>
            <x v="12"/>
            <x v="13"/>
            <x v="14"/>
            <x v="15"/>
            <x v="17"/>
            <x v="18"/>
            <x v="19"/>
            <x v="20"/>
            <x v="21"/>
            <x v="22"/>
            <x v="24"/>
            <x v="25"/>
            <x v="26"/>
            <x v="27"/>
            <x v="28"/>
            <x v="29"/>
            <x v="30"/>
            <x v="31"/>
            <x v="32"/>
            <x v="33"/>
            <x v="34"/>
          </reference>
        </references>
      </pivotArea>
    </format>
    <format dxfId="274">
      <pivotArea dataOnly="0" labelOnly="1" outline="0" fieldPosition="0">
        <references count="1">
          <reference field="4294967294" count="1">
            <x v="12"/>
          </reference>
        </references>
      </pivotArea>
    </format>
    <format dxfId="273">
      <pivotArea dataOnly="0" labelOnly="1" outline="0" fieldPosition="0">
        <references count="1">
          <reference field="4294967294" count="1">
            <x v="11"/>
          </reference>
        </references>
      </pivotArea>
    </format>
    <format dxfId="272">
      <pivotArea dataOnly="0" labelOnly="1" outline="0" fieldPosition="0">
        <references count="1">
          <reference field="4294967294" count="1">
            <x v="13"/>
          </reference>
        </references>
      </pivotArea>
    </format>
    <format dxfId="271">
      <pivotArea dataOnly="0" labelOnly="1" outline="0" fieldPosition="0">
        <references count="1">
          <reference field="4294967294" count="1">
            <x v="14"/>
          </reference>
        </references>
      </pivotArea>
    </format>
    <format dxfId="270">
      <pivotArea dataOnly="0" labelOnly="1" outline="0" fieldPosition="0">
        <references count="1">
          <reference field="4294967294" count="1">
            <x v="15"/>
          </reference>
        </references>
      </pivotArea>
    </format>
    <format dxfId="269">
      <pivotArea dataOnly="0" labelOnly="1" outline="0" fieldPosition="0">
        <references count="1">
          <reference field="4294967294" count="1">
            <x v="17"/>
          </reference>
        </references>
      </pivotArea>
    </format>
    <format dxfId="268">
      <pivotArea dataOnly="0" labelOnly="1" outline="0" fieldPosition="0">
        <references count="1">
          <reference field="4294967294" count="1">
            <x v="18"/>
          </reference>
        </references>
      </pivotArea>
    </format>
    <format dxfId="267">
      <pivotArea dataOnly="0" labelOnly="1" outline="0" fieldPosition="0">
        <references count="1">
          <reference field="4294967294" count="1">
            <x v="19"/>
          </reference>
        </references>
      </pivotArea>
    </format>
    <format dxfId="266">
      <pivotArea dataOnly="0" labelOnly="1" outline="0" fieldPosition="0">
        <references count="1">
          <reference field="4294967294" count="1">
            <x v="22"/>
          </reference>
        </references>
      </pivotArea>
    </format>
    <format dxfId="265">
      <pivotArea dataOnly="0" labelOnly="1" outline="0" fieldPosition="0">
        <references count="1">
          <reference field="4294967294" count="1">
            <x v="21"/>
          </reference>
        </references>
      </pivotArea>
    </format>
    <format dxfId="264">
      <pivotArea dataOnly="0" labelOnly="1" outline="0" fieldPosition="0">
        <references count="1">
          <reference field="4294967294" count="1">
            <x v="24"/>
          </reference>
        </references>
      </pivotArea>
    </format>
    <format dxfId="263">
      <pivotArea dataOnly="0" labelOnly="1" outline="0" fieldPosition="0">
        <references count="1">
          <reference field="4294967294" count="1">
            <x v="25"/>
          </reference>
        </references>
      </pivotArea>
    </format>
    <format dxfId="262">
      <pivotArea dataOnly="0" labelOnly="1" outline="0" fieldPosition="0">
        <references count="1">
          <reference field="4294967294" count="1">
            <x v="27"/>
          </reference>
        </references>
      </pivotArea>
    </format>
    <format dxfId="261">
      <pivotArea dataOnly="0" labelOnly="1" outline="0" fieldPosition="0">
        <references count="1">
          <reference field="4294967294" count="1">
            <x v="28"/>
          </reference>
        </references>
      </pivotArea>
    </format>
    <format dxfId="260">
      <pivotArea dataOnly="0" labelOnly="1" outline="0" fieldPosition="0">
        <references count="1">
          <reference field="4294967294" count="2">
            <x v="29"/>
            <x v="30"/>
          </reference>
        </references>
      </pivotArea>
    </format>
    <format dxfId="259">
      <pivotArea dataOnly="0" labelOnly="1" outline="0" fieldPosition="0">
        <references count="1">
          <reference field="4294967294" count="2">
            <x v="31"/>
            <x v="32"/>
          </reference>
        </references>
      </pivotArea>
    </format>
    <format dxfId="258">
      <pivotArea outline="0" collapsedLevelsAreSubtotals="1" fieldPosition="0"/>
    </format>
    <format dxfId="25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256">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255">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254">
      <pivotArea dataOnly="0" labelOnly="1" grandRow="1" outline="0" fieldPosition="0"/>
    </format>
    <format dxfId="253">
      <pivotArea dataOnly="0" labelOnly="1" outline="0" fieldPosition="0">
        <references count="2">
          <reference field="1" count="1" selected="0">
            <x v="0"/>
          </reference>
          <reference field="3" count="1">
            <x v="2"/>
          </reference>
        </references>
      </pivotArea>
    </format>
    <format dxfId="252">
      <pivotArea dataOnly="0" labelOnly="1" outline="0" fieldPosition="0">
        <references count="2">
          <reference field="1" count="1" selected="0">
            <x v="1"/>
          </reference>
          <reference field="3" count="1">
            <x v="4"/>
          </reference>
        </references>
      </pivotArea>
    </format>
    <format dxfId="251">
      <pivotArea dataOnly="0" labelOnly="1" outline="0" fieldPosition="0">
        <references count="2">
          <reference field="1" count="1" selected="0">
            <x v="2"/>
          </reference>
          <reference field="3" count="1">
            <x v="3"/>
          </reference>
        </references>
      </pivotArea>
    </format>
    <format dxfId="250">
      <pivotArea dataOnly="0" labelOnly="1" outline="0" fieldPosition="0">
        <references count="2">
          <reference field="1" count="1" selected="0">
            <x v="3"/>
          </reference>
          <reference field="3" count="1">
            <x v="3"/>
          </reference>
        </references>
      </pivotArea>
    </format>
    <format dxfId="249">
      <pivotArea dataOnly="0" labelOnly="1" outline="0" fieldPosition="0">
        <references count="2">
          <reference field="1" count="1" selected="0">
            <x v="4"/>
          </reference>
          <reference field="3" count="1">
            <x v="0"/>
          </reference>
        </references>
      </pivotArea>
    </format>
    <format dxfId="248">
      <pivotArea dataOnly="0" labelOnly="1" outline="0" fieldPosition="0">
        <references count="2">
          <reference field="1" count="1" selected="0">
            <x v="5"/>
          </reference>
          <reference field="3" count="1">
            <x v="4"/>
          </reference>
        </references>
      </pivotArea>
    </format>
    <format dxfId="247">
      <pivotArea dataOnly="0" labelOnly="1" outline="0" fieldPosition="0">
        <references count="2">
          <reference field="1" count="1" selected="0">
            <x v="6"/>
          </reference>
          <reference field="3" count="1">
            <x v="4"/>
          </reference>
        </references>
      </pivotArea>
    </format>
    <format dxfId="246">
      <pivotArea dataOnly="0" labelOnly="1" outline="0" fieldPosition="0">
        <references count="2">
          <reference field="1" count="1" selected="0">
            <x v="7"/>
          </reference>
          <reference field="3" count="1">
            <x v="4"/>
          </reference>
        </references>
      </pivotArea>
    </format>
    <format dxfId="245">
      <pivotArea dataOnly="0" labelOnly="1" outline="0" fieldPosition="0">
        <references count="2">
          <reference field="1" count="1" selected="0">
            <x v="8"/>
          </reference>
          <reference field="3" count="1">
            <x v="3"/>
          </reference>
        </references>
      </pivotArea>
    </format>
    <format dxfId="244">
      <pivotArea dataOnly="0" labelOnly="1" outline="0" fieldPosition="0">
        <references count="2">
          <reference field="1" count="1" selected="0">
            <x v="9"/>
          </reference>
          <reference field="3" count="1">
            <x v="4"/>
          </reference>
        </references>
      </pivotArea>
    </format>
    <format dxfId="243">
      <pivotArea dataOnly="0" labelOnly="1" outline="0" fieldPosition="0">
        <references count="2">
          <reference field="1" count="1" selected="0">
            <x v="10"/>
          </reference>
          <reference field="3" count="1">
            <x v="3"/>
          </reference>
        </references>
      </pivotArea>
    </format>
    <format dxfId="242">
      <pivotArea dataOnly="0" labelOnly="1" outline="0" fieldPosition="0">
        <references count="2">
          <reference field="1" count="1" selected="0">
            <x v="11"/>
          </reference>
          <reference field="3" count="1">
            <x v="3"/>
          </reference>
        </references>
      </pivotArea>
    </format>
    <format dxfId="241">
      <pivotArea dataOnly="0" labelOnly="1" outline="0" fieldPosition="0">
        <references count="2">
          <reference field="1" count="1" selected="0">
            <x v="12"/>
          </reference>
          <reference field="3" count="1">
            <x v="3"/>
          </reference>
        </references>
      </pivotArea>
    </format>
    <format dxfId="240">
      <pivotArea dataOnly="0" labelOnly="1" outline="0" fieldPosition="0">
        <references count="2">
          <reference field="1" count="1" selected="0">
            <x v="13"/>
          </reference>
          <reference field="3" count="1">
            <x v="3"/>
          </reference>
        </references>
      </pivotArea>
    </format>
    <format dxfId="239">
      <pivotArea dataOnly="0" labelOnly="1" outline="0" fieldPosition="0">
        <references count="2">
          <reference field="1" count="1" selected="0">
            <x v="14"/>
          </reference>
          <reference field="3" count="1">
            <x v="4"/>
          </reference>
        </references>
      </pivotArea>
    </format>
    <format dxfId="238">
      <pivotArea dataOnly="0" labelOnly="1" outline="0" fieldPosition="0">
        <references count="2">
          <reference field="1" count="1" selected="0">
            <x v="15"/>
          </reference>
          <reference field="3" count="1">
            <x v="4"/>
          </reference>
        </references>
      </pivotArea>
    </format>
    <format dxfId="237">
      <pivotArea dataOnly="0" labelOnly="1" outline="0" fieldPosition="0">
        <references count="2">
          <reference field="1" count="1" selected="0">
            <x v="16"/>
          </reference>
          <reference field="3" count="1">
            <x v="4"/>
          </reference>
        </references>
      </pivotArea>
    </format>
    <format dxfId="236">
      <pivotArea dataOnly="0" labelOnly="1" outline="0" fieldPosition="0">
        <references count="2">
          <reference field="1" count="1" selected="0">
            <x v="17"/>
          </reference>
          <reference field="3" count="1">
            <x v="4"/>
          </reference>
        </references>
      </pivotArea>
    </format>
    <format dxfId="235">
      <pivotArea dataOnly="0" labelOnly="1" outline="0" fieldPosition="0">
        <references count="2">
          <reference field="1" count="1" selected="0">
            <x v="18"/>
          </reference>
          <reference field="3" count="1">
            <x v="2"/>
          </reference>
        </references>
      </pivotArea>
    </format>
    <format dxfId="234">
      <pivotArea dataOnly="0" labelOnly="1" outline="0" fieldPosition="0">
        <references count="2">
          <reference field="1" count="1" selected="0">
            <x v="19"/>
          </reference>
          <reference field="3" count="1">
            <x v="2"/>
          </reference>
        </references>
      </pivotArea>
    </format>
    <format dxfId="233">
      <pivotArea dataOnly="0" labelOnly="1" outline="0" fieldPosition="0">
        <references count="2">
          <reference field="1" count="1" selected="0">
            <x v="20"/>
          </reference>
          <reference field="3" count="1">
            <x v="3"/>
          </reference>
        </references>
      </pivotArea>
    </format>
    <format dxfId="232">
      <pivotArea dataOnly="0" labelOnly="1" outline="0" fieldPosition="0">
        <references count="2">
          <reference field="1" count="1" selected="0">
            <x v="21"/>
          </reference>
          <reference field="3" count="1">
            <x v="3"/>
          </reference>
        </references>
      </pivotArea>
    </format>
    <format dxfId="231">
      <pivotArea dataOnly="0" labelOnly="1" outline="0" fieldPosition="0">
        <references count="2">
          <reference field="1" count="1" selected="0">
            <x v="22"/>
          </reference>
          <reference field="3" count="1">
            <x v="3"/>
          </reference>
        </references>
      </pivotArea>
    </format>
    <format dxfId="230">
      <pivotArea dataOnly="0" labelOnly="1" outline="0" fieldPosition="0">
        <references count="2">
          <reference field="1" count="1" selected="0">
            <x v="23"/>
          </reference>
          <reference field="3" count="1">
            <x v="2"/>
          </reference>
        </references>
      </pivotArea>
    </format>
    <format dxfId="229">
      <pivotArea dataOnly="0" labelOnly="1" outline="0" fieldPosition="0">
        <references count="2">
          <reference field="1" count="1" selected="0">
            <x v="24"/>
          </reference>
          <reference field="3" count="1">
            <x v="2"/>
          </reference>
        </references>
      </pivotArea>
    </format>
    <format dxfId="228">
      <pivotArea dataOnly="0" labelOnly="1" outline="0" fieldPosition="0">
        <references count="2">
          <reference field="1" count="1" selected="0">
            <x v="25"/>
          </reference>
          <reference field="3" count="1">
            <x v="0"/>
          </reference>
        </references>
      </pivotArea>
    </format>
    <format dxfId="227">
      <pivotArea dataOnly="0" labelOnly="1" outline="0" fieldPosition="0">
        <references count="2">
          <reference field="1" count="1" selected="0">
            <x v="26"/>
          </reference>
          <reference field="3" count="1">
            <x v="4"/>
          </reference>
        </references>
      </pivotArea>
    </format>
    <format dxfId="226">
      <pivotArea dataOnly="0" labelOnly="1" outline="0" fieldPosition="0">
        <references count="2">
          <reference field="1" count="1" selected="0">
            <x v="27"/>
          </reference>
          <reference field="3" count="1">
            <x v="4"/>
          </reference>
        </references>
      </pivotArea>
    </format>
    <format dxfId="225">
      <pivotArea dataOnly="0" labelOnly="1" outline="0" fieldPosition="0">
        <references count="2">
          <reference field="1" count="1" selected="0">
            <x v="28"/>
          </reference>
          <reference field="3" count="1">
            <x v="3"/>
          </reference>
        </references>
      </pivotArea>
    </format>
    <format dxfId="224">
      <pivotArea dataOnly="0" labelOnly="1" outline="0" fieldPosition="0">
        <references count="2">
          <reference field="1" count="1" selected="0">
            <x v="29"/>
          </reference>
          <reference field="3" count="1">
            <x v="2"/>
          </reference>
        </references>
      </pivotArea>
    </format>
    <format dxfId="223">
      <pivotArea dataOnly="0" labelOnly="1" outline="0" fieldPosition="0">
        <references count="2">
          <reference field="1" count="1" selected="0">
            <x v="30"/>
          </reference>
          <reference field="3" count="1">
            <x v="3"/>
          </reference>
        </references>
      </pivotArea>
    </format>
    <format dxfId="222">
      <pivotArea dataOnly="0" labelOnly="1" outline="0" fieldPosition="0">
        <references count="2">
          <reference field="1" count="1" selected="0">
            <x v="31"/>
          </reference>
          <reference field="3" count="1">
            <x v="5"/>
          </reference>
        </references>
      </pivotArea>
    </format>
    <format dxfId="221">
      <pivotArea dataOnly="0" labelOnly="1" outline="0" fieldPosition="0">
        <references count="2">
          <reference field="1" count="1" selected="0">
            <x v="32"/>
          </reference>
          <reference field="3" count="1">
            <x v="4"/>
          </reference>
        </references>
      </pivotArea>
    </format>
    <format dxfId="220">
      <pivotArea dataOnly="0" labelOnly="1" outline="0" fieldPosition="0">
        <references count="2">
          <reference field="1" count="1" selected="0">
            <x v="33"/>
          </reference>
          <reference field="3" count="1">
            <x v="3"/>
          </reference>
        </references>
      </pivotArea>
    </format>
    <format dxfId="219">
      <pivotArea dataOnly="0" labelOnly="1" outline="0" fieldPosition="0">
        <references count="2">
          <reference field="1" count="1" selected="0">
            <x v="35"/>
          </reference>
          <reference field="3" count="1">
            <x v="0"/>
          </reference>
        </references>
      </pivotArea>
    </format>
    <format dxfId="218">
      <pivotArea dataOnly="0" labelOnly="1" outline="0" fieldPosition="0">
        <references count="2">
          <reference field="1" count="1" selected="0">
            <x v="36"/>
          </reference>
          <reference field="3" count="1">
            <x v="4"/>
          </reference>
        </references>
      </pivotArea>
    </format>
    <format dxfId="217">
      <pivotArea dataOnly="0" labelOnly="1" outline="0" fieldPosition="0">
        <references count="2">
          <reference field="1" count="1" selected="0">
            <x v="37"/>
          </reference>
          <reference field="3" count="1">
            <x v="3"/>
          </reference>
        </references>
      </pivotArea>
    </format>
    <format dxfId="216">
      <pivotArea dataOnly="0" labelOnly="1" outline="0" fieldPosition="0">
        <references count="2">
          <reference field="1" count="1" selected="0">
            <x v="38"/>
          </reference>
          <reference field="3" count="1">
            <x v="4"/>
          </reference>
        </references>
      </pivotArea>
    </format>
    <format dxfId="215">
      <pivotArea dataOnly="0" labelOnly="1" outline="0" fieldPosition="0">
        <references count="2">
          <reference field="1" count="1" selected="0">
            <x v="39"/>
          </reference>
          <reference field="3" count="1">
            <x v="4"/>
          </reference>
        </references>
      </pivotArea>
    </format>
    <format dxfId="214">
      <pivotArea dataOnly="0" labelOnly="1" outline="0" fieldPosition="0">
        <references count="2">
          <reference field="1" count="1" selected="0">
            <x v="40"/>
          </reference>
          <reference field="3" count="1">
            <x v="4"/>
          </reference>
        </references>
      </pivotArea>
    </format>
    <format dxfId="213">
      <pivotArea dataOnly="0" labelOnly="1" outline="0" fieldPosition="0">
        <references count="2">
          <reference field="1" count="1" selected="0">
            <x v="41"/>
          </reference>
          <reference field="3" count="1">
            <x v="3"/>
          </reference>
        </references>
      </pivotArea>
    </format>
    <format dxfId="212">
      <pivotArea dataOnly="0" labelOnly="1" outline="0" fieldPosition="0">
        <references count="2">
          <reference field="1" count="1" selected="0">
            <x v="42"/>
          </reference>
          <reference field="3" count="1">
            <x v="3"/>
          </reference>
        </references>
      </pivotArea>
    </format>
    <format dxfId="211">
      <pivotArea dataOnly="0" labelOnly="1" outline="0" fieldPosition="0">
        <references count="2">
          <reference field="1" count="1" selected="0">
            <x v="43"/>
          </reference>
          <reference field="3" count="1">
            <x v="4"/>
          </reference>
        </references>
      </pivotArea>
    </format>
    <format dxfId="210">
      <pivotArea dataOnly="0" labelOnly="1" outline="0" fieldPosition="0">
        <references count="2">
          <reference field="1" count="1" selected="0">
            <x v="44"/>
          </reference>
          <reference field="3" count="1">
            <x v="2"/>
          </reference>
        </references>
      </pivotArea>
    </format>
    <format dxfId="209">
      <pivotArea dataOnly="0" labelOnly="1" outline="0" fieldPosition="0">
        <references count="2">
          <reference field="1" count="1" selected="0">
            <x v="45"/>
          </reference>
          <reference field="3" count="1">
            <x v="3"/>
          </reference>
        </references>
      </pivotArea>
    </format>
    <format dxfId="208">
      <pivotArea dataOnly="0" labelOnly="1" outline="0" fieldPosition="0">
        <references count="2">
          <reference field="1" count="1" selected="0">
            <x v="46"/>
          </reference>
          <reference field="3" count="1">
            <x v="2"/>
          </reference>
        </references>
      </pivotArea>
    </format>
    <format dxfId="207">
      <pivotArea dataOnly="0" labelOnly="1" outline="0" fieldPosition="0">
        <references count="2">
          <reference field="1" count="1" selected="0">
            <x v="47"/>
          </reference>
          <reference field="3" count="1">
            <x v="4"/>
          </reference>
        </references>
      </pivotArea>
    </format>
    <format dxfId="206">
      <pivotArea dataOnly="0" labelOnly="1" outline="0" fieldPosition="0">
        <references count="2">
          <reference field="1" count="1" selected="0">
            <x v="48"/>
          </reference>
          <reference field="3" count="1">
            <x v="4"/>
          </reference>
        </references>
      </pivotArea>
    </format>
    <format dxfId="205">
      <pivotArea dataOnly="0" labelOnly="1" outline="0" fieldPosition="0">
        <references count="2">
          <reference field="1" count="1" selected="0">
            <x v="49"/>
          </reference>
          <reference field="3" count="1">
            <x v="2"/>
          </reference>
        </references>
      </pivotArea>
    </format>
    <format dxfId="204">
      <pivotArea dataOnly="0" labelOnly="1" outline="0" fieldPosition="0">
        <references count="2">
          <reference field="1" count="1" selected="0">
            <x v="50"/>
          </reference>
          <reference field="3" count="1">
            <x v="4"/>
          </reference>
        </references>
      </pivotArea>
    </format>
    <format dxfId="203">
      <pivotArea dataOnly="0" labelOnly="1" outline="0" fieldPosition="0">
        <references count="2">
          <reference field="1" count="1" selected="0">
            <x v="51"/>
          </reference>
          <reference field="3" count="1">
            <x v="3"/>
          </reference>
        </references>
      </pivotArea>
    </format>
    <format dxfId="202">
      <pivotArea dataOnly="0" labelOnly="1" outline="0" fieldPosition="0">
        <references count="2">
          <reference field="1" count="1" selected="0">
            <x v="52"/>
          </reference>
          <reference field="3" count="1">
            <x v="4"/>
          </reference>
        </references>
      </pivotArea>
    </format>
    <format dxfId="201">
      <pivotArea dataOnly="0" labelOnly="1" outline="0" fieldPosition="0">
        <references count="2">
          <reference field="1" count="1" selected="0">
            <x v="53"/>
          </reference>
          <reference field="3" count="1">
            <x v="4"/>
          </reference>
        </references>
      </pivotArea>
    </format>
    <format dxfId="200">
      <pivotArea dataOnly="0" labelOnly="1" outline="0" fieldPosition="0">
        <references count="2">
          <reference field="1" count="1" selected="0">
            <x v="54"/>
          </reference>
          <reference field="3" count="1">
            <x v="2"/>
          </reference>
        </references>
      </pivotArea>
    </format>
    <format dxfId="199">
      <pivotArea dataOnly="0" labelOnly="1" outline="0" fieldPosition="0">
        <references count="2">
          <reference field="1" count="1" selected="0">
            <x v="55"/>
          </reference>
          <reference field="3" count="1">
            <x v="2"/>
          </reference>
        </references>
      </pivotArea>
    </format>
    <format dxfId="198">
      <pivotArea dataOnly="0" labelOnly="1" outline="0" fieldPosition="0">
        <references count="2">
          <reference field="1" count="1" selected="0">
            <x v="56"/>
          </reference>
          <reference field="3" count="1">
            <x v="4"/>
          </reference>
        </references>
      </pivotArea>
    </format>
    <format dxfId="197">
      <pivotArea dataOnly="0" labelOnly="1" outline="0" fieldPosition="0">
        <references count="2">
          <reference field="1" count="1" selected="0">
            <x v="57"/>
          </reference>
          <reference field="3" count="1">
            <x v="3"/>
          </reference>
        </references>
      </pivotArea>
    </format>
    <format dxfId="196">
      <pivotArea dataOnly="0" labelOnly="1" outline="0" fieldPosition="0">
        <references count="2">
          <reference field="1" count="1" selected="0">
            <x v="58"/>
          </reference>
          <reference field="3" count="1">
            <x v="3"/>
          </reference>
        </references>
      </pivotArea>
    </format>
    <format dxfId="195">
      <pivotArea dataOnly="0" labelOnly="1" outline="0" fieldPosition="0">
        <references count="2">
          <reference field="1" count="1" selected="0">
            <x v="59"/>
          </reference>
          <reference field="3" count="1">
            <x v="3"/>
          </reference>
        </references>
      </pivotArea>
    </format>
    <format dxfId="194">
      <pivotArea dataOnly="0" labelOnly="1" outline="0" fieldPosition="0">
        <references count="2">
          <reference field="1" count="1" selected="0">
            <x v="60"/>
          </reference>
          <reference field="3" count="1">
            <x v="3"/>
          </reference>
        </references>
      </pivotArea>
    </format>
    <format dxfId="193">
      <pivotArea dataOnly="0" labelOnly="1" outline="0" fieldPosition="0">
        <references count="2">
          <reference field="1" count="1" selected="0">
            <x v="61"/>
          </reference>
          <reference field="3" count="1">
            <x v="3"/>
          </reference>
        </references>
      </pivotArea>
    </format>
    <format dxfId="192">
      <pivotArea dataOnly="0" labelOnly="1" outline="0" fieldPosition="0">
        <references count="2">
          <reference field="1" count="1" selected="0">
            <x v="62"/>
          </reference>
          <reference field="3" count="1">
            <x v="4"/>
          </reference>
        </references>
      </pivotArea>
    </format>
    <format dxfId="191">
      <pivotArea dataOnly="0" labelOnly="1" outline="0" fieldPosition="0">
        <references count="2">
          <reference field="1" count="1" selected="0">
            <x v="63"/>
          </reference>
          <reference field="3" count="1">
            <x v="4"/>
          </reference>
        </references>
      </pivotArea>
    </format>
    <format dxfId="190">
      <pivotArea dataOnly="0" labelOnly="1" outline="0" fieldPosition="0">
        <references count="2">
          <reference field="1" count="1" selected="0">
            <x v="64"/>
          </reference>
          <reference field="3" count="1">
            <x v="4"/>
          </reference>
        </references>
      </pivotArea>
    </format>
    <format dxfId="189">
      <pivotArea dataOnly="0" labelOnly="1" outline="0" fieldPosition="0">
        <references count="2">
          <reference field="1" count="1" selected="0">
            <x v="65"/>
          </reference>
          <reference field="3" count="1">
            <x v="4"/>
          </reference>
        </references>
      </pivotArea>
    </format>
    <format dxfId="188">
      <pivotArea dataOnly="0" labelOnly="1" outline="0" fieldPosition="0">
        <references count="2">
          <reference field="1" count="1" selected="0">
            <x v="66"/>
          </reference>
          <reference field="3" count="1">
            <x v="3"/>
          </reference>
        </references>
      </pivotArea>
    </format>
    <format dxfId="187">
      <pivotArea dataOnly="0" labelOnly="1" outline="0" fieldPosition="0">
        <references count="2">
          <reference field="1" count="1" selected="0">
            <x v="67"/>
          </reference>
          <reference field="3" count="1">
            <x v="3"/>
          </reference>
        </references>
      </pivotArea>
    </format>
    <format dxfId="186">
      <pivotArea dataOnly="0" labelOnly="1" outline="0" fieldPosition="0">
        <references count="2">
          <reference field="1" count="1" selected="0">
            <x v="68"/>
          </reference>
          <reference field="3" count="1">
            <x v="2"/>
          </reference>
        </references>
      </pivotArea>
    </format>
    <format dxfId="185">
      <pivotArea dataOnly="0" labelOnly="1" outline="0" fieldPosition="0">
        <references count="2">
          <reference field="1" count="1" selected="0">
            <x v="69"/>
          </reference>
          <reference field="3" count="1">
            <x v="4"/>
          </reference>
        </references>
      </pivotArea>
    </format>
    <format dxfId="184">
      <pivotArea dataOnly="0" labelOnly="1" outline="0" fieldPosition="0">
        <references count="2">
          <reference field="1" count="1" selected="0">
            <x v="70"/>
          </reference>
          <reference field="3" count="1">
            <x v="3"/>
          </reference>
        </references>
      </pivotArea>
    </format>
    <format dxfId="183">
      <pivotArea dataOnly="0" labelOnly="1" outline="0" fieldPosition="0">
        <references count="2">
          <reference field="1" count="1" selected="0">
            <x v="71"/>
          </reference>
          <reference field="3" count="1">
            <x v="3"/>
          </reference>
        </references>
      </pivotArea>
    </format>
    <format dxfId="182">
      <pivotArea dataOnly="0" labelOnly="1" outline="0" fieldPosition="0">
        <references count="2">
          <reference field="1" count="1" selected="0">
            <x v="72"/>
          </reference>
          <reference field="3" count="1">
            <x v="4"/>
          </reference>
        </references>
      </pivotArea>
    </format>
    <format dxfId="181">
      <pivotArea dataOnly="0" labelOnly="1" outline="0" fieldPosition="0">
        <references count="2">
          <reference field="1" count="1" selected="0">
            <x v="73"/>
          </reference>
          <reference field="3" count="1">
            <x v="3"/>
          </reference>
        </references>
      </pivotArea>
    </format>
    <format dxfId="180">
      <pivotArea dataOnly="0" labelOnly="1" outline="0" fieldPosition="0">
        <references count="2">
          <reference field="1" count="1" selected="0">
            <x v="74"/>
          </reference>
          <reference field="3" count="1">
            <x v="2"/>
          </reference>
        </references>
      </pivotArea>
    </format>
    <format dxfId="179">
      <pivotArea dataOnly="0" labelOnly="1" outline="0" fieldPosition="0">
        <references count="2">
          <reference field="1" count="1" selected="0">
            <x v="75"/>
          </reference>
          <reference field="3" count="1">
            <x v="4"/>
          </reference>
        </references>
      </pivotArea>
    </format>
    <format dxfId="178">
      <pivotArea dataOnly="0" labelOnly="1" outline="0" fieldPosition="0">
        <references count="2">
          <reference field="1" count="1" selected="0">
            <x v="76"/>
          </reference>
          <reference field="3" count="1">
            <x v="2"/>
          </reference>
        </references>
      </pivotArea>
    </format>
    <format dxfId="177">
      <pivotArea dataOnly="0" labelOnly="1" outline="0" fieldPosition="0">
        <references count="2">
          <reference field="1" count="1" selected="0">
            <x v="77"/>
          </reference>
          <reference field="3" count="1">
            <x v="2"/>
          </reference>
        </references>
      </pivotArea>
    </format>
    <format dxfId="176">
      <pivotArea dataOnly="0" labelOnly="1" outline="0" fieldPosition="0">
        <references count="2">
          <reference field="1" count="1" selected="0">
            <x v="78"/>
          </reference>
          <reference field="3" count="1">
            <x v="4"/>
          </reference>
        </references>
      </pivotArea>
    </format>
    <format dxfId="175">
      <pivotArea dataOnly="0" labelOnly="1" outline="0" fieldPosition="0">
        <references count="2">
          <reference field="1" count="1" selected="0">
            <x v="79"/>
          </reference>
          <reference field="3" count="1">
            <x v="4"/>
          </reference>
        </references>
      </pivotArea>
    </format>
    <format dxfId="174">
      <pivotArea dataOnly="0" labelOnly="1" outline="0" fieldPosition="0">
        <references count="2">
          <reference field="1" count="1" selected="0">
            <x v="80"/>
          </reference>
          <reference field="3" count="1">
            <x v="2"/>
          </reference>
        </references>
      </pivotArea>
    </format>
    <format dxfId="173">
      <pivotArea dataOnly="0" labelOnly="1" outline="0" fieldPosition="0">
        <references count="2">
          <reference field="1" count="1" selected="0">
            <x v="81"/>
          </reference>
          <reference field="3" count="1">
            <x v="4"/>
          </reference>
        </references>
      </pivotArea>
    </format>
    <format dxfId="172">
      <pivotArea dataOnly="0" labelOnly="1" outline="0" fieldPosition="0">
        <references count="2">
          <reference field="1" count="1" selected="0">
            <x v="82"/>
          </reference>
          <reference field="3" count="1">
            <x v="3"/>
          </reference>
        </references>
      </pivotArea>
    </format>
    <format dxfId="171">
      <pivotArea dataOnly="0" labelOnly="1" outline="0" fieldPosition="0">
        <references count="2">
          <reference field="1" count="1" selected="0">
            <x v="83"/>
          </reference>
          <reference field="3" count="1">
            <x v="4"/>
          </reference>
        </references>
      </pivotArea>
    </format>
    <format dxfId="170">
      <pivotArea dataOnly="0" labelOnly="1" outline="0" fieldPosition="0">
        <references count="2">
          <reference field="1" count="1" selected="0">
            <x v="84"/>
          </reference>
          <reference field="3" count="1">
            <x v="4"/>
          </reference>
        </references>
      </pivotArea>
    </format>
    <format dxfId="169">
      <pivotArea dataOnly="0" labelOnly="1" outline="0" fieldPosition="0">
        <references count="2">
          <reference field="1" count="1" selected="0">
            <x v="85"/>
          </reference>
          <reference field="3" count="1">
            <x v="3"/>
          </reference>
        </references>
      </pivotArea>
    </format>
    <format dxfId="168">
      <pivotArea dataOnly="0" labelOnly="1" outline="0" fieldPosition="0">
        <references count="2">
          <reference field="1" count="1" selected="0">
            <x v="86"/>
          </reference>
          <reference field="3" count="1">
            <x v="4"/>
          </reference>
        </references>
      </pivotArea>
    </format>
    <format dxfId="167">
      <pivotArea dataOnly="0" labelOnly="1" outline="0" fieldPosition="0">
        <references count="2">
          <reference field="1" count="1" selected="0">
            <x v="87"/>
          </reference>
          <reference field="3" count="1">
            <x v="3"/>
          </reference>
        </references>
      </pivotArea>
    </format>
    <format dxfId="166">
      <pivotArea dataOnly="0" labelOnly="1" outline="0" fieldPosition="0">
        <references count="2">
          <reference field="1" count="1" selected="0">
            <x v="88"/>
          </reference>
          <reference field="3" count="1">
            <x v="4"/>
          </reference>
        </references>
      </pivotArea>
    </format>
    <format dxfId="165">
      <pivotArea dataOnly="0" labelOnly="1" outline="0" fieldPosition="0">
        <references count="2">
          <reference field="1" count="1" selected="0">
            <x v="89"/>
          </reference>
          <reference field="3" count="1">
            <x v="3"/>
          </reference>
        </references>
      </pivotArea>
    </format>
    <format dxfId="164">
      <pivotArea dataOnly="0" labelOnly="1" outline="0" fieldPosition="0">
        <references count="2">
          <reference field="1" count="1" selected="0">
            <x v="90"/>
          </reference>
          <reference field="3" count="1">
            <x v="2"/>
          </reference>
        </references>
      </pivotArea>
    </format>
    <format dxfId="163">
      <pivotArea dataOnly="0" labelOnly="1" outline="0" fieldPosition="0">
        <references count="2">
          <reference field="1" count="1" selected="0">
            <x v="91"/>
          </reference>
          <reference field="3" count="1">
            <x v="3"/>
          </reference>
        </references>
      </pivotArea>
    </format>
    <format dxfId="162">
      <pivotArea dataOnly="0" labelOnly="1" outline="0" fieldPosition="0">
        <references count="2">
          <reference field="1" count="1" selected="0">
            <x v="92"/>
          </reference>
          <reference field="3" count="1">
            <x v="4"/>
          </reference>
        </references>
      </pivotArea>
    </format>
    <format dxfId="161">
      <pivotArea dataOnly="0" labelOnly="1" outline="0" fieldPosition="0">
        <references count="2">
          <reference field="1" count="1" selected="0">
            <x v="93"/>
          </reference>
          <reference field="3" count="1">
            <x v="0"/>
          </reference>
        </references>
      </pivotArea>
    </format>
    <format dxfId="160">
      <pivotArea dataOnly="0" labelOnly="1" outline="0" fieldPosition="0">
        <references count="2">
          <reference field="1" count="1" selected="0">
            <x v="94"/>
          </reference>
          <reference field="3" count="1">
            <x v="3"/>
          </reference>
        </references>
      </pivotArea>
    </format>
    <format dxfId="159">
      <pivotArea dataOnly="0" labelOnly="1" outline="0" fieldPosition="0">
        <references count="2">
          <reference field="1" count="1" selected="0">
            <x v="95"/>
          </reference>
          <reference field="3" count="1">
            <x v="3"/>
          </reference>
        </references>
      </pivotArea>
    </format>
    <format dxfId="158">
      <pivotArea dataOnly="0" labelOnly="1" outline="0" fieldPosition="0">
        <references count="2">
          <reference field="1" count="1" selected="0">
            <x v="96"/>
          </reference>
          <reference field="3" count="1">
            <x v="2"/>
          </reference>
        </references>
      </pivotArea>
    </format>
    <format dxfId="157">
      <pivotArea dataOnly="0" labelOnly="1" outline="0" fieldPosition="0">
        <references count="2">
          <reference field="1" count="1" selected="0">
            <x v="97"/>
          </reference>
          <reference field="3" count="1">
            <x v="3"/>
          </reference>
        </references>
      </pivotArea>
    </format>
    <format dxfId="156">
      <pivotArea dataOnly="0" labelOnly="1" outline="0" fieldPosition="0">
        <references count="2">
          <reference field="1" count="1" selected="0">
            <x v="98"/>
          </reference>
          <reference field="3" count="1">
            <x v="4"/>
          </reference>
        </references>
      </pivotArea>
    </format>
    <format dxfId="155">
      <pivotArea dataOnly="0" labelOnly="1" outline="0" fieldPosition="0">
        <references count="2">
          <reference field="1" count="1" selected="0">
            <x v="99"/>
          </reference>
          <reference field="3" count="1">
            <x v="3"/>
          </reference>
        </references>
      </pivotArea>
    </format>
    <format dxfId="154">
      <pivotArea dataOnly="0" labelOnly="1" outline="0" fieldPosition="0">
        <references count="2">
          <reference field="1" count="1" selected="0">
            <x v="100"/>
          </reference>
          <reference field="3" count="1">
            <x v="0"/>
          </reference>
        </references>
      </pivotArea>
    </format>
    <format dxfId="153">
      <pivotArea dataOnly="0" labelOnly="1" outline="0" fieldPosition="0">
        <references count="2">
          <reference field="1" count="1" selected="0">
            <x v="101"/>
          </reference>
          <reference field="3" count="1">
            <x v="4"/>
          </reference>
        </references>
      </pivotArea>
    </format>
    <format dxfId="152">
      <pivotArea dataOnly="0" labelOnly="1" outline="0" fieldPosition="0">
        <references count="2">
          <reference field="1" count="1" selected="0">
            <x v="102"/>
          </reference>
          <reference field="3" count="1">
            <x v="3"/>
          </reference>
        </references>
      </pivotArea>
    </format>
    <format dxfId="151">
      <pivotArea dataOnly="0" labelOnly="1" outline="0" fieldPosition="0">
        <references count="2">
          <reference field="1" count="1" selected="0">
            <x v="103"/>
          </reference>
          <reference field="3" count="1">
            <x v="4"/>
          </reference>
        </references>
      </pivotArea>
    </format>
    <format dxfId="150">
      <pivotArea dataOnly="0" labelOnly="1" outline="0" fieldPosition="0">
        <references count="2">
          <reference field="1" count="1" selected="0">
            <x v="104"/>
          </reference>
          <reference field="3" count="1">
            <x v="4"/>
          </reference>
        </references>
      </pivotArea>
    </format>
    <format dxfId="149">
      <pivotArea dataOnly="0" labelOnly="1" outline="0" fieldPosition="0">
        <references count="2">
          <reference field="1" count="1" selected="0">
            <x v="105"/>
          </reference>
          <reference field="3" count="1">
            <x v="3"/>
          </reference>
        </references>
      </pivotArea>
    </format>
    <format dxfId="148">
      <pivotArea dataOnly="0" labelOnly="1" outline="0" fieldPosition="0">
        <references count="2">
          <reference field="1" count="1" selected="0">
            <x v="106"/>
          </reference>
          <reference field="3" count="1">
            <x v="0"/>
          </reference>
        </references>
      </pivotArea>
    </format>
    <format dxfId="147">
      <pivotArea dataOnly="0" labelOnly="1" outline="0" fieldPosition="0">
        <references count="2">
          <reference field="1" count="1" selected="0">
            <x v="107"/>
          </reference>
          <reference field="3" count="1">
            <x v="4"/>
          </reference>
        </references>
      </pivotArea>
    </format>
    <format dxfId="146">
      <pivotArea dataOnly="0" labelOnly="1" outline="0" fieldPosition="0">
        <references count="2">
          <reference field="1" count="1" selected="0">
            <x v="108"/>
          </reference>
          <reference field="3" count="1">
            <x v="4"/>
          </reference>
        </references>
      </pivotArea>
    </format>
    <format dxfId="145">
      <pivotArea dataOnly="0" labelOnly="1" outline="0" fieldPosition="0">
        <references count="2">
          <reference field="1" count="1" selected="0">
            <x v="109"/>
          </reference>
          <reference field="3" count="1">
            <x v="2"/>
          </reference>
        </references>
      </pivotArea>
    </format>
    <format dxfId="144">
      <pivotArea dataOnly="0" labelOnly="1" outline="0" fieldPosition="0">
        <references count="2">
          <reference field="1" count="1" selected="0">
            <x v="110"/>
          </reference>
          <reference field="3" count="1">
            <x v="3"/>
          </reference>
        </references>
      </pivotArea>
    </format>
    <format dxfId="143">
      <pivotArea dataOnly="0" labelOnly="1" outline="0" fieldPosition="0">
        <references count="2">
          <reference field="1" count="1" selected="0">
            <x v="111"/>
          </reference>
          <reference field="3" count="1">
            <x v="3"/>
          </reference>
        </references>
      </pivotArea>
    </format>
    <format dxfId="142">
      <pivotArea dataOnly="0" labelOnly="1" outline="0" fieldPosition="0">
        <references count="2">
          <reference field="1" count="1" selected="0">
            <x v="112"/>
          </reference>
          <reference field="3" count="1">
            <x v="3"/>
          </reference>
        </references>
      </pivotArea>
    </format>
    <format dxfId="141">
      <pivotArea dataOnly="0" labelOnly="1" outline="0" fieldPosition="0">
        <references count="2">
          <reference field="1" count="1" selected="0">
            <x v="113"/>
          </reference>
          <reference field="3" count="1">
            <x v="4"/>
          </reference>
        </references>
      </pivotArea>
    </format>
    <format dxfId="140">
      <pivotArea dataOnly="0" labelOnly="1" outline="0" fieldPosition="0">
        <references count="2">
          <reference field="1" count="1" selected="0">
            <x v="114"/>
          </reference>
          <reference field="3" count="1">
            <x v="0"/>
          </reference>
        </references>
      </pivotArea>
    </format>
    <format dxfId="139">
      <pivotArea dataOnly="0" labelOnly="1" outline="0" fieldPosition="0">
        <references count="2">
          <reference field="1" count="1" selected="0">
            <x v="115"/>
          </reference>
          <reference field="3" count="1">
            <x v="2"/>
          </reference>
        </references>
      </pivotArea>
    </format>
    <format dxfId="138">
      <pivotArea dataOnly="0" labelOnly="1" outline="0" fieldPosition="0">
        <references count="2">
          <reference field="1" count="1" selected="0">
            <x v="116"/>
          </reference>
          <reference field="3" count="1">
            <x v="3"/>
          </reference>
        </references>
      </pivotArea>
    </format>
    <format dxfId="137">
      <pivotArea dataOnly="0" labelOnly="1" outline="0" fieldPosition="0">
        <references count="2">
          <reference field="1" count="1" selected="0">
            <x v="117"/>
          </reference>
          <reference field="3" count="1">
            <x v="2"/>
          </reference>
        </references>
      </pivotArea>
    </format>
    <format dxfId="136">
      <pivotArea dataOnly="0" labelOnly="1" outline="0" fieldPosition="0">
        <references count="2">
          <reference field="1" count="1" selected="0">
            <x v="118"/>
          </reference>
          <reference field="3" count="1">
            <x v="4"/>
          </reference>
        </references>
      </pivotArea>
    </format>
    <format dxfId="135">
      <pivotArea dataOnly="0" labelOnly="1" outline="0" fieldPosition="0">
        <references count="2">
          <reference field="1" count="1" selected="0">
            <x v="119"/>
          </reference>
          <reference field="3" count="1">
            <x v="2"/>
          </reference>
        </references>
      </pivotArea>
    </format>
    <format dxfId="134">
      <pivotArea dataOnly="0" labelOnly="1" outline="0" fieldPosition="0">
        <references count="2">
          <reference field="1" count="1" selected="0">
            <x v="120"/>
          </reference>
          <reference field="3" count="1">
            <x v="3"/>
          </reference>
        </references>
      </pivotArea>
    </format>
    <format dxfId="133">
      <pivotArea dataOnly="0" labelOnly="1" outline="0" fieldPosition="0">
        <references count="2">
          <reference field="1" count="1" selected="0">
            <x v="121"/>
          </reference>
          <reference field="3" count="1">
            <x v="0"/>
          </reference>
        </references>
      </pivotArea>
    </format>
    <format dxfId="132">
      <pivotArea dataOnly="0" labelOnly="1" outline="0" fieldPosition="0">
        <references count="2">
          <reference field="1" count="1" selected="0">
            <x v="122"/>
          </reference>
          <reference field="3" count="1">
            <x v="4"/>
          </reference>
        </references>
      </pivotArea>
    </format>
    <format dxfId="131">
      <pivotArea dataOnly="0" labelOnly="1" outline="0" fieldPosition="0">
        <references count="2">
          <reference field="1" count="1" selected="0">
            <x v="123"/>
          </reference>
          <reference field="3" count="1">
            <x v="4"/>
          </reference>
        </references>
      </pivotArea>
    </format>
    <format dxfId="130">
      <pivotArea dataOnly="0" labelOnly="1" outline="0" fieldPosition="0">
        <references count="2">
          <reference field="1" count="1" selected="0">
            <x v="124"/>
          </reference>
          <reference field="3" count="1">
            <x v="3"/>
          </reference>
        </references>
      </pivotArea>
    </format>
    <format dxfId="129">
      <pivotArea dataOnly="0" labelOnly="1" outline="0" fieldPosition="0">
        <references count="2">
          <reference field="1" count="1" selected="0">
            <x v="125"/>
          </reference>
          <reference field="3" count="1">
            <x v="2"/>
          </reference>
        </references>
      </pivotArea>
    </format>
    <format dxfId="128">
      <pivotArea dataOnly="0" labelOnly="1" outline="0" fieldPosition="0">
        <references count="2">
          <reference field="1" count="1" selected="0">
            <x v="126"/>
          </reference>
          <reference field="3" count="1">
            <x v="4"/>
          </reference>
        </references>
      </pivotArea>
    </format>
    <format dxfId="127">
      <pivotArea dataOnly="0" labelOnly="1" outline="0" fieldPosition="0">
        <references count="2">
          <reference field="1" count="1" selected="0">
            <x v="127"/>
          </reference>
          <reference field="3" count="1">
            <x v="2"/>
          </reference>
        </references>
      </pivotArea>
    </format>
    <format dxfId="126">
      <pivotArea dataOnly="0" labelOnly="1" outline="0" fieldPosition="0">
        <references count="2">
          <reference field="1" count="1" selected="0">
            <x v="128"/>
          </reference>
          <reference field="3" count="1">
            <x v="3"/>
          </reference>
        </references>
      </pivotArea>
    </format>
    <format dxfId="125">
      <pivotArea dataOnly="0" labelOnly="1" outline="0" fieldPosition="0">
        <references count="2">
          <reference field="1" count="1" selected="0">
            <x v="129"/>
          </reference>
          <reference field="3" count="1">
            <x v="3"/>
          </reference>
        </references>
      </pivotArea>
    </format>
    <format dxfId="124">
      <pivotArea dataOnly="0" labelOnly="1" outline="0" fieldPosition="0">
        <references count="2">
          <reference field="1" count="1" selected="0">
            <x v="130"/>
          </reference>
          <reference field="3" count="1">
            <x v="4"/>
          </reference>
        </references>
      </pivotArea>
    </format>
    <format dxfId="123">
      <pivotArea dataOnly="0" labelOnly="1" outline="0" fieldPosition="0">
        <references count="2">
          <reference field="1" count="1" selected="0">
            <x v="131"/>
          </reference>
          <reference field="3" count="1">
            <x v="3"/>
          </reference>
        </references>
      </pivotArea>
    </format>
    <format dxfId="122">
      <pivotArea dataOnly="0" labelOnly="1" outline="0" fieldPosition="0">
        <references count="2">
          <reference field="1" count="1" selected="0">
            <x v="132"/>
          </reference>
          <reference field="3" count="1">
            <x v="2"/>
          </reference>
        </references>
      </pivotArea>
    </format>
    <format dxfId="121">
      <pivotArea dataOnly="0" labelOnly="1" outline="0" fieldPosition="0">
        <references count="2">
          <reference field="1" count="1" selected="0">
            <x v="133"/>
          </reference>
          <reference field="3" count="1">
            <x v="4"/>
          </reference>
        </references>
      </pivotArea>
    </format>
    <format dxfId="120">
      <pivotArea dataOnly="0" labelOnly="1" outline="0" fieldPosition="0">
        <references count="2">
          <reference field="1" count="1" selected="0">
            <x v="134"/>
          </reference>
          <reference field="3" count="1">
            <x v="0"/>
          </reference>
        </references>
      </pivotArea>
    </format>
    <format dxfId="119">
      <pivotArea dataOnly="0" labelOnly="1" outline="0" fieldPosition="0">
        <references count="2">
          <reference field="1" count="1" selected="0">
            <x v="135"/>
          </reference>
          <reference field="3" count="1">
            <x v="3"/>
          </reference>
        </references>
      </pivotArea>
    </format>
    <format dxfId="118">
      <pivotArea dataOnly="0" labelOnly="1" outline="0" fieldPosition="0">
        <references count="2">
          <reference field="1" count="1" selected="0">
            <x v="136"/>
          </reference>
          <reference field="3" count="1">
            <x v="4"/>
          </reference>
        </references>
      </pivotArea>
    </format>
    <format dxfId="117">
      <pivotArea dataOnly="0" labelOnly="1" outline="0" fieldPosition="0">
        <references count="2">
          <reference field="1" count="1" selected="0">
            <x v="137"/>
          </reference>
          <reference field="3" count="1">
            <x v="4"/>
          </reference>
        </references>
      </pivotArea>
    </format>
    <format dxfId="116">
      <pivotArea dataOnly="0" labelOnly="1" outline="0" fieldPosition="0">
        <references count="2">
          <reference field="1" count="1" selected="0">
            <x v="138"/>
          </reference>
          <reference field="3" count="1">
            <x v="4"/>
          </reference>
        </references>
      </pivotArea>
    </format>
    <format dxfId="115">
      <pivotArea dataOnly="0" labelOnly="1" outline="0" fieldPosition="0">
        <references count="2">
          <reference field="1" count="1" selected="0">
            <x v="139"/>
          </reference>
          <reference field="3" count="1">
            <x v="2"/>
          </reference>
        </references>
      </pivotArea>
    </format>
    <format dxfId="114">
      <pivotArea dataOnly="0" labelOnly="1" outline="0" fieldPosition="0">
        <references count="2">
          <reference field="1" count="1" selected="0">
            <x v="140"/>
          </reference>
          <reference field="3" count="1">
            <x v="3"/>
          </reference>
        </references>
      </pivotArea>
    </format>
    <format dxfId="113">
      <pivotArea dataOnly="0" labelOnly="1" outline="0" fieldPosition="0">
        <references count="2">
          <reference field="1" count="1" selected="0">
            <x v="141"/>
          </reference>
          <reference field="3" count="1">
            <x v="0"/>
          </reference>
        </references>
      </pivotArea>
    </format>
    <format dxfId="112">
      <pivotArea dataOnly="0" labelOnly="1" outline="0" fieldPosition="0">
        <references count="2">
          <reference field="1" count="1" selected="0">
            <x v="142"/>
          </reference>
          <reference field="3" count="1">
            <x v="3"/>
          </reference>
        </references>
      </pivotArea>
    </format>
    <format dxfId="111">
      <pivotArea dataOnly="0" labelOnly="1" outline="0" fieldPosition="0">
        <references count="2">
          <reference field="1" count="1" selected="0">
            <x v="143"/>
          </reference>
          <reference field="3" count="1">
            <x v="3"/>
          </reference>
        </references>
      </pivotArea>
    </format>
    <format dxfId="110">
      <pivotArea dataOnly="0" labelOnly="1" outline="0" fieldPosition="0">
        <references count="2">
          <reference field="1" count="1" selected="0">
            <x v="144"/>
          </reference>
          <reference field="3" count="1">
            <x v="5"/>
          </reference>
        </references>
      </pivotArea>
    </format>
    <format dxfId="109">
      <pivotArea dataOnly="0" labelOnly="1" outline="0" fieldPosition="0">
        <references count="2">
          <reference field="1" count="1" selected="0">
            <x v="145"/>
          </reference>
          <reference field="3" count="1">
            <x v="3"/>
          </reference>
        </references>
      </pivotArea>
    </format>
    <format dxfId="108">
      <pivotArea dataOnly="0" labelOnly="1" outline="0" fieldPosition="0">
        <references count="2">
          <reference field="1" count="1" selected="0">
            <x v="146"/>
          </reference>
          <reference field="3" count="1">
            <x v="2"/>
          </reference>
        </references>
      </pivotArea>
    </format>
    <format dxfId="107">
      <pivotArea dataOnly="0" labelOnly="1" outline="0" fieldPosition="0">
        <references count="2">
          <reference field="1" count="1" selected="0">
            <x v="147"/>
          </reference>
          <reference field="3" count="1">
            <x v="3"/>
          </reference>
        </references>
      </pivotArea>
    </format>
    <format dxfId="106">
      <pivotArea dataOnly="0" labelOnly="1" outline="0" fieldPosition="0">
        <references count="2">
          <reference field="1" count="1" selected="0">
            <x v="148"/>
          </reference>
          <reference field="3" count="1">
            <x v="3"/>
          </reference>
        </references>
      </pivotArea>
    </format>
    <format dxfId="105">
      <pivotArea dataOnly="0" labelOnly="1" outline="0" fieldPosition="0">
        <references count="1">
          <reference field="4294967294" count="8">
            <x v="11"/>
            <x v="12"/>
            <x v="13"/>
            <x v="14"/>
            <x v="15"/>
            <x v="17"/>
            <x v="18"/>
            <x v="19"/>
          </reference>
        </references>
      </pivotArea>
    </format>
    <format dxfId="104">
      <pivotArea dataOnly="0" labelOnly="1" outline="0" fieldPosition="0">
        <references count="1">
          <reference field="4294967294" count="1">
            <x v="21"/>
          </reference>
        </references>
      </pivotArea>
    </format>
    <format dxfId="103">
      <pivotArea dataOnly="0" labelOnly="1" outline="0" fieldPosition="0">
        <references count="1">
          <reference field="4294967294" count="1">
            <x v="25"/>
          </reference>
        </references>
      </pivotArea>
    </format>
    <format dxfId="102">
      <pivotArea dataOnly="0" labelOnly="1" outline="0" fieldPosition="0">
        <references count="1">
          <reference field="4294967294" count="1">
            <x v="24"/>
          </reference>
        </references>
      </pivotArea>
    </format>
    <format dxfId="101">
      <pivotArea dataOnly="0" labelOnly="1" outline="0" fieldPosition="0">
        <references count="1">
          <reference field="4294967294" count="1">
            <x v="22"/>
          </reference>
        </references>
      </pivotArea>
    </format>
    <format dxfId="100">
      <pivotArea dataOnly="0" labelOnly="1" outline="0" fieldPosition="0">
        <references count="1">
          <reference field="4294967294" count="1">
            <x v="27"/>
          </reference>
        </references>
      </pivotArea>
    </format>
    <format dxfId="99">
      <pivotArea dataOnly="0" labelOnly="1" outline="0" fieldPosition="0">
        <references count="1">
          <reference field="4294967294" count="1">
            <x v="21"/>
          </reference>
        </references>
      </pivotArea>
    </format>
    <format dxfId="98">
      <pivotArea outline="0" fieldPosition="0">
        <references count="1">
          <reference field="4294967294" count="1">
            <x v="0"/>
          </reference>
        </references>
      </pivotArea>
    </format>
    <format dxfId="97">
      <pivotArea outline="0" fieldPosition="0">
        <references count="1">
          <reference field="4294967294" count="1">
            <x v="1"/>
          </reference>
        </references>
      </pivotArea>
    </format>
    <format dxfId="96">
      <pivotArea outline="0" fieldPosition="0">
        <references count="1">
          <reference field="4294967294" count="1">
            <x v="2"/>
          </reference>
        </references>
      </pivotArea>
    </format>
    <format dxfId="95">
      <pivotArea outline="0" fieldPosition="0">
        <references count="1">
          <reference field="4294967294" count="1">
            <x v="3"/>
          </reference>
        </references>
      </pivotArea>
    </format>
    <format dxfId="94">
      <pivotArea outline="0" fieldPosition="0">
        <references count="1">
          <reference field="4294967294" count="1">
            <x v="4"/>
          </reference>
        </references>
      </pivotArea>
    </format>
    <format dxfId="93">
      <pivotArea outline="0" fieldPosition="0">
        <references count="1">
          <reference field="4294967294" count="1">
            <x v="5"/>
          </reference>
        </references>
      </pivotArea>
    </format>
    <format dxfId="92">
      <pivotArea outline="0" fieldPosition="0">
        <references count="1">
          <reference field="4294967294" count="1">
            <x v="6"/>
          </reference>
        </references>
      </pivotArea>
    </format>
    <format dxfId="91">
      <pivotArea outline="0" fieldPosition="0">
        <references count="1">
          <reference field="4294967294" count="1">
            <x v="7"/>
          </reference>
        </references>
      </pivotArea>
    </format>
    <format dxfId="90">
      <pivotArea outline="0" fieldPosition="0">
        <references count="1">
          <reference field="4294967294" count="1">
            <x v="11"/>
          </reference>
        </references>
      </pivotArea>
    </format>
    <format dxfId="89">
      <pivotArea outline="0" fieldPosition="0">
        <references count="1">
          <reference field="4294967294" count="1">
            <x v="12"/>
          </reference>
        </references>
      </pivotArea>
    </format>
    <format dxfId="88">
      <pivotArea outline="0" fieldPosition="0">
        <references count="1">
          <reference field="4294967294" count="1">
            <x v="13"/>
          </reference>
        </references>
      </pivotArea>
    </format>
    <format dxfId="87">
      <pivotArea outline="0" fieldPosition="0">
        <references count="1">
          <reference field="4294967294" count="1">
            <x v="14"/>
          </reference>
        </references>
      </pivotArea>
    </format>
    <format dxfId="86">
      <pivotArea outline="0" fieldPosition="0">
        <references count="1">
          <reference field="4294967294" count="1">
            <x v="15"/>
          </reference>
        </references>
      </pivotArea>
    </format>
    <format dxfId="85">
      <pivotArea outline="0" fieldPosition="0">
        <references count="1">
          <reference field="4294967294" count="1">
            <x v="17"/>
          </reference>
        </references>
      </pivotArea>
    </format>
    <format dxfId="84">
      <pivotArea outline="0" fieldPosition="0">
        <references count="1">
          <reference field="4294967294" count="1">
            <x v="18"/>
          </reference>
        </references>
      </pivotArea>
    </format>
    <format dxfId="83">
      <pivotArea outline="0" fieldPosition="0">
        <references count="1">
          <reference field="4294967294" count="1">
            <x v="19"/>
          </reference>
        </references>
      </pivotArea>
    </format>
    <format dxfId="82">
      <pivotArea outline="0" fieldPosition="0">
        <references count="1">
          <reference field="4294967294" count="1">
            <x v="20"/>
          </reference>
        </references>
      </pivotArea>
    </format>
    <format dxfId="81">
      <pivotArea outline="0" fieldPosition="0">
        <references count="1">
          <reference field="4294967294" count="1">
            <x v="21"/>
          </reference>
        </references>
      </pivotArea>
    </format>
    <format dxfId="80">
      <pivotArea outline="0" fieldPosition="0">
        <references count="1">
          <reference field="4294967294" count="1">
            <x v="22"/>
          </reference>
        </references>
      </pivotArea>
    </format>
    <format dxfId="79">
      <pivotArea outline="0" fieldPosition="0">
        <references count="1">
          <reference field="4294967294" count="1">
            <x v="24"/>
          </reference>
        </references>
      </pivotArea>
    </format>
    <format dxfId="78">
      <pivotArea outline="0" fieldPosition="0">
        <references count="1">
          <reference field="4294967294" count="1">
            <x v="25"/>
          </reference>
        </references>
      </pivotArea>
    </format>
    <format dxfId="77">
      <pivotArea outline="0" fieldPosition="0">
        <references count="1">
          <reference field="4294967294" count="1">
            <x v="26"/>
          </reference>
        </references>
      </pivotArea>
    </format>
    <format dxfId="76">
      <pivotArea outline="0" fieldPosition="0">
        <references count="1">
          <reference field="4294967294" count="1">
            <x v="28"/>
          </reference>
        </references>
      </pivotArea>
    </format>
    <format dxfId="75">
      <pivotArea outline="0" fieldPosition="0">
        <references count="1">
          <reference field="4294967294" count="1">
            <x v="29"/>
          </reference>
        </references>
      </pivotArea>
    </format>
    <format dxfId="74">
      <pivotArea outline="0" fieldPosition="0">
        <references count="1">
          <reference field="4294967294" count="1">
            <x v="30"/>
          </reference>
        </references>
      </pivotArea>
    </format>
    <format dxfId="73">
      <pivotArea outline="0" fieldPosition="0">
        <references count="1">
          <reference field="4294967294" count="1">
            <x v="27"/>
          </reference>
        </references>
      </pivotArea>
    </format>
    <format dxfId="72">
      <pivotArea outline="0" fieldPosition="0">
        <references count="1">
          <reference field="4294967294" count="1">
            <x v="31"/>
          </reference>
        </references>
      </pivotArea>
    </format>
    <format dxfId="71">
      <pivotArea outline="0" fieldPosition="0">
        <references count="1">
          <reference field="4294967294" count="1">
            <x v="32"/>
          </reference>
        </references>
      </pivotArea>
    </format>
    <format dxfId="70">
      <pivotArea outline="0" fieldPosition="0">
        <references count="1">
          <reference field="4294967294" count="1">
            <x v="33"/>
          </reference>
        </references>
      </pivotArea>
    </format>
    <format dxfId="69">
      <pivotArea outline="0" fieldPosition="0">
        <references count="1">
          <reference field="4294967294" count="1">
            <x v="34"/>
          </reference>
        </references>
      </pivotArea>
    </format>
    <format dxfId="68">
      <pivotArea field="1" type="button" dataOnly="0" labelOnly="1" outline="0" axis="axisRow" fieldPosition="0"/>
    </format>
    <format dxfId="67">
      <pivotArea outline="0" fieldPosition="0">
        <references count="1">
          <reference field="4294967294" count="1">
            <x v="23"/>
          </reference>
        </references>
      </pivotArea>
    </format>
    <format dxfId="66">
      <pivotArea dataOnly="0" labelOnly="1" outline="0" fieldPosition="0">
        <references count="1">
          <reference field="4294967294" count="1">
            <x v="23"/>
          </reference>
        </references>
      </pivotArea>
    </format>
    <format dxfId="65">
      <pivotArea dataOnly="0" labelOnly="1" outline="0" fieldPosition="0">
        <references count="1">
          <reference field="4294967294" count="1">
            <x v="23"/>
          </reference>
        </references>
      </pivotArea>
    </format>
    <format dxfId="64">
      <pivotArea dataOnly="0" labelOnly="1" outline="0" fieldPosition="0">
        <references count="1">
          <reference field="4294967294" count="1">
            <x v="23"/>
          </reference>
        </references>
      </pivotArea>
    </format>
    <format dxfId="63">
      <pivotArea dataOnly="0" labelOnly="1" outline="0" fieldPosition="0">
        <references count="1">
          <reference field="4294967294" count="1">
            <x v="23"/>
          </reference>
        </references>
      </pivotArea>
    </format>
    <format dxfId="62">
      <pivotArea outline="0" fieldPosition="0">
        <references count="1">
          <reference field="4294967294" count="1">
            <x v="16"/>
          </reference>
        </references>
      </pivotArea>
    </format>
    <format dxfId="61">
      <pivotArea dataOnly="0" labelOnly="1" outline="0" fieldPosition="0">
        <references count="1">
          <reference field="4294967294" count="1">
            <x v="16"/>
          </reference>
        </references>
      </pivotArea>
    </format>
    <format dxfId="60">
      <pivotArea dataOnly="0" labelOnly="1" outline="0" fieldPosition="0">
        <references count="1">
          <reference field="4294967294" count="1">
            <x v="16"/>
          </reference>
        </references>
      </pivotArea>
    </format>
    <format dxfId="59">
      <pivotArea dataOnly="0" labelOnly="1" outline="0" fieldPosition="0">
        <references count="1">
          <reference field="4294967294" count="1">
            <x v="16"/>
          </reference>
        </references>
      </pivotArea>
    </format>
    <format dxfId="58">
      <pivotArea outline="0" fieldPosition="0">
        <references count="1">
          <reference field="4294967294" count="1">
            <x v="8"/>
          </reference>
        </references>
      </pivotArea>
    </format>
    <format dxfId="57">
      <pivotArea outline="0" fieldPosition="0">
        <references count="1">
          <reference field="4294967294" count="1">
            <x v="9"/>
          </reference>
        </references>
      </pivotArea>
    </format>
    <format dxfId="56">
      <pivotArea dataOnly="0" labelOnly="1" outline="0" fieldPosition="0">
        <references count="1">
          <reference field="4294967294" count="2">
            <x v="8"/>
            <x v="9"/>
          </reference>
        </references>
      </pivotArea>
    </format>
    <format dxfId="55">
      <pivotArea dataOnly="0" labelOnly="1" outline="0" fieldPosition="0">
        <references count="1">
          <reference field="4294967294" count="2">
            <x v="8"/>
            <x v="9"/>
          </reference>
        </references>
      </pivotArea>
    </format>
    <format dxfId="54">
      <pivotArea outline="0" fieldPosition="0">
        <references count="1">
          <reference field="4294967294" count="1">
            <x v="10"/>
          </reference>
        </references>
      </pivotArea>
    </format>
    <format dxfId="53">
      <pivotArea dataOnly="0" labelOnly="1" outline="0" fieldPosition="0">
        <references count="1">
          <reference field="4294967294" count="1">
            <x v="10"/>
          </reference>
        </references>
      </pivotArea>
    </format>
    <format dxfId="52">
      <pivotArea dataOnly="0" labelOnly="1" outline="0" fieldPosition="0">
        <references count="1">
          <reference field="4294967294" count="1">
            <x v="10"/>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2"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7">
      <pivotArea outline="0" collapsedLevelsAreSubtotals="1" fieldPosition="0"/>
    </format>
    <format dxfId="26">
      <pivotArea type="all" dataOnly="0" outline="0" fieldPosition="0"/>
    </format>
    <format dxfId="25">
      <pivotArea type="origin" dataOnly="0" labelOnly="1" outline="0" fieldPosition="0"/>
    </format>
    <format dxfId="24">
      <pivotArea field="2" type="button" dataOnly="0" labelOnly="1" outline="0" axis="axisCol" fieldPosition="0"/>
    </format>
    <format dxfId="23">
      <pivotArea type="topRight" dataOnly="0" labelOnly="1" outline="0" fieldPosition="0"/>
    </format>
    <format dxfId="22">
      <pivotArea field="1" type="button" dataOnly="0" labelOnly="1" outline="0" axis="axisRow" fieldPosition="0"/>
    </format>
    <format dxfId="21">
      <pivotArea dataOnly="0" labelOnly="1" fieldPosition="0">
        <references count="1">
          <reference field="2" count="0"/>
        </references>
      </pivotArea>
    </format>
    <format dxfId="20">
      <pivotArea dataOnly="0" labelOnly="1" grandCol="1" outline="0" fieldPosition="0"/>
    </format>
    <format dxfId="19">
      <pivotArea outline="0" collapsedLevelsAreSubtotals="1" fieldPosition="0"/>
    </format>
    <format dxfId="18">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6">
      <pivotArea dataOnly="0" labelOnly="1" grandRow="1" outline="0" fieldPosition="0"/>
    </format>
    <format dxfId="15">
      <pivotArea type="origin" dataOnly="0" labelOnly="1" outline="0" fieldPosition="0"/>
    </format>
    <format dxfId="14">
      <pivotArea field="2" type="button" dataOnly="0" labelOnly="1" outline="0" axis="axisCol" fieldPosition="0"/>
    </format>
    <format dxfId="13">
      <pivotArea type="topRight" dataOnly="0" labelOnly="1" outline="0" fieldPosition="0"/>
    </format>
    <format dxfId="12">
      <pivotArea field="1" type="button" dataOnly="0" labelOnly="1" outline="0" axis="axisRow" fieldPosition="0"/>
    </format>
    <format dxfId="11">
      <pivotArea dataOnly="0" labelOnly="1" fieldPosition="0">
        <references count="1">
          <reference field="2" count="0"/>
        </references>
      </pivotArea>
    </format>
    <format dxfId="10">
      <pivotArea dataOnly="0" labelOnly="1" grandCol="1" outline="0" fieldPosition="0"/>
    </format>
    <format dxfId="9">
      <pivotArea dataOnly="0" labelOnly="1" fieldPosition="0">
        <references count="1">
          <reference field="2" count="0"/>
        </references>
      </pivotArea>
    </format>
    <format dxfId="8">
      <pivotArea dataOnly="0" labelOnly="1" grandCol="1" outline="0" fieldPosition="0"/>
    </format>
    <format dxfId="7">
      <pivotArea grandRow="1" outline="0" collapsedLevelsAreSubtotals="1" fieldPosition="0"/>
    </format>
    <format dxfId="6">
      <pivotArea dataOnly="0" labelOnly="1" grandRow="1" outline="0" fieldPosition="0"/>
    </format>
    <format dxfId="5">
      <pivotArea field="1" type="button" dataOnly="0" labelOnly="1" outline="0" axis="axisRow" fieldPosition="0"/>
    </format>
    <format dxfId="4">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ED9B74-323E-44C0-8CCD-A0A05850D1B9}" name="PivotTable6"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39:I176" firstHeaderRow="1" firstDataRow="2" firstDataCol="4" rowPageCount="4"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Row" compact="0" outline="0"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1"/>
        <item x="2"/>
        <item m="1" x="6"/>
        <item x="3"/>
        <item x="4"/>
        <item m="1" x="7"/>
        <item h="1" x="5"/>
      </items>
    </pivotField>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4">
    <field x="2"/>
    <field x="3"/>
    <field x="17"/>
    <field x="18"/>
  </rowFields>
  <rowItems count="136">
    <i>
      <x/>
      <x v="5"/>
      <x v="1"/>
      <x/>
    </i>
    <i>
      <x v="1"/>
      <x v="1"/>
      <x v="4"/>
      <x v="1"/>
    </i>
    <i>
      <x v="2"/>
      <x v="4"/>
      <x v="2"/>
      <x/>
    </i>
    <i>
      <x v="3"/>
      <x v="2"/>
      <x v="2"/>
      <x/>
    </i>
    <i>
      <x v="5"/>
      <x v="3"/>
      <x v="4"/>
      <x v="1"/>
    </i>
    <i>
      <x v="6"/>
      <x v="1"/>
      <x v="4"/>
      <x v="1"/>
    </i>
    <i>
      <x v="7"/>
      <x v="1"/>
      <x v="4"/>
      <x v="1"/>
    </i>
    <i>
      <x v="8"/>
      <x v="5"/>
      <x v="2"/>
      <x/>
    </i>
    <i>
      <x v="10"/>
      <x v="1"/>
      <x v="4"/>
      <x v="1"/>
    </i>
    <i>
      <x v="11"/>
      <x v="3"/>
      <x v="2"/>
      <x v="1"/>
    </i>
    <i>
      <x v="12"/>
      <x v="7"/>
      <x v="2"/>
      <x/>
    </i>
    <i>
      <x v="13"/>
      <x v="5"/>
      <x v="2"/>
      <x/>
    </i>
    <i>
      <x v="14"/>
      <x v="3"/>
      <x v="2"/>
      <x/>
    </i>
    <i>
      <x v="15"/>
      <x v="1"/>
      <x v="4"/>
      <x v="1"/>
    </i>
    <i>
      <x v="16"/>
      <x v="2"/>
      <x v="4"/>
      <x v="1"/>
    </i>
    <i>
      <x v="17"/>
      <x v="3"/>
      <x v="4"/>
      <x v="1"/>
    </i>
    <i>
      <x v="18"/>
      <x v="1"/>
      <x v="4"/>
      <x v="1"/>
    </i>
    <i>
      <x v="19"/>
      <x v="7"/>
      <x v="1"/>
      <x/>
    </i>
    <i>
      <x v="20"/>
      <x v="2"/>
      <x v="1"/>
      <x/>
    </i>
    <i>
      <x v="21"/>
      <x v="7"/>
      <x v="2"/>
      <x/>
    </i>
    <i>
      <x v="22"/>
      <x/>
      <x v="2"/>
      <x/>
    </i>
    <i>
      <x v="23"/>
      <x v="7"/>
      <x v="2"/>
      <x/>
    </i>
    <i>
      <x v="24"/>
      <x v="7"/>
      <x v="1"/>
      <x/>
    </i>
    <i>
      <x v="25"/>
      <x v="7"/>
      <x v="1"/>
      <x/>
    </i>
    <i>
      <x v="28"/>
      <x v="3"/>
      <x v="4"/>
      <x v="1"/>
    </i>
    <i>
      <x v="29"/>
      <x v="2"/>
      <x v="2"/>
      <x/>
    </i>
    <i>
      <x v="30"/>
      <x v="7"/>
      <x v="1"/>
      <x/>
    </i>
    <i>
      <x v="31"/>
      <x v="7"/>
      <x v="2"/>
      <x/>
    </i>
    <i>
      <x v="32"/>
      <x/>
      <x v="3"/>
      <x v="1"/>
    </i>
    <i>
      <x v="33"/>
      <x v="3"/>
      <x v="4"/>
      <x v="1"/>
    </i>
    <i>
      <x v="34"/>
      <x v="7"/>
      <x v="2"/>
      <x/>
    </i>
    <i>
      <x v="36"/>
      <x v="3"/>
      <x v="4"/>
      <x v="1"/>
    </i>
    <i>
      <x v="37"/>
      <x v="4"/>
      <x v="2"/>
      <x/>
    </i>
    <i>
      <x v="38"/>
      <x v="3"/>
      <x v="4"/>
      <x/>
    </i>
    <i>
      <x v="39"/>
      <x v="3"/>
      <x v="4"/>
      <x v="1"/>
    </i>
    <i>
      <x v="40"/>
      <x v="3"/>
      <x v="4"/>
      <x v="1"/>
    </i>
    <i>
      <x v="41"/>
      <x v="4"/>
      <x v="2"/>
      <x/>
    </i>
    <i>
      <x v="42"/>
      <x v="3"/>
      <x v="2"/>
      <x/>
    </i>
    <i>
      <x v="43"/>
      <x v="3"/>
      <x v="4"/>
      <x v="1"/>
    </i>
    <i>
      <x v="44"/>
      <x v="2"/>
      <x v="1"/>
      <x/>
    </i>
    <i>
      <x v="45"/>
      <x v="2"/>
      <x v="2"/>
      <x/>
    </i>
    <i>
      <x v="46"/>
      <x v="2"/>
      <x v="1"/>
      <x/>
    </i>
    <i>
      <x v="47"/>
      <x/>
      <x v="4"/>
      <x/>
    </i>
    <i>
      <x v="48"/>
      <x v="7"/>
      <x v="4"/>
      <x v="1"/>
    </i>
    <i>
      <x v="49"/>
      <x v="7"/>
      <x v="1"/>
      <x/>
    </i>
    <i>
      <x v="50"/>
      <x v="1"/>
      <x v="4"/>
      <x v="1"/>
    </i>
    <i>
      <x v="51"/>
      <x v="7"/>
      <x v="2"/>
      <x/>
    </i>
    <i>
      <x v="52"/>
      <x v="3"/>
      <x v="4"/>
      <x/>
    </i>
    <i>
      <x v="53"/>
      <x v="3"/>
      <x v="4"/>
      <x v="1"/>
    </i>
    <i>
      <x v="54"/>
      <x v="7"/>
      <x v="1"/>
      <x/>
    </i>
    <i>
      <x v="55"/>
      <x v="7"/>
      <x v="1"/>
      <x/>
    </i>
    <i>
      <x v="56"/>
      <x v="3"/>
      <x v="4"/>
      <x/>
    </i>
    <i>
      <x v="57"/>
      <x v="3"/>
      <x v="2"/>
      <x/>
    </i>
    <i>
      <x v="58"/>
      <x v="3"/>
      <x v="2"/>
      <x/>
    </i>
    <i>
      <x v="59"/>
      <x v="5"/>
      <x v="2"/>
      <x/>
    </i>
    <i>
      <x v="60"/>
      <x/>
      <x v="2"/>
      <x/>
    </i>
    <i>
      <x v="61"/>
      <x v="4"/>
      <x v="2"/>
      <x v="1"/>
    </i>
    <i>
      <x v="62"/>
      <x v="4"/>
      <x v="4"/>
      <x v="1"/>
    </i>
    <i>
      <x v="63"/>
      <x v="3"/>
      <x v="4"/>
      <x v="1"/>
    </i>
    <i>
      <x v="64"/>
      <x v="4"/>
      <x v="4"/>
      <x v="1"/>
    </i>
    <i>
      <x v="65"/>
      <x v="1"/>
      <x v="4"/>
      <x v="1"/>
    </i>
    <i>
      <x v="66"/>
      <x v="2"/>
      <x v="2"/>
      <x/>
    </i>
    <i>
      <x v="67"/>
      <x/>
      <x v="2"/>
      <x/>
    </i>
    <i>
      <x v="68"/>
      <x/>
      <x v="1"/>
      <x/>
    </i>
    <i>
      <x v="69"/>
      <x v="1"/>
      <x v="4"/>
      <x/>
    </i>
    <i>
      <x v="70"/>
      <x v="1"/>
      <x v="2"/>
      <x/>
    </i>
    <i>
      <x v="71"/>
      <x/>
      <x v="2"/>
      <x/>
    </i>
    <i>
      <x v="72"/>
      <x v="4"/>
      <x v="4"/>
      <x v="1"/>
    </i>
    <i>
      <x v="73"/>
      <x v="2"/>
      <x v="2"/>
      <x/>
    </i>
    <i>
      <x v="74"/>
      <x v="7"/>
      <x v="1"/>
      <x/>
    </i>
    <i>
      <x v="75"/>
      <x v="4"/>
      <x v="4"/>
      <x v="1"/>
    </i>
    <i>
      <x v="76"/>
      <x v="2"/>
      <x v="1"/>
      <x/>
    </i>
    <i>
      <x v="77"/>
      <x v="2"/>
      <x v="1"/>
      <x/>
    </i>
    <i>
      <x v="78"/>
      <x/>
      <x v="4"/>
      <x v="1"/>
    </i>
    <i>
      <x v="79"/>
      <x v="5"/>
      <x v="4"/>
      <x/>
    </i>
    <i>
      <x v="80"/>
      <x v="7"/>
      <x v="1"/>
      <x/>
    </i>
    <i>
      <x v="81"/>
      <x/>
      <x v="4"/>
      <x/>
    </i>
    <i>
      <x v="82"/>
      <x v="7"/>
      <x v="2"/>
      <x/>
    </i>
    <i>
      <x v="83"/>
      <x v="2"/>
      <x v="4"/>
      <x v="1"/>
    </i>
    <i>
      <x v="84"/>
      <x v="3"/>
      <x v="4"/>
      <x v="1"/>
    </i>
    <i>
      <x v="85"/>
      <x/>
      <x v="2"/>
      <x/>
    </i>
    <i>
      <x v="86"/>
      <x v="1"/>
      <x v="4"/>
      <x/>
    </i>
    <i>
      <x v="87"/>
      <x/>
      <x v="2"/>
      <x/>
    </i>
    <i>
      <x v="88"/>
      <x v="1"/>
      <x v="4"/>
      <x v="1"/>
    </i>
    <i>
      <x v="89"/>
      <x v="4"/>
      <x v="2"/>
      <x/>
    </i>
    <i>
      <x v="90"/>
      <x v="2"/>
      <x v="1"/>
      <x/>
    </i>
    <i>
      <x v="91"/>
      <x/>
      <x v="2"/>
      <x/>
    </i>
    <i>
      <x v="92"/>
      <x v="2"/>
      <x v="4"/>
      <x v="1"/>
    </i>
    <i>
      <x v="94"/>
      <x v="5"/>
      <x v="2"/>
      <x/>
    </i>
    <i>
      <x v="95"/>
      <x v="3"/>
      <x v="2"/>
      <x/>
    </i>
    <i>
      <x v="96"/>
      <x v="7"/>
      <x v="1"/>
      <x/>
    </i>
    <i>
      <x v="97"/>
      <x v="7"/>
      <x v="2"/>
      <x/>
    </i>
    <i>
      <x v="98"/>
      <x v="1"/>
      <x v="4"/>
      <x v="1"/>
    </i>
    <i>
      <x v="99"/>
      <x v="5"/>
      <x v="2"/>
      <x/>
    </i>
    <i>
      <x v="101"/>
      <x v="3"/>
      <x v="4"/>
      <x v="1"/>
    </i>
    <i>
      <x v="102"/>
      <x/>
      <x v="2"/>
      <x/>
    </i>
    <i>
      <x v="103"/>
      <x v="3"/>
      <x v="4"/>
      <x v="1"/>
    </i>
    <i>
      <x v="104"/>
      <x v="3"/>
      <x v="4"/>
      <x v="1"/>
    </i>
    <i>
      <x v="105"/>
      <x/>
      <x v="2"/>
      <x/>
    </i>
    <i>
      <x v="107"/>
      <x v="1"/>
      <x v="4"/>
      <x v="1"/>
    </i>
    <i>
      <x v="109"/>
      <x v="2"/>
      <x v="1"/>
      <x/>
    </i>
    <i>
      <x v="110"/>
      <x/>
      <x v="2"/>
      <x/>
    </i>
    <i>
      <x v="111"/>
      <x v="7"/>
      <x v="2"/>
      <x/>
    </i>
    <i>
      <x v="112"/>
      <x v="7"/>
      <x v="2"/>
      <x/>
    </i>
    <i>
      <x v="113"/>
      <x v="1"/>
      <x v="4"/>
      <x v="1"/>
    </i>
    <i>
      <x v="115"/>
      <x v="7"/>
      <x v="1"/>
      <x/>
    </i>
    <i>
      <x v="116"/>
      <x/>
      <x v="2"/>
      <x/>
    </i>
    <i>
      <x v="117"/>
      <x v="2"/>
      <x v="1"/>
      <x/>
    </i>
    <i>
      <x v="118"/>
      <x v="2"/>
      <x v="4"/>
      <x v="1"/>
    </i>
    <i>
      <x v="119"/>
      <x v="2"/>
      <x v="1"/>
      <x/>
    </i>
    <i>
      <x v="120"/>
      <x v="5"/>
      <x v="2"/>
      <x/>
    </i>
    <i>
      <x v="122"/>
      <x v="3"/>
      <x v="4"/>
      <x/>
    </i>
    <i>
      <x v="123"/>
      <x v="3"/>
      <x v="4"/>
      <x/>
    </i>
    <i>
      <x v="124"/>
      <x v="4"/>
      <x v="2"/>
      <x/>
    </i>
    <i>
      <x v="125"/>
      <x v="4"/>
      <x v="1"/>
      <x/>
    </i>
    <i>
      <x v="126"/>
      <x/>
      <x v="4"/>
      <x v="1"/>
    </i>
    <i>
      <x v="127"/>
      <x v="4"/>
      <x v="1"/>
      <x/>
    </i>
    <i>
      <x v="128"/>
      <x v="1"/>
      <x v="2"/>
      <x/>
    </i>
    <i>
      <x v="129"/>
      <x v="2"/>
      <x v="2"/>
      <x/>
    </i>
    <i>
      <x v="130"/>
      <x/>
      <x v="4"/>
      <x v="1"/>
    </i>
    <i>
      <x v="131"/>
      <x/>
      <x v="2"/>
      <x/>
    </i>
    <i>
      <x v="132"/>
      <x v="7"/>
      <x v="1"/>
      <x/>
    </i>
    <i>
      <x v="133"/>
      <x/>
      <x v="4"/>
      <x/>
    </i>
    <i>
      <x v="135"/>
      <x v="4"/>
      <x v="2"/>
      <x/>
    </i>
    <i>
      <x v="136"/>
      <x v="1"/>
      <x v="4"/>
      <x v="1"/>
    </i>
    <i>
      <x v="137"/>
      <x v="1"/>
      <x v="4"/>
      <x v="1"/>
    </i>
    <i>
      <x v="138"/>
      <x/>
      <x v="4"/>
      <x/>
    </i>
    <i>
      <x v="139"/>
      <x v="2"/>
      <x v="1"/>
      <x/>
    </i>
    <i>
      <x v="140"/>
      <x v="1"/>
      <x v="2"/>
      <x/>
    </i>
    <i>
      <x v="143"/>
      <x v="1"/>
      <x v="2"/>
      <x/>
    </i>
    <i>
      <x v="144"/>
      <x/>
      <x v="2"/>
      <x/>
    </i>
    <i>
      <x v="145"/>
      <x v="3"/>
      <x v="3"/>
      <x v="1"/>
    </i>
    <i>
      <x v="146"/>
      <x/>
      <x v="2"/>
      <x/>
    </i>
    <i>
      <x v="147"/>
      <x v="4"/>
      <x v="1"/>
      <x/>
    </i>
    <i>
      <x v="148"/>
      <x v="2"/>
      <x v="2"/>
      <x/>
    </i>
    <i>
      <x v="149"/>
      <x v="2"/>
      <x v="2"/>
      <x/>
    </i>
  </rowItems>
  <colFields count="1">
    <field x="5"/>
  </colFields>
  <colItems count="5">
    <i>
      <x/>
    </i>
    <i>
      <x v="1"/>
    </i>
    <i>
      <x v="2"/>
    </i>
    <i>
      <x v="4"/>
    </i>
    <i>
      <x v="5"/>
    </i>
  </colItems>
  <pageFields count="4">
    <pageField fld="0" item="0" hier="-1"/>
    <pageField fld="15" item="1" hier="-1"/>
    <pageField fld="9" item="1" hier="-1"/>
    <pageField fld="4" hier="-1"/>
  </pageFields>
  <dataFields count="1">
    <dataField name="Sum of Funding Amount" fld="11" baseField="0" baseItem="83764184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EAA917-459B-46C6-8445-628842A757F1}" name="PivotTable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11:A12" firstHeaderRow="1" firstDataRow="1" firstDataCol="0" rowPageCount="6" colPageCount="1"/>
  <pivotFields count="24">
    <pivotField axis="axisPage" showAll="0">
      <items count="4">
        <item x="0"/>
        <item x="1"/>
        <item x="2"/>
        <item t="default"/>
      </items>
    </pivotField>
    <pivotField showAll="0"/>
    <pivotField axis="axisPage" multipleItemSelectionAllowed="1" showAll="0">
      <items count="152">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h="1" x="150"/>
        <item t="default"/>
      </items>
    </pivotField>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6">
    <pageField fld="0" item="0" hier="-1"/>
    <pageField fld="15" item="1" hier="-1"/>
    <pageField fld="9" item="1" hier="-1"/>
    <pageField fld="4" item="0" hier="-1"/>
    <pageField fld="17" hier="-1"/>
    <pageField fld="2" hier="-1"/>
  </pageFields>
  <dataFields count="1">
    <dataField name="Sum of Funding Amount" fld="11" baseField="0" baseItem="83764184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25AA29-4862-4F85-9FB7-91881CB6E6DC}" name="PivotTable1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362:B369" firstHeaderRow="1" firstDataRow="1" firstDataCol="1" rowPageCount="5"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3"/>
  </rowFields>
  <rowItems count="7">
    <i>
      <x/>
    </i>
    <i>
      <x v="1"/>
    </i>
    <i>
      <x v="2"/>
    </i>
    <i>
      <x v="3"/>
    </i>
    <i>
      <x v="4"/>
    </i>
    <i>
      <x v="5"/>
    </i>
    <i>
      <x v="7"/>
    </i>
  </rowItems>
  <colItems count="1">
    <i/>
  </colItems>
  <pageFields count="5">
    <pageField fld="0" item="0" hier="-1"/>
    <pageField fld="15" item="1" hier="-1"/>
    <pageField fld="9" item="1" hier="-1"/>
    <pageField fld="4" hier="-1"/>
    <pageField fld="21" item="1" hier="-1"/>
  </pageFields>
  <dataFields count="1">
    <dataField name="Sum of Funding Amount" fld="11" baseField="17" baseItem="1" numFmtId="3"/>
  </dataFields>
  <formats count="2">
    <format dxfId="1">
      <pivotArea outline="0" collapsedLevelsAreSubtotals="1" fieldPosition="0"/>
    </format>
    <format dxfId="0">
      <pivotArea dataOnly="0" labelOnly="1" outline="0" fieldPosition="0">
        <references count="1">
          <reference field="3" count="7">
            <x v="0"/>
            <x v="1"/>
            <x v="2"/>
            <x v="3"/>
            <x v="4"/>
            <x v="5"/>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E03C6F-FEAF-492D-8046-41C960B9F6E2}" name="PivotTable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345:B352" firstHeaderRow="1" firstDataRow="1" firstDataCol="1" rowPageCount="5"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3"/>
  </rowFields>
  <rowItems count="7">
    <i>
      <x/>
    </i>
    <i>
      <x v="1"/>
    </i>
    <i>
      <x v="2"/>
    </i>
    <i>
      <x v="3"/>
    </i>
    <i>
      <x v="4"/>
    </i>
    <i>
      <x v="5"/>
    </i>
    <i>
      <x v="7"/>
    </i>
  </rowItems>
  <colItems count="1">
    <i/>
  </colItems>
  <pageFields count="5">
    <pageField fld="0" item="0" hier="-1"/>
    <pageField fld="15" item="1" hier="-1"/>
    <pageField fld="9" item="1" hier="-1"/>
    <pageField fld="4" hier="-1"/>
    <pageField fld="21" hier="-1"/>
  </pageFields>
  <dataFields count="1">
    <dataField name="Sum of Funding Amount" fld="11" baseField="17" baseItem="1" numFmtId="3"/>
  </dataFields>
  <formats count="2">
    <format dxfId="3">
      <pivotArea outline="0" collapsedLevelsAreSubtotals="1" fieldPosition="0"/>
    </format>
    <format dxfId="2">
      <pivotArea dataOnly="0" labelOnly="1" outline="0" fieldPosition="0">
        <references count="1">
          <reference field="3" count="7">
            <x v="0"/>
            <x v="1"/>
            <x v="2"/>
            <x v="3"/>
            <x v="4"/>
            <x v="5"/>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74F159B-E2E5-4C2F-BA16-B701DB7534D8}"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86:G322" firstHeaderRow="0" firstDataRow="1" firstDataCol="5" rowPageCount="4"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multipleItemSelectionAllowed="1"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5">
    <field x="2"/>
    <field x="3"/>
    <field x="21"/>
    <field x="17"/>
    <field x="18"/>
  </rowFields>
  <rowItems count="136">
    <i>
      <x/>
      <x v="5"/>
      <x v="1"/>
      <x v="1"/>
      <x/>
    </i>
    <i>
      <x v="1"/>
      <x v="1"/>
      <x v="1"/>
      <x v="4"/>
      <x v="1"/>
    </i>
    <i>
      <x v="2"/>
      <x v="4"/>
      <x v="1"/>
      <x v="2"/>
      <x/>
    </i>
    <i>
      <x v="3"/>
      <x v="2"/>
      <x v="1"/>
      <x v="2"/>
      <x/>
    </i>
    <i>
      <x v="5"/>
      <x v="3"/>
      <x v="1"/>
      <x v="4"/>
      <x v="1"/>
    </i>
    <i>
      <x v="6"/>
      <x v="1"/>
      <x v="1"/>
      <x v="4"/>
      <x v="1"/>
    </i>
    <i>
      <x v="7"/>
      <x v="1"/>
      <x v="1"/>
      <x v="4"/>
      <x v="1"/>
    </i>
    <i>
      <x v="8"/>
      <x v="5"/>
      <x v="1"/>
      <x v="2"/>
      <x/>
    </i>
    <i>
      <x v="10"/>
      <x v="1"/>
      <x v="1"/>
      <x v="4"/>
      <x v="1"/>
    </i>
    <i>
      <x v="11"/>
      <x v="3"/>
      <x v="2"/>
      <x v="2"/>
      <x v="1"/>
    </i>
    <i>
      <x v="12"/>
      <x v="7"/>
      <x v="1"/>
      <x v="2"/>
      <x/>
    </i>
    <i>
      <x v="13"/>
      <x v="5"/>
      <x v="1"/>
      <x v="2"/>
      <x/>
    </i>
    <i>
      <x v="14"/>
      <x v="3"/>
      <x v="1"/>
      <x v="2"/>
      <x/>
    </i>
    <i>
      <x v="15"/>
      <x v="1"/>
      <x v="1"/>
      <x v="4"/>
      <x v="1"/>
    </i>
    <i>
      <x v="16"/>
      <x v="2"/>
      <x v="1"/>
      <x v="4"/>
      <x v="1"/>
    </i>
    <i>
      <x v="17"/>
      <x v="3"/>
      <x v="1"/>
      <x v="4"/>
      <x v="1"/>
    </i>
    <i>
      <x v="18"/>
      <x v="1"/>
      <x v="1"/>
      <x v="4"/>
      <x v="1"/>
    </i>
    <i>
      <x v="19"/>
      <x v="7"/>
      <x v="1"/>
      <x v="1"/>
      <x/>
    </i>
    <i>
      <x v="20"/>
      <x v="2"/>
      <x v="1"/>
      <x v="1"/>
      <x/>
    </i>
    <i>
      <x v="21"/>
      <x v="7"/>
      <x v="2"/>
      <x v="2"/>
      <x/>
    </i>
    <i>
      <x v="22"/>
      <x/>
      <x v="1"/>
      <x v="2"/>
      <x/>
    </i>
    <i>
      <x v="23"/>
      <x v="7"/>
      <x v="1"/>
      <x v="2"/>
      <x/>
    </i>
    <i>
      <x v="24"/>
      <x v="7"/>
      <x v="1"/>
      <x v="1"/>
      <x/>
    </i>
    <i>
      <x v="25"/>
      <x v="7"/>
      <x v="1"/>
      <x v="1"/>
      <x/>
    </i>
    <i>
      <x v="28"/>
      <x v="3"/>
      <x v="1"/>
      <x v="4"/>
      <x v="1"/>
    </i>
    <i>
      <x v="29"/>
      <x v="2"/>
      <x v="2"/>
      <x v="2"/>
      <x/>
    </i>
    <i>
      <x v="30"/>
      <x v="7"/>
      <x v="1"/>
      <x v="1"/>
      <x/>
    </i>
    <i>
      <x v="31"/>
      <x v="7"/>
      <x v="1"/>
      <x v="2"/>
      <x/>
    </i>
    <i>
      <x v="32"/>
      <x/>
      <x v="2"/>
      <x v="3"/>
      <x v="1"/>
    </i>
    <i>
      <x v="33"/>
      <x v="3"/>
      <x v="1"/>
      <x v="4"/>
      <x v="1"/>
    </i>
    <i>
      <x v="34"/>
      <x v="7"/>
      <x v="1"/>
      <x v="2"/>
      <x/>
    </i>
    <i>
      <x v="36"/>
      <x v="3"/>
      <x v="2"/>
      <x v="4"/>
      <x v="1"/>
    </i>
    <i>
      <x v="37"/>
      <x v="4"/>
      <x v="1"/>
      <x v="2"/>
      <x/>
    </i>
    <i>
      <x v="38"/>
      <x v="3"/>
      <x v="2"/>
      <x v="4"/>
      <x/>
    </i>
    <i>
      <x v="39"/>
      <x v="3"/>
      <x v="2"/>
      <x v="4"/>
      <x v="1"/>
    </i>
    <i>
      <x v="40"/>
      <x v="3"/>
      <x v="1"/>
      <x v="4"/>
      <x v="1"/>
    </i>
    <i>
      <x v="41"/>
      <x v="4"/>
      <x v="1"/>
      <x v="2"/>
      <x/>
    </i>
    <i>
      <x v="42"/>
      <x v="3"/>
      <x v="1"/>
      <x v="2"/>
      <x/>
    </i>
    <i>
      <x v="43"/>
      <x v="3"/>
      <x v="1"/>
      <x v="4"/>
      <x v="1"/>
    </i>
    <i>
      <x v="44"/>
      <x v="2"/>
      <x v="1"/>
      <x v="1"/>
      <x/>
    </i>
    <i>
      <x v="45"/>
      <x v="2"/>
      <x v="1"/>
      <x v="2"/>
      <x/>
    </i>
    <i>
      <x v="46"/>
      <x v="2"/>
      <x v="1"/>
      <x v="1"/>
      <x/>
    </i>
    <i>
      <x v="47"/>
      <x/>
      <x v="2"/>
      <x v="4"/>
      <x/>
    </i>
    <i>
      <x v="48"/>
      <x v="7"/>
      <x v="1"/>
      <x v="4"/>
      <x v="1"/>
    </i>
    <i>
      <x v="49"/>
      <x v="7"/>
      <x v="1"/>
      <x v="1"/>
      <x/>
    </i>
    <i>
      <x v="50"/>
      <x v="1"/>
      <x v="1"/>
      <x v="4"/>
      <x v="1"/>
    </i>
    <i>
      <x v="51"/>
      <x v="7"/>
      <x v="1"/>
      <x v="2"/>
      <x/>
    </i>
    <i>
      <x v="52"/>
      <x v="3"/>
      <x v="2"/>
      <x v="4"/>
      <x/>
    </i>
    <i>
      <x v="53"/>
      <x v="3"/>
      <x v="1"/>
      <x v="4"/>
      <x v="1"/>
    </i>
    <i>
      <x v="54"/>
      <x v="7"/>
      <x v="1"/>
      <x v="1"/>
      <x/>
    </i>
    <i>
      <x v="55"/>
      <x v="7"/>
      <x v="2"/>
      <x v="1"/>
      <x/>
    </i>
    <i>
      <x v="56"/>
      <x v="3"/>
      <x v="2"/>
      <x v="4"/>
      <x/>
    </i>
    <i>
      <x v="57"/>
      <x v="3"/>
      <x v="2"/>
      <x v="2"/>
      <x/>
    </i>
    <i>
      <x v="58"/>
      <x v="3"/>
      <x v="1"/>
      <x v="2"/>
      <x/>
    </i>
    <i>
      <x v="59"/>
      <x v="5"/>
      <x v="1"/>
      <x v="2"/>
      <x/>
    </i>
    <i>
      <x v="60"/>
      <x/>
      <x v="1"/>
      <x v="2"/>
      <x/>
    </i>
    <i>
      <x v="61"/>
      <x v="4"/>
      <x v="1"/>
      <x v="2"/>
      <x v="1"/>
    </i>
    <i>
      <x v="62"/>
      <x v="4"/>
      <x v="1"/>
      <x v="4"/>
      <x v="1"/>
    </i>
    <i>
      <x v="63"/>
      <x v="3"/>
      <x v="2"/>
      <x v="4"/>
      <x v="1"/>
    </i>
    <i>
      <x v="64"/>
      <x v="4"/>
      <x v="1"/>
      <x v="4"/>
      <x v="1"/>
    </i>
    <i>
      <x v="65"/>
      <x v="1"/>
      <x v="1"/>
      <x v="4"/>
      <x v="1"/>
    </i>
    <i>
      <x v="66"/>
      <x v="2"/>
      <x v="1"/>
      <x v="2"/>
      <x/>
    </i>
    <i>
      <x v="67"/>
      <x/>
      <x v="2"/>
      <x v="2"/>
      <x/>
    </i>
    <i>
      <x v="68"/>
      <x/>
      <x v="1"/>
      <x v="1"/>
      <x/>
    </i>
    <i>
      <x v="69"/>
      <x v="1"/>
      <x v="1"/>
      <x v="4"/>
      <x/>
    </i>
    <i>
      <x v="70"/>
      <x v="1"/>
      <x v="1"/>
      <x v="2"/>
      <x/>
    </i>
    <i>
      <x v="71"/>
      <x/>
      <x v="1"/>
      <x v="2"/>
      <x/>
    </i>
    <i>
      <x v="72"/>
      <x v="4"/>
      <x v="1"/>
      <x v="4"/>
      <x v="1"/>
    </i>
    <i>
      <x v="73"/>
      <x v="2"/>
      <x v="1"/>
      <x v="2"/>
      <x/>
    </i>
    <i>
      <x v="74"/>
      <x v="7"/>
      <x v="1"/>
      <x v="1"/>
      <x/>
    </i>
    <i>
      <x v="75"/>
      <x v="4"/>
      <x v="1"/>
      <x v="4"/>
      <x v="1"/>
    </i>
    <i>
      <x v="76"/>
      <x v="2"/>
      <x v="1"/>
      <x v="1"/>
      <x/>
    </i>
    <i>
      <x v="77"/>
      <x v="2"/>
      <x v="1"/>
      <x v="1"/>
      <x/>
    </i>
    <i>
      <x v="78"/>
      <x/>
      <x v="1"/>
      <x v="4"/>
      <x v="1"/>
    </i>
    <i>
      <x v="79"/>
      <x v="5"/>
      <x v="2"/>
      <x v="4"/>
      <x/>
    </i>
    <i>
      <x v="80"/>
      <x v="7"/>
      <x v="1"/>
      <x v="1"/>
      <x/>
    </i>
    <i>
      <x v="81"/>
      <x/>
      <x v="2"/>
      <x v="4"/>
      <x/>
    </i>
    <i>
      <x v="82"/>
      <x v="7"/>
      <x v="1"/>
      <x v="2"/>
      <x/>
    </i>
    <i>
      <x v="83"/>
      <x v="2"/>
      <x v="2"/>
      <x v="4"/>
      <x v="1"/>
    </i>
    <i>
      <x v="84"/>
      <x v="3"/>
      <x v="1"/>
      <x v="4"/>
      <x v="1"/>
    </i>
    <i>
      <x v="85"/>
      <x/>
      <x v="2"/>
      <x v="2"/>
      <x/>
    </i>
    <i>
      <x v="86"/>
      <x v="1"/>
      <x v="1"/>
      <x v="4"/>
      <x/>
    </i>
    <i>
      <x v="87"/>
      <x/>
      <x v="1"/>
      <x v="2"/>
      <x/>
    </i>
    <i>
      <x v="88"/>
      <x v="1"/>
      <x v="1"/>
      <x v="4"/>
      <x v="1"/>
    </i>
    <i>
      <x v="89"/>
      <x v="4"/>
      <x v="1"/>
      <x v="2"/>
      <x/>
    </i>
    <i>
      <x v="90"/>
      <x v="2"/>
      <x v="1"/>
      <x v="1"/>
      <x/>
    </i>
    <i>
      <x v="91"/>
      <x/>
      <x v="1"/>
      <x v="2"/>
      <x/>
    </i>
    <i>
      <x v="92"/>
      <x v="2"/>
      <x v="1"/>
      <x v="4"/>
      <x v="1"/>
    </i>
    <i>
      <x v="94"/>
      <x v="5"/>
      <x v="1"/>
      <x v="2"/>
      <x/>
    </i>
    <i>
      <x v="95"/>
      <x v="3"/>
      <x v="1"/>
      <x v="2"/>
      <x/>
    </i>
    <i>
      <x v="96"/>
      <x v="7"/>
      <x v="1"/>
      <x v="1"/>
      <x/>
    </i>
    <i>
      <x v="97"/>
      <x v="7"/>
      <x v="1"/>
      <x v="2"/>
      <x/>
    </i>
    <i>
      <x v="98"/>
      <x v="1"/>
      <x v="1"/>
      <x v="4"/>
      <x v="1"/>
    </i>
    <i>
      <x v="99"/>
      <x v="5"/>
      <x v="1"/>
      <x v="2"/>
      <x/>
    </i>
    <i>
      <x v="101"/>
      <x v="3"/>
      <x v="1"/>
      <x v="4"/>
      <x v="1"/>
    </i>
    <i>
      <x v="102"/>
      <x/>
      <x v="2"/>
      <x v="2"/>
      <x/>
    </i>
    <i>
      <x v="103"/>
      <x v="3"/>
      <x v="1"/>
      <x v="4"/>
      <x v="1"/>
    </i>
    <i>
      <x v="104"/>
      <x v="3"/>
      <x v="1"/>
      <x v="4"/>
      <x v="1"/>
    </i>
    <i>
      <x v="105"/>
      <x/>
      <x v="1"/>
      <x v="2"/>
      <x/>
    </i>
    <i>
      <x v="107"/>
      <x v="1"/>
      <x v="1"/>
      <x v="4"/>
      <x v="1"/>
    </i>
    <i>
      <x v="109"/>
      <x v="2"/>
      <x v="1"/>
      <x v="1"/>
      <x/>
    </i>
    <i>
      <x v="110"/>
      <x/>
      <x v="2"/>
      <x v="2"/>
      <x/>
    </i>
    <i>
      <x v="111"/>
      <x v="7"/>
      <x v="2"/>
      <x v="2"/>
      <x/>
    </i>
    <i>
      <x v="112"/>
      <x v="7"/>
      <x v="1"/>
      <x v="2"/>
      <x/>
    </i>
    <i>
      <x v="113"/>
      <x v="1"/>
      <x v="1"/>
      <x v="4"/>
      <x v="1"/>
    </i>
    <i>
      <x v="115"/>
      <x v="7"/>
      <x v="1"/>
      <x v="1"/>
      <x/>
    </i>
    <i>
      <x v="116"/>
      <x/>
      <x v="2"/>
      <x v="2"/>
      <x/>
    </i>
    <i>
      <x v="117"/>
      <x v="2"/>
      <x v="1"/>
      <x v="1"/>
      <x/>
    </i>
    <i>
      <x v="118"/>
      <x v="2"/>
      <x v="1"/>
      <x v="4"/>
      <x v="1"/>
    </i>
    <i>
      <x v="119"/>
      <x v="2"/>
      <x v="1"/>
      <x v="1"/>
      <x/>
    </i>
    <i>
      <x v="120"/>
      <x v="5"/>
      <x v="1"/>
      <x v="2"/>
      <x/>
    </i>
    <i>
      <x v="122"/>
      <x v="3"/>
      <x v="2"/>
      <x v="4"/>
      <x/>
    </i>
    <i>
      <x v="123"/>
      <x v="3"/>
      <x v="2"/>
      <x v="4"/>
      <x/>
    </i>
    <i>
      <x v="124"/>
      <x v="4"/>
      <x v="1"/>
      <x v="2"/>
      <x/>
    </i>
    <i>
      <x v="125"/>
      <x v="4"/>
      <x v="1"/>
      <x v="1"/>
      <x/>
    </i>
    <i>
      <x v="126"/>
      <x/>
      <x v="2"/>
      <x v="4"/>
      <x v="1"/>
    </i>
    <i>
      <x v="127"/>
      <x v="4"/>
      <x v="1"/>
      <x v="1"/>
      <x/>
    </i>
    <i>
      <x v="128"/>
      <x v="1"/>
      <x v="1"/>
      <x v="2"/>
      <x/>
    </i>
    <i>
      <x v="129"/>
      <x v="2"/>
      <x v="1"/>
      <x v="2"/>
      <x/>
    </i>
    <i>
      <x v="130"/>
      <x/>
      <x v="1"/>
      <x v="4"/>
      <x v="1"/>
    </i>
    <i>
      <x v="131"/>
      <x/>
      <x v="2"/>
      <x v="2"/>
      <x/>
    </i>
    <i>
      <x v="132"/>
      <x v="7"/>
      <x v="1"/>
      <x v="1"/>
      <x/>
    </i>
    <i>
      <x v="133"/>
      <x/>
      <x v="2"/>
      <x v="4"/>
      <x/>
    </i>
    <i>
      <x v="135"/>
      <x v="4"/>
      <x v="1"/>
      <x v="2"/>
      <x/>
    </i>
    <i>
      <x v="136"/>
      <x v="1"/>
      <x v="1"/>
      <x v="4"/>
      <x v="1"/>
    </i>
    <i>
      <x v="137"/>
      <x v="1"/>
      <x v="1"/>
      <x v="4"/>
      <x v="1"/>
    </i>
    <i>
      <x v="138"/>
      <x/>
      <x v="2"/>
      <x v="4"/>
      <x/>
    </i>
    <i>
      <x v="139"/>
      <x v="2"/>
      <x v="1"/>
      <x v="1"/>
      <x/>
    </i>
    <i>
      <x v="140"/>
      <x v="1"/>
      <x v="1"/>
      <x v="2"/>
      <x/>
    </i>
    <i>
      <x v="143"/>
      <x v="1"/>
      <x v="1"/>
      <x v="2"/>
      <x/>
    </i>
    <i>
      <x v="144"/>
      <x/>
      <x v="2"/>
      <x v="2"/>
      <x/>
    </i>
    <i>
      <x v="145"/>
      <x v="3"/>
      <x v="1"/>
      <x v="3"/>
      <x v="1"/>
    </i>
    <i>
      <x v="146"/>
      <x/>
      <x v="1"/>
      <x v="2"/>
      <x/>
    </i>
    <i>
      <x v="147"/>
      <x v="4"/>
      <x v="1"/>
      <x v="1"/>
      <x/>
    </i>
    <i>
      <x v="148"/>
      <x v="2"/>
      <x v="1"/>
      <x v="2"/>
      <x/>
    </i>
    <i>
      <x v="149"/>
      <x v="2"/>
      <x v="1"/>
      <x v="2"/>
      <x/>
    </i>
  </rowItems>
  <colFields count="1">
    <field x="-2"/>
  </colFields>
  <colItems count="2">
    <i>
      <x/>
    </i>
    <i i="1">
      <x v="1"/>
    </i>
  </colItems>
  <pageFields count="4">
    <pageField fld="0" item="0" hier="-1"/>
    <pageField fld="15" item="1" hier="-1"/>
    <pageField fld="9" item="1" hier="-1"/>
    <pageField fld="4" hier="-1"/>
  </pageFields>
  <dataFields count="2">
    <dataField name="Sum of Funding Amount" fld="11" baseField="21" baseItem="1"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2FE4C0-CF22-44AA-8C78-B0D250B13F71}" name="PivotTable7"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N39:Q176" firstHeaderRow="1" firstDataRow="2" firstDataCol="3" rowPageCount="4"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Row" compact="0" outline="0"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2">
        <item h="1" x="1"/>
        <item h="1" x="10"/>
        <item h="1" x="22"/>
        <item h="1" x="9"/>
        <item h="1" x="15"/>
        <item h="1" x="13"/>
        <item h="1" x="21"/>
        <item h="1" x="16"/>
        <item h="1" x="8"/>
        <item h="1" x="4"/>
        <item h="1" x="5"/>
        <item h="1" x="29"/>
        <item h="1" x="7"/>
        <item h="1" x="6"/>
        <item h="1" x="18"/>
        <item h="1" m="1" x="31"/>
        <item h="1" x="30"/>
        <item h="1" x="26"/>
        <item h="1" x="2"/>
        <item h="1" x="3"/>
        <item h="1" x="17"/>
        <item h="1" x="23"/>
        <item h="1" x="27"/>
        <item h="1" x="11"/>
        <item h="1" x="14"/>
        <item h="1" x="20"/>
        <item h="1" x="12"/>
        <item h="1" x="28"/>
        <item x="24"/>
        <item h="1" x="19"/>
        <item h="1" x="0"/>
        <item h="1" x="25"/>
      </items>
    </pivotField>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Row" compact="0" outline="0" showAll="0" defaultSubtotal="0">
      <items count="6">
        <item h="1" x="3"/>
        <item x="0"/>
        <item x="2"/>
        <item x="4"/>
        <item x="1"/>
        <item h="1"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3">
    <field x="2"/>
    <field x="3"/>
    <field x="17"/>
  </rowFields>
  <rowItems count="136">
    <i>
      <x/>
      <x v="5"/>
      <x v="1"/>
    </i>
    <i>
      <x v="1"/>
      <x v="1"/>
      <x v="4"/>
    </i>
    <i>
      <x v="2"/>
      <x v="4"/>
      <x v="2"/>
    </i>
    <i>
      <x v="3"/>
      <x v="2"/>
      <x v="2"/>
    </i>
    <i>
      <x v="5"/>
      <x v="3"/>
      <x v="4"/>
    </i>
    <i>
      <x v="6"/>
      <x v="1"/>
      <x v="4"/>
    </i>
    <i>
      <x v="7"/>
      <x v="1"/>
      <x v="4"/>
    </i>
    <i>
      <x v="8"/>
      <x v="5"/>
      <x v="2"/>
    </i>
    <i>
      <x v="10"/>
      <x v="1"/>
      <x v="4"/>
    </i>
    <i>
      <x v="11"/>
      <x v="3"/>
      <x v="2"/>
    </i>
    <i>
      <x v="12"/>
      <x v="7"/>
      <x v="2"/>
    </i>
    <i>
      <x v="13"/>
      <x v="5"/>
      <x v="2"/>
    </i>
    <i>
      <x v="14"/>
      <x v="3"/>
      <x v="2"/>
    </i>
    <i>
      <x v="15"/>
      <x v="1"/>
      <x v="4"/>
    </i>
    <i>
      <x v="16"/>
      <x v="2"/>
      <x v="4"/>
    </i>
    <i>
      <x v="17"/>
      <x v="3"/>
      <x v="4"/>
    </i>
    <i>
      <x v="18"/>
      <x v="1"/>
      <x v="4"/>
    </i>
    <i>
      <x v="19"/>
      <x v="7"/>
      <x v="1"/>
    </i>
    <i>
      <x v="20"/>
      <x v="2"/>
      <x v="1"/>
    </i>
    <i>
      <x v="21"/>
      <x v="7"/>
      <x v="2"/>
    </i>
    <i>
      <x v="22"/>
      <x/>
      <x v="2"/>
    </i>
    <i>
      <x v="23"/>
      <x v="7"/>
      <x v="2"/>
    </i>
    <i>
      <x v="24"/>
      <x v="7"/>
      <x v="1"/>
    </i>
    <i>
      <x v="25"/>
      <x v="7"/>
      <x v="1"/>
    </i>
    <i>
      <x v="28"/>
      <x v="3"/>
      <x v="4"/>
    </i>
    <i>
      <x v="29"/>
      <x v="2"/>
      <x v="2"/>
    </i>
    <i>
      <x v="30"/>
      <x v="7"/>
      <x v="1"/>
    </i>
    <i>
      <x v="31"/>
      <x v="7"/>
      <x v="2"/>
    </i>
    <i>
      <x v="32"/>
      <x/>
      <x v="3"/>
    </i>
    <i>
      <x v="33"/>
      <x v="3"/>
      <x v="4"/>
    </i>
    <i>
      <x v="34"/>
      <x v="7"/>
      <x v="2"/>
    </i>
    <i>
      <x v="36"/>
      <x v="3"/>
      <x v="4"/>
    </i>
    <i>
      <x v="37"/>
      <x v="4"/>
      <x v="2"/>
    </i>
    <i>
      <x v="38"/>
      <x v="3"/>
      <x v="4"/>
    </i>
    <i>
      <x v="39"/>
      <x v="3"/>
      <x v="4"/>
    </i>
    <i>
      <x v="40"/>
      <x v="3"/>
      <x v="4"/>
    </i>
    <i>
      <x v="41"/>
      <x v="4"/>
      <x v="2"/>
    </i>
    <i>
      <x v="42"/>
      <x v="3"/>
      <x v="2"/>
    </i>
    <i>
      <x v="43"/>
      <x v="3"/>
      <x v="4"/>
    </i>
    <i>
      <x v="44"/>
      <x v="2"/>
      <x v="1"/>
    </i>
    <i>
      <x v="45"/>
      <x v="2"/>
      <x v="2"/>
    </i>
    <i>
      <x v="46"/>
      <x v="2"/>
      <x v="1"/>
    </i>
    <i>
      <x v="47"/>
      <x/>
      <x v="4"/>
    </i>
    <i>
      <x v="48"/>
      <x v="7"/>
      <x v="4"/>
    </i>
    <i>
      <x v="49"/>
      <x v="7"/>
      <x v="1"/>
    </i>
    <i>
      <x v="50"/>
      <x v="1"/>
      <x v="4"/>
    </i>
    <i>
      <x v="51"/>
      <x v="7"/>
      <x v="2"/>
    </i>
    <i>
      <x v="52"/>
      <x v="3"/>
      <x v="4"/>
    </i>
    <i>
      <x v="53"/>
      <x v="3"/>
      <x v="4"/>
    </i>
    <i>
      <x v="54"/>
      <x v="7"/>
      <x v="1"/>
    </i>
    <i>
      <x v="55"/>
      <x v="7"/>
      <x v="1"/>
    </i>
    <i>
      <x v="56"/>
      <x v="3"/>
      <x v="4"/>
    </i>
    <i>
      <x v="57"/>
      <x v="3"/>
      <x v="2"/>
    </i>
    <i>
      <x v="58"/>
      <x v="3"/>
      <x v="2"/>
    </i>
    <i>
      <x v="59"/>
      <x v="5"/>
      <x v="2"/>
    </i>
    <i>
      <x v="60"/>
      <x/>
      <x v="2"/>
    </i>
    <i>
      <x v="61"/>
      <x v="4"/>
      <x v="2"/>
    </i>
    <i>
      <x v="62"/>
      <x v="4"/>
      <x v="4"/>
    </i>
    <i>
      <x v="63"/>
      <x v="3"/>
      <x v="4"/>
    </i>
    <i>
      <x v="64"/>
      <x v="4"/>
      <x v="4"/>
    </i>
    <i>
      <x v="65"/>
      <x v="1"/>
      <x v="4"/>
    </i>
    <i>
      <x v="66"/>
      <x v="2"/>
      <x v="2"/>
    </i>
    <i>
      <x v="67"/>
      <x/>
      <x v="2"/>
    </i>
    <i>
      <x v="68"/>
      <x/>
      <x v="1"/>
    </i>
    <i>
      <x v="69"/>
      <x v="1"/>
      <x v="4"/>
    </i>
    <i>
      <x v="70"/>
      <x v="1"/>
      <x v="2"/>
    </i>
    <i>
      <x v="71"/>
      <x/>
      <x v="2"/>
    </i>
    <i>
      <x v="72"/>
      <x v="4"/>
      <x v="4"/>
    </i>
    <i>
      <x v="73"/>
      <x v="2"/>
      <x v="2"/>
    </i>
    <i>
      <x v="74"/>
      <x v="7"/>
      <x v="1"/>
    </i>
    <i>
      <x v="75"/>
      <x v="4"/>
      <x v="4"/>
    </i>
    <i>
      <x v="76"/>
      <x v="2"/>
      <x v="1"/>
    </i>
    <i>
      <x v="77"/>
      <x v="2"/>
      <x v="1"/>
    </i>
    <i>
      <x v="78"/>
      <x/>
      <x v="4"/>
    </i>
    <i>
      <x v="79"/>
      <x v="5"/>
      <x v="4"/>
    </i>
    <i>
      <x v="80"/>
      <x v="7"/>
      <x v="1"/>
    </i>
    <i>
      <x v="81"/>
      <x/>
      <x v="4"/>
    </i>
    <i>
      <x v="82"/>
      <x v="7"/>
      <x v="2"/>
    </i>
    <i>
      <x v="83"/>
      <x v="2"/>
      <x v="4"/>
    </i>
    <i>
      <x v="84"/>
      <x v="3"/>
      <x v="4"/>
    </i>
    <i>
      <x v="85"/>
      <x/>
      <x v="2"/>
    </i>
    <i>
      <x v="86"/>
      <x v="1"/>
      <x v="4"/>
    </i>
    <i>
      <x v="87"/>
      <x/>
      <x v="2"/>
    </i>
    <i>
      <x v="88"/>
      <x v="1"/>
      <x v="4"/>
    </i>
    <i>
      <x v="89"/>
      <x v="4"/>
      <x v="2"/>
    </i>
    <i>
      <x v="90"/>
      <x v="2"/>
      <x v="1"/>
    </i>
    <i>
      <x v="91"/>
      <x/>
      <x v="2"/>
    </i>
    <i>
      <x v="92"/>
      <x v="2"/>
      <x v="4"/>
    </i>
    <i>
      <x v="94"/>
      <x v="5"/>
      <x v="2"/>
    </i>
    <i>
      <x v="95"/>
      <x v="3"/>
      <x v="2"/>
    </i>
    <i>
      <x v="96"/>
      <x v="7"/>
      <x v="1"/>
    </i>
    <i>
      <x v="97"/>
      <x v="7"/>
      <x v="2"/>
    </i>
    <i>
      <x v="98"/>
      <x v="1"/>
      <x v="4"/>
    </i>
    <i>
      <x v="99"/>
      <x v="5"/>
      <x v="2"/>
    </i>
    <i>
      <x v="101"/>
      <x v="3"/>
      <x v="4"/>
    </i>
    <i>
      <x v="102"/>
      <x/>
      <x v="2"/>
    </i>
    <i>
      <x v="103"/>
      <x v="3"/>
      <x v="4"/>
    </i>
    <i>
      <x v="104"/>
      <x v="3"/>
      <x v="4"/>
    </i>
    <i>
      <x v="105"/>
      <x/>
      <x v="2"/>
    </i>
    <i>
      <x v="107"/>
      <x v="1"/>
      <x v="4"/>
    </i>
    <i>
      <x v="109"/>
      <x v="2"/>
      <x v="1"/>
    </i>
    <i>
      <x v="110"/>
      <x/>
      <x v="2"/>
    </i>
    <i>
      <x v="111"/>
      <x v="7"/>
      <x v="2"/>
    </i>
    <i>
      <x v="112"/>
      <x v="7"/>
      <x v="2"/>
    </i>
    <i>
      <x v="113"/>
      <x v="1"/>
      <x v="4"/>
    </i>
    <i>
      <x v="115"/>
      <x v="7"/>
      <x v="1"/>
    </i>
    <i>
      <x v="116"/>
      <x/>
      <x v="2"/>
    </i>
    <i>
      <x v="117"/>
      <x v="2"/>
      <x v="1"/>
    </i>
    <i>
      <x v="118"/>
      <x v="2"/>
      <x v="4"/>
    </i>
    <i>
      <x v="119"/>
      <x v="2"/>
      <x v="1"/>
    </i>
    <i>
      <x v="120"/>
      <x v="5"/>
      <x v="2"/>
    </i>
    <i>
      <x v="122"/>
      <x v="3"/>
      <x v="4"/>
    </i>
    <i>
      <x v="123"/>
      <x v="3"/>
      <x v="4"/>
    </i>
    <i>
      <x v="124"/>
      <x v="4"/>
      <x v="2"/>
    </i>
    <i>
      <x v="125"/>
      <x v="4"/>
      <x v="1"/>
    </i>
    <i>
      <x v="126"/>
      <x/>
      <x v="4"/>
    </i>
    <i>
      <x v="127"/>
      <x v="4"/>
      <x v="1"/>
    </i>
    <i>
      <x v="128"/>
      <x v="1"/>
      <x v="2"/>
    </i>
    <i>
      <x v="129"/>
      <x v="2"/>
      <x v="2"/>
    </i>
    <i>
      <x v="130"/>
      <x/>
      <x v="4"/>
    </i>
    <i>
      <x v="131"/>
      <x/>
      <x v="2"/>
    </i>
    <i>
      <x v="132"/>
      <x v="7"/>
      <x v="1"/>
    </i>
    <i>
      <x v="133"/>
      <x/>
      <x v="4"/>
    </i>
    <i>
      <x v="135"/>
      <x v="4"/>
      <x v="2"/>
    </i>
    <i>
      <x v="136"/>
      <x v="1"/>
      <x v="4"/>
    </i>
    <i>
      <x v="137"/>
      <x v="1"/>
      <x v="4"/>
    </i>
    <i>
      <x v="138"/>
      <x/>
      <x v="4"/>
    </i>
    <i>
      <x v="139"/>
      <x v="2"/>
      <x v="1"/>
    </i>
    <i>
      <x v="140"/>
      <x v="1"/>
      <x v="2"/>
    </i>
    <i>
      <x v="143"/>
      <x v="1"/>
      <x v="2"/>
    </i>
    <i>
      <x v="144"/>
      <x/>
      <x v="2"/>
    </i>
    <i>
      <x v="145"/>
      <x v="3"/>
      <x v="3"/>
    </i>
    <i>
      <x v="146"/>
      <x/>
      <x v="2"/>
    </i>
    <i>
      <x v="147"/>
      <x v="4"/>
      <x v="1"/>
    </i>
    <i>
      <x v="148"/>
      <x v="2"/>
      <x v="2"/>
    </i>
    <i>
      <x v="149"/>
      <x v="2"/>
      <x v="2"/>
    </i>
  </rowItems>
  <colFields count="1">
    <field x="6"/>
  </colFields>
  <colItems count="1">
    <i>
      <x v="28"/>
    </i>
  </colItems>
  <pageFields count="4">
    <pageField fld="0" item="0" hier="-1"/>
    <pageField fld="15" item="1" hier="-1"/>
    <pageField fld="9" item="1" hier="-1"/>
    <pageField fld="4" hier="-1"/>
  </pageFields>
  <dataFields count="1">
    <dataField name="Sum of Funding Amount" fld="11" baseField="0" baseItem="83764184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G411" firstHeaderRow="0" firstDataRow="1" firstDataCol="5" rowPageCount="4" colPageCount="1"/>
  <pivotFields count="24">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1">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0"/>
        <item x="149"/>
      </items>
      <extLst>
        <ext xmlns:x14="http://schemas.microsoft.com/office/spreadsheetml/2009/9/main" uri="{2946ED86-A175-432a-8AC1-64E0C546D7DE}">
          <x14:pivotField fillDownLabels="1"/>
        </ext>
      </extLst>
    </pivotField>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0"/>
        <item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8">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26"/>
      <x v="119"/>
      <x v="4"/>
      <x v="1"/>
    </i>
    <i r="1">
      <x v="130"/>
      <x v="125"/>
      <x v="4"/>
      <x v="1"/>
    </i>
    <i r="1">
      <x v="131"/>
      <x v="128"/>
      <x v="2"/>
      <x/>
    </i>
    <i r="1">
      <x v="133"/>
      <x v="129"/>
      <x v="4"/>
      <x/>
    </i>
    <i r="1">
      <x v="138"/>
      <x v="133"/>
      <x v="4"/>
      <x/>
    </i>
    <i r="1">
      <x v="143"/>
      <x v="142"/>
      <x v="2"/>
      <x/>
    </i>
    <i r="1">
      <x v="145"/>
      <x v="14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43"/>
      <x v="50"/>
      <x v="4"/>
      <x v="1"/>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2">
    <i>
      <x/>
    </i>
    <i i="1">
      <x v="1"/>
    </i>
  </colItems>
  <pageFields count="4">
    <pageField fld="0" item="0" hier="-1"/>
    <pageField fld="4" hier="-1"/>
    <pageField fld="15" item="1" hier="-1"/>
    <pageField fld="9" item="1" hier="-1"/>
  </pageFields>
  <dataFields count="2">
    <dataField name="Sum of Funding Amount" fld="11" baseField="2" baseItem="4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3"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5">
        <item x="2"/>
        <item x="1"/>
        <item x="0"/>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33">
    <i>
      <x/>
    </i>
    <i r="1">
      <x/>
    </i>
    <i r="1">
      <x v="1"/>
    </i>
    <i r="1">
      <x v="15"/>
    </i>
    <i>
      <x v="1"/>
    </i>
    <i r="1">
      <x v="2"/>
    </i>
    <i r="1">
      <x v="5"/>
    </i>
    <i r="1">
      <x v="6"/>
    </i>
    <i r="1">
      <x v="14"/>
    </i>
    <i r="1">
      <x v="17"/>
    </i>
    <i r="1">
      <x v="18"/>
    </i>
    <i r="1">
      <x v="19"/>
    </i>
    <i r="1">
      <x v="20"/>
    </i>
    <i r="1">
      <x v="22"/>
    </i>
    <i r="1">
      <x v="24"/>
    </i>
    <i r="1">
      <x v="26"/>
    </i>
    <i>
      <x v="2"/>
    </i>
    <i r="1">
      <x v="4"/>
    </i>
    <i r="1">
      <x v="9"/>
    </i>
    <i r="1">
      <x v="10"/>
    </i>
    <i r="1">
      <x v="11"/>
    </i>
    <i r="1">
      <x v="12"/>
    </i>
    <i r="1">
      <x v="13"/>
    </i>
    <i r="1">
      <x v="29"/>
    </i>
    <i r="1">
      <x v="31"/>
    </i>
    <i>
      <x v="3"/>
    </i>
    <i r="1">
      <x v="8"/>
    </i>
    <i r="1">
      <x v="23"/>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Disbursement Amount" fld="13" baseField="6"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24">
    <pivotField axis="axisPage" showAll="0" defaultSubtotal="0">
      <items count="3">
        <item x="0"/>
        <item x="2"/>
        <item x="1"/>
      </items>
    </pivotField>
    <pivotField showAll="0" defaultSubtotal="0"/>
    <pivotField axis="axisRow"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0"/>
        <item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4">
        <item x="2"/>
        <item x="1"/>
        <item x="0"/>
        <item x="3"/>
      </items>
    </pivotField>
    <pivotField showAll="0" defaultSubtotal="0"/>
    <pivotField dataField="1" showAll="0" defaultSubtotal="0"/>
    <pivotField showAll="0" defaultSubtotal="0"/>
    <pivotField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1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B45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58"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5">
        <item x="2"/>
        <item x="1"/>
        <item x="0"/>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21">
    <i>
      <x v="1"/>
    </i>
    <i r="1">
      <x v="2"/>
    </i>
    <i r="1">
      <x v="5"/>
    </i>
    <i r="1">
      <x v="6"/>
    </i>
    <i r="1">
      <x v="14"/>
    </i>
    <i r="1">
      <x v="17"/>
    </i>
    <i r="1">
      <x v="18"/>
    </i>
    <i r="1">
      <x v="19"/>
    </i>
    <i r="1">
      <x v="20"/>
    </i>
    <i r="1">
      <x v="22"/>
    </i>
    <i r="1">
      <x v="24"/>
    </i>
    <i r="1">
      <x v="26"/>
    </i>
    <i>
      <x v="2"/>
    </i>
    <i r="1">
      <x v="11"/>
    </i>
    <i>
      <x v="3"/>
    </i>
    <i r="1">
      <x v="8"/>
    </i>
    <i r="1">
      <x v="23"/>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Disbursement Amount" fld="13" baseField="6"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2:B575" firstHeaderRow="1" firstDataRow="1" firstDataCol="1" rowPageCount="4"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3">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 t="default"/>
      </items>
    </pivotField>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87:C590" firstHeaderRow="1" firstDataRow="1" firstDataCol="2" rowPageCount="4" colPageCount="1"/>
  <pivotFields count="24">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2">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s>
    </pivotField>
    <pivotField axis="axisRow" compact="0" outline="0" showAll="0" defaultSubtotal="0">
      <items count="14">
        <item x="5"/>
        <item x="12"/>
        <item x="1"/>
        <item x="10"/>
        <item x="4"/>
        <item x="2"/>
        <item x="3"/>
        <item x="6"/>
        <item x="8"/>
        <item x="9"/>
        <item x="13"/>
        <item x="0"/>
        <item x="7"/>
        <item x="11"/>
      </items>
    </pivotField>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5" firstHeaderRow="1" firstDataRow="1" firstDataCol="1" rowPageCount="4" colPageCount="1"/>
  <pivotFields count="24">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x="5"/>
        <item x="7"/>
        <item x="6"/>
        <item x="18"/>
        <item x="2"/>
        <item x="3"/>
        <item x="17"/>
        <item x="23"/>
        <item x="11"/>
        <item x="14"/>
        <item x="20"/>
        <item x="12"/>
        <item x="24"/>
        <item x="19"/>
        <item x="0"/>
        <item x="25"/>
        <item x="26"/>
        <item x="27"/>
        <item x="28"/>
        <item x="29"/>
        <item m="1" x="31"/>
        <item x="30"/>
      </items>
    </pivotField>
    <pivotField showAll="0" defaultSubtotal="0"/>
    <pivotField showAll="0" defaultSubtotal="0"/>
    <pivotField axis="axisPage" showAll="0" defaultSubtotal="0">
      <items count="4">
        <item x="2"/>
        <item x="1"/>
        <item x="0"/>
        <item x="3"/>
      </items>
    </pivotField>
    <pivotField showAll="0" defaultSubtotal="0"/>
    <pivotField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6"/>
  </rowFields>
  <rowItems count="27">
    <i>
      <x/>
    </i>
    <i>
      <x v="1"/>
    </i>
    <i>
      <x v="2"/>
    </i>
    <i>
      <x v="3"/>
    </i>
    <i>
      <x v="4"/>
    </i>
    <i>
      <x v="5"/>
    </i>
    <i>
      <x v="6"/>
    </i>
    <i>
      <x v="7"/>
    </i>
    <i>
      <x v="8"/>
    </i>
    <i>
      <x v="9"/>
    </i>
    <i>
      <x v="10"/>
    </i>
    <i>
      <x v="11"/>
    </i>
    <i>
      <x v="12"/>
    </i>
    <i>
      <x v="13"/>
    </i>
    <i>
      <x v="14"/>
    </i>
    <i>
      <x v="16"/>
    </i>
    <i>
      <x v="17"/>
    </i>
    <i>
      <x v="18"/>
    </i>
    <i>
      <x v="19"/>
    </i>
    <i>
      <x v="20"/>
    </i>
    <i>
      <x v="21"/>
    </i>
    <i>
      <x v="22"/>
    </i>
    <i>
      <x v="23"/>
    </i>
    <i>
      <x v="24"/>
    </i>
    <i>
      <x v="26"/>
    </i>
    <i>
      <x v="29"/>
    </i>
    <i>
      <x v="31"/>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24">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7">
        <item h="1" x="3"/>
        <item x="1"/>
        <item x="2"/>
        <item x="0"/>
        <item x="4"/>
        <item h="1" x="5"/>
        <item t="default"/>
      </items>
    </pivotField>
    <pivotField showAll="0"/>
    <pivotField showAll="0"/>
    <pivotField showAll="0"/>
    <pivotField showAll="0"/>
    <pivotField showAll="0"/>
    <pivotField showAl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3:A604" firstHeaderRow="1" firstDataRow="1" firstDataCol="0" rowPageCount="5" colPageCount="1"/>
  <pivotFields count="24">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6">
        <item h="1" x="3"/>
        <item x="0"/>
        <item x="2"/>
        <item x="4"/>
        <item x="1"/>
        <item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39:B241"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axis="axisRow" showAll="0">
      <items count="4">
        <item x="0"/>
        <item x="1"/>
        <item x="2"/>
        <item t="default"/>
      </items>
    </pivotField>
    <pivotField showAll="0"/>
    <pivotField showAll="0"/>
    <pivotField showAll="0"/>
    <pivotField showAll="0"/>
    <pivotField showAl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486:C624" firstHeaderRow="0" firstDataRow="1"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sortType="ascending"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dataField="1"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10" firstHeaderRow="0" firstDataRow="1" firstDataCol="1" rowPageCount="6"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4">
        <item x="2"/>
        <item x="1"/>
        <item x="0"/>
        <item x="3"/>
      </items>
    </pivotField>
    <pivotField showAll="0" defaultSubtotal="0"/>
    <pivotField dataField="1" showAll="0" defaultSubtotal="0"/>
    <pivotField showAll="0" defaultSubtotal="0"/>
    <pivotField dataField="1"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6"/>
  </rowFields>
  <rowItems count="27">
    <i>
      <x/>
    </i>
    <i>
      <x v="1"/>
    </i>
    <i>
      <x v="2"/>
    </i>
    <i>
      <x v="3"/>
    </i>
    <i>
      <x v="4"/>
    </i>
    <i>
      <x v="5"/>
    </i>
    <i>
      <x v="6"/>
    </i>
    <i>
      <x v="7"/>
    </i>
    <i>
      <x v="8"/>
    </i>
    <i>
      <x v="9"/>
    </i>
    <i>
      <x v="10"/>
    </i>
    <i>
      <x v="11"/>
    </i>
    <i>
      <x v="12"/>
    </i>
    <i>
      <x v="13"/>
    </i>
    <i>
      <x v="14"/>
    </i>
    <i>
      <x v="15"/>
    </i>
    <i>
      <x v="17"/>
    </i>
    <i>
      <x v="18"/>
    </i>
    <i>
      <x v="20"/>
    </i>
    <i>
      <x v="21"/>
    </i>
    <i>
      <x v="22"/>
    </i>
    <i>
      <x v="23"/>
    </i>
    <i>
      <x v="25"/>
    </i>
    <i>
      <x v="26"/>
    </i>
    <i>
      <x v="27"/>
    </i>
    <i>
      <x v="29"/>
    </i>
    <i>
      <x v="31"/>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Disbursement Amount" fld="13" baseField="6" baseItem="7"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55:B471" firstHeaderRow="1" firstDataRow="1" firstDataCol="1" rowPageCount="7"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4">
        <item x="2"/>
        <item x="1"/>
        <item x="0"/>
        <item x="3"/>
      </items>
    </pivotField>
    <pivotField showAll="0" defaultSubtotal="0"/>
    <pivotField dataField="1" showAll="0" defaultSubtotal="0"/>
    <pivotField showAll="0" defaultSubtotal="0"/>
    <pivotField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6"/>
  </rowFields>
  <rowItems count="16">
    <i>
      <x v="1"/>
    </i>
    <i>
      <x v="4"/>
    </i>
    <i>
      <x v="5"/>
    </i>
    <i>
      <x v="6"/>
    </i>
    <i>
      <x v="7"/>
    </i>
    <i>
      <x v="10"/>
    </i>
    <i>
      <x v="13"/>
    </i>
    <i>
      <x v="14"/>
    </i>
    <i>
      <x v="17"/>
    </i>
    <i>
      <x v="18"/>
    </i>
    <i>
      <x v="20"/>
    </i>
    <i>
      <x v="21"/>
    </i>
    <i>
      <x v="22"/>
    </i>
    <i>
      <x v="23"/>
    </i>
    <i>
      <x v="25"/>
    </i>
    <i>
      <x v="26"/>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34:B439"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159" firstHeaderRow="1" firstDataRow="2" firstDataCol="3"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2">
        <item x="1"/>
        <item h="1" x="10"/>
        <item h="1" x="22"/>
        <item h="1" x="9"/>
        <item h="1" x="15"/>
        <item h="1" x="13"/>
        <item h="1" x="21"/>
        <item h="1" x="16"/>
        <item h="1" x="8"/>
        <item h="1" x="4"/>
        <item h="1" x="5"/>
        <item h="1" x="7"/>
        <item h="1" x="6"/>
        <item h="1" x="18"/>
        <item h="1" x="26"/>
        <item x="2"/>
        <item h="1" x="3"/>
        <item h="1" x="17"/>
        <item h="1" x="23"/>
        <item h="1" x="27"/>
        <item h="1" x="11"/>
        <item h="1" x="14"/>
        <item h="1" x="20"/>
        <item h="1" x="12"/>
        <item h="1" x="28"/>
        <item h="1" x="24"/>
        <item h="1" x="19"/>
        <item x="0"/>
        <item h="1" x="25"/>
        <item h="1" x="29"/>
        <item h="1" m="1" x="31"/>
        <item h="1" x="30"/>
      </items>
    </pivotField>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21:B225" firstHeaderRow="1" firstDataRow="1" firstDataCol="1" rowPageCount="5"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7">
        <item h="1" x="3"/>
        <item x="1"/>
        <item x="2"/>
        <item x="0"/>
        <item h="1" x="5"/>
        <item x="4"/>
        <item t="default"/>
      </items>
    </pivotField>
    <pivotField showAll="0"/>
    <pivotField showAll="0"/>
    <pivotField showAll="0"/>
    <pivotField showAll="0"/>
    <pivotField showAll="0"/>
    <pivotField showAl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20:F422" firstHeaderRow="1" firstDataRow="2"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1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56:F394" firstHeaderRow="0" firstDataRow="1" firstDataCol="4"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dataField="1" compact="0" outline="0" showAll="0" defaultSubtotal="0"/>
    <pivotField compact="0" outline="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AB051B-3CA4-4F67-B4C7-D2FFA28BE1DF}" sourceName="Region">
  <pivotTables>
    <pivotTable tabId="28" name="PivotTable1"/>
  </pivotTables>
  <data>
    <tabular pivotCacheId="1632228767">
      <items count="7">
        <i x="5" s="1"/>
        <i x="2" s="1"/>
        <i x="1" s="1"/>
        <i x="3" s="1"/>
        <i x="6"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Group" xr10:uid="{C9D89F93-0EC7-4F37-931C-FA783DC59FF3}" sourceName="Income Group">
  <pivotTables>
    <pivotTable tabId="28" name="PivotTable1"/>
  </pivotTables>
  <data>
    <tabular pivotCacheId="1632228767">
      <items count="5">
        <i x="3" s="1"/>
        <i x="0" s="1"/>
        <i x="1"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f_financing___AMC" xr10:uid="{310C90A7-6BB2-4981-B745-95937DEB8286}" sourceName="Self-financing / AMC">
  <pivotTables>
    <pivotTable tabId="28" name="PivotTable1"/>
  </pivotTables>
  <data>
    <tabular pivotCacheId="163222876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DB_Delivery_Funding" xr10:uid="{3CD78345-B007-45BF-BED5-AF3E0EA5D70D}" sourceName="MDB Delivery Funding">
  <pivotTables>
    <pivotTable tabId="28" name="PivotTable1"/>
  </pivotTables>
  <data>
    <tabular pivotCacheId="163222876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s="1"/>
        <i x="3" s="1"/>
        <i x="5" s="1"/>
        <i x="6" s="1"/>
        <i x="4" s="1"/>
        <i x="2" s="1"/>
        <i x="7" s="1"/>
        <i x="0" s="1" nd="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D1AB888-F006-46F9-BD04-7A030912EC43}" cache="Slicer_Region" caption="Region" rowHeight="262466"/>
  <slicer name="Income Group" xr10:uid="{B738862A-40DC-451E-A175-C192CC74605F}" cache="Slicer_Income_Group" caption="Income Group" rowHeight="262466"/>
  <slicer name="Self-financing / AMC" xr10:uid="{4810703E-F849-42ED-B477-1D58A2091AAD}" cache="Slicer_Self_financing___AMC" caption="Self-financing / AMC" rowHeight="262466"/>
  <slicer name="MDB Delivery Funding" xr10:uid="{1FA350D6-0D4F-494E-AEA9-34B726A3F409}" cache="Slicer_MDB_Delivery_Funding" caption="MDB Delivery Funding"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49">
  <autoFilter ref="B1:K16" xr:uid="{C7FBD687-8DA1-447A-90DA-8435FC210F52}"/>
  <tableColumns count="10">
    <tableColumn id="1" xr3:uid="{D7ED483E-BDF4-4741-B5CC-7D2936AC603D}" uniqueName="1" name="Operation_x000a_Number" queryTableFieldId="1" dataDxfId="48"/>
    <tableColumn id="2" xr3:uid="{9E08A3A9-8274-4FC5-8E41-FA0B3B41FCB8}" uniqueName="2" name="Operation Name" queryTableFieldId="2" dataDxfId="47"/>
    <tableColumn id="3" xr3:uid="{105264BD-B1F8-4051-8039-D2FDAE3DE9D0}" uniqueName="3" name="Instrument" queryTableFieldId="3" dataDxfId="46"/>
    <tableColumn id="4" xr3:uid="{BF577ACE-169C-4A47-AB57-40945C52261C}" uniqueName="4" name="Source Type" queryTableFieldId="4" dataDxfId="45"/>
    <tableColumn id="5" xr3:uid="{169D5984-E9BC-4F6F-908C-C2AD4646B66B}" uniqueName="5" name="Country_x000a_Name" queryTableFieldId="5" dataDxfId="44"/>
    <tableColumn id="6" xr3:uid="{8B5CFFA5-8389-4F45-A941-7B2BE8E40510}" uniqueName="6" name="Department" queryTableFieldId="6" dataDxfId="43"/>
    <tableColumn id="7" xr3:uid="{EEE03E37-9701-4E8C-B3E5-A651A92139AC}" uniqueName="7" name="Approval Date" queryTableFieldId="7" dataDxfId="42"/>
    <tableColumn id="8" xr3:uid="{8F942C0D-44D5-4056-BEC5-06616A5C2A36}" uniqueName="8" name="Amount allocated_x000a_to deployment of_x000a_vaccines (US$)" queryTableFieldId="8" dataDxfId="41"/>
    <tableColumn id="9" xr3:uid="{02C51EB2-657C-4F7D-9409-ECF81732B737}" uniqueName="9" name="Amount for_x000a_vaccines (US$)" queryTableFieldId="9" dataDxfId="40"/>
    <tableColumn id="10" xr3:uid="{6D8E0170-103B-4C36-A721-5684799AFACA}" uniqueName="10" name="Approved amount_x000a_(US$)" queryTableFieldId="10" dataDxfId="3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3A292-8AE6-4474-8202-39C1F42462AF}" name="Table14" displayName="Table14" ref="A1:O84" totalsRowShown="0">
  <autoFilter ref="A1:O84" xr:uid="{3C22D98F-E7F6-4894-936D-C9D364693B6F}"/>
  <tableColumns count="15">
    <tableColumn id="13" xr3:uid="{73D0D447-4406-42B9-AC13-D770A01D6C87}" name="ISO Code" dataDxfId="38"/>
    <tableColumn id="3" xr3:uid="{C8B96980-0C3E-4A1E-8C8F-2613FC961E0F}" name="AMC classification"/>
    <tableColumn id="1" xr3:uid="{068E5D20-0386-4CF6-BC66-C7527CE979A3}" name="Country"/>
    <tableColumn id="2" xr3:uid="{D39EE1FF-5578-4B8C-806B-13999E8D2A0C}" name="Region"/>
    <tableColumn id="4" xr3:uid="{41AEBBE8-88C8-4BBD-A914-52F1F1352F7B}" name="CDS status"/>
    <tableColumn id="9" xr3:uid="{BCDEEDB0-0F22-4FBE-9A2D-F297DA1C8F98}" name="Status (clean)" dataDxfId="37">
      <calculatedColumnFormula>INDEX($Q$2:$Q$6,MATCH(Table14[[#This Row],[CDS status]],$P$2:$P$6,0))</calculatedColumnFormula>
    </tableColumn>
    <tableColumn id="5" xr3:uid="{672F0B5F-8BEA-4520-B849-60173DEEBA48}" name="Amount requested (USD)" dataDxfId="36"/>
    <tableColumn id="6" xr3:uid="{5335F46E-0E58-4D29-8F54-3EA2528317EC}" name="Amount approved (USD)" dataDxfId="35"/>
    <tableColumn id="10" xr3:uid="{67A589C7-A3F4-46C4-9BB5-4B8C84CC7639}" name="Variance (Requested v Approved)" dataDxfId="34">
      <calculatedColumnFormula>Table14[[#This Row],[Amount requested (USD)]]-Table14[[#This Row],[Amount approved (USD)]]</calculatedColumnFormula>
    </tableColumn>
    <tableColumn id="7" xr3:uid="{010AC1FE-AB34-43EF-99D3-DF5B3FE731AC}" name="Amount disbursed (USD)" dataDxfId="33"/>
    <tableColumn id="11" xr3:uid="{00386D57-746C-477B-BBBD-0F9415D9F79D}" name="Variance (disbursed v Approved)" dataDxfId="32">
      <calculatedColumnFormula>Table14[[#This Row],[Amount approved (USD)]]-Table14[[#This Row],[Amount disbursed (USD)]]</calculatedColumnFormula>
    </tableColumn>
    <tableColumn id="12" xr3:uid="{E139E248-B55F-4CEC-A6D1-59D5D2EF6E9C}" name="Percentage Disbursed (% of approved)" dataDxfId="31">
      <calculatedColumnFormula>Table14[[#This Row],[Amount disbursed (USD)]]/Table14[[#This Row],[Amount approved (USD)]]</calculatedColumnFormula>
    </tableColumn>
    <tableColumn id="8" xr3:uid="{07EEC09A-E5AA-425C-8178-22B0FCCAA571}" name="Date of disbursement of funds" dataDxfId="30"/>
    <tableColumn id="14" xr3:uid="{0D8A4FEB-0434-4CD3-BDC0-523DC7F19714}" name="Funds Channelled through UNICEF" dataDxfId="29"/>
    <tableColumn id="15" xr3:uid="{F20C0692-A6D3-4D65-85F8-062C607A2C5B}" name="Admin (Clean)" dataDxfId="28">
      <calculatedColumnFormula>IF(Table14[[#This Row],[AMC classification]]="AMC - GAVI","Gavi","UNICEF")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 dT="2021-08-23T18:48:32.84" personId="{ACA3DAD5-0D9D-4568-B501-2183A31DC543}" id="{93FA9053-8095-4EF7-9865-9DD849FF43CA}">
    <text>2-year funding ending 2023 June</text>
  </threadedComment>
  <threadedComment ref="AX2" dT="2021-08-24T14:48:18.15" personId="{ACA3DAD5-0D9D-4568-B501-2183A31DC543}" id="{3E2C9384-E011-41A8-B0CB-F8436D31030D}">
    <text>Through country missions and UNICEF ACT-A HAC</text>
  </threadedComment>
  <threadedComment ref="BD2" dT="2021-08-24T14:48:49.06" personId="{ACA3DAD5-0D9D-4568-B501-2183A31DC543}" id="{05C05588-2E3A-4F6D-8605-E5D99B3687CF}">
    <text>Through UNICEF ACT-A HAC</text>
  </threadedComment>
  <threadedComment ref="BL3" dT="2021-08-19T17:58:40.55" personId="{ACA3DAD5-0D9D-4568-B501-2183A31DC543}" id="{78F52BBA-7CC7-4BA4-A921-8E92D6D729B8}">
    <text>Through UNICEF ACT-A HAC</text>
  </threadedComment>
  <threadedComment ref="BM3" dT="2021-08-19T17:58:56.59" personId="{ACA3DAD5-0D9D-4568-B501-2183A31DC543}" id="{94229C2D-F033-4229-965B-53FF2BBE5A98}">
    <text>Through UNICEF ACT-A HAC</text>
  </threadedComment>
  <threadedComment ref="BN3" dT="2021-08-23T18:46:31.06" personId="{ACA3DAD5-0D9D-4568-B501-2183A31DC543}" id="{30422F75-3B01-49C8-8085-7EA190711CC8}">
    <text>Through UNICEF ACT-A HAC</text>
  </threadedComment>
  <threadedComment ref="BO3" dT="2021-08-19T20:25:50.25" personId="{ACA3DAD5-0D9D-4568-B501-2183A31DC543}" id="{CE7A0EBF-394E-4D72-BEEC-69A6C608E396}">
    <text>Through UNICEF ACT-A HAC</text>
  </threadedComment>
  <threadedComment ref="BP3" dT="2021-09-02T19:16:54.83" personId="{ACA3DAD5-0D9D-4568-B501-2183A31DC543}" id="{9F3969FF-8630-4433-948B-DF0B4A41C48E}">
    <text>German (BMZ funds) channeled through GAVI for UNICEF ACT-A HAC activities that are not through the AMC-CDS country grants</text>
  </threadedComment>
  <threadedComment ref="AU75" dT="2021-07-27T10:17:48.40" personId="{71BDAC0F-EDEA-4E8A-9EA6-0D998283A479}" id="{94B6BAE2-70E6-4E97-ACB7-F960A00B45E7}">
    <text>Indicative budget amount; to be updated once approved</text>
  </threadedComment>
  <threadedComment ref="AY106" dT="2021-07-16T09:05:15.43" personId="{71BDAC0F-EDEA-4E8A-9EA6-0D998283A479}" id="{30A4F0F0-E7D9-4CF6-973E-5986136F6822}">
    <text>US$4,950,495 pipeline funding included.</text>
  </threadedComment>
  <threadedComment ref="AR154" dT="2021-08-05T14:20:43.96" personId="{71BDAC0F-EDEA-4E8A-9EA6-0D998283A479}" id="{A86EDABE-5349-41E2-B1E0-A8118F1F8332}">
    <text>Total differs to IDB table due to Bahamas not on this tracking list as a HIC</text>
  </threadedComment>
  <threadedComment ref="AS154" dT="2021-08-05T14:21:07.98" personId="{71BDAC0F-EDEA-4E8A-9EA6-0D998283A479}" id="{E8FEEC5B-E6BC-4825-9FA2-F8A4261E8B8B}">
    <text>Total differs to IDB table due to Bahamas not on this tracking list as a HIC</text>
  </threadedComment>
</ThreadedComments>
</file>

<file path=xl/threadedComments/threadedComment2.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3.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mailto:yeungh@who.int" TargetMode="External"/><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4.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0.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4.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7.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3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2.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ivotTable" Target="../pivotTables/pivotTable11.xml"/><Relationship Id="rId7" Type="http://schemas.openxmlformats.org/officeDocument/2006/relationships/printerSettings" Target="../printerSettings/printerSettings14.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33.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pivotTable" Target="../pivotTables/pivotTable27.xml"/><Relationship Id="rId18" Type="http://schemas.openxmlformats.org/officeDocument/2006/relationships/drawing" Target="../drawings/drawing7.xml"/><Relationship Id="rId3" Type="http://schemas.openxmlformats.org/officeDocument/2006/relationships/pivotTable" Target="../pivotTables/pivotTable17.xml"/><Relationship Id="rId7" Type="http://schemas.openxmlformats.org/officeDocument/2006/relationships/pivotTable" Target="../pivotTables/pivotTable21.xml"/><Relationship Id="rId12" Type="http://schemas.openxmlformats.org/officeDocument/2006/relationships/pivotTable" Target="../pivotTables/pivotTable26.xml"/><Relationship Id="rId17" Type="http://schemas.openxmlformats.org/officeDocument/2006/relationships/printerSettings" Target="../printerSettings/printerSettings15.bin"/><Relationship Id="rId2" Type="http://schemas.openxmlformats.org/officeDocument/2006/relationships/pivotTable" Target="../pivotTables/pivotTable16.xml"/><Relationship Id="rId16" Type="http://schemas.openxmlformats.org/officeDocument/2006/relationships/pivotTable" Target="../pivotTables/pivotTable30.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5" Type="http://schemas.openxmlformats.org/officeDocument/2006/relationships/pivotTable" Target="../pivotTables/pivotTable29.xml"/><Relationship Id="rId10" Type="http://schemas.openxmlformats.org/officeDocument/2006/relationships/pivotTable" Target="../pivotTables/pivotTable24.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pivotTable" Target="../pivotTables/pivotTable28.xml"/></Relationships>
</file>

<file path=xl/worksheets/_rels/sheet34.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12" Type="http://schemas.openxmlformats.org/officeDocument/2006/relationships/drawing" Target="../drawings/drawing8.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rinterSettings" Target="../printerSettings/printerSettings16.bin"/><Relationship Id="rId5" Type="http://schemas.openxmlformats.org/officeDocument/2006/relationships/pivotTable" Target="../pivotTables/pivotTable35.xml"/><Relationship Id="rId10" Type="http://schemas.openxmlformats.org/officeDocument/2006/relationships/pivotTable" Target="../pivotTables/pivotTable40.xml"/><Relationship Id="rId4" Type="http://schemas.openxmlformats.org/officeDocument/2006/relationships/pivotTable" Target="../pivotTables/pivotTable34.xml"/><Relationship Id="rId9" Type="http://schemas.openxmlformats.org/officeDocument/2006/relationships/pivotTable" Target="../pivotTables/pivotTable39.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krishnamoorthi.house.gov/sites/krishnamoorthi.house.gov/files/Letter%20to%20President%20Biden%20on%20Funding%20for%20a%20Global%20Vaccination%20Campaign_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dimension ref="A2:D41"/>
  <sheetViews>
    <sheetView zoomScale="70" zoomScaleNormal="70" workbookViewId="0">
      <selection activeCell="C35" sqref="C35"/>
    </sheetView>
  </sheetViews>
  <sheetFormatPr defaultColWidth="10.83203125" defaultRowHeight="15.5"/>
  <cols>
    <col min="1" max="1" width="10.83203125" style="1"/>
    <col min="2" max="2" width="31" style="1" customWidth="1"/>
    <col min="3" max="3" width="93" style="1" bestFit="1" customWidth="1"/>
    <col min="4" max="4" width="19.83203125" style="1" bestFit="1" customWidth="1"/>
    <col min="5" max="16384" width="10.83203125" style="1"/>
  </cols>
  <sheetData>
    <row r="2" spans="1:4">
      <c r="A2" s="35" t="s">
        <v>0</v>
      </c>
      <c r="B2" s="37" t="s">
        <v>1</v>
      </c>
      <c r="C2" s="36" t="s">
        <v>2</v>
      </c>
    </row>
    <row r="3" spans="1:4" ht="16" thickBot="1"/>
    <row r="4" spans="1:4">
      <c r="B4" s="418" t="s">
        <v>3</v>
      </c>
      <c r="C4" s="421" t="s">
        <v>4</v>
      </c>
      <c r="D4" s="392"/>
    </row>
    <row r="5" spans="1:4">
      <c r="B5" s="419" t="s">
        <v>5</v>
      </c>
      <c r="C5" s="142" t="s">
        <v>6</v>
      </c>
      <c r="D5" s="143"/>
    </row>
    <row r="6" spans="1:4">
      <c r="B6" s="419" t="s">
        <v>7</v>
      </c>
      <c r="C6" s="422" t="s">
        <v>8</v>
      </c>
      <c r="D6" s="143"/>
    </row>
    <row r="7" spans="1:4">
      <c r="B7" s="419" t="s">
        <v>9</v>
      </c>
      <c r="C7" s="422" t="s">
        <v>10</v>
      </c>
      <c r="D7" s="143"/>
    </row>
    <row r="8" spans="1:4">
      <c r="B8" s="419" t="s">
        <v>11</v>
      </c>
      <c r="C8" s="422" t="s">
        <v>12</v>
      </c>
      <c r="D8" s="143"/>
    </row>
    <row r="9" spans="1:4">
      <c r="B9" s="419" t="s">
        <v>13</v>
      </c>
      <c r="C9" s="422" t="s">
        <v>14</v>
      </c>
      <c r="D9" s="143"/>
    </row>
    <row r="10" spans="1:4">
      <c r="B10" s="419" t="s">
        <v>15</v>
      </c>
      <c r="C10" s="422" t="s">
        <v>14</v>
      </c>
      <c r="D10" s="143"/>
    </row>
    <row r="11" spans="1:4">
      <c r="B11" s="419" t="s">
        <v>16</v>
      </c>
      <c r="C11" s="422" t="s">
        <v>14</v>
      </c>
      <c r="D11" s="143"/>
    </row>
    <row r="12" spans="1:4">
      <c r="B12" s="419" t="s">
        <v>17</v>
      </c>
      <c r="C12" s="142" t="s">
        <v>18</v>
      </c>
      <c r="D12" s="424" t="s">
        <v>19</v>
      </c>
    </row>
    <row r="13" spans="1:4">
      <c r="B13" s="419" t="s">
        <v>20</v>
      </c>
      <c r="C13" s="142" t="s">
        <v>21</v>
      </c>
      <c r="D13" s="424" t="s">
        <v>22</v>
      </c>
    </row>
    <row r="14" spans="1:4">
      <c r="B14" s="419" t="s">
        <v>23</v>
      </c>
      <c r="C14" s="142" t="s">
        <v>24</v>
      </c>
      <c r="D14" s="424" t="s">
        <v>25</v>
      </c>
    </row>
    <row r="15" spans="1:4">
      <c r="B15" s="419" t="s">
        <v>26</v>
      </c>
      <c r="C15" s="142" t="s">
        <v>27</v>
      </c>
      <c r="D15" s="424" t="s">
        <v>28</v>
      </c>
    </row>
    <row r="16" spans="1:4" ht="46.5">
      <c r="B16" s="419" t="s">
        <v>29</v>
      </c>
      <c r="C16" s="423" t="s">
        <v>30</v>
      </c>
      <c r="D16" s="592" t="s">
        <v>31</v>
      </c>
    </row>
    <row r="17" spans="2:4">
      <c r="B17" s="419" t="s">
        <v>32</v>
      </c>
      <c r="C17" s="142" t="s">
        <v>33</v>
      </c>
      <c r="D17" s="143"/>
    </row>
    <row r="18" spans="2:4">
      <c r="B18" s="419" t="s">
        <v>34</v>
      </c>
      <c r="C18" s="422" t="s">
        <v>35</v>
      </c>
      <c r="D18" s="143"/>
    </row>
    <row r="19" spans="2:4">
      <c r="B19" s="419" t="s">
        <v>36</v>
      </c>
      <c r="C19" s="142" t="s">
        <v>37</v>
      </c>
      <c r="D19" s="424" t="s">
        <v>38</v>
      </c>
    </row>
    <row r="20" spans="2:4">
      <c r="B20" s="419" t="s">
        <v>39</v>
      </c>
      <c r="C20" s="142" t="s">
        <v>40</v>
      </c>
      <c r="D20" s="424" t="s">
        <v>41</v>
      </c>
    </row>
    <row r="21" spans="2:4">
      <c r="B21" s="419" t="s">
        <v>42</v>
      </c>
      <c r="C21" s="142" t="s">
        <v>43</v>
      </c>
      <c r="D21" s="424" t="s">
        <v>44</v>
      </c>
    </row>
    <row r="22" spans="2:4">
      <c r="B22" s="419" t="s">
        <v>45</v>
      </c>
      <c r="C22" s="142" t="s">
        <v>46</v>
      </c>
      <c r="D22" s="424" t="s">
        <v>47</v>
      </c>
    </row>
    <row r="23" spans="2:4" ht="46.5">
      <c r="B23" s="419" t="s">
        <v>48</v>
      </c>
      <c r="C23" s="142" t="s">
        <v>49</v>
      </c>
      <c r="D23" s="594" t="s">
        <v>50</v>
      </c>
    </row>
    <row r="24" spans="2:4" ht="31">
      <c r="B24" s="419" t="s">
        <v>51</v>
      </c>
      <c r="C24" s="142" t="s">
        <v>52</v>
      </c>
      <c r="D24" s="594" t="s">
        <v>53</v>
      </c>
    </row>
    <row r="25" spans="2:4">
      <c r="B25" s="419" t="s">
        <v>54</v>
      </c>
      <c r="C25" s="142" t="s">
        <v>55</v>
      </c>
      <c r="D25" s="424" t="s">
        <v>44</v>
      </c>
    </row>
    <row r="26" spans="2:4">
      <c r="B26" s="419" t="s">
        <v>56</v>
      </c>
      <c r="C26" s="142" t="s">
        <v>57</v>
      </c>
      <c r="D26" s="424" t="s">
        <v>44</v>
      </c>
    </row>
    <row r="27" spans="2:4" ht="46.5">
      <c r="B27" s="419" t="s">
        <v>58</v>
      </c>
      <c r="C27" s="142" t="s">
        <v>59</v>
      </c>
      <c r="D27" s="594" t="s">
        <v>60</v>
      </c>
    </row>
    <row r="28" spans="2:4" ht="31">
      <c r="B28" s="419" t="s">
        <v>61</v>
      </c>
      <c r="C28" s="142" t="s">
        <v>62</v>
      </c>
      <c r="D28" s="594" t="s">
        <v>63</v>
      </c>
    </row>
    <row r="29" spans="2:4">
      <c r="B29" s="419" t="s">
        <v>64</v>
      </c>
      <c r="C29" s="142" t="s">
        <v>65</v>
      </c>
      <c r="D29" s="424" t="s">
        <v>66</v>
      </c>
    </row>
    <row r="30" spans="2:4" ht="31">
      <c r="B30" s="420" t="s">
        <v>67</v>
      </c>
      <c r="C30" s="167" t="s">
        <v>68</v>
      </c>
      <c r="D30" s="424" t="s">
        <v>44</v>
      </c>
    </row>
    <row r="31" spans="2:4">
      <c r="B31" s="593" t="s">
        <v>69</v>
      </c>
      <c r="C31" s="167" t="s">
        <v>70</v>
      </c>
      <c r="D31" s="424" t="s">
        <v>71</v>
      </c>
    </row>
    <row r="32" spans="2:4">
      <c r="B32" s="593" t="s">
        <v>72</v>
      </c>
      <c r="C32" s="167" t="s">
        <v>70</v>
      </c>
      <c r="D32" s="424" t="s">
        <v>71</v>
      </c>
    </row>
    <row r="33" spans="2:4">
      <c r="B33" s="593" t="s">
        <v>73</v>
      </c>
      <c r="C33" s="167" t="s">
        <v>70</v>
      </c>
      <c r="D33" s="424" t="s">
        <v>71</v>
      </c>
    </row>
    <row r="34" spans="2:4" ht="31">
      <c r="B34" s="593" t="s">
        <v>74</v>
      </c>
      <c r="C34" s="653" t="s">
        <v>75</v>
      </c>
      <c r="D34" s="594" t="s">
        <v>76</v>
      </c>
    </row>
    <row r="35" spans="2:4" ht="31">
      <c r="B35" s="593" t="s">
        <v>77</v>
      </c>
      <c r="C35" s="636" t="s">
        <v>78</v>
      </c>
      <c r="D35" s="637" t="s">
        <v>79</v>
      </c>
    </row>
    <row r="36" spans="2:4" ht="31">
      <c r="B36" s="593" t="s">
        <v>80</v>
      </c>
      <c r="C36" s="636" t="s">
        <v>81</v>
      </c>
      <c r="D36" s="637" t="s">
        <v>82</v>
      </c>
    </row>
    <row r="37" spans="2:4" ht="31">
      <c r="B37" s="593" t="s">
        <v>83</v>
      </c>
      <c r="C37" s="636" t="s">
        <v>84</v>
      </c>
      <c r="D37" s="637" t="s">
        <v>85</v>
      </c>
    </row>
    <row r="38" spans="2:4" ht="31">
      <c r="B38" s="806" t="s">
        <v>86</v>
      </c>
      <c r="C38" s="807" t="s">
        <v>87</v>
      </c>
      <c r="D38" s="637" t="s">
        <v>79</v>
      </c>
    </row>
    <row r="39" spans="2:4" ht="31">
      <c r="B39" s="593" t="s">
        <v>88</v>
      </c>
      <c r="C39" s="636" t="s">
        <v>89</v>
      </c>
      <c r="D39" s="637" t="s">
        <v>90</v>
      </c>
    </row>
    <row r="40" spans="2:4" ht="31">
      <c r="B40" s="806" t="s">
        <v>91</v>
      </c>
      <c r="C40" s="807" t="s">
        <v>92</v>
      </c>
      <c r="D40" s="424" t="s">
        <v>44</v>
      </c>
    </row>
    <row r="41" spans="2:4" ht="31.5" thickBot="1">
      <c r="B41" s="808" t="s">
        <v>93</v>
      </c>
      <c r="C41" s="809" t="s">
        <v>94</v>
      </c>
      <c r="D41" s="594" t="s">
        <v>53</v>
      </c>
    </row>
  </sheetData>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29" r:id="rId21" xr:uid="{A3E926B5-70A1-DF4C-9C4D-E881CA69C28F}"/>
    <hyperlink ref="D30" r:id="rId22" xr:uid="{AF28D8EC-CBA3-2047-A934-E7129FF807DB}"/>
    <hyperlink ref="D37" r:id="rId23" xr:uid="{567F0029-027C-3D47-A41F-754C48E89D78}"/>
    <hyperlink ref="D34" r:id="rId24" display="ugriffiths@unicef.org" xr:uid="{D7ADD1A6-E3AB-4F0D-9EBA-B3FF4AA7E640}"/>
    <hyperlink ref="C18" r:id="rId25" xr:uid="{263C2DE7-35A8-4315-BF1E-CA02E797EE8F}"/>
    <hyperlink ref="D19" r:id="rId26" xr:uid="{6177BE52-F699-4493-B31B-06E68D547578}"/>
    <hyperlink ref="D31" r:id="rId27" xr:uid="{544AF7FD-5B18-4C70-B6DF-60EE4E6AA57F}"/>
    <hyperlink ref="D32:D33" r:id="rId28" display="dkiernan@unicef.org" xr:uid="{B7E82E8B-902A-4C30-B403-5E5C6A212B93}"/>
    <hyperlink ref="D36" r:id="rId29" xr:uid="{F32063AC-4503-4399-8C89-07663DB7B62D}"/>
    <hyperlink ref="D39" r:id="rId30" display="aljenkins@unicef.org" xr:uid="{610B90E5-E4B8-4A62-B07D-14C81FC96860}"/>
    <hyperlink ref="D40" r:id="rId31" xr:uid="{169E7AD5-A108-405D-A9EF-C23C46CF6FD5}"/>
    <hyperlink ref="D41" r:id="rId32" display="aljenkins@unicef.org" xr:uid="{627776A3-447F-4B8A-8164-2CB0F015BE3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95</v>
      </c>
    </row>
    <row r="4" spans="2:4">
      <c r="C4" s="366" t="s">
        <v>96</v>
      </c>
      <c r="D4" s="366" t="s">
        <v>97</v>
      </c>
    </row>
    <row r="5" spans="2:4">
      <c r="C5" s="2" t="s">
        <v>98</v>
      </c>
      <c r="D5" s="2" t="s">
        <v>99</v>
      </c>
    </row>
    <row r="6" spans="2:4">
      <c r="C6" s="2" t="s">
        <v>100</v>
      </c>
      <c r="D6" s="2" t="s">
        <v>99</v>
      </c>
    </row>
    <row r="7" spans="2:4">
      <c r="C7" s="2" t="s">
        <v>101</v>
      </c>
      <c r="D7" s="2" t="s">
        <v>102</v>
      </c>
    </row>
    <row r="8" spans="2:4">
      <c r="C8" s="2" t="s">
        <v>103</v>
      </c>
      <c r="D8" s="2" t="s">
        <v>102</v>
      </c>
    </row>
    <row r="9" spans="2:4">
      <c r="C9" s="2" t="s">
        <v>39</v>
      </c>
      <c r="D9" s="2" t="s">
        <v>99</v>
      </c>
    </row>
    <row r="10" spans="2:4">
      <c r="C10" s="2" t="s">
        <v>54</v>
      </c>
      <c r="D10" s="2" t="s">
        <v>104</v>
      </c>
    </row>
    <row r="11" spans="2:4">
      <c r="C11" s="2" t="s">
        <v>105</v>
      </c>
      <c r="D11" s="2" t="s">
        <v>104</v>
      </c>
    </row>
    <row r="12" spans="2:4">
      <c r="C12" s="2" t="s">
        <v>58</v>
      </c>
      <c r="D12" s="2" t="s">
        <v>106</v>
      </c>
    </row>
    <row r="13" spans="2:4">
      <c r="C13" s="2" t="s">
        <v>107</v>
      </c>
      <c r="D13" s="2" t="s">
        <v>104</v>
      </c>
    </row>
    <row r="14" spans="2:4">
      <c r="C14" s="2" t="s">
        <v>108</v>
      </c>
      <c r="D14" s="2" t="s">
        <v>104</v>
      </c>
    </row>
    <row r="15" spans="2:4">
      <c r="C15" s="2" t="s">
        <v>109</v>
      </c>
      <c r="D15" s="2" t="s">
        <v>104</v>
      </c>
    </row>
    <row r="16" spans="2:4">
      <c r="C16" s="2" t="s">
        <v>110</v>
      </c>
      <c r="D16" s="2" t="s">
        <v>111</v>
      </c>
    </row>
    <row r="17" spans="3:4">
      <c r="C17" s="2" t="s">
        <v>48</v>
      </c>
      <c r="D17" s="2" t="s">
        <v>104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8EB3A-4988-4267-8F37-4C54C6D5DDEF}">
  <dimension ref="B2:AD207"/>
  <sheetViews>
    <sheetView showGridLines="0" topLeftCell="A40" zoomScale="50" zoomScaleNormal="50" workbookViewId="0">
      <selection activeCell="B58" sqref="B58"/>
    </sheetView>
  </sheetViews>
  <sheetFormatPr defaultRowHeight="15.5"/>
  <cols>
    <col min="1" max="1" width="17.33203125" customWidth="1"/>
    <col min="2" max="3" width="16.83203125" customWidth="1"/>
    <col min="4" max="4" width="14.58203125" bestFit="1" customWidth="1"/>
    <col min="6" max="6" width="5.75" customWidth="1"/>
    <col min="9" max="9" width="8.58203125" customWidth="1"/>
    <col min="10" max="10" width="10.58203125" customWidth="1"/>
    <col min="12" max="12" width="9.33203125" customWidth="1"/>
    <col min="14" max="14" width="5.83203125" customWidth="1"/>
    <col min="18" max="19" width="10.08203125" customWidth="1"/>
    <col min="26" max="26" width="9.58203125" customWidth="1"/>
    <col min="27" max="27" width="12.08203125" customWidth="1"/>
    <col min="28" max="28" width="26.58203125" customWidth="1"/>
    <col min="29" max="29" width="30.08203125" customWidth="1"/>
  </cols>
  <sheetData>
    <row r="2" spans="2:30" ht="46">
      <c r="G2" s="1036" t="s">
        <v>112</v>
      </c>
      <c r="H2" s="1036"/>
      <c r="I2" s="1036"/>
      <c r="J2" s="1036"/>
      <c r="K2" s="1036"/>
      <c r="L2" s="1036"/>
      <c r="M2" s="1036"/>
      <c r="N2" s="1036"/>
      <c r="O2" s="1036"/>
      <c r="P2" s="1036"/>
      <c r="Q2" s="1036"/>
      <c r="R2" s="1036"/>
      <c r="S2" s="1036"/>
      <c r="T2" s="1036"/>
      <c r="U2" s="1036"/>
      <c r="V2" s="1036"/>
      <c r="W2" s="1036"/>
      <c r="X2" s="1036"/>
      <c r="Y2" s="1036"/>
      <c r="Z2" s="1036"/>
    </row>
    <row r="4" spans="2:30" ht="21">
      <c r="F4" s="1037" t="s">
        <v>113</v>
      </c>
      <c r="G4" s="1037"/>
      <c r="H4" s="1037"/>
      <c r="I4" s="1037"/>
      <c r="J4" s="1037"/>
      <c r="K4" s="1037"/>
      <c r="L4" s="1037"/>
      <c r="M4" s="1037"/>
      <c r="N4" s="1037"/>
      <c r="O4" s="1037"/>
      <c r="P4" s="1037"/>
      <c r="Q4" s="1037"/>
      <c r="R4" s="1037"/>
      <c r="S4" s="1037"/>
      <c r="T4" s="1037"/>
      <c r="U4" s="1037"/>
      <c r="V4" s="1037"/>
      <c r="W4" s="1037"/>
      <c r="X4" s="1037"/>
      <c r="Y4" s="1037"/>
      <c r="Z4" s="1037"/>
      <c r="AA4" s="1037"/>
    </row>
    <row r="5" spans="2:30" s="617" customFormat="1"/>
    <row r="7" spans="2:30" ht="21">
      <c r="C7" s="1038" t="s">
        <v>114</v>
      </c>
      <c r="D7" s="1038"/>
      <c r="E7" s="1038"/>
      <c r="I7" s="1038" t="s">
        <v>115</v>
      </c>
      <c r="J7" s="1038"/>
      <c r="K7" s="1038"/>
      <c r="L7" s="1038"/>
      <c r="M7" s="1038"/>
      <c r="R7" s="1039" t="s">
        <v>116</v>
      </c>
      <c r="S7" s="1039"/>
      <c r="T7" s="1039"/>
      <c r="Y7" s="1039" t="s">
        <v>117</v>
      </c>
      <c r="Z7" s="1039"/>
      <c r="AA7" s="1039"/>
    </row>
    <row r="8" spans="2:30">
      <c r="C8" s="1040">
        <v>1</v>
      </c>
      <c r="D8" s="1040"/>
      <c r="E8" s="1040"/>
      <c r="J8" s="1041" t="e">
        <v>#REF!</v>
      </c>
      <c r="K8" s="1041"/>
      <c r="L8" s="1041"/>
      <c r="R8" s="1041" t="e">
        <v>#REF!</v>
      </c>
      <c r="S8" s="1041"/>
      <c r="T8" s="1041"/>
      <c r="Y8" s="1042" t="e">
        <f>R8/J8</f>
        <v>#REF!</v>
      </c>
      <c r="Z8" s="1042"/>
      <c r="AA8" s="1042"/>
    </row>
    <row r="9" spans="2:30">
      <c r="C9" s="1040"/>
      <c r="D9" s="1040"/>
      <c r="E9" s="1040"/>
      <c r="J9" s="1041"/>
      <c r="K9" s="1041"/>
      <c r="L9" s="1041"/>
      <c r="R9" s="1041"/>
      <c r="S9" s="1041"/>
      <c r="T9" s="1041"/>
      <c r="Y9" s="1042"/>
      <c r="Z9" s="1042"/>
      <c r="AA9" s="1042"/>
    </row>
    <row r="10" spans="2:30">
      <c r="G10" s="1043" t="s">
        <v>118</v>
      </c>
      <c r="H10" s="1043"/>
      <c r="I10" s="1043"/>
      <c r="J10" s="1043"/>
      <c r="K10" s="1043"/>
      <c r="L10" s="1043"/>
      <c r="M10" s="1043"/>
      <c r="N10" s="1043"/>
      <c r="O10" s="1043"/>
      <c r="P10" s="1043"/>
      <c r="Q10" s="1043"/>
      <c r="R10" s="1043"/>
      <c r="S10" s="1043"/>
      <c r="T10" s="1043"/>
    </row>
    <row r="12" spans="2:30" s="617" customFormat="1"/>
    <row r="13" spans="2:30" ht="15.65" customHeight="1">
      <c r="B13" s="1027" t="s">
        <v>119</v>
      </c>
      <c r="C13" s="1027"/>
      <c r="D13" s="1027"/>
      <c r="E13" s="1027"/>
      <c r="F13" s="1027"/>
      <c r="G13" s="1027"/>
      <c r="M13" s="1027" t="s">
        <v>120</v>
      </c>
      <c r="N13" s="1027"/>
      <c r="O13" s="1027"/>
      <c r="P13" s="1027"/>
      <c r="Q13" s="1027"/>
      <c r="R13" s="1027"/>
      <c r="S13" s="1027"/>
      <c r="Y13" s="1035" t="s">
        <v>121</v>
      </c>
      <c r="Z13" s="1035"/>
      <c r="AA13" s="1035"/>
      <c r="AB13" s="1035"/>
    </row>
    <row r="14" spans="2:30" ht="15.65" customHeight="1">
      <c r="B14" s="1027"/>
      <c r="C14" s="1027"/>
      <c r="D14" s="1027"/>
      <c r="E14" s="1027"/>
      <c r="F14" s="1027"/>
      <c r="G14" s="1027"/>
      <c r="M14" s="1027"/>
      <c r="N14" s="1027"/>
      <c r="O14" s="1027"/>
      <c r="P14" s="1027"/>
      <c r="Q14" s="1027"/>
      <c r="R14" s="1027"/>
      <c r="S14" s="1027"/>
      <c r="Y14" s="1035"/>
      <c r="Z14" s="1035"/>
      <c r="AA14" s="1035"/>
      <c r="AB14" s="1035"/>
    </row>
    <row r="15" spans="2:30" ht="15.65" customHeight="1">
      <c r="B15" s="1027"/>
      <c r="C15" s="1027"/>
      <c r="D15" s="1027"/>
      <c r="E15" s="1027"/>
      <c r="F15" s="1027"/>
      <c r="G15" s="1027"/>
      <c r="M15" s="1027"/>
      <c r="N15" s="1027"/>
      <c r="O15" s="1027"/>
      <c r="P15" s="1027"/>
      <c r="Q15" s="1027"/>
      <c r="R15" s="1027"/>
      <c r="S15" s="1027"/>
    </row>
    <row r="16" spans="2:30" ht="23.5">
      <c r="W16" s="618"/>
      <c r="X16" s="1032" t="s">
        <v>122</v>
      </c>
      <c r="Y16" s="1032"/>
      <c r="Z16" s="1032" t="s">
        <v>123</v>
      </c>
      <c r="AA16" s="1032"/>
      <c r="AB16" s="619" t="s">
        <v>124</v>
      </c>
      <c r="AC16" s="620" t="s">
        <v>125</v>
      </c>
      <c r="AD16" s="621"/>
    </row>
    <row r="17" spans="2:30" ht="23.5">
      <c r="W17" s="622"/>
      <c r="X17" s="1032" t="s">
        <v>126</v>
      </c>
      <c r="Y17" s="1032"/>
      <c r="Z17" s="1033" t="e">
        <v>#REF!</v>
      </c>
      <c r="AA17" s="1033"/>
      <c r="AB17" s="623" t="e">
        <v>#REF!</v>
      </c>
      <c r="AC17" s="624" t="e">
        <f t="shared" ref="AC17:AC23" si="0">AB17/Z17</f>
        <v>#REF!</v>
      </c>
      <c r="AD17" s="625"/>
    </row>
    <row r="18" spans="2:30" ht="23.5">
      <c r="W18" s="622"/>
      <c r="X18" s="1032" t="s">
        <v>127</v>
      </c>
      <c r="Y18" s="1032"/>
      <c r="Z18" s="1033" t="e">
        <v>#REF!</v>
      </c>
      <c r="AA18" s="1033"/>
      <c r="AB18" s="623" t="e">
        <v>#REF!</v>
      </c>
      <c r="AC18" s="624" t="e">
        <f t="shared" si="0"/>
        <v>#REF!</v>
      </c>
      <c r="AD18" s="625"/>
    </row>
    <row r="19" spans="2:30" ht="23.5">
      <c r="W19" s="622"/>
      <c r="X19" s="1032" t="s">
        <v>128</v>
      </c>
      <c r="Y19" s="1032"/>
      <c r="Z19" s="1033" t="e">
        <v>#REF!</v>
      </c>
      <c r="AA19" s="1033"/>
      <c r="AB19" s="623" t="e">
        <v>#REF!</v>
      </c>
      <c r="AC19" s="624" t="e">
        <f t="shared" si="0"/>
        <v>#REF!</v>
      </c>
      <c r="AD19" s="625"/>
    </row>
    <row r="20" spans="2:30" ht="23.5">
      <c r="W20" s="622"/>
      <c r="X20" s="1032" t="s">
        <v>129</v>
      </c>
      <c r="Y20" s="1032"/>
      <c r="Z20" s="1033" t="e">
        <v>#REF!</v>
      </c>
      <c r="AA20" s="1033"/>
      <c r="AB20" s="623" t="e">
        <v>#REF!</v>
      </c>
      <c r="AC20" s="624" t="e">
        <f t="shared" si="0"/>
        <v>#REF!</v>
      </c>
      <c r="AD20" s="625"/>
    </row>
    <row r="21" spans="2:30" ht="23.5">
      <c r="W21" s="622"/>
      <c r="X21" s="1032" t="s">
        <v>130</v>
      </c>
      <c r="Y21" s="1032"/>
      <c r="Z21" s="1033" t="e">
        <v>#REF!</v>
      </c>
      <c r="AA21" s="1033"/>
      <c r="AB21" s="623" t="e">
        <v>#REF!</v>
      </c>
      <c r="AC21" s="624" t="e">
        <f t="shared" si="0"/>
        <v>#REF!</v>
      </c>
      <c r="AD21" s="625"/>
    </row>
    <row r="22" spans="2:30" ht="23.5">
      <c r="W22" s="622"/>
      <c r="X22" s="1032" t="s">
        <v>131</v>
      </c>
      <c r="Y22" s="1032"/>
      <c r="Z22" s="1033" t="e">
        <v>#REF!</v>
      </c>
      <c r="AA22" s="1033"/>
      <c r="AB22" s="623" t="e">
        <v>#REF!</v>
      </c>
      <c r="AC22" s="624" t="e">
        <f t="shared" si="0"/>
        <v>#REF!</v>
      </c>
      <c r="AD22" s="625"/>
    </row>
    <row r="23" spans="2:30" ht="23.5">
      <c r="W23" s="622"/>
      <c r="X23" s="1032" t="s">
        <v>132</v>
      </c>
      <c r="Y23" s="1032"/>
      <c r="Z23" s="1033" t="e">
        <v>#REF!</v>
      </c>
      <c r="AA23" s="1033"/>
      <c r="AB23" s="623" t="e">
        <v>#REF!</v>
      </c>
      <c r="AC23" s="624" t="e">
        <f t="shared" si="0"/>
        <v>#REF!</v>
      </c>
      <c r="AD23" s="625"/>
    </row>
    <row r="26" spans="2:30" ht="59.5" customHeight="1">
      <c r="B26" s="1034" t="s">
        <v>133</v>
      </c>
      <c r="C26" s="1034"/>
      <c r="D26" s="1034"/>
      <c r="E26" s="1034"/>
      <c r="F26" s="1034"/>
      <c r="G26" s="1034"/>
      <c r="M26" s="1034" t="s">
        <v>134</v>
      </c>
      <c r="N26" s="1034"/>
      <c r="O26" s="1034"/>
      <c r="P26" s="1034"/>
      <c r="Q26" s="1034"/>
      <c r="R26" s="1034"/>
      <c r="S26" s="1034"/>
      <c r="U26" s="626"/>
    </row>
    <row r="27" spans="2:30" ht="16.5" customHeight="1">
      <c r="B27" s="681"/>
      <c r="C27" s="681"/>
      <c r="D27" s="681"/>
      <c r="E27" s="681"/>
      <c r="F27" s="681"/>
      <c r="G27" s="681"/>
      <c r="M27" s="681"/>
      <c r="N27" s="681"/>
      <c r="O27" s="681"/>
      <c r="P27" s="681"/>
      <c r="Q27" s="681"/>
      <c r="R27" s="681"/>
      <c r="S27" s="681"/>
      <c r="U27" s="626"/>
    </row>
    <row r="29" spans="2:30" s="617" customFormat="1"/>
    <row r="31" spans="2:30" ht="21" customHeight="1">
      <c r="D31" s="1027" t="s">
        <v>135</v>
      </c>
      <c r="E31" s="1027"/>
      <c r="F31" s="1027"/>
      <c r="G31" s="1027"/>
      <c r="H31" s="1027"/>
      <c r="Q31" s="1027" t="s">
        <v>136</v>
      </c>
      <c r="R31" s="1027"/>
      <c r="S31" s="1027"/>
      <c r="T31" s="1027"/>
      <c r="U31" s="1027"/>
      <c r="V31" s="1027"/>
      <c r="W31" s="627"/>
      <c r="X31" s="627"/>
      <c r="Y31" s="627"/>
      <c r="Z31" s="627"/>
      <c r="AB31" s="1028" t="s">
        <v>137</v>
      </c>
      <c r="AC31" s="1028"/>
    </row>
    <row r="32" spans="2:30" ht="42.65" customHeight="1">
      <c r="D32" s="1027"/>
      <c r="E32" s="1027"/>
      <c r="F32" s="1027"/>
      <c r="G32" s="1027"/>
      <c r="H32" s="1027"/>
      <c r="Q32" s="1027"/>
      <c r="R32" s="1027"/>
      <c r="S32" s="1027"/>
      <c r="T32" s="1027"/>
      <c r="U32" s="1027"/>
      <c r="V32" s="1027"/>
      <c r="W32" s="627"/>
      <c r="X32" s="627"/>
      <c r="Y32" s="627"/>
      <c r="Z32" s="627"/>
      <c r="AB32" s="1028"/>
      <c r="AC32" s="1028"/>
    </row>
    <row r="34" spans="9:29">
      <c r="AB34" t="s">
        <v>138</v>
      </c>
      <c r="AC34" t="s">
        <v>139</v>
      </c>
    </row>
    <row r="36" spans="9:29" ht="32.5">
      <c r="V36" s="1029" t="s">
        <v>140</v>
      </c>
      <c r="W36" s="1030"/>
      <c r="AB36" t="s">
        <v>141</v>
      </c>
      <c r="AC36" s="628" t="s">
        <v>142</v>
      </c>
    </row>
    <row r="37" spans="9:29" ht="21">
      <c r="V37" s="629" t="s">
        <v>128</v>
      </c>
      <c r="W37" s="629" t="e">
        <v>#REF!</v>
      </c>
      <c r="AB37" s="600" t="s">
        <v>143</v>
      </c>
      <c r="AC37" s="630">
        <v>5.9319797706978143E-2</v>
      </c>
    </row>
    <row r="38" spans="9:29" ht="21">
      <c r="I38" s="1029" t="s">
        <v>140</v>
      </c>
      <c r="J38" s="1031"/>
      <c r="K38" s="1030"/>
      <c r="V38" s="629" t="s">
        <v>129</v>
      </c>
      <c r="W38" s="629" t="e">
        <v>#REF!</v>
      </c>
      <c r="AB38" s="600" t="s">
        <v>144</v>
      </c>
      <c r="AC38" s="630">
        <v>7.8409451480299652E-3</v>
      </c>
    </row>
    <row r="39" spans="9:29" ht="21">
      <c r="I39" s="629"/>
      <c r="J39" s="631" t="s">
        <v>145</v>
      </c>
      <c r="K39" s="631" t="s">
        <v>146</v>
      </c>
      <c r="V39" s="629" t="s">
        <v>131</v>
      </c>
      <c r="W39" s="629" t="e">
        <v>#REF!</v>
      </c>
      <c r="AB39" s="600" t="s">
        <v>147</v>
      </c>
      <c r="AC39" s="630">
        <v>5.8858415140644542E-2</v>
      </c>
    </row>
    <row r="40" spans="9:29" ht="21">
      <c r="I40" s="629" t="s">
        <v>148</v>
      </c>
      <c r="J40" s="629" t="e">
        <v>#REF!</v>
      </c>
      <c r="K40" s="629" t="e">
        <v>#REF!</v>
      </c>
      <c r="V40" s="629" t="s">
        <v>130</v>
      </c>
      <c r="W40" s="629" t="e">
        <v>#REF!</v>
      </c>
      <c r="AB40" s="600" t="s">
        <v>149</v>
      </c>
      <c r="AC40" s="630">
        <v>5.6705471469731518E-2</v>
      </c>
    </row>
    <row r="41" spans="9:29" ht="21">
      <c r="I41" s="629" t="s">
        <v>150</v>
      </c>
      <c r="J41" s="629" t="e">
        <v>#REF!</v>
      </c>
      <c r="K41" s="629" t="e">
        <v>#REF!</v>
      </c>
      <c r="V41" s="629" t="s">
        <v>126</v>
      </c>
      <c r="W41" s="629" t="e">
        <v>#REF!</v>
      </c>
      <c r="AB41" s="600" t="s">
        <v>151</v>
      </c>
      <c r="AC41" s="630">
        <v>8.6635524314554457E-3</v>
      </c>
    </row>
    <row r="42" spans="9:29" ht="21">
      <c r="I42" s="629" t="s">
        <v>152</v>
      </c>
      <c r="J42" s="629" t="e">
        <v>#REF!</v>
      </c>
      <c r="K42" s="629" t="e">
        <v>#REF!</v>
      </c>
      <c r="V42" s="629" t="s">
        <v>132</v>
      </c>
      <c r="W42" s="629" t="e">
        <v>#REF!</v>
      </c>
      <c r="AB42" s="600" t="s">
        <v>153</v>
      </c>
      <c r="AC42" s="630">
        <v>3.8150305335968755E-2</v>
      </c>
    </row>
    <row r="43" spans="9:29" ht="21">
      <c r="V43" s="629" t="s">
        <v>127</v>
      </c>
      <c r="W43" s="629" t="e">
        <v>#REF!</v>
      </c>
      <c r="AB43" s="600" t="s">
        <v>154</v>
      </c>
      <c r="AC43" s="630">
        <v>1.9458357169820865E-2</v>
      </c>
    </row>
    <row r="44" spans="9:29">
      <c r="AB44" s="600" t="s">
        <v>155</v>
      </c>
      <c r="AC44" s="630">
        <v>2.1793360030199372E-2</v>
      </c>
    </row>
    <row r="45" spans="9:29">
      <c r="AB45" s="600" t="s">
        <v>156</v>
      </c>
      <c r="AC45" s="630">
        <v>3.5739930966864411E-2</v>
      </c>
    </row>
    <row r="46" spans="9:29">
      <c r="AB46" s="600" t="s">
        <v>157</v>
      </c>
      <c r="AC46" s="630">
        <v>3.5787499340854616E-2</v>
      </c>
    </row>
    <row r="52" spans="2:3" s="617" customFormat="1"/>
    <row r="55" spans="2:3" ht="28.5">
      <c r="B55" s="632" t="s">
        <v>158</v>
      </c>
    </row>
    <row r="58" spans="2:3" ht="31">
      <c r="B58" t="s">
        <v>141</v>
      </c>
      <c r="C58" s="628" t="s">
        <v>159</v>
      </c>
    </row>
    <row r="59" spans="2:3">
      <c r="B59" s="600" t="s">
        <v>160</v>
      </c>
      <c r="C59" s="630">
        <v>41157774.769230768</v>
      </c>
    </row>
    <row r="60" spans="2:3">
      <c r="B60" s="600" t="s">
        <v>161</v>
      </c>
      <c r="C60" s="630">
        <v>100000</v>
      </c>
    </row>
    <row r="61" spans="2:3">
      <c r="B61" s="600" t="s">
        <v>143</v>
      </c>
      <c r="C61" s="630">
        <v>780370.5</v>
      </c>
    </row>
    <row r="62" spans="2:3">
      <c r="B62" s="600" t="s">
        <v>162</v>
      </c>
      <c r="C62" s="630">
        <v>49783934.590000004</v>
      </c>
    </row>
    <row r="63" spans="2:3">
      <c r="B63" s="600" t="s">
        <v>163</v>
      </c>
      <c r="C63" s="630">
        <v>0</v>
      </c>
    </row>
    <row r="64" spans="2:3">
      <c r="B64" s="600" t="s">
        <v>164</v>
      </c>
      <c r="C64" s="630">
        <v>22752903</v>
      </c>
    </row>
    <row r="65" spans="2:10">
      <c r="B65" s="600" t="s">
        <v>165</v>
      </c>
      <c r="C65" s="630">
        <v>1600000</v>
      </c>
    </row>
    <row r="66" spans="2:10">
      <c r="B66" s="600" t="s">
        <v>166</v>
      </c>
      <c r="C66" s="630">
        <v>1100000</v>
      </c>
    </row>
    <row r="67" spans="2:10">
      <c r="B67" s="600" t="s">
        <v>167</v>
      </c>
      <c r="C67" s="630">
        <v>93017136</v>
      </c>
    </row>
    <row r="68" spans="2:10">
      <c r="B68" s="600" t="s">
        <v>168</v>
      </c>
      <c r="C68" s="630">
        <v>0</v>
      </c>
    </row>
    <row r="69" spans="2:10">
      <c r="B69" s="600" t="s">
        <v>169</v>
      </c>
      <c r="C69" s="630">
        <v>2922505</v>
      </c>
    </row>
    <row r="70" spans="2:10">
      <c r="B70" s="600" t="s">
        <v>170</v>
      </c>
      <c r="C70" s="630">
        <v>6805168</v>
      </c>
    </row>
    <row r="71" spans="2:10">
      <c r="B71" s="600" t="s">
        <v>171</v>
      </c>
      <c r="C71" s="630">
        <v>1800619</v>
      </c>
    </row>
    <row r="72" spans="2:10">
      <c r="B72" s="600" t="s">
        <v>172</v>
      </c>
      <c r="C72" s="630">
        <v>783036</v>
      </c>
      <c r="J72" t="s">
        <v>173</v>
      </c>
    </row>
    <row r="73" spans="2:10">
      <c r="B73" s="600" t="s">
        <v>174</v>
      </c>
      <c r="C73" s="630">
        <v>200000</v>
      </c>
    </row>
    <row r="74" spans="2:10">
      <c r="B74" s="600" t="s">
        <v>175</v>
      </c>
      <c r="C74" s="630">
        <v>2000000</v>
      </c>
    </row>
    <row r="75" spans="2:10">
      <c r="B75" s="600" t="s">
        <v>144</v>
      </c>
      <c r="C75" s="630">
        <v>500000</v>
      </c>
    </row>
    <row r="76" spans="2:10">
      <c r="B76" s="600" t="s">
        <v>176</v>
      </c>
      <c r="C76" s="630">
        <v>0</v>
      </c>
    </row>
    <row r="77" spans="2:10">
      <c r="B77" s="600" t="s">
        <v>177</v>
      </c>
      <c r="C77" s="630">
        <v>2369672</v>
      </c>
    </row>
    <row r="78" spans="2:10">
      <c r="B78" s="600" t="s">
        <v>178</v>
      </c>
      <c r="C78" s="630">
        <v>1371835</v>
      </c>
    </row>
    <row r="79" spans="2:10">
      <c r="B79" s="600" t="s">
        <v>179</v>
      </c>
      <c r="C79" s="630">
        <v>4829999.54</v>
      </c>
    </row>
    <row r="80" spans="2:10">
      <c r="B80" s="600" t="s">
        <v>180</v>
      </c>
      <c r="C80" s="630">
        <v>10665344</v>
      </c>
    </row>
    <row r="81" spans="2:3">
      <c r="B81" s="600" t="s">
        <v>181</v>
      </c>
      <c r="C81" s="630">
        <v>2534401</v>
      </c>
    </row>
    <row r="82" spans="2:3">
      <c r="B82" s="600" t="s">
        <v>182</v>
      </c>
      <c r="C82" s="630">
        <v>0</v>
      </c>
    </row>
    <row r="83" spans="2:3">
      <c r="B83" s="600" t="s">
        <v>183</v>
      </c>
      <c r="C83" s="630">
        <v>2281499</v>
      </c>
    </row>
    <row r="84" spans="2:3">
      <c r="B84" s="600" t="s">
        <v>184</v>
      </c>
      <c r="C84" s="630">
        <v>0</v>
      </c>
    </row>
    <row r="85" spans="2:3">
      <c r="B85" s="600" t="s">
        <v>185</v>
      </c>
      <c r="C85" s="630">
        <v>0</v>
      </c>
    </row>
    <row r="86" spans="2:3">
      <c r="B86" s="600" t="s">
        <v>186</v>
      </c>
      <c r="C86" s="630">
        <v>4000000</v>
      </c>
    </row>
    <row r="87" spans="2:3">
      <c r="B87" s="600" t="s">
        <v>187</v>
      </c>
      <c r="C87" s="630">
        <v>13248070</v>
      </c>
    </row>
    <row r="88" spans="2:3">
      <c r="B88" s="600" t="s">
        <v>188</v>
      </c>
      <c r="C88" s="630">
        <v>56183043</v>
      </c>
    </row>
    <row r="89" spans="2:3">
      <c r="B89" s="600" t="s">
        <v>189</v>
      </c>
      <c r="C89" s="630">
        <v>3571190</v>
      </c>
    </row>
    <row r="90" spans="2:3">
      <c r="B90" s="600" t="s">
        <v>190</v>
      </c>
      <c r="C90" s="630">
        <v>0</v>
      </c>
    </row>
    <row r="91" spans="2:3">
      <c r="B91" s="600" t="s">
        <v>191</v>
      </c>
      <c r="C91" s="630">
        <v>0</v>
      </c>
    </row>
    <row r="92" spans="2:3">
      <c r="B92" s="600" t="s">
        <v>192</v>
      </c>
      <c r="C92" s="630">
        <v>37414337.200000003</v>
      </c>
    </row>
    <row r="93" spans="2:3">
      <c r="B93" s="600" t="s">
        <v>193</v>
      </c>
      <c r="C93" s="630">
        <v>0</v>
      </c>
    </row>
    <row r="94" spans="2:3">
      <c r="B94" s="600" t="s">
        <v>147</v>
      </c>
      <c r="C94" s="630">
        <v>200000</v>
      </c>
    </row>
    <row r="95" spans="2:3">
      <c r="B95" s="600" t="s">
        <v>194</v>
      </c>
      <c r="C95" s="630">
        <v>371973</v>
      </c>
    </row>
    <row r="96" spans="2:3">
      <c r="B96" s="600" t="s">
        <v>195</v>
      </c>
      <c r="C96" s="630">
        <v>125000.03</v>
      </c>
    </row>
    <row r="97" spans="2:3">
      <c r="B97" s="600" t="s">
        <v>196</v>
      </c>
      <c r="C97" s="630">
        <v>651756</v>
      </c>
    </row>
    <row r="98" spans="2:3">
      <c r="B98" s="600" t="s">
        <v>197</v>
      </c>
      <c r="C98" s="630">
        <v>30100000</v>
      </c>
    </row>
    <row r="99" spans="2:3">
      <c r="B99" s="600" t="s">
        <v>198</v>
      </c>
      <c r="C99" s="630">
        <v>4579788</v>
      </c>
    </row>
    <row r="100" spans="2:3">
      <c r="B100" s="600" t="s">
        <v>199</v>
      </c>
      <c r="C100" s="630">
        <v>48330000</v>
      </c>
    </row>
    <row r="101" spans="2:3">
      <c r="B101" s="600" t="s">
        <v>200</v>
      </c>
      <c r="C101" s="630">
        <v>0</v>
      </c>
    </row>
    <row r="102" spans="2:3">
      <c r="B102" s="600" t="s">
        <v>201</v>
      </c>
      <c r="C102" s="630">
        <v>371715</v>
      </c>
    </row>
    <row r="103" spans="2:3">
      <c r="B103" s="600" t="s">
        <v>202</v>
      </c>
      <c r="C103" s="630">
        <v>6173401</v>
      </c>
    </row>
    <row r="104" spans="2:3">
      <c r="B104" s="600" t="s">
        <v>203</v>
      </c>
      <c r="C104" s="630">
        <v>97648750</v>
      </c>
    </row>
    <row r="105" spans="2:3">
      <c r="B105" s="600" t="s">
        <v>204</v>
      </c>
      <c r="C105" s="630">
        <v>475490</v>
      </c>
    </row>
    <row r="106" spans="2:3">
      <c r="B106" s="600" t="s">
        <v>205</v>
      </c>
      <c r="C106" s="630">
        <v>0</v>
      </c>
    </row>
    <row r="107" spans="2:3">
      <c r="B107" s="600" t="s">
        <v>206</v>
      </c>
      <c r="C107" s="630">
        <v>2350742</v>
      </c>
    </row>
    <row r="108" spans="2:3">
      <c r="B108" s="600" t="s">
        <v>207</v>
      </c>
      <c r="C108" s="630">
        <v>1300000</v>
      </c>
    </row>
    <row r="109" spans="2:3">
      <c r="B109" s="600" t="s">
        <v>208</v>
      </c>
      <c r="C109" s="630">
        <v>9566908</v>
      </c>
    </row>
    <row r="110" spans="2:3">
      <c r="B110" s="600" t="s">
        <v>209</v>
      </c>
      <c r="C110" s="630">
        <v>125000</v>
      </c>
    </row>
    <row r="111" spans="2:3">
      <c r="B111" s="600" t="s">
        <v>210</v>
      </c>
      <c r="C111" s="630">
        <v>2645000</v>
      </c>
    </row>
    <row r="112" spans="2:3">
      <c r="B112" s="600" t="s">
        <v>211</v>
      </c>
      <c r="C112" s="630">
        <v>13191813</v>
      </c>
    </row>
    <row r="113" spans="2:3">
      <c r="B113" s="600" t="s">
        <v>212</v>
      </c>
      <c r="C113" s="630">
        <v>2674392</v>
      </c>
    </row>
    <row r="114" spans="2:3">
      <c r="B114" s="600" t="s">
        <v>213</v>
      </c>
      <c r="C114" s="630">
        <v>374999.99999999994</v>
      </c>
    </row>
    <row r="115" spans="2:3">
      <c r="B115" s="600" t="s">
        <v>214</v>
      </c>
      <c r="C115" s="630">
        <v>1609554</v>
      </c>
    </row>
    <row r="116" spans="2:3">
      <c r="B116" s="600" t="s">
        <v>215</v>
      </c>
      <c r="C116" s="630">
        <v>18127733.579999998</v>
      </c>
    </row>
    <row r="117" spans="2:3">
      <c r="B117" s="600" t="s">
        <v>216</v>
      </c>
      <c r="C117" s="630">
        <v>75881846</v>
      </c>
    </row>
    <row r="118" spans="2:3">
      <c r="B118" s="600" t="s">
        <v>217</v>
      </c>
      <c r="C118" s="630">
        <v>265486034</v>
      </c>
    </row>
    <row r="119" spans="2:3">
      <c r="B119" s="600" t="s">
        <v>149</v>
      </c>
      <c r="C119" s="630">
        <v>1428858</v>
      </c>
    </row>
    <row r="120" spans="2:3">
      <c r="B120" s="600" t="s">
        <v>218</v>
      </c>
      <c r="C120" s="630">
        <v>1932734</v>
      </c>
    </row>
    <row r="121" spans="2:3">
      <c r="B121" s="600" t="s">
        <v>219</v>
      </c>
      <c r="C121" s="630">
        <v>0</v>
      </c>
    </row>
    <row r="122" spans="2:3">
      <c r="B122" s="600" t="s">
        <v>220</v>
      </c>
      <c r="C122" s="630">
        <v>2752526</v>
      </c>
    </row>
    <row r="123" spans="2:3">
      <c r="B123" s="600" t="s">
        <v>221</v>
      </c>
      <c r="C123" s="630">
        <v>550000</v>
      </c>
    </row>
    <row r="124" spans="2:3">
      <c r="B124" s="600" t="s">
        <v>222</v>
      </c>
      <c r="C124" s="630">
        <v>23088892</v>
      </c>
    </row>
    <row r="125" spans="2:3">
      <c r="B125" s="600" t="s">
        <v>223</v>
      </c>
      <c r="C125" s="630">
        <v>50166</v>
      </c>
    </row>
    <row r="126" spans="2:3">
      <c r="B126" s="600" t="s">
        <v>224</v>
      </c>
      <c r="C126" s="630">
        <v>0</v>
      </c>
    </row>
    <row r="127" spans="2:3">
      <c r="B127" s="600" t="s">
        <v>225</v>
      </c>
      <c r="C127" s="630">
        <v>2717172</v>
      </c>
    </row>
    <row r="128" spans="2:3">
      <c r="B128" s="600" t="s">
        <v>226</v>
      </c>
      <c r="C128" s="630">
        <v>5660581</v>
      </c>
    </row>
    <row r="129" spans="2:3">
      <c r="B129" s="600" t="s">
        <v>227</v>
      </c>
      <c r="C129" s="630">
        <v>10875792</v>
      </c>
    </row>
    <row r="130" spans="2:3">
      <c r="B130" s="600" t="s">
        <v>228</v>
      </c>
      <c r="C130" s="630">
        <v>11453386</v>
      </c>
    </row>
    <row r="131" spans="2:3">
      <c r="B131" s="600" t="s">
        <v>229</v>
      </c>
      <c r="C131" s="630">
        <v>6953428</v>
      </c>
    </row>
    <row r="132" spans="2:3">
      <c r="B132" s="600" t="s">
        <v>230</v>
      </c>
      <c r="C132" s="630">
        <v>4233556.2300000004</v>
      </c>
    </row>
    <row r="133" spans="2:3">
      <c r="B133" s="600" t="s">
        <v>231</v>
      </c>
      <c r="C133" s="630">
        <v>0</v>
      </c>
    </row>
    <row r="134" spans="2:3">
      <c r="B134" s="600" t="s">
        <v>232</v>
      </c>
      <c r="C134" s="630">
        <v>29860636.759999998</v>
      </c>
    </row>
    <row r="135" spans="2:3">
      <c r="B135" s="600" t="s">
        <v>233</v>
      </c>
      <c r="C135" s="630">
        <v>7729988.2000000002</v>
      </c>
    </row>
    <row r="136" spans="2:3">
      <c r="B136" s="600" t="s">
        <v>234</v>
      </c>
      <c r="C136" s="630">
        <v>1480050</v>
      </c>
    </row>
    <row r="137" spans="2:3">
      <c r="B137" s="600" t="s">
        <v>235</v>
      </c>
      <c r="C137" s="630">
        <v>1785051</v>
      </c>
    </row>
    <row r="138" spans="2:3">
      <c r="B138" s="600" t="s">
        <v>236</v>
      </c>
      <c r="C138" s="630">
        <v>4948713</v>
      </c>
    </row>
    <row r="139" spans="2:3">
      <c r="B139" s="600" t="s">
        <v>237</v>
      </c>
      <c r="C139" s="630">
        <v>134120</v>
      </c>
    </row>
    <row r="140" spans="2:3">
      <c r="B140" s="600" t="s">
        <v>238</v>
      </c>
      <c r="C140" s="630">
        <v>5176113.5199999996</v>
      </c>
    </row>
    <row r="141" spans="2:3">
      <c r="B141" s="600" t="s">
        <v>239</v>
      </c>
      <c r="C141" s="630">
        <v>0</v>
      </c>
    </row>
    <row r="142" spans="2:3">
      <c r="B142" s="600" t="s">
        <v>240</v>
      </c>
      <c r="C142" s="630">
        <v>0</v>
      </c>
    </row>
    <row r="143" spans="2:3">
      <c r="B143" s="600" t="s">
        <v>241</v>
      </c>
      <c r="C143" s="630">
        <v>257760</v>
      </c>
    </row>
    <row r="144" spans="2:3">
      <c r="B144" s="600" t="s">
        <v>242</v>
      </c>
      <c r="C144" s="630">
        <v>11698756.949999999</v>
      </c>
    </row>
    <row r="145" spans="2:3">
      <c r="B145" s="600" t="s">
        <v>243</v>
      </c>
      <c r="C145" s="630">
        <v>35889023</v>
      </c>
    </row>
    <row r="146" spans="2:3">
      <c r="B146" s="600" t="s">
        <v>244</v>
      </c>
      <c r="C146" s="630">
        <v>100000</v>
      </c>
    </row>
    <row r="147" spans="2:3">
      <c r="B147" s="600" t="s">
        <v>245</v>
      </c>
      <c r="C147" s="630">
        <v>2587600</v>
      </c>
    </row>
    <row r="148" spans="2:3">
      <c r="B148" s="600" t="s">
        <v>246</v>
      </c>
      <c r="C148" s="630">
        <v>29295177.059999999</v>
      </c>
    </row>
    <row r="149" spans="2:3">
      <c r="B149" s="600" t="s">
        <v>247</v>
      </c>
      <c r="C149" s="630">
        <v>4222110</v>
      </c>
    </row>
    <row r="150" spans="2:3">
      <c r="B150" s="600" t="s">
        <v>248</v>
      </c>
      <c r="C150" s="630">
        <v>1000000</v>
      </c>
    </row>
    <row r="151" spans="2:3">
      <c r="B151" s="600" t="s">
        <v>249</v>
      </c>
      <c r="C151" s="630">
        <v>0</v>
      </c>
    </row>
    <row r="152" spans="2:3">
      <c r="B152" s="600" t="s">
        <v>250</v>
      </c>
      <c r="C152" s="630">
        <v>19259533</v>
      </c>
    </row>
    <row r="153" spans="2:3">
      <c r="B153" s="600" t="s">
        <v>251</v>
      </c>
      <c r="C153" s="630">
        <v>768029.3</v>
      </c>
    </row>
    <row r="154" spans="2:3">
      <c r="B154" s="600" t="s">
        <v>252</v>
      </c>
      <c r="C154" s="630">
        <v>5227662</v>
      </c>
    </row>
    <row r="155" spans="2:3">
      <c r="B155" s="600" t="s">
        <v>253</v>
      </c>
      <c r="C155" s="630">
        <v>8356661</v>
      </c>
    </row>
    <row r="156" spans="2:3">
      <c r="B156" s="600" t="s">
        <v>254</v>
      </c>
      <c r="C156" s="630">
        <v>100000</v>
      </c>
    </row>
    <row r="157" spans="2:3">
      <c r="B157" s="600" t="s">
        <v>255</v>
      </c>
      <c r="C157" s="630">
        <v>13611090</v>
      </c>
    </row>
    <row r="158" spans="2:3">
      <c r="B158" s="600" t="s">
        <v>256</v>
      </c>
      <c r="C158" s="630">
        <v>0</v>
      </c>
    </row>
    <row r="159" spans="2:3">
      <c r="B159" s="600" t="s">
        <v>257</v>
      </c>
      <c r="C159" s="630">
        <v>1700000</v>
      </c>
    </row>
    <row r="160" spans="2:3">
      <c r="B160" s="600" t="s">
        <v>258</v>
      </c>
      <c r="C160" s="630">
        <v>42244067</v>
      </c>
    </row>
    <row r="161" spans="2:3">
      <c r="B161" s="600" t="s">
        <v>259</v>
      </c>
      <c r="C161" s="630">
        <v>0</v>
      </c>
    </row>
    <row r="162" spans="2:3">
      <c r="B162" s="600" t="s">
        <v>260</v>
      </c>
      <c r="C162" s="630">
        <v>2800000</v>
      </c>
    </row>
    <row r="163" spans="2:3">
      <c r="B163" s="600" t="s">
        <v>261</v>
      </c>
      <c r="C163" s="630">
        <v>20684614</v>
      </c>
    </row>
    <row r="164" spans="2:3">
      <c r="B164" s="600" t="s">
        <v>262</v>
      </c>
      <c r="C164" s="630">
        <v>0</v>
      </c>
    </row>
    <row r="165" spans="2:3">
      <c r="B165" s="600" t="s">
        <v>151</v>
      </c>
      <c r="C165" s="630">
        <v>50000</v>
      </c>
    </row>
    <row r="166" spans="2:3">
      <c r="B166" s="600" t="s">
        <v>263</v>
      </c>
      <c r="C166" s="630">
        <v>0</v>
      </c>
    </row>
    <row r="167" spans="2:3">
      <c r="B167" s="600" t="s">
        <v>264</v>
      </c>
      <c r="C167" s="630">
        <v>9148361</v>
      </c>
    </row>
    <row r="168" spans="2:3">
      <c r="B168" s="600" t="s">
        <v>265</v>
      </c>
      <c r="C168" s="630">
        <v>3239000</v>
      </c>
    </row>
    <row r="169" spans="2:3">
      <c r="B169" s="600" t="s">
        <v>266</v>
      </c>
      <c r="C169" s="630">
        <v>463595</v>
      </c>
    </row>
    <row r="170" spans="2:3">
      <c r="B170" s="600" t="s">
        <v>267</v>
      </c>
      <c r="C170" s="630">
        <v>58484338</v>
      </c>
    </row>
    <row r="171" spans="2:3">
      <c r="B171" s="600" t="s">
        <v>153</v>
      </c>
      <c r="C171" s="630">
        <v>100000</v>
      </c>
    </row>
    <row r="172" spans="2:3">
      <c r="B172" s="600" t="s">
        <v>268</v>
      </c>
      <c r="C172" s="630">
        <v>0</v>
      </c>
    </row>
    <row r="173" spans="2:3">
      <c r="B173" s="600" t="s">
        <v>269</v>
      </c>
      <c r="C173" s="630">
        <v>6676150</v>
      </c>
    </row>
    <row r="174" spans="2:3">
      <c r="B174" s="600" t="s">
        <v>270</v>
      </c>
      <c r="C174" s="630">
        <v>256170</v>
      </c>
    </row>
    <row r="175" spans="2:3">
      <c r="B175" s="600" t="s">
        <v>271</v>
      </c>
      <c r="C175" s="630">
        <v>3263280.62</v>
      </c>
    </row>
    <row r="176" spans="2:3">
      <c r="B176" s="600" t="s">
        <v>272</v>
      </c>
      <c r="C176" s="630">
        <v>3000000</v>
      </c>
    </row>
    <row r="177" spans="2:3">
      <c r="B177" s="600" t="s">
        <v>273</v>
      </c>
      <c r="C177" s="630">
        <v>10706399</v>
      </c>
    </row>
    <row r="178" spans="2:3">
      <c r="B178" s="600" t="s">
        <v>274</v>
      </c>
      <c r="C178" s="630">
        <v>92106767</v>
      </c>
    </row>
    <row r="179" spans="2:3">
      <c r="B179" s="600" t="s">
        <v>275</v>
      </c>
      <c r="C179" s="630">
        <v>0</v>
      </c>
    </row>
    <row r="180" spans="2:3">
      <c r="B180" s="600" t="s">
        <v>154</v>
      </c>
      <c r="C180" s="630">
        <v>125000</v>
      </c>
    </row>
    <row r="181" spans="2:3">
      <c r="B181" s="600" t="s">
        <v>155</v>
      </c>
      <c r="C181" s="630">
        <v>140000</v>
      </c>
    </row>
    <row r="182" spans="2:3">
      <c r="B182" s="600" t="s">
        <v>276</v>
      </c>
      <c r="C182" s="630">
        <v>429999.54000000004</v>
      </c>
    </row>
    <row r="183" spans="2:3">
      <c r="B183" s="600" t="s">
        <v>277</v>
      </c>
      <c r="C183" s="630">
        <v>52686438</v>
      </c>
    </row>
    <row r="184" spans="2:3">
      <c r="B184" s="600" t="s">
        <v>278</v>
      </c>
      <c r="C184" s="630">
        <v>0</v>
      </c>
    </row>
    <row r="185" spans="2:3">
      <c r="B185" s="600" t="s">
        <v>279</v>
      </c>
      <c r="C185" s="630">
        <v>2831673.5</v>
      </c>
    </row>
    <row r="186" spans="2:3">
      <c r="B186" s="600" t="s">
        <v>280</v>
      </c>
      <c r="C186" s="630">
        <v>5359893.1500000004</v>
      </c>
    </row>
    <row r="187" spans="2:3">
      <c r="B187" s="600" t="s">
        <v>156</v>
      </c>
      <c r="C187" s="630">
        <v>102262.39999999999</v>
      </c>
    </row>
    <row r="188" spans="2:3">
      <c r="B188" s="600" t="s">
        <v>157</v>
      </c>
      <c r="C188" s="630">
        <v>749390</v>
      </c>
    </row>
    <row r="189" spans="2:3">
      <c r="B189" s="600" t="s">
        <v>281</v>
      </c>
      <c r="C189" s="630">
        <v>3155293</v>
      </c>
    </row>
    <row r="190" spans="2:3">
      <c r="B190" s="600" t="s">
        <v>282</v>
      </c>
      <c r="C190" s="630">
        <v>16866281</v>
      </c>
    </row>
    <row r="191" spans="2:3">
      <c r="B191" s="600" t="s">
        <v>283</v>
      </c>
      <c r="C191" s="630">
        <v>2854920</v>
      </c>
    </row>
    <row r="192" spans="2:3">
      <c r="B192" s="600" t="s">
        <v>284</v>
      </c>
      <c r="C192" s="630">
        <v>825050</v>
      </c>
    </row>
    <row r="193" spans="2:3">
      <c r="B193" s="600" t="s">
        <v>285</v>
      </c>
      <c r="C193" s="630">
        <v>12435000.029999999</v>
      </c>
    </row>
    <row r="194" spans="2:3">
      <c r="B194" s="600" t="s">
        <v>286</v>
      </c>
      <c r="C194" s="630">
        <v>0</v>
      </c>
    </row>
    <row r="195" spans="2:3">
      <c r="B195" s="600" t="s">
        <v>287</v>
      </c>
      <c r="C195" s="630">
        <v>0</v>
      </c>
    </row>
    <row r="196" spans="2:3">
      <c r="B196" s="600" t="s">
        <v>288</v>
      </c>
      <c r="C196" s="630">
        <v>917132.00000000012</v>
      </c>
    </row>
    <row r="197" spans="2:3">
      <c r="B197" s="600" t="s">
        <v>289</v>
      </c>
      <c r="C197" s="630">
        <v>5096181</v>
      </c>
    </row>
    <row r="198" spans="2:3">
      <c r="B198" s="600" t="s">
        <v>290</v>
      </c>
      <c r="C198" s="630">
        <v>44516966</v>
      </c>
    </row>
    <row r="199" spans="2:3">
      <c r="B199" s="600" t="s">
        <v>291</v>
      </c>
      <c r="C199" s="630">
        <v>0</v>
      </c>
    </row>
    <row r="200" spans="2:3">
      <c r="B200" s="600" t="s">
        <v>292</v>
      </c>
      <c r="C200" s="630">
        <v>3148752.6799999997</v>
      </c>
    </row>
    <row r="201" spans="2:3">
      <c r="B201" s="600" t="s">
        <v>293</v>
      </c>
      <c r="C201" s="630">
        <v>1635000</v>
      </c>
    </row>
    <row r="202" spans="2:3">
      <c r="B202" s="600" t="s">
        <v>294</v>
      </c>
      <c r="C202" s="630">
        <v>600000</v>
      </c>
    </row>
    <row r="203" spans="2:3">
      <c r="B203" s="600" t="s">
        <v>295</v>
      </c>
      <c r="C203" s="630">
        <v>14347348</v>
      </c>
    </row>
    <row r="204" spans="2:3">
      <c r="B204" s="600" t="s">
        <v>296</v>
      </c>
      <c r="C204" s="630">
        <v>20318345.16</v>
      </c>
    </row>
    <row r="205" spans="2:3">
      <c r="B205" s="600" t="s">
        <v>297</v>
      </c>
      <c r="C205" s="630">
        <v>14517447</v>
      </c>
    </row>
    <row r="206" spans="2:3">
      <c r="B206" s="600" t="s">
        <v>298</v>
      </c>
      <c r="C206" s="630">
        <v>1078659</v>
      </c>
    </row>
    <row r="207" spans="2:3">
      <c r="B207" s="600" t="s">
        <v>299</v>
      </c>
      <c r="C207" s="630">
        <v>1660979672.3092308</v>
      </c>
    </row>
  </sheetData>
  <mergeCells count="37">
    <mergeCell ref="B13:G15"/>
    <mergeCell ref="M13:S15"/>
    <mergeCell ref="Y13:AB14"/>
    <mergeCell ref="G2:Z2"/>
    <mergeCell ref="F4:AA4"/>
    <mergeCell ref="C7:E7"/>
    <mergeCell ref="I7:M7"/>
    <mergeCell ref="R7:T7"/>
    <mergeCell ref="Y7:AA7"/>
    <mergeCell ref="C8:E9"/>
    <mergeCell ref="J8:L9"/>
    <mergeCell ref="R8:T9"/>
    <mergeCell ref="Y8:AA9"/>
    <mergeCell ref="G10:T10"/>
    <mergeCell ref="X16:Y16"/>
    <mergeCell ref="Z16:AA16"/>
    <mergeCell ref="X17:Y17"/>
    <mergeCell ref="Z17:AA17"/>
    <mergeCell ref="X18:Y18"/>
    <mergeCell ref="Z18:AA18"/>
    <mergeCell ref="X19:Y19"/>
    <mergeCell ref="Z19:AA19"/>
    <mergeCell ref="X20:Y20"/>
    <mergeCell ref="Z20:AA20"/>
    <mergeCell ref="X21:Y21"/>
    <mergeCell ref="Z21:AA21"/>
    <mergeCell ref="X22:Y22"/>
    <mergeCell ref="Z22:AA22"/>
    <mergeCell ref="X23:Y23"/>
    <mergeCell ref="Z23:AA23"/>
    <mergeCell ref="B26:G26"/>
    <mergeCell ref="M26:S26"/>
    <mergeCell ref="D31:H32"/>
    <mergeCell ref="Q31:V32"/>
    <mergeCell ref="AB31:AC32"/>
    <mergeCell ref="V36:W36"/>
    <mergeCell ref="I38:K38"/>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tabColor theme="4"/>
  </sheetPr>
  <dimension ref="A1:V132"/>
  <sheetViews>
    <sheetView zoomScaleNormal="100" workbookViewId="0">
      <selection activeCell="R82" sqref="R82"/>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095" t="s">
        <v>300</v>
      </c>
      <c r="D2" s="1096"/>
      <c r="E2" s="1096"/>
      <c r="F2" s="1096"/>
      <c r="G2" s="1096"/>
      <c r="H2" s="1096"/>
      <c r="I2" s="1096"/>
      <c r="J2" s="1096"/>
      <c r="K2" s="1096"/>
      <c r="L2" s="1096"/>
      <c r="M2" s="1096"/>
      <c r="N2" s="1097"/>
      <c r="O2" s="1"/>
      <c r="P2" s="1"/>
      <c r="Q2" s="1"/>
      <c r="R2" s="1"/>
      <c r="S2" s="1"/>
      <c r="T2" s="1"/>
      <c r="U2" s="1"/>
    </row>
    <row r="3" spans="1:21" ht="51" customHeight="1" thickBot="1">
      <c r="A3" s="1"/>
      <c r="B3" s="1"/>
      <c r="C3" s="1098"/>
      <c r="D3" s="1099"/>
      <c r="E3" s="1099"/>
      <c r="F3" s="1099"/>
      <c r="G3" s="1099"/>
      <c r="H3" s="1099"/>
      <c r="I3" s="1099"/>
      <c r="J3" s="1099"/>
      <c r="K3" s="1099"/>
      <c r="L3" s="1099"/>
      <c r="M3" s="1099"/>
      <c r="N3" s="1100"/>
      <c r="O3" s="1"/>
      <c r="P3" s="1"/>
      <c r="Q3" s="1"/>
      <c r="R3" s="1"/>
      <c r="S3" s="1"/>
      <c r="T3" s="1"/>
      <c r="U3" s="1"/>
    </row>
    <row r="4" spans="1:21" s="1" customFormat="1" ht="10.5" customHeight="1" thickBot="1">
      <c r="C4" s="945"/>
      <c r="D4" s="945"/>
      <c r="E4" s="945"/>
      <c r="F4" s="945"/>
      <c r="G4" s="945"/>
      <c r="H4" s="945"/>
      <c r="I4" s="945"/>
      <c r="J4" s="945"/>
      <c r="K4" s="945"/>
      <c r="L4" s="945"/>
      <c r="M4" s="945"/>
      <c r="N4" s="945"/>
    </row>
    <row r="5" spans="1:21" ht="39.75" customHeight="1" thickBot="1">
      <c r="A5" s="1"/>
      <c r="B5" s="1"/>
      <c r="C5" s="1044" t="s">
        <v>301</v>
      </c>
      <c r="D5" s="1045"/>
      <c r="E5" s="1045"/>
      <c r="F5" s="1045"/>
      <c r="G5" s="1045"/>
      <c r="H5" s="1045"/>
      <c r="I5" s="1045"/>
      <c r="J5" s="1045"/>
      <c r="K5" s="1045"/>
      <c r="L5" s="1045"/>
      <c r="M5" s="1045"/>
      <c r="N5" s="1046"/>
      <c r="O5" s="1"/>
      <c r="P5" s="1"/>
      <c r="Q5" s="1"/>
      <c r="R5" s="1"/>
      <c r="S5" s="1"/>
      <c r="T5" s="1"/>
      <c r="U5" s="1"/>
    </row>
    <row r="6" spans="1:21" ht="9" customHeight="1" thickBot="1">
      <c r="A6" s="1"/>
      <c r="B6" s="1"/>
      <c r="C6" s="888"/>
      <c r="D6" s="888"/>
      <c r="E6" s="888"/>
      <c r="F6" s="888"/>
      <c r="G6" s="888"/>
      <c r="H6" s="888"/>
      <c r="I6" s="888"/>
      <c r="J6" s="888"/>
      <c r="K6" s="888"/>
      <c r="L6" s="888"/>
      <c r="M6" s="888"/>
      <c r="N6" s="888"/>
      <c r="O6" s="1"/>
      <c r="P6" s="1"/>
      <c r="Q6" s="1"/>
      <c r="R6" s="1"/>
      <c r="S6" s="1"/>
      <c r="T6" s="1"/>
      <c r="U6" s="1"/>
    </row>
    <row r="7" spans="1:21" s="628" customFormat="1" ht="33" customHeight="1">
      <c r="A7" s="479"/>
      <c r="B7" s="479"/>
      <c r="C7" s="1073" t="s">
        <v>302</v>
      </c>
      <c r="D7" s="1074"/>
      <c r="E7" s="1074"/>
      <c r="F7" s="1075"/>
      <c r="G7" s="1073" t="s">
        <v>303</v>
      </c>
      <c r="H7" s="1074"/>
      <c r="I7" s="1074"/>
      <c r="J7" s="1075"/>
      <c r="K7" s="1073" t="s">
        <v>304</v>
      </c>
      <c r="L7" s="1074"/>
      <c r="M7" s="1074"/>
      <c r="N7" s="1075"/>
      <c r="O7" s="479"/>
      <c r="P7" s="479"/>
      <c r="Q7" s="479"/>
      <c r="R7" s="479"/>
      <c r="S7" s="479"/>
      <c r="T7" s="479"/>
      <c r="U7" s="479"/>
    </row>
    <row r="8" spans="1:21" ht="21.5" thickBot="1">
      <c r="A8" s="1"/>
      <c r="B8" s="1"/>
      <c r="C8" s="1076">
        <f>GETPIVOTDATA("Funding Amount",'DB(1) Pivots'!$A$8)</f>
        <v>3237668342.9152331</v>
      </c>
      <c r="D8" s="1077"/>
      <c r="E8" s="1077"/>
      <c r="F8" s="1078"/>
      <c r="G8" s="1079">
        <f>'DB(1) Pivots'!A12</f>
        <v>131</v>
      </c>
      <c r="H8" s="1080"/>
      <c r="I8" s="1080"/>
      <c r="J8" s="1081"/>
      <c r="K8" s="1079">
        <f>'DB(1) Pivots'!A182</f>
        <v>27</v>
      </c>
      <c r="L8" s="1080"/>
      <c r="M8" s="1080"/>
      <c r="N8" s="1081"/>
      <c r="O8" s="1"/>
      <c r="P8" s="1"/>
      <c r="Q8" s="1"/>
      <c r="R8" s="1"/>
      <c r="S8" s="1"/>
      <c r="T8" s="1"/>
      <c r="U8" s="1"/>
    </row>
    <row r="9" spans="1:21" ht="6" customHeight="1" thickBot="1">
      <c r="A9" s="1"/>
      <c r="B9" s="1"/>
      <c r="C9" s="1146"/>
      <c r="D9" s="1146"/>
      <c r="E9" s="1146"/>
      <c r="F9" s="1146"/>
      <c r="G9" s="1146"/>
      <c r="H9" s="1146"/>
      <c r="I9" s="1146"/>
      <c r="J9" s="1146"/>
      <c r="K9" s="1146"/>
      <c r="L9" s="1146"/>
      <c r="M9" s="1146"/>
      <c r="N9" s="1146"/>
      <c r="O9" s="1"/>
      <c r="P9" s="1"/>
      <c r="Q9" s="1"/>
      <c r="R9" s="1"/>
      <c r="S9" s="1"/>
      <c r="T9" s="1"/>
      <c r="U9" s="1"/>
    </row>
    <row r="10" spans="1:21" ht="16" thickBot="1">
      <c r="A10" s="1"/>
      <c r="B10" s="1"/>
      <c r="C10" s="1064" t="s">
        <v>305</v>
      </c>
      <c r="D10" s="1065"/>
      <c r="E10" s="1065"/>
      <c r="F10" s="1065"/>
      <c r="G10" s="1065"/>
      <c r="H10" s="1065"/>
      <c r="I10" s="1065"/>
      <c r="J10" s="1065"/>
      <c r="K10" s="1065"/>
      <c r="L10" s="1065"/>
      <c r="M10" s="1065"/>
      <c r="N10" s="1066"/>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101" t="s">
        <v>306</v>
      </c>
      <c r="D19" s="1102"/>
      <c r="E19" s="1102"/>
      <c r="F19" s="1102"/>
      <c r="G19" s="1102"/>
      <c r="H19" s="1102"/>
      <c r="I19" s="1102"/>
      <c r="J19" s="1102"/>
      <c r="K19" s="1102"/>
      <c r="L19" s="1102"/>
      <c r="M19" s="1102"/>
      <c r="N19" s="1103"/>
      <c r="O19" s="1"/>
      <c r="P19" s="1"/>
      <c r="Q19" s="1"/>
      <c r="R19" s="1"/>
      <c r="S19" s="1"/>
      <c r="T19" s="1"/>
      <c r="U19" s="1"/>
    </row>
    <row r="20" spans="1:21">
      <c r="A20" s="1"/>
      <c r="B20" s="1"/>
      <c r="C20" s="1138" t="s">
        <v>307</v>
      </c>
      <c r="D20" s="1110"/>
      <c r="E20" s="1110" t="s">
        <v>308</v>
      </c>
      <c r="F20" s="1110"/>
      <c r="G20" s="1110" t="s">
        <v>309</v>
      </c>
      <c r="H20" s="1110"/>
      <c r="I20" s="1110" t="s">
        <v>310</v>
      </c>
      <c r="J20" s="1110"/>
      <c r="K20" s="1110" t="s">
        <v>311</v>
      </c>
      <c r="L20" s="1110"/>
      <c r="M20" s="1110" t="s">
        <v>312</v>
      </c>
      <c r="N20" s="1111"/>
      <c r="O20" s="1"/>
      <c r="P20" s="1"/>
      <c r="Q20" s="1"/>
      <c r="R20" s="1"/>
      <c r="S20" s="1"/>
      <c r="T20" s="1"/>
      <c r="U20" s="1"/>
    </row>
    <row r="21" spans="1:21" ht="16" thickBot="1">
      <c r="A21" s="1"/>
      <c r="B21" s="1"/>
      <c r="C21" s="1139" t="s">
        <v>313</v>
      </c>
      <c r="D21" s="1140"/>
      <c r="E21" s="1104">
        <f>INDEX('DB(1) Pivots'!$B$240:$B$244,MATCH('Global DB'!E20,'DB(1) Pivots'!$A$240:$A$244,0))</f>
        <v>2170298890.7692308</v>
      </c>
      <c r="F21" s="1104"/>
      <c r="G21" s="1104">
        <f>INDEX('DB(1) Pivots'!$B$240:$B$244,MATCH('Global DB'!G20,'DB(1) Pivots'!$A$240:$A$244,0))</f>
        <v>461036131.36000001</v>
      </c>
      <c r="H21" s="1104"/>
      <c r="I21" s="1104">
        <f>INDEX('DB(1) Pivots'!$B$240:$B$244,MATCH('Global DB'!I20,'DB(1) Pivots'!$A$240:$A$244,0))</f>
        <v>392782468.03600311</v>
      </c>
      <c r="J21" s="1104"/>
      <c r="K21" s="1104">
        <f>INDEX('DB(1) Pivots'!$B$240:$B$244,MATCH('Global DB'!K20,'DB(1) Pivots'!$A$240:$A$244,0))</f>
        <v>140938105</v>
      </c>
      <c r="L21" s="1104"/>
      <c r="M21" s="1104">
        <f>INDEX('DB(1) Pivots'!$B$240:$B$244,MATCH('Global DB'!M20,'DB(1) Pivots'!$A$240:$A$244,0))</f>
        <v>72612747.75</v>
      </c>
      <c r="N21" s="1105"/>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064" t="s">
        <v>314</v>
      </c>
      <c r="D23" s="1065"/>
      <c r="E23" s="1065"/>
      <c r="F23" s="1065"/>
      <c r="G23" s="1065"/>
      <c r="H23" s="1066"/>
      <c r="I23" s="1101" t="s">
        <v>315</v>
      </c>
      <c r="J23" s="1102"/>
      <c r="K23" s="1102"/>
      <c r="L23" s="1102"/>
      <c r="M23" s="1102"/>
      <c r="N23" s="1103"/>
      <c r="O23" s="1"/>
      <c r="P23" s="1"/>
      <c r="Q23" s="1"/>
      <c r="R23" s="1"/>
      <c r="S23" s="1"/>
      <c r="T23" s="1"/>
      <c r="U23" s="1"/>
    </row>
    <row r="24" spans="1:21">
      <c r="A24" s="1"/>
      <c r="B24" s="1"/>
      <c r="C24" s="1"/>
      <c r="D24" s="1"/>
      <c r="E24" s="1"/>
      <c r="F24" s="1"/>
      <c r="G24" s="1"/>
      <c r="H24" s="1"/>
      <c r="I24" s="1082" t="s">
        <v>122</v>
      </c>
      <c r="J24" s="1106" t="s">
        <v>316</v>
      </c>
      <c r="K24" s="1106" t="s">
        <v>317</v>
      </c>
      <c r="L24" s="1106"/>
      <c r="M24" s="1090" t="s">
        <v>318</v>
      </c>
      <c r="N24" s="1091"/>
      <c r="O24" s="1"/>
      <c r="P24" s="1"/>
      <c r="Q24" s="1"/>
      <c r="R24" s="1"/>
      <c r="S24" s="1"/>
      <c r="T24" s="1"/>
      <c r="U24" s="1"/>
    </row>
    <row r="25" spans="1:21">
      <c r="A25" s="1"/>
      <c r="B25" s="1"/>
      <c r="C25" s="1"/>
      <c r="D25" s="1"/>
      <c r="E25" s="1"/>
      <c r="F25" s="1"/>
      <c r="G25" s="1"/>
      <c r="H25" s="1"/>
      <c r="I25" s="1083"/>
      <c r="J25" s="1107"/>
      <c r="K25" s="1107"/>
      <c r="L25" s="1107"/>
      <c r="M25" s="1108"/>
      <c r="N25" s="1109"/>
      <c r="O25" s="1"/>
      <c r="P25" s="1"/>
      <c r="Q25" s="1"/>
      <c r="R25" s="1"/>
      <c r="S25" s="1"/>
      <c r="T25" s="1"/>
      <c r="U25" s="1"/>
    </row>
    <row r="26" spans="1:21" ht="6" customHeight="1">
      <c r="A26" s="1"/>
      <c r="B26" s="1"/>
      <c r="C26" s="1"/>
      <c r="D26" s="1"/>
      <c r="E26" s="1"/>
      <c r="F26" s="1"/>
      <c r="G26" s="1"/>
      <c r="H26" s="1"/>
      <c r="I26" s="1141"/>
      <c r="J26" s="1142"/>
      <c r="K26" s="1142"/>
      <c r="L26" s="1142"/>
      <c r="M26" s="1142"/>
      <c r="N26" s="1143"/>
      <c r="O26" s="1"/>
      <c r="P26" s="1"/>
      <c r="Q26" s="1"/>
      <c r="R26" s="1"/>
      <c r="S26" s="1"/>
      <c r="T26" s="1"/>
      <c r="U26" s="1"/>
    </row>
    <row r="27" spans="1:21" ht="21.75" customHeight="1">
      <c r="A27" s="1"/>
      <c r="B27" s="1"/>
      <c r="C27" s="1"/>
      <c r="D27" s="1"/>
      <c r="E27" s="1"/>
      <c r="F27" s="1"/>
      <c r="G27" s="1"/>
      <c r="H27" s="1"/>
      <c r="I27" s="893" t="s">
        <v>126</v>
      </c>
      <c r="J27" s="890">
        <f>INDEX('DB(1) Pivots'!$D$255:$D$261,MATCH('Global DB'!$I27,'DB(1) Pivots'!$A$255:$A$261,0))</f>
        <v>22</v>
      </c>
      <c r="K27" s="1084">
        <f>INDEX('DB(1) Pivots'!$B$255:$B$261,MATCH('Global DB'!$I27,'DB(1) Pivots'!$A$255:$A$261,0))</f>
        <v>504042530.00397408</v>
      </c>
      <c r="L27" s="1084"/>
      <c r="M27" s="1088">
        <f>INDEX('DB(1) Pivots'!$C$255:$C$261,MATCH('Global DB'!I27,'DB(1) Pivots'!$A$255:$A$261,0))</f>
        <v>201.59077615933737</v>
      </c>
      <c r="N27" s="1089"/>
      <c r="O27" s="1"/>
      <c r="P27" s="1"/>
      <c r="Q27" s="1"/>
      <c r="R27" s="1"/>
      <c r="S27" s="1"/>
      <c r="T27" s="1"/>
      <c r="U27" s="1"/>
    </row>
    <row r="28" spans="1:21" ht="21.75" customHeight="1">
      <c r="A28" s="1"/>
      <c r="B28" s="1"/>
      <c r="C28" s="1"/>
      <c r="D28" s="1"/>
      <c r="E28" s="1"/>
      <c r="F28" s="1"/>
      <c r="G28" s="1"/>
      <c r="H28" s="1"/>
      <c r="I28" s="893" t="s">
        <v>127</v>
      </c>
      <c r="J28" s="890">
        <f>INDEX('DB(1) Pivots'!$D$255:$D$261,MATCH('Global DB'!$I28,'DB(1) Pivots'!$A$255:$A$261,0))</f>
        <v>18</v>
      </c>
      <c r="K28" s="1084">
        <f>INDEX('DB(1) Pivots'!$B$255:$B$261,MATCH('Global DB'!$I28,'DB(1) Pivots'!$A$255:$A$261,0))</f>
        <v>149093147.11832529</v>
      </c>
      <c r="L28" s="1084"/>
      <c r="M28" s="1088">
        <f>INDEX('DB(1) Pivots'!$C$255:$C$261,MATCH('Global DB'!I28,'DB(1) Pivots'!$A$255:$A$261,0))</f>
        <v>17.128072525147303</v>
      </c>
      <c r="N28" s="1089"/>
      <c r="O28" s="1"/>
      <c r="P28" s="1"/>
      <c r="Q28" s="1"/>
      <c r="R28" s="1"/>
      <c r="S28" s="1"/>
      <c r="T28" s="1"/>
      <c r="U28" s="1"/>
    </row>
    <row r="29" spans="1:21" ht="21.75" customHeight="1">
      <c r="A29" s="1"/>
      <c r="B29" s="1"/>
      <c r="C29" s="1"/>
      <c r="D29" s="1"/>
      <c r="E29" s="1"/>
      <c r="F29" s="1"/>
      <c r="G29" s="1"/>
      <c r="H29" s="1"/>
      <c r="I29" s="893" t="s">
        <v>128</v>
      </c>
      <c r="J29" s="890">
        <f>INDEX('DB(1) Pivots'!$D$255:$D$261,MATCH('Global DB'!$I29,'DB(1) Pivots'!$A$255:$A$261,0))</f>
        <v>22</v>
      </c>
      <c r="K29" s="1084">
        <f>INDEX('DB(1) Pivots'!$B$255:$B$261,MATCH('Global DB'!$I29,'DB(1) Pivots'!$A$255:$A$261,0))</f>
        <v>627181600.69962966</v>
      </c>
      <c r="L29" s="1084"/>
      <c r="M29" s="1088">
        <f>INDEX('DB(1) Pivots'!$C$255:$C$261,MATCH('Global DB'!I29,'DB(1) Pivots'!$A$255:$A$261,0))</f>
        <v>48.595257250978669</v>
      </c>
      <c r="N29" s="1089"/>
      <c r="O29" s="1"/>
      <c r="P29" s="1"/>
      <c r="Q29" s="1"/>
      <c r="R29" s="1"/>
      <c r="S29" s="1"/>
      <c r="T29" s="1"/>
      <c r="U29" s="1"/>
    </row>
    <row r="30" spans="1:21" ht="21.75" customHeight="1">
      <c r="A30" s="1"/>
      <c r="B30" s="1"/>
      <c r="C30" s="1"/>
      <c r="D30" s="1"/>
      <c r="E30" s="1"/>
      <c r="F30" s="1"/>
      <c r="G30" s="1"/>
      <c r="H30" s="1"/>
      <c r="I30" s="893" t="s">
        <v>130</v>
      </c>
      <c r="J30" s="890">
        <f>INDEX('DB(1) Pivots'!$D$255:$D$261,MATCH('Global DB'!$I30,'DB(1) Pivots'!$A$255:$A$261,0))</f>
        <v>24</v>
      </c>
      <c r="K30" s="1084">
        <f>INDEX('DB(1) Pivots'!$B$255:$B$261,MATCH('Global DB'!$I30,'DB(1) Pivots'!$A$255:$A$261,0))</f>
        <v>734748750.18481481</v>
      </c>
      <c r="L30" s="1084"/>
      <c r="M30" s="1088">
        <f>INDEX('DB(1) Pivots'!$C$255:$C$261,MATCH('Global DB'!I30,'DB(1) Pivots'!$A$255:$A$261,0))</f>
        <v>67.571936887990233</v>
      </c>
      <c r="N30" s="1089"/>
      <c r="O30" s="1"/>
      <c r="P30" s="1"/>
      <c r="Q30" s="1"/>
      <c r="R30" s="1"/>
      <c r="S30" s="1"/>
      <c r="T30" s="1"/>
      <c r="U30" s="1"/>
    </row>
    <row r="31" spans="1:21" ht="21.75" customHeight="1">
      <c r="A31" s="1"/>
      <c r="B31" s="1"/>
      <c r="C31" s="1"/>
      <c r="D31" s="1"/>
      <c r="E31" s="1"/>
      <c r="F31" s="1"/>
      <c r="G31" s="1"/>
      <c r="H31" s="1"/>
      <c r="I31" s="893" t="s">
        <v>131</v>
      </c>
      <c r="J31" s="890">
        <f>INDEX('DB(1) Pivots'!$D$255:$D$261,MATCH('Global DB'!$I31,'DB(1) Pivots'!$A$255:$A$261,0))</f>
        <v>14</v>
      </c>
      <c r="K31" s="1084">
        <f>INDEX('DB(1) Pivots'!$B$255:$B$261,MATCH('Global DB'!$I31,'DB(1) Pivots'!$A$255:$A$261,0))</f>
        <v>225424925.18370369</v>
      </c>
      <c r="L31" s="1084"/>
      <c r="M31" s="1088">
        <f>INDEX('DB(1) Pivots'!$C$255:$C$261,MATCH('Global DB'!I31,'DB(1) Pivots'!$A$255:$A$261,0))</f>
        <v>13.368961345317938</v>
      </c>
      <c r="N31" s="1089"/>
      <c r="O31" s="1"/>
      <c r="P31" s="1"/>
      <c r="Q31" s="1"/>
      <c r="R31" s="1"/>
      <c r="S31" s="1"/>
      <c r="T31" s="1"/>
      <c r="U31" s="1"/>
    </row>
    <row r="32" spans="1:21" ht="21.75" customHeight="1">
      <c r="A32" s="1"/>
      <c r="B32" s="1"/>
      <c r="C32" s="1"/>
      <c r="D32" s="1"/>
      <c r="E32" s="1"/>
      <c r="F32" s="1"/>
      <c r="G32" s="1"/>
      <c r="H32" s="1"/>
      <c r="I32" s="893" t="s">
        <v>132</v>
      </c>
      <c r="J32" s="890">
        <f>INDEX('DB(1) Pivots'!$D$255:$D$261,MATCH('Global DB'!$I32,'DB(1) Pivots'!$A$255:$A$261,0))</f>
        <v>8</v>
      </c>
      <c r="K32" s="1084">
        <f>INDEX('DB(1) Pivots'!$B$255:$B$261,MATCH('Global DB'!$I32,'DB(1) Pivots'!$A$255:$A$261,0))</f>
        <v>443881841.29515672</v>
      </c>
      <c r="L32" s="1084"/>
      <c r="M32" s="1088">
        <f>INDEX('DB(1) Pivots'!$C$255:$C$261,MATCH('Global DB'!I32,'DB(1) Pivots'!$A$255:$A$261,0))</f>
        <v>15.313525083198581</v>
      </c>
      <c r="N32" s="1089"/>
      <c r="O32" s="1"/>
      <c r="P32" s="1"/>
      <c r="Q32" s="1"/>
      <c r="R32" s="1"/>
      <c r="S32" s="1"/>
      <c r="T32" s="1"/>
      <c r="U32" s="1"/>
    </row>
    <row r="33" spans="1:21" ht="21.75" customHeight="1" thickBot="1">
      <c r="A33" s="1"/>
      <c r="B33" s="1"/>
      <c r="C33" s="1"/>
      <c r="D33" s="1"/>
      <c r="E33" s="1"/>
      <c r="F33" s="1"/>
      <c r="G33" s="1"/>
      <c r="H33" s="1"/>
      <c r="I33" s="894" t="s">
        <v>129</v>
      </c>
      <c r="J33" s="891">
        <f>INDEX('DB(1) Pivots'!$D$255:$D$261,MATCH('Global DB'!$I33,'DB(1) Pivots'!$A$255:$A$261,0))</f>
        <v>23</v>
      </c>
      <c r="K33" s="1124">
        <f>INDEX('DB(1) Pivots'!$B$255:$B$261,MATCH('Global DB'!$I33,'DB(1) Pivots'!$A$255:$A$261,0))</f>
        <v>553295548.42962968</v>
      </c>
      <c r="L33" s="1124"/>
      <c r="M33" s="1125">
        <f>INDEX('DB(1) Pivots'!$C$255:$C$261,MATCH('Global DB'!I33,'DB(1) Pivots'!$A$255:$A$261,0))</f>
        <v>58.010926065692743</v>
      </c>
      <c r="N33" s="1126"/>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064" t="s">
        <v>319</v>
      </c>
      <c r="D35" s="1065"/>
      <c r="E35" s="1065"/>
      <c r="F35" s="1065"/>
      <c r="G35" s="1065"/>
      <c r="H35" s="1066"/>
      <c r="I35" s="1064" t="s">
        <v>320</v>
      </c>
      <c r="J35" s="1065"/>
      <c r="K35" s="1065"/>
      <c r="L35" s="1065"/>
      <c r="M35" s="1065"/>
      <c r="N35" s="1066"/>
      <c r="O35" s="1"/>
      <c r="P35" s="1"/>
      <c r="Q35" s="1"/>
      <c r="R35" s="1"/>
      <c r="S35" s="1"/>
      <c r="T35" s="1"/>
      <c r="U35" s="1"/>
    </row>
    <row r="36" spans="1:21" ht="31.5" customHeight="1">
      <c r="A36" s="1"/>
      <c r="B36" s="1"/>
      <c r="C36" s="883" t="s">
        <v>321</v>
      </c>
      <c r="D36" s="884" t="s">
        <v>316</v>
      </c>
      <c r="E36" s="1090" t="s">
        <v>317</v>
      </c>
      <c r="F36" s="1090"/>
      <c r="G36" s="1090" t="s">
        <v>318</v>
      </c>
      <c r="H36" s="1091"/>
      <c r="O36" s="1"/>
      <c r="P36" s="1"/>
      <c r="Q36" s="1"/>
      <c r="R36" s="1"/>
      <c r="S36" s="1"/>
      <c r="T36" s="1"/>
      <c r="U36" s="1"/>
    </row>
    <row r="37" spans="1:21" ht="8.25" customHeight="1">
      <c r="A37" s="1"/>
      <c r="B37" s="1"/>
      <c r="C37" s="1141"/>
      <c r="D37" s="1142"/>
      <c r="E37" s="1142"/>
      <c r="F37" s="1142"/>
      <c r="G37" s="1142"/>
      <c r="H37" s="1143"/>
      <c r="O37" s="1"/>
      <c r="P37" s="1"/>
      <c r="Q37" s="1"/>
      <c r="R37" s="1"/>
      <c r="S37" s="1"/>
      <c r="T37" s="1"/>
      <c r="U37" s="1"/>
    </row>
    <row r="38" spans="1:21">
      <c r="A38" s="1"/>
      <c r="B38" s="1"/>
      <c r="C38" s="1083" t="s">
        <v>152</v>
      </c>
      <c r="D38" s="1087">
        <f>INDEX('DB(1) Pivots'!$D$437:$D$441,MATCH('Global DB'!C38,'DB(1) Pivots'!$A$437:$A$441,0))</f>
        <v>48</v>
      </c>
      <c r="E38" s="1084">
        <f>INDEX('DB(1) Pivots'!$B$437:$B$441,MATCH('Global DB'!C38,'DB(1) Pivots'!$A$437:$A$441,0))</f>
        <v>768170404.36518526</v>
      </c>
      <c r="F38" s="1084"/>
      <c r="G38" s="1088">
        <f>INDEX('DB(1) Pivots'!$C$437:$C$441,MATCH('Global DB'!C38,'DB(1) Pivots'!$A$437:$A$441,0))</f>
        <v>136.32199581297772</v>
      </c>
      <c r="H38" s="1089"/>
      <c r="O38" s="1"/>
      <c r="P38" s="1"/>
      <c r="Q38" s="1"/>
      <c r="R38" s="1"/>
      <c r="S38" s="1"/>
      <c r="T38" s="1"/>
      <c r="U38" s="1"/>
    </row>
    <row r="39" spans="1:21">
      <c r="A39" s="1"/>
      <c r="B39" s="1"/>
      <c r="C39" s="1083"/>
      <c r="D39" s="1087"/>
      <c r="E39" s="1084"/>
      <c r="F39" s="1084"/>
      <c r="G39" s="1088"/>
      <c r="H39" s="1089"/>
      <c r="O39" s="1"/>
      <c r="P39" s="1"/>
      <c r="Q39" s="1"/>
      <c r="R39" s="1"/>
      <c r="S39" s="1"/>
      <c r="T39" s="1"/>
      <c r="U39" s="1"/>
    </row>
    <row r="40" spans="1:21">
      <c r="A40" s="1"/>
      <c r="B40" s="1"/>
      <c r="C40" s="1083" t="s">
        <v>150</v>
      </c>
      <c r="D40" s="1087">
        <f>INDEX('DB(1) Pivots'!$D$437:$D$441,MATCH('Global DB'!C40,'DB(1) Pivots'!$A$437:$A$441,0))</f>
        <v>55</v>
      </c>
      <c r="E40" s="1084">
        <f>INDEX('DB(1) Pivots'!$B$437:$B$441,MATCH('Global DB'!C40,'DB(1) Pivots'!$A$437:$A$441,0))</f>
        <v>1613247762.2478547</v>
      </c>
      <c r="F40" s="1084"/>
      <c r="G40" s="1088">
        <f>INDEX('DB(1) Pivots'!$C$437:$C$441,MATCH('Global DB'!C40,'DB(1) Pivots'!$A$437:$A$441,0))</f>
        <v>239.05502306492406</v>
      </c>
      <c r="H40" s="1089"/>
      <c r="O40" s="1"/>
      <c r="P40" s="1"/>
      <c r="Q40" s="1"/>
      <c r="R40" s="1"/>
      <c r="S40" s="1"/>
      <c r="T40" s="1"/>
      <c r="U40" s="1"/>
    </row>
    <row r="41" spans="1:21">
      <c r="A41" s="1"/>
      <c r="B41" s="1"/>
      <c r="C41" s="1083"/>
      <c r="D41" s="1087"/>
      <c r="E41" s="1084"/>
      <c r="F41" s="1084"/>
      <c r="G41" s="1088"/>
      <c r="H41" s="1089"/>
      <c r="O41" s="1"/>
      <c r="P41" s="1"/>
      <c r="Q41" s="1"/>
      <c r="R41" s="1"/>
      <c r="S41" s="1"/>
      <c r="T41" s="1"/>
      <c r="U41" s="1"/>
    </row>
    <row r="42" spans="1:21">
      <c r="A42" s="1"/>
      <c r="B42" s="1"/>
      <c r="C42" s="1083" t="s">
        <v>148</v>
      </c>
      <c r="D42" s="1087">
        <f>INDEX('DB(1) Pivots'!$D$437:$D$441,MATCH('Global DB'!C42,'DB(1) Pivots'!$A$437:$A$441,0))</f>
        <v>26</v>
      </c>
      <c r="E42" s="1084">
        <f>INDEX('DB(1) Pivots'!$B$437:$B$441,MATCH('Global DB'!C42,'DB(1) Pivots'!$A$437:$A$441,0))</f>
        <v>845755363.46219349</v>
      </c>
      <c r="F42" s="1084"/>
      <c r="G42" s="1088">
        <f>INDEX('DB(1) Pivots'!$C$437:$C$441,MATCH('Global DB'!C42,'DB(1) Pivots'!$A$437:$A$441,0))</f>
        <v>34.559684113620918</v>
      </c>
      <c r="H42" s="1089"/>
      <c r="O42" s="1"/>
      <c r="P42" s="1"/>
      <c r="Q42" s="1"/>
      <c r="R42" s="1"/>
      <c r="S42" s="1"/>
      <c r="T42" s="1"/>
      <c r="U42" s="1"/>
    </row>
    <row r="43" spans="1:21">
      <c r="A43" s="1"/>
      <c r="B43" s="1"/>
      <c r="C43" s="1083"/>
      <c r="D43" s="1087"/>
      <c r="E43" s="1084"/>
      <c r="F43" s="1084"/>
      <c r="G43" s="1088"/>
      <c r="H43" s="1089"/>
      <c r="O43" s="1"/>
      <c r="P43" s="1"/>
      <c r="Q43" s="1"/>
      <c r="R43" s="1"/>
      <c r="S43" s="1"/>
      <c r="T43" s="1"/>
      <c r="U43" s="1"/>
    </row>
    <row r="44" spans="1:21">
      <c r="A44" s="1"/>
      <c r="B44" s="1"/>
      <c r="C44" s="1121" t="s">
        <v>322</v>
      </c>
      <c r="D44" s="1087">
        <f>INDEX('DB(1) Pivots'!$D$437:$D$441,MATCH('Global DB'!C44,'DB(1) Pivots'!$A$437:$A$441,0))</f>
        <v>2</v>
      </c>
      <c r="E44" s="1084">
        <f>INDEX('DB(1) Pivots'!$B$437:$B$441,MATCH('Global DB'!C44,'DB(1) Pivots'!$A$437:$A$441,0))</f>
        <v>10494812.84</v>
      </c>
      <c r="F44" s="1084"/>
      <c r="G44" s="1088">
        <f>INDEX('DB(1) Pivots'!$C$437:$C$441,MATCH('Global DB'!C44,'DB(1) Pivots'!$A$437:$A$441,0))</f>
        <v>11.642752326140016</v>
      </c>
      <c r="H44" s="1089"/>
      <c r="O44" s="1"/>
      <c r="P44" s="1"/>
      <c r="Q44" s="1"/>
      <c r="R44" s="1"/>
      <c r="S44" s="1"/>
      <c r="T44" s="1"/>
      <c r="U44" s="1"/>
    </row>
    <row r="45" spans="1:21" ht="16" thickBot="1">
      <c r="A45" s="1"/>
      <c r="B45" s="1"/>
      <c r="C45" s="1122"/>
      <c r="D45" s="1123"/>
      <c r="E45" s="1124"/>
      <c r="F45" s="1124"/>
      <c r="G45" s="1125"/>
      <c r="H45" s="1126"/>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092" t="s">
        <v>323</v>
      </c>
      <c r="D47" s="1093"/>
      <c r="E47" s="1094"/>
      <c r="F47" s="1092" t="s">
        <v>324</v>
      </c>
      <c r="G47" s="1093"/>
      <c r="H47" s="1094"/>
      <c r="I47" s="1112" t="s">
        <v>325</v>
      </c>
      <c r="J47" s="1113"/>
      <c r="K47" s="1113"/>
      <c r="L47" s="1113"/>
      <c r="M47" s="1113"/>
      <c r="N47" s="1114"/>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326</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85"/>
      <c r="D56" s="886" t="s">
        <v>145</v>
      </c>
      <c r="E56" s="887" t="s">
        <v>146</v>
      </c>
      <c r="F56" s="1"/>
      <c r="H56" s="1"/>
      <c r="I56" s="1"/>
      <c r="O56" s="1"/>
      <c r="P56" s="1"/>
      <c r="Q56" s="1"/>
      <c r="R56" s="1"/>
      <c r="S56" s="1"/>
      <c r="T56" s="1"/>
      <c r="U56" s="1"/>
    </row>
    <row r="57" spans="1:21">
      <c r="A57" s="1"/>
      <c r="B57" s="1"/>
      <c r="C57" s="1085" t="s">
        <v>316</v>
      </c>
      <c r="D57" s="1087">
        <f>'DB(1) Pivots'!$D$455</f>
        <v>91</v>
      </c>
      <c r="E57" s="1144">
        <f>'DB(1) Pivots'!$D$456</f>
        <v>40</v>
      </c>
      <c r="F57" s="1"/>
      <c r="H57" s="1"/>
      <c r="I57" s="1"/>
      <c r="O57" s="1"/>
      <c r="P57" s="1"/>
      <c r="Q57" s="1"/>
      <c r="R57" s="1"/>
      <c r="S57" s="1"/>
      <c r="T57" s="1"/>
      <c r="U57" s="1"/>
    </row>
    <row r="58" spans="1:21" ht="16" thickBot="1">
      <c r="A58" s="1"/>
      <c r="B58" s="1"/>
      <c r="C58" s="1086"/>
      <c r="D58" s="1123"/>
      <c r="E58" s="1145"/>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064" t="s">
        <v>327</v>
      </c>
      <c r="D60" s="1065"/>
      <c r="E60" s="1065"/>
      <c r="F60" s="1065"/>
      <c r="G60" s="1065"/>
      <c r="H60" s="1065"/>
      <c r="I60" s="1065"/>
      <c r="J60" s="1065"/>
      <c r="K60" s="1065"/>
      <c r="L60" s="1065"/>
      <c r="M60" s="1065"/>
      <c r="N60" s="1066"/>
      <c r="O60" s="1"/>
      <c r="P60" s="1"/>
      <c r="Q60" s="1"/>
      <c r="R60" s="1"/>
      <c r="S60" s="1"/>
      <c r="T60" s="1"/>
      <c r="U60" s="1"/>
    </row>
    <row r="61" spans="1:21">
      <c r="A61" s="1"/>
      <c r="B61" s="1"/>
      <c r="C61" s="1115" t="s">
        <v>328</v>
      </c>
      <c r="D61" s="1116"/>
      <c r="E61" s="1116"/>
      <c r="F61" s="1116" t="s">
        <v>329</v>
      </c>
      <c r="G61" s="1116"/>
      <c r="H61" s="1116"/>
      <c r="I61" s="1116" t="s">
        <v>330</v>
      </c>
      <c r="J61" s="1116"/>
      <c r="K61" s="1116"/>
      <c r="L61" s="1116" t="s">
        <v>331</v>
      </c>
      <c r="M61" s="1116"/>
      <c r="N61" s="1119"/>
      <c r="O61" s="1"/>
      <c r="P61" s="1"/>
      <c r="Q61" s="1"/>
      <c r="R61" s="1"/>
      <c r="S61" s="1"/>
      <c r="T61" s="1"/>
      <c r="U61" s="1"/>
    </row>
    <row r="62" spans="1:21">
      <c r="A62" s="1"/>
      <c r="B62" s="1"/>
      <c r="C62" s="1117" t="s">
        <v>308</v>
      </c>
      <c r="D62" s="1118"/>
      <c r="E62" s="1118"/>
      <c r="F62" s="1120">
        <f>SUM(F63:F65)</f>
        <v>2170298890.7692308</v>
      </c>
      <c r="G62" s="1120"/>
      <c r="H62" s="1120"/>
      <c r="I62" s="1120"/>
      <c r="J62" s="1120"/>
      <c r="K62" s="1120"/>
      <c r="L62" s="1120"/>
      <c r="M62" s="1120"/>
      <c r="N62" s="1127"/>
      <c r="O62" s="1"/>
      <c r="P62" s="1"/>
      <c r="Q62" s="1"/>
      <c r="R62" s="1"/>
      <c r="S62" s="1"/>
      <c r="T62" s="1"/>
      <c r="U62" s="1"/>
    </row>
    <row r="63" spans="1:21">
      <c r="A63" s="1"/>
      <c r="B63" s="1"/>
      <c r="C63" s="1130" t="s">
        <v>332</v>
      </c>
      <c r="D63" s="1131"/>
      <c r="E63" s="1131"/>
      <c r="F63" s="1060">
        <f>IFERROR(INDEX('DB(1) Pivots'!$B$491:$B$532,MATCH('Global DB'!$C63,'DB(1) Pivots'!$A$491:$A$532,0)),"")</f>
        <v>2038950000</v>
      </c>
      <c r="G63" s="1060"/>
      <c r="H63" s="1060"/>
      <c r="I63" s="1060" t="str">
        <f>IFERROR(IF(INDEX('DB(1) Pivots'!$C$491:$C$532,MATCH('Global DB'!$C63,'DB(1) Pivots'!$A$491:$A$532,0))=0, "N/A",INDEX('DB(1) Pivots'!$C$491:$C$532,MATCH('Global DB'!$C63,'DB(1) Pivots'!$A$491:$A$532,0))),"N/A")</f>
        <v>N/A</v>
      </c>
      <c r="J63" s="1060"/>
      <c r="K63" s="1060"/>
      <c r="L63" s="1060" t="str">
        <f>IFERROR(INDEX('DB(1) Pivots'!$B$538:$B$567,MATCH('Global DB'!C63,'DB(1) Pivots'!$A$538:$A$567,0)),"N/A")</f>
        <v>N/A</v>
      </c>
      <c r="M63" s="1060"/>
      <c r="N63" s="1061"/>
      <c r="O63" s="1"/>
      <c r="P63" s="1"/>
      <c r="Q63" s="1"/>
      <c r="R63" s="1"/>
      <c r="S63" s="1"/>
      <c r="T63" s="1"/>
      <c r="U63" s="1"/>
    </row>
    <row r="64" spans="1:21">
      <c r="A64" s="1"/>
      <c r="B64" s="1"/>
      <c r="C64" s="1130" t="s">
        <v>333</v>
      </c>
      <c r="D64" s="1131"/>
      <c r="E64" s="1131"/>
      <c r="F64" s="1060">
        <f>IFERROR(INDEX('DB(1) Pivots'!$B$491:$B$532,MATCH('Global DB'!$C64,'DB(1) Pivots'!$A$491:$A$532,0)),"")</f>
        <v>67139230.769230768</v>
      </c>
      <c r="G64" s="1060"/>
      <c r="H64" s="1060"/>
      <c r="I64" s="1060" t="str">
        <f>IFERROR(IF(INDEX('DB(1) Pivots'!$C$491:$C$532,MATCH('Global DB'!$C64,'DB(1) Pivots'!$A$491:$A$532,0))=0, "N/A",INDEX('DB(1) Pivots'!$C$491:$C$532,MATCH('Global DB'!$C64,'DB(1) Pivots'!$A$491:$A$532,0))),"N/A")</f>
        <v>N/A</v>
      </c>
      <c r="J64" s="1060"/>
      <c r="K64" s="1060"/>
      <c r="L64" s="1060" t="str">
        <f>IFERROR(INDEX('DB(1) Pivots'!$B$538:$B$567,MATCH('Global DB'!C64,'DB(1) Pivots'!$A$538:$A$567,0)),"N/A")</f>
        <v>N/A</v>
      </c>
      <c r="M64" s="1060"/>
      <c r="N64" s="1061"/>
      <c r="O64" s="1"/>
      <c r="P64" s="1"/>
      <c r="Q64" s="1"/>
      <c r="R64" s="1"/>
      <c r="S64" s="1"/>
      <c r="T64" s="1"/>
      <c r="U64" s="1"/>
    </row>
    <row r="65" spans="1:21">
      <c r="A65" s="1"/>
      <c r="B65" s="1"/>
      <c r="C65" s="1130" t="s">
        <v>334</v>
      </c>
      <c r="D65" s="1131"/>
      <c r="E65" s="1131"/>
      <c r="F65" s="1060">
        <f>IFERROR(INDEX('DB(1) Pivots'!$B$491:$B$532,MATCH('Global DB'!$C65,'DB(1) Pivots'!$A$491:$A$532,0)),"")</f>
        <v>64209660</v>
      </c>
      <c r="G65" s="1060"/>
      <c r="H65" s="1060"/>
      <c r="I65" s="1060" t="str">
        <f>IFERROR(IF(INDEX('DB(1) Pivots'!$C$491:$C$532,MATCH('Global DB'!$C65,'DB(1) Pivots'!$A$491:$A$532,0))=0, "N/A",INDEX('DB(1) Pivots'!$C$491:$C$532,MATCH('Global DB'!$C65,'DB(1) Pivots'!$A$491:$A$532,0))),"N/A")</f>
        <v>N/A</v>
      </c>
      <c r="J65" s="1060"/>
      <c r="K65" s="1060"/>
      <c r="L65" s="1060" t="str">
        <f>IFERROR(INDEX('DB(1) Pivots'!$B$538:$B$567,MATCH('Global DB'!C65,'DB(1) Pivots'!$A$538:$A$567,0)),"N/A")</f>
        <v>N/A</v>
      </c>
      <c r="M65" s="1060"/>
      <c r="N65" s="1061"/>
      <c r="O65" s="1"/>
      <c r="P65" s="1"/>
      <c r="Q65" s="1"/>
      <c r="R65" s="1"/>
      <c r="S65" s="1"/>
      <c r="T65" s="1"/>
      <c r="U65" s="1"/>
    </row>
    <row r="66" spans="1:21">
      <c r="A66" s="1"/>
      <c r="B66" s="1"/>
      <c r="C66" s="1128" t="s">
        <v>309</v>
      </c>
      <c r="D66" s="1129"/>
      <c r="E66" s="1129"/>
      <c r="F66" s="1132">
        <f>SUM(F67:F77)</f>
        <v>461036131.36000001</v>
      </c>
      <c r="G66" s="1132"/>
      <c r="H66" s="1132"/>
      <c r="I66" s="1132">
        <f>SUM(I67:I77)</f>
        <v>0</v>
      </c>
      <c r="J66" s="1132"/>
      <c r="K66" s="1132"/>
      <c r="L66" s="1132">
        <f>SUM(L67:L77)</f>
        <v>182943282.06</v>
      </c>
      <c r="M66" s="1132"/>
      <c r="N66" s="1136"/>
      <c r="O66" s="1"/>
      <c r="P66" s="1"/>
      <c r="Q66" s="1"/>
      <c r="R66" s="1"/>
      <c r="S66" s="1"/>
      <c r="T66" s="1"/>
      <c r="U66" s="1"/>
    </row>
    <row r="67" spans="1:21">
      <c r="A67" s="1"/>
      <c r="B67" s="1"/>
      <c r="C67" s="1130" t="s">
        <v>335</v>
      </c>
      <c r="D67" s="1131"/>
      <c r="E67" s="1131"/>
      <c r="F67" s="1060">
        <f>IFERROR(INDEX('DB(1) Pivots'!$B$491:$B$532,MATCH('Global DB'!$C67,'DB(1) Pivots'!$A$491:$A$532,0)),"")</f>
        <v>30237373</v>
      </c>
      <c r="G67" s="1060"/>
      <c r="H67" s="1060"/>
      <c r="I67" s="1060" t="str">
        <f>IFERROR(IF(INDEX('DB(1) Pivots'!$C$491:$C$532,MATCH('Global DB'!$C67,'DB(1) Pivots'!$A$491:$A$532,0))=0, "N/A",INDEX('DB(1) Pivots'!$C$491:$C$532,MATCH('Global DB'!$C67,'DB(1) Pivots'!$A$491:$A$532,0))),"N/A")</f>
        <v>N/A</v>
      </c>
      <c r="J67" s="1060"/>
      <c r="K67" s="1060"/>
      <c r="L67" s="1060">
        <f>IFERROR(INDEX('DB(1) Pivots'!$B$538:$B$567,MATCH('Global DB'!C67,'DB(1) Pivots'!$A$538:$A$567,0)),"N/A")</f>
        <v>15276510</v>
      </c>
      <c r="M67" s="1060"/>
      <c r="N67" s="1061"/>
      <c r="O67" s="1"/>
      <c r="P67" s="1"/>
      <c r="Q67" s="1"/>
      <c r="R67" s="1"/>
      <c r="S67" s="1"/>
      <c r="T67" s="1"/>
      <c r="U67" s="1"/>
    </row>
    <row r="68" spans="1:21">
      <c r="A68" s="1"/>
      <c r="B68" s="1"/>
      <c r="C68" s="1130" t="s">
        <v>336</v>
      </c>
      <c r="D68" s="1131"/>
      <c r="E68" s="1131"/>
      <c r="F68" s="1060">
        <f>IFERROR(INDEX('DB(1) Pivots'!$B$491:$B$532,MATCH('Global DB'!$C68,'DB(1) Pivots'!$A$491:$A$532,0)),"")</f>
        <v>3727941</v>
      </c>
      <c r="G68" s="1060"/>
      <c r="H68" s="1060"/>
      <c r="I68" s="1060" t="str">
        <f>IFERROR(IF(INDEX('DB(1) Pivots'!$C$491:$C$532,MATCH('Global DB'!$C68,'DB(1) Pivots'!$A$491:$A$532,0))=0, "N/A",INDEX('DB(1) Pivots'!$C$491:$C$532,MATCH('Global DB'!$C68,'DB(1) Pivots'!$A$491:$A$532,0))),"N/A")</f>
        <v>N/A</v>
      </c>
      <c r="J68" s="1060"/>
      <c r="K68" s="1060"/>
      <c r="L68" s="1060">
        <f>IFERROR(INDEX('DB(1) Pivots'!$B$538:$B$567,MATCH('Global DB'!C68,'DB(1) Pivots'!$A$538:$A$567,0)),"N/A")</f>
        <v>1997233</v>
      </c>
      <c r="M68" s="1060"/>
      <c r="N68" s="1061"/>
      <c r="O68" s="1"/>
      <c r="P68" s="1"/>
      <c r="Q68" s="1"/>
      <c r="R68" s="1"/>
      <c r="S68" s="1"/>
      <c r="T68" s="1"/>
      <c r="U68" s="1"/>
    </row>
    <row r="69" spans="1:21">
      <c r="A69" s="1"/>
      <c r="B69" s="1"/>
      <c r="C69" s="1130" t="s">
        <v>73</v>
      </c>
      <c r="D69" s="1131"/>
      <c r="E69" s="1131"/>
      <c r="F69" s="1060">
        <f>IFERROR(INDEX('DB(1) Pivots'!$B$491:$B$532,MATCH('Global DB'!$C69,'DB(1) Pivots'!$A$491:$A$532,0)),"")</f>
        <v>422218.83999999997</v>
      </c>
      <c r="G69" s="1060"/>
      <c r="H69" s="1060"/>
      <c r="I69" s="1060" t="str">
        <f>IFERROR(IF(INDEX('DB(1) Pivots'!$C$491:$C$532,MATCH('Global DB'!$C69,'DB(1) Pivots'!$A$491:$A$532,0))=0, "N/A",INDEX('DB(1) Pivots'!$C$491:$C$532,MATCH('Global DB'!$C69,'DB(1) Pivots'!$A$491:$A$532,0))),"N/A")</f>
        <v>N/A</v>
      </c>
      <c r="J69" s="1060"/>
      <c r="K69" s="1060"/>
      <c r="L69" s="1060">
        <f>IFERROR(INDEX('DB(1) Pivots'!$B$538:$B$567,MATCH('Global DB'!C69,'DB(1) Pivots'!$A$538:$A$567,0)),"N/A")</f>
        <v>422218.83999999997</v>
      </c>
      <c r="M69" s="1060"/>
      <c r="N69" s="1061"/>
      <c r="O69" s="1"/>
      <c r="P69" s="1"/>
      <c r="Q69" s="1"/>
      <c r="R69" s="1"/>
      <c r="S69" s="1"/>
      <c r="T69" s="1"/>
      <c r="U69" s="1"/>
    </row>
    <row r="70" spans="1:21">
      <c r="A70" s="1"/>
      <c r="B70" s="1"/>
      <c r="C70" s="1047" t="s">
        <v>93</v>
      </c>
      <c r="D70" s="1048"/>
      <c r="E70" s="1049"/>
      <c r="F70" s="1060">
        <f>IFERROR(INDEX('DB(1) Pivots'!$B$491:$B$532,MATCH('Global DB'!$C70,'DB(1) Pivots'!$A$491:$A$532,0)),"")</f>
        <v>506757</v>
      </c>
      <c r="G70" s="1060"/>
      <c r="H70" s="1060"/>
      <c r="I70" s="1060" t="str">
        <f>IFERROR(IF(INDEX('DB(1) Pivots'!$C$491:$C$532,MATCH('Global DB'!$C70,'DB(1) Pivots'!$A$491:$A$532,0))=0, "N/A",INDEX('DB(1) Pivots'!$C$491:$C$532,MATCH('Global DB'!$C70,'DB(1) Pivots'!$A$491:$A$532,0))),"N/A")</f>
        <v>N/A</v>
      </c>
      <c r="J70" s="1060"/>
      <c r="K70" s="1060"/>
      <c r="L70" s="1060">
        <f>IFERROR(INDEX('DB(1) Pivots'!$B$538:$B$567,MATCH('Global DB'!C70,'DB(1) Pivots'!$A$538:$A$567,0)),"N/A")</f>
        <v>506757</v>
      </c>
      <c r="M70" s="1060"/>
      <c r="N70" s="1061"/>
      <c r="O70" s="1"/>
      <c r="P70" s="1"/>
      <c r="Q70" s="1"/>
      <c r="R70" s="1"/>
      <c r="S70" s="1"/>
      <c r="T70" s="1"/>
      <c r="U70" s="1"/>
    </row>
    <row r="71" spans="1:21">
      <c r="A71" s="1"/>
      <c r="B71" s="1"/>
      <c r="C71" s="1130" t="s">
        <v>91</v>
      </c>
      <c r="D71" s="1131"/>
      <c r="E71" s="1131"/>
      <c r="F71" s="1060">
        <f>IFERROR(INDEX('DB(1) Pivots'!$B$491:$B$532,MATCH('Global DB'!$C71,'DB(1) Pivots'!$A$491:$A$532,0)),"")</f>
        <v>20558915.600000001</v>
      </c>
      <c r="G71" s="1060"/>
      <c r="H71" s="1060"/>
      <c r="I71" s="1060" t="str">
        <f>IFERROR(IF(INDEX('DB(1) Pivots'!$C$491:$C$532,MATCH('Global DB'!$C71,'DB(1) Pivots'!$A$491:$A$532,0))=0, "N/A",INDEX('DB(1) Pivots'!$C$491:$C$532,MATCH('Global DB'!$C71,'DB(1) Pivots'!$A$491:$A$532,0))),"N/A")</f>
        <v>N/A</v>
      </c>
      <c r="J71" s="1060"/>
      <c r="K71" s="1060"/>
      <c r="L71" s="1060">
        <f>IFERROR(INDEX('DB(1) Pivots'!$B$538:$B$567,MATCH('Global DB'!C71,'DB(1) Pivots'!$A$538:$A$567,0)),"N/A")</f>
        <v>20558915.600000001</v>
      </c>
      <c r="M71" s="1060"/>
      <c r="N71" s="1061"/>
      <c r="O71" s="1"/>
      <c r="P71" s="1"/>
      <c r="Q71" s="1"/>
      <c r="R71" s="1"/>
      <c r="S71" s="1"/>
      <c r="T71" s="1"/>
      <c r="U71" s="1"/>
    </row>
    <row r="72" spans="1:21">
      <c r="A72" s="1"/>
      <c r="B72" s="1"/>
      <c r="C72" s="1130" t="s">
        <v>337</v>
      </c>
      <c r="D72" s="1131"/>
      <c r="E72" s="1131"/>
      <c r="F72" s="1060">
        <f>IFERROR(INDEX('DB(1) Pivots'!$B$491:$B$532,MATCH('Global DB'!$C72,'DB(1) Pivots'!$A$491:$A$532,0)),"")</f>
        <v>85517864</v>
      </c>
      <c r="G72" s="1060"/>
      <c r="H72" s="1060"/>
      <c r="I72" s="1060" t="str">
        <f>IFERROR(IF(INDEX('DB(1) Pivots'!$C$491:$C$532,MATCH('Global DB'!$C72,'DB(1) Pivots'!$A$491:$A$532,0))=0, "N/A",INDEX('DB(1) Pivots'!$C$491:$C$532,MATCH('Global DB'!$C72,'DB(1) Pivots'!$A$491:$A$532,0))),"N/A")</f>
        <v>N/A</v>
      </c>
      <c r="J72" s="1060"/>
      <c r="K72" s="1060"/>
      <c r="L72" s="1060">
        <f>IFERROR(INDEX('DB(1) Pivots'!$B$538:$B$567,MATCH('Global DB'!C72,'DB(1) Pivots'!$A$538:$A$567,0)),"N/A")</f>
        <v>85517864</v>
      </c>
      <c r="M72" s="1060"/>
      <c r="N72" s="1061"/>
      <c r="O72" s="1"/>
      <c r="P72" s="1"/>
      <c r="Q72" s="1"/>
      <c r="R72" s="1"/>
      <c r="S72" s="1"/>
      <c r="T72" s="1"/>
      <c r="U72" s="1"/>
    </row>
    <row r="73" spans="1:21">
      <c r="A73" s="1"/>
      <c r="B73" s="1"/>
      <c r="C73" s="1130" t="s">
        <v>105</v>
      </c>
      <c r="D73" s="1131"/>
      <c r="E73" s="1131"/>
      <c r="F73" s="1060">
        <f>IFERROR(INDEX('DB(1) Pivots'!$B$491:$B$532,MATCH('Global DB'!$C73,'DB(1) Pivots'!$A$491:$A$532,0)),"")</f>
        <v>1114766</v>
      </c>
      <c r="G73" s="1060"/>
      <c r="H73" s="1060"/>
      <c r="I73" s="1060" t="str">
        <f>IFERROR(IF(INDEX('DB(1) Pivots'!$C$491:$C$532,MATCH('Global DB'!$C73,'DB(1) Pivots'!$A$491:$A$532,0))=0, "N/A",INDEX('DB(1) Pivots'!$C$491:$C$532,MATCH('Global DB'!$C73,'DB(1) Pivots'!$A$491:$A$532,0))),"N/A")</f>
        <v>N/A</v>
      </c>
      <c r="J73" s="1060"/>
      <c r="K73" s="1060"/>
      <c r="L73" s="1060">
        <f>IFERROR(INDEX('DB(1) Pivots'!$B$538:$B$567,MATCH('Global DB'!C73,'DB(1) Pivots'!$A$538:$A$567,0)),"N/A")</f>
        <v>1114766</v>
      </c>
      <c r="M73" s="1060"/>
      <c r="N73" s="1061"/>
      <c r="O73" s="1"/>
      <c r="P73" s="1"/>
      <c r="Q73" s="1"/>
      <c r="R73" s="1"/>
      <c r="S73" s="1"/>
      <c r="T73" s="1"/>
      <c r="U73" s="1"/>
    </row>
    <row r="74" spans="1:21">
      <c r="A74" s="1"/>
      <c r="B74" s="1"/>
      <c r="C74" s="1130" t="s">
        <v>51</v>
      </c>
      <c r="D74" s="1131"/>
      <c r="E74" s="1131"/>
      <c r="F74" s="1060">
        <f>IFERROR(INDEX('DB(1) Pivots'!$B$491:$B$532,MATCH('Global DB'!$C74,'DB(1) Pivots'!$A$491:$A$532,0)),"")</f>
        <v>7277019</v>
      </c>
      <c r="G74" s="1060"/>
      <c r="H74" s="1060"/>
      <c r="I74" s="1060" t="str">
        <f>IFERROR(IF(INDEX('DB(1) Pivots'!$C$491:$C$532,MATCH('Global DB'!$C74,'DB(1) Pivots'!$A$491:$A$532,0))=0, "N/A",INDEX('DB(1) Pivots'!$C$491:$C$532,MATCH('Global DB'!$C74,'DB(1) Pivots'!$A$491:$A$532,0))),"N/A")</f>
        <v>N/A</v>
      </c>
      <c r="J74" s="1060"/>
      <c r="K74" s="1060"/>
      <c r="L74" s="1060">
        <f>IFERROR(INDEX('DB(1) Pivots'!$B$538:$B$567,MATCH('Global DB'!C74,'DB(1) Pivots'!$A$538:$A$567,0)),"N/A")</f>
        <v>7277019</v>
      </c>
      <c r="M74" s="1060"/>
      <c r="N74" s="1061"/>
      <c r="O74" s="1"/>
      <c r="P74" s="1"/>
      <c r="Q74" s="1"/>
      <c r="R74" s="1"/>
      <c r="S74" s="1"/>
      <c r="T74" s="1"/>
      <c r="U74" s="1"/>
    </row>
    <row r="75" spans="1:21">
      <c r="A75" s="1"/>
      <c r="B75" s="1"/>
      <c r="C75" s="1130" t="s">
        <v>72</v>
      </c>
      <c r="D75" s="1131"/>
      <c r="E75" s="1131"/>
      <c r="F75" s="1060">
        <f>IFERROR(INDEX('DB(1) Pivots'!$B$491:$B$532,MATCH('Global DB'!$C75,'DB(1) Pivots'!$A$491:$A$532,0)),"")</f>
        <v>216262</v>
      </c>
      <c r="G75" s="1060"/>
      <c r="H75" s="1060"/>
      <c r="I75" s="1060" t="str">
        <f>IFERROR(IF(INDEX('DB(1) Pivots'!$C$491:$C$532,MATCH('Global DB'!$C75,'DB(1) Pivots'!$A$491:$A$532,0))=0, "N/A",INDEX('DB(1) Pivots'!$C$491:$C$532,MATCH('Global DB'!$C75,'DB(1) Pivots'!$A$491:$A$532,0))),"N/A")</f>
        <v>N/A</v>
      </c>
      <c r="J75" s="1060"/>
      <c r="K75" s="1060"/>
      <c r="L75" s="1060">
        <f>IFERROR(INDEX('DB(1) Pivots'!$B$538:$B$567,MATCH('Global DB'!C75,'DB(1) Pivots'!$A$538:$A$567,0)),"N/A")</f>
        <v>216262</v>
      </c>
      <c r="M75" s="1060"/>
      <c r="N75" s="1061"/>
      <c r="O75" s="1"/>
      <c r="P75" s="1"/>
      <c r="Q75" s="1"/>
      <c r="R75" s="1"/>
      <c r="S75" s="1"/>
      <c r="T75" s="1"/>
      <c r="U75" s="1"/>
    </row>
    <row r="76" spans="1:21">
      <c r="A76" s="1"/>
      <c r="B76" s="1"/>
      <c r="C76" s="1130" t="s">
        <v>69</v>
      </c>
      <c r="D76" s="1131"/>
      <c r="E76" s="1131"/>
      <c r="F76" s="1060">
        <f>IFERROR(INDEX('DB(1) Pivots'!$B$491:$B$532,MATCH('Global DB'!$C76,'DB(1) Pivots'!$A$491:$A$532,0)),"")</f>
        <v>443933.62</v>
      </c>
      <c r="G76" s="1060"/>
      <c r="H76" s="1060"/>
      <c r="I76" s="1060" t="str">
        <f>IFERROR(IF(INDEX('DB(1) Pivots'!$C$491:$C$532,MATCH('Global DB'!$C76,'DB(1) Pivots'!$A$491:$A$532,0))=0, "N/A",INDEX('DB(1) Pivots'!$C$491:$C$532,MATCH('Global DB'!$C76,'DB(1) Pivots'!$A$491:$A$532,0))),"N/A")</f>
        <v>N/A</v>
      </c>
      <c r="J76" s="1060"/>
      <c r="K76" s="1060"/>
      <c r="L76" s="1060">
        <f>IFERROR(INDEX('DB(1) Pivots'!$B$538:$B$567,MATCH('Global DB'!C76,'DB(1) Pivots'!$A$538:$A$567,0)),"N/A")</f>
        <v>443933.62</v>
      </c>
      <c r="M76" s="1060"/>
      <c r="N76" s="1061"/>
      <c r="O76" s="1"/>
      <c r="P76" s="1"/>
      <c r="Q76" s="1"/>
      <c r="R76" s="1"/>
      <c r="S76" s="1"/>
      <c r="T76" s="1"/>
      <c r="U76" s="1"/>
    </row>
    <row r="77" spans="1:21">
      <c r="A77" s="1"/>
      <c r="B77" s="1"/>
      <c r="C77" s="1130" t="s">
        <v>58</v>
      </c>
      <c r="D77" s="1131"/>
      <c r="E77" s="1131"/>
      <c r="F77" s="1060">
        <f>IFERROR(INDEX('DB(1) Pivots'!$B$491:$B$532,MATCH('Global DB'!$C77,'DB(1) Pivots'!$A$491:$A$532,0)),"")</f>
        <v>311013081.30000001</v>
      </c>
      <c r="G77" s="1060"/>
      <c r="H77" s="1060"/>
      <c r="I77" s="1060" t="str">
        <f>IFERROR(IF(INDEX('DB(1) Pivots'!$C$491:$C$532,MATCH('Global DB'!$C77,'DB(1) Pivots'!$A$491:$A$532,0))=0, "N/A",INDEX('DB(1) Pivots'!$C$491:$C$532,MATCH('Global DB'!$C77,'DB(1) Pivots'!$A$491:$A$532,0))),"N/A")</f>
        <v>N/A</v>
      </c>
      <c r="J77" s="1060"/>
      <c r="K77" s="1060"/>
      <c r="L77" s="1060">
        <f>IFERROR(INDEX('DB(1) Pivots'!$B$538:$B$567,MATCH('Global DB'!C77,'DB(1) Pivots'!$A$538:$A$567,0)),"N/A")</f>
        <v>49611803</v>
      </c>
      <c r="M77" s="1060"/>
      <c r="N77" s="1061"/>
      <c r="O77" s="1"/>
      <c r="P77" s="1"/>
      <c r="Q77" s="1"/>
      <c r="R77" s="1"/>
      <c r="S77" s="1"/>
      <c r="T77" s="1"/>
      <c r="U77" s="1"/>
    </row>
    <row r="78" spans="1:21">
      <c r="A78" s="1"/>
      <c r="B78" s="1"/>
      <c r="C78" s="1128" t="s">
        <v>310</v>
      </c>
      <c r="D78" s="1129"/>
      <c r="E78" s="1129"/>
      <c r="F78" s="1132">
        <f>SUM(F79:F86)</f>
        <v>392782468.03600311</v>
      </c>
      <c r="G78" s="1132"/>
      <c r="H78" s="1132"/>
      <c r="I78" s="1132">
        <f>SUM(I79:I86)</f>
        <v>196939000</v>
      </c>
      <c r="J78" s="1132"/>
      <c r="K78" s="1132"/>
      <c r="L78" s="1132">
        <f>SUM(L79:L86)</f>
        <v>67780719</v>
      </c>
      <c r="M78" s="1132"/>
      <c r="N78" s="1136"/>
      <c r="O78" s="1"/>
      <c r="P78" s="1"/>
      <c r="Q78" s="1"/>
      <c r="R78" s="1"/>
      <c r="S78" s="1"/>
      <c r="T78" s="1"/>
      <c r="U78" s="1"/>
    </row>
    <row r="79" spans="1:21">
      <c r="A79" s="1"/>
      <c r="B79" s="1"/>
      <c r="C79" s="1130" t="s">
        <v>338</v>
      </c>
      <c r="D79" s="1131"/>
      <c r="E79" s="1131"/>
      <c r="F79" s="1060">
        <f>IFERROR(INDEX('DB(1) Pivots'!$B$491:$B$532,MATCH('Global DB'!$C79,'DB(1) Pivots'!$A$491:$A$532,0)),"")</f>
        <v>31042645.449999999</v>
      </c>
      <c r="G79" s="1060"/>
      <c r="H79" s="1060"/>
      <c r="I79" s="1060" t="str">
        <f>IFERROR(IF(INDEX('DB(1) Pivots'!$C$491:$C$532,MATCH('Global DB'!$C79,'DB(1) Pivots'!$A$491:$A$532,0))=0, "N/A",INDEX('DB(1) Pivots'!$C$491:$C$532,MATCH('Global DB'!$C79,'DB(1) Pivots'!$A$491:$A$532,0))),"N/A")</f>
        <v>N/A</v>
      </c>
      <c r="J79" s="1060"/>
      <c r="K79" s="1060"/>
      <c r="L79" s="1060" t="str">
        <f>IFERROR(INDEX('DB(1) Pivots'!$B$538:$B$567,MATCH('Global DB'!C79,'DB(1) Pivots'!$A$538:$A$567,0)),"N/A")</f>
        <v>N/A</v>
      </c>
      <c r="M79" s="1060"/>
      <c r="N79" s="1061"/>
      <c r="O79" s="1"/>
      <c r="P79" s="1"/>
      <c r="Q79" s="1"/>
      <c r="R79" s="1"/>
      <c r="S79" s="1"/>
      <c r="T79" s="1"/>
      <c r="U79" s="1"/>
    </row>
    <row r="80" spans="1:21">
      <c r="A80" s="1"/>
      <c r="B80" s="1"/>
      <c r="C80" s="1130" t="s">
        <v>39</v>
      </c>
      <c r="D80" s="1131"/>
      <c r="E80" s="1131"/>
      <c r="F80" s="1060">
        <f>IFERROR(INDEX('DB(1) Pivots'!$B$491:$B$532,MATCH('Global DB'!$C80,'DB(1) Pivots'!$A$491:$A$532,0)),"")</f>
        <v>15860157</v>
      </c>
      <c r="G80" s="1060"/>
      <c r="H80" s="1060"/>
      <c r="I80" s="1060" t="str">
        <f>IFERROR(IF(INDEX('DB(1) Pivots'!$C$491:$C$532,MATCH('Global DB'!$C80,'DB(1) Pivots'!$A$491:$A$532,0))=0, "N/A",INDEX('DB(1) Pivots'!$C$491:$C$532,MATCH('Global DB'!$C80,'DB(1) Pivots'!$A$491:$A$532,0))),"N/A")</f>
        <v>N/A</v>
      </c>
      <c r="J80" s="1060"/>
      <c r="K80" s="1060"/>
      <c r="L80" s="1060" t="str">
        <f>IFERROR(INDEX('DB(1) Pivots'!$B$538:$B$567,MATCH('Global DB'!C80,'DB(1) Pivots'!$A$538:$A$567,0)),"N/A")</f>
        <v>N/A</v>
      </c>
      <c r="M80" s="1060"/>
      <c r="N80" s="1061"/>
      <c r="O80" s="1"/>
      <c r="P80" s="1"/>
      <c r="Q80" s="1"/>
      <c r="R80" s="1"/>
      <c r="S80" s="1"/>
      <c r="T80" s="1"/>
      <c r="U80" s="1"/>
    </row>
    <row r="81" spans="1:21">
      <c r="A81" s="1"/>
      <c r="B81" s="1"/>
      <c r="C81" s="1130" t="s">
        <v>339</v>
      </c>
      <c r="D81" s="1131"/>
      <c r="E81" s="1131"/>
      <c r="F81" s="1060">
        <f>IFERROR(INDEX('DB(1) Pivots'!$B$491:$B$532,MATCH('Global DB'!$C81,'DB(1) Pivots'!$A$491:$A$532,0)),"")</f>
        <v>49783726</v>
      </c>
      <c r="G81" s="1060"/>
      <c r="H81" s="1060"/>
      <c r="I81" s="1060" t="str">
        <f>IFERROR(IF(INDEX('DB(1) Pivots'!$C$491:$C$532,MATCH('Global DB'!$C81,'DB(1) Pivots'!$A$491:$A$532,0))=0, "N/A",INDEX('DB(1) Pivots'!$C$491:$C$532,MATCH('Global DB'!$C81,'DB(1) Pivots'!$A$491:$A$532,0))),"N/A")</f>
        <v>N/A</v>
      </c>
      <c r="J81" s="1060"/>
      <c r="K81" s="1060"/>
      <c r="L81" s="1060" t="str">
        <f>IFERROR(INDEX('DB(1) Pivots'!$B$538:$B$567,MATCH('Global DB'!C81,'DB(1) Pivots'!$A$538:$A$567,0)),"N/A")</f>
        <v>N/A</v>
      </c>
      <c r="M81" s="1060"/>
      <c r="N81" s="1061"/>
      <c r="O81" s="1"/>
      <c r="P81" s="1"/>
      <c r="Q81" s="1"/>
      <c r="R81" s="1"/>
      <c r="S81" s="1"/>
      <c r="T81" s="1"/>
      <c r="U81" s="1"/>
    </row>
    <row r="82" spans="1:21">
      <c r="A82" s="1"/>
      <c r="B82" s="1"/>
      <c r="C82" s="1130" t="s">
        <v>340</v>
      </c>
      <c r="D82" s="1131"/>
      <c r="E82" s="1131"/>
      <c r="F82" s="1060">
        <f>IFERROR(INDEX('DB(1) Pivots'!$B$491:$B$532,MATCH('Global DB'!$C82,'DB(1) Pivots'!$A$491:$A$532,0)),"")</f>
        <v>219837866</v>
      </c>
      <c r="G82" s="1060"/>
      <c r="H82" s="1060"/>
      <c r="I82" s="1060">
        <f>IFERROR(IF(INDEX('DB(1) Pivots'!$C$491:$C$532,MATCH('Global DB'!$C82,'DB(1) Pivots'!$A$491:$A$532,0))=0, "N/A",INDEX('DB(1) Pivots'!$C$491:$C$532,MATCH('Global DB'!$C82,'DB(1) Pivots'!$A$491:$A$532,0))),"N/A")</f>
        <v>196939000</v>
      </c>
      <c r="J82" s="1060"/>
      <c r="K82" s="1060"/>
      <c r="L82" s="1060">
        <f>IFERROR(INDEX('DB(1) Pivots'!$B$538:$B$567,MATCH('Global DB'!C82,'DB(1) Pivots'!$A$538:$A$567,0)),"N/A")</f>
        <v>67780719</v>
      </c>
      <c r="M82" s="1060"/>
      <c r="N82" s="1061"/>
      <c r="O82" s="1"/>
      <c r="P82" s="1"/>
      <c r="Q82" s="1"/>
      <c r="R82" s="1"/>
      <c r="S82" s="1"/>
      <c r="T82" s="1"/>
      <c r="U82" s="1"/>
    </row>
    <row r="83" spans="1:21">
      <c r="A83" s="1"/>
      <c r="B83" s="1"/>
      <c r="C83" s="1047" t="s">
        <v>341</v>
      </c>
      <c r="D83" s="1048"/>
      <c r="E83" s="1049"/>
      <c r="F83" s="1060">
        <f>IFERROR(INDEX('DB(1) Pivots'!$B$491:$B$532,MATCH('Global DB'!$C83,'DB(1) Pivots'!$A$491:$A$532,0)),"")</f>
        <v>21141883.651928999</v>
      </c>
      <c r="G83" s="1060"/>
      <c r="H83" s="1060"/>
      <c r="I83" s="1060" t="str">
        <f>IFERROR(IF(INDEX('DB(1) Pivots'!$C$491:$C$532,MATCH('Global DB'!$C83,'DB(1) Pivots'!$A$491:$A$532,0))=0, "N/A",INDEX('DB(1) Pivots'!$C$491:$C$532,MATCH('Global DB'!$C83,'DB(1) Pivots'!$A$491:$A$532,0))),"N/A")</f>
        <v>N/A</v>
      </c>
      <c r="J83" s="1060"/>
      <c r="K83" s="1060"/>
      <c r="L83" s="1060" t="str">
        <f>IFERROR(INDEX('DB(1) Pivots'!$B$538:$B$567,MATCH('Global DB'!C83,'DB(1) Pivots'!$A$538:$A$567,0)),"N/A")</f>
        <v>N/A</v>
      </c>
      <c r="M83" s="1060"/>
      <c r="N83" s="1061"/>
      <c r="O83" s="1"/>
      <c r="P83" s="1"/>
      <c r="Q83" s="1"/>
      <c r="R83" s="1"/>
      <c r="S83" s="1"/>
      <c r="T83" s="1"/>
      <c r="U83" s="1"/>
    </row>
    <row r="84" spans="1:21">
      <c r="A84" s="1"/>
      <c r="B84" s="1"/>
      <c r="C84" s="1130" t="s">
        <v>342</v>
      </c>
      <c r="D84" s="1131"/>
      <c r="E84" s="1131"/>
      <c r="F84" s="1060">
        <f>IFERROR(INDEX('DB(1) Pivots'!$B$491:$B$532,MATCH('Global DB'!$C84,'DB(1) Pivots'!$A$491:$A$532,0)),"")</f>
        <v>20714260.074074075</v>
      </c>
      <c r="G84" s="1060"/>
      <c r="H84" s="1060"/>
      <c r="I84" s="1060" t="str">
        <f>IFERROR(IF(INDEX('DB(1) Pivots'!$C$491:$C$532,MATCH('Global DB'!$C84,'DB(1) Pivots'!$A$491:$A$532,0))=0, "N/A",INDEX('DB(1) Pivots'!$C$491:$C$532,MATCH('Global DB'!$C84,'DB(1) Pivots'!$A$491:$A$532,0))),"N/A")</f>
        <v>N/A</v>
      </c>
      <c r="J84" s="1060"/>
      <c r="K84" s="1060"/>
      <c r="L84" s="1060" t="str">
        <f>IFERROR(INDEX('DB(1) Pivots'!$B$538:$B$567,MATCH('Global DB'!C84,'DB(1) Pivots'!$A$538:$A$567,0)),"N/A")</f>
        <v>N/A</v>
      </c>
      <c r="M84" s="1060"/>
      <c r="N84" s="1061"/>
      <c r="O84" s="1"/>
      <c r="P84" s="1"/>
      <c r="Q84" s="1"/>
      <c r="R84" s="1"/>
      <c r="S84" s="1"/>
      <c r="T84" s="1"/>
      <c r="U84" s="1"/>
    </row>
    <row r="85" spans="1:21">
      <c r="A85" s="1"/>
      <c r="B85" s="1"/>
      <c r="C85" s="1130" t="s">
        <v>343</v>
      </c>
      <c r="D85" s="1131"/>
      <c r="E85" s="1131"/>
      <c r="F85" s="1060">
        <f>IFERROR(INDEX('DB(1) Pivots'!$B$491:$B$532,MATCH('Global DB'!$C85,'DB(1) Pivots'!$A$491:$A$532,0)),"")</f>
        <v>30349374.299999997</v>
      </c>
      <c r="G85" s="1060"/>
      <c r="H85" s="1060"/>
      <c r="I85" s="1060" t="str">
        <f>IFERROR(IF(INDEX('DB(1) Pivots'!$C$491:$C$532,MATCH('Global DB'!$C85,'DB(1) Pivots'!$A$491:$A$532,0))=0, "N/A",INDEX('DB(1) Pivots'!$C$491:$C$532,MATCH('Global DB'!$C85,'DB(1) Pivots'!$A$491:$A$532,0))),"N/A")</f>
        <v>N/A</v>
      </c>
      <c r="J85" s="1060"/>
      <c r="K85" s="1060"/>
      <c r="L85" s="1060" t="str">
        <f>IFERROR(INDEX('DB(1) Pivots'!$B$538:$B$567,MATCH('Global DB'!C85,'DB(1) Pivots'!$A$538:$A$567,0)),"N/A")</f>
        <v>N/A</v>
      </c>
      <c r="M85" s="1060"/>
      <c r="N85" s="1061"/>
      <c r="O85" s="1"/>
      <c r="P85" s="1"/>
      <c r="Q85" s="1"/>
      <c r="R85" s="1"/>
      <c r="S85" s="1"/>
      <c r="T85" s="1"/>
      <c r="U85" s="1"/>
    </row>
    <row r="86" spans="1:21">
      <c r="A86" s="1"/>
      <c r="B86" s="1"/>
      <c r="C86" s="1047" t="s">
        <v>344</v>
      </c>
      <c r="D86" s="1048"/>
      <c r="E86" s="1049"/>
      <c r="F86" s="1060">
        <f>IFERROR(INDEX('DB(1) Pivots'!$B$491:$B$532,MATCH('Global DB'!$C86,'DB(1) Pivots'!$A$491:$A$532,0)),"")</f>
        <v>4052555.56</v>
      </c>
      <c r="G86" s="1060"/>
      <c r="H86" s="1060"/>
      <c r="I86" s="1060" t="str">
        <f>IFERROR(IF(INDEX('DB(1) Pivots'!$C$491:$C$532,MATCH('Global DB'!$C86,'DB(1) Pivots'!$A$491:$A$532,0))=0, "N/A",INDEX('DB(1) Pivots'!$C$491:$C$532,MATCH('Global DB'!$C86,'DB(1) Pivots'!$A$491:$A$532,0))),"N/A")</f>
        <v>N/A</v>
      </c>
      <c r="J86" s="1060"/>
      <c r="K86" s="1060"/>
      <c r="L86" s="1060" t="str">
        <f>IFERROR(INDEX('DB(1) Pivots'!$B$538:$B$567,MATCH('Global DB'!C86,'DB(1) Pivots'!$A$538:$A$567,0)),"N/A")</f>
        <v>N/A</v>
      </c>
      <c r="M86" s="1060"/>
      <c r="N86" s="1061"/>
      <c r="O86" s="1"/>
      <c r="P86" s="1"/>
      <c r="Q86" s="1"/>
      <c r="R86" s="1"/>
      <c r="S86" s="1"/>
      <c r="T86" s="1"/>
      <c r="U86" s="1"/>
    </row>
    <row r="87" spans="1:21">
      <c r="A87" s="1"/>
      <c r="B87" s="1"/>
      <c r="C87" s="1128" t="s">
        <v>345</v>
      </c>
      <c r="D87" s="1129"/>
      <c r="E87" s="1129"/>
      <c r="F87" s="1132">
        <f>SUM(F88:F89)</f>
        <v>140938105</v>
      </c>
      <c r="G87" s="1132"/>
      <c r="H87" s="1132"/>
      <c r="I87" s="1132">
        <f>SUM(I88:I89)</f>
        <v>0</v>
      </c>
      <c r="J87" s="1132"/>
      <c r="K87" s="1132"/>
      <c r="L87" s="1132">
        <f>SUM(L88:L89)</f>
        <v>140938105</v>
      </c>
      <c r="M87" s="1132"/>
      <c r="N87" s="1136"/>
      <c r="O87" s="1"/>
      <c r="P87" s="1"/>
      <c r="Q87" s="1"/>
      <c r="R87" s="1"/>
      <c r="S87" s="1"/>
      <c r="T87" s="1"/>
      <c r="U87" s="1"/>
    </row>
    <row r="88" spans="1:21">
      <c r="A88" s="1"/>
      <c r="B88" s="1"/>
      <c r="C88" s="1130" t="s">
        <v>346</v>
      </c>
      <c r="D88" s="1131"/>
      <c r="E88" s="1131"/>
      <c r="F88" s="1060">
        <f>IFERROR(INDEX('DB(1) Pivots'!$B$491:$B$532,MATCH('Global DB'!$C88,'DB(1) Pivots'!$A$491:$A$532,0)),"")</f>
        <v>17281741</v>
      </c>
      <c r="G88" s="1060"/>
      <c r="H88" s="1060"/>
      <c r="I88" s="1060" t="str">
        <f>IFERROR(IF(INDEX('DB(1) Pivots'!$C$491:$C$532,MATCH('Global DB'!$C88,'DB(1) Pivots'!$A$491:$A$532,0))=0, "N/A",INDEX('DB(1) Pivots'!$C$491:$C$532,MATCH('Global DB'!$C88,'DB(1) Pivots'!$A$491:$A$532,0))),"N/A")</f>
        <v>N/A</v>
      </c>
      <c r="J88" s="1060"/>
      <c r="K88" s="1060"/>
      <c r="L88" s="1060">
        <f>IFERROR(INDEX('DB(1) Pivots'!$B$538:$B$567,MATCH('Global DB'!C88,'DB(1) Pivots'!$A$538:$A$567,0)),"N/A")</f>
        <v>17281741</v>
      </c>
      <c r="M88" s="1060"/>
      <c r="N88" s="1061"/>
      <c r="O88" s="1"/>
      <c r="P88" s="1"/>
      <c r="Q88" s="1"/>
      <c r="R88" s="1"/>
      <c r="S88" s="1"/>
      <c r="T88" s="1"/>
      <c r="U88" s="1"/>
    </row>
    <row r="89" spans="1:21">
      <c r="A89" s="1"/>
      <c r="B89" s="1"/>
      <c r="C89" s="1130" t="s">
        <v>347</v>
      </c>
      <c r="D89" s="1131"/>
      <c r="E89" s="1131"/>
      <c r="F89" s="1060">
        <f>IFERROR(INDEX('DB(1) Pivots'!$B$491:$B$532,MATCH('Global DB'!$C89,'DB(1) Pivots'!$A$491:$A$532,0)),"")</f>
        <v>123656364</v>
      </c>
      <c r="G89" s="1060"/>
      <c r="H89" s="1060"/>
      <c r="I89" s="1060" t="str">
        <f>IFERROR(IF(INDEX('DB(1) Pivots'!$C$491:$C$532,MATCH('Global DB'!$C89,'DB(1) Pivots'!$A$491:$A$532,0))=0, "N/A",INDEX('DB(1) Pivots'!$C$491:$C$532,MATCH('Global DB'!$C89,'DB(1) Pivots'!$A$491:$A$532,0))),"N/A")</f>
        <v>N/A</v>
      </c>
      <c r="J89" s="1060"/>
      <c r="K89" s="1060"/>
      <c r="L89" s="1060">
        <f>IFERROR(INDEX('DB(1) Pivots'!$B$538:$B$567,MATCH('Global DB'!C89,'DB(1) Pivots'!$A$538:$A$567,0)),"N/A")</f>
        <v>123656364</v>
      </c>
      <c r="M89" s="1060"/>
      <c r="N89" s="1061"/>
      <c r="O89" s="1"/>
      <c r="P89" s="1"/>
      <c r="Q89" s="1"/>
      <c r="R89" s="1"/>
      <c r="S89" s="1"/>
      <c r="T89" s="1"/>
      <c r="U89" s="1"/>
    </row>
    <row r="90" spans="1:21">
      <c r="A90" s="1"/>
      <c r="B90" s="1"/>
      <c r="C90" s="1128" t="s">
        <v>312</v>
      </c>
      <c r="D90" s="1129"/>
      <c r="E90" s="1129"/>
      <c r="F90" s="1132">
        <f>SUM(F91:F93)</f>
        <v>72612747.75</v>
      </c>
      <c r="G90" s="1132"/>
      <c r="H90" s="1132"/>
      <c r="I90" s="1132">
        <f>SUM(I91:I93)</f>
        <v>0</v>
      </c>
      <c r="J90" s="1132"/>
      <c r="K90" s="1132"/>
      <c r="L90" s="1132">
        <f>SUM(L91:L93)</f>
        <v>52870747.75</v>
      </c>
      <c r="M90" s="1132"/>
      <c r="N90" s="1136"/>
      <c r="O90" s="1"/>
      <c r="P90" s="1"/>
      <c r="Q90" s="1"/>
      <c r="R90" s="1"/>
      <c r="S90" s="1"/>
      <c r="T90" s="1"/>
      <c r="U90" s="1"/>
    </row>
    <row r="91" spans="1:21">
      <c r="A91" s="1"/>
      <c r="B91" s="1"/>
      <c r="C91" s="1130" t="s">
        <v>348</v>
      </c>
      <c r="D91" s="1131"/>
      <c r="E91" s="1131"/>
      <c r="F91" s="1060">
        <f>IFERROR(INDEX('DB(1) Pivots'!$B$491:$B$532,MATCH('Global DB'!$C91,'DB(1) Pivots'!$A$491:$A$532,0)),"")</f>
        <v>19742000</v>
      </c>
      <c r="G91" s="1060"/>
      <c r="H91" s="1060"/>
      <c r="I91" s="1060" t="str">
        <f>IFERROR(IF(INDEX('DB(1) Pivots'!$C$491:$C$532,MATCH('Global DB'!$C91,'DB(1) Pivots'!$A$491:$A$532,0))=0, "N/A",INDEX('DB(1) Pivots'!$C$491:$C$532,MATCH('Global DB'!$C91,'DB(1) Pivots'!$A$491:$A$532,0))),"N/A")</f>
        <v>N/A</v>
      </c>
      <c r="J91" s="1060"/>
      <c r="K91" s="1060"/>
      <c r="L91" s="1060" t="str">
        <f>IFERROR(INDEX('DB(1) Pivots'!$B$538:$B$567,MATCH('Global DB'!C91,'DB(1) Pivots'!$A$538:$A$567,0)),"N/A")</f>
        <v>N/A</v>
      </c>
      <c r="M91" s="1060"/>
      <c r="N91" s="1061"/>
      <c r="O91" s="1"/>
      <c r="P91" s="1"/>
      <c r="Q91" s="1"/>
      <c r="R91" s="1"/>
      <c r="S91" s="1"/>
      <c r="T91" s="1"/>
      <c r="U91" s="1"/>
    </row>
    <row r="92" spans="1:21">
      <c r="A92" s="1"/>
      <c r="B92" s="1"/>
      <c r="C92" s="1130" t="s">
        <v>349</v>
      </c>
      <c r="D92" s="1131"/>
      <c r="E92" s="1131"/>
      <c r="F92" s="1060">
        <f>IFERROR(INDEX('DB(1) Pivots'!$B$491:$B$532,MATCH('Global DB'!$C92,'DB(1) Pivots'!$A$491:$A$532,0)),"")</f>
        <v>4158940</v>
      </c>
      <c r="G92" s="1060"/>
      <c r="H92" s="1060"/>
      <c r="I92" s="1060" t="str">
        <f>IFERROR(IF(INDEX('DB(1) Pivots'!$C$491:$C$532,MATCH('Global DB'!$C92,'DB(1) Pivots'!$A$491:$A$532,0))=0, "N/A",INDEX('DB(1) Pivots'!$C$491:$C$532,MATCH('Global DB'!$C92,'DB(1) Pivots'!$A$491:$A$532,0))),"N/A")</f>
        <v>N/A</v>
      </c>
      <c r="J92" s="1060"/>
      <c r="K92" s="1060"/>
      <c r="L92" s="1060">
        <f>IFERROR(INDEX('DB(1) Pivots'!$B$538:$B$567,MATCH('Global DB'!C92,'DB(1) Pivots'!$A$538:$A$567,0)),"N/A")</f>
        <v>4158940</v>
      </c>
      <c r="M92" s="1060"/>
      <c r="N92" s="1061"/>
      <c r="O92" s="1"/>
      <c r="P92" s="1"/>
      <c r="Q92" s="1"/>
      <c r="R92" s="1"/>
      <c r="S92" s="1"/>
      <c r="T92" s="1"/>
      <c r="U92" s="1"/>
    </row>
    <row r="93" spans="1:21" ht="16" thickBot="1">
      <c r="A93" s="1"/>
      <c r="B93" s="1"/>
      <c r="C93" s="1133" t="s">
        <v>350</v>
      </c>
      <c r="D93" s="1134"/>
      <c r="E93" s="1134"/>
      <c r="F93" s="1135">
        <f>IFERROR(INDEX('DB(1) Pivots'!$B$491:$B$532,MATCH('Global DB'!$C93,'DB(1) Pivots'!$A$491:$A$532,0)),"")</f>
        <v>48711807.75</v>
      </c>
      <c r="G93" s="1135"/>
      <c r="H93" s="1135"/>
      <c r="I93" s="1135" t="str">
        <f>IFERROR(IF(INDEX('DB(1) Pivots'!$C$491:$C$532,MATCH('Global DB'!$C93,'DB(1) Pivots'!$A$491:$A$532,0))=0, "N/A",INDEX('DB(1) Pivots'!$C$491:$C$532,MATCH('Global DB'!$C93,'DB(1) Pivots'!$A$491:$A$532,0))),"N/A")</f>
        <v>N/A</v>
      </c>
      <c r="J93" s="1135"/>
      <c r="K93" s="1135"/>
      <c r="L93" s="1135">
        <f>IFERROR(INDEX('DB(1) Pivots'!$B$538:$B$567,MATCH('Global DB'!C93,'DB(1) Pivots'!$A$538:$A$567,0)),"N/A")</f>
        <v>48711807.75</v>
      </c>
      <c r="M93" s="1135"/>
      <c r="N93" s="1137"/>
      <c r="O93" s="1"/>
      <c r="P93" s="1"/>
      <c r="Q93" s="1"/>
      <c r="R93" s="1"/>
      <c r="S93" s="1"/>
      <c r="T93" s="1"/>
      <c r="U93" s="1"/>
    </row>
    <row r="94" spans="1:21" ht="7.5" customHeight="1" thickBot="1">
      <c r="A94" s="1"/>
      <c r="B94" s="1"/>
      <c r="C94" s="1"/>
      <c r="D94" s="1"/>
      <c r="E94" s="1"/>
      <c r="F94" s="1"/>
      <c r="G94" s="1"/>
      <c r="H94" s="1"/>
      <c r="I94" s="1"/>
      <c r="J94" s="1"/>
      <c r="K94" s="1"/>
      <c r="L94" s="1"/>
      <c r="M94" s="1"/>
      <c r="N94" s="1"/>
      <c r="O94" s="1"/>
      <c r="P94" s="1"/>
      <c r="Q94" s="1"/>
      <c r="R94" s="1"/>
      <c r="S94" s="1"/>
      <c r="T94" s="1"/>
      <c r="U94" s="1"/>
    </row>
    <row r="95" spans="1:21" ht="16" thickBot="1">
      <c r="A95" s="1"/>
      <c r="B95" s="1"/>
      <c r="C95" s="1064" t="s">
        <v>351</v>
      </c>
      <c r="D95" s="1065"/>
      <c r="E95" s="1065"/>
      <c r="F95" s="1065"/>
      <c r="G95" s="1065"/>
      <c r="H95" s="1066"/>
      <c r="I95" s="1064" t="s">
        <v>352</v>
      </c>
      <c r="J95" s="1065"/>
      <c r="K95" s="1065"/>
      <c r="L95" s="1065"/>
      <c r="M95" s="1065"/>
      <c r="N95" s="1066"/>
      <c r="O95" s="1"/>
      <c r="P95" s="1"/>
      <c r="Q95" s="1"/>
      <c r="R95" s="1"/>
      <c r="S95" s="1"/>
      <c r="T95" s="1"/>
      <c r="U95" s="1"/>
    </row>
    <row r="96" spans="1:21" ht="31.5" customHeight="1">
      <c r="A96" s="1"/>
      <c r="B96" s="1"/>
      <c r="I96" s="1067" t="s">
        <v>96</v>
      </c>
      <c r="J96" s="1068"/>
      <c r="K96" s="1068" t="s">
        <v>353</v>
      </c>
      <c r="L96" s="1068"/>
      <c r="M96" s="1068" t="s">
        <v>329</v>
      </c>
      <c r="N96" s="1069"/>
      <c r="O96" s="1"/>
      <c r="P96" s="1"/>
      <c r="Q96" s="1"/>
      <c r="R96" s="1"/>
      <c r="S96" s="1"/>
      <c r="T96" s="1"/>
      <c r="U96" s="1"/>
    </row>
    <row r="97" spans="1:22">
      <c r="A97" s="1"/>
      <c r="B97" s="1"/>
      <c r="I97" s="1070" t="str">
        <f>IF('DB(1) Pivots'!A588="","",('DB(1) Pivots'!A588))</f>
        <v>BMZ-Gavi</v>
      </c>
      <c r="J97" s="1062"/>
      <c r="K97" s="1062" t="str">
        <f>IFERROR(INDEX('DB(1) Pivots'!$B$588:$B$590,MATCH('Global DB'!I97,'DB(1) Pivots'!$A$588:$A$590,0)),"")</f>
        <v>UNICEF</v>
      </c>
      <c r="L97" s="1062"/>
      <c r="M97" s="1060">
        <f>IFERROR(INDEX('DB(1) Pivots'!$C$588:$C$590,MATCH('Global DB'!I97,'DB(1) Pivots'!$A$588:$A$590,0)),"")</f>
        <v>36080554.690000005</v>
      </c>
      <c r="N97" s="1061"/>
      <c r="O97" s="1"/>
      <c r="P97" s="1"/>
      <c r="Q97" s="1"/>
      <c r="R97" s="1"/>
      <c r="S97" s="1"/>
      <c r="T97" s="1"/>
      <c r="U97" s="1"/>
    </row>
    <row r="98" spans="1:22">
      <c r="A98" s="1"/>
      <c r="B98" s="1"/>
      <c r="I98" s="1070" t="str">
        <f>IF('DB(1) Pivots'!A589="","",('DB(1) Pivots'!A589))</f>
        <v>Mastercard Foundation</v>
      </c>
      <c r="J98" s="1062"/>
      <c r="K98" s="1062" t="str">
        <f>IFERROR(INDEX('DB(1) Pivots'!$B$588:$B$590,MATCH('Global DB'!I98,'DB(1) Pivots'!$A$588:$A$590,0)),"")</f>
        <v>Africa CDC</v>
      </c>
      <c r="L98" s="1062"/>
      <c r="M98" s="1060">
        <f>IFERROR(INDEX('DB(1) Pivots'!$C$588:$C$590,MATCH('Global DB'!I98,'DB(1) Pivots'!$A$588:$A$590,0)),"")</f>
        <v>653000000</v>
      </c>
      <c r="N98" s="1061"/>
      <c r="O98" s="1"/>
      <c r="P98" s="1"/>
      <c r="Q98" s="1"/>
      <c r="R98" s="1"/>
      <c r="S98" s="1"/>
      <c r="T98" s="1"/>
      <c r="U98" s="1"/>
      <c r="V98" s="1"/>
    </row>
    <row r="99" spans="1:22">
      <c r="A99" s="1"/>
      <c r="B99" s="1"/>
      <c r="I99" s="1070" t="str">
        <f>IF('DB(1) Pivots'!A590="","",('DB(1) Pivots'!A590))</f>
        <v>U.S. Government</v>
      </c>
      <c r="J99" s="1062"/>
      <c r="K99" s="1062" t="str">
        <f>IFERROR(INDEX('DB(1) Pivots'!$B$588:$B$590,MATCH('Global DB'!I99,'DB(1) Pivots'!$A$588:$A$590,0)),"")</f>
        <v>USAID &amp; CDC</v>
      </c>
      <c r="L99" s="1062"/>
      <c r="M99" s="1060">
        <f>IFERROR(INDEX('DB(1) Pivots'!$C$588:$C$590,MATCH('Global DB'!I99,'DB(1) Pivots'!$A$588:$A$590,0)),"")</f>
        <v>370000000</v>
      </c>
      <c r="N99" s="1061"/>
      <c r="O99" s="1"/>
      <c r="P99" s="1"/>
      <c r="Q99" s="1"/>
      <c r="R99" s="1"/>
      <c r="S99" s="1"/>
      <c r="T99" s="1"/>
      <c r="U99" s="1"/>
      <c r="V99" s="1"/>
    </row>
    <row r="100" spans="1:22">
      <c r="A100" s="1"/>
      <c r="B100" s="1"/>
      <c r="I100" s="1058" t="str">
        <f>IF('DB(1) Pivots'!A591="","",('DB(1) Pivots'!A591))</f>
        <v/>
      </c>
      <c r="J100" s="1059"/>
      <c r="K100" s="1059" t="str">
        <f>IFERROR(INDEX('DB(1) Pivots'!$B$588:$B$590,MATCH('Global DB'!I100,'DB(1) Pivots'!$A$588:$A$590,0)),"")</f>
        <v/>
      </c>
      <c r="L100" s="1059"/>
      <c r="M100" s="1059" t="str">
        <f>IFERROR(INDEX('DB(1) Pivots'!$C$588:$C$590,MATCH('Global DB'!I100,'DB(1) Pivots'!$A$588:$A$590,0)),"")</f>
        <v/>
      </c>
      <c r="N100" s="1071"/>
      <c r="O100" s="1"/>
      <c r="P100" s="1"/>
      <c r="Q100" s="1"/>
      <c r="R100" s="1"/>
      <c r="S100" s="1"/>
      <c r="T100" s="1"/>
      <c r="U100" s="1"/>
      <c r="V100" s="1"/>
    </row>
    <row r="101" spans="1:22">
      <c r="A101" s="1"/>
      <c r="B101" s="1"/>
      <c r="I101" s="1058" t="str">
        <f>IF('DB(1) Pivots'!A592="","",('DB(1) Pivots'!A592))</f>
        <v/>
      </c>
      <c r="J101" s="1059"/>
      <c r="K101" s="1059" t="str">
        <f>IFERROR(INDEX('DB(1) Pivots'!$B$588:$B$590,MATCH('Global DB'!I101,'DB(1) Pivots'!$A$588:$A$590,0)),"")</f>
        <v/>
      </c>
      <c r="L101" s="1059"/>
      <c r="M101" s="1059" t="str">
        <f>IFERROR(INDEX('DB(1) Pivots'!$C$588:$C$590,MATCH('Global DB'!I101,'DB(1) Pivots'!$A$588:$A$590,0)),"")</f>
        <v/>
      </c>
      <c r="N101" s="1071"/>
      <c r="O101" s="1"/>
      <c r="P101" s="1"/>
      <c r="Q101" s="1"/>
      <c r="R101" s="1"/>
      <c r="S101" s="1"/>
      <c r="T101" s="1"/>
      <c r="U101" s="1"/>
      <c r="V101" s="1"/>
    </row>
    <row r="102" spans="1:22">
      <c r="A102" s="1"/>
      <c r="B102" s="1"/>
      <c r="I102" s="1058" t="str">
        <f>IF('DB(1) Pivots'!A593="","",('DB(1) Pivots'!A593))</f>
        <v/>
      </c>
      <c r="J102" s="1059"/>
      <c r="K102" s="1059" t="str">
        <f>IFERROR(INDEX('DB(1) Pivots'!$B$588:$B$590,MATCH('Global DB'!I102,'DB(1) Pivots'!$A$588:$A$590,0)),"")</f>
        <v/>
      </c>
      <c r="L102" s="1059"/>
      <c r="M102" s="1059" t="str">
        <f>IFERROR(INDEX('DB(1) Pivots'!$C$588:$C$590,MATCH('Global DB'!I102,'DB(1) Pivots'!$A$588:$A$590,0)),"")</f>
        <v/>
      </c>
      <c r="N102" s="1071"/>
      <c r="O102" s="1"/>
      <c r="P102" s="1"/>
      <c r="Q102" s="1"/>
      <c r="R102" s="1"/>
      <c r="S102" s="1"/>
      <c r="T102" s="1"/>
      <c r="U102" s="1"/>
      <c r="V102" s="1"/>
    </row>
    <row r="103" spans="1:22" ht="16" thickBot="1">
      <c r="A103" s="1"/>
      <c r="B103" s="1"/>
      <c r="I103" s="1058" t="str">
        <f>IF('DB(1) Pivots'!A594="","",('DB(1) Pivots'!A594))</f>
        <v/>
      </c>
      <c r="J103" s="1059"/>
      <c r="K103" s="1063" t="str">
        <f>IFERROR(INDEX('DB(1) Pivots'!$B$588:$B$590,MATCH('Global DB'!I103,'DB(1) Pivots'!$A$588:$A$590,0)),"")</f>
        <v/>
      </c>
      <c r="L103" s="1063"/>
      <c r="M103" s="1063" t="str">
        <f>IFERROR(INDEX('DB(1) Pivots'!$C$588:$C$590,MATCH('Global DB'!I103,'DB(1) Pivots'!$A$588:$A$590,0)),"")</f>
        <v/>
      </c>
      <c r="N103" s="1072"/>
      <c r="O103" s="1"/>
      <c r="P103" s="1"/>
      <c r="Q103" s="1"/>
      <c r="R103" s="1"/>
      <c r="S103" s="1"/>
      <c r="T103" s="1"/>
      <c r="U103" s="1"/>
      <c r="V103" s="1"/>
    </row>
    <row r="104" spans="1:22" ht="34.5" customHeight="1" thickBot="1">
      <c r="A104" s="1"/>
      <c r="B104" s="1"/>
      <c r="I104" s="1054" t="s">
        <v>354</v>
      </c>
      <c r="J104" s="1055"/>
      <c r="K104" s="1055"/>
      <c r="L104" s="1055"/>
      <c r="M104" s="1050">
        <f>SUM(M97:N103)</f>
        <v>1059080554.6900001</v>
      </c>
      <c r="N104" s="1051"/>
      <c r="O104" s="1"/>
      <c r="P104" s="1"/>
      <c r="Q104" s="1"/>
      <c r="R104" s="1"/>
      <c r="S104" s="1"/>
      <c r="T104" s="1"/>
      <c r="U104" s="1"/>
      <c r="V104" s="1"/>
    </row>
    <row r="105" spans="1:22" ht="34.5" customHeight="1" thickBot="1">
      <c r="A105" s="1"/>
      <c r="B105" s="1"/>
      <c r="C105" s="1"/>
      <c r="D105" s="1"/>
      <c r="E105" s="1"/>
      <c r="F105" s="1"/>
      <c r="G105" s="1"/>
      <c r="H105" s="1"/>
      <c r="I105" s="1056" t="s">
        <v>355</v>
      </c>
      <c r="J105" s="1057"/>
      <c r="K105" s="1057"/>
      <c r="L105" s="1057"/>
      <c r="M105" s="1052">
        <f>GETPIVOTDATA("Funding Amount",'DB(1) Pivots'!$A$603)</f>
        <v>4296748897.6052332</v>
      </c>
      <c r="N105" s="1053"/>
      <c r="O105" s="1"/>
      <c r="P105" s="1"/>
      <c r="Q105" s="1"/>
      <c r="R105" s="1"/>
      <c r="S105" s="1"/>
      <c r="T105" s="1"/>
      <c r="U105" s="1"/>
      <c r="V105" s="1"/>
    </row>
    <row r="106" spans="1:22">
      <c r="A106" s="1"/>
      <c r="B106" s="1"/>
      <c r="C106" s="1"/>
      <c r="D106" s="1"/>
      <c r="E106" s="1"/>
      <c r="F106" s="1"/>
      <c r="G106" s="1"/>
      <c r="H106" s="1"/>
      <c r="I106" s="1"/>
      <c r="J106" s="1"/>
      <c r="K106" s="1"/>
      <c r="L106" s="1"/>
      <c r="M106" s="1"/>
      <c r="N106" s="1"/>
      <c r="O106" s="1"/>
      <c r="P106" s="1"/>
      <c r="Q106" s="1"/>
      <c r="R106" s="1"/>
      <c r="S106" s="1"/>
      <c r="T106" s="1"/>
      <c r="U106" s="1"/>
      <c r="V106" s="1"/>
    </row>
    <row r="107" spans="1:22">
      <c r="A107" s="1"/>
      <c r="B107" s="1"/>
      <c r="C107" s="1"/>
      <c r="D107" s="1"/>
      <c r="E107" s="1"/>
      <c r="F107" s="1"/>
      <c r="G107" s="1"/>
      <c r="H107" s="1"/>
      <c r="I107" s="1"/>
      <c r="J107" s="1"/>
      <c r="K107" s="1"/>
      <c r="L107" s="1"/>
      <c r="M107" s="1"/>
      <c r="N107" s="1"/>
      <c r="O107" s="1"/>
      <c r="P107" s="1"/>
      <c r="Q107" s="1"/>
      <c r="R107" s="1"/>
      <c r="S107" s="1"/>
      <c r="T107" s="1"/>
      <c r="U107" s="1"/>
      <c r="V107" s="1"/>
    </row>
    <row r="108" spans="1:22">
      <c r="A108" s="1"/>
      <c r="B108" s="1"/>
      <c r="C108" s="1"/>
      <c r="D108" s="1"/>
      <c r="E108" s="1"/>
      <c r="F108" s="1"/>
      <c r="G108" s="1"/>
      <c r="H108" s="1"/>
      <c r="I108" s="1"/>
      <c r="J108" s="1"/>
      <c r="K108" s="1"/>
      <c r="L108" s="1"/>
      <c r="M108" s="1"/>
      <c r="N108" s="1"/>
      <c r="O108" s="1"/>
      <c r="P108" s="1"/>
      <c r="Q108" s="1"/>
      <c r="R108" s="1"/>
      <c r="S108" s="1"/>
      <c r="T108" s="1"/>
      <c r="U108" s="1"/>
      <c r="V108" s="1"/>
    </row>
    <row r="109" spans="1:22">
      <c r="A109" s="1"/>
      <c r="B109" s="1"/>
      <c r="C109" s="1"/>
      <c r="D109" s="1"/>
      <c r="E109" s="1"/>
      <c r="F109" s="1"/>
      <c r="G109" s="1"/>
      <c r="H109" s="1"/>
      <c r="I109" s="1"/>
      <c r="J109" s="1"/>
      <c r="K109" s="1"/>
      <c r="L109" s="1"/>
      <c r="M109" s="1"/>
      <c r="N109" s="1"/>
      <c r="O109" s="1"/>
      <c r="P109" s="1"/>
      <c r="Q109" s="1"/>
      <c r="R109" s="1"/>
      <c r="S109" s="1"/>
      <c r="T109" s="1"/>
      <c r="U109" s="1"/>
      <c r="V109" s="1"/>
    </row>
    <row r="110" spans="1:22">
      <c r="A110" s="1"/>
      <c r="B110" s="1"/>
      <c r="C110" s="1"/>
      <c r="D110" s="1"/>
      <c r="E110" s="1"/>
      <c r="F110" s="1"/>
      <c r="G110" s="1"/>
      <c r="H110" s="1"/>
      <c r="I110" s="1"/>
      <c r="J110" s="1"/>
      <c r="K110" s="1"/>
      <c r="L110" s="1"/>
      <c r="M110" s="1"/>
      <c r="N110" s="1"/>
      <c r="O110" s="1"/>
      <c r="P110" s="1"/>
      <c r="Q110" s="1"/>
      <c r="R110" s="1"/>
      <c r="S110" s="1"/>
      <c r="T110" s="1"/>
      <c r="U110" s="1"/>
      <c r="V110" s="1"/>
    </row>
    <row r="111" spans="1:22">
      <c r="A111" s="1"/>
      <c r="B111" s="1"/>
      <c r="C111" s="1"/>
      <c r="D111" s="1"/>
      <c r="E111" s="1"/>
      <c r="F111" s="1"/>
      <c r="G111" s="1"/>
      <c r="H111" s="1"/>
      <c r="I111" s="1"/>
      <c r="J111" s="1"/>
      <c r="K111" s="1"/>
      <c r="L111" s="1"/>
      <c r="M111" s="1"/>
      <c r="N111" s="1"/>
      <c r="O111" s="1"/>
      <c r="P111" s="1"/>
      <c r="Q111" s="1"/>
      <c r="R111" s="1"/>
      <c r="S111" s="1"/>
      <c r="T111" s="1"/>
      <c r="U111" s="1"/>
      <c r="V111" s="1"/>
    </row>
    <row r="112" spans="1:22">
      <c r="A112" s="1"/>
      <c r="B112" s="1"/>
      <c r="C112" s="1"/>
      <c r="D112" s="1"/>
      <c r="E112" s="1"/>
      <c r="F112" s="1"/>
      <c r="G112" s="1"/>
      <c r="H112" s="1"/>
      <c r="I112" s="1"/>
      <c r="J112" s="1"/>
      <c r="K112" s="1"/>
      <c r="L112" s="1"/>
      <c r="M112" s="1"/>
      <c r="N112" s="1"/>
      <c r="O112" s="1"/>
      <c r="P112" s="1"/>
      <c r="Q112" s="1"/>
      <c r="R112" s="1"/>
      <c r="S112" s="1"/>
      <c r="T112" s="1"/>
      <c r="U112" s="1"/>
      <c r="V112" s="1"/>
    </row>
    <row r="113" spans="1:22">
      <c r="A113" s="1"/>
      <c r="B113" s="1"/>
      <c r="C113" s="1"/>
      <c r="D113" s="1"/>
      <c r="E113" s="1"/>
      <c r="F113" s="1"/>
      <c r="G113" s="1"/>
      <c r="H113" s="1"/>
      <c r="I113" s="1"/>
      <c r="J113" s="1"/>
      <c r="K113" s="1"/>
      <c r="L113" s="1"/>
      <c r="M113" s="1"/>
      <c r="N113" s="1"/>
      <c r="O113" s="1"/>
      <c r="P113" s="1"/>
      <c r="Q113" s="1"/>
      <c r="R113" s="1"/>
      <c r="S113" s="1"/>
      <c r="T113" s="1"/>
      <c r="U113" s="1"/>
      <c r="V113" s="1"/>
    </row>
    <row r="114" spans="1:22">
      <c r="A114" s="1"/>
      <c r="B114" s="1"/>
      <c r="C114" s="1"/>
      <c r="D114" s="1"/>
      <c r="E114" s="1"/>
      <c r="F114" s="1"/>
      <c r="G114" s="1"/>
      <c r="H114" s="1"/>
      <c r="I114" s="1"/>
      <c r="J114" s="1"/>
      <c r="K114" s="1"/>
      <c r="L114" s="1"/>
      <c r="M114" s="1"/>
      <c r="N114" s="1"/>
      <c r="O114" s="1"/>
      <c r="P114" s="1"/>
      <c r="Q114" s="1"/>
      <c r="R114" s="1"/>
      <c r="S114" s="1"/>
      <c r="T114" s="1"/>
      <c r="U114" s="1"/>
      <c r="V114" s="1"/>
    </row>
    <row r="115" spans="1:22">
      <c r="A115" s="1"/>
      <c r="B115" s="1"/>
      <c r="C115" s="1"/>
      <c r="D115" s="1"/>
      <c r="E115" s="1"/>
      <c r="F115" s="1"/>
      <c r="G115" s="1"/>
      <c r="H115" s="1"/>
      <c r="I115" s="1"/>
      <c r="J115" s="1"/>
      <c r="K115" s="1"/>
      <c r="L115" s="1"/>
      <c r="M115" s="1"/>
      <c r="N115" s="1"/>
      <c r="O115" s="1"/>
      <c r="P115" s="1"/>
      <c r="Q115" s="1"/>
      <c r="R115" s="1"/>
      <c r="S115" s="1"/>
      <c r="T115" s="1"/>
      <c r="U115" s="1"/>
      <c r="V115" s="1"/>
    </row>
    <row r="116" spans="1:22">
      <c r="A116" s="1"/>
      <c r="B116" s="1"/>
      <c r="C116" s="1"/>
      <c r="D116" s="1"/>
      <c r="E116" s="1"/>
      <c r="F116" s="1"/>
      <c r="G116" s="1"/>
      <c r="H116" s="1"/>
      <c r="I116" s="1"/>
      <c r="J116" s="1"/>
      <c r="K116" s="1"/>
      <c r="L116" s="1"/>
      <c r="M116" s="1"/>
      <c r="N116" s="1"/>
      <c r="O116" s="1"/>
      <c r="P116" s="1"/>
      <c r="Q116" s="1"/>
      <c r="R116" s="1"/>
      <c r="S116" s="1"/>
      <c r="T116" s="1"/>
      <c r="U116" s="1"/>
      <c r="V116" s="1"/>
    </row>
    <row r="117" spans="1:22">
      <c r="A117" s="1"/>
      <c r="B117" s="1"/>
      <c r="C117" s="1"/>
      <c r="D117" s="1"/>
      <c r="E117" s="1"/>
      <c r="F117" s="1"/>
      <c r="G117" s="1"/>
      <c r="H117" s="1"/>
      <c r="I117" s="1"/>
      <c r="J117" s="1"/>
      <c r="K117" s="1"/>
      <c r="L117" s="1"/>
      <c r="M117" s="1"/>
      <c r="N117" s="1"/>
      <c r="O117" s="1"/>
      <c r="P117" s="1"/>
      <c r="Q117" s="1"/>
      <c r="R117" s="1"/>
      <c r="S117" s="1"/>
      <c r="T117" s="1"/>
      <c r="U117" s="1"/>
      <c r="V117" s="1"/>
    </row>
    <row r="118" spans="1:22">
      <c r="A118" s="1"/>
      <c r="B118" s="1"/>
      <c r="C118" s="1"/>
      <c r="D118" s="1"/>
      <c r="E118" s="1"/>
      <c r="F118" s="1"/>
      <c r="G118" s="1"/>
      <c r="H118" s="1"/>
      <c r="I118" s="1"/>
      <c r="J118" s="1"/>
      <c r="K118" s="1"/>
      <c r="L118" s="1"/>
      <c r="M118" s="1"/>
      <c r="N118" s="1"/>
      <c r="O118" s="1"/>
      <c r="P118" s="1"/>
      <c r="Q118" s="1"/>
      <c r="R118" s="1"/>
      <c r="S118" s="1"/>
      <c r="T118" s="1"/>
      <c r="U118" s="1"/>
      <c r="V118" s="1"/>
    </row>
    <row r="119" spans="1:22">
      <c r="A119" s="1"/>
      <c r="B119" s="1"/>
      <c r="C119" s="1"/>
      <c r="D119" s="1"/>
      <c r="E119" s="1"/>
      <c r="F119" s="1"/>
      <c r="G119" s="1"/>
      <c r="H119" s="1"/>
      <c r="I119" s="1"/>
      <c r="J119" s="1"/>
      <c r="K119" s="1"/>
      <c r="L119" s="1"/>
      <c r="M119" s="1"/>
      <c r="N119" s="1"/>
      <c r="O119" s="1"/>
      <c r="P119" s="1"/>
      <c r="Q119" s="1"/>
      <c r="R119" s="1"/>
      <c r="S119" s="1"/>
      <c r="T119" s="1"/>
      <c r="U119" s="1"/>
      <c r="V119" s="1"/>
    </row>
    <row r="120" spans="1:22">
      <c r="A120" s="1"/>
      <c r="B120" s="1"/>
      <c r="C120" s="1"/>
      <c r="D120" s="1"/>
      <c r="E120" s="1"/>
      <c r="F120" s="1"/>
      <c r="G120" s="1"/>
      <c r="H120" s="1"/>
      <c r="I120" s="1"/>
      <c r="J120" s="1"/>
      <c r="K120" s="1"/>
      <c r="L120" s="1"/>
      <c r="M120" s="1"/>
      <c r="N120" s="1"/>
      <c r="O120" s="1"/>
      <c r="P120" s="1"/>
      <c r="Q120" s="1"/>
      <c r="R120" s="1"/>
      <c r="S120" s="1"/>
      <c r="T120" s="1"/>
      <c r="U120" s="1"/>
      <c r="V120" s="1"/>
    </row>
    <row r="121" spans="1:22">
      <c r="A121" s="1"/>
      <c r="B121" s="1"/>
      <c r="C121" s="1"/>
      <c r="D121" s="1"/>
      <c r="E121" s="1"/>
      <c r="F121" s="1"/>
      <c r="G121" s="1"/>
      <c r="H121" s="1"/>
      <c r="I121" s="1"/>
      <c r="J121" s="1"/>
      <c r="K121" s="1"/>
      <c r="L121" s="1"/>
      <c r="M121" s="1"/>
      <c r="N121" s="1"/>
      <c r="O121" s="1"/>
      <c r="P121" s="1"/>
      <c r="Q121" s="1"/>
      <c r="R121" s="1"/>
      <c r="S121" s="1"/>
      <c r="T121" s="1"/>
      <c r="U121" s="1"/>
      <c r="V121" s="1"/>
    </row>
    <row r="122" spans="1:22">
      <c r="A122" s="1"/>
      <c r="B122" s="1"/>
      <c r="C122" s="1"/>
      <c r="D122" s="1"/>
      <c r="E122" s="1"/>
      <c r="F122" s="1"/>
      <c r="G122" s="1"/>
      <c r="H122" s="1"/>
      <c r="I122" s="1"/>
      <c r="J122" s="1"/>
      <c r="K122" s="1"/>
      <c r="L122" s="1"/>
      <c r="M122" s="1"/>
      <c r="N122" s="1"/>
      <c r="O122" s="1"/>
      <c r="P122" s="1"/>
      <c r="Q122" s="1"/>
      <c r="R122" s="1"/>
      <c r="S122" s="1"/>
      <c r="T122" s="1"/>
      <c r="U122" s="1"/>
      <c r="V122" s="1"/>
    </row>
    <row r="123" spans="1:22">
      <c r="A123" s="1"/>
      <c r="B123" s="1"/>
      <c r="C123" s="1"/>
      <c r="D123" s="1"/>
      <c r="E123" s="1"/>
      <c r="F123" s="1"/>
      <c r="G123" s="1"/>
      <c r="H123" s="1"/>
      <c r="I123" s="1"/>
      <c r="J123" s="1"/>
      <c r="K123" s="1"/>
      <c r="L123" s="1"/>
      <c r="M123" s="1"/>
      <c r="N123" s="1"/>
      <c r="O123" s="1"/>
      <c r="P123" s="1"/>
      <c r="Q123" s="1"/>
      <c r="R123" s="1"/>
      <c r="S123" s="1"/>
      <c r="T123" s="1"/>
      <c r="U123" s="1"/>
      <c r="V123" s="1"/>
    </row>
    <row r="124" spans="1:22">
      <c r="A124" s="1"/>
      <c r="B124" s="1"/>
      <c r="C124" s="1"/>
      <c r="D124" s="1"/>
      <c r="E124" s="1"/>
      <c r="F124" s="1"/>
      <c r="G124" s="1"/>
      <c r="H124" s="1"/>
      <c r="I124" s="1"/>
      <c r="J124" s="1"/>
      <c r="K124" s="1"/>
      <c r="L124" s="1"/>
      <c r="M124" s="1"/>
      <c r="N124" s="1"/>
      <c r="O124" s="1"/>
      <c r="P124" s="1"/>
      <c r="Q124" s="1"/>
      <c r="R124" s="1"/>
      <c r="S124" s="1"/>
      <c r="T124" s="1"/>
      <c r="U124" s="1"/>
      <c r="V124" s="1"/>
    </row>
    <row r="125" spans="1:22">
      <c r="A125" s="1"/>
      <c r="B125" s="1"/>
      <c r="C125" s="1"/>
      <c r="D125" s="1"/>
      <c r="E125" s="1"/>
      <c r="F125" s="1"/>
      <c r="G125" s="1"/>
      <c r="H125" s="1"/>
      <c r="I125" s="1"/>
      <c r="J125" s="1"/>
      <c r="K125" s="1"/>
      <c r="L125" s="1"/>
      <c r="M125" s="1"/>
      <c r="N125" s="1"/>
      <c r="O125" s="1"/>
      <c r="P125" s="1"/>
      <c r="Q125" s="1"/>
      <c r="R125" s="1"/>
      <c r="S125" s="1"/>
      <c r="T125" s="1"/>
      <c r="U125" s="1"/>
      <c r="V125" s="1"/>
    </row>
    <row r="126" spans="1:22">
      <c r="A126" s="1"/>
      <c r="B126" s="1"/>
      <c r="C126" s="1"/>
      <c r="D126" s="1"/>
      <c r="E126" s="1"/>
      <c r="F126" s="1"/>
      <c r="G126" s="1"/>
      <c r="H126" s="1"/>
      <c r="I126" s="1"/>
      <c r="J126" s="1"/>
      <c r="K126" s="1"/>
      <c r="L126" s="1"/>
      <c r="M126" s="1"/>
      <c r="N126" s="1"/>
      <c r="O126" s="1"/>
      <c r="P126" s="1"/>
      <c r="Q126" s="1"/>
      <c r="R126" s="1"/>
      <c r="S126" s="1"/>
      <c r="T126" s="1"/>
      <c r="U126" s="1"/>
      <c r="V126" s="1"/>
    </row>
    <row r="127" spans="1:22">
      <c r="A127" s="1"/>
      <c r="B127" s="1"/>
      <c r="C127" s="1"/>
      <c r="D127" s="1"/>
      <c r="E127" s="1"/>
      <c r="F127" s="1"/>
      <c r="G127" s="1"/>
      <c r="H127" s="1"/>
      <c r="I127" s="1"/>
      <c r="J127" s="1"/>
      <c r="K127" s="1"/>
      <c r="L127" s="1"/>
      <c r="M127" s="1"/>
      <c r="N127" s="1"/>
      <c r="O127" s="1"/>
      <c r="P127" s="1"/>
      <c r="Q127" s="1"/>
      <c r="R127" s="1"/>
      <c r="S127" s="1"/>
      <c r="T127" s="1"/>
      <c r="U127" s="1"/>
      <c r="V127" s="1"/>
    </row>
    <row r="128" spans="1:22">
      <c r="A128" s="1"/>
      <c r="B128" s="1"/>
      <c r="C128" s="1"/>
      <c r="D128" s="1"/>
      <c r="E128" s="1"/>
      <c r="F128" s="1"/>
      <c r="G128" s="1"/>
      <c r="H128" s="1"/>
      <c r="I128" s="1"/>
      <c r="J128" s="1"/>
      <c r="K128" s="1"/>
      <c r="L128" s="1"/>
      <c r="M128" s="1"/>
      <c r="N128" s="1"/>
      <c r="O128" s="1"/>
      <c r="P128" s="1"/>
      <c r="Q128" s="1"/>
      <c r="R128" s="1"/>
      <c r="S128" s="1"/>
      <c r="T128" s="1"/>
      <c r="U128" s="1"/>
      <c r="V128" s="1"/>
    </row>
    <row r="129" spans="1:22">
      <c r="A129" s="1"/>
      <c r="B129" s="1"/>
      <c r="C129" s="1"/>
      <c r="D129" s="1"/>
      <c r="E129" s="1"/>
      <c r="F129" s="1"/>
      <c r="G129" s="1"/>
      <c r="H129" s="1"/>
      <c r="I129" s="1"/>
      <c r="J129" s="1"/>
      <c r="K129" s="1"/>
      <c r="L129" s="1"/>
      <c r="M129" s="1"/>
      <c r="N129" s="1"/>
      <c r="O129" s="1"/>
      <c r="P129" s="1"/>
      <c r="Q129" s="1"/>
      <c r="R129" s="1"/>
      <c r="S129" s="1"/>
      <c r="T129" s="1"/>
      <c r="U129" s="1"/>
      <c r="V129" s="1"/>
    </row>
    <row r="130" spans="1:22">
      <c r="A130" s="1"/>
      <c r="B130" s="1"/>
      <c r="C130" s="1"/>
      <c r="D130" s="1"/>
      <c r="E130" s="1"/>
      <c r="F130" s="1"/>
      <c r="G130" s="1"/>
      <c r="H130" s="1"/>
      <c r="I130" s="1"/>
      <c r="J130" s="1"/>
      <c r="K130" s="1"/>
      <c r="L130" s="1"/>
      <c r="M130" s="1"/>
      <c r="N130" s="1"/>
      <c r="O130" s="1"/>
      <c r="P130" s="1"/>
      <c r="Q130" s="1"/>
      <c r="R130" s="1"/>
      <c r="S130" s="1"/>
      <c r="T130" s="1"/>
      <c r="U130" s="1"/>
      <c r="V130" s="1"/>
    </row>
    <row r="131" spans="1:22">
      <c r="A131" s="1"/>
      <c r="B131" s="1"/>
      <c r="C131" s="1"/>
      <c r="D131" s="1"/>
      <c r="E131" s="1"/>
      <c r="F131" s="1"/>
      <c r="G131" s="1"/>
      <c r="H131" s="1"/>
      <c r="I131" s="1"/>
      <c r="J131" s="1"/>
      <c r="K131" s="1"/>
      <c r="L131" s="1"/>
      <c r="M131" s="1"/>
      <c r="N131" s="1"/>
      <c r="O131" s="1"/>
      <c r="P131" s="1"/>
      <c r="Q131" s="1"/>
      <c r="R131" s="1"/>
      <c r="S131" s="1"/>
      <c r="T131" s="1"/>
      <c r="U131" s="1"/>
      <c r="V131" s="1"/>
    </row>
    <row r="132" spans="1:22">
      <c r="A132" s="1"/>
      <c r="B132" s="1"/>
      <c r="C132" s="1"/>
      <c r="D132" s="1"/>
      <c r="E132" s="1"/>
      <c r="F132" s="1"/>
      <c r="G132" s="1"/>
      <c r="H132" s="1"/>
      <c r="I132" s="1"/>
      <c r="J132" s="1"/>
      <c r="K132" s="1"/>
      <c r="L132" s="1"/>
      <c r="M132" s="1"/>
      <c r="N132" s="1"/>
      <c r="O132" s="1"/>
      <c r="P132" s="1"/>
      <c r="Q132" s="1"/>
      <c r="R132" s="1"/>
      <c r="S132" s="1"/>
      <c r="T132" s="1"/>
      <c r="U132" s="1"/>
      <c r="V132" s="1"/>
    </row>
  </sheetData>
  <mergeCells count="234">
    <mergeCell ref="L72:N72"/>
    <mergeCell ref="L73:N73"/>
    <mergeCell ref="L75:N75"/>
    <mergeCell ref="L74:N74"/>
    <mergeCell ref="C9:N9"/>
    <mergeCell ref="C70:E70"/>
    <mergeCell ref="F70:H70"/>
    <mergeCell ref="I70:K70"/>
    <mergeCell ref="L70:N70"/>
    <mergeCell ref="F66:H66"/>
    <mergeCell ref="F63:H63"/>
    <mergeCell ref="F64:H64"/>
    <mergeCell ref="F65:H65"/>
    <mergeCell ref="F67:H67"/>
    <mergeCell ref="I63:K63"/>
    <mergeCell ref="I64:K64"/>
    <mergeCell ref="I65:K65"/>
    <mergeCell ref="I66:K66"/>
    <mergeCell ref="I67:K67"/>
    <mergeCell ref="I68:K68"/>
    <mergeCell ref="K28:L28"/>
    <mergeCell ref="K29:L29"/>
    <mergeCell ref="K30:L30"/>
    <mergeCell ref="K31:L31"/>
    <mergeCell ref="L92:N92"/>
    <mergeCell ref="L93:N93"/>
    <mergeCell ref="L81:N81"/>
    <mergeCell ref="L82:N82"/>
    <mergeCell ref="L84:N84"/>
    <mergeCell ref="L85:N85"/>
    <mergeCell ref="L87:N87"/>
    <mergeCell ref="L88:N88"/>
    <mergeCell ref="C20:D20"/>
    <mergeCell ref="C21:D21"/>
    <mergeCell ref="I26:N26"/>
    <mergeCell ref="C37:H37"/>
    <mergeCell ref="D57:D58"/>
    <mergeCell ref="E57:E58"/>
    <mergeCell ref="L68:N68"/>
    <mergeCell ref="L69:N69"/>
    <mergeCell ref="L71:N71"/>
    <mergeCell ref="F91:H91"/>
    <mergeCell ref="F92:H92"/>
    <mergeCell ref="F93:H93"/>
    <mergeCell ref="F77:H77"/>
    <mergeCell ref="F79:H79"/>
    <mergeCell ref="F80:H80"/>
    <mergeCell ref="F81:H81"/>
    <mergeCell ref="F82:H82"/>
    <mergeCell ref="F84:H84"/>
    <mergeCell ref="F78:H78"/>
    <mergeCell ref="F87:H87"/>
    <mergeCell ref="F90:H90"/>
    <mergeCell ref="L89:N89"/>
    <mergeCell ref="L90:N90"/>
    <mergeCell ref="L91:N91"/>
    <mergeCell ref="I91:K91"/>
    <mergeCell ref="F85:H85"/>
    <mergeCell ref="F88:H88"/>
    <mergeCell ref="I90:K90"/>
    <mergeCell ref="I81:K81"/>
    <mergeCell ref="I92:K92"/>
    <mergeCell ref="I93:K93"/>
    <mergeCell ref="I88:K88"/>
    <mergeCell ref="I89:K89"/>
    <mergeCell ref="M33:N33"/>
    <mergeCell ref="L76:N76"/>
    <mergeCell ref="L77:N77"/>
    <mergeCell ref="L78:N78"/>
    <mergeCell ref="L79:N79"/>
    <mergeCell ref="L80:N80"/>
    <mergeCell ref="L63:N63"/>
    <mergeCell ref="L64:N64"/>
    <mergeCell ref="L65:N65"/>
    <mergeCell ref="L66:N66"/>
    <mergeCell ref="L67:N67"/>
    <mergeCell ref="I82:K82"/>
    <mergeCell ref="I84:K84"/>
    <mergeCell ref="I85:K85"/>
    <mergeCell ref="I87:K87"/>
    <mergeCell ref="I76:K76"/>
    <mergeCell ref="I72:K72"/>
    <mergeCell ref="I73:K73"/>
    <mergeCell ref="I74:K74"/>
    <mergeCell ref="I75:K75"/>
    <mergeCell ref="I77:K77"/>
    <mergeCell ref="I78:K78"/>
    <mergeCell ref="I79:K79"/>
    <mergeCell ref="I80:K80"/>
    <mergeCell ref="I69:K69"/>
    <mergeCell ref="I71:K71"/>
    <mergeCell ref="M32:N32"/>
    <mergeCell ref="C92:E92"/>
    <mergeCell ref="C93:E93"/>
    <mergeCell ref="K32:L32"/>
    <mergeCell ref="K33:L33"/>
    <mergeCell ref="F68:H68"/>
    <mergeCell ref="F69:H69"/>
    <mergeCell ref="C82:E82"/>
    <mergeCell ref="C84:E84"/>
    <mergeCell ref="C85:E85"/>
    <mergeCell ref="C88:E88"/>
    <mergeCell ref="C89:E89"/>
    <mergeCell ref="C91:E91"/>
    <mergeCell ref="C75:E75"/>
    <mergeCell ref="C76:E76"/>
    <mergeCell ref="F71:H71"/>
    <mergeCell ref="F72:H72"/>
    <mergeCell ref="F73:H73"/>
    <mergeCell ref="F74:H74"/>
    <mergeCell ref="F75:H75"/>
    <mergeCell ref="C66:E66"/>
    <mergeCell ref="C78:E78"/>
    <mergeCell ref="C87:E87"/>
    <mergeCell ref="C90:E90"/>
    <mergeCell ref="F61:H61"/>
    <mergeCell ref="I61:K61"/>
    <mergeCell ref="C63:E63"/>
    <mergeCell ref="C64:E64"/>
    <mergeCell ref="C65:E65"/>
    <mergeCell ref="C67:E67"/>
    <mergeCell ref="C77:E77"/>
    <mergeCell ref="C79:E79"/>
    <mergeCell ref="C80:E80"/>
    <mergeCell ref="C81:E81"/>
    <mergeCell ref="C68:E68"/>
    <mergeCell ref="C69:E69"/>
    <mergeCell ref="C71:E71"/>
    <mergeCell ref="C72:E72"/>
    <mergeCell ref="C73:E73"/>
    <mergeCell ref="C74:E74"/>
    <mergeCell ref="F76:H76"/>
    <mergeCell ref="F89:H89"/>
    <mergeCell ref="F47:H47"/>
    <mergeCell ref="I47:N47"/>
    <mergeCell ref="C60:N60"/>
    <mergeCell ref="C61:E61"/>
    <mergeCell ref="C62:E62"/>
    <mergeCell ref="L61:N61"/>
    <mergeCell ref="I62:K62"/>
    <mergeCell ref="C42:C43"/>
    <mergeCell ref="D42:D43"/>
    <mergeCell ref="E42:F43"/>
    <mergeCell ref="G42:H43"/>
    <mergeCell ref="C44:C45"/>
    <mergeCell ref="D44:D45"/>
    <mergeCell ref="E44:F45"/>
    <mergeCell ref="G44:H45"/>
    <mergeCell ref="L62:N62"/>
    <mergeCell ref="F62:H62"/>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 ref="G20:H20"/>
    <mergeCell ref="I20:J20"/>
    <mergeCell ref="K20:L20"/>
    <mergeCell ref="M20:N20"/>
    <mergeCell ref="C7:F7"/>
    <mergeCell ref="I35:N35"/>
    <mergeCell ref="M27:N27"/>
    <mergeCell ref="M28:N28"/>
    <mergeCell ref="M101:N101"/>
    <mergeCell ref="M102:N102"/>
    <mergeCell ref="M103:N103"/>
    <mergeCell ref="G7:J7"/>
    <mergeCell ref="K7:N7"/>
    <mergeCell ref="C8:F8"/>
    <mergeCell ref="K8:N8"/>
    <mergeCell ref="I24:I25"/>
    <mergeCell ref="K27:L27"/>
    <mergeCell ref="C57:C58"/>
    <mergeCell ref="C38:C39"/>
    <mergeCell ref="D38:D39"/>
    <mergeCell ref="E38:F39"/>
    <mergeCell ref="G38:H39"/>
    <mergeCell ref="C40:C41"/>
    <mergeCell ref="D40:D41"/>
    <mergeCell ref="E40:F41"/>
    <mergeCell ref="G40:H41"/>
    <mergeCell ref="G36:H36"/>
    <mergeCell ref="E36:F36"/>
    <mergeCell ref="M29:N29"/>
    <mergeCell ref="M30:N30"/>
    <mergeCell ref="M31:N31"/>
    <mergeCell ref="C47:E47"/>
    <mergeCell ref="I95:N95"/>
    <mergeCell ref="I96:J96"/>
    <mergeCell ref="K96:L96"/>
    <mergeCell ref="M96:N96"/>
    <mergeCell ref="I97:J97"/>
    <mergeCell ref="I98:J98"/>
    <mergeCell ref="I99:J99"/>
    <mergeCell ref="I100:J100"/>
    <mergeCell ref="M97:N97"/>
    <mergeCell ref="M98:N98"/>
    <mergeCell ref="M99:N99"/>
    <mergeCell ref="M100:N100"/>
    <mergeCell ref="C5:N5"/>
    <mergeCell ref="C83:E83"/>
    <mergeCell ref="C86:E86"/>
    <mergeCell ref="M104:N104"/>
    <mergeCell ref="M105:N105"/>
    <mergeCell ref="I104:L104"/>
    <mergeCell ref="I105:L105"/>
    <mergeCell ref="I101:J101"/>
    <mergeCell ref="I102:J102"/>
    <mergeCell ref="I103:J103"/>
    <mergeCell ref="F86:H86"/>
    <mergeCell ref="I86:K86"/>
    <mergeCell ref="L86:N86"/>
    <mergeCell ref="F83:H83"/>
    <mergeCell ref="I83:K83"/>
    <mergeCell ref="L83:N83"/>
    <mergeCell ref="K97:L97"/>
    <mergeCell ref="K98:L98"/>
    <mergeCell ref="K99:L99"/>
    <mergeCell ref="K100:L100"/>
    <mergeCell ref="K101:L101"/>
    <mergeCell ref="K102:L102"/>
    <mergeCell ref="K103:L103"/>
    <mergeCell ref="C95:H9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tabColor theme="5"/>
  </sheetPr>
  <dimension ref="A1:AS250"/>
  <sheetViews>
    <sheetView topLeftCell="A4" zoomScale="85" zoomScaleNormal="85" workbookViewId="0">
      <selection activeCell="C30" sqref="C30"/>
    </sheetView>
  </sheetViews>
  <sheetFormatPr defaultRowHeight="15.5"/>
  <cols>
    <col min="4" max="4" width="11.33203125" customWidth="1"/>
    <col min="5" max="5" width="10.58203125" customWidth="1"/>
    <col min="6" max="6" width="12" customWidth="1"/>
    <col min="7" max="7" width="10.25" customWidth="1"/>
    <col min="8" max="9" width="9.08203125" customWidth="1"/>
    <col min="10" max="10" width="11" customWidth="1"/>
    <col min="11" max="12" width="9.08203125" customWidth="1"/>
    <col min="13" max="13" width="11.5" customWidth="1"/>
    <col min="14" max="14" width="10.33203125" customWidth="1"/>
    <col min="15" max="15" width="10.83203125" bestFit="1" customWidth="1"/>
    <col min="16" max="16" width="9.33203125" customWidth="1"/>
    <col min="17" max="17" width="9.58203125" bestFit="1" customWidth="1"/>
    <col min="18" max="21" width="8.75" bestFit="1" customWidth="1"/>
    <col min="22" max="22" width="9.58203125" bestFit="1" customWidth="1"/>
    <col min="23" max="26" width="8.75" bestFit="1" customWidth="1"/>
    <col min="27" max="27" width="9.58203125" bestFit="1" customWidth="1"/>
    <col min="28" max="28" width="8.75" bestFit="1" customWidth="1"/>
    <col min="29" max="29" width="10.33203125" customWidth="1"/>
    <col min="30" max="30" width="8.75" bestFit="1" customWidth="1"/>
    <col min="31" max="31" width="9.58203125" bestFit="1" customWidth="1"/>
    <col min="32" max="33" width="8.75" bestFit="1" customWidth="1"/>
    <col min="34" max="34" width="9.58203125" bestFit="1" customWidth="1"/>
    <col min="35" max="36" width="8.75" bestFit="1" customWidth="1"/>
    <col min="37" max="37" width="9.58203125" bestFit="1" customWidth="1"/>
    <col min="38" max="39" width="8.75" bestFit="1" customWidth="1"/>
    <col min="40" max="40" width="9.58203125" bestFit="1" customWidth="1"/>
  </cols>
  <sheetData>
    <row r="1" spans="1:38" hidden="1"/>
    <row r="2" spans="1:38" hidden="1">
      <c r="A2" s="599" t="s">
        <v>122</v>
      </c>
      <c r="B2" t="s">
        <v>356</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357</v>
      </c>
      <c r="B3" t="s">
        <v>358</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186" t="s">
        <v>359</v>
      </c>
      <c r="E4" s="1187"/>
      <c r="F4" s="1187"/>
      <c r="G4" s="1187"/>
      <c r="H4" s="1187"/>
      <c r="I4" s="1187"/>
      <c r="J4" s="1187"/>
      <c r="K4" s="1187"/>
      <c r="L4" s="1187"/>
      <c r="M4" s="1187"/>
      <c r="N4" s="1187"/>
      <c r="O4" s="1187"/>
      <c r="P4" s="1187"/>
      <c r="Q4" s="1187"/>
      <c r="R4" s="1188"/>
      <c r="S4" s="1"/>
      <c r="T4" s="1"/>
      <c r="U4" s="1"/>
      <c r="V4" s="1"/>
      <c r="W4" s="1"/>
      <c r="X4" s="1"/>
      <c r="Y4" s="1"/>
      <c r="Z4" s="1"/>
      <c r="AA4" s="1"/>
      <c r="AB4" s="1"/>
      <c r="AC4" s="1"/>
      <c r="AD4" s="1"/>
      <c r="AE4" s="1"/>
      <c r="AF4" s="1"/>
      <c r="AG4" s="1"/>
      <c r="AH4" s="1"/>
      <c r="AI4" s="1"/>
      <c r="AJ4" s="1"/>
      <c r="AK4" s="1"/>
      <c r="AL4" s="1"/>
    </row>
    <row r="5" spans="1:38" ht="26.25" customHeight="1">
      <c r="A5" s="1"/>
      <c r="B5" s="1"/>
      <c r="C5" s="1"/>
      <c r="D5" s="1189"/>
      <c r="E5" s="1190"/>
      <c r="F5" s="1190"/>
      <c r="G5" s="1190"/>
      <c r="H5" s="1190"/>
      <c r="I5" s="1190"/>
      <c r="J5" s="1190"/>
      <c r="K5" s="1190"/>
      <c r="L5" s="1190"/>
      <c r="M5" s="1190"/>
      <c r="N5" s="1190"/>
      <c r="O5" s="1190"/>
      <c r="P5" s="1190"/>
      <c r="Q5" s="1190"/>
      <c r="R5" s="1191"/>
      <c r="S5" s="1"/>
      <c r="T5" s="1"/>
      <c r="U5" s="1"/>
      <c r="V5" s="1"/>
      <c r="W5" s="1"/>
      <c r="X5" s="1"/>
      <c r="Y5" s="1"/>
      <c r="Z5" s="1"/>
      <c r="AA5" s="1"/>
      <c r="AB5" s="1"/>
      <c r="AC5" s="1"/>
      <c r="AD5" s="1"/>
      <c r="AE5" s="1"/>
      <c r="AF5" s="1"/>
      <c r="AG5" s="1"/>
      <c r="AH5" s="1"/>
      <c r="AI5" s="1"/>
      <c r="AJ5" s="1"/>
      <c r="AK5" s="1"/>
      <c r="AL5" s="1"/>
    </row>
    <row r="6" spans="1:38" ht="28.5">
      <c r="A6" s="1"/>
      <c r="B6" s="1"/>
      <c r="C6" s="1"/>
      <c r="D6" s="1192" t="str">
        <f>B2</f>
        <v>(All)</v>
      </c>
      <c r="E6" s="1193"/>
      <c r="F6" s="1193"/>
      <c r="G6" s="1193"/>
      <c r="H6" s="1193"/>
      <c r="I6" s="1193"/>
      <c r="J6" s="1193"/>
      <c r="K6" s="1193"/>
      <c r="L6" s="1193"/>
      <c r="M6" s="1193"/>
      <c r="N6" s="1193"/>
      <c r="O6" s="1193"/>
      <c r="P6" s="1193"/>
      <c r="Q6" s="1193"/>
      <c r="R6" s="1194"/>
      <c r="S6" s="1"/>
      <c r="T6" s="1"/>
      <c r="U6" s="1"/>
      <c r="V6" s="1"/>
      <c r="W6" s="1"/>
      <c r="X6" s="1"/>
      <c r="Y6" s="1"/>
      <c r="Z6" s="1"/>
      <c r="AA6" s="1"/>
      <c r="AB6" s="1"/>
      <c r="AC6" s="1"/>
      <c r="AD6" s="1"/>
      <c r="AE6" s="1"/>
      <c r="AF6" s="1"/>
      <c r="AG6" s="1"/>
      <c r="AH6" s="1"/>
      <c r="AI6" s="1"/>
      <c r="AJ6" s="1"/>
      <c r="AK6" s="1"/>
      <c r="AL6" s="1"/>
    </row>
    <row r="7" spans="1:38" ht="12" customHeight="1">
      <c r="A7" s="1"/>
      <c r="B7" s="1"/>
      <c r="C7" s="1"/>
      <c r="D7" s="946"/>
      <c r="E7" s="946"/>
      <c r="F7" s="946"/>
      <c r="G7" s="946"/>
      <c r="H7" s="946"/>
      <c r="I7" s="946"/>
      <c r="J7" s="946"/>
      <c r="K7" s="946"/>
      <c r="L7" s="946"/>
      <c r="M7" s="946"/>
      <c r="N7" s="946"/>
      <c r="O7" s="946"/>
      <c r="P7" s="946"/>
      <c r="Q7" s="946"/>
      <c r="R7" s="946"/>
      <c r="S7" s="1"/>
      <c r="T7" s="1"/>
      <c r="U7" s="1"/>
      <c r="V7" s="1"/>
      <c r="W7" s="1"/>
      <c r="X7" s="1"/>
      <c r="Y7" s="1"/>
      <c r="Z7" s="1"/>
      <c r="AA7" s="1"/>
      <c r="AB7" s="1"/>
      <c r="AC7" s="1"/>
      <c r="AD7" s="1"/>
      <c r="AE7" s="1"/>
      <c r="AF7" s="1"/>
      <c r="AG7" s="1"/>
      <c r="AH7" s="1"/>
      <c r="AI7" s="1"/>
      <c r="AJ7" s="1"/>
      <c r="AK7" s="1"/>
      <c r="AL7" s="1"/>
    </row>
    <row r="8" spans="1:38">
      <c r="A8" s="1"/>
      <c r="B8" s="1"/>
      <c r="C8" s="1"/>
      <c r="D8" s="1147" t="s">
        <v>301</v>
      </c>
      <c r="E8" s="1148"/>
      <c r="F8" s="1148"/>
      <c r="G8" s="1148"/>
      <c r="H8" s="1148"/>
      <c r="I8" s="1148"/>
      <c r="J8" s="1148"/>
      <c r="K8" s="1148"/>
      <c r="L8" s="1148"/>
      <c r="M8" s="1148"/>
      <c r="N8" s="1148"/>
      <c r="O8" s="1148"/>
      <c r="P8" s="1148"/>
      <c r="Q8" s="1148"/>
      <c r="R8" s="1149"/>
      <c r="S8" s="1"/>
      <c r="T8" s="1"/>
      <c r="U8" s="1"/>
      <c r="V8" s="1"/>
      <c r="W8" s="1"/>
      <c r="X8" s="1"/>
      <c r="Y8" s="1"/>
      <c r="Z8" s="1"/>
      <c r="AA8" s="1"/>
      <c r="AB8" s="1"/>
      <c r="AC8" s="1"/>
      <c r="AD8" s="1"/>
      <c r="AE8" s="1"/>
      <c r="AF8" s="1"/>
      <c r="AG8" s="1"/>
      <c r="AH8" s="1"/>
      <c r="AI8" s="1"/>
      <c r="AJ8" s="1"/>
      <c r="AK8" s="1"/>
      <c r="AL8" s="1"/>
    </row>
    <row r="9" spans="1:38">
      <c r="A9" s="1"/>
      <c r="B9" s="1"/>
      <c r="C9" s="1"/>
      <c r="D9" s="1150"/>
      <c r="E9" s="1151"/>
      <c r="F9" s="1151"/>
      <c r="G9" s="1151"/>
      <c r="H9" s="1151"/>
      <c r="I9" s="1151"/>
      <c r="J9" s="1151"/>
      <c r="K9" s="1151"/>
      <c r="L9" s="1151"/>
      <c r="M9" s="1151"/>
      <c r="N9" s="1151"/>
      <c r="O9" s="1151"/>
      <c r="P9" s="1151"/>
      <c r="Q9" s="1151"/>
      <c r="R9" s="1152"/>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99" customFormat="1" ht="33.75" customHeight="1">
      <c r="A11" s="906"/>
      <c r="B11" s="906"/>
      <c r="C11" s="906"/>
      <c r="D11" s="1174" t="s">
        <v>360</v>
      </c>
      <c r="E11" s="1174"/>
      <c r="F11" s="1174"/>
      <c r="G11" s="1174" t="s">
        <v>361</v>
      </c>
      <c r="H11" s="1174"/>
      <c r="I11" s="1174"/>
      <c r="J11" s="1174" t="s">
        <v>362</v>
      </c>
      <c r="K11" s="1174"/>
      <c r="L11" s="1174"/>
      <c r="M11" s="1174" t="s">
        <v>363</v>
      </c>
      <c r="N11" s="1174"/>
      <c r="O11" s="1174"/>
      <c r="P11" s="1174" t="s">
        <v>364</v>
      </c>
      <c r="Q11" s="1174"/>
      <c r="R11" s="1174"/>
      <c r="S11" s="906"/>
      <c r="T11" s="906"/>
      <c r="U11" s="906"/>
      <c r="V11" s="906"/>
      <c r="W11" s="906"/>
      <c r="X11" s="906"/>
      <c r="Y11" s="906"/>
      <c r="Z11" s="906"/>
      <c r="AA11" s="906"/>
      <c r="AB11" s="906"/>
      <c r="AC11" s="906"/>
      <c r="AD11" s="906"/>
      <c r="AE11" s="906"/>
      <c r="AF11" s="906"/>
      <c r="AG11" s="906"/>
      <c r="AH11" s="906"/>
      <c r="AI11" s="906"/>
      <c r="AJ11" s="906"/>
      <c r="AK11" s="906"/>
      <c r="AL11" s="906"/>
    </row>
    <row r="12" spans="1:38">
      <c r="A12" s="1"/>
      <c r="B12" s="1"/>
      <c r="C12" s="1"/>
      <c r="D12" s="1177">
        <f>'DB(2) Pivots'!A245</f>
        <v>131</v>
      </c>
      <c r="E12" s="1177"/>
      <c r="F12" s="1177"/>
      <c r="G12" s="1178">
        <f>GETPIVOTDATA("Funding Amount",'DB(2) Pivots'!$A$9)</f>
        <v>3237668342.9152331</v>
      </c>
      <c r="H12" s="1178"/>
      <c r="I12" s="1178"/>
      <c r="J12" s="1179">
        <f>'DB(2) Pivots'!D250</f>
        <v>421.57945531766285</v>
      </c>
      <c r="K12" s="1179"/>
      <c r="L12" s="1179"/>
      <c r="M12" s="1179">
        <f>'DB(2) Pivots'!F250</f>
        <v>3.2181637810508614</v>
      </c>
      <c r="N12" s="1179"/>
      <c r="O12" s="1179"/>
      <c r="P12" s="1175">
        <f>'DB(2) Pivots'!H250</f>
        <v>1.4905188868900503</v>
      </c>
      <c r="Q12" s="1176"/>
      <c r="R12" s="947" t="str">
        <f>_xlfn.CONCAT("(",'DB(2) Pivots'!J250,")")</f>
        <v>(102)</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903"/>
      <c r="H13" s="903"/>
      <c r="I13" s="903"/>
      <c r="J13" s="904"/>
      <c r="K13" s="904"/>
      <c r="L13" s="904"/>
      <c r="M13" s="904"/>
      <c r="N13" s="904"/>
      <c r="O13" s="904"/>
      <c r="P13" s="904"/>
      <c r="Q13" s="904"/>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174" t="s">
        <v>365</v>
      </c>
      <c r="E14" s="1174"/>
      <c r="F14" s="1174"/>
      <c r="G14" s="1174" t="s">
        <v>366</v>
      </c>
      <c r="H14" s="1174"/>
      <c r="I14" s="1174"/>
      <c r="J14" s="1174" t="s">
        <v>367</v>
      </c>
      <c r="K14" s="1174"/>
      <c r="L14" s="1174"/>
      <c r="M14" s="1174" t="s">
        <v>368</v>
      </c>
      <c r="N14" s="1174"/>
      <c r="O14" s="1174"/>
      <c r="P14" s="1174" t="s">
        <v>369</v>
      </c>
      <c r="Q14" s="1174"/>
      <c r="R14" s="1174"/>
      <c r="S14" s="1"/>
      <c r="T14" s="1"/>
      <c r="U14" s="1"/>
      <c r="V14" s="1"/>
      <c r="W14" s="1"/>
      <c r="X14" s="1"/>
      <c r="Y14" s="1"/>
      <c r="Z14" s="1"/>
      <c r="AA14" s="1"/>
      <c r="AB14" s="1"/>
      <c r="AC14" s="1"/>
      <c r="AD14" s="1"/>
      <c r="AE14" s="1"/>
      <c r="AF14" s="1"/>
      <c r="AG14" s="1"/>
      <c r="AH14" s="1"/>
      <c r="AI14" s="1"/>
      <c r="AJ14" s="1"/>
      <c r="AK14" s="1"/>
      <c r="AL14" s="1"/>
    </row>
    <row r="15" spans="1:38">
      <c r="A15" s="1"/>
      <c r="B15" s="1"/>
      <c r="C15" s="1"/>
      <c r="D15" s="1157">
        <f>'DB(2) Pivots'!A175</f>
        <v>27</v>
      </c>
      <c r="E15" s="1157"/>
      <c r="F15" s="1157"/>
      <c r="G15" s="1157">
        <f>'DB(2) Pivots'!C245</f>
        <v>91</v>
      </c>
      <c r="H15" s="1157"/>
      <c r="I15" s="1157"/>
      <c r="J15" s="1157">
        <f>'DB(2) Pivots'!I14</f>
        <v>65</v>
      </c>
      <c r="K15" s="1157"/>
      <c r="L15" s="1157"/>
      <c r="M15" s="1157">
        <f>'DB(2) Pivots'!K14</f>
        <v>8</v>
      </c>
      <c r="N15" s="1157"/>
      <c r="O15" s="1157"/>
      <c r="P15" s="1157">
        <f>'DB(2) Pivots'!J14</f>
        <v>7</v>
      </c>
      <c r="Q15" s="1157"/>
      <c r="R15" s="1157"/>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147" t="s">
        <v>370</v>
      </c>
      <c r="B17" s="1148"/>
      <c r="C17" s="1149"/>
      <c r="D17" s="1162" t="str">
        <f>_xlfn.CONCAT("Table 1. ",B2," financing for delivery by income classification")</f>
        <v>Table 1. (All) financing for delivery by income classification</v>
      </c>
      <c r="E17" s="1162"/>
      <c r="F17" s="1162"/>
      <c r="G17" s="1162"/>
      <c r="H17" s="1162"/>
      <c r="I17" s="1162"/>
      <c r="J17" s="1162"/>
      <c r="K17" s="1162"/>
      <c r="L17" s="1162" t="str">
        <f>_xlfn.CONCAT("Figure 1. ",B2," Financing for delivery by income classification")</f>
        <v>Figure 1. (All) Financing for delivery by income classification</v>
      </c>
      <c r="M17" s="1162"/>
      <c r="N17" s="1162"/>
      <c r="O17" s="1162"/>
      <c r="P17" s="1162"/>
      <c r="Q17" s="1162"/>
      <c r="R17" s="1162"/>
      <c r="S17" s="1"/>
      <c r="T17" s="1"/>
      <c r="U17" s="1"/>
      <c r="V17" s="1"/>
      <c r="W17" s="1"/>
      <c r="X17" s="1"/>
      <c r="Y17" s="1"/>
      <c r="Z17" s="1"/>
      <c r="AA17" s="1"/>
      <c r="AB17" s="1"/>
      <c r="AC17" s="1"/>
      <c r="AD17" s="1"/>
      <c r="AE17" s="1"/>
      <c r="AF17" s="1"/>
      <c r="AG17" s="1"/>
      <c r="AH17" s="1"/>
      <c r="AI17" s="1"/>
      <c r="AJ17" s="1"/>
      <c r="AK17" s="1"/>
      <c r="AL17" s="1"/>
    </row>
    <row r="18" spans="1:38" ht="34.5" customHeight="1">
      <c r="A18" s="1195"/>
      <c r="B18" s="1196"/>
      <c r="C18" s="1197"/>
      <c r="D18" s="1163" t="s">
        <v>321</v>
      </c>
      <c r="E18" s="1163"/>
      <c r="F18" s="1163" t="s">
        <v>316</v>
      </c>
      <c r="G18" s="1163"/>
      <c r="H18" s="1163" t="s">
        <v>371</v>
      </c>
      <c r="I18" s="1163"/>
      <c r="J18" s="1163" t="s">
        <v>372</v>
      </c>
      <c r="K18" s="1163"/>
      <c r="S18" s="1"/>
      <c r="T18" s="1"/>
      <c r="U18" s="1"/>
      <c r="V18" s="1"/>
      <c r="W18" s="1"/>
      <c r="X18" s="1"/>
      <c r="Y18" s="1"/>
      <c r="Z18" s="1"/>
      <c r="AA18" s="1"/>
      <c r="AB18" s="1"/>
      <c r="AC18" s="1"/>
      <c r="AD18" s="1"/>
      <c r="AE18" s="1"/>
      <c r="AF18" s="1"/>
      <c r="AG18" s="1"/>
      <c r="AH18" s="1"/>
      <c r="AI18" s="1"/>
      <c r="AJ18" s="1"/>
      <c r="AK18" s="1"/>
      <c r="AL18" s="1"/>
    </row>
    <row r="19" spans="1:38" ht="9" customHeight="1">
      <c r="A19" s="1150"/>
      <c r="B19" s="1151"/>
      <c r="C19" s="1152"/>
      <c r="D19" s="1173"/>
      <c r="E19" s="1173"/>
      <c r="F19" s="1173"/>
      <c r="G19" s="1173"/>
      <c r="H19" s="1173"/>
      <c r="I19" s="1173"/>
      <c r="J19" s="1173"/>
      <c r="K19" s="1173"/>
      <c r="S19" s="1"/>
      <c r="T19" s="1"/>
      <c r="U19" s="1"/>
      <c r="V19" s="1"/>
      <c r="W19" s="1"/>
      <c r="X19" s="1"/>
      <c r="Y19" s="1"/>
      <c r="Z19" s="1"/>
      <c r="AA19" s="1"/>
      <c r="AB19" s="1"/>
      <c r="AC19" s="1"/>
      <c r="AD19" s="1"/>
      <c r="AE19" s="1"/>
      <c r="AF19" s="1"/>
      <c r="AG19" s="1"/>
      <c r="AH19" s="1"/>
      <c r="AI19" s="1"/>
      <c r="AJ19" s="1"/>
      <c r="AK19" s="1"/>
      <c r="AL19" s="1"/>
    </row>
    <row r="20" spans="1:38">
      <c r="A20" s="1"/>
      <c r="B20" s="1"/>
      <c r="C20" s="1"/>
      <c r="D20" s="1165" t="s">
        <v>152</v>
      </c>
      <c r="E20" s="1166"/>
      <c r="F20" s="1158">
        <f>IFERROR(INDEX('DB(2) Pivots'!$D$222:$D$225,MATCH(D20,'DB(2) Pivots'!$A$222:$A$225,0)),0)</f>
        <v>48</v>
      </c>
      <c r="G20" s="1159"/>
      <c r="H20" s="1164">
        <f>IFERROR(INDEX('DB(2) Pivots'!$B$222:$B$226,MATCH('Regional DB'!D20,'DB(2) Pivots'!$A$222:$A$226,0)),"0")</f>
        <v>768170404.36518526</v>
      </c>
      <c r="I20" s="1164"/>
      <c r="J20" s="1205">
        <f>IFERROR(INDEX('DB(2) Pivots'!$C$222:$C$226,MATCH('Regional DB'!D20,'DB(2) Pivots'!$A$222:$A$226,0)),"0")</f>
        <v>136.32199581297772</v>
      </c>
      <c r="K20" s="1205"/>
      <c r="S20" s="1"/>
      <c r="T20" s="1"/>
      <c r="U20" s="1"/>
      <c r="V20" s="1"/>
      <c r="W20" s="1"/>
      <c r="X20" s="1"/>
      <c r="Y20" s="1"/>
      <c r="Z20" s="1"/>
      <c r="AA20" s="1"/>
      <c r="AB20" s="1"/>
      <c r="AC20" s="1"/>
      <c r="AD20" s="1"/>
      <c r="AE20" s="1"/>
      <c r="AF20" s="1"/>
      <c r="AG20" s="1"/>
      <c r="AH20" s="1"/>
      <c r="AI20" s="1"/>
      <c r="AJ20" s="1"/>
      <c r="AK20" s="1"/>
      <c r="AL20" s="1"/>
    </row>
    <row r="21" spans="1:38">
      <c r="A21" s="1"/>
      <c r="B21" s="1"/>
      <c r="C21" s="1"/>
      <c r="D21" s="1167"/>
      <c r="E21" s="1168"/>
      <c r="F21" s="1160"/>
      <c r="G21" s="1161"/>
      <c r="H21" s="1164"/>
      <c r="I21" s="1164"/>
      <c r="J21" s="1205"/>
      <c r="K21" s="1205"/>
      <c r="S21" s="1"/>
      <c r="T21" s="1"/>
      <c r="U21" s="1"/>
      <c r="V21" s="1"/>
      <c r="W21" s="1"/>
      <c r="X21" s="1"/>
      <c r="Y21" s="1"/>
      <c r="Z21" s="1"/>
      <c r="AA21" s="1"/>
      <c r="AB21" s="1"/>
      <c r="AC21" s="1"/>
      <c r="AD21" s="1"/>
      <c r="AE21" s="1"/>
      <c r="AF21" s="1"/>
      <c r="AG21" s="1"/>
      <c r="AH21" s="1"/>
      <c r="AI21" s="1"/>
      <c r="AJ21" s="1"/>
      <c r="AK21" s="1"/>
      <c r="AL21" s="1"/>
    </row>
    <row r="22" spans="1:38">
      <c r="A22" s="1"/>
      <c r="B22" s="1"/>
      <c r="C22" s="1"/>
      <c r="D22" s="1169" t="s">
        <v>150</v>
      </c>
      <c r="E22" s="1169"/>
      <c r="F22" s="1158">
        <f>IFERROR(INDEX('DB(2) Pivots'!$D$222:$D$225,MATCH(D22,'DB(2) Pivots'!$A$222:$A$225,0)),0)</f>
        <v>55</v>
      </c>
      <c r="G22" s="1159"/>
      <c r="H22" s="1164">
        <f>IFERROR(INDEX('DB(2) Pivots'!$B$222:$B$226,MATCH('Regional DB'!D22,'DB(2) Pivots'!$A$222:$A$226,0)),"0")</f>
        <v>1613247762.2478547</v>
      </c>
      <c r="I22" s="1164"/>
      <c r="J22" s="1205">
        <f>IFERROR(INDEX('DB(2) Pivots'!$C$222:$C$226,MATCH('Regional DB'!D22,'DB(2) Pivots'!$A$222:$A$226,0)),"0")</f>
        <v>239.05502306492406</v>
      </c>
      <c r="K22" s="1205"/>
      <c r="S22" s="1"/>
      <c r="T22" s="1"/>
      <c r="U22" s="1"/>
      <c r="V22" s="1"/>
      <c r="W22" s="1"/>
      <c r="X22" s="1"/>
      <c r="Y22" s="1"/>
      <c r="Z22" s="1"/>
      <c r="AA22" s="1"/>
      <c r="AB22" s="1"/>
      <c r="AC22" s="1"/>
      <c r="AD22" s="1"/>
      <c r="AE22" s="1"/>
      <c r="AF22" s="1"/>
      <c r="AG22" s="1"/>
      <c r="AH22" s="1"/>
      <c r="AI22" s="1"/>
      <c r="AJ22" s="1"/>
      <c r="AK22" s="1"/>
      <c r="AL22" s="1"/>
    </row>
    <row r="23" spans="1:38">
      <c r="A23" s="1"/>
      <c r="B23" s="1"/>
      <c r="C23" s="1"/>
      <c r="D23" s="1169"/>
      <c r="E23" s="1169"/>
      <c r="F23" s="1160"/>
      <c r="G23" s="1161"/>
      <c r="H23" s="1164"/>
      <c r="I23" s="1164"/>
      <c r="J23" s="1205"/>
      <c r="K23" s="1205"/>
      <c r="S23" s="1"/>
      <c r="T23" s="1"/>
      <c r="U23" s="1"/>
      <c r="V23" s="1"/>
      <c r="W23" s="1"/>
      <c r="X23" s="1"/>
      <c r="Y23" s="1"/>
      <c r="Z23" s="1"/>
      <c r="AA23" s="1"/>
      <c r="AB23" s="1"/>
      <c r="AC23" s="1"/>
      <c r="AD23" s="1"/>
      <c r="AE23" s="1"/>
      <c r="AF23" s="1"/>
      <c r="AG23" s="1"/>
      <c r="AH23" s="1"/>
      <c r="AI23" s="1"/>
      <c r="AJ23" s="1"/>
      <c r="AK23" s="1"/>
      <c r="AL23" s="1"/>
    </row>
    <row r="24" spans="1:38">
      <c r="A24" s="1"/>
      <c r="B24" s="1"/>
      <c r="C24" s="1"/>
      <c r="D24" s="1169" t="s">
        <v>148</v>
      </c>
      <c r="E24" s="1169"/>
      <c r="F24" s="1158">
        <f>IFERROR(INDEX('DB(2) Pivots'!$D$222:$D$225,MATCH(D24,'DB(2) Pivots'!$A$222:$A$225,0)),0)</f>
        <v>26</v>
      </c>
      <c r="G24" s="1159"/>
      <c r="H24" s="1164">
        <f>IFERROR(INDEX('DB(2) Pivots'!$B$222:$B$226,MATCH('Regional DB'!D24,'DB(2) Pivots'!$A$222:$A$226,0)),"0")</f>
        <v>845755363.46219349</v>
      </c>
      <c r="I24" s="1164"/>
      <c r="J24" s="1205">
        <f>IFERROR(INDEX('DB(2) Pivots'!$C$222:$C$226,MATCH('Regional DB'!D24,'DB(2) Pivots'!$A$222:$A$226,0)),"0")</f>
        <v>34.559684113620918</v>
      </c>
      <c r="K24" s="1205"/>
      <c r="S24" s="1"/>
      <c r="T24" s="1"/>
      <c r="U24" s="1"/>
      <c r="V24" s="1"/>
      <c r="W24" s="1"/>
      <c r="X24" s="1"/>
      <c r="Y24" s="1"/>
      <c r="Z24" s="1"/>
      <c r="AA24" s="1"/>
      <c r="AB24" s="1"/>
      <c r="AC24" s="1"/>
      <c r="AD24" s="1"/>
      <c r="AE24" s="1"/>
      <c r="AF24" s="1"/>
      <c r="AG24" s="1"/>
      <c r="AH24" s="1"/>
      <c r="AI24" s="1"/>
      <c r="AJ24" s="1"/>
      <c r="AK24" s="1"/>
      <c r="AL24" s="1"/>
    </row>
    <row r="25" spans="1:38">
      <c r="A25" s="1"/>
      <c r="B25" s="1"/>
      <c r="C25" s="1"/>
      <c r="D25" s="1169"/>
      <c r="E25" s="1169"/>
      <c r="F25" s="1160"/>
      <c r="G25" s="1161"/>
      <c r="H25" s="1164"/>
      <c r="I25" s="1164"/>
      <c r="J25" s="1205"/>
      <c r="K25" s="1205"/>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170" t="s">
        <v>322</v>
      </c>
      <c r="E26" s="1170"/>
      <c r="F26" s="1158">
        <f>IFERROR(INDEX('DB(2) Pivots'!$D$222:$D$225,MATCH(D26,'DB(2) Pivots'!$A$222:$A$225,0)),0)</f>
        <v>2</v>
      </c>
      <c r="G26" s="1159"/>
      <c r="H26" s="1164">
        <f>IFERROR(INDEX('DB(2) Pivots'!$B$222:$B$226,MATCH('Regional DB'!D26,'DB(2) Pivots'!$A$222:$A$226,0)),"0")</f>
        <v>10494812.84</v>
      </c>
      <c r="I26" s="1164"/>
      <c r="J26" s="1205">
        <f>IFERROR(INDEX('DB(2) Pivots'!$C$222:$C$226,MATCH('Regional DB'!D26,'DB(2) Pivots'!$A$222:$A$226,0)),"0")</f>
        <v>11.642752326140016</v>
      </c>
      <c r="K26" s="1205"/>
      <c r="S26" s="1"/>
      <c r="T26" s="1"/>
      <c r="U26" s="1"/>
      <c r="V26" s="1"/>
      <c r="W26" s="1"/>
      <c r="X26" s="1"/>
      <c r="Y26" s="1"/>
      <c r="Z26" s="1"/>
      <c r="AA26" s="1"/>
      <c r="AB26" s="1"/>
      <c r="AC26" s="1"/>
      <c r="AD26" s="1"/>
      <c r="AE26" s="1"/>
      <c r="AF26" s="1"/>
      <c r="AG26" s="1"/>
      <c r="AH26" s="1"/>
      <c r="AI26" s="1"/>
      <c r="AJ26" s="1"/>
      <c r="AK26" s="1"/>
      <c r="AL26" s="1"/>
    </row>
    <row r="27" spans="1:38">
      <c r="A27" s="1"/>
      <c r="B27" s="1"/>
      <c r="C27" s="1"/>
      <c r="D27" s="1170"/>
      <c r="E27" s="1170"/>
      <c r="F27" s="1160"/>
      <c r="G27" s="1161"/>
      <c r="H27" s="1164"/>
      <c r="I27" s="1164"/>
      <c r="J27" s="1205"/>
      <c r="K27" s="1205"/>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202" t="str">
        <f>_xlfn.CONCAT("Figure 2. ",B2," delivery financing by AMC/SFC status")</f>
        <v>Figure 2. (All) delivery financing by AMC/SFC status</v>
      </c>
      <c r="E30" s="1203"/>
      <c r="F30" s="1203"/>
      <c r="G30" s="1204"/>
      <c r="H30" s="1198" t="str">
        <f>_xlfn.CONCAT("Figure 3. ",B2," delivery financing by financing source type")</f>
        <v>Figure 3. (All) delivery financing by financing source type</v>
      </c>
      <c r="I30" s="1198"/>
      <c r="J30" s="1198"/>
      <c r="K30" s="1198"/>
      <c r="L30" s="1198"/>
      <c r="M30" s="1198"/>
      <c r="N30" s="1198"/>
      <c r="O30" s="1198"/>
      <c r="P30" s="1198"/>
      <c r="Q30" s="1198"/>
      <c r="R30" s="1198"/>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43.5">
      <c r="A42" s="1"/>
      <c r="B42" s="1"/>
      <c r="C42" s="1"/>
      <c r="D42" s="1201"/>
      <c r="E42" s="1201"/>
      <c r="F42" s="901" t="s">
        <v>145</v>
      </c>
      <c r="G42" s="901" t="s">
        <v>146</v>
      </c>
      <c r="H42" s="931" t="s">
        <v>307</v>
      </c>
      <c r="I42" s="1180" t="s">
        <v>308</v>
      </c>
      <c r="J42" s="1180"/>
      <c r="K42" s="1180" t="s">
        <v>309</v>
      </c>
      <c r="L42" s="1180"/>
      <c r="M42" s="1180" t="s">
        <v>310</v>
      </c>
      <c r="N42" s="1180"/>
      <c r="O42" s="1180" t="s">
        <v>345</v>
      </c>
      <c r="P42" s="1180"/>
      <c r="Q42" s="1180" t="s">
        <v>312</v>
      </c>
      <c r="R42" s="1180"/>
      <c r="S42" s="1"/>
      <c r="T42" s="1"/>
      <c r="U42" s="1"/>
      <c r="V42" s="1"/>
      <c r="W42" s="1"/>
      <c r="X42" s="1"/>
      <c r="Y42" s="1"/>
      <c r="Z42" s="1"/>
      <c r="AA42" s="1"/>
      <c r="AB42" s="1"/>
      <c r="AC42" s="1"/>
      <c r="AD42" s="1"/>
      <c r="AE42" s="1"/>
      <c r="AF42" s="1"/>
      <c r="AG42" s="1"/>
      <c r="AH42" s="1"/>
      <c r="AI42" s="1"/>
      <c r="AJ42" s="1"/>
      <c r="AK42" s="1"/>
      <c r="AL42" s="1"/>
    </row>
    <row r="43" spans="1:38" ht="43.5">
      <c r="A43" s="1"/>
      <c r="B43" s="1"/>
      <c r="C43" s="1"/>
      <c r="D43" s="1199" t="s">
        <v>316</v>
      </c>
      <c r="E43" s="1200"/>
      <c r="F43" s="902">
        <f>'DB(2) Pivots'!C240</f>
        <v>91</v>
      </c>
      <c r="G43" s="902">
        <f>'DB(2) Pivots'!C241</f>
        <v>40</v>
      </c>
      <c r="H43" s="931" t="s">
        <v>313</v>
      </c>
      <c r="I43" s="1181">
        <f>INDEX('DB(2) Pivots'!$B$435:$B$439,MATCH('Regional DB'!I42,'DB(2) Pivots'!$A$435:$A$439,0))</f>
        <v>2170298890.7692308</v>
      </c>
      <c r="J43" s="1181"/>
      <c r="K43" s="1181">
        <f>INDEX('DB(2) Pivots'!$B$435:$B$439,MATCH('Regional DB'!K42,'DB(2) Pivots'!$A$435:$A$439,0))</f>
        <v>461036131.36000001</v>
      </c>
      <c r="L43" s="1181"/>
      <c r="M43" s="1181">
        <f>INDEX('DB(2) Pivots'!$B$435:$B$439,MATCH('Regional DB'!M42,'DB(2) Pivots'!$A$435:$A$439,0))</f>
        <v>392782468.03600311</v>
      </c>
      <c r="N43" s="1181"/>
      <c r="O43" s="1181">
        <f>INDEX('DB(2) Pivots'!$B$435:$B$439,MATCH('Regional DB'!O42,'DB(2) Pivots'!$A$435:$A$439,0))</f>
        <v>140938105</v>
      </c>
      <c r="P43" s="1181"/>
      <c r="Q43" s="1181">
        <f>INDEX('DB(2) Pivots'!$B$435:$B$439,MATCH('Regional DB'!Q42,'DB(2) Pivots'!$A$435:$A$439,0))</f>
        <v>72612747.75</v>
      </c>
      <c r="R43" s="1181"/>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198" t="str">
        <f>_xlfn.CONCAT("Table 2. ",B2," delivery financing by financing source")</f>
        <v>Table 2. (All) delivery financing by financing source</v>
      </c>
      <c r="E45" s="1198"/>
      <c r="F45" s="1198"/>
      <c r="G45" s="1198"/>
      <c r="H45" s="1198"/>
      <c r="I45" s="1198"/>
      <c r="J45" s="1198"/>
      <c r="K45" s="1198"/>
      <c r="L45" s="1198"/>
      <c r="M45" s="1198"/>
      <c r="N45" s="1198"/>
      <c r="O45" s="1198"/>
      <c r="P45" s="1198"/>
      <c r="Q45" s="1198"/>
      <c r="R45" s="1198"/>
      <c r="S45" s="1"/>
      <c r="T45" s="1"/>
      <c r="U45" s="1"/>
      <c r="V45" s="1"/>
      <c r="W45" s="1"/>
      <c r="X45" s="1"/>
      <c r="Y45" s="1"/>
      <c r="Z45" s="1"/>
      <c r="AA45" s="1"/>
      <c r="AB45" s="1"/>
      <c r="AC45" s="1"/>
      <c r="AD45" s="1"/>
      <c r="AE45" s="1"/>
      <c r="AF45" s="1"/>
      <c r="AG45" s="1"/>
      <c r="AH45" s="1"/>
      <c r="AI45" s="1"/>
      <c r="AJ45" s="1"/>
      <c r="AK45" s="1"/>
      <c r="AL45" s="1"/>
    </row>
    <row r="46" spans="1:38">
      <c r="A46" s="1"/>
      <c r="B46" s="1"/>
      <c r="C46" s="1"/>
      <c r="D46" s="1171" t="s">
        <v>328</v>
      </c>
      <c r="E46" s="1171"/>
      <c r="F46" s="1171"/>
      <c r="G46" s="1171" t="s">
        <v>329</v>
      </c>
      <c r="H46" s="1171"/>
      <c r="I46" s="1171"/>
      <c r="J46" s="1171"/>
      <c r="K46" s="1171" t="s">
        <v>330</v>
      </c>
      <c r="L46" s="1171"/>
      <c r="M46" s="1171"/>
      <c r="N46" s="1171"/>
      <c r="O46" s="1171" t="s">
        <v>373</v>
      </c>
      <c r="P46" s="1171"/>
      <c r="Q46" s="1171"/>
      <c r="R46" s="1171"/>
      <c r="S46" s="1"/>
      <c r="T46" s="1"/>
      <c r="U46" s="1"/>
      <c r="V46" s="1"/>
      <c r="W46" s="1"/>
      <c r="X46" s="1"/>
      <c r="Y46" s="1"/>
      <c r="Z46" s="1"/>
      <c r="AA46" s="1"/>
      <c r="AB46" s="1"/>
      <c r="AC46" s="1"/>
      <c r="AD46" s="1"/>
      <c r="AE46" s="1"/>
      <c r="AF46" s="1"/>
      <c r="AG46" s="1"/>
      <c r="AH46" s="1"/>
      <c r="AI46" s="1"/>
      <c r="AJ46" s="1"/>
      <c r="AK46" s="1"/>
      <c r="AL46" s="1"/>
    </row>
    <row r="47" spans="1:38">
      <c r="A47" s="1"/>
      <c r="B47" s="1"/>
      <c r="C47" s="1"/>
      <c r="D47" s="1172" t="s">
        <v>308</v>
      </c>
      <c r="E47" s="1172"/>
      <c r="F47" s="1172"/>
      <c r="G47" s="1182">
        <f>SUM(G48:J50)</f>
        <v>2170298890.7692308</v>
      </c>
      <c r="H47" s="1172"/>
      <c r="I47" s="1172"/>
      <c r="J47" s="1172"/>
      <c r="K47" s="1182" t="str">
        <f>IF(SUM(K48:N50)=0,"",SUM(K48:N50))</f>
        <v/>
      </c>
      <c r="L47" s="1172"/>
      <c r="M47" s="1172"/>
      <c r="N47" s="1172"/>
      <c r="O47" s="1182" t="str">
        <f>IF(SUM(O48:R50)=0,"",SUM(O48:R50))</f>
        <v/>
      </c>
      <c r="P47" s="1172"/>
      <c r="Q47" s="1172"/>
      <c r="R47" s="1172"/>
      <c r="S47" s="1"/>
      <c r="T47" s="1"/>
      <c r="U47" s="1"/>
      <c r="V47" s="1"/>
      <c r="W47" s="1"/>
      <c r="X47" s="1"/>
      <c r="Y47" s="1"/>
      <c r="Z47" s="1"/>
      <c r="AA47" s="1"/>
      <c r="AB47" s="1"/>
      <c r="AC47" s="1"/>
      <c r="AD47" s="1"/>
      <c r="AE47" s="1"/>
      <c r="AF47" s="1"/>
      <c r="AG47" s="1"/>
      <c r="AH47" s="1"/>
      <c r="AI47" s="1"/>
      <c r="AJ47" s="1"/>
      <c r="AK47" s="1"/>
      <c r="AL47" s="1"/>
    </row>
    <row r="48" spans="1:38">
      <c r="A48" s="1"/>
      <c r="B48" s="1"/>
      <c r="C48" s="1"/>
      <c r="D48" s="1173" t="s">
        <v>332</v>
      </c>
      <c r="E48" s="1173"/>
      <c r="F48" s="1173"/>
      <c r="G48" s="1153">
        <f>IFERROR(INDEX('DB(2) Pivots'!$B$184:$B$211,MATCH('Regional DB'!D48,'DB(2) Pivots'!$A$184:$A$211,0)),"")</f>
        <v>2038950000</v>
      </c>
      <c r="H48" s="1153"/>
      <c r="I48" s="1153"/>
      <c r="J48" s="1153"/>
      <c r="K48" s="1153" t="str">
        <f>IFERROR(IF(INDEX('DB(2) Pivots'!$C$184:$C$211,MATCH('Regional DB'!D48,'DB(2) Pivots'!$A$184:$A$211,0))=0,"N/A",INDEX('DB(2) Pivots'!$C$184:$C$211,MATCH('Regional DB'!D48,'DB(2) Pivots'!$A$184:$A$211,0))),"")</f>
        <v>N/A</v>
      </c>
      <c r="L48" s="1153"/>
      <c r="M48" s="1153"/>
      <c r="N48" s="1153"/>
      <c r="O48" s="1153" t="str">
        <f>IFERROR(INDEX('DB(2) Pivots'!$B$456:$B$472,MATCH('Regional DB'!D48,'DB(2) Pivots'!$A$456:$A$472,0)),"")</f>
        <v/>
      </c>
      <c r="P48" s="1153"/>
      <c r="Q48" s="1153"/>
      <c r="R48" s="1153"/>
      <c r="S48" s="1"/>
      <c r="T48" s="1"/>
      <c r="U48" s="1"/>
      <c r="V48" s="1"/>
      <c r="W48" s="1"/>
      <c r="X48" s="1"/>
      <c r="Y48" s="1"/>
      <c r="Z48" s="1"/>
      <c r="AA48" s="1"/>
      <c r="AB48" s="1"/>
      <c r="AC48" s="1"/>
      <c r="AD48" s="1"/>
      <c r="AE48" s="1"/>
      <c r="AF48" s="1"/>
      <c r="AG48" s="1"/>
      <c r="AH48" s="1"/>
      <c r="AI48" s="1"/>
      <c r="AJ48" s="1"/>
      <c r="AK48" s="1"/>
      <c r="AL48" s="1"/>
    </row>
    <row r="49" spans="1:38">
      <c r="A49" s="1"/>
      <c r="B49" s="1"/>
      <c r="C49" s="1"/>
      <c r="D49" s="1173" t="s">
        <v>333</v>
      </c>
      <c r="E49" s="1173"/>
      <c r="F49" s="1173"/>
      <c r="G49" s="1153">
        <f>IFERROR(INDEX('DB(2) Pivots'!$B$184:$B$211,MATCH('Regional DB'!D49,'DB(2) Pivots'!$A$184:$A$211,0)),"")</f>
        <v>67139230.769230768</v>
      </c>
      <c r="H49" s="1153"/>
      <c r="I49" s="1153"/>
      <c r="J49" s="1153"/>
      <c r="K49" s="1153" t="str">
        <f>IFERROR(IF(INDEX('DB(2) Pivots'!$C$184:$C$211,MATCH('Regional DB'!D49,'DB(2) Pivots'!$A$184:$A$211,0))=0,"N/A",INDEX('DB(2) Pivots'!$C$184:$C$211,MATCH('Regional DB'!D49,'DB(2) Pivots'!$A$184:$A$211,0))),"")</f>
        <v>N/A</v>
      </c>
      <c r="L49" s="1153"/>
      <c r="M49" s="1153"/>
      <c r="N49" s="1153"/>
      <c r="O49" s="1153" t="str">
        <f>IFERROR(INDEX('DB(2) Pivots'!$B$456:$B$472,MATCH('Regional DB'!D49,'DB(2) Pivots'!$A$456:$A$472,0)),"")</f>
        <v/>
      </c>
      <c r="P49" s="1153"/>
      <c r="Q49" s="1153"/>
      <c r="R49" s="1153"/>
      <c r="S49" s="1"/>
      <c r="T49" s="1"/>
      <c r="U49" s="1"/>
      <c r="V49" s="1"/>
      <c r="W49" s="1"/>
      <c r="X49" s="1"/>
      <c r="Y49" s="1"/>
      <c r="Z49" s="1"/>
      <c r="AA49" s="1"/>
      <c r="AB49" s="1"/>
      <c r="AC49" s="1"/>
      <c r="AD49" s="1"/>
      <c r="AE49" s="1"/>
      <c r="AF49" s="1"/>
      <c r="AG49" s="1"/>
      <c r="AH49" s="1"/>
      <c r="AI49" s="1"/>
      <c r="AJ49" s="1"/>
      <c r="AK49" s="1"/>
      <c r="AL49" s="1"/>
    </row>
    <row r="50" spans="1:38">
      <c r="A50" s="1"/>
      <c r="B50" s="1"/>
      <c r="C50" s="1"/>
      <c r="D50" s="1173" t="s">
        <v>334</v>
      </c>
      <c r="E50" s="1173"/>
      <c r="F50" s="1173"/>
      <c r="G50" s="1153">
        <f>IFERROR(INDEX('DB(2) Pivots'!$B$184:$B$211,MATCH('Regional DB'!D50,'DB(2) Pivots'!$A$184:$A$211,0)),"")</f>
        <v>64209660</v>
      </c>
      <c r="H50" s="1153"/>
      <c r="I50" s="1153"/>
      <c r="J50" s="1153"/>
      <c r="K50" s="1153" t="str">
        <f>IFERROR(IF(INDEX('DB(2) Pivots'!$C$184:$C$211,MATCH('Regional DB'!D50,'DB(2) Pivots'!$A$184:$A$211,0))=0,"N/A",INDEX('DB(2) Pivots'!$C$184:$C$211,MATCH('Regional DB'!D50,'DB(2) Pivots'!$A$184:$A$211,0))),"")</f>
        <v>N/A</v>
      </c>
      <c r="L50" s="1153"/>
      <c r="M50" s="1153"/>
      <c r="N50" s="1153"/>
      <c r="O50" s="1153" t="str">
        <f>IFERROR(INDEX('DB(2) Pivots'!$B$456:$B$472,MATCH('Regional DB'!D50,'DB(2) Pivots'!$A$456:$A$472,0)),"")</f>
        <v/>
      </c>
      <c r="P50" s="1153"/>
      <c r="Q50" s="1153"/>
      <c r="R50" s="1153"/>
      <c r="S50" s="1"/>
      <c r="T50" s="1"/>
      <c r="U50" s="1"/>
      <c r="V50" s="1"/>
      <c r="W50" s="1"/>
      <c r="X50" s="1"/>
      <c r="Y50" s="1"/>
      <c r="Z50" s="1"/>
      <c r="AA50" s="1"/>
      <c r="AB50" s="1"/>
      <c r="AC50" s="1"/>
      <c r="AD50" s="1"/>
      <c r="AE50" s="1"/>
      <c r="AF50" s="1"/>
      <c r="AG50" s="1"/>
      <c r="AH50" s="1"/>
      <c r="AI50" s="1"/>
      <c r="AJ50" s="1"/>
      <c r="AK50" s="1"/>
      <c r="AL50" s="1"/>
    </row>
    <row r="51" spans="1:38">
      <c r="A51" s="1"/>
      <c r="B51" s="1"/>
      <c r="C51" s="1"/>
      <c r="D51" s="1172" t="s">
        <v>309</v>
      </c>
      <c r="E51" s="1172"/>
      <c r="F51" s="1172"/>
      <c r="G51" s="1182">
        <f>SUM(G52:J62)</f>
        <v>461036131.36000001</v>
      </c>
      <c r="H51" s="1182"/>
      <c r="I51" s="1182"/>
      <c r="J51" s="1182"/>
      <c r="K51" s="1182">
        <f>SUM(K52:N62)</f>
        <v>0</v>
      </c>
      <c r="L51" s="1182"/>
      <c r="M51" s="1182"/>
      <c r="N51" s="1182"/>
      <c r="O51" s="1182">
        <f>SUM(O52:R62)</f>
        <v>182943282.06</v>
      </c>
      <c r="P51" s="1182"/>
      <c r="Q51" s="1182"/>
      <c r="R51" s="1182"/>
      <c r="S51" s="1"/>
      <c r="T51" s="1"/>
      <c r="U51" s="1"/>
      <c r="V51" s="1"/>
      <c r="W51" s="1"/>
      <c r="X51" s="1"/>
      <c r="Y51" s="1"/>
      <c r="Z51" s="1"/>
      <c r="AA51" s="1"/>
      <c r="AB51" s="1"/>
      <c r="AC51" s="1"/>
      <c r="AD51" s="1"/>
      <c r="AE51" s="1"/>
      <c r="AF51" s="1"/>
      <c r="AG51" s="1"/>
      <c r="AH51" s="1"/>
      <c r="AI51" s="1"/>
      <c r="AJ51" s="1"/>
      <c r="AK51" s="1"/>
      <c r="AL51" s="1"/>
    </row>
    <row r="52" spans="1:38">
      <c r="A52" s="1"/>
      <c r="B52" s="1"/>
      <c r="C52" s="1"/>
      <c r="D52" s="1173" t="s">
        <v>335</v>
      </c>
      <c r="E52" s="1173"/>
      <c r="F52" s="1173"/>
      <c r="G52" s="1153">
        <f>IFERROR(INDEX('DB(2) Pivots'!$B$184:$B$211,MATCH('Regional DB'!D52,'DB(2) Pivots'!$A$184:$A$211,0)),"")</f>
        <v>30237373</v>
      </c>
      <c r="H52" s="1153"/>
      <c r="I52" s="1153"/>
      <c r="J52" s="1153"/>
      <c r="K52" s="1153" t="str">
        <f>IFERROR(IF(INDEX('DB(2) Pivots'!$C$184:$C$211,MATCH('Regional DB'!D52,'DB(2) Pivots'!$A$184:$A$211,0))=0,"N/A",INDEX('DB(2) Pivots'!$C$184:$C$211,MATCH('Regional DB'!D52,'DB(2) Pivots'!$A$184:$A$211,0))),"")</f>
        <v>N/A</v>
      </c>
      <c r="L52" s="1153"/>
      <c r="M52" s="1153"/>
      <c r="N52" s="1153"/>
      <c r="O52" s="1153">
        <f>IFERROR(INDEX('DB(2) Pivots'!$B$456:$B$472,MATCH('Regional DB'!D52,'DB(2) Pivots'!$A$456:$A$472,0)),"")</f>
        <v>15276510</v>
      </c>
      <c r="P52" s="1153" t="str">
        <f>IFERROR(INDEX('DB(2) Pivots'!$B$456:$B$472,MATCH('Regional DB'!E52,'DB(2) Pivots'!$A$456:$A$472,0)),"")</f>
        <v/>
      </c>
      <c r="Q52" s="1153" t="str">
        <f>IFERROR(INDEX('DB(2) Pivots'!$B$456:$B$472,MATCH('Regional DB'!F52,'DB(2) Pivots'!$A$456:$A$472,0)),"")</f>
        <v/>
      </c>
      <c r="R52" s="1153" t="str">
        <f>IFERROR(INDEX('DB(2) Pivots'!$B$456:$B$472,MATCH('Regional DB'!G52,'DB(2) Pivots'!$A$456:$A$472,0)),"")</f>
        <v/>
      </c>
      <c r="S52" s="1"/>
      <c r="T52" s="1"/>
      <c r="U52" s="1"/>
      <c r="V52" s="1"/>
      <c r="W52" s="1"/>
      <c r="X52" s="1"/>
      <c r="Y52" s="1"/>
      <c r="Z52" s="1"/>
      <c r="AA52" s="1"/>
      <c r="AB52" s="1"/>
      <c r="AC52" s="1"/>
      <c r="AD52" s="1"/>
      <c r="AE52" s="1"/>
      <c r="AF52" s="1"/>
      <c r="AG52" s="1"/>
      <c r="AH52" s="1"/>
      <c r="AI52" s="1"/>
      <c r="AJ52" s="1"/>
      <c r="AK52" s="1"/>
      <c r="AL52" s="1"/>
    </row>
    <row r="53" spans="1:38">
      <c r="A53" s="1"/>
      <c r="B53" s="1"/>
      <c r="C53" s="1"/>
      <c r="D53" s="1173" t="s">
        <v>336</v>
      </c>
      <c r="E53" s="1173"/>
      <c r="F53" s="1173"/>
      <c r="G53" s="1153">
        <f>IFERROR(INDEX('DB(2) Pivots'!$B$184:$B$211,MATCH('Regional DB'!D53,'DB(2) Pivots'!$A$184:$A$211,0)),"")</f>
        <v>3727941</v>
      </c>
      <c r="H53" s="1153"/>
      <c r="I53" s="1153"/>
      <c r="J53" s="1153"/>
      <c r="K53" s="1153" t="str">
        <f>IFERROR(IF(INDEX('DB(2) Pivots'!$C$184:$C$211,MATCH('Regional DB'!D53,'DB(2) Pivots'!$A$184:$A$211,0))=0,"N/A",INDEX('DB(2) Pivots'!$C$184:$C$211,MATCH('Regional DB'!D53,'DB(2) Pivots'!$A$184:$A$211,0))),"")</f>
        <v>N/A</v>
      </c>
      <c r="L53" s="1153"/>
      <c r="M53" s="1153"/>
      <c r="N53" s="1153"/>
      <c r="O53" s="1153">
        <f>IFERROR(INDEX('DB(2) Pivots'!$B$456:$B$472,MATCH('Regional DB'!D53,'DB(2) Pivots'!$A$456:$A$472,0)),"")</f>
        <v>1997233</v>
      </c>
      <c r="P53" s="1153" t="str">
        <f>IFERROR(INDEX('DB(2) Pivots'!$B$456:$B$472,MATCH('Regional DB'!E53,'DB(2) Pivots'!$A$456:$A$472,0)),"")</f>
        <v/>
      </c>
      <c r="Q53" s="1153" t="str">
        <f>IFERROR(INDEX('DB(2) Pivots'!$B$456:$B$472,MATCH('Regional DB'!F53,'DB(2) Pivots'!$A$456:$A$472,0)),"")</f>
        <v/>
      </c>
      <c r="R53" s="1153" t="str">
        <f>IFERROR(INDEX('DB(2) Pivots'!$B$456:$B$472,MATCH('Regional DB'!G53,'DB(2) Pivots'!$A$456:$A$472,0)),"")</f>
        <v/>
      </c>
      <c r="S53" s="1"/>
      <c r="T53" s="1"/>
      <c r="U53" s="1"/>
      <c r="V53" s="1"/>
      <c r="W53" s="1"/>
      <c r="X53" s="1"/>
      <c r="Y53" s="1"/>
      <c r="Z53" s="1"/>
      <c r="AA53" s="1"/>
      <c r="AB53" s="1"/>
      <c r="AC53" s="1"/>
      <c r="AD53" s="1"/>
      <c r="AE53" s="1"/>
      <c r="AF53" s="1"/>
      <c r="AG53" s="1"/>
      <c r="AH53" s="1"/>
      <c r="AI53" s="1"/>
      <c r="AJ53" s="1"/>
      <c r="AK53" s="1"/>
      <c r="AL53" s="1"/>
    </row>
    <row r="54" spans="1:38">
      <c r="A54" s="1"/>
      <c r="B54" s="1"/>
      <c r="C54" s="1"/>
      <c r="D54" s="1173" t="s">
        <v>73</v>
      </c>
      <c r="E54" s="1173"/>
      <c r="F54" s="1173"/>
      <c r="G54" s="1153">
        <f>IFERROR(INDEX('DB(2) Pivots'!$B$184:$B$211,MATCH('Regional DB'!D54,'DB(2) Pivots'!$A$184:$A$211,0)),"")</f>
        <v>422218.83999999997</v>
      </c>
      <c r="H54" s="1153"/>
      <c r="I54" s="1153"/>
      <c r="J54" s="1153"/>
      <c r="K54" s="1153" t="str">
        <f>IFERROR(IF(INDEX('DB(2) Pivots'!$C$184:$C$211,MATCH('Regional DB'!D54,'DB(2) Pivots'!$A$184:$A$211,0))=0,"N/A",INDEX('DB(2) Pivots'!$C$184:$C$211,MATCH('Regional DB'!D54,'DB(2) Pivots'!$A$184:$A$211,0))),"")</f>
        <v>N/A</v>
      </c>
      <c r="L54" s="1153"/>
      <c r="M54" s="1153"/>
      <c r="N54" s="1153"/>
      <c r="O54" s="1153">
        <f>IFERROR(INDEX('DB(2) Pivots'!$B$456:$B$472,MATCH('Regional DB'!D54,'DB(2) Pivots'!$A$456:$A$472,0)),"")</f>
        <v>422218.83999999997</v>
      </c>
      <c r="P54" s="1153" t="str">
        <f>IFERROR(INDEX('DB(2) Pivots'!$B$456:$B$472,MATCH('Regional DB'!E54,'DB(2) Pivots'!$A$456:$A$472,0)),"")</f>
        <v/>
      </c>
      <c r="Q54" s="1153" t="str">
        <f>IFERROR(INDEX('DB(2) Pivots'!$B$456:$B$472,MATCH('Regional DB'!F54,'DB(2) Pivots'!$A$456:$A$472,0)),"")</f>
        <v/>
      </c>
      <c r="R54" s="1153" t="str">
        <f>IFERROR(INDEX('DB(2) Pivots'!$B$456:$B$472,MATCH('Regional DB'!G54,'DB(2) Pivots'!$A$456:$A$472,0)),"")</f>
        <v/>
      </c>
      <c r="S54" s="1"/>
      <c r="T54" s="1"/>
      <c r="U54" s="1"/>
      <c r="V54" s="1"/>
      <c r="W54" s="1"/>
      <c r="X54" s="1"/>
      <c r="Y54" s="1"/>
      <c r="Z54" s="1"/>
      <c r="AA54" s="1"/>
      <c r="AB54" s="1"/>
      <c r="AC54" s="1"/>
      <c r="AD54" s="1"/>
      <c r="AE54" s="1"/>
      <c r="AF54" s="1"/>
      <c r="AG54" s="1"/>
      <c r="AH54" s="1"/>
      <c r="AI54" s="1"/>
      <c r="AJ54" s="1"/>
      <c r="AK54" s="1"/>
      <c r="AL54" s="1"/>
    </row>
    <row r="55" spans="1:38">
      <c r="A55" s="1"/>
      <c r="B55" s="1"/>
      <c r="C55" s="1"/>
      <c r="D55" s="1173" t="s">
        <v>93</v>
      </c>
      <c r="E55" s="1173"/>
      <c r="F55" s="1173"/>
      <c r="G55" s="1153">
        <f>IFERROR(INDEX('DB(2) Pivots'!$B$184:$B$211,MATCH('Regional DB'!D55,'DB(2) Pivots'!$A$184:$A$211,0)),"")</f>
        <v>506757</v>
      </c>
      <c r="H55" s="1153"/>
      <c r="I55" s="1153"/>
      <c r="J55" s="1153"/>
      <c r="K55" s="1183" t="str">
        <f>IFERROR(IF(INDEX('DB(2) Pivots'!$C$184:$C$211,MATCH('Regional DB'!D55,'DB(2) Pivots'!$A$184:$A$211,0))=0,"N/A",INDEX('DB(2) Pivots'!$C$184:$C$211,MATCH('Regional DB'!D55,'DB(2) Pivots'!$A$184:$A$211,0))),"")</f>
        <v>N/A</v>
      </c>
      <c r="L55" s="1184"/>
      <c r="M55" s="1184"/>
      <c r="N55" s="1185"/>
      <c r="O55" s="1153">
        <f>IFERROR(INDEX('DB(2) Pivots'!$B$456:$B$472,MATCH('Regional DB'!D55,'DB(2) Pivots'!$A$456:$A$472,0)),"")</f>
        <v>506757</v>
      </c>
      <c r="P55" s="1153" t="str">
        <f>IFERROR(INDEX('DB(2) Pivots'!$B$456:$B$472,MATCH('Regional DB'!E55,'DB(2) Pivots'!$A$456:$A$472,0)),"")</f>
        <v/>
      </c>
      <c r="Q55" s="1153" t="str">
        <f>IFERROR(INDEX('DB(2) Pivots'!$B$456:$B$472,MATCH('Regional DB'!F55,'DB(2) Pivots'!$A$456:$A$472,0)),"")</f>
        <v/>
      </c>
      <c r="R55" s="1153" t="str">
        <f>IFERROR(INDEX('DB(2) Pivots'!$B$456:$B$472,MATCH('Regional DB'!G55,'DB(2) Pivots'!$A$456:$A$472,0)),"")</f>
        <v/>
      </c>
      <c r="S55" s="1"/>
      <c r="T55" s="1"/>
      <c r="U55" s="1"/>
      <c r="V55" s="1"/>
      <c r="W55" s="1"/>
      <c r="X55" s="1"/>
      <c r="Y55" s="1"/>
      <c r="Z55" s="1"/>
      <c r="AA55" s="1"/>
      <c r="AB55" s="1"/>
      <c r="AC55" s="1"/>
      <c r="AD55" s="1"/>
      <c r="AE55" s="1"/>
      <c r="AF55" s="1"/>
      <c r="AG55" s="1"/>
      <c r="AH55" s="1"/>
      <c r="AI55" s="1"/>
      <c r="AJ55" s="1"/>
      <c r="AK55" s="1"/>
      <c r="AL55" s="1"/>
    </row>
    <row r="56" spans="1:38">
      <c r="A56" s="1"/>
      <c r="B56" s="1"/>
      <c r="C56" s="1"/>
      <c r="D56" s="1173" t="s">
        <v>91</v>
      </c>
      <c r="E56" s="1173"/>
      <c r="F56" s="1173"/>
      <c r="G56" s="1153">
        <f>IFERROR(INDEX('DB(2) Pivots'!$B$184:$B$211,MATCH('Regional DB'!D56,'DB(2) Pivots'!$A$184:$A$211,0)),"")</f>
        <v>20558915.600000001</v>
      </c>
      <c r="H56" s="1153"/>
      <c r="I56" s="1153"/>
      <c r="J56" s="1153"/>
      <c r="K56" s="1153" t="str">
        <f>IFERROR(IF(INDEX('DB(2) Pivots'!$C$184:$C$211,MATCH('Regional DB'!D56,'DB(2) Pivots'!$A$184:$A$211,0))=0,"N/A",INDEX('DB(2) Pivots'!$C$184:$C$211,MATCH('Regional DB'!D56,'DB(2) Pivots'!$A$184:$A$211,0))),"")</f>
        <v>N/A</v>
      </c>
      <c r="L56" s="1153"/>
      <c r="M56" s="1153"/>
      <c r="N56" s="1153"/>
      <c r="O56" s="1153">
        <f>IFERROR(INDEX('DB(2) Pivots'!$B$456:$B$472,MATCH('Regional DB'!D56,'DB(2) Pivots'!$A$456:$A$472,0)),"")</f>
        <v>20558915.600000001</v>
      </c>
      <c r="P56" s="1153" t="str">
        <f>IFERROR(INDEX('DB(2) Pivots'!$B$456:$B$472,MATCH('Regional DB'!E56,'DB(2) Pivots'!$A$456:$A$472,0)),"")</f>
        <v/>
      </c>
      <c r="Q56" s="1153" t="str">
        <f>IFERROR(INDEX('DB(2) Pivots'!$B$456:$B$472,MATCH('Regional DB'!F56,'DB(2) Pivots'!$A$456:$A$472,0)),"")</f>
        <v/>
      </c>
      <c r="R56" s="1153" t="str">
        <f>IFERROR(INDEX('DB(2) Pivots'!$B$456:$B$472,MATCH('Regional DB'!G56,'DB(2) Pivots'!$A$456:$A$472,0)),"")</f>
        <v/>
      </c>
      <c r="S56" s="1"/>
      <c r="T56" s="1"/>
      <c r="U56" s="1"/>
      <c r="V56" s="1"/>
      <c r="W56" s="1"/>
      <c r="X56" s="1"/>
      <c r="Y56" s="1"/>
      <c r="Z56" s="1"/>
      <c r="AA56" s="1"/>
      <c r="AB56" s="1"/>
      <c r="AC56" s="1"/>
      <c r="AD56" s="1"/>
      <c r="AE56" s="1"/>
      <c r="AF56" s="1"/>
      <c r="AG56" s="1"/>
      <c r="AH56" s="1"/>
      <c r="AI56" s="1"/>
      <c r="AJ56" s="1"/>
      <c r="AK56" s="1"/>
      <c r="AL56" s="1"/>
    </row>
    <row r="57" spans="1:38">
      <c r="A57" s="1"/>
      <c r="B57" s="1"/>
      <c r="C57" s="1"/>
      <c r="D57" s="1173" t="s">
        <v>337</v>
      </c>
      <c r="E57" s="1173"/>
      <c r="F57" s="1173"/>
      <c r="G57" s="1153">
        <f>IFERROR(INDEX('DB(2) Pivots'!$B$184:$B$211,MATCH('Regional DB'!D57,'DB(2) Pivots'!$A$184:$A$211,0)),"")</f>
        <v>85517864</v>
      </c>
      <c r="H57" s="1153"/>
      <c r="I57" s="1153"/>
      <c r="J57" s="1153"/>
      <c r="K57" s="1153" t="str">
        <f>IFERROR(IF(INDEX('DB(2) Pivots'!$C$184:$C$211,MATCH('Regional DB'!D57,'DB(2) Pivots'!$A$184:$A$211,0))=0,"N/A",INDEX('DB(2) Pivots'!$C$184:$C$211,MATCH('Regional DB'!D57,'DB(2) Pivots'!$A$184:$A$211,0))),"")</f>
        <v>N/A</v>
      </c>
      <c r="L57" s="1153"/>
      <c r="M57" s="1153"/>
      <c r="N57" s="1153"/>
      <c r="O57" s="1153">
        <f>IFERROR(INDEX('DB(2) Pivots'!$B$456:$B$472,MATCH('Regional DB'!D57,'DB(2) Pivots'!$A$456:$A$472,0)),"")</f>
        <v>85517864</v>
      </c>
      <c r="P57" s="1153" t="str">
        <f>IFERROR(INDEX('DB(2) Pivots'!$B$456:$B$472,MATCH('Regional DB'!E57,'DB(2) Pivots'!$A$456:$A$472,0)),"")</f>
        <v/>
      </c>
      <c r="Q57" s="1153" t="str">
        <f>IFERROR(INDEX('DB(2) Pivots'!$B$456:$B$472,MATCH('Regional DB'!F57,'DB(2) Pivots'!$A$456:$A$472,0)),"")</f>
        <v/>
      </c>
      <c r="R57" s="1153" t="str">
        <f>IFERROR(INDEX('DB(2) Pivots'!$B$456:$B$472,MATCH('Regional DB'!G57,'DB(2) Pivots'!$A$456:$A$472,0)),"")</f>
        <v/>
      </c>
      <c r="S57" s="1"/>
      <c r="T57" s="1"/>
      <c r="U57" s="1"/>
      <c r="V57" s="1"/>
      <c r="W57" s="1"/>
      <c r="X57" s="1"/>
      <c r="Y57" s="1"/>
      <c r="Z57" s="1"/>
      <c r="AA57" s="1"/>
      <c r="AB57" s="1"/>
      <c r="AC57" s="1"/>
      <c r="AD57" s="1"/>
      <c r="AE57" s="1"/>
      <c r="AF57" s="1"/>
      <c r="AG57" s="1"/>
      <c r="AH57" s="1"/>
      <c r="AI57" s="1"/>
      <c r="AJ57" s="1"/>
      <c r="AK57" s="1"/>
      <c r="AL57" s="1"/>
    </row>
    <row r="58" spans="1:38">
      <c r="A58" s="1"/>
      <c r="B58" s="1"/>
      <c r="C58" s="1"/>
      <c r="D58" s="1173" t="s">
        <v>105</v>
      </c>
      <c r="E58" s="1173"/>
      <c r="F58" s="1173"/>
      <c r="G58" s="1153">
        <f>IFERROR(INDEX('DB(2) Pivots'!$B$184:$B$211,MATCH('Regional DB'!D58,'DB(2) Pivots'!$A$184:$A$211,0)),"")</f>
        <v>1114766</v>
      </c>
      <c r="H58" s="1153"/>
      <c r="I58" s="1153"/>
      <c r="J58" s="1153"/>
      <c r="K58" s="1153" t="str">
        <f>IFERROR(IF(INDEX('DB(2) Pivots'!$C$184:$C$211,MATCH('Regional DB'!D58,'DB(2) Pivots'!$A$184:$A$211,0))=0,"N/A",INDEX('DB(2) Pivots'!$C$184:$C$211,MATCH('Regional DB'!D58,'DB(2) Pivots'!$A$184:$A$211,0))),"")</f>
        <v>N/A</v>
      </c>
      <c r="L58" s="1153"/>
      <c r="M58" s="1153"/>
      <c r="N58" s="1153"/>
      <c r="O58" s="1153">
        <f>IFERROR(INDEX('DB(2) Pivots'!$B$456:$B$472,MATCH('Regional DB'!D58,'DB(2) Pivots'!$A$456:$A$472,0)),"")</f>
        <v>1114766</v>
      </c>
      <c r="P58" s="1153" t="str">
        <f>IFERROR(INDEX('DB(2) Pivots'!$B$456:$B$472,MATCH('Regional DB'!E58,'DB(2) Pivots'!$A$456:$A$472,0)),"")</f>
        <v/>
      </c>
      <c r="Q58" s="1153" t="str">
        <f>IFERROR(INDEX('DB(2) Pivots'!$B$456:$B$472,MATCH('Regional DB'!F58,'DB(2) Pivots'!$A$456:$A$472,0)),"")</f>
        <v/>
      </c>
      <c r="R58" s="1153" t="str">
        <f>IFERROR(INDEX('DB(2) Pivots'!$B$456:$B$472,MATCH('Regional DB'!G58,'DB(2) Pivots'!$A$456:$A$472,0)),"")</f>
        <v/>
      </c>
      <c r="S58" s="1"/>
      <c r="T58" s="1"/>
      <c r="U58" s="1"/>
      <c r="V58" s="1"/>
      <c r="W58" s="1"/>
      <c r="X58" s="1"/>
      <c r="Y58" s="1"/>
      <c r="Z58" s="1"/>
      <c r="AA58" s="1"/>
      <c r="AB58" s="1"/>
      <c r="AC58" s="1"/>
      <c r="AD58" s="1"/>
      <c r="AE58" s="1"/>
      <c r="AF58" s="1"/>
      <c r="AG58" s="1"/>
      <c r="AH58" s="1"/>
      <c r="AI58" s="1"/>
      <c r="AJ58" s="1"/>
      <c r="AK58" s="1"/>
      <c r="AL58" s="1"/>
    </row>
    <row r="59" spans="1:38">
      <c r="A59" s="1"/>
      <c r="B59" s="1"/>
      <c r="C59" s="1"/>
      <c r="D59" s="1173" t="s">
        <v>51</v>
      </c>
      <c r="E59" s="1173"/>
      <c r="F59" s="1173"/>
      <c r="G59" s="1153">
        <f>IFERROR(INDEX('DB(2) Pivots'!$B$184:$B$211,MATCH('Regional DB'!D59,'DB(2) Pivots'!$A$184:$A$211,0)),"")</f>
        <v>7277019</v>
      </c>
      <c r="H59" s="1153"/>
      <c r="I59" s="1153"/>
      <c r="J59" s="1153"/>
      <c r="K59" s="1153" t="str">
        <f>IFERROR(IF(INDEX('DB(2) Pivots'!$C$184:$C$211,MATCH('Regional DB'!D59,'DB(2) Pivots'!$A$184:$A$211,0))=0,"N/A",INDEX('DB(2) Pivots'!$C$184:$C$211,MATCH('Regional DB'!D59,'DB(2) Pivots'!$A$184:$A$211,0))),"")</f>
        <v>N/A</v>
      </c>
      <c r="L59" s="1153"/>
      <c r="M59" s="1153"/>
      <c r="N59" s="1153"/>
      <c r="O59" s="1153">
        <f>IFERROR(INDEX('DB(2) Pivots'!$B$456:$B$472,MATCH('Regional DB'!D59,'DB(2) Pivots'!$A$456:$A$472,0)),"")</f>
        <v>7277019</v>
      </c>
      <c r="P59" s="1153" t="str">
        <f>IFERROR(INDEX('DB(2) Pivots'!$B$456:$B$472,MATCH('Regional DB'!E59,'DB(2) Pivots'!$A$456:$A$472,0)),"")</f>
        <v/>
      </c>
      <c r="Q59" s="1153" t="str">
        <f>IFERROR(INDEX('DB(2) Pivots'!$B$456:$B$472,MATCH('Regional DB'!F59,'DB(2) Pivots'!$A$456:$A$472,0)),"")</f>
        <v/>
      </c>
      <c r="R59" s="1153" t="str">
        <f>IFERROR(INDEX('DB(2) Pivots'!$B$456:$B$472,MATCH('Regional DB'!G59,'DB(2) Pivots'!$A$456:$A$472,0)),"")</f>
        <v/>
      </c>
      <c r="S59" s="1"/>
      <c r="T59" s="1"/>
      <c r="U59" s="1"/>
      <c r="V59" s="1"/>
      <c r="W59" s="1"/>
      <c r="X59" s="1"/>
      <c r="Y59" s="1"/>
      <c r="Z59" s="1"/>
      <c r="AA59" s="1"/>
      <c r="AB59" s="1"/>
      <c r="AC59" s="1"/>
      <c r="AD59" s="1"/>
      <c r="AE59" s="1"/>
      <c r="AF59" s="1"/>
      <c r="AG59" s="1"/>
      <c r="AH59" s="1"/>
      <c r="AI59" s="1"/>
      <c r="AJ59" s="1"/>
      <c r="AK59" s="1"/>
      <c r="AL59" s="1"/>
    </row>
    <row r="60" spans="1:38">
      <c r="A60" s="1"/>
      <c r="B60" s="1"/>
      <c r="C60" s="1"/>
      <c r="D60" s="1173" t="s">
        <v>72</v>
      </c>
      <c r="E60" s="1173"/>
      <c r="F60" s="1173"/>
      <c r="G60" s="1153">
        <f>IFERROR(INDEX('DB(2) Pivots'!$B$184:$B$211,MATCH('Regional DB'!D60,'DB(2) Pivots'!$A$184:$A$211,0)),"")</f>
        <v>216262</v>
      </c>
      <c r="H60" s="1153"/>
      <c r="I60" s="1153"/>
      <c r="J60" s="1153"/>
      <c r="K60" s="1153" t="str">
        <f>IFERROR(IF(INDEX('DB(2) Pivots'!$C$184:$C$211,MATCH('Regional DB'!D60,'DB(2) Pivots'!$A$184:$A$211,0))=0,"N/A",INDEX('DB(2) Pivots'!$C$184:$C$211,MATCH('Regional DB'!D60,'DB(2) Pivots'!$A$184:$A$211,0))),"")</f>
        <v>N/A</v>
      </c>
      <c r="L60" s="1153"/>
      <c r="M60" s="1153"/>
      <c r="N60" s="1153"/>
      <c r="O60" s="1153">
        <f>IFERROR(INDEX('DB(2) Pivots'!$B$456:$B$472,MATCH('Regional DB'!D60,'DB(2) Pivots'!$A$456:$A$472,0)),"")</f>
        <v>216262</v>
      </c>
      <c r="P60" s="1153" t="str">
        <f>IFERROR(INDEX('DB(2) Pivots'!$B$456:$B$472,MATCH('Regional DB'!E60,'DB(2) Pivots'!$A$456:$A$472,0)),"")</f>
        <v/>
      </c>
      <c r="Q60" s="1153" t="str">
        <f>IFERROR(INDEX('DB(2) Pivots'!$B$456:$B$472,MATCH('Regional DB'!F60,'DB(2) Pivots'!$A$456:$A$472,0)),"")</f>
        <v/>
      </c>
      <c r="R60" s="1153" t="str">
        <f>IFERROR(INDEX('DB(2) Pivots'!$B$456:$B$472,MATCH('Regional DB'!G60,'DB(2) Pivots'!$A$456:$A$472,0)),"")</f>
        <v/>
      </c>
      <c r="S60" s="1"/>
      <c r="T60" s="1"/>
      <c r="U60" s="1"/>
      <c r="V60" s="1"/>
      <c r="W60" s="1"/>
      <c r="X60" s="1"/>
      <c r="Y60" s="1"/>
      <c r="Z60" s="1"/>
      <c r="AA60" s="1"/>
      <c r="AB60" s="1"/>
      <c r="AC60" s="1"/>
      <c r="AD60" s="1"/>
      <c r="AE60" s="1"/>
      <c r="AF60" s="1"/>
      <c r="AG60" s="1"/>
      <c r="AH60" s="1"/>
      <c r="AI60" s="1"/>
      <c r="AJ60" s="1"/>
      <c r="AK60" s="1"/>
      <c r="AL60" s="1"/>
    </row>
    <row r="61" spans="1:38">
      <c r="A61" s="1"/>
      <c r="B61" s="1"/>
      <c r="C61" s="1"/>
      <c r="D61" s="1173" t="s">
        <v>69</v>
      </c>
      <c r="E61" s="1173"/>
      <c r="F61" s="1173"/>
      <c r="G61" s="1153">
        <f>IFERROR(INDEX('DB(2) Pivots'!$B$184:$B$211,MATCH('Regional DB'!D61,'DB(2) Pivots'!$A$184:$A$211,0)),"")</f>
        <v>443933.62</v>
      </c>
      <c r="H61" s="1153"/>
      <c r="I61" s="1153"/>
      <c r="J61" s="1153"/>
      <c r="K61" s="1153" t="str">
        <f>IFERROR(IF(INDEX('DB(2) Pivots'!$C$184:$C$211,MATCH('Regional DB'!D61,'DB(2) Pivots'!$A$184:$A$211,0))=0,"N/A",INDEX('DB(2) Pivots'!$C$184:$C$211,MATCH('Regional DB'!D61,'DB(2) Pivots'!$A$184:$A$211,0))),"")</f>
        <v>N/A</v>
      </c>
      <c r="L61" s="1153"/>
      <c r="M61" s="1153"/>
      <c r="N61" s="1153"/>
      <c r="O61" s="1153">
        <f>IFERROR(INDEX('DB(2) Pivots'!$B$456:$B$472,MATCH('Regional DB'!D61,'DB(2) Pivots'!$A$456:$A$472,0)),"")</f>
        <v>443933.62</v>
      </c>
      <c r="P61" s="1153" t="str">
        <f>IFERROR(INDEX('DB(2) Pivots'!$B$456:$B$472,MATCH('Regional DB'!E61,'DB(2) Pivots'!$A$456:$A$472,0)),"")</f>
        <v/>
      </c>
      <c r="Q61" s="1153" t="str">
        <f>IFERROR(INDEX('DB(2) Pivots'!$B$456:$B$472,MATCH('Regional DB'!F61,'DB(2) Pivots'!$A$456:$A$472,0)),"")</f>
        <v/>
      </c>
      <c r="R61" s="1153" t="str">
        <f>IFERROR(INDEX('DB(2) Pivots'!$B$456:$B$472,MATCH('Regional DB'!G61,'DB(2) Pivots'!$A$456:$A$472,0)),"")</f>
        <v/>
      </c>
      <c r="S61" s="1"/>
      <c r="T61" s="1"/>
      <c r="U61" s="1"/>
      <c r="V61" s="1"/>
      <c r="W61" s="1"/>
      <c r="X61" s="1"/>
      <c r="Y61" s="1"/>
      <c r="Z61" s="1"/>
      <c r="AA61" s="1"/>
      <c r="AB61" s="1"/>
      <c r="AC61" s="1"/>
      <c r="AD61" s="1"/>
      <c r="AE61" s="1"/>
      <c r="AF61" s="1"/>
      <c r="AG61" s="1"/>
      <c r="AH61" s="1"/>
      <c r="AI61" s="1"/>
      <c r="AJ61" s="1"/>
      <c r="AK61" s="1"/>
      <c r="AL61" s="1"/>
    </row>
    <row r="62" spans="1:38">
      <c r="A62" s="1"/>
      <c r="B62" s="1"/>
      <c r="C62" s="1"/>
      <c r="D62" s="1173" t="s">
        <v>58</v>
      </c>
      <c r="E62" s="1173"/>
      <c r="F62" s="1173"/>
      <c r="G62" s="1153">
        <f>IFERROR(INDEX('DB(2) Pivots'!$B$184:$B$211,MATCH('Regional DB'!D62,'DB(2) Pivots'!$A$184:$A$211,0)),"")</f>
        <v>311013081.30000001</v>
      </c>
      <c r="H62" s="1153"/>
      <c r="I62" s="1153"/>
      <c r="J62" s="1153"/>
      <c r="K62" s="1153" t="str">
        <f>IFERROR(IF(INDEX('DB(2) Pivots'!$C$184:$C$211,MATCH('Regional DB'!D62,'DB(2) Pivots'!$A$184:$A$211,0))=0,"N/A",INDEX('DB(2) Pivots'!$C$184:$C$211,MATCH('Regional DB'!D62,'DB(2) Pivots'!$A$184:$A$211,0))),"")</f>
        <v>N/A</v>
      </c>
      <c r="L62" s="1153"/>
      <c r="M62" s="1153"/>
      <c r="N62" s="1153"/>
      <c r="O62" s="1153">
        <f>IFERROR(INDEX('DB(2) Pivots'!$B$456:$B$472,MATCH('Regional DB'!D62,'DB(2) Pivots'!$A$456:$A$472,0)),"")</f>
        <v>49611803</v>
      </c>
      <c r="P62" s="1153" t="str">
        <f>IFERROR(INDEX('DB(2) Pivots'!$B$456:$B$472,MATCH('Regional DB'!E62,'DB(2) Pivots'!$A$456:$A$472,0)),"")</f>
        <v/>
      </c>
      <c r="Q62" s="1153" t="str">
        <f>IFERROR(INDEX('DB(2) Pivots'!$B$456:$B$472,MATCH('Regional DB'!F62,'DB(2) Pivots'!$A$456:$A$472,0)),"")</f>
        <v/>
      </c>
      <c r="R62" s="1153" t="str">
        <f>IFERROR(INDEX('DB(2) Pivots'!$B$456:$B$472,MATCH('Regional DB'!G62,'DB(2) Pivots'!$A$456:$A$472,0)),"")</f>
        <v/>
      </c>
      <c r="S62" s="1"/>
      <c r="T62" s="1"/>
      <c r="U62" s="1"/>
      <c r="V62" s="1"/>
      <c r="W62" s="1"/>
      <c r="X62" s="1"/>
      <c r="Y62" s="1"/>
      <c r="Z62" s="1"/>
      <c r="AA62" s="1"/>
      <c r="AB62" s="1"/>
      <c r="AC62" s="1"/>
      <c r="AD62" s="1"/>
      <c r="AE62" s="1"/>
      <c r="AF62" s="1"/>
      <c r="AG62" s="1"/>
      <c r="AH62" s="1"/>
      <c r="AI62" s="1"/>
      <c r="AJ62" s="1"/>
      <c r="AK62" s="1"/>
      <c r="AL62" s="1"/>
    </row>
    <row r="63" spans="1:38">
      <c r="A63" s="1"/>
      <c r="B63" s="1"/>
      <c r="C63" s="1"/>
      <c r="D63" s="1172" t="s">
        <v>310</v>
      </c>
      <c r="E63" s="1172"/>
      <c r="F63" s="1172"/>
      <c r="G63" s="1182">
        <f>SUM(G64:J71)</f>
        <v>392782468.03600311</v>
      </c>
      <c r="H63" s="1182"/>
      <c r="I63" s="1182"/>
      <c r="J63" s="1182"/>
      <c r="K63" s="1182">
        <f>SUM(K64:N71)</f>
        <v>196939000</v>
      </c>
      <c r="L63" s="1182"/>
      <c r="M63" s="1182"/>
      <c r="N63" s="1182"/>
      <c r="O63" s="1182">
        <f>SUM(O64:R71)</f>
        <v>67780719</v>
      </c>
      <c r="P63" s="1182"/>
      <c r="Q63" s="1182"/>
      <c r="R63" s="1182"/>
      <c r="S63" s="1"/>
      <c r="T63" s="1"/>
      <c r="U63" s="1"/>
      <c r="V63" s="1"/>
      <c r="W63" s="1"/>
      <c r="X63" s="1"/>
      <c r="Y63" s="1"/>
      <c r="Z63" s="1"/>
      <c r="AA63" s="1"/>
      <c r="AB63" s="1"/>
      <c r="AC63" s="1"/>
      <c r="AD63" s="1"/>
      <c r="AE63" s="1"/>
      <c r="AF63" s="1"/>
      <c r="AG63" s="1"/>
      <c r="AH63" s="1"/>
      <c r="AI63" s="1"/>
      <c r="AJ63" s="1"/>
      <c r="AK63" s="1"/>
      <c r="AL63" s="1"/>
    </row>
    <row r="64" spans="1:38">
      <c r="A64" s="1"/>
      <c r="B64" s="1"/>
      <c r="C64" s="1"/>
      <c r="D64" s="1173" t="s">
        <v>338</v>
      </c>
      <c r="E64" s="1173"/>
      <c r="F64" s="1173"/>
      <c r="G64" s="1153">
        <f>IFERROR(INDEX('DB(2) Pivots'!$B$184:$B$211,MATCH('Regional DB'!D64,'DB(2) Pivots'!$A$184:$A$211,0)),"")</f>
        <v>31042645.449999999</v>
      </c>
      <c r="H64" s="1153"/>
      <c r="I64" s="1153"/>
      <c r="J64" s="1153"/>
      <c r="K64" s="1153" t="str">
        <f>IFERROR(IF(INDEX('DB(2) Pivots'!$C$184:$C$211,MATCH('Regional DB'!D64,'DB(2) Pivots'!$A$184:$A$211,0))=0,"N/A",INDEX('DB(2) Pivots'!$C$184:$C$211,MATCH('Regional DB'!D64,'DB(2) Pivots'!$A$184:$A$211,0))),"")</f>
        <v>N/A</v>
      </c>
      <c r="L64" s="1153"/>
      <c r="M64" s="1153"/>
      <c r="N64" s="1153"/>
      <c r="O64" s="1153" t="str">
        <f>IFERROR(INDEX('DB(2) Pivots'!$B$456:$B$472,MATCH('Regional DB'!D64,'DB(2) Pivots'!$A$456:$A$472,0)),"")</f>
        <v/>
      </c>
      <c r="P64" s="1153" t="str">
        <f>IFERROR(INDEX('DB(2) Pivots'!$B$456:$B$472,MATCH('Regional DB'!E64,'DB(2) Pivots'!$A$456:$A$472,0)),"")</f>
        <v/>
      </c>
      <c r="Q64" s="1153" t="str">
        <f>IFERROR(INDEX('DB(2) Pivots'!$B$456:$B$472,MATCH('Regional DB'!F64,'DB(2) Pivots'!$A$456:$A$472,0)),"")</f>
        <v/>
      </c>
      <c r="R64" s="1153" t="str">
        <f>IFERROR(INDEX('DB(2) Pivots'!$B$456:$B$472,MATCH('Regional DB'!G64,'DB(2) Pivots'!$A$456:$A$472,0)),"")</f>
        <v/>
      </c>
      <c r="S64" s="1"/>
      <c r="T64" s="1"/>
      <c r="U64" s="1"/>
      <c r="V64" s="1"/>
      <c r="W64" s="1"/>
      <c r="X64" s="1"/>
      <c r="Y64" s="1"/>
      <c r="Z64" s="1"/>
      <c r="AA64" s="1"/>
      <c r="AB64" s="1"/>
      <c r="AC64" s="1"/>
      <c r="AD64" s="1"/>
      <c r="AE64" s="1"/>
      <c r="AF64" s="1"/>
      <c r="AG64" s="1"/>
      <c r="AH64" s="1"/>
      <c r="AI64" s="1"/>
      <c r="AJ64" s="1"/>
      <c r="AK64" s="1"/>
      <c r="AL64" s="1"/>
    </row>
    <row r="65" spans="1:44">
      <c r="A65" s="1"/>
      <c r="B65" s="1"/>
      <c r="C65" s="1"/>
      <c r="D65" s="1173" t="s">
        <v>39</v>
      </c>
      <c r="E65" s="1173"/>
      <c r="F65" s="1173"/>
      <c r="G65" s="1153">
        <f>IFERROR(INDEX('DB(2) Pivots'!$B$184:$B$211,MATCH('Regional DB'!D65,'DB(2) Pivots'!$A$184:$A$211,0)),"")</f>
        <v>15860157</v>
      </c>
      <c r="H65" s="1153"/>
      <c r="I65" s="1153"/>
      <c r="J65" s="1153"/>
      <c r="K65" s="1153" t="str">
        <f>IFERROR(IF(INDEX('DB(2) Pivots'!$C$184:$C$211,MATCH('Regional DB'!D65,'DB(2) Pivots'!$A$184:$A$211,0))=0,"N/A",INDEX('DB(2) Pivots'!$C$184:$C$211,MATCH('Regional DB'!D65,'DB(2) Pivots'!$A$184:$A$211,0))),"")</f>
        <v>N/A</v>
      </c>
      <c r="L65" s="1153"/>
      <c r="M65" s="1153"/>
      <c r="N65" s="1153"/>
      <c r="O65" s="1153" t="str">
        <f>IFERROR(INDEX('DB(2) Pivots'!$B$456:$B$472,MATCH('Regional DB'!D65,'DB(2) Pivots'!$A$456:$A$472,0)),"")</f>
        <v/>
      </c>
      <c r="P65" s="1153" t="str">
        <f>IFERROR(INDEX('DB(2) Pivots'!$B$456:$B$472,MATCH('Regional DB'!E65,'DB(2) Pivots'!$A$456:$A$472,0)),"")</f>
        <v/>
      </c>
      <c r="Q65" s="1153" t="str">
        <f>IFERROR(INDEX('DB(2) Pivots'!$B$456:$B$472,MATCH('Regional DB'!F65,'DB(2) Pivots'!$A$456:$A$472,0)),"")</f>
        <v/>
      </c>
      <c r="R65" s="1153" t="str">
        <f>IFERROR(INDEX('DB(2) Pivots'!$B$456:$B$472,MATCH('Regional DB'!G65,'DB(2) Pivots'!$A$456:$A$472,0)),"")</f>
        <v/>
      </c>
      <c r="S65" s="1"/>
      <c r="T65" s="1"/>
      <c r="U65" s="1"/>
      <c r="V65" s="1"/>
      <c r="W65" s="1"/>
      <c r="X65" s="1"/>
      <c r="Y65" s="1"/>
      <c r="Z65" s="1"/>
      <c r="AA65" s="1"/>
      <c r="AB65" s="1"/>
      <c r="AC65" s="1"/>
      <c r="AD65" s="1"/>
      <c r="AE65" s="1"/>
      <c r="AF65" s="1"/>
      <c r="AG65" s="1"/>
      <c r="AH65" s="1"/>
      <c r="AI65" s="1"/>
      <c r="AJ65" s="1"/>
      <c r="AK65" s="1"/>
      <c r="AL65" s="1"/>
    </row>
    <row r="66" spans="1:44">
      <c r="A66" s="1"/>
      <c r="B66" s="1"/>
      <c r="C66" s="1"/>
      <c r="D66" s="1173" t="s">
        <v>339</v>
      </c>
      <c r="E66" s="1173"/>
      <c r="F66" s="1173"/>
      <c r="G66" s="1153">
        <f>IFERROR(INDEX('DB(2) Pivots'!$B$184:$B$211,MATCH('Regional DB'!D66,'DB(2) Pivots'!$A$184:$A$211,0)),"")</f>
        <v>49783726</v>
      </c>
      <c r="H66" s="1153"/>
      <c r="I66" s="1153"/>
      <c r="J66" s="1153"/>
      <c r="K66" s="1153" t="str">
        <f>IFERROR(IF(INDEX('DB(2) Pivots'!$C$184:$C$211,MATCH('Regional DB'!D66,'DB(2) Pivots'!$A$184:$A$211,0))=0,"N/A",INDEX('DB(2) Pivots'!$C$184:$C$211,MATCH('Regional DB'!D66,'DB(2) Pivots'!$A$184:$A$211,0))),"")</f>
        <v>N/A</v>
      </c>
      <c r="L66" s="1153"/>
      <c r="M66" s="1153"/>
      <c r="N66" s="1153"/>
      <c r="O66" s="1153" t="str">
        <f>IFERROR(INDEX('DB(2) Pivots'!$B$456:$B$472,MATCH('Regional DB'!D66,'DB(2) Pivots'!$A$456:$A$472,0)),"")</f>
        <v/>
      </c>
      <c r="P66" s="1153" t="str">
        <f>IFERROR(INDEX('DB(2) Pivots'!$B$456:$B$472,MATCH('Regional DB'!E66,'DB(2) Pivots'!$A$456:$A$472,0)),"")</f>
        <v/>
      </c>
      <c r="Q66" s="1153" t="str">
        <f>IFERROR(INDEX('DB(2) Pivots'!$B$456:$B$472,MATCH('Regional DB'!F66,'DB(2) Pivots'!$A$456:$A$472,0)),"")</f>
        <v/>
      </c>
      <c r="R66" s="1153" t="str">
        <f>IFERROR(INDEX('DB(2) Pivots'!$B$456:$B$472,MATCH('Regional DB'!G66,'DB(2) Pivots'!$A$456:$A$472,0)),"")</f>
        <v/>
      </c>
      <c r="S66" s="1"/>
      <c r="T66" s="1"/>
      <c r="U66" s="1"/>
      <c r="V66" s="1"/>
      <c r="W66" s="1"/>
      <c r="X66" s="1"/>
      <c r="Y66" s="1"/>
      <c r="Z66" s="1"/>
      <c r="AA66" s="1"/>
      <c r="AB66" s="1"/>
      <c r="AC66" s="1"/>
      <c r="AD66" s="1"/>
      <c r="AE66" s="1"/>
      <c r="AF66" s="1"/>
      <c r="AG66" s="1"/>
      <c r="AH66" s="1"/>
      <c r="AI66" s="1"/>
      <c r="AJ66" s="1"/>
      <c r="AK66" s="1"/>
      <c r="AL66" s="1"/>
    </row>
    <row r="67" spans="1:44">
      <c r="A67" s="1"/>
      <c r="B67" s="1"/>
      <c r="C67" s="1"/>
      <c r="D67" s="1173" t="s">
        <v>340</v>
      </c>
      <c r="E67" s="1173"/>
      <c r="F67" s="1173"/>
      <c r="G67" s="1153">
        <f>IFERROR(INDEX('DB(2) Pivots'!$B$184:$B$211,MATCH('Regional DB'!D67,'DB(2) Pivots'!$A$184:$A$211,0)),"")</f>
        <v>219837866</v>
      </c>
      <c r="H67" s="1153"/>
      <c r="I67" s="1153"/>
      <c r="J67" s="1153"/>
      <c r="K67" s="1153">
        <f>IFERROR(IF(INDEX('DB(2) Pivots'!$C$184:$C$211,MATCH('Regional DB'!D67,'DB(2) Pivots'!$A$184:$A$211,0))=0,"N/A",INDEX('DB(2) Pivots'!$C$184:$C$211,MATCH('Regional DB'!D67,'DB(2) Pivots'!$A$184:$A$211,0))),"")</f>
        <v>196939000</v>
      </c>
      <c r="L67" s="1153"/>
      <c r="M67" s="1153"/>
      <c r="N67" s="1153"/>
      <c r="O67" s="1153">
        <f>IFERROR(INDEX('DB(2) Pivots'!$B$456:$B$472,MATCH('Regional DB'!D67,'DB(2) Pivots'!$A$456:$A$472,0)),"")</f>
        <v>67780719</v>
      </c>
      <c r="P67" s="1153" t="str">
        <f>IFERROR(INDEX('DB(2) Pivots'!$B$456:$B$472,MATCH('Regional DB'!E67,'DB(2) Pivots'!$A$456:$A$472,0)),"")</f>
        <v/>
      </c>
      <c r="Q67" s="1153" t="str">
        <f>IFERROR(INDEX('DB(2) Pivots'!$B$456:$B$472,MATCH('Regional DB'!F67,'DB(2) Pivots'!$A$456:$A$472,0)),"")</f>
        <v/>
      </c>
      <c r="R67" s="1153" t="str">
        <f>IFERROR(INDEX('DB(2) Pivots'!$B$456:$B$472,MATCH('Regional DB'!G67,'DB(2) Pivots'!$A$456:$A$472,0)),"")</f>
        <v/>
      </c>
      <c r="S67" s="1"/>
      <c r="T67" s="1"/>
      <c r="U67" s="1"/>
      <c r="V67" s="1"/>
      <c r="W67" s="1"/>
      <c r="X67" s="1"/>
      <c r="Y67" s="1"/>
      <c r="Z67" s="1"/>
      <c r="AA67" s="1"/>
      <c r="AB67" s="1"/>
      <c r="AC67" s="1"/>
      <c r="AD67" s="1"/>
      <c r="AE67" s="1"/>
      <c r="AF67" s="1"/>
      <c r="AG67" s="1"/>
      <c r="AH67" s="1"/>
      <c r="AI67" s="1"/>
      <c r="AJ67" s="1"/>
      <c r="AK67" s="1"/>
      <c r="AL67" s="1"/>
    </row>
    <row r="68" spans="1:44">
      <c r="A68" s="1"/>
      <c r="B68" s="1"/>
      <c r="C68" s="1"/>
      <c r="D68" s="1154" t="s">
        <v>341</v>
      </c>
      <c r="E68" s="1155"/>
      <c r="F68" s="1156"/>
      <c r="G68" s="1153">
        <f>IFERROR(INDEX('DB(2) Pivots'!$B$184:$B$211,MATCH('Regional DB'!D68,'DB(2) Pivots'!$A$184:$A$211,0)),"")</f>
        <v>21141883.651928999</v>
      </c>
      <c r="H68" s="1153"/>
      <c r="I68" s="1153"/>
      <c r="J68" s="1153"/>
      <c r="K68" s="1153" t="str">
        <f>IFERROR(IF(INDEX('DB(2) Pivots'!$C$184:$C$211,MATCH('Regional DB'!D68,'DB(2) Pivots'!$A$184:$A$211,0))=0,"N/A",INDEX('DB(2) Pivots'!$C$184:$C$211,MATCH('Regional DB'!D68,'DB(2) Pivots'!$A$184:$A$211,0))),"")</f>
        <v>N/A</v>
      </c>
      <c r="L68" s="1153"/>
      <c r="M68" s="1153"/>
      <c r="N68" s="1153"/>
      <c r="O68" s="1153" t="str">
        <f>IFERROR(INDEX('DB(2) Pivots'!$B$456:$B$472,MATCH('Regional DB'!D68,'DB(2) Pivots'!$A$456:$A$472,0)),"")</f>
        <v/>
      </c>
      <c r="P68" s="1153" t="str">
        <f>IFERROR(INDEX('DB(2) Pivots'!$B$456:$B$472,MATCH('Regional DB'!E68,'DB(2) Pivots'!$A$456:$A$472,0)),"")</f>
        <v/>
      </c>
      <c r="Q68" s="1153" t="str">
        <f>IFERROR(INDEX('DB(2) Pivots'!$B$456:$B$472,MATCH('Regional DB'!F68,'DB(2) Pivots'!$A$456:$A$472,0)),"")</f>
        <v/>
      </c>
      <c r="R68" s="1153" t="str">
        <f>IFERROR(INDEX('DB(2) Pivots'!$B$456:$B$472,MATCH('Regional DB'!G68,'DB(2) Pivots'!$A$456:$A$472,0)),"")</f>
        <v/>
      </c>
      <c r="S68" s="1"/>
      <c r="T68" s="1"/>
      <c r="U68" s="1"/>
      <c r="V68" s="1"/>
      <c r="W68" s="1"/>
      <c r="X68" s="1"/>
      <c r="Y68" s="1"/>
      <c r="Z68" s="1"/>
      <c r="AA68" s="1"/>
      <c r="AB68" s="1"/>
      <c r="AC68" s="1"/>
      <c r="AD68" s="1"/>
      <c r="AE68" s="1"/>
      <c r="AF68" s="1"/>
      <c r="AG68" s="1"/>
      <c r="AH68" s="1"/>
      <c r="AI68" s="1"/>
      <c r="AJ68" s="1"/>
      <c r="AK68" s="1"/>
      <c r="AL68" s="1"/>
    </row>
    <row r="69" spans="1:44">
      <c r="A69" s="1"/>
      <c r="B69" s="1"/>
      <c r="C69" s="1"/>
      <c r="D69" s="1173" t="s">
        <v>342</v>
      </c>
      <c r="E69" s="1173"/>
      <c r="F69" s="1173"/>
      <c r="G69" s="1153">
        <f>IFERROR(INDEX('DB(2) Pivots'!$B$184:$B$211,MATCH('Regional DB'!D69,'DB(2) Pivots'!$A$184:$A$211,0)),"")</f>
        <v>20714260.074074075</v>
      </c>
      <c r="H69" s="1153"/>
      <c r="I69" s="1153"/>
      <c r="J69" s="1153"/>
      <c r="K69" s="1153" t="str">
        <f>IFERROR(IF(INDEX('DB(2) Pivots'!$C$184:$C$211,MATCH('Regional DB'!D69,'DB(2) Pivots'!$A$184:$A$211,0))=0,"N/A",INDEX('DB(2) Pivots'!$C$184:$C$211,MATCH('Regional DB'!D69,'DB(2) Pivots'!$A$184:$A$211,0))),"")</f>
        <v>N/A</v>
      </c>
      <c r="L69" s="1153"/>
      <c r="M69" s="1153"/>
      <c r="N69" s="1153"/>
      <c r="O69" s="1153" t="str">
        <f>IFERROR(INDEX('DB(2) Pivots'!$B$456:$B$472,MATCH('Regional DB'!D69,'DB(2) Pivots'!$A$456:$A$472,0)),"")</f>
        <v/>
      </c>
      <c r="P69" s="1153" t="str">
        <f>IFERROR(INDEX('DB(2) Pivots'!$B$456:$B$472,MATCH('Regional DB'!E69,'DB(2) Pivots'!$A$456:$A$472,0)),"")</f>
        <v/>
      </c>
      <c r="Q69" s="1153" t="str">
        <f>IFERROR(INDEX('DB(2) Pivots'!$B$456:$B$472,MATCH('Regional DB'!F69,'DB(2) Pivots'!$A$456:$A$472,0)),"")</f>
        <v/>
      </c>
      <c r="R69" s="1153" t="str">
        <f>IFERROR(INDEX('DB(2) Pivots'!$B$456:$B$472,MATCH('Regional DB'!G69,'DB(2) Pivots'!$A$456:$A$472,0)),"")</f>
        <v/>
      </c>
      <c r="S69" s="1"/>
      <c r="T69" s="1"/>
      <c r="U69" s="1"/>
      <c r="V69" s="1"/>
      <c r="W69" s="1"/>
      <c r="X69" s="1"/>
      <c r="Y69" s="1"/>
      <c r="Z69" s="1"/>
      <c r="AA69" s="1"/>
      <c r="AB69" s="1"/>
      <c r="AC69" s="1"/>
      <c r="AD69" s="1"/>
      <c r="AE69" s="1"/>
      <c r="AF69" s="1"/>
      <c r="AG69" s="1"/>
      <c r="AH69" s="1"/>
      <c r="AI69" s="1"/>
      <c r="AJ69" s="1"/>
      <c r="AK69" s="1"/>
      <c r="AL69" s="1"/>
    </row>
    <row r="70" spans="1:44">
      <c r="A70" s="1"/>
      <c r="B70" s="1"/>
      <c r="C70" s="1"/>
      <c r="D70" s="1173" t="s">
        <v>343</v>
      </c>
      <c r="E70" s="1173"/>
      <c r="F70" s="1173"/>
      <c r="G70" s="1153">
        <f>IFERROR(INDEX('DB(2) Pivots'!$B$184:$B$211,MATCH('Regional DB'!D70,'DB(2) Pivots'!$A$184:$A$211,0)),"")</f>
        <v>30349374.299999997</v>
      </c>
      <c r="H70" s="1153"/>
      <c r="I70" s="1153"/>
      <c r="J70" s="1153"/>
      <c r="K70" s="1153" t="str">
        <f>IFERROR(IF(INDEX('DB(2) Pivots'!$C$184:$C$211,MATCH('Regional DB'!D70,'DB(2) Pivots'!$A$184:$A$211,0))=0,"N/A",INDEX('DB(2) Pivots'!$C$184:$C$211,MATCH('Regional DB'!D70,'DB(2) Pivots'!$A$184:$A$211,0))),"")</f>
        <v>N/A</v>
      </c>
      <c r="L70" s="1153"/>
      <c r="M70" s="1153"/>
      <c r="N70" s="1153"/>
      <c r="O70" s="1153" t="str">
        <f>IFERROR(INDEX('DB(2) Pivots'!$B$456:$B$472,MATCH('Regional DB'!D70,'DB(2) Pivots'!$A$456:$A$472,0)),"")</f>
        <v/>
      </c>
      <c r="P70" s="1153" t="str">
        <f>IFERROR(INDEX('DB(2) Pivots'!$B$456:$B$472,MATCH('Regional DB'!E70,'DB(2) Pivots'!$A$456:$A$472,0)),"")</f>
        <v/>
      </c>
      <c r="Q70" s="1153" t="str">
        <f>IFERROR(INDEX('DB(2) Pivots'!$B$456:$B$472,MATCH('Regional DB'!F70,'DB(2) Pivots'!$A$456:$A$472,0)),"")</f>
        <v/>
      </c>
      <c r="R70" s="1153" t="str">
        <f>IFERROR(INDEX('DB(2) Pivots'!$B$456:$B$472,MATCH('Regional DB'!G70,'DB(2) Pivots'!$A$456:$A$472,0)),"")</f>
        <v/>
      </c>
      <c r="S70" s="1"/>
      <c r="T70" s="1"/>
      <c r="U70" s="1"/>
      <c r="V70" s="1"/>
      <c r="W70" s="1"/>
      <c r="X70" s="1"/>
      <c r="Y70" s="1"/>
      <c r="Z70" s="1"/>
      <c r="AA70" s="1"/>
      <c r="AB70" s="1"/>
      <c r="AC70" s="1"/>
      <c r="AD70" s="1"/>
      <c r="AE70" s="1"/>
      <c r="AF70" s="1"/>
      <c r="AG70" s="1"/>
      <c r="AH70" s="1"/>
      <c r="AI70" s="1"/>
      <c r="AJ70" s="1"/>
      <c r="AK70" s="1"/>
      <c r="AL70" s="1"/>
    </row>
    <row r="71" spans="1:44">
      <c r="A71" s="1"/>
      <c r="B71" s="1"/>
      <c r="C71" s="1"/>
      <c r="D71" s="1154" t="s">
        <v>344</v>
      </c>
      <c r="E71" s="1155"/>
      <c r="F71" s="1156"/>
      <c r="G71" s="1153">
        <f>IFERROR(INDEX('DB(2) Pivots'!$B$184:$B$211,MATCH('Regional DB'!D71,'DB(2) Pivots'!$A$184:$A$211,0)),"")</f>
        <v>4052555.56</v>
      </c>
      <c r="H71" s="1153"/>
      <c r="I71" s="1153"/>
      <c r="J71" s="1153"/>
      <c r="K71" s="1183" t="str">
        <f>IFERROR(IF(INDEX('DB(2) Pivots'!$C$184:$C$211,MATCH('Regional DB'!D71,'DB(2) Pivots'!$A$184:$A$211,0))=0,"N/A",INDEX('DB(2) Pivots'!$C$184:$C$211,MATCH('Regional DB'!D71,'DB(2) Pivots'!$A$184:$A$211,0))),"")</f>
        <v>N/A</v>
      </c>
      <c r="L71" s="1184"/>
      <c r="M71" s="1184"/>
      <c r="N71" s="1185"/>
      <c r="O71" s="1153" t="str">
        <f>IFERROR(INDEX('DB(2) Pivots'!$B$456:$B$472,MATCH('Regional DB'!D71,'DB(2) Pivots'!$A$456:$A$472,0)),"")</f>
        <v/>
      </c>
      <c r="P71" s="1153" t="str">
        <f>IFERROR(INDEX('DB(2) Pivots'!$B$456:$B$472,MATCH('Regional DB'!E71,'DB(2) Pivots'!$A$456:$A$472,0)),"")</f>
        <v/>
      </c>
      <c r="Q71" s="1153" t="str">
        <f>IFERROR(INDEX('DB(2) Pivots'!$B$456:$B$472,MATCH('Regional DB'!F71,'DB(2) Pivots'!$A$456:$A$472,0)),"")</f>
        <v/>
      </c>
      <c r="R71" s="1153" t="str">
        <f>IFERROR(INDEX('DB(2) Pivots'!$B$456:$B$472,MATCH('Regional DB'!G71,'DB(2) Pivots'!$A$456:$A$472,0)),"")</f>
        <v/>
      </c>
      <c r="S71" s="1"/>
      <c r="T71" s="1"/>
      <c r="U71" s="1"/>
      <c r="V71" s="1"/>
      <c r="W71" s="1"/>
      <c r="X71" s="1"/>
      <c r="Y71" s="1"/>
      <c r="Z71" s="1"/>
      <c r="AA71" s="1"/>
      <c r="AB71" s="1"/>
      <c r="AC71" s="1"/>
      <c r="AD71" s="1"/>
      <c r="AE71" s="1"/>
      <c r="AF71" s="1"/>
      <c r="AG71" s="1"/>
      <c r="AH71" s="1"/>
      <c r="AI71" s="1"/>
      <c r="AJ71" s="1"/>
      <c r="AK71" s="1"/>
      <c r="AL71" s="1"/>
    </row>
    <row r="72" spans="1:44">
      <c r="A72" s="1"/>
      <c r="B72" s="1"/>
      <c r="C72" s="1"/>
      <c r="D72" s="1172" t="s">
        <v>345</v>
      </c>
      <c r="E72" s="1172"/>
      <c r="F72" s="1172"/>
      <c r="G72" s="1182">
        <f>SUM(G73:J74)</f>
        <v>140938105</v>
      </c>
      <c r="H72" s="1182"/>
      <c r="I72" s="1182"/>
      <c r="J72" s="1182"/>
      <c r="K72" s="1182">
        <f>SUM(K73:N74)</f>
        <v>0</v>
      </c>
      <c r="L72" s="1182"/>
      <c r="M72" s="1182"/>
      <c r="N72" s="1182"/>
      <c r="O72" s="1182">
        <f>SUM(O73:R74)</f>
        <v>140938105</v>
      </c>
      <c r="P72" s="1182"/>
      <c r="Q72" s="1182"/>
      <c r="R72" s="1182"/>
      <c r="S72" s="1"/>
      <c r="T72" s="1"/>
      <c r="U72" s="1"/>
      <c r="V72" s="1"/>
      <c r="W72" s="1"/>
      <c r="X72" s="1"/>
      <c r="Y72" s="1"/>
      <c r="Z72" s="1"/>
      <c r="AA72" s="1"/>
      <c r="AB72" s="1"/>
      <c r="AC72" s="1"/>
      <c r="AD72" s="1"/>
      <c r="AE72" s="1"/>
      <c r="AF72" s="1"/>
      <c r="AG72" s="1"/>
      <c r="AH72" s="1"/>
      <c r="AI72" s="1"/>
      <c r="AJ72" s="1"/>
      <c r="AK72" s="1"/>
      <c r="AL72" s="1"/>
    </row>
    <row r="73" spans="1:44">
      <c r="A73" s="1"/>
      <c r="B73" s="1"/>
      <c r="C73" s="1"/>
      <c r="D73" s="1173" t="s">
        <v>346</v>
      </c>
      <c r="E73" s="1173"/>
      <c r="F73" s="1173"/>
      <c r="G73" s="1153">
        <f>IFERROR(INDEX('DB(2) Pivots'!$B$184:$B$211,MATCH('Regional DB'!D73,'DB(2) Pivots'!$A$184:$A$211,0)),"")</f>
        <v>17281741</v>
      </c>
      <c r="H73" s="1153"/>
      <c r="I73" s="1153"/>
      <c r="J73" s="1153"/>
      <c r="K73" s="1153" t="str">
        <f>IFERROR(IF(INDEX('DB(2) Pivots'!$C$184:$C$211,MATCH('Regional DB'!D73,'DB(2) Pivots'!$A$184:$A$211,0))=0,"N/A",INDEX('DB(2) Pivots'!$C$184:$C$211,MATCH('Regional DB'!D73,'DB(2) Pivots'!$A$184:$A$211,0))),"")</f>
        <v>N/A</v>
      </c>
      <c r="L73" s="1153"/>
      <c r="M73" s="1153"/>
      <c r="N73" s="1153"/>
      <c r="O73" s="1153">
        <f>IFERROR(INDEX('DB(2) Pivots'!$B$456:$B$472,MATCH('Regional DB'!D73,'DB(2) Pivots'!$A$456:$A$472,0)),"")</f>
        <v>17281741</v>
      </c>
      <c r="P73" s="1153" t="str">
        <f>IFERROR(INDEX('DB(2) Pivots'!$B$456:$B$472,MATCH('Regional DB'!E73,'DB(2) Pivots'!$A$456:$A$472,0)),"")</f>
        <v/>
      </c>
      <c r="Q73" s="1153" t="str">
        <f>IFERROR(INDEX('DB(2) Pivots'!$B$456:$B$472,MATCH('Regional DB'!F73,'DB(2) Pivots'!$A$456:$A$472,0)),"")</f>
        <v/>
      </c>
      <c r="R73" s="1153" t="str">
        <f>IFERROR(INDEX('DB(2) Pivots'!$B$456:$B$472,MATCH('Regional DB'!G73,'DB(2) Pivots'!$A$456:$A$472,0)),"")</f>
        <v/>
      </c>
      <c r="S73" s="1"/>
      <c r="T73" s="1"/>
      <c r="U73" s="1"/>
      <c r="V73" s="1"/>
      <c r="W73" s="1"/>
      <c r="X73" s="1"/>
      <c r="Y73" s="1"/>
      <c r="Z73" s="1"/>
      <c r="AA73" s="1"/>
      <c r="AB73" s="1"/>
      <c r="AC73" s="1"/>
      <c r="AD73" s="1"/>
      <c r="AE73" s="1"/>
      <c r="AF73" s="1"/>
      <c r="AG73" s="1"/>
      <c r="AH73" s="1"/>
      <c r="AI73" s="1"/>
      <c r="AJ73" s="1"/>
      <c r="AK73" s="1"/>
      <c r="AL73" s="1"/>
    </row>
    <row r="74" spans="1:44">
      <c r="A74" s="1"/>
      <c r="B74" s="1"/>
      <c r="C74" s="1"/>
      <c r="D74" s="1173" t="s">
        <v>347</v>
      </c>
      <c r="E74" s="1173"/>
      <c r="F74" s="1173"/>
      <c r="G74" s="1153">
        <f>IFERROR(INDEX('DB(2) Pivots'!$B$184:$B$211,MATCH('Regional DB'!D74,'DB(2) Pivots'!$A$184:$A$211,0)),"")</f>
        <v>123656364</v>
      </c>
      <c r="H74" s="1153"/>
      <c r="I74" s="1153"/>
      <c r="J74" s="1153"/>
      <c r="K74" s="1153" t="str">
        <f>IFERROR(IF(INDEX('DB(2) Pivots'!$C$184:$C$211,MATCH('Regional DB'!D74,'DB(2) Pivots'!$A$184:$A$211,0))=0,"N/A",INDEX('DB(2) Pivots'!$C$184:$C$211,MATCH('Regional DB'!D74,'DB(2) Pivots'!$A$184:$A$211,0))),"")</f>
        <v>N/A</v>
      </c>
      <c r="L74" s="1153"/>
      <c r="M74" s="1153"/>
      <c r="N74" s="1153"/>
      <c r="O74" s="1153">
        <f>IFERROR(INDEX('DB(2) Pivots'!$B$456:$B$472,MATCH('Regional DB'!D74,'DB(2) Pivots'!$A$456:$A$472,0)),"")</f>
        <v>123656364</v>
      </c>
      <c r="P74" s="1153" t="str">
        <f>IFERROR(INDEX('DB(2) Pivots'!$B$456:$B$472,MATCH('Regional DB'!E74,'DB(2) Pivots'!$A$456:$A$472,0)),"")</f>
        <v/>
      </c>
      <c r="Q74" s="1153" t="str">
        <f>IFERROR(INDEX('DB(2) Pivots'!$B$456:$B$472,MATCH('Regional DB'!F74,'DB(2) Pivots'!$A$456:$A$472,0)),"")</f>
        <v/>
      </c>
      <c r="R74" s="1153" t="str">
        <f>IFERROR(INDEX('DB(2) Pivots'!$B$456:$B$472,MATCH('Regional DB'!G74,'DB(2) Pivots'!$A$456:$A$472,0)),"")</f>
        <v/>
      </c>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spans="1:44">
      <c r="A75" s="1"/>
      <c r="B75" s="1"/>
      <c r="C75" s="1"/>
      <c r="D75" s="1172" t="s">
        <v>312</v>
      </c>
      <c r="E75" s="1172"/>
      <c r="F75" s="1172"/>
      <c r="G75" s="1182">
        <f>SUM(G76:J78)</f>
        <v>72612747.75</v>
      </c>
      <c r="H75" s="1182"/>
      <c r="I75" s="1182"/>
      <c r="J75" s="1182"/>
      <c r="K75" s="1182">
        <f>SUM(K76:N78)</f>
        <v>0</v>
      </c>
      <c r="L75" s="1182"/>
      <c r="M75" s="1182"/>
      <c r="N75" s="1182"/>
      <c r="O75" s="1182">
        <f>SUM(O76:R78)</f>
        <v>52870747.75</v>
      </c>
      <c r="P75" s="1182"/>
      <c r="Q75" s="1182"/>
      <c r="R75" s="1182"/>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spans="1:44">
      <c r="A76" s="1"/>
      <c r="B76" s="1"/>
      <c r="C76" s="1"/>
      <c r="D76" s="1173" t="s">
        <v>348</v>
      </c>
      <c r="E76" s="1173"/>
      <c r="F76" s="1173"/>
      <c r="G76" s="1153">
        <f>IFERROR(INDEX('DB(2) Pivots'!$B$184:$B$211,MATCH('Regional DB'!D76,'DB(2) Pivots'!$A$184:$A$211,0)),"")</f>
        <v>19742000</v>
      </c>
      <c r="H76" s="1153"/>
      <c r="I76" s="1153"/>
      <c r="J76" s="1153"/>
      <c r="K76" s="1153" t="str">
        <f>IFERROR(IF(INDEX('DB(2) Pivots'!$C$184:$C$211,MATCH('Regional DB'!D76,'DB(2) Pivots'!$A$184:$A$211,0))=0,"N/A",INDEX('DB(2) Pivots'!$C$184:$C$211,MATCH('Regional DB'!D76,'DB(2) Pivots'!$A$184:$A$211,0))),"")</f>
        <v>N/A</v>
      </c>
      <c r="L76" s="1153"/>
      <c r="M76" s="1153"/>
      <c r="N76" s="1153"/>
      <c r="O76" s="1153" t="str">
        <f>IFERROR(INDEX('DB(2) Pivots'!$B$456:$B$472,MATCH('Regional DB'!D76,'DB(2) Pivots'!$A$456:$A$472,0)),"")</f>
        <v/>
      </c>
      <c r="P76" s="1153" t="str">
        <f>IFERROR(INDEX('DB(2) Pivots'!$B$456:$B$472,MATCH('Regional DB'!E76,'DB(2) Pivots'!$A$456:$A$472,0)),"")</f>
        <v/>
      </c>
      <c r="Q76" s="1153" t="str">
        <f>IFERROR(INDEX('DB(2) Pivots'!$B$456:$B$472,MATCH('Regional DB'!F76,'DB(2) Pivots'!$A$456:$A$472,0)),"")</f>
        <v/>
      </c>
      <c r="R76" s="1153" t="str">
        <f>IFERROR(INDEX('DB(2) Pivots'!$B$456:$B$472,MATCH('Regional DB'!G76,'DB(2) Pivots'!$A$456:$A$472,0)),"")</f>
        <v/>
      </c>
      <c r="S76" s="1"/>
      <c r="T76" s="1"/>
      <c r="U76" s="1"/>
      <c r="V76" s="1"/>
      <c r="W76" s="1"/>
      <c r="X76" s="1"/>
      <c r="Y76" s="1"/>
      <c r="Z76" s="1"/>
      <c r="AA76" s="1"/>
      <c r="AB76" s="1"/>
      <c r="AC76" s="1"/>
      <c r="AD76" s="1"/>
      <c r="AE76" s="1"/>
      <c r="AF76" s="1"/>
      <c r="AG76" s="1"/>
      <c r="AH76" s="1"/>
      <c r="AI76" s="1"/>
      <c r="AJ76" s="1"/>
      <c r="AK76" s="1"/>
      <c r="AL76" s="1"/>
      <c r="AM76" s="1"/>
      <c r="AN76" s="1"/>
      <c r="AO76" s="1"/>
      <c r="AP76" s="1"/>
      <c r="AQ76" s="1"/>
      <c r="AR76" s="1"/>
    </row>
    <row r="77" spans="1:44">
      <c r="A77" s="1"/>
      <c r="B77" s="1"/>
      <c r="C77" s="1"/>
      <c r="D77" s="1173" t="s">
        <v>349</v>
      </c>
      <c r="E77" s="1173"/>
      <c r="F77" s="1173"/>
      <c r="G77" s="1153">
        <f>IFERROR(INDEX('DB(2) Pivots'!$B$184:$B$211,MATCH('Regional DB'!D77,'DB(2) Pivots'!$A$184:$A$211,0)),"")</f>
        <v>4158940</v>
      </c>
      <c r="H77" s="1153"/>
      <c r="I77" s="1153"/>
      <c r="J77" s="1153"/>
      <c r="K77" s="1153" t="str">
        <f>IFERROR(IF(INDEX('DB(2) Pivots'!$C$184:$C$211,MATCH('Regional DB'!D77,'DB(2) Pivots'!$A$184:$A$211,0))=0,"N/A",INDEX('DB(2) Pivots'!$C$184:$C$211,MATCH('Regional DB'!D77,'DB(2) Pivots'!$A$184:$A$211,0))),"")</f>
        <v>N/A</v>
      </c>
      <c r="L77" s="1153"/>
      <c r="M77" s="1153"/>
      <c r="N77" s="1153"/>
      <c r="O77" s="1153">
        <f>IFERROR(INDEX('DB(2) Pivots'!$B$456:$B$472,MATCH('Regional DB'!D77,'DB(2) Pivots'!$A$456:$A$472,0)),"")</f>
        <v>4158940</v>
      </c>
      <c r="P77" s="1153" t="str">
        <f>IFERROR(INDEX('DB(2) Pivots'!$B$456:$B$472,MATCH('Regional DB'!E77,'DB(2) Pivots'!$A$456:$A$472,0)),"")</f>
        <v/>
      </c>
      <c r="Q77" s="1153" t="str">
        <f>IFERROR(INDEX('DB(2) Pivots'!$B$456:$B$472,MATCH('Regional DB'!F77,'DB(2) Pivots'!$A$456:$A$472,0)),"")</f>
        <v/>
      </c>
      <c r="R77" s="1153" t="str">
        <f>IFERROR(INDEX('DB(2) Pivots'!$B$456:$B$472,MATCH('Regional DB'!G77,'DB(2) Pivots'!$A$456:$A$472,0)),"")</f>
        <v/>
      </c>
      <c r="S77" s="1"/>
      <c r="T77" s="1"/>
      <c r="U77" s="1"/>
      <c r="V77" s="1"/>
      <c r="W77" s="1"/>
      <c r="X77" s="1"/>
      <c r="Y77" s="1"/>
      <c r="Z77" s="1"/>
      <c r="AA77" s="1"/>
      <c r="AB77" s="1"/>
      <c r="AC77" s="1"/>
      <c r="AD77" s="1"/>
      <c r="AE77" s="1"/>
      <c r="AF77" s="1"/>
      <c r="AG77" s="1"/>
      <c r="AH77" s="1"/>
      <c r="AI77" s="1"/>
      <c r="AJ77" s="1"/>
      <c r="AK77" s="1"/>
      <c r="AL77" s="1"/>
      <c r="AM77" s="1"/>
      <c r="AN77" s="1"/>
      <c r="AO77" s="1"/>
      <c r="AP77" s="1"/>
      <c r="AQ77" s="1"/>
      <c r="AR77" s="1"/>
    </row>
    <row r="78" spans="1:44">
      <c r="A78" s="1"/>
      <c r="B78" s="1"/>
      <c r="C78" s="1"/>
      <c r="D78" s="1173" t="s">
        <v>350</v>
      </c>
      <c r="E78" s="1173"/>
      <c r="F78" s="1173"/>
      <c r="G78" s="1153">
        <f>IFERROR(INDEX('DB(2) Pivots'!$B$184:$B$211,MATCH('Regional DB'!D78,'DB(2) Pivots'!$A$184:$A$211,0)),"")</f>
        <v>48711807.75</v>
      </c>
      <c r="H78" s="1153"/>
      <c r="I78" s="1153"/>
      <c r="J78" s="1153"/>
      <c r="K78" s="1153" t="str">
        <f>IFERROR(IF(INDEX('DB(2) Pivots'!$C$184:$C$211,MATCH('Regional DB'!D78,'DB(2) Pivots'!$A$184:$A$211,0))=0,"N/A",INDEX('DB(2) Pivots'!$C$184:$C$211,MATCH('Regional DB'!D78,'DB(2) Pivots'!$A$184:$A$211,0))),"")</f>
        <v>N/A</v>
      </c>
      <c r="L78" s="1153"/>
      <c r="M78" s="1153"/>
      <c r="N78" s="1153"/>
      <c r="O78" s="1153">
        <f>IFERROR(INDEX('DB(2) Pivots'!$B$456:$B$472,MATCH('Regional DB'!D78,'DB(2) Pivots'!$A$456:$A$472,0)),"")</f>
        <v>48711807.75</v>
      </c>
      <c r="P78" s="1153" t="str">
        <f>IFERROR(INDEX('DB(2) Pivots'!$B$456:$B$472,MATCH('Regional DB'!E78,'DB(2) Pivots'!$A$456:$A$472,0)),"")</f>
        <v/>
      </c>
      <c r="Q78" s="1153" t="str">
        <f>IFERROR(INDEX('DB(2) Pivots'!$B$456:$B$472,MATCH('Regional DB'!F78,'DB(2) Pivots'!$A$456:$A$472,0)),"")</f>
        <v/>
      </c>
      <c r="R78" s="1153" t="str">
        <f>IFERROR(INDEX('DB(2) Pivots'!$B$456:$B$472,MATCH('Regional DB'!G78,'DB(2) Pivots'!$A$456:$A$472,0)),"")</f>
        <v/>
      </c>
      <c r="S78" s="1"/>
      <c r="T78" s="1"/>
      <c r="U78" s="1"/>
      <c r="V78" s="1"/>
      <c r="W78" s="1"/>
      <c r="X78" s="1"/>
      <c r="Y78" s="1"/>
      <c r="Z78" s="1"/>
      <c r="AA78" s="1"/>
      <c r="AB78" s="1"/>
      <c r="AC78" s="1"/>
      <c r="AD78" s="1"/>
      <c r="AE78" s="1"/>
      <c r="AF78" s="1"/>
      <c r="AG78" s="1"/>
      <c r="AH78" s="1"/>
      <c r="AI78" s="1"/>
      <c r="AJ78" s="1"/>
      <c r="AK78" s="1"/>
      <c r="AL78" s="1"/>
      <c r="AM78" s="1"/>
      <c r="AN78" s="1"/>
      <c r="AO78" s="1"/>
      <c r="AP78" s="1"/>
      <c r="AQ78" s="1"/>
      <c r="AR78" s="1"/>
    </row>
    <row r="79" spans="1:44">
      <c r="A79" s="1"/>
      <c r="B79" s="1"/>
      <c r="C79" s="1"/>
      <c r="D79" s="246"/>
      <c r="E79" s="246"/>
      <c r="F79" s="246"/>
      <c r="G79" s="903"/>
      <c r="H79" s="903"/>
      <c r="I79" s="903"/>
      <c r="J79" s="903"/>
      <c r="K79" s="903"/>
      <c r="L79" s="903"/>
      <c r="M79" s="903"/>
      <c r="N79" s="903"/>
      <c r="O79" s="903"/>
      <c r="P79" s="903"/>
      <c r="Q79" s="903"/>
      <c r="R79" s="903"/>
      <c r="S79" s="1"/>
      <c r="T79" s="1"/>
      <c r="U79" s="1"/>
      <c r="V79" s="1"/>
      <c r="W79" s="1"/>
      <c r="X79" s="1"/>
      <c r="Y79" s="1"/>
      <c r="Z79" s="1"/>
      <c r="AA79" s="1"/>
      <c r="AB79" s="1"/>
      <c r="AC79" s="1"/>
      <c r="AD79" s="1"/>
      <c r="AE79" s="1"/>
      <c r="AF79" s="1"/>
      <c r="AG79" s="1"/>
      <c r="AH79" s="1"/>
      <c r="AI79" s="1"/>
      <c r="AJ79" s="1"/>
      <c r="AK79" s="1"/>
      <c r="AL79" s="1"/>
      <c r="AM79" s="1"/>
      <c r="AN79" s="1"/>
      <c r="AO79" s="1"/>
      <c r="AP79" s="1"/>
      <c r="AQ79" s="1"/>
      <c r="AR79" s="1"/>
    </row>
    <row r="80" spans="1:44">
      <c r="A80" s="1"/>
      <c r="B80" s="1"/>
      <c r="C80" s="1"/>
      <c r="D80" s="246"/>
      <c r="E80" s="246"/>
      <c r="F80" s="246"/>
      <c r="G80" s="903"/>
      <c r="H80" s="903"/>
      <c r="I80" s="903"/>
      <c r="J80" s="903"/>
      <c r="K80" s="903"/>
      <c r="L80" s="903"/>
      <c r="M80" s="903"/>
      <c r="N80" s="903"/>
      <c r="O80" s="903"/>
      <c r="P80" s="903"/>
      <c r="Q80" s="903"/>
      <c r="R80" s="903"/>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spans="1:44">
      <c r="A81" s="1"/>
      <c r="B81" s="1"/>
      <c r="C81" s="1"/>
      <c r="D81" s="909" t="str">
        <f>_xlfn.CONCAT("Table 3. ",B2," delivery financing by financing source type and country (USD)")</f>
        <v>Table 3. (All) delivery financing by financing source type and country (USD)</v>
      </c>
      <c r="E81" s="909"/>
      <c r="F81" s="909"/>
      <c r="G81" s="909"/>
      <c r="H81" s="909"/>
      <c r="I81" s="909"/>
      <c r="J81" s="909"/>
      <c r="K81" s="909"/>
      <c r="L81" s="1"/>
      <c r="M81" s="909" t="str">
        <f>_xlfn.CONCAT("Table 4. ",B2," delivery financing by financing source and country")</f>
        <v>Table 4. (All) delivery financing by financing source and country</v>
      </c>
      <c r="N81" s="909"/>
      <c r="O81" s="909"/>
      <c r="P81" s="909"/>
      <c r="Q81" s="909"/>
      <c r="R81" s="909"/>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spans="1:44" hidden="1">
      <c r="A82" s="1"/>
      <c r="B82" s="1"/>
      <c r="C82" s="1"/>
      <c r="D82" s="910"/>
      <c r="E82" s="910"/>
      <c r="F82" s="910"/>
      <c r="G82" s="910"/>
      <c r="H82" s="910"/>
      <c r="I82" s="910"/>
      <c r="J82" s="910"/>
      <c r="K82" s="910"/>
      <c r="L82" s="1"/>
      <c r="M82" s="599" t="s">
        <v>374</v>
      </c>
      <c r="N82" t="s">
        <v>375</v>
      </c>
      <c r="O82" s="910"/>
      <c r="P82" s="910"/>
      <c r="Q82" s="910"/>
      <c r="R82" s="910"/>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hidden="1">
      <c r="A83" s="1"/>
      <c r="B83" s="1"/>
      <c r="C83" s="1"/>
      <c r="D83" s="599" t="s">
        <v>374</v>
      </c>
      <c r="E83" t="s">
        <v>375</v>
      </c>
      <c r="M83" s="599" t="s">
        <v>376</v>
      </c>
      <c r="N83" t="s">
        <v>377</v>
      </c>
      <c r="AM83" s="1"/>
      <c r="AN83" s="1"/>
      <c r="AO83" s="1"/>
      <c r="AP83" s="1"/>
      <c r="AQ83" s="1"/>
      <c r="AR83" s="1"/>
    </row>
    <row r="84" spans="1:44" hidden="1">
      <c r="A84" s="1"/>
      <c r="B84" s="1"/>
      <c r="C84" s="1"/>
      <c r="D84" s="599" t="s">
        <v>376</v>
      </c>
      <c r="E84" t="s">
        <v>377</v>
      </c>
      <c r="M84" s="599" t="s">
        <v>378</v>
      </c>
      <c r="N84" t="s">
        <v>379</v>
      </c>
      <c r="AM84" s="1"/>
      <c r="AN84" s="1"/>
      <c r="AO84" s="1"/>
      <c r="AP84" s="1"/>
      <c r="AQ84" s="1"/>
      <c r="AR84" s="1"/>
    </row>
    <row r="85" spans="1:44" hidden="1">
      <c r="A85" s="1"/>
      <c r="B85" s="1"/>
      <c r="C85" s="1"/>
      <c r="D85" s="599" t="s">
        <v>378</v>
      </c>
      <c r="E85" t="s">
        <v>379</v>
      </c>
      <c r="M85" s="599" t="s">
        <v>357</v>
      </c>
      <c r="N85" t="s">
        <v>358</v>
      </c>
      <c r="AM85" s="1"/>
      <c r="AN85" s="1"/>
      <c r="AO85" s="1"/>
      <c r="AP85" s="1"/>
      <c r="AQ85" s="1"/>
      <c r="AR85" s="1"/>
    </row>
    <row r="86" spans="1:44" hidden="1">
      <c r="A86" s="1"/>
      <c r="B86" s="1"/>
      <c r="C86" s="1"/>
      <c r="D86" s="599" t="s">
        <v>357</v>
      </c>
      <c r="E86" t="s">
        <v>358</v>
      </c>
      <c r="M86" s="599" t="s">
        <v>122</v>
      </c>
      <c r="N86" t="s">
        <v>356</v>
      </c>
      <c r="AM86" s="1"/>
      <c r="AN86" s="1"/>
      <c r="AO86" s="1"/>
      <c r="AP86" s="1"/>
      <c r="AQ86" s="1"/>
      <c r="AR86" s="1"/>
    </row>
    <row r="87" spans="1:44" hidden="1">
      <c r="A87" s="1"/>
      <c r="B87" s="1"/>
      <c r="C87" s="1"/>
      <c r="D87" s="599" t="s">
        <v>122</v>
      </c>
      <c r="E87" t="s">
        <v>356</v>
      </c>
      <c r="M87" s="599" t="s">
        <v>321</v>
      </c>
      <c r="N87" t="s">
        <v>139</v>
      </c>
      <c r="AM87" s="1"/>
      <c r="AN87" s="1"/>
      <c r="AO87" s="1"/>
      <c r="AP87" s="1"/>
      <c r="AQ87" s="1"/>
      <c r="AR87" s="1"/>
    </row>
    <row r="88" spans="1:44" hidden="1">
      <c r="A88" s="1"/>
      <c r="B88" s="1"/>
      <c r="C88" s="1"/>
      <c r="D88" s="599" t="s">
        <v>321</v>
      </c>
      <c r="E88" t="s">
        <v>139</v>
      </c>
      <c r="AM88" s="1"/>
      <c r="AN88" s="1"/>
      <c r="AO88" s="1"/>
      <c r="AP88" s="1"/>
      <c r="AQ88" s="1"/>
      <c r="AR88" s="1"/>
    </row>
    <row r="89" spans="1:44" hidden="1">
      <c r="A89" s="1"/>
      <c r="B89" s="1"/>
      <c r="C89" s="1"/>
      <c r="D89" s="1"/>
      <c r="E89" s="1"/>
      <c r="F89" s="1"/>
      <c r="G89" s="1"/>
      <c r="H89" s="1"/>
      <c r="I89" s="1"/>
      <c r="J89" s="1"/>
      <c r="K89" s="1"/>
      <c r="L89" s="1"/>
      <c r="M89" s="599" t="s">
        <v>380</v>
      </c>
      <c r="N89" s="599" t="s">
        <v>381</v>
      </c>
      <c r="O89" s="599" t="s">
        <v>328</v>
      </c>
      <c r="AO89" s="1"/>
      <c r="AP89" s="1"/>
      <c r="AQ89" s="1"/>
      <c r="AR89" s="1"/>
    </row>
    <row r="90" spans="1:44">
      <c r="A90" s="1"/>
      <c r="B90" s="1"/>
      <c r="C90" s="1"/>
      <c r="D90" s="599" t="s">
        <v>382</v>
      </c>
      <c r="E90" s="917" t="s">
        <v>381</v>
      </c>
      <c r="F90" s="919"/>
      <c r="G90" s="920"/>
      <c r="H90" s="922"/>
      <c r="I90" s="923"/>
      <c r="J90" s="925"/>
      <c r="K90" s="927"/>
      <c r="L90" s="1"/>
      <c r="N90" s="917" t="s">
        <v>383</v>
      </c>
      <c r="O90" s="917"/>
      <c r="P90" s="917"/>
      <c r="Q90" s="919" t="s">
        <v>384</v>
      </c>
      <c r="R90" s="919"/>
      <c r="S90" s="919"/>
      <c r="T90" s="919"/>
      <c r="U90" s="919"/>
      <c r="V90" s="919"/>
      <c r="W90" s="919"/>
      <c r="X90" s="919"/>
      <c r="Y90" s="919"/>
      <c r="Z90" s="919"/>
      <c r="AA90" s="919"/>
      <c r="AB90" t="s">
        <v>310</v>
      </c>
      <c r="AJ90" s="922" t="s">
        <v>385</v>
      </c>
      <c r="AK90" s="922"/>
      <c r="AL90" s="916" t="s">
        <v>312</v>
      </c>
      <c r="AM90" s="916"/>
      <c r="AN90" s="916"/>
      <c r="AO90" s="1"/>
      <c r="AP90" s="1"/>
      <c r="AQ90" s="1"/>
      <c r="AR90" s="1"/>
    </row>
    <row r="91" spans="1:44" s="882" customFormat="1" ht="77.5">
      <c r="A91" s="905"/>
      <c r="B91" s="905"/>
      <c r="C91" s="905"/>
      <c r="D91" s="840" t="s">
        <v>386</v>
      </c>
      <c r="E91" s="918" t="s">
        <v>308</v>
      </c>
      <c r="F91" s="832" t="s">
        <v>309</v>
      </c>
      <c r="G91" s="921" t="s">
        <v>310</v>
      </c>
      <c r="H91" s="915" t="s">
        <v>345</v>
      </c>
      <c r="I91" s="924" t="s">
        <v>312</v>
      </c>
      <c r="J91" s="926" t="s">
        <v>387</v>
      </c>
      <c r="K91" s="928" t="s">
        <v>388</v>
      </c>
      <c r="L91" s="905"/>
      <c r="M91" s="840" t="s">
        <v>386</v>
      </c>
      <c r="N91" s="918" t="s">
        <v>333</v>
      </c>
      <c r="O91" s="918" t="s">
        <v>334</v>
      </c>
      <c r="P91" s="918" t="s">
        <v>98</v>
      </c>
      <c r="Q91" s="832" t="s">
        <v>335</v>
      </c>
      <c r="R91" s="832" t="s">
        <v>336</v>
      </c>
      <c r="S91" s="832" t="s">
        <v>73</v>
      </c>
      <c r="T91" s="832" t="s">
        <v>91</v>
      </c>
      <c r="U91" s="832" t="s">
        <v>93</v>
      </c>
      <c r="V91" s="832" t="s">
        <v>337</v>
      </c>
      <c r="W91" s="832" t="s">
        <v>105</v>
      </c>
      <c r="X91" s="832" t="s">
        <v>51</v>
      </c>
      <c r="Y91" s="832" t="s">
        <v>72</v>
      </c>
      <c r="Z91" s="832" t="s">
        <v>69</v>
      </c>
      <c r="AA91" s="832" t="s">
        <v>58</v>
      </c>
      <c r="AB91" s="882" t="s">
        <v>338</v>
      </c>
      <c r="AC91" s="882" t="s">
        <v>39</v>
      </c>
      <c r="AD91" s="882" t="s">
        <v>339</v>
      </c>
      <c r="AE91" s="882" t="s">
        <v>389</v>
      </c>
      <c r="AF91" s="882" t="s">
        <v>341</v>
      </c>
      <c r="AG91" s="882" t="s">
        <v>342</v>
      </c>
      <c r="AH91" s="882" t="s">
        <v>343</v>
      </c>
      <c r="AI91" s="899" t="s">
        <v>344</v>
      </c>
      <c r="AJ91" s="915" t="s">
        <v>346</v>
      </c>
      <c r="AK91" s="915" t="s">
        <v>347</v>
      </c>
      <c r="AL91" s="929" t="s">
        <v>348</v>
      </c>
      <c r="AM91" s="929" t="s">
        <v>349</v>
      </c>
      <c r="AN91" s="929" t="s">
        <v>350</v>
      </c>
      <c r="AO91" s="905"/>
      <c r="AP91" s="905"/>
      <c r="AQ91" s="905"/>
      <c r="AR91" s="905"/>
    </row>
    <row r="92" spans="1:44">
      <c r="A92" s="1"/>
      <c r="B92" s="1"/>
      <c r="C92" s="1"/>
      <c r="D92" s="900" t="s">
        <v>160</v>
      </c>
      <c r="E92" s="996">
        <v>35619230.769230768</v>
      </c>
      <c r="F92" s="996">
        <v>4050000</v>
      </c>
      <c r="G92" s="996">
        <v>10956866.222222222</v>
      </c>
      <c r="H92" s="996">
        <v>2000000</v>
      </c>
      <c r="I92" s="996">
        <v>99000</v>
      </c>
      <c r="J92" s="907">
        <f t="shared" ref="J92:J156" si="0">(IF(SUM(E92:I92)=0,"",SUM(E92:I92)))</f>
        <v>52725096.991452992</v>
      </c>
      <c r="K92" s="908">
        <f>IFERROR(INDEX('DB(2) Pivots'!$G$257:$G$405,MATCH('Regional DB'!D92,'DB(2) Pivots'!$A$257:$A$405,0)),"")</f>
        <v>1.3235730011851006</v>
      </c>
      <c r="L92" s="1"/>
      <c r="M92" s="943" t="s">
        <v>160</v>
      </c>
      <c r="N92" s="996">
        <v>2019230.7692307692</v>
      </c>
      <c r="O92" s="996">
        <v>0</v>
      </c>
      <c r="P92" s="996">
        <v>33600000</v>
      </c>
      <c r="Q92" s="996">
        <v>0</v>
      </c>
      <c r="R92" s="996">
        <v>0</v>
      </c>
      <c r="S92" s="996">
        <v>0</v>
      </c>
      <c r="T92" s="996">
        <v>0</v>
      </c>
      <c r="U92" s="996"/>
      <c r="V92" s="996">
        <v>0</v>
      </c>
      <c r="W92" s="996">
        <v>0</v>
      </c>
      <c r="X92" s="996">
        <v>0</v>
      </c>
      <c r="Y92" s="996">
        <v>0</v>
      </c>
      <c r="Z92" s="996">
        <v>0</v>
      </c>
      <c r="AA92" s="996">
        <v>4050000</v>
      </c>
      <c r="AB92" s="996">
        <v>1063750</v>
      </c>
      <c r="AC92" s="996">
        <v>0</v>
      </c>
      <c r="AD92" s="996">
        <v>922566</v>
      </c>
      <c r="AE92" s="996">
        <v>7900000</v>
      </c>
      <c r="AF92" s="996">
        <v>0</v>
      </c>
      <c r="AG92" s="996">
        <v>567847.22222222213</v>
      </c>
      <c r="AH92" s="996">
        <v>502703</v>
      </c>
      <c r="AI92" s="996">
        <v>0</v>
      </c>
      <c r="AJ92" s="996">
        <v>0</v>
      </c>
      <c r="AK92" s="996">
        <v>2000000</v>
      </c>
      <c r="AL92" s="996">
        <v>99000</v>
      </c>
      <c r="AM92" s="996">
        <v>0</v>
      </c>
      <c r="AN92" s="996">
        <v>0</v>
      </c>
      <c r="AO92" s="1"/>
      <c r="AP92" s="1"/>
      <c r="AQ92" s="1"/>
      <c r="AR92" s="1"/>
    </row>
    <row r="93" spans="1:44">
      <c r="A93" s="1"/>
      <c r="B93" s="1"/>
      <c r="C93" s="1"/>
      <c r="D93" s="900" t="s">
        <v>161</v>
      </c>
      <c r="E93" s="996">
        <v>0</v>
      </c>
      <c r="F93" s="996">
        <v>500000</v>
      </c>
      <c r="G93" s="996">
        <v>0</v>
      </c>
      <c r="H93" s="996">
        <v>100000</v>
      </c>
      <c r="I93" s="996">
        <v>0</v>
      </c>
      <c r="J93" s="907">
        <f t="shared" si="0"/>
        <v>600000</v>
      </c>
      <c r="K93" s="908">
        <f>IFERROR(INDEX('DB(2) Pivots'!$G$257:$G$405,MATCH('Regional DB'!D93,'DB(2) Pivots'!$A$257:$A$405,0)),"")</f>
        <v>0.20884573053192312</v>
      </c>
      <c r="L93" s="1"/>
      <c r="M93" s="943" t="s">
        <v>161</v>
      </c>
      <c r="N93" s="996">
        <v>0</v>
      </c>
      <c r="O93" s="996">
        <v>0</v>
      </c>
      <c r="P93" s="996">
        <v>0</v>
      </c>
      <c r="Q93" s="996">
        <v>0</v>
      </c>
      <c r="R93" s="996">
        <v>0</v>
      </c>
      <c r="S93" s="996">
        <v>0</v>
      </c>
      <c r="T93" s="996">
        <v>0</v>
      </c>
      <c r="U93" s="996"/>
      <c r="V93" s="996">
        <v>0</v>
      </c>
      <c r="W93" s="996">
        <v>0</v>
      </c>
      <c r="X93" s="996">
        <v>0</v>
      </c>
      <c r="Y93" s="996">
        <v>0</v>
      </c>
      <c r="Z93" s="996">
        <v>0</v>
      </c>
      <c r="AA93" s="996">
        <v>500000</v>
      </c>
      <c r="AB93" s="996">
        <v>0</v>
      </c>
      <c r="AC93" s="996">
        <v>0</v>
      </c>
      <c r="AD93" s="996">
        <v>0</v>
      </c>
      <c r="AE93" s="996">
        <v>0</v>
      </c>
      <c r="AF93" s="996">
        <v>0</v>
      </c>
      <c r="AG93" s="996">
        <v>0</v>
      </c>
      <c r="AH93" s="996">
        <v>0</v>
      </c>
      <c r="AI93" s="996">
        <v>0</v>
      </c>
      <c r="AJ93" s="996">
        <v>0</v>
      </c>
      <c r="AK93" s="996">
        <v>100000</v>
      </c>
      <c r="AL93" s="996">
        <v>0</v>
      </c>
      <c r="AM93" s="996">
        <v>0</v>
      </c>
      <c r="AN93" s="996">
        <v>0</v>
      </c>
      <c r="AO93" s="1"/>
      <c r="AP93" s="1"/>
      <c r="AQ93" s="1"/>
      <c r="AR93" s="1"/>
    </row>
    <row r="94" spans="1:44">
      <c r="A94" s="1"/>
      <c r="B94" s="1"/>
      <c r="C94" s="1"/>
      <c r="D94" s="900" t="s">
        <v>143</v>
      </c>
      <c r="E94" s="996">
        <v>0</v>
      </c>
      <c r="F94" s="996">
        <v>1167511</v>
      </c>
      <c r="G94" s="996">
        <v>2522820.5</v>
      </c>
      <c r="H94" s="996">
        <v>0</v>
      </c>
      <c r="I94" s="996">
        <v>0</v>
      </c>
      <c r="J94" s="907">
        <f t="shared" si="0"/>
        <v>3690331.5</v>
      </c>
      <c r="K94" s="908">
        <f>IFERROR(INDEX('DB(2) Pivots'!$G$257:$G$405,MATCH('Regional DB'!D94,'DB(2) Pivots'!$A$257:$A$405,0)),"")</f>
        <v>8.2712025333336506E-2</v>
      </c>
      <c r="L94" s="1"/>
      <c r="M94" s="943" t="s">
        <v>143</v>
      </c>
      <c r="N94" s="996">
        <v>0</v>
      </c>
      <c r="O94" s="996">
        <v>0</v>
      </c>
      <c r="P94" s="996">
        <v>0</v>
      </c>
      <c r="Q94" s="996">
        <v>0</v>
      </c>
      <c r="R94" s="996">
        <v>0</v>
      </c>
      <c r="S94" s="996">
        <v>0</v>
      </c>
      <c r="T94" s="996">
        <v>0</v>
      </c>
      <c r="U94" s="996"/>
      <c r="V94" s="996">
        <v>625566</v>
      </c>
      <c r="W94" s="996">
        <v>0</v>
      </c>
      <c r="X94" s="996">
        <v>0</v>
      </c>
      <c r="Y94" s="996">
        <v>0</v>
      </c>
      <c r="Z94" s="996">
        <v>0</v>
      </c>
      <c r="AA94" s="996">
        <v>541945</v>
      </c>
      <c r="AB94" s="996">
        <v>50000</v>
      </c>
      <c r="AC94" s="996">
        <v>0</v>
      </c>
      <c r="AD94" s="996">
        <v>682071</v>
      </c>
      <c r="AE94" s="996">
        <v>847780</v>
      </c>
      <c r="AF94" s="996">
        <v>849470</v>
      </c>
      <c r="AG94" s="996">
        <v>59999.999999999993</v>
      </c>
      <c r="AH94" s="996">
        <v>33499.5</v>
      </c>
      <c r="AI94" s="996">
        <v>0</v>
      </c>
      <c r="AJ94" s="996">
        <v>0</v>
      </c>
      <c r="AK94" s="996">
        <v>0</v>
      </c>
      <c r="AL94" s="996">
        <v>0</v>
      </c>
      <c r="AM94" s="996">
        <v>0</v>
      </c>
      <c r="AN94" s="996">
        <v>0</v>
      </c>
      <c r="AO94" s="1"/>
      <c r="AP94" s="1"/>
      <c r="AQ94" s="1"/>
      <c r="AR94" s="1"/>
    </row>
    <row r="95" spans="1:44">
      <c r="A95" s="1"/>
      <c r="B95" s="1"/>
      <c r="C95" s="1"/>
      <c r="D95" s="900" t="s">
        <v>162</v>
      </c>
      <c r="E95" s="996">
        <v>43000000</v>
      </c>
      <c r="F95" s="996">
        <v>2631090</v>
      </c>
      <c r="G95" s="996">
        <v>4609917.59</v>
      </c>
      <c r="H95" s="996">
        <v>839236</v>
      </c>
      <c r="I95" s="996">
        <v>191000</v>
      </c>
      <c r="J95" s="907">
        <f t="shared" si="0"/>
        <v>51271243.590000004</v>
      </c>
      <c r="K95" s="908">
        <f>IFERROR(INDEX('DB(2) Pivots'!$G$257:$G$405,MATCH('Regional DB'!D95,'DB(2) Pivots'!$A$257:$A$405,0)),"")</f>
        <v>1.5109280173571862</v>
      </c>
      <c r="L95" s="1"/>
      <c r="M95" s="943" t="s">
        <v>162</v>
      </c>
      <c r="N95" s="996">
        <v>0</v>
      </c>
      <c r="O95" s="996">
        <v>0</v>
      </c>
      <c r="P95" s="996">
        <v>43000000</v>
      </c>
      <c r="Q95" s="996">
        <v>0</v>
      </c>
      <c r="R95" s="996">
        <v>0</v>
      </c>
      <c r="S95" s="996">
        <v>0</v>
      </c>
      <c r="T95" s="996">
        <v>0</v>
      </c>
      <c r="U95" s="996"/>
      <c r="V95" s="996">
        <v>412890</v>
      </c>
      <c r="W95" s="996">
        <v>0</v>
      </c>
      <c r="X95" s="996">
        <v>0</v>
      </c>
      <c r="Y95" s="996">
        <v>0</v>
      </c>
      <c r="Z95" s="996">
        <v>0</v>
      </c>
      <c r="AA95" s="996">
        <v>2218200</v>
      </c>
      <c r="AB95" s="996">
        <v>175000</v>
      </c>
      <c r="AC95" s="996">
        <v>0</v>
      </c>
      <c r="AD95" s="996">
        <v>539335</v>
      </c>
      <c r="AE95" s="996">
        <v>3845583</v>
      </c>
      <c r="AF95" s="996">
        <v>0</v>
      </c>
      <c r="AG95" s="996">
        <v>20000</v>
      </c>
      <c r="AH95" s="996">
        <v>29999.59</v>
      </c>
      <c r="AI95" s="996">
        <v>0</v>
      </c>
      <c r="AJ95" s="996">
        <v>0</v>
      </c>
      <c r="AK95" s="996">
        <v>839236</v>
      </c>
      <c r="AL95" s="996">
        <v>191000</v>
      </c>
      <c r="AM95" s="996">
        <v>0</v>
      </c>
      <c r="AN95" s="996">
        <v>0</v>
      </c>
      <c r="AO95" s="1"/>
      <c r="AP95" s="1"/>
      <c r="AQ95" s="1"/>
      <c r="AR95" s="1"/>
    </row>
    <row r="96" spans="1:44">
      <c r="A96" s="1"/>
      <c r="B96" s="1"/>
      <c r="C96" s="1"/>
      <c r="D96" s="900" t="s">
        <v>164</v>
      </c>
      <c r="E96" s="996">
        <v>23752903</v>
      </c>
      <c r="F96" s="996">
        <v>0</v>
      </c>
      <c r="G96" s="996">
        <v>0</v>
      </c>
      <c r="H96" s="996">
        <v>0</v>
      </c>
      <c r="I96" s="996">
        <v>68056</v>
      </c>
      <c r="J96" s="907">
        <f t="shared" si="0"/>
        <v>23820959</v>
      </c>
      <c r="K96" s="908">
        <f>IFERROR(INDEX('DB(2) Pivots'!$G$257:$G$405,MATCH('Regional DB'!D96,'DB(2) Pivots'!$A$257:$A$405,0)),"")</f>
        <v>0.52232275251342353</v>
      </c>
      <c r="L96" s="1"/>
      <c r="M96" s="943" t="s">
        <v>164</v>
      </c>
      <c r="N96" s="996">
        <v>0</v>
      </c>
      <c r="O96" s="996">
        <v>22752903</v>
      </c>
      <c r="P96" s="996">
        <v>1000000</v>
      </c>
      <c r="Q96" s="996">
        <v>0</v>
      </c>
      <c r="R96" s="996">
        <v>0</v>
      </c>
      <c r="S96" s="996">
        <v>0</v>
      </c>
      <c r="T96" s="996">
        <v>0</v>
      </c>
      <c r="U96" s="996"/>
      <c r="V96" s="996">
        <v>0</v>
      </c>
      <c r="W96" s="996">
        <v>0</v>
      </c>
      <c r="X96" s="996">
        <v>0</v>
      </c>
      <c r="Y96" s="996">
        <v>0</v>
      </c>
      <c r="Z96" s="996">
        <v>0</v>
      </c>
      <c r="AA96" s="996">
        <v>0</v>
      </c>
      <c r="AB96" s="996">
        <v>0</v>
      </c>
      <c r="AC96" s="996">
        <v>0</v>
      </c>
      <c r="AD96" s="996">
        <v>0</v>
      </c>
      <c r="AE96" s="996">
        <v>0</v>
      </c>
      <c r="AF96" s="996">
        <v>0</v>
      </c>
      <c r="AG96" s="996">
        <v>0</v>
      </c>
      <c r="AH96" s="996">
        <v>0</v>
      </c>
      <c r="AI96" s="996">
        <v>0</v>
      </c>
      <c r="AJ96" s="996">
        <v>0</v>
      </c>
      <c r="AK96" s="996">
        <v>0</v>
      </c>
      <c r="AL96" s="996">
        <v>0</v>
      </c>
      <c r="AM96" s="996">
        <v>0</v>
      </c>
      <c r="AN96" s="996">
        <v>68056</v>
      </c>
      <c r="AO96" s="1"/>
      <c r="AP96" s="1"/>
      <c r="AQ96" s="1"/>
      <c r="AR96" s="1"/>
    </row>
    <row r="97" spans="1:44">
      <c r="A97" s="1"/>
      <c r="B97" s="1"/>
      <c r="C97" s="1"/>
      <c r="D97" s="900" t="s">
        <v>165</v>
      </c>
      <c r="E97" s="996">
        <v>0</v>
      </c>
      <c r="F97" s="996">
        <v>2700000</v>
      </c>
      <c r="G97" s="996">
        <v>0</v>
      </c>
      <c r="H97" s="996">
        <v>100000</v>
      </c>
      <c r="I97" s="996">
        <v>0</v>
      </c>
      <c r="J97" s="907">
        <f t="shared" si="0"/>
        <v>2800000</v>
      </c>
      <c r="K97" s="908">
        <f>IFERROR(INDEX('DB(2) Pivots'!$G$257:$G$405,MATCH('Regional DB'!D97,'DB(2) Pivots'!$A$257:$A$405,0)),"")</f>
        <v>0.94335554261810817</v>
      </c>
      <c r="L97" s="1"/>
      <c r="M97" s="943" t="s">
        <v>165</v>
      </c>
      <c r="N97" s="996">
        <v>0</v>
      </c>
      <c r="O97" s="996">
        <v>0</v>
      </c>
      <c r="P97" s="996">
        <v>0</v>
      </c>
      <c r="Q97" s="996">
        <v>0</v>
      </c>
      <c r="R97" s="996">
        <v>0</v>
      </c>
      <c r="S97" s="996">
        <v>0</v>
      </c>
      <c r="T97" s="996">
        <v>0</v>
      </c>
      <c r="U97" s="996"/>
      <c r="V97" s="996">
        <v>0</v>
      </c>
      <c r="W97" s="996">
        <v>0</v>
      </c>
      <c r="X97" s="996">
        <v>0</v>
      </c>
      <c r="Y97" s="996">
        <v>0</v>
      </c>
      <c r="Z97" s="996">
        <v>0</v>
      </c>
      <c r="AA97" s="996">
        <v>2700000</v>
      </c>
      <c r="AB97" s="996">
        <v>0</v>
      </c>
      <c r="AC97" s="996">
        <v>0</v>
      </c>
      <c r="AD97" s="996">
        <v>0</v>
      </c>
      <c r="AE97" s="996">
        <v>0</v>
      </c>
      <c r="AF97" s="996">
        <v>0</v>
      </c>
      <c r="AG97" s="996">
        <v>0</v>
      </c>
      <c r="AH97" s="996">
        <v>0</v>
      </c>
      <c r="AI97" s="996">
        <v>0</v>
      </c>
      <c r="AJ97" s="996">
        <v>0</v>
      </c>
      <c r="AK97" s="996">
        <v>100000</v>
      </c>
      <c r="AL97" s="996">
        <v>0</v>
      </c>
      <c r="AM97" s="996">
        <v>0</v>
      </c>
      <c r="AN97" s="996">
        <v>0</v>
      </c>
      <c r="AO97" s="1"/>
      <c r="AP97" s="1"/>
      <c r="AQ97" s="1"/>
      <c r="AR97" s="1"/>
    </row>
    <row r="98" spans="1:44">
      <c r="A98" s="1"/>
      <c r="B98" s="1"/>
      <c r="C98" s="1"/>
      <c r="D98" s="900" t="s">
        <v>166</v>
      </c>
      <c r="E98" s="996">
        <v>0</v>
      </c>
      <c r="F98" s="996">
        <v>1000000</v>
      </c>
      <c r="G98" s="996">
        <v>0</v>
      </c>
      <c r="H98" s="996">
        <v>100000</v>
      </c>
      <c r="I98" s="996">
        <v>0</v>
      </c>
      <c r="J98" s="907">
        <f t="shared" si="0"/>
        <v>1100000</v>
      </c>
      <c r="K98" s="908">
        <f>IFERROR(INDEX('DB(2) Pivots'!$G$257:$G$405,MATCH('Regional DB'!D98,'DB(2) Pivots'!$A$257:$A$405,0)),"")</f>
        <v>0.10759688806324036</v>
      </c>
      <c r="L98" s="1"/>
      <c r="M98" s="943" t="s">
        <v>166</v>
      </c>
      <c r="N98" s="996">
        <v>0</v>
      </c>
      <c r="O98" s="996">
        <v>0</v>
      </c>
      <c r="P98" s="996">
        <v>0</v>
      </c>
      <c r="Q98" s="996">
        <v>0</v>
      </c>
      <c r="R98" s="996">
        <v>0</v>
      </c>
      <c r="S98" s="996">
        <v>0</v>
      </c>
      <c r="T98" s="996">
        <v>0</v>
      </c>
      <c r="U98" s="996"/>
      <c r="V98" s="996">
        <v>0</v>
      </c>
      <c r="W98" s="996">
        <v>0</v>
      </c>
      <c r="X98" s="996">
        <v>0</v>
      </c>
      <c r="Y98" s="996">
        <v>0</v>
      </c>
      <c r="Z98" s="996">
        <v>0</v>
      </c>
      <c r="AA98" s="996">
        <v>1000000</v>
      </c>
      <c r="AB98" s="996">
        <v>0</v>
      </c>
      <c r="AC98" s="996">
        <v>0</v>
      </c>
      <c r="AD98" s="996">
        <v>0</v>
      </c>
      <c r="AE98" s="996">
        <v>0</v>
      </c>
      <c r="AF98" s="996">
        <v>0</v>
      </c>
      <c r="AG98" s="996">
        <v>0</v>
      </c>
      <c r="AH98" s="996">
        <v>0</v>
      </c>
      <c r="AI98" s="996">
        <v>0</v>
      </c>
      <c r="AJ98" s="996">
        <v>0</v>
      </c>
      <c r="AK98" s="996">
        <v>100000</v>
      </c>
      <c r="AL98" s="996">
        <v>0</v>
      </c>
      <c r="AM98" s="996">
        <v>0</v>
      </c>
      <c r="AN98" s="996">
        <v>0</v>
      </c>
      <c r="AO98" s="1"/>
      <c r="AP98" s="1"/>
      <c r="AQ98" s="1"/>
      <c r="AR98" s="1"/>
    </row>
    <row r="99" spans="1:44">
      <c r="A99" s="1"/>
      <c r="B99" s="1"/>
      <c r="C99" s="1"/>
      <c r="D99" s="900" t="s">
        <v>167</v>
      </c>
      <c r="E99" s="996">
        <v>87700000</v>
      </c>
      <c r="F99" s="996">
        <v>8586814.5999999996</v>
      </c>
      <c r="G99" s="996">
        <v>13974426</v>
      </c>
      <c r="H99" s="996">
        <v>3000000</v>
      </c>
      <c r="I99" s="996">
        <v>1465896</v>
      </c>
      <c r="J99" s="907">
        <f t="shared" si="0"/>
        <v>114727136.59999999</v>
      </c>
      <c r="K99" s="908">
        <f>IFERROR(INDEX('DB(2) Pivots'!$G$257:$G$405,MATCH('Regional DB'!D99,'DB(2) Pivots'!$A$257:$A$405,0)),"")</f>
        <v>0.68986606258555216</v>
      </c>
      <c r="L99" s="1"/>
      <c r="M99" s="943" t="s">
        <v>167</v>
      </c>
      <c r="N99" s="996">
        <v>0</v>
      </c>
      <c r="O99" s="996">
        <v>0</v>
      </c>
      <c r="P99" s="996">
        <v>87700000</v>
      </c>
      <c r="Q99" s="996">
        <v>0</v>
      </c>
      <c r="R99" s="996">
        <v>0</v>
      </c>
      <c r="S99" s="996">
        <v>0</v>
      </c>
      <c r="T99" s="996">
        <v>4594003.5999999996</v>
      </c>
      <c r="U99" s="996"/>
      <c r="V99" s="996">
        <v>0</v>
      </c>
      <c r="W99" s="996">
        <v>0</v>
      </c>
      <c r="X99" s="996">
        <v>0</v>
      </c>
      <c r="Y99" s="996">
        <v>0</v>
      </c>
      <c r="Z99" s="996">
        <v>0</v>
      </c>
      <c r="AA99" s="996">
        <v>3992811</v>
      </c>
      <c r="AB99" s="996">
        <v>625000</v>
      </c>
      <c r="AC99" s="996">
        <v>0</v>
      </c>
      <c r="AD99" s="996">
        <v>2482278</v>
      </c>
      <c r="AE99" s="996">
        <v>10151221</v>
      </c>
      <c r="AF99" s="996">
        <v>0</v>
      </c>
      <c r="AG99" s="996">
        <v>326500</v>
      </c>
      <c r="AH99" s="996">
        <v>389427</v>
      </c>
      <c r="AI99" s="996">
        <v>0</v>
      </c>
      <c r="AJ99" s="996">
        <v>0</v>
      </c>
      <c r="AK99" s="996">
        <v>3000000</v>
      </c>
      <c r="AL99" s="996">
        <v>1074000</v>
      </c>
      <c r="AM99" s="996">
        <v>0</v>
      </c>
      <c r="AN99" s="996">
        <v>391896</v>
      </c>
      <c r="AO99" s="1"/>
      <c r="AP99" s="1"/>
      <c r="AQ99" s="1"/>
      <c r="AR99" s="1"/>
    </row>
    <row r="100" spans="1:44">
      <c r="A100" s="1"/>
      <c r="B100" s="1"/>
      <c r="C100" s="1"/>
      <c r="D100" s="900" t="s">
        <v>168</v>
      </c>
      <c r="E100" s="996">
        <v>0</v>
      </c>
      <c r="F100" s="996">
        <v>500000</v>
      </c>
      <c r="G100" s="996">
        <v>0</v>
      </c>
      <c r="H100" s="996">
        <v>0</v>
      </c>
      <c r="I100" s="996">
        <v>0</v>
      </c>
      <c r="J100" s="907">
        <f t="shared" si="0"/>
        <v>500000</v>
      </c>
      <c r="K100" s="908">
        <f>IFERROR(INDEX('DB(2) Pivots'!$G$257:$G$405,MATCH('Regional DB'!D100,'DB(2) Pivots'!$A$257:$A$405,0)),"")</f>
        <v>5.2950020369872834E-2</v>
      </c>
      <c r="L100" s="1"/>
      <c r="M100" s="943" t="s">
        <v>168</v>
      </c>
      <c r="N100" s="996">
        <v>0</v>
      </c>
      <c r="O100" s="996">
        <v>0</v>
      </c>
      <c r="P100" s="996">
        <v>0</v>
      </c>
      <c r="Q100" s="996">
        <v>0</v>
      </c>
      <c r="R100" s="996">
        <v>0</v>
      </c>
      <c r="S100" s="996">
        <v>0</v>
      </c>
      <c r="T100" s="996">
        <v>0</v>
      </c>
      <c r="U100" s="996"/>
      <c r="V100" s="996">
        <v>0</v>
      </c>
      <c r="W100" s="996">
        <v>0</v>
      </c>
      <c r="X100" s="996">
        <v>0</v>
      </c>
      <c r="Y100" s="996">
        <v>0</v>
      </c>
      <c r="Z100" s="996">
        <v>0</v>
      </c>
      <c r="AA100" s="996">
        <v>500000</v>
      </c>
      <c r="AB100" s="996">
        <v>0</v>
      </c>
      <c r="AC100" s="996">
        <v>0</v>
      </c>
      <c r="AD100" s="996">
        <v>0</v>
      </c>
      <c r="AE100" s="996">
        <v>0</v>
      </c>
      <c r="AF100" s="996">
        <v>0</v>
      </c>
      <c r="AG100" s="996">
        <v>0</v>
      </c>
      <c r="AH100" s="996">
        <v>0</v>
      </c>
      <c r="AI100" s="996">
        <v>0</v>
      </c>
      <c r="AJ100" s="996">
        <v>0</v>
      </c>
      <c r="AK100" s="996">
        <v>0</v>
      </c>
      <c r="AL100" s="996">
        <v>0</v>
      </c>
      <c r="AM100" s="996">
        <v>0</v>
      </c>
      <c r="AN100" s="996">
        <v>0</v>
      </c>
      <c r="AO100" s="1"/>
      <c r="AP100" s="1"/>
      <c r="AQ100" s="1"/>
      <c r="AR100" s="1"/>
    </row>
    <row r="101" spans="1:44">
      <c r="A101" s="1"/>
      <c r="B101" s="1"/>
      <c r="C101" s="1"/>
      <c r="D101" s="900" t="s">
        <v>169</v>
      </c>
      <c r="E101" s="996">
        <v>2922505</v>
      </c>
      <c r="F101" s="996">
        <v>824765</v>
      </c>
      <c r="G101" s="996">
        <v>0</v>
      </c>
      <c r="H101" s="996">
        <v>100000</v>
      </c>
      <c r="I101" s="996">
        <v>0</v>
      </c>
      <c r="J101" s="907">
        <f t="shared" si="0"/>
        <v>3847270</v>
      </c>
      <c r="K101" s="908">
        <f>IFERROR(INDEX('DB(2) Pivots'!$G$257:$G$405,MATCH('Regional DB'!D101,'DB(2) Pivots'!$A$257:$A$405,0)),"")</f>
        <v>9.501426225257152</v>
      </c>
      <c r="L101" s="1"/>
      <c r="M101" s="943" t="s">
        <v>169</v>
      </c>
      <c r="N101" s="996">
        <v>0</v>
      </c>
      <c r="O101" s="996">
        <v>2922505</v>
      </c>
      <c r="P101" s="996">
        <v>0</v>
      </c>
      <c r="Q101" s="996">
        <v>0</v>
      </c>
      <c r="R101" s="996">
        <v>0</v>
      </c>
      <c r="S101" s="996">
        <v>0</v>
      </c>
      <c r="T101" s="996">
        <v>824765</v>
      </c>
      <c r="U101" s="996"/>
      <c r="V101" s="996">
        <v>0</v>
      </c>
      <c r="W101" s="996">
        <v>0</v>
      </c>
      <c r="X101" s="996">
        <v>0</v>
      </c>
      <c r="Y101" s="996">
        <v>0</v>
      </c>
      <c r="Z101" s="996">
        <v>0</v>
      </c>
      <c r="AA101" s="996">
        <v>0</v>
      </c>
      <c r="AB101" s="996">
        <v>0</v>
      </c>
      <c r="AC101" s="996">
        <v>0</v>
      </c>
      <c r="AD101" s="996">
        <v>0</v>
      </c>
      <c r="AE101" s="996">
        <v>0</v>
      </c>
      <c r="AF101" s="996">
        <v>0</v>
      </c>
      <c r="AG101" s="996">
        <v>0</v>
      </c>
      <c r="AH101" s="996">
        <v>0</v>
      </c>
      <c r="AI101" s="996">
        <v>0</v>
      </c>
      <c r="AJ101" s="996">
        <v>0</v>
      </c>
      <c r="AK101" s="996">
        <v>100000</v>
      </c>
      <c r="AL101" s="996">
        <v>0</v>
      </c>
      <c r="AM101" s="996">
        <v>0</v>
      </c>
      <c r="AN101" s="996">
        <v>0</v>
      </c>
      <c r="AO101" s="1"/>
      <c r="AP101" s="1"/>
      <c r="AQ101" s="1"/>
      <c r="AR101" s="1"/>
    </row>
    <row r="102" spans="1:44">
      <c r="A102" s="1"/>
      <c r="B102" s="1"/>
      <c r="C102" s="1"/>
      <c r="D102" s="900" t="s">
        <v>170</v>
      </c>
      <c r="E102" s="996">
        <v>5000000</v>
      </c>
      <c r="F102" s="996">
        <v>1810000</v>
      </c>
      <c r="G102" s="996">
        <v>5605203</v>
      </c>
      <c r="H102" s="996">
        <v>564235</v>
      </c>
      <c r="I102" s="996">
        <v>0</v>
      </c>
      <c r="J102" s="907">
        <f t="shared" si="0"/>
        <v>12979438</v>
      </c>
      <c r="K102" s="908">
        <f>IFERROR(INDEX('DB(2) Pivots'!$G$257:$G$405,MATCH('Regional DB'!D102,'DB(2) Pivots'!$A$257:$A$405,0)),"")</f>
        <v>1.0424388149061712</v>
      </c>
      <c r="L102" s="1"/>
      <c r="M102" s="943" t="s">
        <v>170</v>
      </c>
      <c r="N102" s="996">
        <v>0</v>
      </c>
      <c r="O102" s="996">
        <v>0</v>
      </c>
      <c r="P102" s="996">
        <v>5000000</v>
      </c>
      <c r="Q102" s="996">
        <v>0</v>
      </c>
      <c r="R102" s="996">
        <v>0</v>
      </c>
      <c r="S102" s="996">
        <v>0</v>
      </c>
      <c r="T102" s="996">
        <v>0</v>
      </c>
      <c r="U102" s="996"/>
      <c r="V102" s="996">
        <v>0</v>
      </c>
      <c r="W102" s="996">
        <v>0</v>
      </c>
      <c r="X102" s="996">
        <v>0</v>
      </c>
      <c r="Y102" s="996">
        <v>0</v>
      </c>
      <c r="Z102" s="996">
        <v>0</v>
      </c>
      <c r="AA102" s="996">
        <v>1810000</v>
      </c>
      <c r="AB102" s="996">
        <v>1130000</v>
      </c>
      <c r="AC102" s="996">
        <v>0</v>
      </c>
      <c r="AD102" s="996">
        <v>386989</v>
      </c>
      <c r="AE102" s="996">
        <v>1974300</v>
      </c>
      <c r="AF102" s="996">
        <v>0</v>
      </c>
      <c r="AG102" s="996">
        <v>91200</v>
      </c>
      <c r="AH102" s="996">
        <v>142437</v>
      </c>
      <c r="AI102" s="996">
        <v>1880277</v>
      </c>
      <c r="AJ102" s="996">
        <v>0</v>
      </c>
      <c r="AK102" s="996">
        <v>564235</v>
      </c>
      <c r="AL102" s="996">
        <v>0</v>
      </c>
      <c r="AM102" s="996">
        <v>0</v>
      </c>
      <c r="AN102" s="996">
        <v>0</v>
      </c>
      <c r="AO102" s="1"/>
      <c r="AP102" s="1"/>
      <c r="AQ102" s="1"/>
      <c r="AR102" s="1"/>
    </row>
    <row r="103" spans="1:44">
      <c r="A103" s="1"/>
      <c r="B103" s="1"/>
      <c r="C103" s="1"/>
      <c r="D103" s="900" t="s">
        <v>171</v>
      </c>
      <c r="E103" s="996">
        <v>0</v>
      </c>
      <c r="F103" s="996">
        <v>923174</v>
      </c>
      <c r="G103" s="996">
        <v>599721</v>
      </c>
      <c r="H103" s="996">
        <v>110950</v>
      </c>
      <c r="I103" s="996">
        <v>0</v>
      </c>
      <c r="J103" s="907">
        <f t="shared" si="0"/>
        <v>1633845</v>
      </c>
      <c r="K103" s="908">
        <f>IFERROR(INDEX('DB(2) Pivots'!$G$257:$G$405,MATCH('Regional DB'!D103,'DB(2) Pivots'!$A$257:$A$405,0)),"")</f>
        <v>2.0949416591870751</v>
      </c>
      <c r="L103" s="1"/>
      <c r="M103" s="943" t="s">
        <v>171</v>
      </c>
      <c r="N103" s="996">
        <v>0</v>
      </c>
      <c r="O103" s="996">
        <v>0</v>
      </c>
      <c r="P103" s="996">
        <v>0</v>
      </c>
      <c r="Q103" s="996">
        <v>0</v>
      </c>
      <c r="R103" s="996">
        <v>0</v>
      </c>
      <c r="S103" s="996">
        <v>0</v>
      </c>
      <c r="T103" s="996">
        <v>0</v>
      </c>
      <c r="U103" s="996"/>
      <c r="V103" s="996">
        <v>923174</v>
      </c>
      <c r="W103" s="996">
        <v>0</v>
      </c>
      <c r="X103" s="996">
        <v>0</v>
      </c>
      <c r="Y103" s="996">
        <v>0</v>
      </c>
      <c r="Z103" s="996">
        <v>0</v>
      </c>
      <c r="AA103" s="996">
        <v>0</v>
      </c>
      <c r="AB103" s="996">
        <v>0</v>
      </c>
      <c r="AC103" s="996">
        <v>0</v>
      </c>
      <c r="AD103" s="996">
        <v>69721</v>
      </c>
      <c r="AE103" s="996">
        <v>230000</v>
      </c>
      <c r="AF103" s="996">
        <v>230000</v>
      </c>
      <c r="AG103" s="996">
        <v>29999.999999999996</v>
      </c>
      <c r="AH103" s="996">
        <v>40000</v>
      </c>
      <c r="AI103" s="996">
        <v>0</v>
      </c>
      <c r="AJ103" s="996">
        <v>0</v>
      </c>
      <c r="AK103" s="996">
        <v>110950</v>
      </c>
      <c r="AL103" s="996">
        <v>0</v>
      </c>
      <c r="AM103" s="996">
        <v>0</v>
      </c>
      <c r="AN103" s="996">
        <v>0</v>
      </c>
      <c r="AO103" s="1"/>
      <c r="AP103" s="1"/>
      <c r="AQ103" s="1"/>
      <c r="AR103" s="1"/>
    </row>
    <row r="104" spans="1:44">
      <c r="A104" s="1"/>
      <c r="B104" s="1"/>
      <c r="C104" s="1"/>
      <c r="D104" s="900" t="s">
        <v>172</v>
      </c>
      <c r="E104" s="996">
        <v>0</v>
      </c>
      <c r="F104" s="996">
        <v>2700000</v>
      </c>
      <c r="G104" s="996">
        <v>2583036</v>
      </c>
      <c r="H104" s="996">
        <v>400000</v>
      </c>
      <c r="I104" s="996">
        <v>273483</v>
      </c>
      <c r="J104" s="907">
        <f t="shared" si="0"/>
        <v>5956519</v>
      </c>
      <c r="K104" s="908">
        <f>IFERROR(INDEX('DB(2) Pivots'!$G$257:$G$405,MATCH('Regional DB'!D104,'DB(2) Pivots'!$A$257:$A$405,0)),"")</f>
        <v>0.50338470519911538</v>
      </c>
      <c r="L104" s="1"/>
      <c r="M104" s="943" t="s">
        <v>172</v>
      </c>
      <c r="N104" s="996">
        <v>0</v>
      </c>
      <c r="O104" s="996">
        <v>0</v>
      </c>
      <c r="P104" s="996">
        <v>0</v>
      </c>
      <c r="Q104" s="996">
        <v>0</v>
      </c>
      <c r="R104" s="996">
        <v>0</v>
      </c>
      <c r="S104" s="996">
        <v>0</v>
      </c>
      <c r="T104" s="996">
        <v>0</v>
      </c>
      <c r="U104" s="996"/>
      <c r="V104" s="996">
        <v>0</v>
      </c>
      <c r="W104" s="996">
        <v>0</v>
      </c>
      <c r="X104" s="996">
        <v>0</v>
      </c>
      <c r="Y104" s="996">
        <v>0</v>
      </c>
      <c r="Z104" s="996">
        <v>0</v>
      </c>
      <c r="AA104" s="996">
        <v>2700000</v>
      </c>
      <c r="AB104" s="996">
        <v>0</v>
      </c>
      <c r="AC104" s="996">
        <v>0</v>
      </c>
      <c r="AD104" s="996">
        <v>283036</v>
      </c>
      <c r="AE104" s="996">
        <v>920000</v>
      </c>
      <c r="AF104" s="996">
        <v>1280000</v>
      </c>
      <c r="AG104" s="996">
        <v>0</v>
      </c>
      <c r="AH104" s="996">
        <v>100000</v>
      </c>
      <c r="AI104" s="996">
        <v>0</v>
      </c>
      <c r="AJ104" s="996">
        <v>0</v>
      </c>
      <c r="AK104" s="996">
        <v>400000</v>
      </c>
      <c r="AL104" s="996">
        <v>0</v>
      </c>
      <c r="AM104" s="996">
        <v>0</v>
      </c>
      <c r="AN104" s="996">
        <v>273483</v>
      </c>
      <c r="AO104" s="1"/>
      <c r="AP104" s="1"/>
      <c r="AQ104" s="1"/>
      <c r="AR104" s="1"/>
    </row>
    <row r="105" spans="1:44" ht="31">
      <c r="A105" s="1"/>
      <c r="B105" s="1"/>
      <c r="C105" s="1"/>
      <c r="D105" s="900" t="s">
        <v>174</v>
      </c>
      <c r="E105" s="996">
        <v>0</v>
      </c>
      <c r="F105" s="996">
        <v>2050000</v>
      </c>
      <c r="G105" s="996">
        <v>0</v>
      </c>
      <c r="H105" s="996">
        <v>200000</v>
      </c>
      <c r="I105" s="996">
        <v>0</v>
      </c>
      <c r="J105" s="907">
        <f t="shared" si="0"/>
        <v>2250000</v>
      </c>
      <c r="K105" s="908">
        <f>IFERROR(INDEX('DB(2) Pivots'!$G$257:$G$405,MATCH('Regional DB'!D105,'DB(2) Pivots'!$A$257:$A$405,0)),"")</f>
        <v>0.68945251035787491</v>
      </c>
      <c r="L105" s="1"/>
      <c r="M105" s="943" t="s">
        <v>174</v>
      </c>
      <c r="N105" s="996">
        <v>0</v>
      </c>
      <c r="O105" s="996">
        <v>0</v>
      </c>
      <c r="P105" s="996">
        <v>0</v>
      </c>
      <c r="Q105" s="996">
        <v>0</v>
      </c>
      <c r="R105" s="996">
        <v>0</v>
      </c>
      <c r="S105" s="996">
        <v>0</v>
      </c>
      <c r="T105" s="996">
        <v>0</v>
      </c>
      <c r="U105" s="996"/>
      <c r="V105" s="996">
        <v>0</v>
      </c>
      <c r="W105" s="996">
        <v>0</v>
      </c>
      <c r="X105" s="996">
        <v>0</v>
      </c>
      <c r="Y105" s="996">
        <v>0</v>
      </c>
      <c r="Z105" s="996">
        <v>0</v>
      </c>
      <c r="AA105" s="996">
        <v>2050000</v>
      </c>
      <c r="AB105" s="996">
        <v>0</v>
      </c>
      <c r="AC105" s="996">
        <v>0</v>
      </c>
      <c r="AD105" s="996">
        <v>0</v>
      </c>
      <c r="AE105" s="996">
        <v>0</v>
      </c>
      <c r="AF105" s="996">
        <v>0</v>
      </c>
      <c r="AG105" s="996">
        <v>0</v>
      </c>
      <c r="AH105" s="996">
        <v>0</v>
      </c>
      <c r="AI105" s="996">
        <v>0</v>
      </c>
      <c r="AJ105" s="996">
        <v>0</v>
      </c>
      <c r="AK105" s="996">
        <v>200000</v>
      </c>
      <c r="AL105" s="996">
        <v>0</v>
      </c>
      <c r="AM105" s="996">
        <v>0</v>
      </c>
      <c r="AN105" s="996">
        <v>0</v>
      </c>
      <c r="AO105" s="1"/>
      <c r="AP105" s="1"/>
      <c r="AQ105" s="1"/>
      <c r="AR105" s="1"/>
    </row>
    <row r="106" spans="1:44">
      <c r="A106" s="1"/>
      <c r="B106" s="1"/>
      <c r="C106" s="1"/>
      <c r="D106" s="900" t="s">
        <v>175</v>
      </c>
      <c r="E106" s="996">
        <v>0</v>
      </c>
      <c r="F106" s="996">
        <v>3555000</v>
      </c>
      <c r="G106" s="996">
        <v>0</v>
      </c>
      <c r="H106" s="996">
        <v>650000</v>
      </c>
      <c r="I106" s="996">
        <v>266162</v>
      </c>
      <c r="J106" s="907">
        <f t="shared" si="0"/>
        <v>4471162</v>
      </c>
      <c r="K106" s="908">
        <f>IFERROR(INDEX('DB(2) Pivots'!$G$257:$G$405,MATCH('Regional DB'!D106,'DB(2) Pivots'!$A$257:$A$405,0)),"")</f>
        <v>1.865129065091522</v>
      </c>
      <c r="L106" s="1"/>
      <c r="M106" s="943" t="s">
        <v>175</v>
      </c>
      <c r="N106" s="996">
        <v>0</v>
      </c>
      <c r="O106" s="996">
        <v>0</v>
      </c>
      <c r="P106" s="996">
        <v>0</v>
      </c>
      <c r="Q106" s="996">
        <v>0</v>
      </c>
      <c r="R106" s="996">
        <v>0</v>
      </c>
      <c r="S106" s="996">
        <v>0</v>
      </c>
      <c r="T106" s="996">
        <v>0</v>
      </c>
      <c r="U106" s="996"/>
      <c r="V106" s="996">
        <v>0</v>
      </c>
      <c r="W106" s="996">
        <v>0</v>
      </c>
      <c r="X106" s="996">
        <v>0</v>
      </c>
      <c r="Y106" s="996">
        <v>0</v>
      </c>
      <c r="Z106" s="996">
        <v>0</v>
      </c>
      <c r="AA106" s="996">
        <v>3555000</v>
      </c>
      <c r="AB106" s="996">
        <v>0</v>
      </c>
      <c r="AC106" s="996">
        <v>0</v>
      </c>
      <c r="AD106" s="996">
        <v>0</v>
      </c>
      <c r="AE106" s="996">
        <v>0</v>
      </c>
      <c r="AF106" s="996">
        <v>0</v>
      </c>
      <c r="AG106" s="996">
        <v>0</v>
      </c>
      <c r="AH106" s="996">
        <v>0</v>
      </c>
      <c r="AI106" s="996">
        <v>0</v>
      </c>
      <c r="AJ106" s="996">
        <v>0</v>
      </c>
      <c r="AK106" s="996">
        <v>650000</v>
      </c>
      <c r="AL106" s="996">
        <v>0</v>
      </c>
      <c r="AM106" s="996">
        <v>266162</v>
      </c>
      <c r="AN106" s="996">
        <v>0</v>
      </c>
      <c r="AO106" s="1"/>
      <c r="AP106" s="1"/>
      <c r="AQ106" s="1"/>
      <c r="AR106" s="1"/>
    </row>
    <row r="107" spans="1:44">
      <c r="A107" s="1"/>
      <c r="B107" s="1"/>
      <c r="C107" s="1"/>
      <c r="D107" s="900" t="s">
        <v>144</v>
      </c>
      <c r="E107" s="996">
        <v>0</v>
      </c>
      <c r="F107" s="996">
        <v>3750000</v>
      </c>
      <c r="G107" s="996">
        <v>0</v>
      </c>
      <c r="H107" s="996">
        <v>660000</v>
      </c>
      <c r="I107" s="996">
        <v>92593</v>
      </c>
      <c r="J107" s="907">
        <f t="shared" si="0"/>
        <v>4502593</v>
      </c>
      <c r="K107" s="908">
        <f>IFERROR(INDEX('DB(2) Pivots'!$G$257:$G$405,MATCH('Regional DB'!D107,'DB(2) Pivots'!$A$257:$A$405,0)),"")</f>
        <v>2.1040799096267628E-2</v>
      </c>
      <c r="L107" s="1"/>
      <c r="M107" s="943" t="s">
        <v>144</v>
      </c>
      <c r="N107" s="996">
        <v>0</v>
      </c>
      <c r="O107" s="996">
        <v>0</v>
      </c>
      <c r="P107" s="996">
        <v>0</v>
      </c>
      <c r="Q107" s="996">
        <v>0</v>
      </c>
      <c r="R107" s="996">
        <v>0</v>
      </c>
      <c r="S107" s="996">
        <v>0</v>
      </c>
      <c r="T107" s="996">
        <v>0</v>
      </c>
      <c r="U107" s="996"/>
      <c r="V107" s="996">
        <v>0</v>
      </c>
      <c r="W107" s="996">
        <v>0</v>
      </c>
      <c r="X107" s="996">
        <v>0</v>
      </c>
      <c r="Y107" s="996">
        <v>0</v>
      </c>
      <c r="Z107" s="996">
        <v>0</v>
      </c>
      <c r="AA107" s="996">
        <v>3750000</v>
      </c>
      <c r="AB107" s="996">
        <v>0</v>
      </c>
      <c r="AC107" s="996">
        <v>0</v>
      </c>
      <c r="AD107" s="996">
        <v>0</v>
      </c>
      <c r="AE107" s="996">
        <v>0</v>
      </c>
      <c r="AF107" s="996">
        <v>0</v>
      </c>
      <c r="AG107" s="996">
        <v>0</v>
      </c>
      <c r="AH107" s="996">
        <v>0</v>
      </c>
      <c r="AI107" s="996">
        <v>0</v>
      </c>
      <c r="AJ107" s="996">
        <v>0</v>
      </c>
      <c r="AK107" s="996">
        <v>660000</v>
      </c>
      <c r="AL107" s="996">
        <v>0</v>
      </c>
      <c r="AM107" s="996">
        <v>0</v>
      </c>
      <c r="AN107" s="996">
        <v>92593</v>
      </c>
      <c r="AO107" s="1"/>
      <c r="AP107" s="1"/>
      <c r="AQ107" s="1"/>
      <c r="AR107" s="1"/>
    </row>
    <row r="108" spans="1:44">
      <c r="A108" s="1"/>
      <c r="B108" s="1"/>
      <c r="C108" s="1"/>
      <c r="D108" s="900" t="s">
        <v>176</v>
      </c>
      <c r="E108" s="996">
        <v>0</v>
      </c>
      <c r="F108" s="996">
        <v>1300000</v>
      </c>
      <c r="G108" s="996">
        <v>0</v>
      </c>
      <c r="H108" s="996">
        <v>0</v>
      </c>
      <c r="I108" s="996">
        <v>0</v>
      </c>
      <c r="J108" s="907">
        <f t="shared" si="0"/>
        <v>1300000</v>
      </c>
      <c r="K108" s="908">
        <f>IFERROR(INDEX('DB(2) Pivots'!$G$257:$G$405,MATCH('Regional DB'!D108,'DB(2) Pivots'!$A$257:$A$405,0)),"")</f>
        <v>0.18709221991395197</v>
      </c>
      <c r="L108" s="1"/>
      <c r="M108" s="943" t="s">
        <v>176</v>
      </c>
      <c r="N108" s="996">
        <v>0</v>
      </c>
      <c r="O108" s="996">
        <v>0</v>
      </c>
      <c r="P108" s="996">
        <v>0</v>
      </c>
      <c r="Q108" s="996">
        <v>0</v>
      </c>
      <c r="R108" s="996">
        <v>0</v>
      </c>
      <c r="S108" s="996">
        <v>0</v>
      </c>
      <c r="T108" s="996">
        <v>0</v>
      </c>
      <c r="U108" s="996"/>
      <c r="V108" s="996">
        <v>0</v>
      </c>
      <c r="W108" s="996">
        <v>0</v>
      </c>
      <c r="X108" s="996">
        <v>0</v>
      </c>
      <c r="Y108" s="996">
        <v>0</v>
      </c>
      <c r="Z108" s="996">
        <v>0</v>
      </c>
      <c r="AA108" s="996">
        <v>1300000</v>
      </c>
      <c r="AB108" s="996">
        <v>0</v>
      </c>
      <c r="AC108" s="996">
        <v>0</v>
      </c>
      <c r="AD108" s="996">
        <v>0</v>
      </c>
      <c r="AE108" s="996">
        <v>0</v>
      </c>
      <c r="AF108" s="996">
        <v>0</v>
      </c>
      <c r="AG108" s="996">
        <v>0</v>
      </c>
      <c r="AH108" s="996">
        <v>0</v>
      </c>
      <c r="AI108" s="996">
        <v>0</v>
      </c>
      <c r="AJ108" s="996">
        <v>0</v>
      </c>
      <c r="AK108" s="996">
        <v>0</v>
      </c>
      <c r="AL108" s="996">
        <v>0</v>
      </c>
      <c r="AM108" s="996">
        <v>0</v>
      </c>
      <c r="AN108" s="996">
        <v>0</v>
      </c>
      <c r="AO108" s="1"/>
      <c r="AP108" s="1"/>
      <c r="AQ108" s="1"/>
      <c r="AR108" s="1"/>
    </row>
    <row r="109" spans="1:44">
      <c r="A109" s="1"/>
      <c r="B109" s="1"/>
      <c r="C109" s="1"/>
      <c r="D109" s="900" t="s">
        <v>177</v>
      </c>
      <c r="E109" s="996">
        <v>0</v>
      </c>
      <c r="F109" s="996">
        <v>2000000</v>
      </c>
      <c r="G109" s="996">
        <v>2561114</v>
      </c>
      <c r="H109" s="996">
        <v>2009335</v>
      </c>
      <c r="I109" s="996">
        <v>2736000</v>
      </c>
      <c r="J109" s="907">
        <f t="shared" si="0"/>
        <v>9306449</v>
      </c>
      <c r="K109" s="908">
        <f>IFERROR(INDEX('DB(2) Pivots'!$G$257:$G$405,MATCH('Regional DB'!D109,'DB(2) Pivots'!$A$257:$A$405,0)),"")</f>
        <v>0.43291654682490383</v>
      </c>
      <c r="L109" s="1"/>
      <c r="M109" s="943" t="s">
        <v>177</v>
      </c>
      <c r="N109" s="996">
        <v>0</v>
      </c>
      <c r="O109" s="996">
        <v>0</v>
      </c>
      <c r="P109" s="996">
        <v>0</v>
      </c>
      <c r="Q109" s="996">
        <v>0</v>
      </c>
      <c r="R109" s="996">
        <v>0</v>
      </c>
      <c r="S109" s="996">
        <v>0</v>
      </c>
      <c r="T109" s="996">
        <v>0</v>
      </c>
      <c r="U109" s="996"/>
      <c r="V109" s="996">
        <v>0</v>
      </c>
      <c r="W109" s="996">
        <v>0</v>
      </c>
      <c r="X109" s="996">
        <v>0</v>
      </c>
      <c r="Y109" s="996">
        <v>0</v>
      </c>
      <c r="Z109" s="996">
        <v>0</v>
      </c>
      <c r="AA109" s="996">
        <v>2000000</v>
      </c>
      <c r="AB109" s="996">
        <v>78000</v>
      </c>
      <c r="AC109" s="996">
        <v>0</v>
      </c>
      <c r="AD109" s="996">
        <v>555832</v>
      </c>
      <c r="AE109" s="996">
        <v>1144242</v>
      </c>
      <c r="AF109" s="996">
        <v>0</v>
      </c>
      <c r="AG109" s="996">
        <v>385000</v>
      </c>
      <c r="AH109" s="996">
        <v>398040</v>
      </c>
      <c r="AI109" s="996">
        <v>0</v>
      </c>
      <c r="AJ109" s="996">
        <v>1110635</v>
      </c>
      <c r="AK109" s="996">
        <v>898700</v>
      </c>
      <c r="AL109" s="996">
        <v>2736000</v>
      </c>
      <c r="AM109" s="996">
        <v>0</v>
      </c>
      <c r="AN109" s="996">
        <v>0</v>
      </c>
      <c r="AO109" s="1"/>
      <c r="AP109" s="1"/>
      <c r="AQ109" s="1"/>
      <c r="AR109" s="1"/>
    </row>
    <row r="110" spans="1:44">
      <c r="A110" s="1"/>
      <c r="B110" s="1"/>
      <c r="C110" s="1"/>
      <c r="D110" s="900" t="s">
        <v>178</v>
      </c>
      <c r="E110" s="996">
        <v>17800000</v>
      </c>
      <c r="F110" s="996">
        <v>1000000</v>
      </c>
      <c r="G110" s="996">
        <v>533059</v>
      </c>
      <c r="H110" s="996">
        <v>575000</v>
      </c>
      <c r="I110" s="996">
        <v>0</v>
      </c>
      <c r="J110" s="907">
        <f t="shared" si="0"/>
        <v>19908059</v>
      </c>
      <c r="K110" s="908">
        <f>IFERROR(INDEX('DB(2) Pivots'!$G$257:$G$405,MATCH('Regional DB'!D110,'DB(2) Pivots'!$A$257:$A$405,0)),"")</f>
        <v>1.6244277536102572</v>
      </c>
      <c r="L110" s="1"/>
      <c r="M110" s="943" t="s">
        <v>178</v>
      </c>
      <c r="N110" s="996">
        <v>0</v>
      </c>
      <c r="O110" s="996">
        <v>0</v>
      </c>
      <c r="P110" s="996">
        <v>17800000</v>
      </c>
      <c r="Q110" s="996">
        <v>0</v>
      </c>
      <c r="R110" s="996">
        <v>0</v>
      </c>
      <c r="S110" s="996">
        <v>0</v>
      </c>
      <c r="T110" s="996">
        <v>0</v>
      </c>
      <c r="U110" s="996"/>
      <c r="V110" s="996">
        <v>0</v>
      </c>
      <c r="W110" s="996">
        <v>0</v>
      </c>
      <c r="X110" s="996">
        <v>0</v>
      </c>
      <c r="Y110" s="996">
        <v>0</v>
      </c>
      <c r="Z110" s="996">
        <v>0</v>
      </c>
      <c r="AA110" s="996">
        <v>1000000</v>
      </c>
      <c r="AB110" s="996">
        <v>175000</v>
      </c>
      <c r="AC110" s="996">
        <v>0</v>
      </c>
      <c r="AD110" s="996">
        <v>0</v>
      </c>
      <c r="AE110" s="996">
        <v>0</v>
      </c>
      <c r="AF110" s="996">
        <v>0</v>
      </c>
      <c r="AG110" s="996">
        <v>172200</v>
      </c>
      <c r="AH110" s="996">
        <v>185859</v>
      </c>
      <c r="AI110" s="996">
        <v>0</v>
      </c>
      <c r="AJ110" s="996">
        <v>0</v>
      </c>
      <c r="AK110" s="996">
        <v>575000</v>
      </c>
      <c r="AL110" s="996">
        <v>0</v>
      </c>
      <c r="AM110" s="996">
        <v>0</v>
      </c>
      <c r="AN110" s="996">
        <v>0</v>
      </c>
      <c r="AO110" s="1"/>
      <c r="AP110" s="1"/>
      <c r="AQ110" s="1"/>
      <c r="AR110" s="1"/>
    </row>
    <row r="111" spans="1:44">
      <c r="A111" s="1"/>
      <c r="B111" s="1"/>
      <c r="C111" s="1"/>
      <c r="D111" s="900" t="s">
        <v>179</v>
      </c>
      <c r="E111" s="996">
        <v>4700000</v>
      </c>
      <c r="F111" s="996">
        <v>500000</v>
      </c>
      <c r="G111" s="996">
        <v>468147.68814814818</v>
      </c>
      <c r="H111" s="996">
        <v>0</v>
      </c>
      <c r="I111" s="996">
        <v>0</v>
      </c>
      <c r="J111" s="907">
        <f t="shared" si="0"/>
        <v>5668147.6881481484</v>
      </c>
      <c r="K111" s="908">
        <f>IFERROR(INDEX('DB(2) Pivots'!$G$257:$G$405,MATCH('Regional DB'!D111,'DB(2) Pivots'!$A$257:$A$405,0)),"")</f>
        <v>10.087449013523999</v>
      </c>
      <c r="L111" s="1"/>
      <c r="M111" s="943" t="s">
        <v>179</v>
      </c>
      <c r="N111" s="996">
        <v>0</v>
      </c>
      <c r="O111" s="996">
        <v>0</v>
      </c>
      <c r="P111" s="996">
        <v>4700000</v>
      </c>
      <c r="Q111" s="996">
        <v>0</v>
      </c>
      <c r="R111" s="996">
        <v>0</v>
      </c>
      <c r="S111" s="996">
        <v>0</v>
      </c>
      <c r="T111" s="996">
        <v>0</v>
      </c>
      <c r="U111" s="996"/>
      <c r="V111" s="996">
        <v>0</v>
      </c>
      <c r="W111" s="996">
        <v>0</v>
      </c>
      <c r="X111" s="996">
        <v>0</v>
      </c>
      <c r="Y111" s="996">
        <v>0</v>
      </c>
      <c r="Z111" s="996">
        <v>0</v>
      </c>
      <c r="AA111" s="996">
        <v>500000</v>
      </c>
      <c r="AB111" s="996">
        <v>40000</v>
      </c>
      <c r="AC111" s="996">
        <v>0</v>
      </c>
      <c r="AD111" s="996">
        <v>0</v>
      </c>
      <c r="AE111" s="996">
        <v>72358</v>
      </c>
      <c r="AF111" s="996">
        <v>227642</v>
      </c>
      <c r="AG111" s="996">
        <v>23148.148148148146</v>
      </c>
      <c r="AH111" s="996">
        <v>104999.54000000001</v>
      </c>
      <c r="AI111" s="996">
        <v>0</v>
      </c>
      <c r="AJ111" s="996">
        <v>0</v>
      </c>
      <c r="AK111" s="996">
        <v>0</v>
      </c>
      <c r="AL111" s="996">
        <v>0</v>
      </c>
      <c r="AM111" s="996">
        <v>0</v>
      </c>
      <c r="AN111" s="996">
        <v>0</v>
      </c>
      <c r="AO111" s="1"/>
      <c r="AP111" s="1"/>
      <c r="AQ111" s="1"/>
      <c r="AR111" s="1"/>
    </row>
    <row r="112" spans="1:44">
      <c r="A112" s="1"/>
      <c r="B112" s="1"/>
      <c r="C112" s="1"/>
      <c r="D112" s="900" t="s">
        <v>180</v>
      </c>
      <c r="E112" s="996">
        <v>3500000</v>
      </c>
      <c r="F112" s="996">
        <v>1556581</v>
      </c>
      <c r="G112" s="996">
        <v>1991758.888888889</v>
      </c>
      <c r="H112" s="996">
        <v>0</v>
      </c>
      <c r="I112" s="996">
        <v>354000</v>
      </c>
      <c r="J112" s="907">
        <f t="shared" si="0"/>
        <v>7402339.888888889</v>
      </c>
      <c r="K112" s="908">
        <f>IFERROR(INDEX('DB(2) Pivots'!$G$257:$G$405,MATCH('Regional DB'!D112,'DB(2) Pivots'!$A$257:$A$405,0)),"")</f>
        <v>0.43680780553567922</v>
      </c>
      <c r="L112" s="1"/>
      <c r="M112" s="943" t="s">
        <v>180</v>
      </c>
      <c r="N112" s="996">
        <v>0</v>
      </c>
      <c r="O112" s="996">
        <v>0</v>
      </c>
      <c r="P112" s="996">
        <v>3500000</v>
      </c>
      <c r="Q112" s="996">
        <v>0</v>
      </c>
      <c r="R112" s="996">
        <v>0</v>
      </c>
      <c r="S112" s="996">
        <v>279000</v>
      </c>
      <c r="T112" s="996">
        <v>0</v>
      </c>
      <c r="U112" s="996"/>
      <c r="V112" s="996">
        <v>615359</v>
      </c>
      <c r="W112" s="996">
        <v>0</v>
      </c>
      <c r="X112" s="996">
        <v>0</v>
      </c>
      <c r="Y112" s="996">
        <v>0</v>
      </c>
      <c r="Z112" s="996">
        <v>0</v>
      </c>
      <c r="AA112" s="996">
        <v>662222</v>
      </c>
      <c r="AB112" s="996">
        <v>0</v>
      </c>
      <c r="AC112" s="996">
        <v>0</v>
      </c>
      <c r="AD112" s="996">
        <v>459999</v>
      </c>
      <c r="AE112" s="996">
        <v>1299795</v>
      </c>
      <c r="AF112" s="996">
        <v>0</v>
      </c>
      <c r="AG112" s="996">
        <v>95138.888888888876</v>
      </c>
      <c r="AH112" s="996">
        <v>136826</v>
      </c>
      <c r="AI112" s="996">
        <v>0</v>
      </c>
      <c r="AJ112" s="996">
        <v>0</v>
      </c>
      <c r="AK112" s="996">
        <v>0</v>
      </c>
      <c r="AL112" s="996">
        <v>354000</v>
      </c>
      <c r="AM112" s="996">
        <v>0</v>
      </c>
      <c r="AN112" s="996">
        <v>0</v>
      </c>
      <c r="AO112" s="1"/>
      <c r="AP112" s="1"/>
      <c r="AQ112" s="1"/>
      <c r="AR112" s="1"/>
    </row>
    <row r="113" spans="1:44">
      <c r="A113" s="1"/>
      <c r="B113" s="1"/>
      <c r="C113" s="1"/>
      <c r="D113" s="900" t="s">
        <v>181</v>
      </c>
      <c r="E113" s="996">
        <v>18000000</v>
      </c>
      <c r="F113" s="996">
        <v>2525640</v>
      </c>
      <c r="G113" s="996">
        <v>7742662.8518518517</v>
      </c>
      <c r="H113" s="996">
        <v>1645844</v>
      </c>
      <c r="I113" s="996">
        <v>0</v>
      </c>
      <c r="J113" s="907">
        <f t="shared" si="0"/>
        <v>29914146.851851851</v>
      </c>
      <c r="K113" s="908">
        <f>IFERROR(INDEX('DB(2) Pivots'!$G$257:$G$405,MATCH('Regional DB'!D113,'DB(2) Pivots'!$A$257:$A$405,0)),"")</f>
        <v>1.0988046931024926</v>
      </c>
      <c r="L113" s="1"/>
      <c r="M113" s="943" t="s">
        <v>181</v>
      </c>
      <c r="N113" s="996">
        <v>0</v>
      </c>
      <c r="O113" s="996">
        <v>0</v>
      </c>
      <c r="P113" s="996">
        <v>18000000</v>
      </c>
      <c r="Q113" s="996">
        <v>0</v>
      </c>
      <c r="R113" s="996">
        <v>0</v>
      </c>
      <c r="S113" s="996">
        <v>0</v>
      </c>
      <c r="T113" s="996">
        <v>0</v>
      </c>
      <c r="U113" s="996"/>
      <c r="V113" s="996">
        <v>925640</v>
      </c>
      <c r="W113" s="996">
        <v>0</v>
      </c>
      <c r="X113" s="996">
        <v>0</v>
      </c>
      <c r="Y113" s="996">
        <v>0</v>
      </c>
      <c r="Z113" s="996">
        <v>0</v>
      </c>
      <c r="AA113" s="996">
        <v>1600000</v>
      </c>
      <c r="AB113" s="996">
        <v>627400</v>
      </c>
      <c r="AC113" s="996">
        <v>380000</v>
      </c>
      <c r="AD113" s="996">
        <v>690768</v>
      </c>
      <c r="AE113" s="996">
        <v>5507618</v>
      </c>
      <c r="AF113" s="996">
        <v>0</v>
      </c>
      <c r="AG113" s="996">
        <v>208184.85185185185</v>
      </c>
      <c r="AH113" s="996">
        <v>328692</v>
      </c>
      <c r="AI113" s="996">
        <v>0</v>
      </c>
      <c r="AJ113" s="996">
        <v>0</v>
      </c>
      <c r="AK113" s="996">
        <v>1645844</v>
      </c>
      <c r="AL113" s="996">
        <v>0</v>
      </c>
      <c r="AM113" s="996">
        <v>0</v>
      </c>
      <c r="AN113" s="996">
        <v>0</v>
      </c>
      <c r="AO113" s="1"/>
      <c r="AP113" s="1"/>
      <c r="AQ113" s="1"/>
      <c r="AR113" s="1"/>
    </row>
    <row r="114" spans="1:44">
      <c r="A114" s="1"/>
      <c r="B114" s="1"/>
      <c r="C114" s="1"/>
      <c r="D114" s="900" t="s">
        <v>182</v>
      </c>
      <c r="E114" s="996">
        <v>0</v>
      </c>
      <c r="F114" s="996">
        <v>1150000</v>
      </c>
      <c r="G114" s="996">
        <v>3217420.3703703703</v>
      </c>
      <c r="H114" s="996">
        <v>1110635</v>
      </c>
      <c r="I114" s="996">
        <v>0</v>
      </c>
      <c r="J114" s="907">
        <f t="shared" si="0"/>
        <v>5478055.3703703703</v>
      </c>
      <c r="K114" s="908">
        <f>IFERROR(INDEX('DB(2) Pivots'!$G$257:$G$405,MATCH('Regional DB'!D114,'DB(2) Pivots'!$A$257:$A$405,0)),"")</f>
        <v>1.1134288302734072</v>
      </c>
      <c r="L114" s="1"/>
      <c r="M114" s="943" t="s">
        <v>182</v>
      </c>
      <c r="N114" s="996">
        <v>0</v>
      </c>
      <c r="O114" s="996">
        <v>0</v>
      </c>
      <c r="P114" s="996">
        <v>0</v>
      </c>
      <c r="Q114" s="996">
        <v>0</v>
      </c>
      <c r="R114" s="996">
        <v>0</v>
      </c>
      <c r="S114" s="996">
        <v>0</v>
      </c>
      <c r="T114" s="996">
        <v>0</v>
      </c>
      <c r="U114" s="996"/>
      <c r="V114" s="996">
        <v>0</v>
      </c>
      <c r="W114" s="996">
        <v>0</v>
      </c>
      <c r="X114" s="996">
        <v>0</v>
      </c>
      <c r="Y114" s="996">
        <v>0</v>
      </c>
      <c r="Z114" s="996">
        <v>0</v>
      </c>
      <c r="AA114" s="996">
        <v>1150000</v>
      </c>
      <c r="AB114" s="996">
        <v>265000</v>
      </c>
      <c r="AC114" s="996">
        <v>500000</v>
      </c>
      <c r="AD114" s="996">
        <v>201700</v>
      </c>
      <c r="AE114" s="996">
        <v>1303508</v>
      </c>
      <c r="AF114" s="996">
        <v>0</v>
      </c>
      <c r="AG114" s="996">
        <v>390170.37037037034</v>
      </c>
      <c r="AH114" s="996">
        <v>557042</v>
      </c>
      <c r="AI114" s="996">
        <v>0</v>
      </c>
      <c r="AJ114" s="996">
        <v>1110635</v>
      </c>
      <c r="AK114" s="996">
        <v>0</v>
      </c>
      <c r="AL114" s="996">
        <v>0</v>
      </c>
      <c r="AM114" s="996">
        <v>0</v>
      </c>
      <c r="AN114" s="996">
        <v>0</v>
      </c>
      <c r="AO114" s="1"/>
      <c r="AP114" s="1"/>
      <c r="AQ114" s="1"/>
      <c r="AR114" s="1"/>
    </row>
    <row r="115" spans="1:44" s="1" customFormat="1">
      <c r="D115" s="900" t="s">
        <v>183</v>
      </c>
      <c r="E115" s="996">
        <v>9000000</v>
      </c>
      <c r="F115" s="996">
        <v>0</v>
      </c>
      <c r="G115" s="996">
        <v>8332770.1851851847</v>
      </c>
      <c r="H115" s="996">
        <v>1086043</v>
      </c>
      <c r="I115" s="996">
        <v>0</v>
      </c>
      <c r="J115" s="907">
        <f t="shared" si="0"/>
        <v>18418813.185185187</v>
      </c>
      <c r="K115" s="908">
        <f>IFERROR(INDEX('DB(2) Pivots'!$G$257:$G$405,MATCH('Regional DB'!D115,'DB(2) Pivots'!$A$257:$A$405,0)),"")</f>
        <v>1.0889050853539146</v>
      </c>
      <c r="M115" s="943" t="s">
        <v>183</v>
      </c>
      <c r="N115" s="996">
        <v>0</v>
      </c>
      <c r="O115" s="996">
        <v>0</v>
      </c>
      <c r="P115" s="996">
        <v>9000000</v>
      </c>
      <c r="Q115" s="996">
        <v>0</v>
      </c>
      <c r="R115" s="996">
        <v>0</v>
      </c>
      <c r="S115" s="996">
        <v>0</v>
      </c>
      <c r="T115" s="996">
        <v>0</v>
      </c>
      <c r="U115" s="996"/>
      <c r="V115" s="996">
        <v>0</v>
      </c>
      <c r="W115" s="996">
        <v>0</v>
      </c>
      <c r="X115" s="996">
        <v>0</v>
      </c>
      <c r="Y115" s="996">
        <v>0</v>
      </c>
      <c r="Z115" s="996">
        <v>0</v>
      </c>
      <c r="AA115" s="996">
        <v>0</v>
      </c>
      <c r="AB115" s="996">
        <v>1069300</v>
      </c>
      <c r="AC115" s="996">
        <v>1582483</v>
      </c>
      <c r="AD115" s="996">
        <v>0</v>
      </c>
      <c r="AE115" s="996">
        <v>5000000</v>
      </c>
      <c r="AF115" s="996">
        <v>0</v>
      </c>
      <c r="AG115" s="996">
        <v>225360.18518518517</v>
      </c>
      <c r="AH115" s="996">
        <v>455627</v>
      </c>
      <c r="AI115" s="996">
        <v>0</v>
      </c>
      <c r="AJ115" s="996">
        <v>0</v>
      </c>
      <c r="AK115" s="996">
        <v>1086043</v>
      </c>
      <c r="AL115" s="996">
        <v>0</v>
      </c>
      <c r="AM115" s="996">
        <v>0</v>
      </c>
      <c r="AN115" s="996">
        <v>0</v>
      </c>
    </row>
    <row r="116" spans="1:44" s="1" customFormat="1">
      <c r="D116" s="900" t="s">
        <v>185</v>
      </c>
      <c r="E116" s="996">
        <v>0</v>
      </c>
      <c r="F116" s="996">
        <v>0</v>
      </c>
      <c r="G116" s="996">
        <v>0</v>
      </c>
      <c r="H116" s="996">
        <v>0</v>
      </c>
      <c r="I116" s="996">
        <v>0</v>
      </c>
      <c r="J116" s="907" t="str">
        <f t="shared" si="0"/>
        <v/>
      </c>
      <c r="K116" s="908">
        <f>IFERROR(INDEX('DB(2) Pivots'!$G$257:$G$405,MATCH('Regional DB'!D116,'DB(2) Pivots'!$A$257:$A$405,0)),"")</f>
        <v>0</v>
      </c>
      <c r="M116" s="943" t="s">
        <v>185</v>
      </c>
      <c r="N116" s="996">
        <v>0</v>
      </c>
      <c r="O116" s="996">
        <v>0</v>
      </c>
      <c r="P116" s="996">
        <v>0</v>
      </c>
      <c r="Q116" s="996">
        <v>0</v>
      </c>
      <c r="R116" s="996">
        <v>0</v>
      </c>
      <c r="S116" s="996">
        <v>0</v>
      </c>
      <c r="T116" s="996">
        <v>0</v>
      </c>
      <c r="U116" s="996"/>
      <c r="V116" s="996">
        <v>0</v>
      </c>
      <c r="W116" s="996">
        <v>0</v>
      </c>
      <c r="X116" s="996">
        <v>0</v>
      </c>
      <c r="Y116" s="996">
        <v>0</v>
      </c>
      <c r="Z116" s="996">
        <v>0</v>
      </c>
      <c r="AA116" s="996">
        <v>0</v>
      </c>
      <c r="AB116" s="996">
        <v>0</v>
      </c>
      <c r="AC116" s="996">
        <v>0</v>
      </c>
      <c r="AD116" s="996">
        <v>0</v>
      </c>
      <c r="AE116" s="996">
        <v>0</v>
      </c>
      <c r="AF116" s="996">
        <v>0</v>
      </c>
      <c r="AG116" s="996">
        <v>0</v>
      </c>
      <c r="AH116" s="996">
        <v>0</v>
      </c>
      <c r="AI116" s="996">
        <v>0</v>
      </c>
      <c r="AJ116" s="996">
        <v>0</v>
      </c>
      <c r="AK116" s="996">
        <v>0</v>
      </c>
      <c r="AL116" s="996">
        <v>0</v>
      </c>
      <c r="AM116" s="996">
        <v>0</v>
      </c>
      <c r="AN116" s="996">
        <v>0</v>
      </c>
    </row>
    <row r="117" spans="1:44" s="1" customFormat="1">
      <c r="D117" s="900" t="s">
        <v>186</v>
      </c>
      <c r="E117" s="996">
        <v>0</v>
      </c>
      <c r="F117" s="996">
        <v>11000000</v>
      </c>
      <c r="G117" s="996">
        <v>0</v>
      </c>
      <c r="H117" s="996">
        <v>200000</v>
      </c>
      <c r="I117" s="996">
        <v>0</v>
      </c>
      <c r="J117" s="907">
        <f t="shared" si="0"/>
        <v>11200000</v>
      </c>
      <c r="K117" s="908">
        <f>IFERROR(INDEX('DB(2) Pivots'!$G$257:$G$405,MATCH('Regional DB'!D117,'DB(2) Pivots'!$A$257:$A$405,0)),"")</f>
        <v>0.21846905817852477</v>
      </c>
      <c r="M117" s="943" t="s">
        <v>186</v>
      </c>
      <c r="N117" s="996">
        <v>0</v>
      </c>
      <c r="O117" s="996">
        <v>0</v>
      </c>
      <c r="P117" s="996">
        <v>0</v>
      </c>
      <c r="Q117" s="996">
        <v>0</v>
      </c>
      <c r="R117" s="996">
        <v>0</v>
      </c>
      <c r="S117" s="996">
        <v>0</v>
      </c>
      <c r="T117" s="996">
        <v>0</v>
      </c>
      <c r="U117" s="996"/>
      <c r="V117" s="996">
        <v>0</v>
      </c>
      <c r="W117" s="996">
        <v>0</v>
      </c>
      <c r="X117" s="996">
        <v>0</v>
      </c>
      <c r="Y117" s="996">
        <v>0</v>
      </c>
      <c r="Z117" s="996">
        <v>0</v>
      </c>
      <c r="AA117" s="996">
        <v>11000000</v>
      </c>
      <c r="AB117" s="996">
        <v>0</v>
      </c>
      <c r="AC117" s="996">
        <v>0</v>
      </c>
      <c r="AD117" s="996">
        <v>0</v>
      </c>
      <c r="AE117" s="996">
        <v>0</v>
      </c>
      <c r="AF117" s="996">
        <v>0</v>
      </c>
      <c r="AG117" s="996">
        <v>0</v>
      </c>
      <c r="AH117" s="996">
        <v>0</v>
      </c>
      <c r="AI117" s="996">
        <v>0</v>
      </c>
      <c r="AJ117" s="996">
        <v>0</v>
      </c>
      <c r="AK117" s="996">
        <v>200000</v>
      </c>
      <c r="AL117" s="996">
        <v>0</v>
      </c>
      <c r="AM117" s="996">
        <v>0</v>
      </c>
      <c r="AN117" s="996">
        <v>0</v>
      </c>
    </row>
    <row r="118" spans="1:44" s="1" customFormat="1">
      <c r="D118" s="900" t="s">
        <v>187</v>
      </c>
      <c r="E118" s="996">
        <v>12800000</v>
      </c>
      <c r="F118" s="996">
        <v>100000</v>
      </c>
      <c r="G118" s="996">
        <v>491810</v>
      </c>
      <c r="H118" s="996">
        <v>143500</v>
      </c>
      <c r="I118" s="996">
        <v>0</v>
      </c>
      <c r="J118" s="907">
        <f t="shared" si="0"/>
        <v>13535310</v>
      </c>
      <c r="K118" s="908">
        <f>IFERROR(INDEX('DB(2) Pivots'!$G$257:$G$405,MATCH('Regional DB'!D118,'DB(2) Pivots'!$A$257:$A$405,0)),"")</f>
        <v>15.234643021151301</v>
      </c>
      <c r="M118" s="943" t="s">
        <v>187</v>
      </c>
      <c r="N118" s="996">
        <v>0</v>
      </c>
      <c r="O118" s="996">
        <v>0</v>
      </c>
      <c r="P118" s="996">
        <v>12800000</v>
      </c>
      <c r="Q118" s="996">
        <v>0</v>
      </c>
      <c r="R118" s="996">
        <v>0</v>
      </c>
      <c r="S118" s="996">
        <v>0</v>
      </c>
      <c r="T118" s="996">
        <v>0</v>
      </c>
      <c r="U118" s="996"/>
      <c r="V118" s="996">
        <v>0</v>
      </c>
      <c r="W118" s="996">
        <v>0</v>
      </c>
      <c r="X118" s="996">
        <v>0</v>
      </c>
      <c r="Y118" s="996">
        <v>0</v>
      </c>
      <c r="Z118" s="996">
        <v>0</v>
      </c>
      <c r="AA118" s="996">
        <v>100000</v>
      </c>
      <c r="AB118" s="996">
        <v>0</v>
      </c>
      <c r="AC118" s="996">
        <v>0</v>
      </c>
      <c r="AD118" s="996">
        <v>80000</v>
      </c>
      <c r="AE118" s="996">
        <v>146720</v>
      </c>
      <c r="AF118" s="996">
        <v>0</v>
      </c>
      <c r="AG118" s="996">
        <v>118499.99999999999</v>
      </c>
      <c r="AH118" s="996">
        <v>146590</v>
      </c>
      <c r="AI118" s="996">
        <v>0</v>
      </c>
      <c r="AJ118" s="996">
        <v>0</v>
      </c>
      <c r="AK118" s="996">
        <v>143500</v>
      </c>
      <c r="AL118" s="996">
        <v>0</v>
      </c>
      <c r="AM118" s="996">
        <v>0</v>
      </c>
      <c r="AN118" s="996">
        <v>0</v>
      </c>
    </row>
    <row r="119" spans="1:44" s="1" customFormat="1" ht="31">
      <c r="D119" s="900" t="s">
        <v>188</v>
      </c>
      <c r="E119" s="996">
        <v>50000000</v>
      </c>
      <c r="F119" s="996">
        <v>9661045</v>
      </c>
      <c r="G119" s="996">
        <v>20712468</v>
      </c>
      <c r="H119" s="996">
        <v>5552267</v>
      </c>
      <c r="I119" s="996">
        <v>1100899</v>
      </c>
      <c r="J119" s="907">
        <f t="shared" si="0"/>
        <v>87026679</v>
      </c>
      <c r="K119" s="908">
        <f>IFERROR(INDEX('DB(2) Pivots'!$G$257:$G$405,MATCH('Regional DB'!D119,'DB(2) Pivots'!$A$257:$A$405,0)),"")</f>
        <v>0.94207162082966389</v>
      </c>
      <c r="M119" s="943" t="s">
        <v>188</v>
      </c>
      <c r="N119" s="996">
        <v>0</v>
      </c>
      <c r="O119" s="996">
        <v>0</v>
      </c>
      <c r="P119" s="996">
        <v>50000000</v>
      </c>
      <c r="Q119" s="996">
        <v>0</v>
      </c>
      <c r="R119" s="996">
        <v>1997233</v>
      </c>
      <c r="S119" s="996">
        <v>0</v>
      </c>
      <c r="T119" s="996">
        <v>0</v>
      </c>
      <c r="U119" s="996"/>
      <c r="V119" s="996">
        <v>2313812</v>
      </c>
      <c r="W119" s="996">
        <v>0</v>
      </c>
      <c r="X119" s="996">
        <v>0</v>
      </c>
      <c r="Y119" s="996">
        <v>0</v>
      </c>
      <c r="Z119" s="996">
        <v>0</v>
      </c>
      <c r="AA119" s="996">
        <v>5350000</v>
      </c>
      <c r="AB119" s="996">
        <v>2313750</v>
      </c>
      <c r="AC119" s="996">
        <v>2438852</v>
      </c>
      <c r="AD119" s="996">
        <v>1737208</v>
      </c>
      <c r="AE119" s="996">
        <v>13252291</v>
      </c>
      <c r="AF119" s="996">
        <v>0</v>
      </c>
      <c r="AG119" s="996">
        <v>457699.99999999994</v>
      </c>
      <c r="AH119" s="996">
        <v>512667</v>
      </c>
      <c r="AI119" s="996">
        <v>0</v>
      </c>
      <c r="AJ119" s="996">
        <v>1693999</v>
      </c>
      <c r="AK119" s="996">
        <v>3858268</v>
      </c>
      <c r="AL119" s="996">
        <v>850000</v>
      </c>
      <c r="AM119" s="996">
        <v>0</v>
      </c>
      <c r="AN119" s="996">
        <v>250899</v>
      </c>
    </row>
    <row r="120" spans="1:44" s="1" customFormat="1">
      <c r="D120" s="900" t="s">
        <v>189</v>
      </c>
      <c r="E120" s="996">
        <v>3000000</v>
      </c>
      <c r="F120" s="996">
        <v>1500000</v>
      </c>
      <c r="G120" s="996">
        <v>1562851</v>
      </c>
      <c r="H120" s="996">
        <v>555079</v>
      </c>
      <c r="I120" s="996">
        <v>0</v>
      </c>
      <c r="J120" s="907">
        <f t="shared" si="0"/>
        <v>6617930</v>
      </c>
      <c r="K120" s="908">
        <f>IFERROR(INDEX('DB(2) Pivots'!$G$257:$G$405,MATCH('Regional DB'!D120,'DB(2) Pivots'!$A$257:$A$405,0)),"")</f>
        <v>1.1698621375894751</v>
      </c>
      <c r="M120" s="943" t="s">
        <v>189</v>
      </c>
      <c r="N120" s="996">
        <v>0</v>
      </c>
      <c r="O120" s="996">
        <v>0</v>
      </c>
      <c r="P120" s="996">
        <v>3000000</v>
      </c>
      <c r="Q120" s="996">
        <v>0</v>
      </c>
      <c r="R120" s="996">
        <v>0</v>
      </c>
      <c r="S120" s="996">
        <v>0</v>
      </c>
      <c r="T120" s="996">
        <v>0</v>
      </c>
      <c r="U120" s="996"/>
      <c r="V120" s="996">
        <v>0</v>
      </c>
      <c r="W120" s="996">
        <v>0</v>
      </c>
      <c r="X120" s="996">
        <v>0</v>
      </c>
      <c r="Y120" s="996">
        <v>0</v>
      </c>
      <c r="Z120" s="996">
        <v>0</v>
      </c>
      <c r="AA120" s="996">
        <v>1500000</v>
      </c>
      <c r="AB120" s="996">
        <v>45600</v>
      </c>
      <c r="AC120" s="996">
        <v>0</v>
      </c>
      <c r="AD120" s="996">
        <v>180490</v>
      </c>
      <c r="AE120" s="996">
        <v>978461</v>
      </c>
      <c r="AF120" s="996">
        <v>0</v>
      </c>
      <c r="AG120" s="996">
        <v>155000</v>
      </c>
      <c r="AH120" s="996">
        <v>203300</v>
      </c>
      <c r="AI120" s="996">
        <v>0</v>
      </c>
      <c r="AJ120" s="996">
        <v>0</v>
      </c>
      <c r="AK120" s="996">
        <v>555079</v>
      </c>
      <c r="AL120" s="996">
        <v>0</v>
      </c>
      <c r="AM120" s="996">
        <v>0</v>
      </c>
      <c r="AN120" s="996">
        <v>0</v>
      </c>
    </row>
    <row r="121" spans="1:44" s="1" customFormat="1">
      <c r="D121" s="900" t="s">
        <v>190</v>
      </c>
      <c r="E121" s="996">
        <v>0</v>
      </c>
      <c r="F121" s="996">
        <v>198193</v>
      </c>
      <c r="G121" s="996">
        <v>0</v>
      </c>
      <c r="H121" s="996">
        <v>0</v>
      </c>
      <c r="I121" s="996">
        <v>0</v>
      </c>
      <c r="J121" s="907">
        <f t="shared" si="0"/>
        <v>198193</v>
      </c>
      <c r="K121" s="908">
        <f>IFERROR(INDEX('DB(2) Pivots'!$G$257:$G$405,MATCH('Regional DB'!D121,'DB(2) Pivots'!$A$257:$A$405,0)),"")</f>
        <v>11.284046914142564</v>
      </c>
      <c r="M121" s="943" t="s">
        <v>190</v>
      </c>
      <c r="N121" s="996">
        <v>0</v>
      </c>
      <c r="O121" s="996">
        <v>0</v>
      </c>
      <c r="P121" s="996">
        <v>0</v>
      </c>
      <c r="Q121" s="996">
        <v>0</v>
      </c>
      <c r="R121" s="996">
        <v>0</v>
      </c>
      <c r="S121" s="996">
        <v>0</v>
      </c>
      <c r="T121" s="996">
        <v>0</v>
      </c>
      <c r="U121" s="996"/>
      <c r="V121" s="996">
        <v>198193</v>
      </c>
      <c r="W121" s="996">
        <v>0</v>
      </c>
      <c r="X121" s="996">
        <v>0</v>
      </c>
      <c r="Y121" s="996">
        <v>0</v>
      </c>
      <c r="Z121" s="996">
        <v>0</v>
      </c>
      <c r="AA121" s="996">
        <v>0</v>
      </c>
      <c r="AB121" s="996">
        <v>0</v>
      </c>
      <c r="AC121" s="996">
        <v>0</v>
      </c>
      <c r="AD121" s="996">
        <v>0</v>
      </c>
      <c r="AE121" s="996">
        <v>0</v>
      </c>
      <c r="AF121" s="996">
        <v>0</v>
      </c>
      <c r="AG121" s="996">
        <v>0</v>
      </c>
      <c r="AH121" s="996">
        <v>0</v>
      </c>
      <c r="AI121" s="996">
        <v>0</v>
      </c>
      <c r="AJ121" s="996">
        <v>0</v>
      </c>
      <c r="AK121" s="996">
        <v>0</v>
      </c>
      <c r="AL121" s="996">
        <v>0</v>
      </c>
      <c r="AM121" s="996">
        <v>0</v>
      </c>
      <c r="AN121" s="996">
        <v>0</v>
      </c>
    </row>
    <row r="122" spans="1:44" s="1" customFormat="1">
      <c r="D122" s="900" t="s">
        <v>191</v>
      </c>
      <c r="E122" s="996">
        <v>0</v>
      </c>
      <c r="F122" s="996">
        <v>550000</v>
      </c>
      <c r="G122" s="996">
        <v>0</v>
      </c>
      <c r="H122" s="996">
        <v>0</v>
      </c>
      <c r="I122" s="996">
        <v>0</v>
      </c>
      <c r="J122" s="907">
        <f t="shared" si="0"/>
        <v>550000</v>
      </c>
      <c r="K122" s="908">
        <f>IFERROR(INDEX('DB(2) Pivots'!$G$257:$G$405,MATCH('Regional DB'!D122,'DB(2) Pivots'!$A$257:$A$405,0)),"")</f>
        <v>0.10702360921360414</v>
      </c>
      <c r="M122" s="943" t="s">
        <v>191</v>
      </c>
      <c r="N122" s="996">
        <v>0</v>
      </c>
      <c r="O122" s="996">
        <v>0</v>
      </c>
      <c r="P122" s="996">
        <v>0</v>
      </c>
      <c r="Q122" s="996">
        <v>0</v>
      </c>
      <c r="R122" s="996">
        <v>0</v>
      </c>
      <c r="S122" s="996">
        <v>0</v>
      </c>
      <c r="T122" s="996">
        <v>0</v>
      </c>
      <c r="U122" s="996"/>
      <c r="V122" s="996">
        <v>0</v>
      </c>
      <c r="W122" s="996">
        <v>0</v>
      </c>
      <c r="X122" s="996">
        <v>0</v>
      </c>
      <c r="Y122" s="996">
        <v>0</v>
      </c>
      <c r="Z122" s="996">
        <v>0</v>
      </c>
      <c r="AA122" s="996">
        <v>550000</v>
      </c>
      <c r="AB122" s="996">
        <v>0</v>
      </c>
      <c r="AC122" s="996">
        <v>0</v>
      </c>
      <c r="AD122" s="996">
        <v>0</v>
      </c>
      <c r="AE122" s="996">
        <v>0</v>
      </c>
      <c r="AF122" s="996">
        <v>0</v>
      </c>
      <c r="AG122" s="996">
        <v>0</v>
      </c>
      <c r="AH122" s="996">
        <v>0</v>
      </c>
      <c r="AI122" s="996">
        <v>0</v>
      </c>
      <c r="AJ122" s="996">
        <v>0</v>
      </c>
      <c r="AK122" s="996">
        <v>0</v>
      </c>
      <c r="AL122" s="996">
        <v>0</v>
      </c>
      <c r="AM122" s="996">
        <v>0</v>
      </c>
      <c r="AN122" s="996">
        <v>0</v>
      </c>
    </row>
    <row r="123" spans="1:44" s="1" customFormat="1">
      <c r="D123" s="900" t="s">
        <v>192</v>
      </c>
      <c r="E123" s="996">
        <v>31900000</v>
      </c>
      <c r="F123" s="996">
        <v>4476000</v>
      </c>
      <c r="G123" s="996">
        <v>4859663.2740740739</v>
      </c>
      <c r="H123" s="996">
        <v>1677055</v>
      </c>
      <c r="I123" s="996">
        <v>2175541</v>
      </c>
      <c r="J123" s="907">
        <f t="shared" si="0"/>
        <v>45088259.274074078</v>
      </c>
      <c r="K123" s="908">
        <f>IFERROR(INDEX('DB(2) Pivots'!$G$257:$G$405,MATCH('Regional DB'!D123,'DB(2) Pivots'!$A$257:$A$405,0)),"")</f>
        <v>1.6666251789759547</v>
      </c>
      <c r="M123" s="943" t="s">
        <v>192</v>
      </c>
      <c r="N123" s="996">
        <v>0</v>
      </c>
      <c r="O123" s="996">
        <v>0</v>
      </c>
      <c r="P123" s="996">
        <v>31900000</v>
      </c>
      <c r="Q123" s="996">
        <v>0</v>
      </c>
      <c r="R123" s="996">
        <v>0</v>
      </c>
      <c r="S123" s="996">
        <v>0</v>
      </c>
      <c r="T123" s="996">
        <v>0</v>
      </c>
      <c r="U123" s="996"/>
      <c r="V123" s="996">
        <v>0</v>
      </c>
      <c r="W123" s="996">
        <v>0</v>
      </c>
      <c r="X123" s="996">
        <v>0</v>
      </c>
      <c r="Y123" s="996">
        <v>0</v>
      </c>
      <c r="Z123" s="996">
        <v>0</v>
      </c>
      <c r="AA123" s="996">
        <v>4476000</v>
      </c>
      <c r="AB123" s="996">
        <v>400000</v>
      </c>
      <c r="AC123" s="996">
        <v>1000526</v>
      </c>
      <c r="AD123" s="996">
        <v>664320</v>
      </c>
      <c r="AE123" s="996">
        <v>2628307</v>
      </c>
      <c r="AF123" s="996">
        <v>0</v>
      </c>
      <c r="AG123" s="996">
        <v>74074.074074074073</v>
      </c>
      <c r="AH123" s="996">
        <v>92436.2</v>
      </c>
      <c r="AI123" s="996">
        <v>0</v>
      </c>
      <c r="AJ123" s="996">
        <v>0</v>
      </c>
      <c r="AK123" s="996">
        <v>1677055</v>
      </c>
      <c r="AL123" s="996">
        <v>1500000</v>
      </c>
      <c r="AM123" s="996">
        <v>675541</v>
      </c>
      <c r="AN123" s="996">
        <v>0</v>
      </c>
    </row>
    <row r="124" spans="1:44" s="1" customFormat="1">
      <c r="D124" s="900" t="s">
        <v>147</v>
      </c>
      <c r="E124" s="996">
        <v>0</v>
      </c>
      <c r="F124" s="996">
        <v>715090</v>
      </c>
      <c r="G124" s="996">
        <v>0</v>
      </c>
      <c r="H124" s="996">
        <v>500000</v>
      </c>
      <c r="I124" s="996">
        <v>0</v>
      </c>
      <c r="J124" s="911">
        <f t="shared" si="0"/>
        <v>1215090</v>
      </c>
      <c r="K124" s="912">
        <f>IFERROR(INDEX('DB(2) Pivots'!$G$257:$G$405,MATCH('Regional DB'!D124,'DB(2) Pivots'!$A$257:$A$405,0)),"")</f>
        <v>0.10736383607048131</v>
      </c>
      <c r="M124" s="943" t="s">
        <v>147</v>
      </c>
      <c r="N124" s="996">
        <v>0</v>
      </c>
      <c r="O124" s="996">
        <v>0</v>
      </c>
      <c r="P124" s="996">
        <v>0</v>
      </c>
      <c r="Q124" s="996">
        <v>0</v>
      </c>
      <c r="R124" s="996">
        <v>0</v>
      </c>
      <c r="S124" s="996">
        <v>0</v>
      </c>
      <c r="T124" s="996">
        <v>715090</v>
      </c>
      <c r="U124" s="996"/>
      <c r="V124" s="996">
        <v>0</v>
      </c>
      <c r="W124" s="996">
        <v>0</v>
      </c>
      <c r="X124" s="996">
        <v>0</v>
      </c>
      <c r="Y124" s="996">
        <v>0</v>
      </c>
      <c r="Z124" s="996">
        <v>0</v>
      </c>
      <c r="AA124" s="996">
        <v>0</v>
      </c>
      <c r="AB124" s="996">
        <v>0</v>
      </c>
      <c r="AC124" s="996">
        <v>0</v>
      </c>
      <c r="AD124" s="996">
        <v>0</v>
      </c>
      <c r="AE124" s="996">
        <v>0</v>
      </c>
      <c r="AF124" s="996">
        <v>0</v>
      </c>
      <c r="AG124" s="996">
        <v>0</v>
      </c>
      <c r="AH124" s="996">
        <v>0</v>
      </c>
      <c r="AI124" s="996">
        <v>0</v>
      </c>
      <c r="AJ124" s="996">
        <v>0</v>
      </c>
      <c r="AK124" s="996">
        <v>500000</v>
      </c>
      <c r="AL124" s="996">
        <v>0</v>
      </c>
      <c r="AM124" s="996">
        <v>0</v>
      </c>
      <c r="AN124" s="996">
        <v>0</v>
      </c>
    </row>
    <row r="125" spans="1:44">
      <c r="A125" s="1"/>
      <c r="B125" s="1"/>
      <c r="C125" s="1"/>
      <c r="D125" s="900" t="s">
        <v>194</v>
      </c>
      <c r="E125" s="996">
        <v>0</v>
      </c>
      <c r="F125" s="996">
        <v>1192553</v>
      </c>
      <c r="G125" s="996">
        <v>1376875.4814814813</v>
      </c>
      <c r="H125" s="996">
        <v>0</v>
      </c>
      <c r="I125" s="996">
        <v>0</v>
      </c>
      <c r="J125" s="907">
        <f t="shared" si="0"/>
        <v>2569428.4814814813</v>
      </c>
      <c r="K125" s="908">
        <f>IFERROR(INDEX('DB(2) Pivots'!$G$257:$G$405,MATCH('Regional DB'!D125,'DB(2) Pivots'!$A$257:$A$405,0)),"")</f>
        <v>2.5637958220604147</v>
      </c>
      <c r="L125" s="1"/>
      <c r="M125" s="943" t="s">
        <v>194</v>
      </c>
      <c r="N125" s="996">
        <v>0</v>
      </c>
      <c r="O125" s="996">
        <v>0</v>
      </c>
      <c r="P125" s="996">
        <v>0</v>
      </c>
      <c r="Q125" s="996">
        <v>0</v>
      </c>
      <c r="R125" s="996">
        <v>0</v>
      </c>
      <c r="S125" s="996">
        <v>0</v>
      </c>
      <c r="T125" s="996">
        <v>0</v>
      </c>
      <c r="U125" s="996"/>
      <c r="V125" s="996">
        <v>92553</v>
      </c>
      <c r="W125" s="996">
        <v>0</v>
      </c>
      <c r="X125" s="996">
        <v>0</v>
      </c>
      <c r="Y125" s="996">
        <v>0</v>
      </c>
      <c r="Z125" s="996">
        <v>0</v>
      </c>
      <c r="AA125" s="996">
        <v>1100000</v>
      </c>
      <c r="AB125" s="996">
        <v>40000</v>
      </c>
      <c r="AC125" s="996">
        <v>0</v>
      </c>
      <c r="AD125" s="996">
        <v>0</v>
      </c>
      <c r="AE125" s="996">
        <v>978421</v>
      </c>
      <c r="AF125" s="996">
        <v>0</v>
      </c>
      <c r="AG125" s="996">
        <v>168981.48148148146</v>
      </c>
      <c r="AH125" s="996">
        <v>189473</v>
      </c>
      <c r="AI125" s="996">
        <v>0</v>
      </c>
      <c r="AJ125" s="996">
        <v>0</v>
      </c>
      <c r="AK125" s="996">
        <v>0</v>
      </c>
      <c r="AL125" s="996">
        <v>0</v>
      </c>
      <c r="AM125" s="996">
        <v>0</v>
      </c>
      <c r="AN125" s="996">
        <v>0</v>
      </c>
      <c r="AO125" s="1"/>
      <c r="AP125" s="1"/>
      <c r="AQ125" s="1"/>
      <c r="AR125" s="1"/>
    </row>
    <row r="126" spans="1:44">
      <c r="A126" s="1"/>
      <c r="B126" s="1"/>
      <c r="C126" s="1"/>
      <c r="D126" s="900" t="s">
        <v>195</v>
      </c>
      <c r="E126" s="996">
        <v>0</v>
      </c>
      <c r="F126" s="996">
        <v>0</v>
      </c>
      <c r="G126" s="996">
        <v>480000.03</v>
      </c>
      <c r="H126" s="996">
        <v>75000</v>
      </c>
      <c r="I126" s="996">
        <v>0</v>
      </c>
      <c r="J126" s="907">
        <f t="shared" si="0"/>
        <v>555000.03</v>
      </c>
      <c r="K126" s="908">
        <f>IFERROR(INDEX('DB(2) Pivots'!$G$257:$G$405,MATCH('Regional DB'!D126,'DB(2) Pivots'!$A$257:$A$405,0)),"")</f>
        <v>7.7486915183246081</v>
      </c>
      <c r="L126" s="1"/>
      <c r="M126" s="943" t="s">
        <v>195</v>
      </c>
      <c r="N126" s="996">
        <v>0</v>
      </c>
      <c r="O126" s="996">
        <v>0</v>
      </c>
      <c r="P126" s="996">
        <v>0</v>
      </c>
      <c r="Q126" s="996">
        <v>0</v>
      </c>
      <c r="R126" s="996">
        <v>0</v>
      </c>
      <c r="S126" s="996">
        <v>0</v>
      </c>
      <c r="T126" s="996">
        <v>0</v>
      </c>
      <c r="U126" s="996"/>
      <c r="V126" s="996">
        <v>0</v>
      </c>
      <c r="W126" s="996">
        <v>0</v>
      </c>
      <c r="X126" s="996">
        <v>0</v>
      </c>
      <c r="Y126" s="996">
        <v>0</v>
      </c>
      <c r="Z126" s="996">
        <v>0</v>
      </c>
      <c r="AA126" s="996">
        <v>0</v>
      </c>
      <c r="AB126" s="996">
        <v>0</v>
      </c>
      <c r="AC126" s="996">
        <v>0</v>
      </c>
      <c r="AD126" s="996">
        <v>0</v>
      </c>
      <c r="AE126" s="996">
        <v>230000</v>
      </c>
      <c r="AF126" s="996">
        <v>200000</v>
      </c>
      <c r="AG126" s="996">
        <v>0</v>
      </c>
      <c r="AH126" s="996">
        <v>50000.030000000006</v>
      </c>
      <c r="AI126" s="996">
        <v>0</v>
      </c>
      <c r="AJ126" s="996">
        <v>0</v>
      </c>
      <c r="AK126" s="996">
        <v>75000</v>
      </c>
      <c r="AL126" s="996">
        <v>0</v>
      </c>
      <c r="AM126" s="996">
        <v>0</v>
      </c>
      <c r="AN126" s="996">
        <v>0</v>
      </c>
      <c r="AO126" s="1"/>
      <c r="AP126" s="1"/>
      <c r="AQ126" s="1"/>
      <c r="AR126" s="1"/>
    </row>
    <row r="127" spans="1:44" ht="31">
      <c r="A127" s="1"/>
      <c r="B127" s="1"/>
      <c r="C127" s="1"/>
      <c r="D127" s="900" t="s">
        <v>196</v>
      </c>
      <c r="E127" s="996">
        <v>360305</v>
      </c>
      <c r="F127" s="996">
        <v>241451</v>
      </c>
      <c r="G127" s="996">
        <v>0</v>
      </c>
      <c r="H127" s="996">
        <v>200000</v>
      </c>
      <c r="I127" s="996">
        <v>0</v>
      </c>
      <c r="J127" s="907">
        <f t="shared" si="0"/>
        <v>801756</v>
      </c>
      <c r="K127" s="908">
        <f>IFERROR(INDEX('DB(2) Pivots'!$G$257:$G$405,MATCH('Regional DB'!D127,'DB(2) Pivots'!$A$257:$A$405,0)),"")</f>
        <v>7.3194899921615625E-2</v>
      </c>
      <c r="L127" s="1"/>
      <c r="M127" s="943" t="s">
        <v>196</v>
      </c>
      <c r="N127" s="996">
        <v>0</v>
      </c>
      <c r="O127" s="996">
        <v>360305</v>
      </c>
      <c r="P127" s="996">
        <v>0</v>
      </c>
      <c r="Q127" s="996">
        <v>0</v>
      </c>
      <c r="R127" s="996">
        <v>0</v>
      </c>
      <c r="S127" s="996">
        <v>0</v>
      </c>
      <c r="T127" s="996">
        <v>0</v>
      </c>
      <c r="U127" s="996"/>
      <c r="V127" s="996">
        <v>0</v>
      </c>
      <c r="W127" s="996">
        <v>0</v>
      </c>
      <c r="X127" s="996">
        <v>0</v>
      </c>
      <c r="Y127" s="996">
        <v>0</v>
      </c>
      <c r="Z127" s="996">
        <v>0</v>
      </c>
      <c r="AA127" s="996">
        <v>241451</v>
      </c>
      <c r="AB127" s="996">
        <v>0</v>
      </c>
      <c r="AC127" s="996">
        <v>0</v>
      </c>
      <c r="AD127" s="996">
        <v>0</v>
      </c>
      <c r="AE127" s="996">
        <v>0</v>
      </c>
      <c r="AF127" s="996">
        <v>0</v>
      </c>
      <c r="AG127" s="996">
        <v>0</v>
      </c>
      <c r="AH127" s="996">
        <v>0</v>
      </c>
      <c r="AI127" s="996">
        <v>0</v>
      </c>
      <c r="AJ127" s="996">
        <v>0</v>
      </c>
      <c r="AK127" s="996">
        <v>200000</v>
      </c>
      <c r="AL127" s="996">
        <v>0</v>
      </c>
      <c r="AM127" s="996">
        <v>0</v>
      </c>
      <c r="AN127" s="996">
        <v>0</v>
      </c>
      <c r="AO127" s="1"/>
      <c r="AP127" s="1"/>
      <c r="AQ127" s="1"/>
      <c r="AR127" s="1"/>
    </row>
    <row r="128" spans="1:44">
      <c r="A128" s="1"/>
      <c r="B128" s="1"/>
      <c r="C128" s="1"/>
      <c r="D128" s="900" t="s">
        <v>197</v>
      </c>
      <c r="E128" s="996">
        <v>30773947</v>
      </c>
      <c r="F128" s="996">
        <v>3320000</v>
      </c>
      <c r="G128" s="996">
        <v>0</v>
      </c>
      <c r="H128" s="996">
        <v>0</v>
      </c>
      <c r="I128" s="996">
        <v>0</v>
      </c>
      <c r="J128" s="907">
        <f t="shared" si="0"/>
        <v>34093947</v>
      </c>
      <c r="K128" s="908">
        <f>IFERROR(INDEX('DB(2) Pivots'!$G$257:$G$405,MATCH('Regional DB'!D128,'DB(2) Pivots'!$A$257:$A$405,0)),"")</f>
        <v>1.9059170167337918</v>
      </c>
      <c r="L128" s="1"/>
      <c r="M128" s="943" t="s">
        <v>197</v>
      </c>
      <c r="N128" s="996">
        <v>0</v>
      </c>
      <c r="O128" s="996">
        <v>673947</v>
      </c>
      <c r="P128" s="996">
        <v>30100000</v>
      </c>
      <c r="Q128" s="996">
        <v>0</v>
      </c>
      <c r="R128" s="996">
        <v>0</v>
      </c>
      <c r="S128" s="996">
        <v>0</v>
      </c>
      <c r="T128" s="996">
        <v>0</v>
      </c>
      <c r="U128" s="996"/>
      <c r="V128" s="996">
        <v>0</v>
      </c>
      <c r="W128" s="996">
        <v>0</v>
      </c>
      <c r="X128" s="996">
        <v>0</v>
      </c>
      <c r="Y128" s="996">
        <v>0</v>
      </c>
      <c r="Z128" s="996">
        <v>0</v>
      </c>
      <c r="AA128" s="996">
        <v>3320000</v>
      </c>
      <c r="AB128" s="996">
        <v>0</v>
      </c>
      <c r="AC128" s="996">
        <v>0</v>
      </c>
      <c r="AD128" s="996">
        <v>0</v>
      </c>
      <c r="AE128" s="996">
        <v>0</v>
      </c>
      <c r="AF128" s="996">
        <v>0</v>
      </c>
      <c r="AG128" s="996">
        <v>0</v>
      </c>
      <c r="AH128" s="996">
        <v>0</v>
      </c>
      <c r="AI128" s="996">
        <v>0</v>
      </c>
      <c r="AJ128" s="996">
        <v>0</v>
      </c>
      <c r="AK128" s="996">
        <v>0</v>
      </c>
      <c r="AL128" s="996">
        <v>0</v>
      </c>
      <c r="AM128" s="996">
        <v>0</v>
      </c>
      <c r="AN128" s="996">
        <v>0</v>
      </c>
      <c r="AO128" s="1"/>
      <c r="AP128" s="1"/>
      <c r="AQ128" s="1"/>
      <c r="AR128" s="1"/>
    </row>
    <row r="129" spans="1:44">
      <c r="A129" s="1"/>
      <c r="B129" s="1"/>
      <c r="C129" s="1"/>
      <c r="D129" s="900" t="s">
        <v>198</v>
      </c>
      <c r="E129" s="996">
        <v>0</v>
      </c>
      <c r="F129" s="996">
        <v>6946200</v>
      </c>
      <c r="G129" s="996">
        <v>9780958.3703703713</v>
      </c>
      <c r="H129" s="996">
        <v>1458302</v>
      </c>
      <c r="I129" s="996">
        <v>92593</v>
      </c>
      <c r="J129" s="907">
        <f t="shared" si="0"/>
        <v>18278053.370370373</v>
      </c>
      <c r="K129" s="908">
        <f>IFERROR(INDEX('DB(2) Pivots'!$G$257:$G$405,MATCH('Regional DB'!D129,'DB(2) Pivots'!$A$257:$A$405,0)),"")</f>
        <v>0.17531504577442886</v>
      </c>
      <c r="L129" s="1"/>
      <c r="M129" s="943" t="s">
        <v>198</v>
      </c>
      <c r="N129" s="996">
        <v>0</v>
      </c>
      <c r="O129" s="996">
        <v>0</v>
      </c>
      <c r="P129" s="996">
        <v>0</v>
      </c>
      <c r="Q129" s="996">
        <v>0</v>
      </c>
      <c r="R129" s="996">
        <v>0</v>
      </c>
      <c r="S129" s="996">
        <v>0</v>
      </c>
      <c r="T129" s="996">
        <v>0</v>
      </c>
      <c r="U129" s="996"/>
      <c r="V129" s="996">
        <v>1546200</v>
      </c>
      <c r="W129" s="996">
        <v>0</v>
      </c>
      <c r="X129" s="996">
        <v>0</v>
      </c>
      <c r="Y129" s="996">
        <v>0</v>
      </c>
      <c r="Z129" s="996">
        <v>0</v>
      </c>
      <c r="AA129" s="996">
        <v>5400000</v>
      </c>
      <c r="AB129" s="996">
        <v>70000</v>
      </c>
      <c r="AC129" s="996">
        <v>0</v>
      </c>
      <c r="AD129" s="996">
        <v>1466837</v>
      </c>
      <c r="AE129" s="996">
        <v>4499931</v>
      </c>
      <c r="AF129" s="996">
        <v>3628370</v>
      </c>
      <c r="AG129" s="996">
        <v>70820.370370370365</v>
      </c>
      <c r="AH129" s="996">
        <v>45000</v>
      </c>
      <c r="AI129" s="996">
        <v>0</v>
      </c>
      <c r="AJ129" s="996">
        <v>0</v>
      </c>
      <c r="AK129" s="996">
        <v>1458302</v>
      </c>
      <c r="AL129" s="996">
        <v>0</v>
      </c>
      <c r="AM129" s="996">
        <v>0</v>
      </c>
      <c r="AN129" s="996">
        <v>92593</v>
      </c>
      <c r="AO129" s="1"/>
      <c r="AP129" s="1"/>
      <c r="AQ129" s="1"/>
      <c r="AR129" s="1"/>
    </row>
    <row r="130" spans="1:44">
      <c r="A130" s="1"/>
      <c r="B130" s="1"/>
      <c r="C130" s="1"/>
      <c r="D130" s="900" t="s">
        <v>199</v>
      </c>
      <c r="E130" s="996">
        <v>46000000</v>
      </c>
      <c r="F130" s="996">
        <v>2840000</v>
      </c>
      <c r="G130" s="996">
        <v>1795214</v>
      </c>
      <c r="H130" s="996">
        <v>300000</v>
      </c>
      <c r="I130" s="996">
        <v>0</v>
      </c>
      <c r="J130" s="907">
        <f t="shared" si="0"/>
        <v>50935214</v>
      </c>
      <c r="K130" s="908">
        <f>IFERROR(INDEX('DB(2) Pivots'!$G$257:$G$405,MATCH('Regional DB'!D130,'DB(2) Pivots'!$A$257:$A$405,0)),"")</f>
        <v>7.8139470737132779</v>
      </c>
      <c r="L130" s="1"/>
      <c r="M130" s="943" t="s">
        <v>199</v>
      </c>
      <c r="N130" s="996">
        <v>0</v>
      </c>
      <c r="O130" s="996">
        <v>20000000</v>
      </c>
      <c r="P130" s="996">
        <v>26000000</v>
      </c>
      <c r="Q130" s="996">
        <v>0</v>
      </c>
      <c r="R130" s="996">
        <v>0</v>
      </c>
      <c r="S130" s="996">
        <v>40000</v>
      </c>
      <c r="T130" s="996">
        <v>0</v>
      </c>
      <c r="U130" s="996"/>
      <c r="V130" s="996">
        <v>0</v>
      </c>
      <c r="W130" s="996">
        <v>0</v>
      </c>
      <c r="X130" s="996">
        <v>0</v>
      </c>
      <c r="Y130" s="996">
        <v>0</v>
      </c>
      <c r="Z130" s="996">
        <v>0</v>
      </c>
      <c r="AA130" s="996">
        <v>2800000</v>
      </c>
      <c r="AB130" s="996">
        <v>135000</v>
      </c>
      <c r="AC130" s="996">
        <v>0</v>
      </c>
      <c r="AD130" s="996">
        <v>158796</v>
      </c>
      <c r="AE130" s="996">
        <v>279812</v>
      </c>
      <c r="AF130" s="996">
        <v>1191606</v>
      </c>
      <c r="AG130" s="996">
        <v>0</v>
      </c>
      <c r="AH130" s="996">
        <v>30000.000000000007</v>
      </c>
      <c r="AI130" s="996">
        <v>0</v>
      </c>
      <c r="AJ130" s="996">
        <v>0</v>
      </c>
      <c r="AK130" s="996">
        <v>300000</v>
      </c>
      <c r="AL130" s="996">
        <v>0</v>
      </c>
      <c r="AM130" s="996">
        <v>0</v>
      </c>
      <c r="AN130" s="996">
        <v>0</v>
      </c>
      <c r="AO130" s="1"/>
      <c r="AP130" s="1"/>
      <c r="AQ130" s="1"/>
      <c r="AR130" s="1"/>
    </row>
    <row r="131" spans="1:44" ht="31">
      <c r="A131" s="1"/>
      <c r="B131" s="1"/>
      <c r="C131" s="1"/>
      <c r="D131" s="900" t="s">
        <v>200</v>
      </c>
      <c r="E131" s="996">
        <v>0</v>
      </c>
      <c r="F131" s="996">
        <v>0</v>
      </c>
      <c r="G131" s="996">
        <v>0</v>
      </c>
      <c r="H131" s="996">
        <v>0</v>
      </c>
      <c r="I131" s="996">
        <v>0</v>
      </c>
      <c r="J131" s="907" t="str">
        <f t="shared" si="0"/>
        <v/>
      </c>
      <c r="K131" s="908">
        <f>IFERROR(INDEX('DB(2) Pivots'!$G$257:$G$405,MATCH('Regional DB'!D131,'DB(2) Pivots'!$A$257:$A$405,0)),"")</f>
        <v>0</v>
      </c>
      <c r="L131" s="1"/>
      <c r="M131" s="943" t="s">
        <v>200</v>
      </c>
      <c r="N131" s="996">
        <v>0</v>
      </c>
      <c r="O131" s="996">
        <v>0</v>
      </c>
      <c r="P131" s="996">
        <v>0</v>
      </c>
      <c r="Q131" s="996">
        <v>0</v>
      </c>
      <c r="R131" s="996">
        <v>0</v>
      </c>
      <c r="S131" s="996">
        <v>0</v>
      </c>
      <c r="T131" s="996">
        <v>0</v>
      </c>
      <c r="U131" s="996"/>
      <c r="V131" s="996">
        <v>0</v>
      </c>
      <c r="W131" s="996">
        <v>0</v>
      </c>
      <c r="X131" s="996">
        <v>0</v>
      </c>
      <c r="Y131" s="996">
        <v>0</v>
      </c>
      <c r="Z131" s="996">
        <v>0</v>
      </c>
      <c r="AA131" s="996">
        <v>0</v>
      </c>
      <c r="AB131" s="996">
        <v>0</v>
      </c>
      <c r="AC131" s="996">
        <v>0</v>
      </c>
      <c r="AD131" s="996">
        <v>0</v>
      </c>
      <c r="AE131" s="996">
        <v>0</v>
      </c>
      <c r="AF131" s="996">
        <v>0</v>
      </c>
      <c r="AG131" s="996">
        <v>0</v>
      </c>
      <c r="AH131" s="996">
        <v>0</v>
      </c>
      <c r="AI131" s="996">
        <v>0</v>
      </c>
      <c r="AJ131" s="996">
        <v>0</v>
      </c>
      <c r="AK131" s="996">
        <v>0</v>
      </c>
      <c r="AL131" s="996">
        <v>0</v>
      </c>
      <c r="AM131" s="996">
        <v>0</v>
      </c>
      <c r="AN131" s="996">
        <v>0</v>
      </c>
      <c r="AO131" s="1"/>
      <c r="AP131" s="1"/>
      <c r="AQ131" s="1"/>
      <c r="AR131" s="1"/>
    </row>
    <row r="132" spans="1:44">
      <c r="A132" s="1"/>
      <c r="B132" s="1"/>
      <c r="C132" s="1"/>
      <c r="D132" s="900" t="s">
        <v>201</v>
      </c>
      <c r="E132" s="996">
        <v>0</v>
      </c>
      <c r="F132" s="996">
        <v>0</v>
      </c>
      <c r="G132" s="996">
        <v>357784.62962962961</v>
      </c>
      <c r="H132" s="996">
        <v>0</v>
      </c>
      <c r="I132" s="996">
        <v>0</v>
      </c>
      <c r="J132" s="907">
        <f t="shared" si="0"/>
        <v>357784.62962962961</v>
      </c>
      <c r="K132" s="908">
        <f>IFERROR(INDEX('DB(2) Pivots'!$G$257:$G$405,MATCH('Regional DB'!D132,'DB(2) Pivots'!$A$257:$A$405,0)),"")</f>
        <v>9.9344274527852744E-2</v>
      </c>
      <c r="L132" s="1"/>
      <c r="M132" s="943" t="s">
        <v>201</v>
      </c>
      <c r="N132" s="996">
        <v>0</v>
      </c>
      <c r="O132" s="996">
        <v>0</v>
      </c>
      <c r="P132" s="996">
        <v>0</v>
      </c>
      <c r="Q132" s="996">
        <v>0</v>
      </c>
      <c r="R132" s="996">
        <v>0</v>
      </c>
      <c r="S132" s="996">
        <v>0</v>
      </c>
      <c r="T132" s="996">
        <v>0</v>
      </c>
      <c r="U132" s="996"/>
      <c r="V132" s="996">
        <v>0</v>
      </c>
      <c r="W132" s="996">
        <v>0</v>
      </c>
      <c r="X132" s="996">
        <v>0</v>
      </c>
      <c r="Y132" s="996">
        <v>0</v>
      </c>
      <c r="Z132" s="996">
        <v>0</v>
      </c>
      <c r="AA132" s="996">
        <v>0</v>
      </c>
      <c r="AB132" s="996">
        <v>0</v>
      </c>
      <c r="AC132" s="996">
        <v>0</v>
      </c>
      <c r="AD132" s="996">
        <v>0</v>
      </c>
      <c r="AE132" s="996">
        <v>0</v>
      </c>
      <c r="AF132" s="996">
        <v>0</v>
      </c>
      <c r="AG132" s="996">
        <v>174129.62962962961</v>
      </c>
      <c r="AH132" s="996">
        <v>183655</v>
      </c>
      <c r="AI132" s="996">
        <v>0</v>
      </c>
      <c r="AJ132" s="996">
        <v>0</v>
      </c>
      <c r="AK132" s="996">
        <v>0</v>
      </c>
      <c r="AL132" s="996">
        <v>0</v>
      </c>
      <c r="AM132" s="996">
        <v>0</v>
      </c>
      <c r="AN132" s="996">
        <v>0</v>
      </c>
      <c r="AO132" s="1"/>
      <c r="AP132" s="1"/>
      <c r="AQ132" s="1"/>
      <c r="AR132" s="1"/>
    </row>
    <row r="133" spans="1:44">
      <c r="A133" s="1"/>
      <c r="B133" s="1"/>
      <c r="C133" s="1"/>
      <c r="D133" s="900" t="s">
        <v>202</v>
      </c>
      <c r="E133" s="996">
        <v>3700000</v>
      </c>
      <c r="F133" s="996">
        <v>2759293</v>
      </c>
      <c r="G133" s="996">
        <v>601313</v>
      </c>
      <c r="H133" s="996">
        <v>1549659</v>
      </c>
      <c r="I133" s="996">
        <v>401732</v>
      </c>
      <c r="J133" s="907">
        <f t="shared" si="0"/>
        <v>9011997</v>
      </c>
      <c r="K133" s="908">
        <f>IFERROR(INDEX('DB(2) Pivots'!$G$257:$G$405,MATCH('Regional DB'!D133,'DB(2) Pivots'!$A$257:$A$405,0)),"")</f>
        <v>7.6869970120329008</v>
      </c>
      <c r="L133" s="1"/>
      <c r="M133" s="943" t="s">
        <v>202</v>
      </c>
      <c r="N133" s="996">
        <v>0</v>
      </c>
      <c r="O133" s="996">
        <v>0</v>
      </c>
      <c r="P133" s="996">
        <v>3700000</v>
      </c>
      <c r="Q133" s="996">
        <v>0</v>
      </c>
      <c r="R133" s="996">
        <v>0</v>
      </c>
      <c r="S133" s="996">
        <v>0</v>
      </c>
      <c r="T133" s="996">
        <v>0</v>
      </c>
      <c r="U133" s="996"/>
      <c r="V133" s="996">
        <v>109293</v>
      </c>
      <c r="W133" s="996">
        <v>0</v>
      </c>
      <c r="X133" s="996">
        <v>0</v>
      </c>
      <c r="Y133" s="996">
        <v>0</v>
      </c>
      <c r="Z133" s="996">
        <v>0</v>
      </c>
      <c r="AA133" s="996">
        <v>2650000</v>
      </c>
      <c r="AB133" s="996">
        <v>40000</v>
      </c>
      <c r="AC133" s="996">
        <v>0</v>
      </c>
      <c r="AD133" s="996">
        <v>50213</v>
      </c>
      <c r="AE133" s="996">
        <v>230000</v>
      </c>
      <c r="AF133" s="996">
        <v>230000</v>
      </c>
      <c r="AG133" s="996">
        <v>26100</v>
      </c>
      <c r="AH133" s="996">
        <v>25000</v>
      </c>
      <c r="AI133" s="996">
        <v>0</v>
      </c>
      <c r="AJ133" s="996">
        <v>783159</v>
      </c>
      <c r="AK133" s="996">
        <v>766500</v>
      </c>
      <c r="AL133" s="996">
        <v>0</v>
      </c>
      <c r="AM133" s="996">
        <v>401732</v>
      </c>
      <c r="AN133" s="996">
        <v>0</v>
      </c>
      <c r="AO133" s="1"/>
      <c r="AP133" s="1"/>
      <c r="AQ133" s="1"/>
      <c r="AR133" s="1"/>
    </row>
    <row r="134" spans="1:44">
      <c r="A134" s="1"/>
      <c r="B134" s="1"/>
      <c r="C134" s="1"/>
      <c r="D134" s="900" t="s">
        <v>203</v>
      </c>
      <c r="E134" s="996">
        <v>167200000</v>
      </c>
      <c r="F134" s="996">
        <v>8243285</v>
      </c>
      <c r="G134" s="996">
        <v>18764494.777777776</v>
      </c>
      <c r="H134" s="996">
        <v>5566137</v>
      </c>
      <c r="I134" s="996">
        <v>4713948</v>
      </c>
      <c r="J134" s="907">
        <f t="shared" si="0"/>
        <v>204487864.77777779</v>
      </c>
      <c r="K134" s="908">
        <f>IFERROR(INDEX('DB(2) Pivots'!$G$257:$G$405,MATCH('Regional DB'!D134,'DB(2) Pivots'!$A$257:$A$405,0)),"")</f>
        <v>1.7347676602555786</v>
      </c>
      <c r="L134" s="1"/>
      <c r="M134" s="943" t="s">
        <v>203</v>
      </c>
      <c r="N134" s="996">
        <v>0</v>
      </c>
      <c r="O134" s="996">
        <v>0</v>
      </c>
      <c r="P134" s="996">
        <v>167200000</v>
      </c>
      <c r="Q134" s="996">
        <v>0</v>
      </c>
      <c r="R134" s="996">
        <v>0</v>
      </c>
      <c r="S134" s="996">
        <v>0</v>
      </c>
      <c r="T134" s="996">
        <v>0</v>
      </c>
      <c r="U134" s="996"/>
      <c r="V134" s="996">
        <v>1343285</v>
      </c>
      <c r="W134" s="996">
        <v>0</v>
      </c>
      <c r="X134" s="996">
        <v>0</v>
      </c>
      <c r="Y134" s="996">
        <v>0</v>
      </c>
      <c r="Z134" s="996">
        <v>0</v>
      </c>
      <c r="AA134" s="996">
        <v>6900000</v>
      </c>
      <c r="AB134" s="996">
        <v>842209</v>
      </c>
      <c r="AC134" s="996">
        <v>0</v>
      </c>
      <c r="AD134" s="996">
        <v>2119570</v>
      </c>
      <c r="AE134" s="996">
        <v>15000000</v>
      </c>
      <c r="AF134" s="996">
        <v>0</v>
      </c>
      <c r="AG134" s="996">
        <v>268302.77777777775</v>
      </c>
      <c r="AH134" s="996">
        <v>534413</v>
      </c>
      <c r="AI134" s="996">
        <v>0</v>
      </c>
      <c r="AJ134" s="996">
        <v>2791137</v>
      </c>
      <c r="AK134" s="996">
        <v>2775000</v>
      </c>
      <c r="AL134" s="996">
        <v>3158000</v>
      </c>
      <c r="AM134" s="996">
        <v>1101933</v>
      </c>
      <c r="AN134" s="996">
        <v>454015</v>
      </c>
      <c r="AO134" s="1"/>
      <c r="AP134" s="1"/>
      <c r="AQ134" s="1"/>
      <c r="AR134" s="1"/>
    </row>
    <row r="135" spans="1:44">
      <c r="A135" s="1"/>
      <c r="B135" s="1"/>
      <c r="C135" s="1"/>
      <c r="D135" s="900" t="s">
        <v>204</v>
      </c>
      <c r="E135" s="996">
        <v>0</v>
      </c>
      <c r="F135" s="996">
        <v>3139730</v>
      </c>
      <c r="G135" s="996">
        <v>531750</v>
      </c>
      <c r="H135" s="996">
        <v>400000</v>
      </c>
      <c r="I135" s="996">
        <v>226328</v>
      </c>
      <c r="J135" s="907">
        <f t="shared" si="0"/>
        <v>4297808</v>
      </c>
      <c r="K135" s="908">
        <f>IFERROR(INDEX('DB(2) Pivots'!$G$257:$G$405,MATCH('Regional DB'!D135,'DB(2) Pivots'!$A$257:$A$405,0)),"")</f>
        <v>4.7600097020818497</v>
      </c>
      <c r="L135" s="1"/>
      <c r="M135" s="943" t="s">
        <v>204</v>
      </c>
      <c r="N135" s="996">
        <v>0</v>
      </c>
      <c r="O135" s="996">
        <v>0</v>
      </c>
      <c r="P135" s="996">
        <v>0</v>
      </c>
      <c r="Q135" s="996">
        <v>0</v>
      </c>
      <c r="R135" s="996">
        <v>0</v>
      </c>
      <c r="S135" s="996">
        <v>0</v>
      </c>
      <c r="T135" s="996">
        <v>0</v>
      </c>
      <c r="U135" s="996"/>
      <c r="V135" s="996">
        <v>639730</v>
      </c>
      <c r="W135" s="996">
        <v>0</v>
      </c>
      <c r="X135" s="996">
        <v>1000000</v>
      </c>
      <c r="Y135" s="996">
        <v>0</v>
      </c>
      <c r="Z135" s="996">
        <v>0</v>
      </c>
      <c r="AA135" s="996">
        <v>1500000</v>
      </c>
      <c r="AB135" s="996">
        <v>0</v>
      </c>
      <c r="AC135" s="996">
        <v>0</v>
      </c>
      <c r="AD135" s="996">
        <v>0</v>
      </c>
      <c r="AE135" s="996">
        <v>230000</v>
      </c>
      <c r="AF135" s="996">
        <v>230000</v>
      </c>
      <c r="AG135" s="996">
        <v>46750</v>
      </c>
      <c r="AH135" s="996">
        <v>25000</v>
      </c>
      <c r="AI135" s="996">
        <v>0</v>
      </c>
      <c r="AJ135" s="996">
        <v>0</v>
      </c>
      <c r="AK135" s="996">
        <v>400000</v>
      </c>
      <c r="AL135" s="996">
        <v>0</v>
      </c>
      <c r="AM135" s="996">
        <v>0</v>
      </c>
      <c r="AN135" s="996">
        <v>226328</v>
      </c>
      <c r="AO135" s="1"/>
      <c r="AP135" s="1"/>
      <c r="AQ135" s="1"/>
      <c r="AR135" s="1"/>
    </row>
    <row r="136" spans="1:44">
      <c r="A136" s="1"/>
      <c r="B136" s="1"/>
      <c r="C136" s="1"/>
      <c r="D136" s="900" t="s">
        <v>205</v>
      </c>
      <c r="E136" s="996">
        <v>2900000</v>
      </c>
      <c r="F136" s="996">
        <v>300000</v>
      </c>
      <c r="G136" s="996">
        <v>0</v>
      </c>
      <c r="H136" s="996">
        <v>0</v>
      </c>
      <c r="I136" s="996">
        <v>0</v>
      </c>
      <c r="J136" s="907">
        <f t="shared" si="0"/>
        <v>3200000</v>
      </c>
      <c r="K136" s="908">
        <f>IFERROR(INDEX('DB(2) Pivots'!$G$257:$G$405,MATCH('Regional DB'!D136,'DB(2) Pivots'!$A$257:$A$405,0)),"")</f>
        <v>1.4042299795201834</v>
      </c>
      <c r="L136" s="1"/>
      <c r="M136" s="943" t="s">
        <v>205</v>
      </c>
      <c r="N136" s="996">
        <v>0</v>
      </c>
      <c r="O136" s="996">
        <v>0</v>
      </c>
      <c r="P136" s="996">
        <v>2900000</v>
      </c>
      <c r="Q136" s="996">
        <v>0</v>
      </c>
      <c r="R136" s="996">
        <v>0</v>
      </c>
      <c r="S136" s="996">
        <v>0</v>
      </c>
      <c r="T136" s="996">
        <v>0</v>
      </c>
      <c r="U136" s="996"/>
      <c r="V136" s="996">
        <v>0</v>
      </c>
      <c r="W136" s="996">
        <v>0</v>
      </c>
      <c r="X136" s="996">
        <v>0</v>
      </c>
      <c r="Y136" s="996">
        <v>0</v>
      </c>
      <c r="Z136" s="996">
        <v>0</v>
      </c>
      <c r="AA136" s="996">
        <v>300000</v>
      </c>
      <c r="AB136" s="996">
        <v>0</v>
      </c>
      <c r="AC136" s="996">
        <v>0</v>
      </c>
      <c r="AD136" s="996">
        <v>0</v>
      </c>
      <c r="AE136" s="996">
        <v>0</v>
      </c>
      <c r="AF136" s="996">
        <v>0</v>
      </c>
      <c r="AG136" s="996">
        <v>0</v>
      </c>
      <c r="AH136" s="996">
        <v>0</v>
      </c>
      <c r="AI136" s="996">
        <v>0</v>
      </c>
      <c r="AJ136" s="996">
        <v>0</v>
      </c>
      <c r="AK136" s="996">
        <v>0</v>
      </c>
      <c r="AL136" s="996">
        <v>0</v>
      </c>
      <c r="AM136" s="996">
        <v>0</v>
      </c>
      <c r="AN136" s="996">
        <v>0</v>
      </c>
      <c r="AO136" s="1"/>
      <c r="AP136" s="1"/>
      <c r="AQ136" s="1"/>
      <c r="AR136" s="1"/>
    </row>
    <row r="137" spans="1:44">
      <c r="A137" s="1"/>
      <c r="B137" s="1"/>
      <c r="C137" s="1"/>
      <c r="D137" s="900" t="s">
        <v>206</v>
      </c>
      <c r="E137" s="996">
        <v>1600000</v>
      </c>
      <c r="F137" s="996">
        <v>1085000</v>
      </c>
      <c r="G137" s="996">
        <v>1265349</v>
      </c>
      <c r="H137" s="996">
        <v>552287</v>
      </c>
      <c r="I137" s="996">
        <v>0</v>
      </c>
      <c r="J137" s="907">
        <f t="shared" si="0"/>
        <v>4502636</v>
      </c>
      <c r="K137" s="908">
        <f>IFERROR(INDEX('DB(2) Pivots'!$G$257:$G$405,MATCH('Regional DB'!D137,'DB(2) Pivots'!$A$257:$A$405,0)),"")</f>
        <v>1.8105147014178486</v>
      </c>
      <c r="L137" s="1"/>
      <c r="M137" s="943" t="s">
        <v>206</v>
      </c>
      <c r="N137" s="996">
        <v>0</v>
      </c>
      <c r="O137" s="996">
        <v>0</v>
      </c>
      <c r="P137" s="996">
        <v>1600000</v>
      </c>
      <c r="Q137" s="996">
        <v>0</v>
      </c>
      <c r="R137" s="996">
        <v>0</v>
      </c>
      <c r="S137" s="996">
        <v>0</v>
      </c>
      <c r="T137" s="996">
        <v>0</v>
      </c>
      <c r="U137" s="996"/>
      <c r="V137" s="996">
        <v>0</v>
      </c>
      <c r="W137" s="996">
        <v>0</v>
      </c>
      <c r="X137" s="996">
        <v>0</v>
      </c>
      <c r="Y137" s="996">
        <v>0</v>
      </c>
      <c r="Z137" s="996">
        <v>0</v>
      </c>
      <c r="AA137" s="996">
        <v>1085000</v>
      </c>
      <c r="AB137" s="996">
        <v>0</v>
      </c>
      <c r="AC137" s="996">
        <v>0</v>
      </c>
      <c r="AD137" s="996">
        <v>98207</v>
      </c>
      <c r="AE137" s="996">
        <v>977007</v>
      </c>
      <c r="AF137" s="996">
        <v>0</v>
      </c>
      <c r="AG137" s="996">
        <v>104000</v>
      </c>
      <c r="AH137" s="996">
        <v>86135</v>
      </c>
      <c r="AI137" s="996">
        <v>0</v>
      </c>
      <c r="AJ137" s="996">
        <v>0</v>
      </c>
      <c r="AK137" s="996">
        <v>552287</v>
      </c>
      <c r="AL137" s="996">
        <v>0</v>
      </c>
      <c r="AM137" s="996">
        <v>0</v>
      </c>
      <c r="AN137" s="996">
        <v>0</v>
      </c>
      <c r="AO137" s="1"/>
      <c r="AP137" s="1"/>
      <c r="AQ137" s="1"/>
      <c r="AR137" s="1"/>
    </row>
    <row r="138" spans="1:44">
      <c r="A138" s="1"/>
      <c r="B138" s="1"/>
      <c r="C138" s="1"/>
      <c r="D138" s="900" t="s">
        <v>207</v>
      </c>
      <c r="E138" s="996">
        <v>1100000</v>
      </c>
      <c r="F138" s="996">
        <v>4400000</v>
      </c>
      <c r="G138" s="996">
        <v>0</v>
      </c>
      <c r="H138" s="996">
        <v>200000</v>
      </c>
      <c r="I138" s="996">
        <v>0</v>
      </c>
      <c r="J138" s="907">
        <f t="shared" si="0"/>
        <v>5700000</v>
      </c>
      <c r="K138" s="908">
        <f>IFERROR(INDEX('DB(2) Pivots'!$G$257:$G$405,MATCH('Regional DB'!D138,'DB(2) Pivots'!$A$257:$A$405,0)),"")</f>
        <v>1.4322424922225463</v>
      </c>
      <c r="L138" s="1"/>
      <c r="M138" s="1025" t="s">
        <v>207</v>
      </c>
      <c r="N138" s="996">
        <v>0</v>
      </c>
      <c r="O138" s="996">
        <v>0</v>
      </c>
      <c r="P138" s="996">
        <v>1100000</v>
      </c>
      <c r="Q138" s="996">
        <v>0</v>
      </c>
      <c r="R138" s="996">
        <v>0</v>
      </c>
      <c r="S138" s="996">
        <v>0</v>
      </c>
      <c r="T138" s="996">
        <v>0</v>
      </c>
      <c r="U138" s="996"/>
      <c r="V138" s="996">
        <v>0</v>
      </c>
      <c r="W138" s="996">
        <v>0</v>
      </c>
      <c r="X138" s="996">
        <v>0</v>
      </c>
      <c r="Y138" s="996">
        <v>0</v>
      </c>
      <c r="Z138" s="996">
        <v>0</v>
      </c>
      <c r="AA138" s="996">
        <v>4400000</v>
      </c>
      <c r="AB138" s="996">
        <v>0</v>
      </c>
      <c r="AC138" s="996">
        <v>0</v>
      </c>
      <c r="AD138" s="996">
        <v>0</v>
      </c>
      <c r="AE138" s="996">
        <v>0</v>
      </c>
      <c r="AF138" s="996">
        <v>0</v>
      </c>
      <c r="AG138" s="996">
        <v>0</v>
      </c>
      <c r="AH138" s="996">
        <v>0</v>
      </c>
      <c r="AI138" s="996">
        <v>0</v>
      </c>
      <c r="AJ138" s="996">
        <v>0</v>
      </c>
      <c r="AK138" s="996">
        <v>200000</v>
      </c>
      <c r="AL138" s="996">
        <v>0</v>
      </c>
      <c r="AM138" s="996">
        <v>0</v>
      </c>
      <c r="AN138" s="996">
        <v>0</v>
      </c>
      <c r="AO138" s="1"/>
      <c r="AP138" s="1"/>
      <c r="AQ138" s="1"/>
      <c r="AR138" s="1"/>
    </row>
    <row r="139" spans="1:44">
      <c r="A139" s="1"/>
      <c r="B139" s="1"/>
      <c r="C139" s="1"/>
      <c r="D139" s="900" t="s">
        <v>208</v>
      </c>
      <c r="E139" s="996">
        <v>7000000</v>
      </c>
      <c r="F139" s="996">
        <v>3875925</v>
      </c>
      <c r="G139" s="996">
        <v>4292630</v>
      </c>
      <c r="H139" s="996">
        <v>0</v>
      </c>
      <c r="I139" s="996">
        <v>974458</v>
      </c>
      <c r="J139" s="907">
        <f t="shared" si="0"/>
        <v>16143013</v>
      </c>
      <c r="K139" s="908">
        <f>IFERROR(INDEX('DB(2) Pivots'!$G$257:$G$405,MATCH('Regional DB'!D139,'DB(2) Pivots'!$A$257:$A$405,0)),"")</f>
        <v>0.50872771596030375</v>
      </c>
      <c r="L139" s="1"/>
      <c r="M139" s="1025" t="s">
        <v>208</v>
      </c>
      <c r="N139" s="996">
        <v>0</v>
      </c>
      <c r="O139" s="996">
        <v>0</v>
      </c>
      <c r="P139" s="996">
        <v>7000000</v>
      </c>
      <c r="Q139" s="996">
        <v>0</v>
      </c>
      <c r="R139" s="996">
        <v>0</v>
      </c>
      <c r="S139" s="996">
        <v>0</v>
      </c>
      <c r="T139" s="996">
        <v>0</v>
      </c>
      <c r="U139" s="996"/>
      <c r="V139" s="996">
        <v>925925</v>
      </c>
      <c r="W139" s="996">
        <v>0</v>
      </c>
      <c r="X139" s="996">
        <v>0</v>
      </c>
      <c r="Y139" s="996">
        <v>0</v>
      </c>
      <c r="Z139" s="996">
        <v>0</v>
      </c>
      <c r="AA139" s="996">
        <v>2950000</v>
      </c>
      <c r="AB139" s="996">
        <v>890000</v>
      </c>
      <c r="AC139" s="996">
        <v>0</v>
      </c>
      <c r="AD139" s="996">
        <v>793746</v>
      </c>
      <c r="AE139" s="996">
        <v>2211196</v>
      </c>
      <c r="AF139" s="996">
        <v>0</v>
      </c>
      <c r="AG139" s="996">
        <v>193425</v>
      </c>
      <c r="AH139" s="996">
        <v>204263</v>
      </c>
      <c r="AI139" s="996">
        <v>0</v>
      </c>
      <c r="AJ139" s="996">
        <v>0</v>
      </c>
      <c r="AK139" s="996">
        <v>0</v>
      </c>
      <c r="AL139" s="996">
        <v>223000</v>
      </c>
      <c r="AM139" s="996">
        <v>608549</v>
      </c>
      <c r="AN139" s="996">
        <v>142909</v>
      </c>
      <c r="AO139" s="1"/>
      <c r="AP139" s="1"/>
      <c r="AQ139" s="1"/>
      <c r="AR139" s="1"/>
    </row>
    <row r="140" spans="1:44">
      <c r="A140" s="1"/>
      <c r="B140" s="1"/>
      <c r="C140" s="1"/>
      <c r="D140" s="900" t="s">
        <v>209</v>
      </c>
      <c r="E140" s="996">
        <v>0</v>
      </c>
      <c r="F140" s="996">
        <v>0</v>
      </c>
      <c r="G140" s="996">
        <v>480000</v>
      </c>
      <c r="H140" s="996">
        <v>75000</v>
      </c>
      <c r="I140" s="996">
        <v>0</v>
      </c>
      <c r="J140" s="907">
        <f t="shared" si="0"/>
        <v>555000</v>
      </c>
      <c r="K140" s="908">
        <f>IFERROR(INDEX('DB(2) Pivots'!$G$257:$G$405,MATCH('Regional DB'!D140,'DB(2) Pivots'!$A$257:$A$405,0)),"")</f>
        <v>4.9108525416980049</v>
      </c>
      <c r="L140" s="1"/>
      <c r="M140" s="1025" t="s">
        <v>209</v>
      </c>
      <c r="N140" s="996">
        <v>0</v>
      </c>
      <c r="O140" s="996">
        <v>0</v>
      </c>
      <c r="P140" s="996">
        <v>0</v>
      </c>
      <c r="Q140" s="996">
        <v>0</v>
      </c>
      <c r="R140" s="996">
        <v>0</v>
      </c>
      <c r="S140" s="996">
        <v>0</v>
      </c>
      <c r="T140" s="996">
        <v>0</v>
      </c>
      <c r="U140" s="996"/>
      <c r="V140" s="996">
        <v>0</v>
      </c>
      <c r="W140" s="996">
        <v>0</v>
      </c>
      <c r="X140" s="996">
        <v>0</v>
      </c>
      <c r="Y140" s="996">
        <v>0</v>
      </c>
      <c r="Z140" s="996">
        <v>0</v>
      </c>
      <c r="AA140" s="996">
        <v>0</v>
      </c>
      <c r="AB140" s="996">
        <v>0</v>
      </c>
      <c r="AC140" s="996">
        <v>0</v>
      </c>
      <c r="AD140" s="996">
        <v>0</v>
      </c>
      <c r="AE140" s="996">
        <v>230000</v>
      </c>
      <c r="AF140" s="996">
        <v>200000</v>
      </c>
      <c r="AG140" s="996">
        <v>0</v>
      </c>
      <c r="AH140" s="996">
        <v>50000</v>
      </c>
      <c r="AI140" s="996">
        <v>0</v>
      </c>
      <c r="AJ140" s="996">
        <v>0</v>
      </c>
      <c r="AK140" s="996">
        <v>75000</v>
      </c>
      <c r="AL140" s="996">
        <v>0</v>
      </c>
      <c r="AM140" s="996">
        <v>0</v>
      </c>
      <c r="AN140" s="996">
        <v>0</v>
      </c>
      <c r="AO140" s="1"/>
      <c r="AP140" s="1"/>
      <c r="AQ140" s="1"/>
      <c r="AR140" s="1"/>
    </row>
    <row r="141" spans="1:44">
      <c r="A141" s="1"/>
      <c r="B141" s="1"/>
      <c r="C141" s="1"/>
      <c r="D141" s="900" t="s">
        <v>210</v>
      </c>
      <c r="E141" s="996">
        <v>0</v>
      </c>
      <c r="F141" s="996">
        <v>6783889</v>
      </c>
      <c r="G141" s="996">
        <v>0</v>
      </c>
      <c r="H141" s="996">
        <v>0</v>
      </c>
      <c r="I141" s="996">
        <v>0</v>
      </c>
      <c r="J141" s="907">
        <f t="shared" si="0"/>
        <v>6783889</v>
      </c>
      <c r="K141" s="908">
        <f>IFERROR(INDEX('DB(2) Pivots'!$G$257:$G$405,MATCH('Regional DB'!D141,'DB(2) Pivots'!$A$257:$A$405,0)),"")</f>
        <v>0.37172263382946114</v>
      </c>
      <c r="L141" s="1"/>
      <c r="M141" s="1025" t="s">
        <v>210</v>
      </c>
      <c r="N141" s="996">
        <v>0</v>
      </c>
      <c r="O141" s="996">
        <v>0</v>
      </c>
      <c r="P141" s="996">
        <v>0</v>
      </c>
      <c r="Q141" s="996">
        <v>0</v>
      </c>
      <c r="R141" s="996">
        <v>0</v>
      </c>
      <c r="S141" s="996">
        <v>0</v>
      </c>
      <c r="T141" s="996">
        <v>0</v>
      </c>
      <c r="U141" s="996"/>
      <c r="V141" s="996">
        <v>1388889</v>
      </c>
      <c r="W141" s="996">
        <v>0</v>
      </c>
      <c r="X141" s="996">
        <v>0</v>
      </c>
      <c r="Y141" s="996">
        <v>0</v>
      </c>
      <c r="Z141" s="996">
        <v>0</v>
      </c>
      <c r="AA141" s="996">
        <v>5395000</v>
      </c>
      <c r="AB141" s="996">
        <v>0</v>
      </c>
      <c r="AC141" s="996">
        <v>0</v>
      </c>
      <c r="AD141" s="996">
        <v>0</v>
      </c>
      <c r="AE141" s="996">
        <v>0</v>
      </c>
      <c r="AF141" s="996">
        <v>0</v>
      </c>
      <c r="AG141" s="996">
        <v>0</v>
      </c>
      <c r="AH141" s="996">
        <v>0</v>
      </c>
      <c r="AI141" s="996">
        <v>0</v>
      </c>
      <c r="AJ141" s="996">
        <v>0</v>
      </c>
      <c r="AK141" s="996">
        <v>0</v>
      </c>
      <c r="AL141" s="996">
        <v>0</v>
      </c>
      <c r="AM141" s="996">
        <v>0</v>
      </c>
      <c r="AN141" s="996">
        <v>0</v>
      </c>
      <c r="AO141" s="1"/>
      <c r="AP141" s="1"/>
      <c r="AQ141" s="1"/>
      <c r="AR141" s="1"/>
    </row>
    <row r="142" spans="1:44">
      <c r="A142" s="1"/>
      <c r="B142" s="1"/>
      <c r="C142" s="1"/>
      <c r="D142" s="900" t="s">
        <v>211</v>
      </c>
      <c r="E142" s="996">
        <v>10600000</v>
      </c>
      <c r="F142" s="996">
        <v>3826346</v>
      </c>
      <c r="G142" s="996">
        <v>5268061</v>
      </c>
      <c r="H142" s="996">
        <v>378110</v>
      </c>
      <c r="I142" s="996">
        <v>378110</v>
      </c>
      <c r="J142" s="907">
        <f t="shared" si="0"/>
        <v>20450627</v>
      </c>
      <c r="K142" s="908">
        <f>IFERROR(INDEX('DB(2) Pivots'!$G$257:$G$405,MATCH('Regional DB'!D142,'DB(2) Pivots'!$A$257:$A$405,0)),"")</f>
        <v>1.5151713643318259</v>
      </c>
      <c r="L142" s="1"/>
      <c r="M142" s="1025" t="s">
        <v>211</v>
      </c>
      <c r="N142" s="996">
        <v>0</v>
      </c>
      <c r="O142" s="996">
        <v>0</v>
      </c>
      <c r="P142" s="996">
        <v>10600000</v>
      </c>
      <c r="Q142" s="996">
        <v>0</v>
      </c>
      <c r="R142" s="996">
        <v>0</v>
      </c>
      <c r="S142" s="996">
        <v>0</v>
      </c>
      <c r="T142" s="996">
        <v>0</v>
      </c>
      <c r="U142" s="996"/>
      <c r="V142" s="996">
        <v>926346</v>
      </c>
      <c r="W142" s="996">
        <v>0</v>
      </c>
      <c r="X142" s="996">
        <v>0</v>
      </c>
      <c r="Y142" s="996">
        <v>0</v>
      </c>
      <c r="Z142" s="996">
        <v>0</v>
      </c>
      <c r="AA142" s="996">
        <v>2900000</v>
      </c>
      <c r="AB142" s="996">
        <v>225000</v>
      </c>
      <c r="AC142" s="996">
        <v>0</v>
      </c>
      <c r="AD142" s="996">
        <v>390259</v>
      </c>
      <c r="AE142" s="996">
        <v>3959315</v>
      </c>
      <c r="AF142" s="996">
        <v>0</v>
      </c>
      <c r="AG142" s="996">
        <v>252699.99999999997</v>
      </c>
      <c r="AH142" s="996">
        <v>440787</v>
      </c>
      <c r="AI142" s="996">
        <v>0</v>
      </c>
      <c r="AJ142" s="996">
        <v>0</v>
      </c>
      <c r="AK142" s="996">
        <v>378110</v>
      </c>
      <c r="AL142" s="996">
        <v>0</v>
      </c>
      <c r="AM142" s="996">
        <v>0</v>
      </c>
      <c r="AN142" s="996">
        <v>378110</v>
      </c>
      <c r="AO142" s="1"/>
      <c r="AP142" s="1"/>
      <c r="AQ142" s="1"/>
      <c r="AR142" s="1"/>
    </row>
    <row r="143" spans="1:44" ht="31">
      <c r="A143" s="1"/>
      <c r="B143" s="1"/>
      <c r="C143" s="1"/>
      <c r="D143" s="900" t="s">
        <v>212</v>
      </c>
      <c r="E143" s="996">
        <v>2100000</v>
      </c>
      <c r="F143" s="996">
        <v>200000</v>
      </c>
      <c r="G143" s="996">
        <v>1484685.1851851852</v>
      </c>
      <c r="H143" s="996">
        <v>225847</v>
      </c>
      <c r="I143" s="996">
        <v>225847</v>
      </c>
      <c r="J143" s="907">
        <f t="shared" si="0"/>
        <v>4236379.1851851847</v>
      </c>
      <c r="K143" s="908">
        <f>IFERROR(INDEX('DB(2) Pivots'!$G$257:$G$405,MATCH('Regional DB'!D143,'DB(2) Pivots'!$A$257:$A$405,0)),"")</f>
        <v>2.1019102973396966</v>
      </c>
      <c r="L143" s="1"/>
      <c r="M143" s="1025" t="s">
        <v>212</v>
      </c>
      <c r="N143" s="996">
        <v>0</v>
      </c>
      <c r="O143" s="996">
        <v>0</v>
      </c>
      <c r="P143" s="996">
        <v>2100000</v>
      </c>
      <c r="Q143" s="996">
        <v>0</v>
      </c>
      <c r="R143" s="996">
        <v>0</v>
      </c>
      <c r="S143" s="996">
        <v>0</v>
      </c>
      <c r="T143" s="996">
        <v>0</v>
      </c>
      <c r="U143" s="996"/>
      <c r="V143" s="996">
        <v>0</v>
      </c>
      <c r="W143" s="996">
        <v>0</v>
      </c>
      <c r="X143" s="996">
        <v>0</v>
      </c>
      <c r="Y143" s="996">
        <v>0</v>
      </c>
      <c r="Z143" s="996">
        <v>0</v>
      </c>
      <c r="AA143" s="996">
        <v>200000</v>
      </c>
      <c r="AB143" s="996">
        <v>45600</v>
      </c>
      <c r="AC143" s="996">
        <v>0</v>
      </c>
      <c r="AD143" s="996">
        <v>105973</v>
      </c>
      <c r="AE143" s="996">
        <v>978460</v>
      </c>
      <c r="AF143" s="996">
        <v>0</v>
      </c>
      <c r="AG143" s="996">
        <v>173660.18518518517</v>
      </c>
      <c r="AH143" s="996">
        <v>180992</v>
      </c>
      <c r="AI143" s="996">
        <v>0</v>
      </c>
      <c r="AJ143" s="996">
        <v>0</v>
      </c>
      <c r="AK143" s="996">
        <v>225847</v>
      </c>
      <c r="AL143" s="996">
        <v>0</v>
      </c>
      <c r="AM143" s="996">
        <v>0</v>
      </c>
      <c r="AN143" s="996">
        <v>225847</v>
      </c>
      <c r="AO143" s="1"/>
      <c r="AP143" s="1"/>
      <c r="AQ143" s="1"/>
      <c r="AR143" s="1"/>
    </row>
    <row r="144" spans="1:44">
      <c r="A144" s="1"/>
      <c r="B144" s="1"/>
      <c r="C144" s="1"/>
      <c r="D144" s="900" t="s">
        <v>213</v>
      </c>
      <c r="E144" s="996">
        <v>200000</v>
      </c>
      <c r="F144" s="996">
        <v>705800</v>
      </c>
      <c r="G144" s="996">
        <v>1152549</v>
      </c>
      <c r="H144" s="996">
        <v>100000</v>
      </c>
      <c r="I144" s="996">
        <v>0</v>
      </c>
      <c r="J144" s="907">
        <f t="shared" si="0"/>
        <v>2158349</v>
      </c>
      <c r="K144" s="908">
        <f>IFERROR(INDEX('DB(2) Pivots'!$G$257:$G$405,MATCH('Regional DB'!D144,'DB(2) Pivots'!$A$257:$A$405,0)),"")</f>
        <v>2.7309500220794125</v>
      </c>
      <c r="L144" s="1"/>
      <c r="M144" s="1025" t="s">
        <v>213</v>
      </c>
      <c r="N144" s="996">
        <v>0</v>
      </c>
      <c r="O144" s="996">
        <v>0</v>
      </c>
      <c r="P144" s="996">
        <v>200000</v>
      </c>
      <c r="Q144" s="996">
        <v>0</v>
      </c>
      <c r="R144" s="996">
        <v>0</v>
      </c>
      <c r="S144" s="996">
        <v>0</v>
      </c>
      <c r="T144" s="996">
        <v>0</v>
      </c>
      <c r="U144" s="996"/>
      <c r="V144" s="996">
        <v>0</v>
      </c>
      <c r="W144" s="996">
        <v>0</v>
      </c>
      <c r="X144" s="996">
        <v>0</v>
      </c>
      <c r="Y144" s="996">
        <v>0</v>
      </c>
      <c r="Z144" s="996">
        <v>0</v>
      </c>
      <c r="AA144" s="996">
        <v>705800</v>
      </c>
      <c r="AB144" s="996">
        <v>215000</v>
      </c>
      <c r="AC144" s="996">
        <v>0</v>
      </c>
      <c r="AD144" s="996">
        <v>62549</v>
      </c>
      <c r="AE144" s="996">
        <v>230000</v>
      </c>
      <c r="AF144" s="996">
        <v>600000</v>
      </c>
      <c r="AG144" s="996">
        <v>0</v>
      </c>
      <c r="AH144" s="996">
        <v>44999.999999999964</v>
      </c>
      <c r="AI144" s="996">
        <v>0</v>
      </c>
      <c r="AJ144" s="996">
        <v>0</v>
      </c>
      <c r="AK144" s="996">
        <v>100000</v>
      </c>
      <c r="AL144" s="996">
        <v>0</v>
      </c>
      <c r="AM144" s="996">
        <v>0</v>
      </c>
      <c r="AN144" s="996">
        <v>0</v>
      </c>
      <c r="AO144" s="1"/>
      <c r="AP144" s="1"/>
      <c r="AQ144" s="1"/>
      <c r="AR144" s="1"/>
    </row>
    <row r="145" spans="1:44">
      <c r="A145" s="1"/>
      <c r="B145" s="1"/>
      <c r="C145" s="1"/>
      <c r="D145" s="900" t="s">
        <v>214</v>
      </c>
      <c r="E145" s="996">
        <v>0</v>
      </c>
      <c r="F145" s="996">
        <v>9521267.620000001</v>
      </c>
      <c r="G145" s="996">
        <v>4382815.555555556</v>
      </c>
      <c r="H145" s="996">
        <v>1500000</v>
      </c>
      <c r="I145" s="996">
        <v>99000</v>
      </c>
      <c r="J145" s="907">
        <f t="shared" si="0"/>
        <v>15503083.175555557</v>
      </c>
      <c r="K145" s="908">
        <f>IFERROR(INDEX('DB(2) Pivots'!$G$257:$G$405,MATCH('Regional DB'!D145,'DB(2) Pivots'!$A$257:$A$405,0)),"")</f>
        <v>1.3432255222705005</v>
      </c>
      <c r="L145" s="1"/>
      <c r="M145" s="1025" t="s">
        <v>214</v>
      </c>
      <c r="N145" s="996">
        <v>0</v>
      </c>
      <c r="O145" s="996">
        <v>0</v>
      </c>
      <c r="P145" s="996">
        <v>0</v>
      </c>
      <c r="Q145" s="996">
        <v>0</v>
      </c>
      <c r="R145" s="996">
        <v>0</v>
      </c>
      <c r="S145" s="996">
        <v>0</v>
      </c>
      <c r="T145" s="996">
        <v>4969926</v>
      </c>
      <c r="U145" s="996"/>
      <c r="V145" s="996">
        <v>1851852</v>
      </c>
      <c r="W145" s="996">
        <v>0</v>
      </c>
      <c r="X145" s="996">
        <v>0</v>
      </c>
      <c r="Y145" s="996">
        <v>0</v>
      </c>
      <c r="Z145" s="996">
        <v>49489.62</v>
      </c>
      <c r="AA145" s="996">
        <v>2650000</v>
      </c>
      <c r="AB145" s="996">
        <v>1160000</v>
      </c>
      <c r="AC145" s="996">
        <v>0</v>
      </c>
      <c r="AD145" s="996">
        <v>365688</v>
      </c>
      <c r="AE145" s="996">
        <v>2138482</v>
      </c>
      <c r="AF145" s="996">
        <v>0</v>
      </c>
      <c r="AG145" s="996">
        <v>315255.55555555556</v>
      </c>
      <c r="AH145" s="996">
        <v>403390</v>
      </c>
      <c r="AI145" s="996">
        <v>0</v>
      </c>
      <c r="AJ145" s="996">
        <v>0</v>
      </c>
      <c r="AK145" s="996">
        <v>1500000</v>
      </c>
      <c r="AL145" s="996">
        <v>99000</v>
      </c>
      <c r="AM145" s="996">
        <v>0</v>
      </c>
      <c r="AN145" s="996">
        <v>0</v>
      </c>
      <c r="AO145" s="1"/>
      <c r="AP145" s="1"/>
      <c r="AQ145" s="1"/>
      <c r="AR145" s="1"/>
    </row>
    <row r="146" spans="1:44">
      <c r="A146" s="1"/>
      <c r="B146" s="1"/>
      <c r="C146" s="1"/>
      <c r="D146" s="900" t="s">
        <v>215</v>
      </c>
      <c r="E146" s="996">
        <v>29600000</v>
      </c>
      <c r="F146" s="996">
        <v>4652400</v>
      </c>
      <c r="G146" s="996">
        <v>2010319.8392592594</v>
      </c>
      <c r="H146" s="996">
        <v>300000</v>
      </c>
      <c r="I146" s="996">
        <v>0</v>
      </c>
      <c r="J146" s="907">
        <f t="shared" si="0"/>
        <v>36562719.839259259</v>
      </c>
      <c r="K146" s="908">
        <f>IFERROR(INDEX('DB(2) Pivots'!$G$257:$G$405,MATCH('Regional DB'!D146,'DB(2) Pivots'!$A$257:$A$405,0)),"")</f>
        <v>3.6333838457281451</v>
      </c>
      <c r="L146" s="1"/>
      <c r="M146" s="1025" t="s">
        <v>215</v>
      </c>
      <c r="N146" s="996">
        <v>0</v>
      </c>
      <c r="O146" s="996">
        <v>15800000</v>
      </c>
      <c r="P146" s="996">
        <v>13800000</v>
      </c>
      <c r="Q146" s="996">
        <v>0</v>
      </c>
      <c r="R146" s="996">
        <v>0</v>
      </c>
      <c r="S146" s="996">
        <v>0</v>
      </c>
      <c r="T146" s="996">
        <v>0</v>
      </c>
      <c r="U146" s="996"/>
      <c r="V146" s="996">
        <v>0</v>
      </c>
      <c r="W146" s="996">
        <v>0</v>
      </c>
      <c r="X146" s="996">
        <v>0</v>
      </c>
      <c r="Y146" s="996">
        <v>0</v>
      </c>
      <c r="Z146" s="996">
        <v>0</v>
      </c>
      <c r="AA146" s="996">
        <v>4652400</v>
      </c>
      <c r="AB146" s="996">
        <v>130000</v>
      </c>
      <c r="AC146" s="996">
        <v>0</v>
      </c>
      <c r="AD146" s="996">
        <v>219032</v>
      </c>
      <c r="AE146" s="996">
        <v>369382</v>
      </c>
      <c r="AF146" s="996">
        <v>1035145</v>
      </c>
      <c r="AG146" s="996">
        <v>24259.259259259259</v>
      </c>
      <c r="AH146" s="996">
        <v>232501.58</v>
      </c>
      <c r="AI146" s="996">
        <v>0</v>
      </c>
      <c r="AJ146" s="996">
        <v>0</v>
      </c>
      <c r="AK146" s="996">
        <v>300000</v>
      </c>
      <c r="AL146" s="996">
        <v>0</v>
      </c>
      <c r="AM146" s="996">
        <v>0</v>
      </c>
      <c r="AN146" s="996">
        <v>0</v>
      </c>
      <c r="AO146" s="1"/>
      <c r="AP146" s="1"/>
      <c r="AQ146" s="1"/>
      <c r="AR146" s="1"/>
    </row>
    <row r="147" spans="1:44">
      <c r="A147" s="1"/>
      <c r="B147" s="1"/>
      <c r="C147" s="1"/>
      <c r="D147" s="900" t="s">
        <v>216</v>
      </c>
      <c r="E147" s="996">
        <v>7000000</v>
      </c>
      <c r="F147" s="996">
        <v>38040139</v>
      </c>
      <c r="G147" s="996">
        <v>39869518.185185187</v>
      </c>
      <c r="H147" s="996">
        <v>12694456</v>
      </c>
      <c r="I147" s="996">
        <v>24839715</v>
      </c>
      <c r="J147" s="907">
        <f t="shared" si="0"/>
        <v>122443828.18518519</v>
      </c>
      <c r="K147" s="908">
        <f>IFERROR(INDEX('DB(2) Pivots'!$G$257:$G$405,MATCH('Regional DB'!D147,'DB(2) Pivots'!$A$257:$A$405,0)),"")</f>
        <v>8.7873571424726932E-2</v>
      </c>
      <c r="L147" s="1"/>
      <c r="M147" s="1025" t="s">
        <v>216</v>
      </c>
      <c r="N147" s="996">
        <v>7000000</v>
      </c>
      <c r="O147" s="996">
        <v>0</v>
      </c>
      <c r="P147" s="996">
        <v>0</v>
      </c>
      <c r="Q147" s="996">
        <v>0</v>
      </c>
      <c r="R147" s="996">
        <v>0</v>
      </c>
      <c r="S147" s="996">
        <v>0</v>
      </c>
      <c r="T147" s="996">
        <v>1200000</v>
      </c>
      <c r="U147" s="996"/>
      <c r="V147" s="996">
        <v>0</v>
      </c>
      <c r="W147" s="996">
        <v>0</v>
      </c>
      <c r="X147" s="996">
        <v>0</v>
      </c>
      <c r="Y147" s="996">
        <v>0</v>
      </c>
      <c r="Z147" s="996">
        <v>0</v>
      </c>
      <c r="AA147" s="996">
        <v>36840139</v>
      </c>
      <c r="AB147" s="996">
        <v>0</v>
      </c>
      <c r="AC147" s="996">
        <v>0</v>
      </c>
      <c r="AD147" s="996">
        <v>8716494</v>
      </c>
      <c r="AE147" s="996">
        <v>15000000</v>
      </c>
      <c r="AF147" s="996">
        <v>0</v>
      </c>
      <c r="AG147" s="996">
        <v>5971660.1851851847</v>
      </c>
      <c r="AH147" s="996">
        <v>10181364</v>
      </c>
      <c r="AI147" s="996">
        <v>0</v>
      </c>
      <c r="AJ147" s="996">
        <v>0</v>
      </c>
      <c r="AK147" s="996">
        <v>12694456</v>
      </c>
      <c r="AL147" s="996">
        <v>81000</v>
      </c>
      <c r="AM147" s="996">
        <v>0</v>
      </c>
      <c r="AN147" s="996">
        <v>24758715</v>
      </c>
      <c r="AO147" s="1"/>
      <c r="AP147" s="1"/>
      <c r="AQ147" s="1"/>
      <c r="AR147" s="1"/>
    </row>
    <row r="148" spans="1:44">
      <c r="A148" s="1"/>
      <c r="B148" s="1"/>
      <c r="C148" s="1"/>
      <c r="D148" s="900" t="s">
        <v>217</v>
      </c>
      <c r="E148" s="996">
        <v>258300000</v>
      </c>
      <c r="F148" s="996">
        <v>26385355</v>
      </c>
      <c r="G148" s="996">
        <v>5581615</v>
      </c>
      <c r="H148" s="996">
        <v>0</v>
      </c>
      <c r="I148" s="996">
        <v>93593</v>
      </c>
      <c r="J148" s="907">
        <f t="shared" si="0"/>
        <v>290360563</v>
      </c>
      <c r="K148" s="908">
        <f>IFERROR(INDEX('DB(2) Pivots'!$G$257:$G$405,MATCH('Regional DB'!D148,'DB(2) Pivots'!$A$257:$A$405,0)),"")</f>
        <v>1.0506538009516713</v>
      </c>
      <c r="L148" s="1"/>
      <c r="M148" s="1025" t="s">
        <v>217</v>
      </c>
      <c r="N148" s="996">
        <v>0</v>
      </c>
      <c r="O148" s="996">
        <v>0</v>
      </c>
      <c r="P148" s="996">
        <v>258300000</v>
      </c>
      <c r="Q148" s="996">
        <v>5452817</v>
      </c>
      <c r="R148" s="996">
        <v>0</v>
      </c>
      <c r="S148" s="996">
        <v>0</v>
      </c>
      <c r="T148" s="996">
        <v>0</v>
      </c>
      <c r="U148" s="996"/>
      <c r="V148" s="996">
        <v>3751813</v>
      </c>
      <c r="W148" s="996">
        <v>0</v>
      </c>
      <c r="X148" s="996">
        <v>3230725</v>
      </c>
      <c r="Y148" s="996">
        <v>0</v>
      </c>
      <c r="Z148" s="996">
        <v>0</v>
      </c>
      <c r="AA148" s="996">
        <v>13950000</v>
      </c>
      <c r="AB148" s="996">
        <v>165200</v>
      </c>
      <c r="AC148" s="996">
        <v>0</v>
      </c>
      <c r="AD148" s="996">
        <v>1734565</v>
      </c>
      <c r="AE148" s="996">
        <v>3466850</v>
      </c>
      <c r="AF148" s="996">
        <v>0</v>
      </c>
      <c r="AG148" s="996">
        <v>100000</v>
      </c>
      <c r="AH148" s="996">
        <v>115000</v>
      </c>
      <c r="AI148" s="996">
        <v>0</v>
      </c>
      <c r="AJ148" s="996">
        <v>0</v>
      </c>
      <c r="AK148" s="996">
        <v>0</v>
      </c>
      <c r="AL148" s="996">
        <v>0</v>
      </c>
      <c r="AM148" s="996">
        <v>0</v>
      </c>
      <c r="AN148" s="996">
        <v>93593</v>
      </c>
      <c r="AO148" s="1"/>
      <c r="AP148" s="1"/>
      <c r="AQ148" s="1"/>
      <c r="AR148" s="1"/>
    </row>
    <row r="149" spans="1:44">
      <c r="A149" s="1"/>
      <c r="B149" s="1"/>
      <c r="C149" s="1"/>
      <c r="D149" s="900" t="s">
        <v>149</v>
      </c>
      <c r="E149" s="996">
        <v>0</v>
      </c>
      <c r="F149" s="996">
        <v>0</v>
      </c>
      <c r="G149" s="996">
        <v>0</v>
      </c>
      <c r="H149" s="996">
        <v>2428858</v>
      </c>
      <c r="I149" s="996">
        <v>0</v>
      </c>
      <c r="J149" s="913">
        <f t="shared" si="0"/>
        <v>2428858</v>
      </c>
      <c r="K149" s="914">
        <f>IFERROR(INDEX('DB(2) Pivots'!$G$257:$G$405,MATCH('Regional DB'!D149,'DB(2) Pivots'!$A$257:$A$405,0)),"")</f>
        <v>2.8565134902590605E-2</v>
      </c>
      <c r="L149" s="1"/>
      <c r="M149" s="1025" t="s">
        <v>149</v>
      </c>
      <c r="N149" s="996">
        <v>0</v>
      </c>
      <c r="O149" s="996">
        <v>0</v>
      </c>
      <c r="P149" s="996">
        <v>0</v>
      </c>
      <c r="Q149" s="996">
        <v>0</v>
      </c>
      <c r="R149" s="996">
        <v>0</v>
      </c>
      <c r="S149" s="996">
        <v>0</v>
      </c>
      <c r="T149" s="996">
        <v>0</v>
      </c>
      <c r="U149" s="996"/>
      <c r="V149" s="996">
        <v>0</v>
      </c>
      <c r="W149" s="996">
        <v>0</v>
      </c>
      <c r="X149" s="996">
        <v>0</v>
      </c>
      <c r="Y149" s="996">
        <v>0</v>
      </c>
      <c r="Z149" s="996">
        <v>0</v>
      </c>
      <c r="AA149" s="996">
        <v>0</v>
      </c>
      <c r="AB149" s="996">
        <v>0</v>
      </c>
      <c r="AC149" s="996">
        <v>0</v>
      </c>
      <c r="AD149" s="996">
        <v>0</v>
      </c>
      <c r="AE149" s="996">
        <v>0</v>
      </c>
      <c r="AF149" s="996">
        <v>0</v>
      </c>
      <c r="AG149" s="996">
        <v>0</v>
      </c>
      <c r="AH149" s="996">
        <v>0</v>
      </c>
      <c r="AI149" s="996">
        <v>0</v>
      </c>
      <c r="AJ149" s="996">
        <v>0</v>
      </c>
      <c r="AK149" s="996">
        <v>2428858</v>
      </c>
      <c r="AL149" s="996">
        <v>0</v>
      </c>
      <c r="AM149" s="996">
        <v>0</v>
      </c>
      <c r="AN149" s="996">
        <v>0</v>
      </c>
      <c r="AO149" s="1"/>
      <c r="AP149" s="1"/>
      <c r="AQ149" s="1"/>
      <c r="AR149" s="1"/>
    </row>
    <row r="150" spans="1:44">
      <c r="A150" s="1"/>
      <c r="B150" s="1"/>
      <c r="C150" s="1"/>
      <c r="D150" s="900" t="s">
        <v>218</v>
      </c>
      <c r="E150" s="996">
        <v>25000000</v>
      </c>
      <c r="F150" s="996">
        <v>1534768</v>
      </c>
      <c r="G150" s="996">
        <v>0</v>
      </c>
      <c r="H150" s="996">
        <v>5799334</v>
      </c>
      <c r="I150" s="996">
        <v>0</v>
      </c>
      <c r="J150" s="907">
        <f t="shared" si="0"/>
        <v>32334102</v>
      </c>
      <c r="K150" s="908">
        <f>IFERROR(INDEX('DB(2) Pivots'!$G$257:$G$405,MATCH('Regional DB'!D150,'DB(2) Pivots'!$A$257:$A$405,0)),"")</f>
        <v>0.78520183574529867</v>
      </c>
      <c r="L150" s="1"/>
      <c r="M150" s="1025" t="s">
        <v>218</v>
      </c>
      <c r="N150" s="996">
        <v>0</v>
      </c>
      <c r="O150" s="996">
        <v>0</v>
      </c>
      <c r="P150" s="996">
        <v>25000000</v>
      </c>
      <c r="Q150" s="996">
        <v>0</v>
      </c>
      <c r="R150" s="996">
        <v>0</v>
      </c>
      <c r="S150" s="996">
        <v>0</v>
      </c>
      <c r="T150" s="996">
        <v>0</v>
      </c>
      <c r="U150" s="996"/>
      <c r="V150" s="996">
        <v>0</v>
      </c>
      <c r="W150" s="996">
        <v>0</v>
      </c>
      <c r="X150" s="996">
        <v>0</v>
      </c>
      <c r="Y150" s="996">
        <v>0</v>
      </c>
      <c r="Z150" s="996">
        <v>0</v>
      </c>
      <c r="AA150" s="996">
        <v>1534768</v>
      </c>
      <c r="AB150" s="996">
        <v>0</v>
      </c>
      <c r="AC150" s="996">
        <v>0</v>
      </c>
      <c r="AD150" s="996">
        <v>0</v>
      </c>
      <c r="AE150" s="996">
        <v>0</v>
      </c>
      <c r="AF150" s="996">
        <v>0</v>
      </c>
      <c r="AG150" s="996">
        <v>0</v>
      </c>
      <c r="AH150" s="996">
        <v>0</v>
      </c>
      <c r="AI150" s="996">
        <v>0</v>
      </c>
      <c r="AJ150" s="996">
        <v>0</v>
      </c>
      <c r="AK150" s="996">
        <v>5799334</v>
      </c>
      <c r="AL150" s="996">
        <v>0</v>
      </c>
      <c r="AM150" s="996">
        <v>0</v>
      </c>
      <c r="AN150" s="996">
        <v>0</v>
      </c>
      <c r="AO150" s="1"/>
      <c r="AP150" s="1"/>
      <c r="AQ150" s="1"/>
      <c r="AR150" s="1"/>
    </row>
    <row r="151" spans="1:44">
      <c r="A151" s="1"/>
      <c r="B151" s="1"/>
      <c r="C151" s="1"/>
      <c r="D151" s="900" t="s">
        <v>219</v>
      </c>
      <c r="E151" s="996">
        <v>0</v>
      </c>
      <c r="F151" s="996">
        <v>4579630</v>
      </c>
      <c r="G151" s="996">
        <v>0</v>
      </c>
      <c r="H151" s="996">
        <v>0</v>
      </c>
      <c r="I151" s="996">
        <v>0</v>
      </c>
      <c r="J151" s="907">
        <f t="shared" si="0"/>
        <v>4579630</v>
      </c>
      <c r="K151" s="908">
        <f>IFERROR(INDEX('DB(2) Pivots'!$G$257:$G$405,MATCH('Regional DB'!D151,'DB(2) Pivots'!$A$257:$A$405,0)),"")</f>
        <v>1.5401676564220428</v>
      </c>
      <c r="L151" s="1"/>
      <c r="M151" s="1025" t="s">
        <v>219</v>
      </c>
      <c r="N151" s="996">
        <v>0</v>
      </c>
      <c r="O151" s="996">
        <v>0</v>
      </c>
      <c r="P151" s="996">
        <v>0</v>
      </c>
      <c r="Q151" s="996">
        <v>0</v>
      </c>
      <c r="R151" s="996">
        <v>0</v>
      </c>
      <c r="S151" s="996">
        <v>0</v>
      </c>
      <c r="T151" s="996">
        <v>0</v>
      </c>
      <c r="U151" s="996"/>
      <c r="V151" s="996">
        <v>1129630</v>
      </c>
      <c r="W151" s="996">
        <v>0</v>
      </c>
      <c r="X151" s="996">
        <v>0</v>
      </c>
      <c r="Y151" s="996">
        <v>0</v>
      </c>
      <c r="Z151" s="996">
        <v>0</v>
      </c>
      <c r="AA151" s="996">
        <v>3450000</v>
      </c>
      <c r="AB151" s="996">
        <v>0</v>
      </c>
      <c r="AC151" s="996">
        <v>0</v>
      </c>
      <c r="AD151" s="996">
        <v>0</v>
      </c>
      <c r="AE151" s="996">
        <v>0</v>
      </c>
      <c r="AF151" s="996">
        <v>0</v>
      </c>
      <c r="AG151" s="996">
        <v>0</v>
      </c>
      <c r="AH151" s="996">
        <v>0</v>
      </c>
      <c r="AI151" s="996">
        <v>0</v>
      </c>
      <c r="AJ151" s="996">
        <v>0</v>
      </c>
      <c r="AK151" s="996">
        <v>0</v>
      </c>
      <c r="AL151" s="996">
        <v>0</v>
      </c>
      <c r="AM151" s="996">
        <v>0</v>
      </c>
      <c r="AN151" s="996">
        <v>0</v>
      </c>
      <c r="AO151" s="1"/>
      <c r="AP151" s="1"/>
      <c r="AQ151" s="1"/>
      <c r="AR151" s="1"/>
    </row>
    <row r="152" spans="1:44">
      <c r="A152" s="1"/>
      <c r="B152" s="1"/>
      <c r="C152" s="1"/>
      <c r="D152" s="900" t="s">
        <v>220</v>
      </c>
      <c r="E152" s="996">
        <v>1300000</v>
      </c>
      <c r="F152" s="996">
        <v>2979126</v>
      </c>
      <c r="G152" s="996">
        <v>0</v>
      </c>
      <c r="H152" s="996">
        <v>1423400</v>
      </c>
      <c r="I152" s="996">
        <v>0</v>
      </c>
      <c r="J152" s="907">
        <f t="shared" si="0"/>
        <v>5702526</v>
      </c>
      <c r="K152" s="908">
        <f>IFERROR(INDEX('DB(2) Pivots'!$G$257:$G$405,MATCH('Regional DB'!D152,'DB(2) Pivots'!$A$257:$A$405,0)),"")</f>
        <v>0.55531344659695925</v>
      </c>
      <c r="L152" s="1"/>
      <c r="M152" s="1025" t="s">
        <v>220</v>
      </c>
      <c r="N152" s="996">
        <v>0</v>
      </c>
      <c r="O152" s="996">
        <v>0</v>
      </c>
      <c r="P152" s="996">
        <v>1300000</v>
      </c>
      <c r="Q152" s="996">
        <v>0</v>
      </c>
      <c r="R152" s="996">
        <v>0</v>
      </c>
      <c r="S152" s="996">
        <v>0</v>
      </c>
      <c r="T152" s="996">
        <v>0</v>
      </c>
      <c r="U152" s="996"/>
      <c r="V152" s="996">
        <v>0</v>
      </c>
      <c r="W152" s="996">
        <v>0</v>
      </c>
      <c r="X152" s="996">
        <v>0</v>
      </c>
      <c r="Y152" s="996">
        <v>0</v>
      </c>
      <c r="Z152" s="996">
        <v>0</v>
      </c>
      <c r="AA152" s="996">
        <v>2979126</v>
      </c>
      <c r="AB152" s="996">
        <v>0</v>
      </c>
      <c r="AC152" s="996">
        <v>0</v>
      </c>
      <c r="AD152" s="996">
        <v>0</v>
      </c>
      <c r="AE152" s="996">
        <v>0</v>
      </c>
      <c r="AF152" s="996">
        <v>0</v>
      </c>
      <c r="AG152" s="996">
        <v>0</v>
      </c>
      <c r="AH152" s="996">
        <v>0</v>
      </c>
      <c r="AI152" s="996">
        <v>0</v>
      </c>
      <c r="AJ152" s="996">
        <v>0</v>
      </c>
      <c r="AK152" s="996">
        <v>1423400</v>
      </c>
      <c r="AL152" s="996">
        <v>0</v>
      </c>
      <c r="AM152" s="996">
        <v>0</v>
      </c>
      <c r="AN152" s="996">
        <v>0</v>
      </c>
      <c r="AO152" s="1"/>
      <c r="AP152" s="1"/>
      <c r="AQ152" s="1"/>
      <c r="AR152" s="1"/>
    </row>
    <row r="153" spans="1:44">
      <c r="A153" s="1"/>
      <c r="B153" s="1"/>
      <c r="C153" s="1"/>
      <c r="D153" s="900" t="s">
        <v>221</v>
      </c>
      <c r="E153" s="996">
        <v>0</v>
      </c>
      <c r="F153" s="996">
        <v>2450000</v>
      </c>
      <c r="G153" s="996">
        <v>0</v>
      </c>
      <c r="H153" s="996">
        <v>50000</v>
      </c>
      <c r="I153" s="996">
        <v>0</v>
      </c>
      <c r="J153" s="907">
        <f t="shared" si="0"/>
        <v>2500000</v>
      </c>
      <c r="K153" s="908">
        <f>IFERROR(INDEX('DB(2) Pivots'!$G$257:$G$405,MATCH('Regional DB'!D153,'DB(2) Pivots'!$A$257:$A$405,0)),"")</f>
        <v>0.13161387353422946</v>
      </c>
      <c r="L153" s="1"/>
      <c r="M153" s="1025" t="s">
        <v>221</v>
      </c>
      <c r="N153" s="996">
        <v>0</v>
      </c>
      <c r="O153" s="996">
        <v>0</v>
      </c>
      <c r="P153" s="996">
        <v>0</v>
      </c>
      <c r="Q153" s="996">
        <v>0</v>
      </c>
      <c r="R153" s="996">
        <v>0</v>
      </c>
      <c r="S153" s="996">
        <v>0</v>
      </c>
      <c r="T153" s="996">
        <v>0</v>
      </c>
      <c r="U153" s="996"/>
      <c r="V153" s="996">
        <v>0</v>
      </c>
      <c r="W153" s="996">
        <v>0</v>
      </c>
      <c r="X153" s="996">
        <v>0</v>
      </c>
      <c r="Y153" s="996">
        <v>0</v>
      </c>
      <c r="Z153" s="996">
        <v>0</v>
      </c>
      <c r="AA153" s="996">
        <v>2450000</v>
      </c>
      <c r="AB153" s="996">
        <v>0</v>
      </c>
      <c r="AC153" s="996">
        <v>0</v>
      </c>
      <c r="AD153" s="996">
        <v>0</v>
      </c>
      <c r="AE153" s="996">
        <v>0</v>
      </c>
      <c r="AF153" s="996">
        <v>0</v>
      </c>
      <c r="AG153" s="996">
        <v>0</v>
      </c>
      <c r="AH153" s="996">
        <v>0</v>
      </c>
      <c r="AI153" s="996">
        <v>0</v>
      </c>
      <c r="AJ153" s="996">
        <v>0</v>
      </c>
      <c r="AK153" s="996">
        <v>50000</v>
      </c>
      <c r="AL153" s="996">
        <v>0</v>
      </c>
      <c r="AM153" s="996">
        <v>0</v>
      </c>
      <c r="AN153" s="996">
        <v>0</v>
      </c>
      <c r="AO153" s="1"/>
      <c r="AP153" s="1"/>
      <c r="AQ153" s="1"/>
      <c r="AR153" s="1"/>
    </row>
    <row r="154" spans="1:44">
      <c r="A154" s="1"/>
      <c r="B154" s="1"/>
      <c r="C154" s="1"/>
      <c r="D154" s="900" t="s">
        <v>222</v>
      </c>
      <c r="E154" s="996">
        <v>18700000</v>
      </c>
      <c r="F154" s="996">
        <v>5187969</v>
      </c>
      <c r="G154" s="996">
        <v>6978089</v>
      </c>
      <c r="H154" s="996">
        <v>500000</v>
      </c>
      <c r="I154" s="996">
        <v>5101110</v>
      </c>
      <c r="J154" s="907">
        <f t="shared" si="0"/>
        <v>36467168</v>
      </c>
      <c r="K154" s="908">
        <f>IFERROR(INDEX('DB(2) Pivots'!$G$257:$G$405,MATCH('Regional DB'!D154,'DB(2) Pivots'!$A$257:$A$405,0)),"")</f>
        <v>0.66321182914060095</v>
      </c>
      <c r="L154" s="1"/>
      <c r="M154" s="1025" t="s">
        <v>222</v>
      </c>
      <c r="N154" s="996">
        <v>0</v>
      </c>
      <c r="O154" s="996">
        <v>0</v>
      </c>
      <c r="P154" s="996">
        <v>18700000</v>
      </c>
      <c r="Q154" s="996">
        <v>0</v>
      </c>
      <c r="R154" s="996">
        <v>0</v>
      </c>
      <c r="S154" s="996">
        <v>0</v>
      </c>
      <c r="T154" s="996">
        <v>0</v>
      </c>
      <c r="U154" s="996"/>
      <c r="V154" s="996">
        <v>1337969</v>
      </c>
      <c r="W154" s="996">
        <v>0</v>
      </c>
      <c r="X154" s="996">
        <v>0</v>
      </c>
      <c r="Y154" s="996">
        <v>0</v>
      </c>
      <c r="Z154" s="996">
        <v>0</v>
      </c>
      <c r="AA154" s="996">
        <v>3850000</v>
      </c>
      <c r="AB154" s="996">
        <v>1015000</v>
      </c>
      <c r="AC154" s="996">
        <v>0</v>
      </c>
      <c r="AD154" s="996">
        <v>1181227</v>
      </c>
      <c r="AE154" s="996">
        <v>4306517</v>
      </c>
      <c r="AF154" s="996">
        <v>0</v>
      </c>
      <c r="AG154" s="996">
        <v>279000</v>
      </c>
      <c r="AH154" s="996">
        <v>196345</v>
      </c>
      <c r="AI154" s="996">
        <v>0</v>
      </c>
      <c r="AJ154" s="996">
        <v>0</v>
      </c>
      <c r="AK154" s="996">
        <v>500000</v>
      </c>
      <c r="AL154" s="996">
        <v>2702000</v>
      </c>
      <c r="AM154" s="996">
        <v>0</v>
      </c>
      <c r="AN154" s="996">
        <v>2399110</v>
      </c>
      <c r="AO154" s="1"/>
      <c r="AP154" s="1"/>
      <c r="AQ154" s="1"/>
      <c r="AR154" s="1"/>
    </row>
    <row r="155" spans="1:44">
      <c r="A155" s="1"/>
      <c r="B155" s="1"/>
      <c r="C155" s="1"/>
      <c r="D155" s="900" t="s">
        <v>223</v>
      </c>
      <c r="E155" s="996">
        <v>0</v>
      </c>
      <c r="F155" s="996">
        <v>6153241</v>
      </c>
      <c r="G155" s="996">
        <v>46450</v>
      </c>
      <c r="H155" s="996">
        <v>0</v>
      </c>
      <c r="I155" s="996">
        <v>99000</v>
      </c>
      <c r="J155" s="907">
        <f t="shared" si="0"/>
        <v>6298691</v>
      </c>
      <c r="K155" s="908">
        <f>IFERROR(INDEX('DB(2) Pivots'!$G$257:$G$405,MATCH('Regional DB'!D155,'DB(2) Pivots'!$A$257:$A$405,0)),"")</f>
        <v>51.888909941674633</v>
      </c>
      <c r="L155" s="1"/>
      <c r="M155" s="1025" t="s">
        <v>223</v>
      </c>
      <c r="N155" s="996">
        <v>0</v>
      </c>
      <c r="O155" s="996">
        <v>0</v>
      </c>
      <c r="P155" s="996">
        <v>0</v>
      </c>
      <c r="Q155" s="996">
        <v>6148491</v>
      </c>
      <c r="R155" s="996">
        <v>0</v>
      </c>
      <c r="S155" s="996">
        <v>0</v>
      </c>
      <c r="T155" s="996">
        <v>0</v>
      </c>
      <c r="U155" s="996"/>
      <c r="V155" s="996">
        <v>0</v>
      </c>
      <c r="W155" s="996">
        <v>0</v>
      </c>
      <c r="X155" s="996">
        <v>4750</v>
      </c>
      <c r="Y155" s="996">
        <v>0</v>
      </c>
      <c r="Z155" s="996">
        <v>0</v>
      </c>
      <c r="AA155" s="996">
        <v>0</v>
      </c>
      <c r="AB155" s="996">
        <v>0</v>
      </c>
      <c r="AC155" s="996">
        <v>0</v>
      </c>
      <c r="AD155" s="996">
        <v>0</v>
      </c>
      <c r="AE155" s="996">
        <v>0</v>
      </c>
      <c r="AF155" s="996">
        <v>0</v>
      </c>
      <c r="AG155" s="996">
        <v>46450</v>
      </c>
      <c r="AH155" s="996">
        <v>0</v>
      </c>
      <c r="AI155" s="996">
        <v>0</v>
      </c>
      <c r="AJ155" s="996">
        <v>0</v>
      </c>
      <c r="AK155" s="996">
        <v>0</v>
      </c>
      <c r="AL155" s="996">
        <v>99000</v>
      </c>
      <c r="AM155" s="996">
        <v>0</v>
      </c>
      <c r="AN155" s="996">
        <v>0</v>
      </c>
      <c r="AO155" s="1"/>
      <c r="AP155" s="1"/>
      <c r="AQ155" s="1"/>
      <c r="AR155" s="1"/>
    </row>
    <row r="156" spans="1:44" ht="46.5">
      <c r="A156" s="1"/>
      <c r="B156" s="1"/>
      <c r="C156" s="1"/>
      <c r="D156" s="900" t="s">
        <v>224</v>
      </c>
      <c r="E156" s="996">
        <v>0</v>
      </c>
      <c r="F156" s="996">
        <v>0</v>
      </c>
      <c r="G156" s="996">
        <v>0</v>
      </c>
      <c r="H156" s="996">
        <v>0</v>
      </c>
      <c r="I156" s="996">
        <v>0</v>
      </c>
      <c r="J156" s="907" t="str">
        <f t="shared" si="0"/>
        <v/>
      </c>
      <c r="K156" s="908">
        <f>IFERROR(INDEX('DB(2) Pivots'!$G$257:$G$405,MATCH('Regional DB'!D156,'DB(2) Pivots'!$A$257:$A$405,0)),"")</f>
        <v>0</v>
      </c>
      <c r="L156" s="1"/>
      <c r="M156" s="1025" t="s">
        <v>224</v>
      </c>
      <c r="N156" s="996">
        <v>0</v>
      </c>
      <c r="O156" s="996">
        <v>0</v>
      </c>
      <c r="P156" s="996">
        <v>0</v>
      </c>
      <c r="Q156" s="996">
        <v>0</v>
      </c>
      <c r="R156" s="996">
        <v>0</v>
      </c>
      <c r="S156" s="996">
        <v>0</v>
      </c>
      <c r="T156" s="996">
        <v>0</v>
      </c>
      <c r="U156" s="996"/>
      <c r="V156" s="996">
        <v>0</v>
      </c>
      <c r="W156" s="996">
        <v>0</v>
      </c>
      <c r="X156" s="996">
        <v>0</v>
      </c>
      <c r="Y156" s="996">
        <v>0</v>
      </c>
      <c r="Z156" s="996">
        <v>0</v>
      </c>
      <c r="AA156" s="996">
        <v>0</v>
      </c>
      <c r="AB156" s="996">
        <v>0</v>
      </c>
      <c r="AC156" s="996">
        <v>0</v>
      </c>
      <c r="AD156" s="996">
        <v>0</v>
      </c>
      <c r="AE156" s="996">
        <v>0</v>
      </c>
      <c r="AF156" s="996">
        <v>0</v>
      </c>
      <c r="AG156" s="996">
        <v>0</v>
      </c>
      <c r="AH156" s="996">
        <v>0</v>
      </c>
      <c r="AI156" s="996">
        <v>0</v>
      </c>
      <c r="AJ156" s="996">
        <v>0</v>
      </c>
      <c r="AK156" s="996">
        <v>0</v>
      </c>
      <c r="AL156" s="996">
        <v>0</v>
      </c>
      <c r="AM156" s="996">
        <v>0</v>
      </c>
      <c r="AN156" s="996">
        <v>0</v>
      </c>
      <c r="AO156" s="1"/>
      <c r="AP156" s="1"/>
      <c r="AQ156" s="1"/>
      <c r="AR156" s="1"/>
    </row>
    <row r="157" spans="1:44">
      <c r="A157" s="1"/>
      <c r="B157" s="1"/>
      <c r="C157" s="1"/>
      <c r="D157" s="900" t="s">
        <v>225</v>
      </c>
      <c r="E157" s="996">
        <v>2000000</v>
      </c>
      <c r="F157" s="996">
        <v>2500000</v>
      </c>
      <c r="G157" s="996">
        <v>649036</v>
      </c>
      <c r="H157" s="996">
        <v>619000</v>
      </c>
      <c r="I157" s="996">
        <v>0</v>
      </c>
      <c r="J157" s="907">
        <f t="shared" ref="J157:J220" si="1">(IF(SUM(E157:I157)=0,"",SUM(E157:I157)))</f>
        <v>5768036</v>
      </c>
      <c r="K157" s="908">
        <f>IFERROR(INDEX('DB(2) Pivots'!$G$257:$G$405,MATCH('Regional DB'!D157,'DB(2) Pivots'!$A$257:$A$405,0)),"")</f>
        <v>3.2151817168338908</v>
      </c>
      <c r="L157" s="1"/>
      <c r="M157" s="1025" t="s">
        <v>225</v>
      </c>
      <c r="N157" s="996">
        <v>0</v>
      </c>
      <c r="O157" s="996">
        <v>0</v>
      </c>
      <c r="P157" s="996">
        <v>2000000</v>
      </c>
      <c r="Q157" s="996">
        <v>0</v>
      </c>
      <c r="R157" s="996">
        <v>0</v>
      </c>
      <c r="S157" s="996">
        <v>0</v>
      </c>
      <c r="T157" s="996">
        <v>0</v>
      </c>
      <c r="U157" s="996"/>
      <c r="V157" s="996">
        <v>0</v>
      </c>
      <c r="W157" s="996">
        <v>0</v>
      </c>
      <c r="X157" s="996">
        <v>0</v>
      </c>
      <c r="Y157" s="996">
        <v>0</v>
      </c>
      <c r="Z157" s="996">
        <v>0</v>
      </c>
      <c r="AA157" s="996">
        <v>2500000</v>
      </c>
      <c r="AB157" s="996">
        <v>0</v>
      </c>
      <c r="AC157" s="996">
        <v>0</v>
      </c>
      <c r="AD157" s="996">
        <v>60336</v>
      </c>
      <c r="AE157" s="996">
        <v>230000</v>
      </c>
      <c r="AF157" s="996">
        <v>230000</v>
      </c>
      <c r="AG157" s="996">
        <v>101700</v>
      </c>
      <c r="AH157" s="996">
        <v>27000</v>
      </c>
      <c r="AI157" s="996">
        <v>0</v>
      </c>
      <c r="AJ157" s="996">
        <v>0</v>
      </c>
      <c r="AK157" s="996">
        <v>619000</v>
      </c>
      <c r="AL157" s="996">
        <v>0</v>
      </c>
      <c r="AM157" s="996">
        <v>0</v>
      </c>
      <c r="AN157" s="996">
        <v>0</v>
      </c>
      <c r="AO157" s="1"/>
      <c r="AP157" s="1"/>
      <c r="AQ157" s="1"/>
      <c r="AR157" s="1"/>
    </row>
    <row r="158" spans="1:44">
      <c r="A158" s="1"/>
      <c r="B158" s="1"/>
      <c r="C158" s="1"/>
      <c r="D158" s="900" t="s">
        <v>226</v>
      </c>
      <c r="E158" s="996">
        <v>3000000</v>
      </c>
      <c r="F158" s="996">
        <v>3000000</v>
      </c>
      <c r="G158" s="996">
        <v>1708778</v>
      </c>
      <c r="H158" s="996">
        <v>1220000</v>
      </c>
      <c r="I158" s="996">
        <v>0</v>
      </c>
      <c r="J158" s="907">
        <f t="shared" si="1"/>
        <v>8928778</v>
      </c>
      <c r="K158" s="908">
        <f>IFERROR(INDEX('DB(2) Pivots'!$G$257:$G$405,MATCH('Regional DB'!D158,'DB(2) Pivots'!$A$257:$A$405,0)),"")</f>
        <v>1.3470595308302356</v>
      </c>
      <c r="L158" s="1"/>
      <c r="M158" s="1025" t="s">
        <v>226</v>
      </c>
      <c r="N158" s="996">
        <v>0</v>
      </c>
      <c r="O158" s="996">
        <v>0</v>
      </c>
      <c r="P158" s="996">
        <v>3000000</v>
      </c>
      <c r="Q158" s="996">
        <v>0</v>
      </c>
      <c r="R158" s="996">
        <v>0</v>
      </c>
      <c r="S158" s="996">
        <v>0</v>
      </c>
      <c r="T158" s="996">
        <v>0</v>
      </c>
      <c r="U158" s="996"/>
      <c r="V158" s="996">
        <v>0</v>
      </c>
      <c r="W158" s="996">
        <v>0</v>
      </c>
      <c r="X158" s="996">
        <v>0</v>
      </c>
      <c r="Y158" s="996">
        <v>0</v>
      </c>
      <c r="Z158" s="996">
        <v>0</v>
      </c>
      <c r="AA158" s="996">
        <v>3000000</v>
      </c>
      <c r="AB158" s="996">
        <v>276200</v>
      </c>
      <c r="AC158" s="996">
        <v>0</v>
      </c>
      <c r="AD158" s="996">
        <v>211426</v>
      </c>
      <c r="AE158" s="996">
        <v>978461</v>
      </c>
      <c r="AF158" s="996">
        <v>0</v>
      </c>
      <c r="AG158" s="996">
        <v>80800</v>
      </c>
      <c r="AH158" s="996">
        <v>161891</v>
      </c>
      <c r="AI158" s="996">
        <v>0</v>
      </c>
      <c r="AJ158" s="996">
        <v>0</v>
      </c>
      <c r="AK158" s="996">
        <v>1220000</v>
      </c>
      <c r="AL158" s="996">
        <v>0</v>
      </c>
      <c r="AM158" s="996">
        <v>0</v>
      </c>
      <c r="AN158" s="996">
        <v>0</v>
      </c>
      <c r="AO158" s="1"/>
      <c r="AP158" s="1"/>
      <c r="AQ158" s="1"/>
      <c r="AR158" s="1"/>
    </row>
    <row r="159" spans="1:44">
      <c r="A159" s="1"/>
      <c r="B159" s="1"/>
      <c r="C159" s="1"/>
      <c r="D159" s="900" t="s">
        <v>227</v>
      </c>
      <c r="E159" s="996">
        <v>5600000</v>
      </c>
      <c r="F159" s="996">
        <v>6688555</v>
      </c>
      <c r="G159" s="996">
        <v>1630302.3333333333</v>
      </c>
      <c r="H159" s="996">
        <v>850000</v>
      </c>
      <c r="I159" s="996">
        <v>248000</v>
      </c>
      <c r="J159" s="907">
        <f t="shared" si="1"/>
        <v>15016857.333333334</v>
      </c>
      <c r="K159" s="908">
        <f>IFERROR(INDEX('DB(2) Pivots'!$G$257:$G$405,MATCH('Regional DB'!D159,'DB(2) Pivots'!$A$257:$A$405,0)),"")</f>
        <v>2.0349815435615581</v>
      </c>
      <c r="L159" s="1"/>
      <c r="M159" s="1025" t="s">
        <v>227</v>
      </c>
      <c r="N159" s="996">
        <v>0</v>
      </c>
      <c r="O159" s="996">
        <v>0</v>
      </c>
      <c r="P159" s="996">
        <v>5600000</v>
      </c>
      <c r="Q159" s="996">
        <v>2711076</v>
      </c>
      <c r="R159" s="996">
        <v>0</v>
      </c>
      <c r="S159" s="996">
        <v>0</v>
      </c>
      <c r="T159" s="996">
        <v>0</v>
      </c>
      <c r="U159" s="996"/>
      <c r="V159" s="996">
        <v>1077479</v>
      </c>
      <c r="W159" s="996">
        <v>0</v>
      </c>
      <c r="X159" s="996">
        <v>0</v>
      </c>
      <c r="Y159" s="996">
        <v>0</v>
      </c>
      <c r="Z159" s="996">
        <v>0</v>
      </c>
      <c r="AA159" s="996">
        <v>2900000</v>
      </c>
      <c r="AB159" s="996">
        <v>0</v>
      </c>
      <c r="AC159" s="996">
        <v>66000</v>
      </c>
      <c r="AD159" s="996">
        <v>134999</v>
      </c>
      <c r="AE159" s="996">
        <v>1185375</v>
      </c>
      <c r="AF159" s="996">
        <v>0</v>
      </c>
      <c r="AG159" s="996">
        <v>66358.333333333328</v>
      </c>
      <c r="AH159" s="996">
        <v>177570</v>
      </c>
      <c r="AI159" s="996">
        <v>0</v>
      </c>
      <c r="AJ159" s="996">
        <v>0</v>
      </c>
      <c r="AK159" s="996">
        <v>850000</v>
      </c>
      <c r="AL159" s="996">
        <v>248000</v>
      </c>
      <c r="AM159" s="996">
        <v>0</v>
      </c>
      <c r="AN159" s="996">
        <v>0</v>
      </c>
      <c r="AO159" s="1"/>
      <c r="AP159" s="1"/>
      <c r="AQ159" s="1"/>
      <c r="AR159" s="1"/>
    </row>
    <row r="160" spans="1:44">
      <c r="A160" s="1"/>
      <c r="B160" s="1"/>
      <c r="C160" s="1"/>
      <c r="D160" s="900" t="s">
        <v>228</v>
      </c>
      <c r="E160" s="996">
        <v>9000000</v>
      </c>
      <c r="F160" s="996">
        <v>3544444</v>
      </c>
      <c r="G160" s="996">
        <v>0</v>
      </c>
      <c r="H160" s="996">
        <v>8535626</v>
      </c>
      <c r="I160" s="996">
        <v>14058</v>
      </c>
      <c r="J160" s="907">
        <f t="shared" si="1"/>
        <v>21094128</v>
      </c>
      <c r="K160" s="908">
        <f>IFERROR(INDEX('DB(2) Pivots'!$G$257:$G$405,MATCH('Regional DB'!D160,'DB(2) Pivots'!$A$257:$A$405,0)),"")</f>
        <v>3.1162147217575735</v>
      </c>
      <c r="L160" s="1"/>
      <c r="M160" s="1025" t="s">
        <v>228</v>
      </c>
      <c r="N160" s="996">
        <v>0</v>
      </c>
      <c r="O160" s="996">
        <v>0</v>
      </c>
      <c r="P160" s="996">
        <v>9000000</v>
      </c>
      <c r="Q160" s="996">
        <v>0</v>
      </c>
      <c r="R160" s="996">
        <v>0</v>
      </c>
      <c r="S160" s="996">
        <v>0</v>
      </c>
      <c r="T160" s="996">
        <v>0</v>
      </c>
      <c r="U160" s="996"/>
      <c r="V160" s="996">
        <v>0</v>
      </c>
      <c r="W160" s="996">
        <v>0</v>
      </c>
      <c r="X160" s="996">
        <v>0</v>
      </c>
      <c r="Y160" s="996">
        <v>0</v>
      </c>
      <c r="Z160" s="996">
        <v>394444</v>
      </c>
      <c r="AA160" s="996">
        <v>3150000</v>
      </c>
      <c r="AB160" s="996">
        <v>0</v>
      </c>
      <c r="AC160" s="996">
        <v>0</v>
      </c>
      <c r="AD160" s="996">
        <v>0</v>
      </c>
      <c r="AE160" s="996">
        <v>0</v>
      </c>
      <c r="AF160" s="996">
        <v>0</v>
      </c>
      <c r="AG160" s="996">
        <v>0</v>
      </c>
      <c r="AH160" s="996">
        <v>0</v>
      </c>
      <c r="AI160" s="996">
        <v>0</v>
      </c>
      <c r="AJ160" s="996">
        <v>0</v>
      </c>
      <c r="AK160" s="996">
        <v>8535626</v>
      </c>
      <c r="AL160" s="996">
        <v>0</v>
      </c>
      <c r="AM160" s="996">
        <v>0</v>
      </c>
      <c r="AN160" s="996">
        <v>14058</v>
      </c>
      <c r="AO160" s="1"/>
      <c r="AP160" s="1"/>
      <c r="AQ160" s="1"/>
      <c r="AR160" s="1"/>
    </row>
    <row r="161" spans="1:44">
      <c r="A161" s="1"/>
      <c r="B161" s="1"/>
      <c r="C161" s="1"/>
      <c r="D161" s="900" t="s">
        <v>229</v>
      </c>
      <c r="E161" s="996">
        <v>5500000</v>
      </c>
      <c r="F161" s="996">
        <v>1860000</v>
      </c>
      <c r="G161" s="996">
        <v>1347898</v>
      </c>
      <c r="H161" s="996">
        <v>1399123</v>
      </c>
      <c r="I161" s="996">
        <v>0</v>
      </c>
      <c r="J161" s="907">
        <f t="shared" si="1"/>
        <v>10107021</v>
      </c>
      <c r="K161" s="908">
        <f>IFERROR(INDEX('DB(2) Pivots'!$G$257:$G$405,MATCH('Regional DB'!D161,'DB(2) Pivots'!$A$257:$A$405,0)),"")</f>
        <v>4.6811984065339338</v>
      </c>
      <c r="L161" s="1"/>
      <c r="M161" s="1025" t="s">
        <v>229</v>
      </c>
      <c r="N161" s="996">
        <v>0</v>
      </c>
      <c r="O161" s="996">
        <v>0</v>
      </c>
      <c r="P161" s="996">
        <v>5500000</v>
      </c>
      <c r="Q161" s="996">
        <v>0</v>
      </c>
      <c r="R161" s="996">
        <v>0</v>
      </c>
      <c r="S161" s="996">
        <v>0</v>
      </c>
      <c r="T161" s="996">
        <v>0</v>
      </c>
      <c r="U161" s="996"/>
      <c r="V161" s="996">
        <v>0</v>
      </c>
      <c r="W161" s="996">
        <v>0</v>
      </c>
      <c r="X161" s="996">
        <v>0</v>
      </c>
      <c r="Y161" s="996">
        <v>0</v>
      </c>
      <c r="Z161" s="996">
        <v>0</v>
      </c>
      <c r="AA161" s="996">
        <v>1860000</v>
      </c>
      <c r="AB161" s="996">
        <v>45600</v>
      </c>
      <c r="AC161" s="996">
        <v>0</v>
      </c>
      <c r="AD161" s="996">
        <v>86879</v>
      </c>
      <c r="AE161" s="996">
        <v>978454</v>
      </c>
      <c r="AF161" s="996">
        <v>0</v>
      </c>
      <c r="AG161" s="996">
        <v>119799.99999999999</v>
      </c>
      <c r="AH161" s="996">
        <v>117165</v>
      </c>
      <c r="AI161" s="996">
        <v>0</v>
      </c>
      <c r="AJ161" s="996">
        <v>679123</v>
      </c>
      <c r="AK161" s="996">
        <v>720000</v>
      </c>
      <c r="AL161" s="996">
        <v>0</v>
      </c>
      <c r="AM161" s="996">
        <v>0</v>
      </c>
      <c r="AN161" s="996">
        <v>0</v>
      </c>
      <c r="AO161" s="1"/>
      <c r="AP161" s="1"/>
      <c r="AQ161" s="1"/>
      <c r="AR161" s="1"/>
    </row>
    <row r="162" spans="1:44">
      <c r="A162" s="1"/>
      <c r="B162" s="1"/>
      <c r="C162" s="1"/>
      <c r="D162" s="900" t="s">
        <v>230</v>
      </c>
      <c r="E162" s="996">
        <v>1700000</v>
      </c>
      <c r="F162" s="996">
        <v>2797224</v>
      </c>
      <c r="G162" s="996">
        <v>1635557.4522222222</v>
      </c>
      <c r="H162" s="996">
        <v>586872</v>
      </c>
      <c r="I162" s="996">
        <v>0</v>
      </c>
      <c r="J162" s="907">
        <f t="shared" si="1"/>
        <v>6719653.4522222225</v>
      </c>
      <c r="K162" s="908">
        <f>IFERROR(INDEX('DB(2) Pivots'!$G$257:$G$405,MATCH('Regional DB'!D162,'DB(2) Pivots'!$A$257:$A$405,0)),"")</f>
        <v>1.2971783087131294</v>
      </c>
      <c r="L162" s="1"/>
      <c r="M162" s="1025" t="s">
        <v>230</v>
      </c>
      <c r="N162" s="996">
        <v>0</v>
      </c>
      <c r="O162" s="996">
        <v>0</v>
      </c>
      <c r="P162" s="996">
        <v>1700000</v>
      </c>
      <c r="Q162" s="996">
        <v>0</v>
      </c>
      <c r="R162" s="996">
        <v>0</v>
      </c>
      <c r="S162" s="996">
        <v>0</v>
      </c>
      <c r="T162" s="996">
        <v>0</v>
      </c>
      <c r="U162" s="996"/>
      <c r="V162" s="996">
        <v>897224</v>
      </c>
      <c r="W162" s="996">
        <v>0</v>
      </c>
      <c r="X162" s="996">
        <v>0</v>
      </c>
      <c r="Y162" s="996">
        <v>0</v>
      </c>
      <c r="Z162" s="996">
        <v>0</v>
      </c>
      <c r="AA162" s="996">
        <v>1900000</v>
      </c>
      <c r="AB162" s="996">
        <v>220600</v>
      </c>
      <c r="AC162" s="996">
        <v>0</v>
      </c>
      <c r="AD162" s="996">
        <v>162026</v>
      </c>
      <c r="AE162" s="996">
        <v>978461</v>
      </c>
      <c r="AF162" s="996">
        <v>0</v>
      </c>
      <c r="AG162" s="996">
        <v>127347.22222222222</v>
      </c>
      <c r="AH162" s="996">
        <v>147123.23000000001</v>
      </c>
      <c r="AI162" s="996">
        <v>0</v>
      </c>
      <c r="AJ162" s="996">
        <v>0</v>
      </c>
      <c r="AK162" s="996">
        <v>586872</v>
      </c>
      <c r="AL162" s="996">
        <v>0</v>
      </c>
      <c r="AM162" s="996">
        <v>0</v>
      </c>
      <c r="AN162" s="996">
        <v>0</v>
      </c>
      <c r="AO162" s="1"/>
      <c r="AP162" s="1"/>
      <c r="AQ162" s="1"/>
      <c r="AR162" s="1"/>
    </row>
    <row r="163" spans="1:44">
      <c r="A163" s="1"/>
      <c r="B163" s="1"/>
      <c r="C163" s="1"/>
      <c r="D163" s="900" t="s">
        <v>231</v>
      </c>
      <c r="E163" s="996">
        <v>0</v>
      </c>
      <c r="F163" s="996">
        <v>2549597</v>
      </c>
      <c r="G163" s="996">
        <v>0</v>
      </c>
      <c r="H163" s="996">
        <v>2789976</v>
      </c>
      <c r="I163" s="996">
        <v>0</v>
      </c>
      <c r="J163" s="907">
        <f t="shared" si="1"/>
        <v>5339573</v>
      </c>
      <c r="K163" s="908">
        <f>IFERROR(INDEX('DB(2) Pivots'!$G$257:$G$405,MATCH('Regional DB'!D163,'DB(2) Pivots'!$A$257:$A$405,0)),"")</f>
        <v>0.76734121449074499</v>
      </c>
      <c r="L163" s="1"/>
      <c r="M163" s="1025" t="s">
        <v>231</v>
      </c>
      <c r="N163" s="996">
        <v>0</v>
      </c>
      <c r="O163" s="996">
        <v>0</v>
      </c>
      <c r="P163" s="996">
        <v>0</v>
      </c>
      <c r="Q163" s="996">
        <v>0</v>
      </c>
      <c r="R163" s="996">
        <v>0</v>
      </c>
      <c r="S163" s="996">
        <v>0</v>
      </c>
      <c r="T163" s="996">
        <v>0</v>
      </c>
      <c r="U163" s="996"/>
      <c r="V163" s="996">
        <v>833333</v>
      </c>
      <c r="W163" s="996">
        <v>0</v>
      </c>
      <c r="X163" s="996">
        <v>0</v>
      </c>
      <c r="Y163" s="996">
        <v>0</v>
      </c>
      <c r="Z163" s="996">
        <v>0</v>
      </c>
      <c r="AA163" s="996">
        <v>1716264</v>
      </c>
      <c r="AB163" s="996">
        <v>0</v>
      </c>
      <c r="AC163" s="996">
        <v>0</v>
      </c>
      <c r="AD163" s="996">
        <v>0</v>
      </c>
      <c r="AE163" s="996">
        <v>0</v>
      </c>
      <c r="AF163" s="996">
        <v>0</v>
      </c>
      <c r="AG163" s="996">
        <v>0</v>
      </c>
      <c r="AH163" s="996">
        <v>0</v>
      </c>
      <c r="AI163" s="996">
        <v>0</v>
      </c>
      <c r="AJ163" s="996">
        <v>1789976</v>
      </c>
      <c r="AK163" s="996">
        <v>1000000</v>
      </c>
      <c r="AL163" s="996">
        <v>0</v>
      </c>
      <c r="AM163" s="996">
        <v>0</v>
      </c>
      <c r="AN163" s="996">
        <v>0</v>
      </c>
      <c r="AO163" s="1"/>
      <c r="AP163" s="1"/>
      <c r="AQ163" s="1"/>
      <c r="AR163" s="1"/>
    </row>
    <row r="164" spans="1:44">
      <c r="A164" s="1"/>
      <c r="B164" s="1"/>
      <c r="C164" s="1"/>
      <c r="D164" s="900" t="s">
        <v>232</v>
      </c>
      <c r="E164" s="996">
        <v>58500000</v>
      </c>
      <c r="F164" s="996">
        <v>2650000</v>
      </c>
      <c r="G164" s="996">
        <v>6978867.7999999998</v>
      </c>
      <c r="H164" s="996">
        <v>2164350</v>
      </c>
      <c r="I164" s="996">
        <v>0</v>
      </c>
      <c r="J164" s="907">
        <f t="shared" si="1"/>
        <v>70293217.799999997</v>
      </c>
      <c r="K164" s="908">
        <f>IFERROR(INDEX('DB(2) Pivots'!$G$257:$G$405,MATCH('Regional DB'!D164,'DB(2) Pivots'!$A$257:$A$405,0)),"")</f>
        <v>2.4727334709872362</v>
      </c>
      <c r="L164" s="1"/>
      <c r="M164" s="1025" t="s">
        <v>232</v>
      </c>
      <c r="N164" s="996">
        <v>0</v>
      </c>
      <c r="O164" s="996">
        <v>0</v>
      </c>
      <c r="P164" s="996">
        <v>58500000</v>
      </c>
      <c r="Q164" s="996">
        <v>0</v>
      </c>
      <c r="R164" s="996">
        <v>0</v>
      </c>
      <c r="S164" s="996">
        <v>0</v>
      </c>
      <c r="T164" s="996">
        <v>0</v>
      </c>
      <c r="U164" s="996"/>
      <c r="V164" s="996">
        <v>0</v>
      </c>
      <c r="W164" s="996">
        <v>0</v>
      </c>
      <c r="X164" s="996">
        <v>0</v>
      </c>
      <c r="Y164" s="996">
        <v>0</v>
      </c>
      <c r="Z164" s="996">
        <v>0</v>
      </c>
      <c r="AA164" s="996">
        <v>2650000</v>
      </c>
      <c r="AB164" s="996">
        <v>688600</v>
      </c>
      <c r="AC164" s="996">
        <v>533106</v>
      </c>
      <c r="AD164" s="996">
        <v>694958</v>
      </c>
      <c r="AE164" s="996">
        <v>4070028</v>
      </c>
      <c r="AF164" s="996">
        <v>0</v>
      </c>
      <c r="AG164" s="996">
        <v>504961.99999999994</v>
      </c>
      <c r="AH164" s="996">
        <v>487213.8</v>
      </c>
      <c r="AI164" s="996">
        <v>0</v>
      </c>
      <c r="AJ164" s="996">
        <v>1064350</v>
      </c>
      <c r="AK164" s="996">
        <v>1100000</v>
      </c>
      <c r="AL164" s="996">
        <v>0</v>
      </c>
      <c r="AM164" s="996">
        <v>0</v>
      </c>
      <c r="AN164" s="996">
        <v>0</v>
      </c>
      <c r="AO164" s="1"/>
      <c r="AP164" s="1"/>
      <c r="AQ164" s="1"/>
      <c r="AR164" s="1"/>
    </row>
    <row r="165" spans="1:44">
      <c r="A165" s="1"/>
      <c r="B165" s="1"/>
      <c r="C165" s="1"/>
      <c r="D165" s="900" t="s">
        <v>233</v>
      </c>
      <c r="E165" s="996">
        <v>4700000</v>
      </c>
      <c r="F165" s="996">
        <v>621248</v>
      </c>
      <c r="G165" s="996">
        <v>2823535</v>
      </c>
      <c r="H165" s="996">
        <v>1066214</v>
      </c>
      <c r="I165" s="996">
        <v>665180</v>
      </c>
      <c r="J165" s="907">
        <f t="shared" si="1"/>
        <v>9876177</v>
      </c>
      <c r="K165" s="908">
        <f>IFERROR(INDEX('DB(2) Pivots'!$G$257:$G$405,MATCH('Regional DB'!D165,'DB(2) Pivots'!$A$257:$A$405,0)),"")</f>
        <v>0.50266374947761006</v>
      </c>
      <c r="L165" s="1"/>
      <c r="M165" s="1025" t="s">
        <v>233</v>
      </c>
      <c r="N165" s="996">
        <v>0</v>
      </c>
      <c r="O165" s="996">
        <v>0</v>
      </c>
      <c r="P165" s="996">
        <v>4700000</v>
      </c>
      <c r="Q165" s="996">
        <v>0</v>
      </c>
      <c r="R165" s="996">
        <v>0</v>
      </c>
      <c r="S165" s="996">
        <v>0</v>
      </c>
      <c r="T165" s="996">
        <v>0</v>
      </c>
      <c r="U165" s="996"/>
      <c r="V165" s="996">
        <v>621248</v>
      </c>
      <c r="W165" s="996">
        <v>0</v>
      </c>
      <c r="X165" s="996">
        <v>0</v>
      </c>
      <c r="Y165" s="996">
        <v>0</v>
      </c>
      <c r="Z165" s="996">
        <v>0</v>
      </c>
      <c r="AA165" s="996">
        <v>0</v>
      </c>
      <c r="AB165" s="996">
        <v>686179</v>
      </c>
      <c r="AC165" s="996">
        <v>0</v>
      </c>
      <c r="AD165" s="996">
        <v>386999</v>
      </c>
      <c r="AE165" s="996">
        <v>1493213</v>
      </c>
      <c r="AF165" s="996">
        <v>0</v>
      </c>
      <c r="AG165" s="996">
        <v>135565</v>
      </c>
      <c r="AH165" s="996">
        <v>121579</v>
      </c>
      <c r="AI165" s="996">
        <v>0</v>
      </c>
      <c r="AJ165" s="996">
        <v>0</v>
      </c>
      <c r="AK165" s="996">
        <v>1066214</v>
      </c>
      <c r="AL165" s="996">
        <v>0</v>
      </c>
      <c r="AM165" s="996">
        <v>0</v>
      </c>
      <c r="AN165" s="996">
        <v>665180</v>
      </c>
      <c r="AO165" s="1"/>
      <c r="AP165" s="1"/>
      <c r="AQ165" s="1"/>
      <c r="AR165" s="1"/>
    </row>
    <row r="166" spans="1:44">
      <c r="A166" s="1"/>
      <c r="B166" s="1"/>
      <c r="C166" s="1"/>
      <c r="D166" s="900" t="s">
        <v>234</v>
      </c>
      <c r="E166" s="996">
        <v>0</v>
      </c>
      <c r="F166" s="996">
        <v>12478586</v>
      </c>
      <c r="G166" s="996">
        <v>0</v>
      </c>
      <c r="H166" s="996">
        <v>0</v>
      </c>
      <c r="I166" s="996">
        <v>272222</v>
      </c>
      <c r="J166" s="907">
        <f t="shared" si="1"/>
        <v>12750808</v>
      </c>
      <c r="K166" s="908">
        <f>IFERROR(INDEX('DB(2) Pivots'!$G$257:$G$405,MATCH('Regional DB'!D166,'DB(2) Pivots'!$A$257:$A$405,0)),"")</f>
        <v>0.38902648705867171</v>
      </c>
      <c r="L166" s="1"/>
      <c r="M166" s="1025" t="s">
        <v>234</v>
      </c>
      <c r="N166" s="996">
        <v>0</v>
      </c>
      <c r="O166" s="996">
        <v>0</v>
      </c>
      <c r="P166" s="996">
        <v>0</v>
      </c>
      <c r="Q166" s="996">
        <v>10290519</v>
      </c>
      <c r="R166" s="996">
        <v>0</v>
      </c>
      <c r="S166" s="996">
        <v>0</v>
      </c>
      <c r="T166" s="996">
        <v>0</v>
      </c>
      <c r="U166" s="996"/>
      <c r="V166" s="996">
        <v>1969467</v>
      </c>
      <c r="W166" s="996">
        <v>0</v>
      </c>
      <c r="X166" s="996">
        <v>0</v>
      </c>
      <c r="Y166" s="996">
        <v>0</v>
      </c>
      <c r="Z166" s="996">
        <v>0</v>
      </c>
      <c r="AA166" s="996">
        <v>218600</v>
      </c>
      <c r="AB166" s="996">
        <v>0</v>
      </c>
      <c r="AC166" s="996">
        <v>0</v>
      </c>
      <c r="AD166" s="996">
        <v>0</v>
      </c>
      <c r="AE166" s="996">
        <v>0</v>
      </c>
      <c r="AF166" s="996">
        <v>0</v>
      </c>
      <c r="AG166" s="996">
        <v>0</v>
      </c>
      <c r="AH166" s="996">
        <v>0</v>
      </c>
      <c r="AI166" s="996">
        <v>0</v>
      </c>
      <c r="AJ166" s="996">
        <v>0</v>
      </c>
      <c r="AK166" s="996">
        <v>0</v>
      </c>
      <c r="AL166" s="996">
        <v>0</v>
      </c>
      <c r="AM166" s="996">
        <v>0</v>
      </c>
      <c r="AN166" s="996">
        <v>272222</v>
      </c>
      <c r="AO166" s="1"/>
      <c r="AP166" s="1"/>
      <c r="AQ166" s="1"/>
      <c r="AR166" s="1"/>
    </row>
    <row r="167" spans="1:44">
      <c r="A167" s="1"/>
      <c r="B167" s="1"/>
      <c r="C167" s="1"/>
      <c r="D167" s="900" t="s">
        <v>235</v>
      </c>
      <c r="E167" s="996">
        <v>0</v>
      </c>
      <c r="F167" s="996">
        <v>1956222</v>
      </c>
      <c r="G167" s="996">
        <v>1125734.3333333333</v>
      </c>
      <c r="H167" s="996">
        <v>77341</v>
      </c>
      <c r="I167" s="996">
        <v>0</v>
      </c>
      <c r="J167" s="907">
        <f t="shared" si="1"/>
        <v>3159297.333333333</v>
      </c>
      <c r="K167" s="908">
        <f>IFERROR(INDEX('DB(2) Pivots'!$G$257:$G$405,MATCH('Regional DB'!D167,'DB(2) Pivots'!$A$257:$A$405,0)),"")</f>
        <v>5.8115914302883134</v>
      </c>
      <c r="L167" s="1"/>
      <c r="M167" s="1025" t="s">
        <v>235</v>
      </c>
      <c r="N167" s="996">
        <v>0</v>
      </c>
      <c r="O167" s="996">
        <v>0</v>
      </c>
      <c r="P167" s="996">
        <v>0</v>
      </c>
      <c r="Q167" s="996">
        <v>0</v>
      </c>
      <c r="R167" s="996">
        <v>0</v>
      </c>
      <c r="S167" s="996">
        <v>0</v>
      </c>
      <c r="T167" s="996">
        <v>0</v>
      </c>
      <c r="U167" s="996"/>
      <c r="V167" s="996">
        <v>956222</v>
      </c>
      <c r="W167" s="996">
        <v>0</v>
      </c>
      <c r="X167" s="996">
        <v>0</v>
      </c>
      <c r="Y167" s="996">
        <v>0</v>
      </c>
      <c r="Z167" s="996">
        <v>0</v>
      </c>
      <c r="AA167" s="996">
        <v>1000000</v>
      </c>
      <c r="AB167" s="996">
        <v>0</v>
      </c>
      <c r="AC167" s="996">
        <v>0</v>
      </c>
      <c r="AD167" s="996">
        <v>60026</v>
      </c>
      <c r="AE167" s="996">
        <v>230000</v>
      </c>
      <c r="AF167" s="996">
        <v>230000</v>
      </c>
      <c r="AG167" s="996">
        <v>115708.33333333333</v>
      </c>
      <c r="AH167" s="996">
        <v>490000.00000000006</v>
      </c>
      <c r="AI167" s="996">
        <v>0</v>
      </c>
      <c r="AJ167" s="996">
        <v>0</v>
      </c>
      <c r="AK167" s="996">
        <v>77341</v>
      </c>
      <c r="AL167" s="996">
        <v>0</v>
      </c>
      <c r="AM167" s="996">
        <v>0</v>
      </c>
      <c r="AN167" s="996">
        <v>0</v>
      </c>
      <c r="AO167" s="1"/>
      <c r="AP167" s="1"/>
      <c r="AQ167" s="1"/>
      <c r="AR167" s="1"/>
    </row>
    <row r="168" spans="1:44">
      <c r="A168" s="1"/>
      <c r="B168" s="1"/>
      <c r="C168" s="1"/>
      <c r="D168" s="900" t="s">
        <v>236</v>
      </c>
      <c r="E168" s="996">
        <v>8000000</v>
      </c>
      <c r="F168" s="996">
        <v>4025390</v>
      </c>
      <c r="G168" s="996">
        <v>6569389</v>
      </c>
      <c r="H168" s="996">
        <v>2913424</v>
      </c>
      <c r="I168" s="996">
        <v>0</v>
      </c>
      <c r="J168" s="907">
        <f t="shared" si="1"/>
        <v>21508203</v>
      </c>
      <c r="K168" s="908">
        <f>IFERROR(INDEX('DB(2) Pivots'!$G$257:$G$405,MATCH('Regional DB'!D168,'DB(2) Pivots'!$A$257:$A$405,0)),"")</f>
        <v>1.0312853679881839</v>
      </c>
      <c r="L168" s="1"/>
      <c r="M168" s="1025" t="s">
        <v>236</v>
      </c>
      <c r="N168" s="996">
        <v>0</v>
      </c>
      <c r="O168" s="996">
        <v>0</v>
      </c>
      <c r="P168" s="996">
        <v>8000000</v>
      </c>
      <c r="Q168" s="996">
        <v>0</v>
      </c>
      <c r="R168" s="996">
        <v>0</v>
      </c>
      <c r="S168" s="996">
        <v>0</v>
      </c>
      <c r="T168" s="996">
        <v>0</v>
      </c>
      <c r="U168" s="996"/>
      <c r="V168" s="996">
        <v>925390</v>
      </c>
      <c r="W168" s="996">
        <v>0</v>
      </c>
      <c r="X168" s="996">
        <v>0</v>
      </c>
      <c r="Y168" s="996">
        <v>0</v>
      </c>
      <c r="Z168" s="996">
        <v>0</v>
      </c>
      <c r="AA168" s="996">
        <v>3100000</v>
      </c>
      <c r="AB168" s="996">
        <v>1350000</v>
      </c>
      <c r="AC168" s="996">
        <v>700000</v>
      </c>
      <c r="AD168" s="996">
        <v>530000</v>
      </c>
      <c r="AE168" s="996">
        <v>3105169</v>
      </c>
      <c r="AF168" s="996">
        <v>0</v>
      </c>
      <c r="AG168" s="996">
        <v>396300</v>
      </c>
      <c r="AH168" s="996">
        <v>487920</v>
      </c>
      <c r="AI168" s="996">
        <v>0</v>
      </c>
      <c r="AJ168" s="996">
        <v>1110635</v>
      </c>
      <c r="AK168" s="996">
        <v>1802789</v>
      </c>
      <c r="AL168" s="996">
        <v>0</v>
      </c>
      <c r="AM168" s="996">
        <v>0</v>
      </c>
      <c r="AN168" s="996">
        <v>0</v>
      </c>
      <c r="AO168" s="1"/>
      <c r="AP168" s="1"/>
      <c r="AQ168" s="1"/>
      <c r="AR168" s="1"/>
    </row>
    <row r="169" spans="1:44" ht="31">
      <c r="A169" s="1"/>
      <c r="B169" s="1"/>
      <c r="C169" s="1"/>
      <c r="D169" s="900" t="s">
        <v>237</v>
      </c>
      <c r="E169" s="996">
        <v>0</v>
      </c>
      <c r="F169" s="996">
        <v>0</v>
      </c>
      <c r="G169" s="996">
        <v>129000</v>
      </c>
      <c r="H169" s="996">
        <v>0</v>
      </c>
      <c r="I169" s="996">
        <v>0</v>
      </c>
      <c r="J169" s="907">
        <f t="shared" si="1"/>
        <v>129000</v>
      </c>
      <c r="K169" s="908">
        <f>IFERROR(INDEX('DB(2) Pivots'!$G$257:$G$405,MATCH('Regional DB'!D169,'DB(2) Pivots'!$A$257:$A$405,0)),"")</f>
        <v>2.2084125109136665</v>
      </c>
      <c r="L169" s="1"/>
      <c r="M169" s="1025" t="s">
        <v>237</v>
      </c>
      <c r="N169" s="996">
        <v>0</v>
      </c>
      <c r="O169" s="996">
        <v>0</v>
      </c>
      <c r="P169" s="996">
        <v>0</v>
      </c>
      <c r="Q169" s="996">
        <v>0</v>
      </c>
      <c r="R169" s="996">
        <v>0</v>
      </c>
      <c r="S169" s="996">
        <v>0</v>
      </c>
      <c r="T169" s="996">
        <v>0</v>
      </c>
      <c r="U169" s="996"/>
      <c r="V169" s="996">
        <v>0</v>
      </c>
      <c r="W169" s="996">
        <v>0</v>
      </c>
      <c r="X169" s="996">
        <v>0</v>
      </c>
      <c r="Y169" s="996">
        <v>0</v>
      </c>
      <c r="Z169" s="996">
        <v>0</v>
      </c>
      <c r="AA169" s="996">
        <v>0</v>
      </c>
      <c r="AB169" s="996">
        <v>0</v>
      </c>
      <c r="AC169" s="996">
        <v>0</v>
      </c>
      <c r="AD169" s="996">
        <v>0</v>
      </c>
      <c r="AE169" s="996">
        <v>0</v>
      </c>
      <c r="AF169" s="996">
        <v>0</v>
      </c>
      <c r="AG169" s="996">
        <v>63999.999999999993</v>
      </c>
      <c r="AH169" s="996">
        <v>65000</v>
      </c>
      <c r="AI169" s="996">
        <v>0</v>
      </c>
      <c r="AJ169" s="996">
        <v>0</v>
      </c>
      <c r="AK169" s="996">
        <v>0</v>
      </c>
      <c r="AL169" s="996">
        <v>0</v>
      </c>
      <c r="AM169" s="996">
        <v>0</v>
      </c>
      <c r="AN169" s="996">
        <v>0</v>
      </c>
      <c r="AO169" s="1"/>
      <c r="AP169" s="1"/>
      <c r="AQ169" s="1"/>
      <c r="AR169" s="1"/>
    </row>
    <row r="170" spans="1:44">
      <c r="A170" s="1"/>
      <c r="B170" s="1"/>
      <c r="C170" s="1"/>
      <c r="D170" s="900" t="s">
        <v>238</v>
      </c>
      <c r="E170" s="996">
        <v>16399999.999999998</v>
      </c>
      <c r="F170" s="996">
        <v>1689481</v>
      </c>
      <c r="G170" s="996">
        <v>1663938.52</v>
      </c>
      <c r="H170" s="996">
        <v>535076</v>
      </c>
      <c r="I170" s="996">
        <v>0</v>
      </c>
      <c r="J170" s="907">
        <f t="shared" si="1"/>
        <v>20288495.52</v>
      </c>
      <c r="K170" s="908">
        <f>IFERROR(INDEX('DB(2) Pivots'!$G$257:$G$405,MATCH('Regional DB'!D170,'DB(2) Pivots'!$A$257:$A$405,0)),"")</f>
        <v>4.2488017071858026</v>
      </c>
      <c r="L170" s="1"/>
      <c r="M170" s="1025" t="s">
        <v>238</v>
      </c>
      <c r="N170" s="996">
        <v>0</v>
      </c>
      <c r="O170" s="996">
        <v>0</v>
      </c>
      <c r="P170" s="996">
        <v>16399999.999999998</v>
      </c>
      <c r="Q170" s="996">
        <v>0</v>
      </c>
      <c r="R170" s="996">
        <v>0</v>
      </c>
      <c r="S170" s="996">
        <v>0</v>
      </c>
      <c r="T170" s="996">
        <v>0</v>
      </c>
      <c r="U170" s="996"/>
      <c r="V170" s="996">
        <v>826642</v>
      </c>
      <c r="W170" s="996">
        <v>0</v>
      </c>
      <c r="X170" s="996">
        <v>0</v>
      </c>
      <c r="Y170" s="996">
        <v>0</v>
      </c>
      <c r="Z170" s="996">
        <v>0</v>
      </c>
      <c r="AA170" s="996">
        <v>862839</v>
      </c>
      <c r="AB170" s="996">
        <v>175000</v>
      </c>
      <c r="AC170" s="996">
        <v>0</v>
      </c>
      <c r="AD170" s="996">
        <v>180361</v>
      </c>
      <c r="AE170" s="996">
        <v>978364</v>
      </c>
      <c r="AF170" s="996">
        <v>0</v>
      </c>
      <c r="AG170" s="996">
        <v>135300</v>
      </c>
      <c r="AH170" s="996">
        <v>194913.52</v>
      </c>
      <c r="AI170" s="996">
        <v>0</v>
      </c>
      <c r="AJ170" s="996">
        <v>0</v>
      </c>
      <c r="AK170" s="996">
        <v>535076</v>
      </c>
      <c r="AL170" s="996">
        <v>0</v>
      </c>
      <c r="AM170" s="996">
        <v>0</v>
      </c>
      <c r="AN170" s="996">
        <v>0</v>
      </c>
      <c r="AO170" s="1"/>
      <c r="AP170" s="1"/>
      <c r="AQ170" s="1"/>
      <c r="AR170" s="1"/>
    </row>
    <row r="171" spans="1:44">
      <c r="A171" s="1"/>
      <c r="B171" s="1"/>
      <c r="C171" s="1"/>
      <c r="D171" s="900" t="s">
        <v>239</v>
      </c>
      <c r="E171" s="996">
        <v>0</v>
      </c>
      <c r="F171" s="996">
        <v>250000</v>
      </c>
      <c r="G171" s="996">
        <v>0</v>
      </c>
      <c r="H171" s="996">
        <v>0</v>
      </c>
      <c r="I171" s="996">
        <v>0</v>
      </c>
      <c r="J171" s="907">
        <f t="shared" si="1"/>
        <v>250000</v>
      </c>
      <c r="K171" s="908">
        <f>IFERROR(INDEX('DB(2) Pivots'!$G$257:$G$405,MATCH('Regional DB'!D171,'DB(2) Pivots'!$A$257:$A$405,0)),"")</f>
        <v>0.1963204829797994</v>
      </c>
      <c r="L171" s="1"/>
      <c r="M171" s="1025" t="s">
        <v>239</v>
      </c>
      <c r="N171" s="996">
        <v>0</v>
      </c>
      <c r="O171" s="996">
        <v>0</v>
      </c>
      <c r="P171" s="996">
        <v>0</v>
      </c>
      <c r="Q171" s="996">
        <v>0</v>
      </c>
      <c r="R171" s="996">
        <v>0</v>
      </c>
      <c r="S171" s="996">
        <v>0</v>
      </c>
      <c r="T171" s="996">
        <v>0</v>
      </c>
      <c r="U171" s="996"/>
      <c r="V171" s="996">
        <v>0</v>
      </c>
      <c r="W171" s="996">
        <v>0</v>
      </c>
      <c r="X171" s="996">
        <v>0</v>
      </c>
      <c r="Y171" s="996">
        <v>0</v>
      </c>
      <c r="Z171" s="996">
        <v>0</v>
      </c>
      <c r="AA171" s="996">
        <v>250000</v>
      </c>
      <c r="AB171" s="996">
        <v>0</v>
      </c>
      <c r="AC171" s="996">
        <v>0</v>
      </c>
      <c r="AD171" s="996">
        <v>0</v>
      </c>
      <c r="AE171" s="996">
        <v>0</v>
      </c>
      <c r="AF171" s="996">
        <v>0</v>
      </c>
      <c r="AG171" s="996">
        <v>0</v>
      </c>
      <c r="AH171" s="996">
        <v>0</v>
      </c>
      <c r="AI171" s="996">
        <v>0</v>
      </c>
      <c r="AJ171" s="996">
        <v>0</v>
      </c>
      <c r="AK171" s="996">
        <v>0</v>
      </c>
      <c r="AL171" s="996">
        <v>0</v>
      </c>
      <c r="AM171" s="996">
        <v>0</v>
      </c>
      <c r="AN171" s="996">
        <v>0</v>
      </c>
      <c r="AO171" s="1"/>
      <c r="AP171" s="1"/>
      <c r="AQ171" s="1"/>
      <c r="AR171" s="1"/>
    </row>
    <row r="172" spans="1:44">
      <c r="A172" s="1"/>
      <c r="B172" s="1"/>
      <c r="C172" s="1"/>
      <c r="D172" s="900" t="s">
        <v>240</v>
      </c>
      <c r="E172" s="996">
        <v>0</v>
      </c>
      <c r="F172" s="996">
        <v>0</v>
      </c>
      <c r="G172" s="996">
        <v>0</v>
      </c>
      <c r="H172" s="996">
        <v>0</v>
      </c>
      <c r="I172" s="996">
        <v>0</v>
      </c>
      <c r="J172" s="907" t="str">
        <f t="shared" si="1"/>
        <v/>
      </c>
      <c r="K172" s="908">
        <f>IFERROR(INDEX('DB(2) Pivots'!$G$257:$G$405,MATCH('Regional DB'!D172,'DB(2) Pivots'!$A$257:$A$405,0)),"")</f>
        <v>0</v>
      </c>
      <c r="L172" s="1"/>
      <c r="M172" s="1025" t="s">
        <v>240</v>
      </c>
      <c r="N172" s="996">
        <v>0</v>
      </c>
      <c r="O172" s="996">
        <v>0</v>
      </c>
      <c r="P172" s="996">
        <v>0</v>
      </c>
      <c r="Q172" s="996">
        <v>0</v>
      </c>
      <c r="R172" s="996">
        <v>0</v>
      </c>
      <c r="S172" s="996">
        <v>0</v>
      </c>
      <c r="T172" s="996">
        <v>0</v>
      </c>
      <c r="U172" s="996"/>
      <c r="V172" s="996">
        <v>0</v>
      </c>
      <c r="W172" s="996">
        <v>0</v>
      </c>
      <c r="X172" s="996">
        <v>0</v>
      </c>
      <c r="Y172" s="996">
        <v>0</v>
      </c>
      <c r="Z172" s="996">
        <v>0</v>
      </c>
      <c r="AA172" s="996">
        <v>0</v>
      </c>
      <c r="AB172" s="996">
        <v>0</v>
      </c>
      <c r="AC172" s="996">
        <v>0</v>
      </c>
      <c r="AD172" s="996">
        <v>0</v>
      </c>
      <c r="AE172" s="996">
        <v>0</v>
      </c>
      <c r="AF172" s="996">
        <v>0</v>
      </c>
      <c r="AG172" s="996">
        <v>0</v>
      </c>
      <c r="AH172" s="996">
        <v>0</v>
      </c>
      <c r="AI172" s="996">
        <v>0</v>
      </c>
      <c r="AJ172" s="996">
        <v>0</v>
      </c>
      <c r="AK172" s="996">
        <v>0</v>
      </c>
      <c r="AL172" s="996">
        <v>0</v>
      </c>
      <c r="AM172" s="996">
        <v>0</v>
      </c>
      <c r="AN172" s="996">
        <v>0</v>
      </c>
      <c r="AO172" s="1"/>
      <c r="AP172" s="1"/>
      <c r="AQ172" s="1"/>
      <c r="AR172" s="1"/>
    </row>
    <row r="173" spans="1:44">
      <c r="A173" s="1"/>
      <c r="B173" s="1"/>
      <c r="C173" s="1"/>
      <c r="D173" s="900" t="s">
        <v>241</v>
      </c>
      <c r="E173" s="996">
        <v>0</v>
      </c>
      <c r="F173" s="996">
        <v>1867534</v>
      </c>
      <c r="G173" s="996">
        <v>482000</v>
      </c>
      <c r="H173" s="996">
        <v>0</v>
      </c>
      <c r="I173" s="996">
        <v>0</v>
      </c>
      <c r="J173" s="907">
        <f t="shared" si="1"/>
        <v>2349534</v>
      </c>
      <c r="K173" s="908">
        <f>IFERROR(INDEX('DB(2) Pivots'!$G$257:$G$405,MATCH('Regional DB'!D173,'DB(2) Pivots'!$A$257:$A$405,0)),"")</f>
        <v>20.210175906412626</v>
      </c>
      <c r="L173" s="1"/>
      <c r="M173" s="1025" t="s">
        <v>241</v>
      </c>
      <c r="N173" s="996">
        <v>0</v>
      </c>
      <c r="O173" s="996">
        <v>0</v>
      </c>
      <c r="P173" s="996">
        <v>0</v>
      </c>
      <c r="Q173" s="996">
        <v>0</v>
      </c>
      <c r="R173" s="996">
        <v>1730708</v>
      </c>
      <c r="S173" s="996">
        <v>0</v>
      </c>
      <c r="T173" s="996">
        <v>0</v>
      </c>
      <c r="U173" s="996"/>
      <c r="V173" s="996">
        <v>136826</v>
      </c>
      <c r="W173" s="996">
        <v>0</v>
      </c>
      <c r="X173" s="996">
        <v>0</v>
      </c>
      <c r="Y173" s="996">
        <v>0</v>
      </c>
      <c r="Z173" s="996">
        <v>0</v>
      </c>
      <c r="AA173" s="996">
        <v>0</v>
      </c>
      <c r="AB173" s="996">
        <v>0</v>
      </c>
      <c r="AC173" s="996">
        <v>0</v>
      </c>
      <c r="AD173" s="996">
        <v>0</v>
      </c>
      <c r="AE173" s="996">
        <v>0</v>
      </c>
      <c r="AF173" s="996">
        <v>230000</v>
      </c>
      <c r="AG173" s="996">
        <v>72000</v>
      </c>
      <c r="AH173" s="996">
        <v>180000</v>
      </c>
      <c r="AI173" s="996">
        <v>0</v>
      </c>
      <c r="AJ173" s="996">
        <v>0</v>
      </c>
      <c r="AK173" s="996">
        <v>0</v>
      </c>
      <c r="AL173" s="996">
        <v>0</v>
      </c>
      <c r="AM173" s="996">
        <v>0</v>
      </c>
      <c r="AN173" s="996">
        <v>0</v>
      </c>
      <c r="AO173" s="1"/>
      <c r="AP173" s="1"/>
      <c r="AQ173" s="1"/>
      <c r="AR173" s="1"/>
    </row>
    <row r="174" spans="1:44">
      <c r="A174" s="1"/>
      <c r="B174" s="1"/>
      <c r="C174" s="1"/>
      <c r="D174" s="900" t="s">
        <v>242</v>
      </c>
      <c r="E174" s="996">
        <v>9800000</v>
      </c>
      <c r="F174" s="996">
        <v>1900000</v>
      </c>
      <c r="G174" s="996">
        <v>961193.14999999991</v>
      </c>
      <c r="H174" s="996">
        <v>672500</v>
      </c>
      <c r="I174" s="996">
        <v>0</v>
      </c>
      <c r="J174" s="907">
        <f t="shared" si="1"/>
        <v>13333693.15</v>
      </c>
      <c r="K174" s="908">
        <f>IFERROR(INDEX('DB(2) Pivots'!$G$257:$G$405,MATCH('Regional DB'!D174,'DB(2) Pivots'!$A$257:$A$405,0)),"")</f>
        <v>3.3135214492951706</v>
      </c>
      <c r="L174" s="1"/>
      <c r="M174" s="1025" t="s">
        <v>242</v>
      </c>
      <c r="N174" s="996">
        <v>0</v>
      </c>
      <c r="O174" s="996">
        <v>0</v>
      </c>
      <c r="P174" s="996">
        <v>9800000</v>
      </c>
      <c r="Q174" s="996">
        <v>0</v>
      </c>
      <c r="R174" s="996">
        <v>0</v>
      </c>
      <c r="S174" s="996">
        <v>0</v>
      </c>
      <c r="T174" s="996">
        <v>0</v>
      </c>
      <c r="U174" s="996"/>
      <c r="V174" s="996">
        <v>0</v>
      </c>
      <c r="W174" s="996">
        <v>0</v>
      </c>
      <c r="X174" s="996">
        <v>0</v>
      </c>
      <c r="Y174" s="996">
        <v>0</v>
      </c>
      <c r="Z174" s="996">
        <v>0</v>
      </c>
      <c r="AA174" s="996">
        <v>1900000</v>
      </c>
      <c r="AB174" s="996">
        <v>0</v>
      </c>
      <c r="AC174" s="996">
        <v>0</v>
      </c>
      <c r="AD174" s="996">
        <v>90649</v>
      </c>
      <c r="AE174" s="996">
        <v>367944</v>
      </c>
      <c r="AF174" s="996">
        <v>370000.2</v>
      </c>
      <c r="AG174" s="996">
        <v>37600</v>
      </c>
      <c r="AH174" s="996">
        <v>94999.950000000012</v>
      </c>
      <c r="AI174" s="996">
        <v>0</v>
      </c>
      <c r="AJ174" s="996">
        <v>0</v>
      </c>
      <c r="AK174" s="996">
        <v>672500</v>
      </c>
      <c r="AL174" s="996">
        <v>0</v>
      </c>
      <c r="AM174" s="996">
        <v>0</v>
      </c>
      <c r="AN174" s="996">
        <v>0</v>
      </c>
      <c r="AO174" s="1"/>
      <c r="AP174" s="1"/>
      <c r="AQ174" s="1"/>
      <c r="AR174" s="1"/>
    </row>
    <row r="175" spans="1:44">
      <c r="A175" s="1"/>
      <c r="B175" s="1"/>
      <c r="C175" s="1"/>
      <c r="D175" s="900" t="s">
        <v>243</v>
      </c>
      <c r="E175" s="996">
        <v>25500000</v>
      </c>
      <c r="F175" s="996">
        <v>11611111</v>
      </c>
      <c r="G175" s="996">
        <v>680067</v>
      </c>
      <c r="H175" s="996">
        <v>0</v>
      </c>
      <c r="I175" s="996">
        <v>99000</v>
      </c>
      <c r="J175" s="907">
        <f t="shared" si="1"/>
        <v>37890178</v>
      </c>
      <c r="K175" s="908">
        <f>IFERROR(INDEX('DB(2) Pivots'!$G$257:$G$405,MATCH('Regional DB'!D175,'DB(2) Pivots'!$A$257:$A$405,0)),"")</f>
        <v>11.380885728514436</v>
      </c>
      <c r="L175" s="1"/>
      <c r="M175" s="1025" t="s">
        <v>243</v>
      </c>
      <c r="N175" s="996">
        <v>0</v>
      </c>
      <c r="O175" s="996">
        <v>0</v>
      </c>
      <c r="P175" s="996">
        <v>25500000</v>
      </c>
      <c r="Q175" s="996">
        <v>0</v>
      </c>
      <c r="R175" s="996">
        <v>0</v>
      </c>
      <c r="S175" s="996">
        <v>0</v>
      </c>
      <c r="T175" s="996">
        <v>0</v>
      </c>
      <c r="U175" s="996"/>
      <c r="V175" s="996">
        <v>11111111</v>
      </c>
      <c r="W175" s="996">
        <v>0</v>
      </c>
      <c r="X175" s="996">
        <v>0</v>
      </c>
      <c r="Y175" s="996">
        <v>0</v>
      </c>
      <c r="Z175" s="996">
        <v>0</v>
      </c>
      <c r="AA175" s="996">
        <v>500000</v>
      </c>
      <c r="AB175" s="996">
        <v>0</v>
      </c>
      <c r="AC175" s="996">
        <v>0</v>
      </c>
      <c r="AD175" s="996">
        <v>71067</v>
      </c>
      <c r="AE175" s="996">
        <v>230000</v>
      </c>
      <c r="AF175" s="996">
        <v>230000</v>
      </c>
      <c r="AG175" s="996">
        <v>123999.99999999999</v>
      </c>
      <c r="AH175" s="996">
        <v>25000</v>
      </c>
      <c r="AI175" s="996">
        <v>0</v>
      </c>
      <c r="AJ175" s="996">
        <v>0</v>
      </c>
      <c r="AK175" s="996">
        <v>0</v>
      </c>
      <c r="AL175" s="996">
        <v>99000</v>
      </c>
      <c r="AM175" s="996">
        <v>0</v>
      </c>
      <c r="AN175" s="996">
        <v>0</v>
      </c>
      <c r="AO175" s="1"/>
      <c r="AP175" s="1"/>
      <c r="AQ175" s="1"/>
      <c r="AR175" s="1"/>
    </row>
    <row r="176" spans="1:44">
      <c r="A176" s="1"/>
      <c r="B176" s="1"/>
      <c r="C176" s="1"/>
      <c r="D176" s="900" t="s">
        <v>244</v>
      </c>
      <c r="E176" s="996">
        <v>0</v>
      </c>
      <c r="F176" s="996">
        <v>800000</v>
      </c>
      <c r="G176" s="996">
        <v>0</v>
      </c>
      <c r="H176" s="996">
        <v>100000</v>
      </c>
      <c r="I176" s="996">
        <v>0</v>
      </c>
      <c r="J176" s="907">
        <f t="shared" si="1"/>
        <v>900000</v>
      </c>
      <c r="K176" s="908">
        <f>IFERROR(INDEX('DB(2) Pivots'!$G$257:$G$405,MATCH('Regional DB'!D176,'DB(2) Pivots'!$A$257:$A$405,0)),"")</f>
        <v>1.4330046445272757</v>
      </c>
      <c r="L176" s="1"/>
      <c r="M176" s="1025" t="s">
        <v>244</v>
      </c>
      <c r="N176" s="996">
        <v>0</v>
      </c>
      <c r="O176" s="996">
        <v>0</v>
      </c>
      <c r="P176" s="996">
        <v>0</v>
      </c>
      <c r="Q176" s="996">
        <v>0</v>
      </c>
      <c r="R176" s="996">
        <v>0</v>
      </c>
      <c r="S176" s="996">
        <v>0</v>
      </c>
      <c r="T176" s="996">
        <v>0</v>
      </c>
      <c r="U176" s="996"/>
      <c r="V176" s="996">
        <v>0</v>
      </c>
      <c r="W176" s="996">
        <v>0</v>
      </c>
      <c r="X176" s="996">
        <v>0</v>
      </c>
      <c r="Y176" s="996">
        <v>0</v>
      </c>
      <c r="Z176" s="996">
        <v>0</v>
      </c>
      <c r="AA176" s="996">
        <v>800000</v>
      </c>
      <c r="AB176" s="996">
        <v>0</v>
      </c>
      <c r="AC176" s="996">
        <v>0</v>
      </c>
      <c r="AD176" s="996">
        <v>0</v>
      </c>
      <c r="AE176" s="996">
        <v>0</v>
      </c>
      <c r="AF176" s="996">
        <v>0</v>
      </c>
      <c r="AG176" s="996">
        <v>0</v>
      </c>
      <c r="AH176" s="996">
        <v>0</v>
      </c>
      <c r="AI176" s="996">
        <v>0</v>
      </c>
      <c r="AJ176" s="996">
        <v>0</v>
      </c>
      <c r="AK176" s="996">
        <v>100000</v>
      </c>
      <c r="AL176" s="996">
        <v>0</v>
      </c>
      <c r="AM176" s="996">
        <v>0</v>
      </c>
      <c r="AN176" s="996">
        <v>0</v>
      </c>
      <c r="AO176" s="1"/>
      <c r="AP176" s="1"/>
      <c r="AQ176" s="1"/>
      <c r="AR176" s="1"/>
    </row>
    <row r="177" spans="1:44">
      <c r="A177" s="1"/>
      <c r="B177" s="1"/>
      <c r="C177" s="1"/>
      <c r="D177" s="900" t="s">
        <v>245</v>
      </c>
      <c r="E177" s="996">
        <v>0</v>
      </c>
      <c r="F177" s="996">
        <v>3750000</v>
      </c>
      <c r="G177" s="996">
        <v>236000</v>
      </c>
      <c r="H177" s="996">
        <v>200000</v>
      </c>
      <c r="I177" s="996">
        <v>0</v>
      </c>
      <c r="J177" s="907">
        <f t="shared" si="1"/>
        <v>4186000</v>
      </c>
      <c r="K177" s="908">
        <f>IFERROR(INDEX('DB(2) Pivots'!$G$257:$G$405,MATCH('Regional DB'!D177,'DB(2) Pivots'!$A$257:$A$405,0)),"")</f>
        <v>0.11209061120096896</v>
      </c>
      <c r="L177" s="1"/>
      <c r="M177" s="1025" t="s">
        <v>245</v>
      </c>
      <c r="N177" s="996">
        <v>0</v>
      </c>
      <c r="O177" s="996">
        <v>0</v>
      </c>
      <c r="P177" s="996">
        <v>0</v>
      </c>
      <c r="Q177" s="996">
        <v>0</v>
      </c>
      <c r="R177" s="996">
        <v>0</v>
      </c>
      <c r="S177" s="996">
        <v>0</v>
      </c>
      <c r="T177" s="996">
        <v>0</v>
      </c>
      <c r="U177" s="996"/>
      <c r="V177" s="996">
        <v>0</v>
      </c>
      <c r="W177" s="996">
        <v>0</v>
      </c>
      <c r="X177" s="996">
        <v>0</v>
      </c>
      <c r="Y177" s="996">
        <v>0</v>
      </c>
      <c r="Z177" s="996">
        <v>0</v>
      </c>
      <c r="AA177" s="996">
        <v>3750000</v>
      </c>
      <c r="AB177" s="996">
        <v>50000</v>
      </c>
      <c r="AC177" s="996">
        <v>0</v>
      </c>
      <c r="AD177" s="996">
        <v>0</v>
      </c>
      <c r="AE177" s="996">
        <v>0</v>
      </c>
      <c r="AF177" s="996">
        <v>100000</v>
      </c>
      <c r="AG177" s="996">
        <v>20000</v>
      </c>
      <c r="AH177" s="996">
        <v>66000</v>
      </c>
      <c r="AI177" s="996">
        <v>0</v>
      </c>
      <c r="AJ177" s="996">
        <v>0</v>
      </c>
      <c r="AK177" s="996">
        <v>200000</v>
      </c>
      <c r="AL177" s="996">
        <v>0</v>
      </c>
      <c r="AM177" s="996">
        <v>0</v>
      </c>
      <c r="AN177" s="996">
        <v>0</v>
      </c>
      <c r="AO177" s="1"/>
      <c r="AP177" s="1"/>
      <c r="AQ177" s="1"/>
      <c r="AR177" s="1"/>
    </row>
    <row r="178" spans="1:44" ht="31">
      <c r="A178" s="1"/>
      <c r="B178" s="1"/>
      <c r="C178" s="1"/>
      <c r="D178" s="900" t="s">
        <v>246</v>
      </c>
      <c r="E178" s="996">
        <v>25000000</v>
      </c>
      <c r="F178" s="996">
        <v>4119732</v>
      </c>
      <c r="G178" s="996">
        <v>6713673.0229629632</v>
      </c>
      <c r="H178" s="996">
        <v>860469</v>
      </c>
      <c r="I178" s="996">
        <v>1328000</v>
      </c>
      <c r="J178" s="907">
        <f t="shared" si="1"/>
        <v>38021874.022962965</v>
      </c>
      <c r="K178" s="908">
        <f>IFERROR(INDEX('DB(2) Pivots'!$G$257:$G$405,MATCH('Regional DB'!D178,'DB(2) Pivots'!$A$257:$A$405,0)),"")</f>
        <v>1.1821602719196196</v>
      </c>
      <c r="L178" s="1"/>
      <c r="M178" s="1025" t="s">
        <v>246</v>
      </c>
      <c r="N178" s="996">
        <v>0</v>
      </c>
      <c r="O178" s="996">
        <v>0</v>
      </c>
      <c r="P178" s="996">
        <v>25000000</v>
      </c>
      <c r="Q178" s="996">
        <v>0</v>
      </c>
      <c r="R178" s="996">
        <v>0</v>
      </c>
      <c r="S178" s="996">
        <v>0</v>
      </c>
      <c r="T178" s="996">
        <v>0</v>
      </c>
      <c r="U178" s="996"/>
      <c r="V178" s="996">
        <v>669732</v>
      </c>
      <c r="W178" s="996">
        <v>0</v>
      </c>
      <c r="X178" s="996">
        <v>0</v>
      </c>
      <c r="Y178" s="996">
        <v>0</v>
      </c>
      <c r="Z178" s="996">
        <v>0</v>
      </c>
      <c r="AA178" s="996">
        <v>3450000</v>
      </c>
      <c r="AB178" s="996">
        <v>1425000</v>
      </c>
      <c r="AC178" s="996">
        <v>741350</v>
      </c>
      <c r="AD178" s="996">
        <v>322906</v>
      </c>
      <c r="AE178" s="996">
        <v>3422310</v>
      </c>
      <c r="AF178" s="996">
        <v>0</v>
      </c>
      <c r="AG178" s="996">
        <v>229312.96296296295</v>
      </c>
      <c r="AH178" s="996">
        <v>572794.06000000006</v>
      </c>
      <c r="AI178" s="996">
        <v>0</v>
      </c>
      <c r="AJ178" s="996">
        <v>0</v>
      </c>
      <c r="AK178" s="996">
        <v>860469</v>
      </c>
      <c r="AL178" s="996">
        <v>1328000</v>
      </c>
      <c r="AM178" s="996">
        <v>0</v>
      </c>
      <c r="AN178" s="996">
        <v>0</v>
      </c>
      <c r="AO178" s="1"/>
      <c r="AP178" s="1"/>
      <c r="AQ178" s="1"/>
      <c r="AR178" s="1"/>
    </row>
    <row r="179" spans="1:44">
      <c r="A179" s="1"/>
      <c r="B179" s="1"/>
      <c r="C179" s="1"/>
      <c r="D179" s="900" t="s">
        <v>247</v>
      </c>
      <c r="E179" s="996">
        <v>0</v>
      </c>
      <c r="F179" s="996">
        <v>7279859</v>
      </c>
      <c r="G179" s="996">
        <v>1431498</v>
      </c>
      <c r="H179" s="996">
        <v>1240000</v>
      </c>
      <c r="I179" s="996">
        <v>0</v>
      </c>
      <c r="J179" s="907">
        <f t="shared" si="1"/>
        <v>9951357</v>
      </c>
      <c r="K179" s="908">
        <f>IFERROR(INDEX('DB(2) Pivots'!$G$257:$G$405,MATCH('Regional DB'!D179,'DB(2) Pivots'!$A$257:$A$405,0)),"")</f>
        <v>0.18157417906728265</v>
      </c>
      <c r="L179" s="1"/>
      <c r="M179" s="1025" t="s">
        <v>247</v>
      </c>
      <c r="N179" s="996">
        <v>0</v>
      </c>
      <c r="O179" s="996">
        <v>0</v>
      </c>
      <c r="P179" s="996">
        <v>0</v>
      </c>
      <c r="Q179" s="996">
        <v>2956038</v>
      </c>
      <c r="R179" s="996">
        <v>0</v>
      </c>
      <c r="S179" s="996">
        <v>0</v>
      </c>
      <c r="T179" s="996">
        <v>0</v>
      </c>
      <c r="U179" s="996"/>
      <c r="V179" s="996">
        <v>1773821</v>
      </c>
      <c r="W179" s="996">
        <v>0</v>
      </c>
      <c r="X179" s="996">
        <v>0</v>
      </c>
      <c r="Y179" s="996">
        <v>0</v>
      </c>
      <c r="Z179" s="996">
        <v>0</v>
      </c>
      <c r="AA179" s="996">
        <v>2550000</v>
      </c>
      <c r="AB179" s="996">
        <v>295000</v>
      </c>
      <c r="AC179" s="996">
        <v>0</v>
      </c>
      <c r="AD179" s="996">
        <v>0</v>
      </c>
      <c r="AE179" s="996">
        <v>0</v>
      </c>
      <c r="AF179" s="996">
        <v>0</v>
      </c>
      <c r="AG179" s="996">
        <v>505999.99999999994</v>
      </c>
      <c r="AH179" s="996">
        <v>630498</v>
      </c>
      <c r="AI179" s="996">
        <v>0</v>
      </c>
      <c r="AJ179" s="996">
        <v>0</v>
      </c>
      <c r="AK179" s="996">
        <v>1240000</v>
      </c>
      <c r="AL179" s="996">
        <v>0</v>
      </c>
      <c r="AM179" s="996">
        <v>0</v>
      </c>
      <c r="AN179" s="996">
        <v>0</v>
      </c>
      <c r="AO179" s="1"/>
      <c r="AP179" s="1"/>
      <c r="AQ179" s="1"/>
      <c r="AR179" s="1"/>
    </row>
    <row r="180" spans="1:44">
      <c r="A180" s="1"/>
      <c r="B180" s="1"/>
      <c r="C180" s="1"/>
      <c r="D180" s="900" t="s">
        <v>248</v>
      </c>
      <c r="E180" s="996">
        <v>0</v>
      </c>
      <c r="F180" s="996">
        <v>3000000</v>
      </c>
      <c r="G180" s="996">
        <v>0</v>
      </c>
      <c r="H180" s="996">
        <v>1642000</v>
      </c>
      <c r="I180" s="996">
        <v>0</v>
      </c>
      <c r="J180" s="907">
        <f t="shared" si="1"/>
        <v>4642000</v>
      </c>
      <c r="K180" s="908">
        <f>IFERROR(INDEX('DB(2) Pivots'!$G$257:$G$405,MATCH('Regional DB'!D180,'DB(2) Pivots'!$A$257:$A$405,0)),"")</f>
        <v>1.7941178289396384</v>
      </c>
      <c r="L180" s="1"/>
      <c r="M180" s="1025" t="s">
        <v>248</v>
      </c>
      <c r="N180" s="996">
        <v>0</v>
      </c>
      <c r="O180" s="996">
        <v>0</v>
      </c>
      <c r="P180" s="996">
        <v>0</v>
      </c>
      <c r="Q180" s="996">
        <v>0</v>
      </c>
      <c r="R180" s="996">
        <v>0</v>
      </c>
      <c r="S180" s="996">
        <v>0</v>
      </c>
      <c r="T180" s="996">
        <v>0</v>
      </c>
      <c r="U180" s="996"/>
      <c r="V180" s="996">
        <v>0</v>
      </c>
      <c r="W180" s="996">
        <v>0</v>
      </c>
      <c r="X180" s="996">
        <v>0</v>
      </c>
      <c r="Y180" s="996">
        <v>0</v>
      </c>
      <c r="Z180" s="996">
        <v>0</v>
      </c>
      <c r="AA180" s="996">
        <v>3000000</v>
      </c>
      <c r="AB180" s="996">
        <v>0</v>
      </c>
      <c r="AC180" s="996">
        <v>0</v>
      </c>
      <c r="AD180" s="996">
        <v>0</v>
      </c>
      <c r="AE180" s="996">
        <v>0</v>
      </c>
      <c r="AF180" s="996">
        <v>0</v>
      </c>
      <c r="AG180" s="996">
        <v>0</v>
      </c>
      <c r="AH180" s="996">
        <v>0</v>
      </c>
      <c r="AI180" s="996">
        <v>0</v>
      </c>
      <c r="AJ180" s="996">
        <v>0</v>
      </c>
      <c r="AK180" s="996">
        <v>1642000</v>
      </c>
      <c r="AL180" s="996">
        <v>0</v>
      </c>
      <c r="AM180" s="996">
        <v>0</v>
      </c>
      <c r="AN180" s="996">
        <v>0</v>
      </c>
      <c r="AO180" s="1"/>
      <c r="AP180" s="1"/>
      <c r="AQ180" s="1"/>
      <c r="AR180" s="1"/>
    </row>
    <row r="181" spans="1:44">
      <c r="A181" s="1"/>
      <c r="B181" s="1"/>
      <c r="C181" s="1"/>
      <c r="D181" s="900" t="s">
        <v>250</v>
      </c>
      <c r="E181" s="996">
        <v>10900000</v>
      </c>
      <c r="F181" s="996">
        <v>6156264</v>
      </c>
      <c r="G181" s="996">
        <v>3913927.1851851852</v>
      </c>
      <c r="H181" s="996">
        <v>1889000</v>
      </c>
      <c r="I181" s="996">
        <v>196920</v>
      </c>
      <c r="J181" s="907">
        <f t="shared" si="1"/>
        <v>23056111.185185187</v>
      </c>
      <c r="K181" s="908">
        <f>IFERROR(INDEX('DB(2) Pivots'!$G$257:$G$405,MATCH('Regional DB'!D181,'DB(2) Pivots'!$A$257:$A$405,0)),"")</f>
        <v>0.77695613619801462</v>
      </c>
      <c r="L181" s="1"/>
      <c r="M181" s="1025" t="s">
        <v>250</v>
      </c>
      <c r="N181" s="996">
        <v>0</v>
      </c>
      <c r="O181" s="996">
        <v>0</v>
      </c>
      <c r="P181" s="996">
        <v>10900000</v>
      </c>
      <c r="Q181" s="996">
        <v>0</v>
      </c>
      <c r="R181" s="996">
        <v>0</v>
      </c>
      <c r="S181" s="996">
        <v>0</v>
      </c>
      <c r="T181" s="996">
        <v>175000</v>
      </c>
      <c r="U181" s="996"/>
      <c r="V181" s="996">
        <v>1151337</v>
      </c>
      <c r="W181" s="996">
        <v>0</v>
      </c>
      <c r="X181" s="996">
        <v>729927</v>
      </c>
      <c r="Y181" s="996">
        <v>0</v>
      </c>
      <c r="Z181" s="996">
        <v>0</v>
      </c>
      <c r="AA181" s="996">
        <v>4100000</v>
      </c>
      <c r="AB181" s="996">
        <v>295600</v>
      </c>
      <c r="AC181" s="996">
        <v>0</v>
      </c>
      <c r="AD181" s="996">
        <v>737464</v>
      </c>
      <c r="AE181" s="996">
        <v>2159910</v>
      </c>
      <c r="AF181" s="996">
        <v>0</v>
      </c>
      <c r="AG181" s="996">
        <v>346810.18518518517</v>
      </c>
      <c r="AH181" s="996">
        <v>374143</v>
      </c>
      <c r="AI181" s="996">
        <v>0</v>
      </c>
      <c r="AJ181" s="996">
        <v>0</v>
      </c>
      <c r="AK181" s="996">
        <v>1889000</v>
      </c>
      <c r="AL181" s="996">
        <v>99000</v>
      </c>
      <c r="AM181" s="996">
        <v>0</v>
      </c>
      <c r="AN181" s="996">
        <v>97920</v>
      </c>
      <c r="AO181" s="1"/>
      <c r="AP181" s="1"/>
      <c r="AQ181" s="1"/>
      <c r="AR181" s="1"/>
    </row>
    <row r="182" spans="1:44">
      <c r="A182" s="1"/>
      <c r="B182" s="1"/>
      <c r="C182" s="1"/>
      <c r="D182" s="900" t="s">
        <v>251</v>
      </c>
      <c r="E182" s="996">
        <v>0</v>
      </c>
      <c r="F182" s="996">
        <v>2817807</v>
      </c>
      <c r="G182" s="996">
        <v>1832786.3</v>
      </c>
      <c r="H182" s="996">
        <v>800000</v>
      </c>
      <c r="I182" s="996">
        <v>0</v>
      </c>
      <c r="J182" s="907">
        <f t="shared" si="1"/>
        <v>5450593.2999999998</v>
      </c>
      <c r="K182" s="908">
        <f>IFERROR(INDEX('DB(2) Pivots'!$G$257:$G$405,MATCH('Regional DB'!D182,'DB(2) Pivots'!$A$257:$A$405,0)),"")</f>
        <v>0.81323262978712485</v>
      </c>
      <c r="L182" s="1"/>
      <c r="M182" s="1025" t="s">
        <v>251</v>
      </c>
      <c r="N182" s="996">
        <v>0</v>
      </c>
      <c r="O182" s="996">
        <v>0</v>
      </c>
      <c r="P182" s="996">
        <v>0</v>
      </c>
      <c r="Q182" s="996">
        <v>0</v>
      </c>
      <c r="R182" s="996">
        <v>0</v>
      </c>
      <c r="S182" s="996">
        <v>0</v>
      </c>
      <c r="T182" s="996">
        <v>1278918</v>
      </c>
      <c r="U182" s="996"/>
      <c r="V182" s="996">
        <v>1388889</v>
      </c>
      <c r="W182" s="996">
        <v>0</v>
      </c>
      <c r="X182" s="996">
        <v>0</v>
      </c>
      <c r="Y182" s="996">
        <v>0</v>
      </c>
      <c r="Z182" s="996">
        <v>0</v>
      </c>
      <c r="AA182" s="996">
        <v>150000</v>
      </c>
      <c r="AB182" s="996">
        <v>390000</v>
      </c>
      <c r="AC182" s="996">
        <v>0</v>
      </c>
      <c r="AD182" s="996">
        <v>218802</v>
      </c>
      <c r="AE182" s="996">
        <v>978461</v>
      </c>
      <c r="AF182" s="996">
        <v>0</v>
      </c>
      <c r="AG182" s="996">
        <v>46300</v>
      </c>
      <c r="AH182" s="996">
        <v>199223.3</v>
      </c>
      <c r="AI182" s="996">
        <v>0</v>
      </c>
      <c r="AJ182" s="996">
        <v>0</v>
      </c>
      <c r="AK182" s="996">
        <v>800000</v>
      </c>
      <c r="AL182" s="996">
        <v>0</v>
      </c>
      <c r="AM182" s="996">
        <v>0</v>
      </c>
      <c r="AN182" s="996">
        <v>0</v>
      </c>
      <c r="AO182" s="1"/>
      <c r="AP182" s="1"/>
      <c r="AQ182" s="1"/>
      <c r="AR182" s="1"/>
    </row>
    <row r="183" spans="1:44">
      <c r="A183" s="1"/>
      <c r="B183" s="1"/>
      <c r="C183" s="1"/>
      <c r="D183" s="900" t="s">
        <v>252</v>
      </c>
      <c r="E183" s="996">
        <v>9400000</v>
      </c>
      <c r="F183" s="996">
        <v>4750000</v>
      </c>
      <c r="G183" s="996">
        <v>6122050.4500000002</v>
      </c>
      <c r="H183" s="996">
        <v>1345921</v>
      </c>
      <c r="I183" s="996">
        <v>0</v>
      </c>
      <c r="J183" s="907">
        <f t="shared" si="1"/>
        <v>21617971.449999999</v>
      </c>
      <c r="K183" s="908">
        <f>IFERROR(INDEX('DB(2) Pivots'!$G$257:$G$405,MATCH('Regional DB'!D183,'DB(2) Pivots'!$A$257:$A$405,0)),"")</f>
        <v>0.86021785410020601</v>
      </c>
      <c r="L183" s="1"/>
      <c r="M183" s="1025" t="s">
        <v>252</v>
      </c>
      <c r="N183" s="996">
        <v>0</v>
      </c>
      <c r="O183" s="996">
        <v>0</v>
      </c>
      <c r="P183" s="996">
        <v>9400000</v>
      </c>
      <c r="Q183" s="996">
        <v>0</v>
      </c>
      <c r="R183" s="996">
        <v>0</v>
      </c>
      <c r="S183" s="996">
        <v>0</v>
      </c>
      <c r="T183" s="996">
        <v>0</v>
      </c>
      <c r="U183" s="996"/>
      <c r="V183" s="996">
        <v>0</v>
      </c>
      <c r="W183" s="996">
        <v>0</v>
      </c>
      <c r="X183" s="996">
        <v>0</v>
      </c>
      <c r="Y183" s="996">
        <v>0</v>
      </c>
      <c r="Z183" s="996">
        <v>0</v>
      </c>
      <c r="AA183" s="996">
        <v>4750000</v>
      </c>
      <c r="AB183" s="996">
        <v>278323.45</v>
      </c>
      <c r="AC183" s="996">
        <v>750000</v>
      </c>
      <c r="AD183" s="996">
        <v>639701</v>
      </c>
      <c r="AE183" s="996">
        <v>3500000</v>
      </c>
      <c r="AF183" s="996">
        <v>0</v>
      </c>
      <c r="AG183" s="996">
        <v>475174.99999999994</v>
      </c>
      <c r="AH183" s="996">
        <v>478851</v>
      </c>
      <c r="AI183" s="996">
        <v>0</v>
      </c>
      <c r="AJ183" s="996">
        <v>0</v>
      </c>
      <c r="AK183" s="996">
        <v>1345921</v>
      </c>
      <c r="AL183" s="996">
        <v>0</v>
      </c>
      <c r="AM183" s="996">
        <v>0</v>
      </c>
      <c r="AN183" s="996">
        <v>0</v>
      </c>
      <c r="AO183" s="1"/>
      <c r="AP183" s="1"/>
      <c r="AQ183" s="1"/>
      <c r="AR183" s="1"/>
    </row>
    <row r="184" spans="1:44">
      <c r="A184" s="1"/>
      <c r="B184" s="1"/>
      <c r="C184" s="1"/>
      <c r="D184" s="900" t="s">
        <v>253</v>
      </c>
      <c r="E184" s="996">
        <v>76000000</v>
      </c>
      <c r="F184" s="996">
        <v>3705241.3</v>
      </c>
      <c r="G184" s="996">
        <v>19595011</v>
      </c>
      <c r="H184" s="996">
        <v>6730545</v>
      </c>
      <c r="I184" s="996">
        <v>1756296</v>
      </c>
      <c r="J184" s="907">
        <f t="shared" si="1"/>
        <v>107787093.3</v>
      </c>
      <c r="K184" s="908">
        <f>IFERROR(INDEX('DB(2) Pivots'!$G$257:$G$405,MATCH('Regional DB'!D184,'DB(2) Pivots'!$A$257:$A$405,0)),"")</f>
        <v>0.50987102341910839</v>
      </c>
      <c r="L184" s="1"/>
      <c r="M184" s="1025" t="s">
        <v>253</v>
      </c>
      <c r="N184" s="996">
        <v>0</v>
      </c>
      <c r="O184" s="996">
        <v>0</v>
      </c>
      <c r="P184" s="996">
        <v>76000000</v>
      </c>
      <c r="Q184" s="996">
        <v>0</v>
      </c>
      <c r="R184" s="996">
        <v>0</v>
      </c>
      <c r="S184" s="996">
        <v>0</v>
      </c>
      <c r="T184" s="996">
        <v>0</v>
      </c>
      <c r="U184" s="996"/>
      <c r="V184" s="996">
        <v>2104378</v>
      </c>
      <c r="W184" s="996">
        <v>0</v>
      </c>
      <c r="X184" s="996">
        <v>0</v>
      </c>
      <c r="Y184" s="996">
        <v>0</v>
      </c>
      <c r="Z184" s="996">
        <v>0</v>
      </c>
      <c r="AA184" s="996">
        <v>1600863.3</v>
      </c>
      <c r="AB184" s="996">
        <v>1459081</v>
      </c>
      <c r="AC184" s="996">
        <v>4999000</v>
      </c>
      <c r="AD184" s="996">
        <v>2554787</v>
      </c>
      <c r="AE184" s="996">
        <v>9995380</v>
      </c>
      <c r="AF184" s="996">
        <v>0</v>
      </c>
      <c r="AG184" s="996">
        <v>190600</v>
      </c>
      <c r="AH184" s="996">
        <v>396163</v>
      </c>
      <c r="AI184" s="996">
        <v>0</v>
      </c>
      <c r="AJ184" s="996">
        <v>1693999</v>
      </c>
      <c r="AK184" s="996">
        <v>5036546</v>
      </c>
      <c r="AL184" s="996">
        <v>1714000</v>
      </c>
      <c r="AM184" s="996">
        <v>0</v>
      </c>
      <c r="AN184" s="996">
        <v>42296</v>
      </c>
      <c r="AO184" s="1"/>
      <c r="AP184" s="1"/>
      <c r="AQ184" s="1"/>
      <c r="AR184" s="1"/>
    </row>
    <row r="185" spans="1:44" ht="31">
      <c r="A185" s="1"/>
      <c r="B185" s="1"/>
      <c r="C185" s="1"/>
      <c r="D185" s="900" t="s">
        <v>254</v>
      </c>
      <c r="E185" s="996">
        <v>500000</v>
      </c>
      <c r="F185" s="996">
        <v>1000000</v>
      </c>
      <c r="G185" s="996">
        <v>0</v>
      </c>
      <c r="H185" s="996">
        <v>100000</v>
      </c>
      <c r="I185" s="996">
        <v>0</v>
      </c>
      <c r="J185" s="907">
        <f t="shared" si="1"/>
        <v>1600000</v>
      </c>
      <c r="K185" s="908">
        <f>IFERROR(INDEX('DB(2) Pivots'!$G$257:$G$405,MATCH('Regional DB'!D185,'DB(2) Pivots'!$A$257:$A$405,0)),"")</f>
        <v>0.7682475600937646</v>
      </c>
      <c r="L185" s="1"/>
      <c r="M185" s="1025" t="s">
        <v>254</v>
      </c>
      <c r="N185" s="996">
        <v>0</v>
      </c>
      <c r="O185" s="996">
        <v>0</v>
      </c>
      <c r="P185" s="996">
        <v>500000</v>
      </c>
      <c r="Q185" s="996">
        <v>0</v>
      </c>
      <c r="R185" s="996">
        <v>0</v>
      </c>
      <c r="S185" s="996">
        <v>0</v>
      </c>
      <c r="T185" s="996">
        <v>0</v>
      </c>
      <c r="U185" s="996"/>
      <c r="V185" s="996">
        <v>0</v>
      </c>
      <c r="W185" s="996">
        <v>0</v>
      </c>
      <c r="X185" s="996">
        <v>0</v>
      </c>
      <c r="Y185" s="996">
        <v>0</v>
      </c>
      <c r="Z185" s="996">
        <v>0</v>
      </c>
      <c r="AA185" s="996">
        <v>1000000</v>
      </c>
      <c r="AB185" s="996">
        <v>0</v>
      </c>
      <c r="AC185" s="996">
        <v>0</v>
      </c>
      <c r="AD185" s="996">
        <v>0</v>
      </c>
      <c r="AE185" s="996">
        <v>0</v>
      </c>
      <c r="AF185" s="996">
        <v>0</v>
      </c>
      <c r="AG185" s="996">
        <v>0</v>
      </c>
      <c r="AH185" s="996">
        <v>0</v>
      </c>
      <c r="AI185" s="996">
        <v>0</v>
      </c>
      <c r="AJ185" s="996">
        <v>0</v>
      </c>
      <c r="AK185" s="996">
        <v>100000</v>
      </c>
      <c r="AL185" s="996">
        <v>0</v>
      </c>
      <c r="AM185" s="996">
        <v>0</v>
      </c>
      <c r="AN185" s="996">
        <v>0</v>
      </c>
      <c r="AO185" s="1"/>
      <c r="AP185" s="1"/>
      <c r="AQ185" s="1"/>
      <c r="AR185" s="1"/>
    </row>
    <row r="186" spans="1:44">
      <c r="A186" s="1"/>
      <c r="B186" s="1"/>
      <c r="C186" s="1"/>
      <c r="D186" s="900" t="s">
        <v>255</v>
      </c>
      <c r="E186" s="996">
        <v>0</v>
      </c>
      <c r="F186" s="996">
        <v>8606979</v>
      </c>
      <c r="G186" s="996">
        <v>19364556</v>
      </c>
      <c r="H186" s="996">
        <v>3000000</v>
      </c>
      <c r="I186" s="996">
        <v>847000</v>
      </c>
      <c r="J186" s="907">
        <f t="shared" si="1"/>
        <v>31818535</v>
      </c>
      <c r="K186" s="908">
        <f>IFERROR(INDEX('DB(2) Pivots'!$G$257:$G$405,MATCH('Regional DB'!D186,'DB(2) Pivots'!$A$257:$A$405,0)),"")</f>
        <v>0.14129016443872858</v>
      </c>
      <c r="L186" s="1"/>
      <c r="M186" s="1025" t="s">
        <v>255</v>
      </c>
      <c r="N186" s="996">
        <v>0</v>
      </c>
      <c r="O186" s="996">
        <v>0</v>
      </c>
      <c r="P186" s="996">
        <v>0</v>
      </c>
      <c r="Q186" s="996">
        <v>0</v>
      </c>
      <c r="R186" s="996">
        <v>0</v>
      </c>
      <c r="S186" s="996">
        <v>0</v>
      </c>
      <c r="T186" s="996">
        <v>0</v>
      </c>
      <c r="U186" s="996"/>
      <c r="V186" s="996">
        <v>6106979</v>
      </c>
      <c r="W186" s="996">
        <v>0</v>
      </c>
      <c r="X186" s="996">
        <v>0</v>
      </c>
      <c r="Y186" s="996">
        <v>0</v>
      </c>
      <c r="Z186" s="996">
        <v>0</v>
      </c>
      <c r="AA186" s="996">
        <v>2500000</v>
      </c>
      <c r="AB186" s="996">
        <v>870000</v>
      </c>
      <c r="AC186" s="996">
        <v>0</v>
      </c>
      <c r="AD186" s="996">
        <v>2538909</v>
      </c>
      <c r="AE186" s="996">
        <v>14999987</v>
      </c>
      <c r="AF186" s="996">
        <v>0</v>
      </c>
      <c r="AG186" s="996">
        <v>262300</v>
      </c>
      <c r="AH186" s="996">
        <v>693360</v>
      </c>
      <c r="AI186" s="996">
        <v>0</v>
      </c>
      <c r="AJ186" s="996">
        <v>0</v>
      </c>
      <c r="AK186" s="996">
        <v>3000000</v>
      </c>
      <c r="AL186" s="996">
        <v>697000</v>
      </c>
      <c r="AM186" s="996">
        <v>0</v>
      </c>
      <c r="AN186" s="996">
        <v>150000</v>
      </c>
      <c r="AO186" s="1"/>
      <c r="AP186" s="1"/>
      <c r="AQ186" s="1"/>
      <c r="AR186" s="1"/>
    </row>
    <row r="187" spans="1:44">
      <c r="A187" s="1"/>
      <c r="B187" s="1"/>
      <c r="C187" s="1"/>
      <c r="D187" s="900" t="s">
        <v>257</v>
      </c>
      <c r="E187" s="996">
        <v>1700000</v>
      </c>
      <c r="F187" s="996">
        <v>200000</v>
      </c>
      <c r="G187" s="996">
        <v>0</v>
      </c>
      <c r="H187" s="996">
        <v>0</v>
      </c>
      <c r="I187" s="996">
        <v>0</v>
      </c>
      <c r="J187" s="907">
        <f t="shared" si="1"/>
        <v>1900000</v>
      </c>
      <c r="K187" s="908">
        <f>IFERROR(INDEX('DB(2) Pivots'!$G$257:$G$405,MATCH('Regional DB'!D187,'DB(2) Pivots'!$A$257:$A$405,0)),"")</f>
        <v>0.43363323255544856</v>
      </c>
      <c r="L187" s="1"/>
      <c r="M187" t="s">
        <v>257</v>
      </c>
      <c r="N187" s="996">
        <v>0</v>
      </c>
      <c r="O187" s="996">
        <v>1700000</v>
      </c>
      <c r="P187" s="996">
        <v>0</v>
      </c>
      <c r="Q187" s="996">
        <v>0</v>
      </c>
      <c r="R187" s="996">
        <v>0</v>
      </c>
      <c r="S187" s="996">
        <v>0</v>
      </c>
      <c r="T187" s="996">
        <v>0</v>
      </c>
      <c r="U187" s="996"/>
      <c r="V187" s="996">
        <v>0</v>
      </c>
      <c r="W187" s="996">
        <v>0</v>
      </c>
      <c r="X187" s="996">
        <v>0</v>
      </c>
      <c r="Y187" s="996">
        <v>0</v>
      </c>
      <c r="Z187" s="996">
        <v>0</v>
      </c>
      <c r="AA187" s="996">
        <v>200000</v>
      </c>
      <c r="AB187" s="996">
        <v>0</v>
      </c>
      <c r="AC187" s="996">
        <v>0</v>
      </c>
      <c r="AD187" s="996">
        <v>0</v>
      </c>
      <c r="AE187" s="996">
        <v>0</v>
      </c>
      <c r="AF187" s="996">
        <v>0</v>
      </c>
      <c r="AG187" s="996">
        <v>0</v>
      </c>
      <c r="AH187" s="996">
        <v>0</v>
      </c>
      <c r="AI187" s="996">
        <v>0</v>
      </c>
      <c r="AJ187" s="996">
        <v>0</v>
      </c>
      <c r="AK187" s="996">
        <v>0</v>
      </c>
      <c r="AL187" s="996">
        <v>0</v>
      </c>
      <c r="AM187" s="996">
        <v>0</v>
      </c>
      <c r="AN187" s="996">
        <v>0</v>
      </c>
      <c r="AO187" s="1"/>
      <c r="AP187" s="1"/>
      <c r="AQ187" s="1"/>
      <c r="AR187" s="1"/>
    </row>
    <row r="188" spans="1:44">
      <c r="A188" s="1"/>
      <c r="B188" s="1"/>
      <c r="C188" s="1"/>
      <c r="D188" s="900" t="s">
        <v>258</v>
      </c>
      <c r="E188" s="996">
        <v>10000000</v>
      </c>
      <c r="F188" s="996">
        <v>14176407</v>
      </c>
      <c r="G188" s="996">
        <v>3668268</v>
      </c>
      <c r="H188" s="996">
        <v>400000</v>
      </c>
      <c r="I188" s="996">
        <v>5067038</v>
      </c>
      <c r="J188" s="907">
        <f t="shared" si="1"/>
        <v>33311713</v>
      </c>
      <c r="K188" s="908">
        <f>IFERROR(INDEX('DB(2) Pivots'!$G$257:$G$405,MATCH('Regional DB'!D188,'DB(2) Pivots'!$A$257:$A$405,0)),"")</f>
        <v>3.652998655006769</v>
      </c>
      <c r="L188" s="1"/>
      <c r="M188" t="s">
        <v>258</v>
      </c>
      <c r="N188" s="996">
        <v>0</v>
      </c>
      <c r="O188" s="996">
        <v>0</v>
      </c>
      <c r="P188" s="996">
        <v>10000000</v>
      </c>
      <c r="Q188" s="996">
        <v>0</v>
      </c>
      <c r="R188" s="996">
        <v>0</v>
      </c>
      <c r="S188" s="996">
        <v>0</v>
      </c>
      <c r="T188" s="996">
        <v>0</v>
      </c>
      <c r="U188" s="996"/>
      <c r="V188" s="996">
        <v>7563717</v>
      </c>
      <c r="W188" s="996">
        <v>0</v>
      </c>
      <c r="X188" s="996">
        <v>2112690</v>
      </c>
      <c r="Y188" s="996">
        <v>0</v>
      </c>
      <c r="Z188" s="996">
        <v>0</v>
      </c>
      <c r="AA188" s="996">
        <v>4500000</v>
      </c>
      <c r="AB188" s="996">
        <v>0</v>
      </c>
      <c r="AC188" s="996">
        <v>0</v>
      </c>
      <c r="AD188" s="996">
        <v>199349</v>
      </c>
      <c r="AE188" s="996">
        <v>2745604</v>
      </c>
      <c r="AF188" s="996">
        <v>0</v>
      </c>
      <c r="AG188" s="996">
        <v>258399.99999999997</v>
      </c>
      <c r="AH188" s="996">
        <v>464915</v>
      </c>
      <c r="AI188" s="996">
        <v>0</v>
      </c>
      <c r="AJ188" s="996">
        <v>0</v>
      </c>
      <c r="AK188" s="996">
        <v>400000</v>
      </c>
      <c r="AL188" s="996">
        <v>0</v>
      </c>
      <c r="AM188" s="996">
        <v>0</v>
      </c>
      <c r="AN188" s="996">
        <v>5067038</v>
      </c>
      <c r="AO188" s="1"/>
      <c r="AP188" s="1"/>
      <c r="AQ188" s="1"/>
      <c r="AR188" s="1"/>
    </row>
    <row r="189" spans="1:44">
      <c r="A189" s="1"/>
      <c r="B189" s="1"/>
      <c r="C189" s="1"/>
      <c r="D189" s="900" t="s">
        <v>259</v>
      </c>
      <c r="E189" s="996">
        <v>0</v>
      </c>
      <c r="F189" s="996">
        <v>4413888</v>
      </c>
      <c r="G189" s="996">
        <v>0</v>
      </c>
      <c r="H189" s="996">
        <v>200000</v>
      </c>
      <c r="I189" s="996">
        <v>0</v>
      </c>
      <c r="J189" s="907">
        <f t="shared" si="1"/>
        <v>4613888</v>
      </c>
      <c r="K189" s="908">
        <f>IFERROR(INDEX('DB(2) Pivots'!$G$257:$G$405,MATCH('Regional DB'!D189,'DB(2) Pivots'!$A$257:$A$405,0)),"")</f>
        <v>0.63907443597264735</v>
      </c>
      <c r="L189" s="1"/>
      <c r="M189" t="s">
        <v>259</v>
      </c>
      <c r="N189" s="996">
        <v>0</v>
      </c>
      <c r="O189" s="996">
        <v>0</v>
      </c>
      <c r="P189" s="996">
        <v>0</v>
      </c>
      <c r="Q189" s="996">
        <v>0</v>
      </c>
      <c r="R189" s="996">
        <v>0</v>
      </c>
      <c r="S189" s="996">
        <v>0</v>
      </c>
      <c r="T189" s="996">
        <v>0</v>
      </c>
      <c r="U189" s="996"/>
      <c r="V189" s="996">
        <v>1913888</v>
      </c>
      <c r="W189" s="996">
        <v>0</v>
      </c>
      <c r="X189" s="996">
        <v>0</v>
      </c>
      <c r="Y189" s="996">
        <v>0</v>
      </c>
      <c r="Z189" s="996">
        <v>0</v>
      </c>
      <c r="AA189" s="996">
        <v>2500000</v>
      </c>
      <c r="AB189" s="996">
        <v>0</v>
      </c>
      <c r="AC189" s="996">
        <v>0</v>
      </c>
      <c r="AD189" s="996">
        <v>0</v>
      </c>
      <c r="AE189" s="996">
        <v>0</v>
      </c>
      <c r="AF189" s="996">
        <v>0</v>
      </c>
      <c r="AG189" s="996">
        <v>0</v>
      </c>
      <c r="AH189" s="996">
        <v>0</v>
      </c>
      <c r="AI189" s="996">
        <v>0</v>
      </c>
      <c r="AJ189" s="996">
        <v>0</v>
      </c>
      <c r="AK189" s="996">
        <v>200000</v>
      </c>
      <c r="AL189" s="996">
        <v>0</v>
      </c>
      <c r="AM189" s="996">
        <v>0</v>
      </c>
      <c r="AN189" s="996">
        <v>0</v>
      </c>
      <c r="AO189" s="1"/>
      <c r="AP189" s="1"/>
      <c r="AQ189" s="1"/>
      <c r="AR189" s="1"/>
    </row>
    <row r="190" spans="1:44">
      <c r="A190" s="1"/>
      <c r="B190" s="1"/>
      <c r="C190" s="1"/>
      <c r="D190" s="900" t="s">
        <v>260</v>
      </c>
      <c r="E190" s="996">
        <v>500000000</v>
      </c>
      <c r="F190" s="996">
        <v>6713840</v>
      </c>
      <c r="G190" s="996">
        <v>0</v>
      </c>
      <c r="H190" s="996">
        <v>802143</v>
      </c>
      <c r="I190" s="996">
        <v>425647</v>
      </c>
      <c r="J190" s="907">
        <f t="shared" si="1"/>
        <v>507941630</v>
      </c>
      <c r="K190" s="908">
        <f>IFERROR(INDEX('DB(2) Pivots'!$G$257:$G$405,MATCH('Regional DB'!D190,'DB(2) Pivots'!$A$257:$A$405,0)),"")</f>
        <v>15.226334597703989</v>
      </c>
      <c r="L190" s="1"/>
      <c r="M190" t="s">
        <v>260</v>
      </c>
      <c r="N190" s="996">
        <v>0</v>
      </c>
      <c r="O190" s="996">
        <v>0</v>
      </c>
      <c r="P190" s="996">
        <v>500000000</v>
      </c>
      <c r="Q190" s="996">
        <v>0</v>
      </c>
      <c r="R190" s="996">
        <v>0</v>
      </c>
      <c r="S190" s="996">
        <v>0</v>
      </c>
      <c r="T190" s="996">
        <v>0</v>
      </c>
      <c r="U190" s="996"/>
      <c r="V190" s="996">
        <v>0</v>
      </c>
      <c r="W190" s="996">
        <v>0</v>
      </c>
      <c r="X190" s="996">
        <v>0</v>
      </c>
      <c r="Y190" s="996">
        <v>0</v>
      </c>
      <c r="Z190" s="996">
        <v>0</v>
      </c>
      <c r="AA190" s="996">
        <v>6713840</v>
      </c>
      <c r="AB190" s="996">
        <v>0</v>
      </c>
      <c r="AC190" s="996">
        <v>0</v>
      </c>
      <c r="AD190" s="996">
        <v>0</v>
      </c>
      <c r="AE190" s="996">
        <v>0</v>
      </c>
      <c r="AF190" s="996">
        <v>0</v>
      </c>
      <c r="AG190" s="996">
        <v>0</v>
      </c>
      <c r="AH190" s="996">
        <v>0</v>
      </c>
      <c r="AI190" s="996">
        <v>0</v>
      </c>
      <c r="AJ190" s="996">
        <v>0</v>
      </c>
      <c r="AK190" s="996">
        <v>802143</v>
      </c>
      <c r="AL190" s="996">
        <v>0</v>
      </c>
      <c r="AM190" s="996">
        <v>0</v>
      </c>
      <c r="AN190" s="996">
        <v>425647</v>
      </c>
      <c r="AO190" s="1"/>
      <c r="AP190" s="1"/>
      <c r="AQ190" s="1"/>
      <c r="AR190" s="1"/>
    </row>
    <row r="191" spans="1:44">
      <c r="A191" s="1"/>
      <c r="B191" s="1"/>
      <c r="C191" s="1"/>
      <c r="D191" s="900" t="s">
        <v>261</v>
      </c>
      <c r="E191" s="996">
        <v>27000000</v>
      </c>
      <c r="F191" s="996">
        <v>8794059</v>
      </c>
      <c r="G191" s="996">
        <v>10983983.699999999</v>
      </c>
      <c r="H191" s="996">
        <v>100000</v>
      </c>
      <c r="I191" s="996">
        <v>2930663</v>
      </c>
      <c r="J191" s="907">
        <f t="shared" si="1"/>
        <v>49808705.700000003</v>
      </c>
      <c r="K191" s="908">
        <f>IFERROR(INDEX('DB(2) Pivots'!$G$257:$G$405,MATCH('Regional DB'!D191,'DB(2) Pivots'!$A$257:$A$405,0)),"")</f>
        <v>0.44853752076487319</v>
      </c>
      <c r="L191" s="1"/>
      <c r="M191" t="s">
        <v>261</v>
      </c>
      <c r="N191" s="996">
        <v>0</v>
      </c>
      <c r="O191" s="996">
        <v>0</v>
      </c>
      <c r="P191" s="996">
        <v>27000000</v>
      </c>
      <c r="Q191" s="996">
        <v>0</v>
      </c>
      <c r="R191" s="996">
        <v>0</v>
      </c>
      <c r="S191" s="996">
        <v>0</v>
      </c>
      <c r="T191" s="996">
        <v>0</v>
      </c>
      <c r="U191" s="996"/>
      <c r="V191" s="996">
        <v>3494059</v>
      </c>
      <c r="W191" s="996">
        <v>0</v>
      </c>
      <c r="X191" s="996">
        <v>0</v>
      </c>
      <c r="Y191" s="996">
        <v>0</v>
      </c>
      <c r="Z191" s="996">
        <v>0</v>
      </c>
      <c r="AA191" s="996">
        <v>5300000</v>
      </c>
      <c r="AB191" s="996">
        <v>45600</v>
      </c>
      <c r="AC191" s="996">
        <v>0</v>
      </c>
      <c r="AD191" s="996">
        <v>1428676</v>
      </c>
      <c r="AE191" s="996">
        <v>4914708</v>
      </c>
      <c r="AF191" s="996">
        <v>4499999.7</v>
      </c>
      <c r="AG191" s="996">
        <v>70000</v>
      </c>
      <c r="AH191" s="996">
        <v>25000</v>
      </c>
      <c r="AI191" s="996">
        <v>0</v>
      </c>
      <c r="AJ191" s="996">
        <v>0</v>
      </c>
      <c r="AK191" s="996">
        <v>100000</v>
      </c>
      <c r="AL191" s="996">
        <v>99000</v>
      </c>
      <c r="AM191" s="996">
        <v>0</v>
      </c>
      <c r="AN191" s="996">
        <v>2831663</v>
      </c>
      <c r="AO191" s="1"/>
      <c r="AP191" s="1"/>
      <c r="AQ191" s="1"/>
      <c r="AR191" s="1"/>
    </row>
    <row r="192" spans="1:44">
      <c r="A192" s="1"/>
      <c r="B192" s="1"/>
      <c r="C192" s="1"/>
      <c r="D192" s="900" t="s">
        <v>151</v>
      </c>
      <c r="E192" s="996">
        <v>0</v>
      </c>
      <c r="F192" s="996">
        <v>2400000</v>
      </c>
      <c r="G192" s="996">
        <v>0</v>
      </c>
      <c r="H192" s="996">
        <v>50000</v>
      </c>
      <c r="I192" s="996">
        <v>0</v>
      </c>
      <c r="J192" s="907">
        <f t="shared" si="1"/>
        <v>2450000</v>
      </c>
      <c r="K192" s="908">
        <f>IFERROR(INDEX('DB(2) Pivots'!$G$257:$G$405,MATCH('Regional DB'!D192,'DB(2) Pivots'!$A$257:$A$405,0)),"")</f>
        <v>0.12735422074239505</v>
      </c>
      <c r="L192" s="1"/>
      <c r="M192" t="s">
        <v>151</v>
      </c>
      <c r="N192" s="996">
        <v>0</v>
      </c>
      <c r="O192" s="996">
        <v>0</v>
      </c>
      <c r="P192" s="996">
        <v>0</v>
      </c>
      <c r="Q192" s="996">
        <v>0</v>
      </c>
      <c r="R192" s="996">
        <v>0</v>
      </c>
      <c r="S192" s="996">
        <v>0</v>
      </c>
      <c r="T192" s="996">
        <v>0</v>
      </c>
      <c r="U192" s="996"/>
      <c r="V192" s="996">
        <v>0</v>
      </c>
      <c r="W192" s="996">
        <v>0</v>
      </c>
      <c r="X192" s="996">
        <v>0</v>
      </c>
      <c r="Y192" s="996">
        <v>0</v>
      </c>
      <c r="Z192" s="996">
        <v>0</v>
      </c>
      <c r="AA192" s="996">
        <v>2400000</v>
      </c>
      <c r="AB192" s="996">
        <v>0</v>
      </c>
      <c r="AC192" s="996">
        <v>0</v>
      </c>
      <c r="AD192" s="996">
        <v>0</v>
      </c>
      <c r="AE192" s="996">
        <v>0</v>
      </c>
      <c r="AF192" s="996">
        <v>0</v>
      </c>
      <c r="AG192" s="996">
        <v>0</v>
      </c>
      <c r="AH192" s="996">
        <v>0</v>
      </c>
      <c r="AI192" s="996">
        <v>0</v>
      </c>
      <c r="AJ192" s="996">
        <v>0</v>
      </c>
      <c r="AK192" s="996">
        <v>50000</v>
      </c>
      <c r="AL192" s="996">
        <v>0</v>
      </c>
      <c r="AM192" s="996">
        <v>0</v>
      </c>
      <c r="AN192" s="996">
        <v>0</v>
      </c>
      <c r="AO192" s="1"/>
      <c r="AP192" s="1"/>
      <c r="AQ192" s="1"/>
      <c r="AR192" s="1"/>
    </row>
    <row r="193" spans="1:44">
      <c r="A193" s="1"/>
      <c r="B193" s="1"/>
      <c r="C193" s="1"/>
      <c r="D193" s="900" t="s">
        <v>263</v>
      </c>
      <c r="E193" s="996">
        <v>0</v>
      </c>
      <c r="F193" s="996">
        <v>0</v>
      </c>
      <c r="G193" s="996">
        <v>0</v>
      </c>
      <c r="H193" s="996">
        <v>0</v>
      </c>
      <c r="I193" s="996">
        <v>0</v>
      </c>
      <c r="J193" s="907" t="str">
        <f t="shared" si="1"/>
        <v/>
      </c>
      <c r="K193" s="908">
        <f>IFERROR(INDEX('DB(2) Pivots'!$G$257:$G$405,MATCH('Regional DB'!D193,'DB(2) Pivots'!$A$257:$A$405,0)),"")</f>
        <v>0</v>
      </c>
      <c r="L193" s="1"/>
      <c r="M193" t="s">
        <v>263</v>
      </c>
      <c r="N193" s="996">
        <v>0</v>
      </c>
      <c r="O193" s="996">
        <v>0</v>
      </c>
      <c r="P193" s="996">
        <v>0</v>
      </c>
      <c r="Q193" s="996">
        <v>0</v>
      </c>
      <c r="R193" s="996">
        <v>0</v>
      </c>
      <c r="S193" s="996">
        <v>0</v>
      </c>
      <c r="T193" s="996">
        <v>0</v>
      </c>
      <c r="U193" s="996"/>
      <c r="V193" s="996">
        <v>0</v>
      </c>
      <c r="W193" s="996">
        <v>0</v>
      </c>
      <c r="X193" s="996">
        <v>0</v>
      </c>
      <c r="Y193" s="996">
        <v>0</v>
      </c>
      <c r="Z193" s="996">
        <v>0</v>
      </c>
      <c r="AA193" s="996">
        <v>0</v>
      </c>
      <c r="AB193" s="996">
        <v>0</v>
      </c>
      <c r="AC193" s="996">
        <v>0</v>
      </c>
      <c r="AD193" s="996">
        <v>0</v>
      </c>
      <c r="AE193" s="996">
        <v>0</v>
      </c>
      <c r="AF193" s="996">
        <v>0</v>
      </c>
      <c r="AG193" s="996">
        <v>0</v>
      </c>
      <c r="AH193" s="996">
        <v>0</v>
      </c>
      <c r="AI193" s="996">
        <v>0</v>
      </c>
      <c r="AJ193" s="996">
        <v>0</v>
      </c>
      <c r="AK193" s="996">
        <v>0</v>
      </c>
      <c r="AL193" s="996">
        <v>0</v>
      </c>
      <c r="AM193" s="996">
        <v>0</v>
      </c>
      <c r="AN193" s="996">
        <v>0</v>
      </c>
      <c r="AO193" s="1"/>
      <c r="AP193" s="1"/>
      <c r="AQ193" s="1"/>
      <c r="AR193" s="1"/>
    </row>
    <row r="194" spans="1:44">
      <c r="A194" s="1"/>
      <c r="B194" s="1"/>
      <c r="C194" s="1"/>
      <c r="D194" s="900" t="s">
        <v>264</v>
      </c>
      <c r="E194" s="996">
        <v>7400000</v>
      </c>
      <c r="F194" s="996">
        <v>1830000</v>
      </c>
      <c r="G194" s="996">
        <v>1796002.888888889</v>
      </c>
      <c r="H194" s="996">
        <v>374000</v>
      </c>
      <c r="I194" s="996">
        <v>0</v>
      </c>
      <c r="J194" s="907">
        <f t="shared" si="1"/>
        <v>11400002.888888888</v>
      </c>
      <c r="K194" s="908">
        <f>IFERROR(INDEX('DB(2) Pivots'!$G$257:$G$405,MATCH('Regional DB'!D194,'DB(2) Pivots'!$A$257:$A$405,0)),"")</f>
        <v>0.85865915653095526</v>
      </c>
      <c r="L194" s="1"/>
      <c r="M194" t="s">
        <v>264</v>
      </c>
      <c r="N194" s="996">
        <v>0</v>
      </c>
      <c r="O194" s="996">
        <v>0</v>
      </c>
      <c r="P194" s="996">
        <v>7400000</v>
      </c>
      <c r="Q194" s="996">
        <v>0</v>
      </c>
      <c r="R194" s="996">
        <v>0</v>
      </c>
      <c r="S194" s="996">
        <v>0</v>
      </c>
      <c r="T194" s="996">
        <v>0</v>
      </c>
      <c r="U194" s="996"/>
      <c r="V194" s="996">
        <v>0</v>
      </c>
      <c r="W194" s="996">
        <v>0</v>
      </c>
      <c r="X194" s="996">
        <v>0</v>
      </c>
      <c r="Y194" s="996">
        <v>0</v>
      </c>
      <c r="Z194" s="996">
        <v>0</v>
      </c>
      <c r="AA194" s="996">
        <v>1830000</v>
      </c>
      <c r="AB194" s="996">
        <v>200000</v>
      </c>
      <c r="AC194" s="996">
        <v>0</v>
      </c>
      <c r="AD194" s="996">
        <v>381994</v>
      </c>
      <c r="AE194" s="996">
        <v>978461</v>
      </c>
      <c r="AF194" s="996">
        <v>0</v>
      </c>
      <c r="AG194" s="996">
        <v>135238.88888888888</v>
      </c>
      <c r="AH194" s="996">
        <v>100309</v>
      </c>
      <c r="AI194" s="996">
        <v>0</v>
      </c>
      <c r="AJ194" s="996">
        <v>0</v>
      </c>
      <c r="AK194" s="996">
        <v>374000</v>
      </c>
      <c r="AL194" s="996">
        <v>0</v>
      </c>
      <c r="AM194" s="996">
        <v>0</v>
      </c>
      <c r="AN194" s="996">
        <v>0</v>
      </c>
      <c r="AO194" s="1"/>
      <c r="AP194" s="1"/>
      <c r="AQ194" s="1"/>
      <c r="AR194" s="1"/>
    </row>
    <row r="195" spans="1:44">
      <c r="A195" s="1"/>
      <c r="B195" s="1"/>
      <c r="C195" s="1"/>
      <c r="D195" s="900" t="s">
        <v>265</v>
      </c>
      <c r="E195" s="996">
        <v>3160000</v>
      </c>
      <c r="F195" s="996">
        <v>151695</v>
      </c>
      <c r="G195" s="996">
        <v>75000</v>
      </c>
      <c r="H195" s="996">
        <v>0</v>
      </c>
      <c r="I195" s="996">
        <v>0</v>
      </c>
      <c r="J195" s="907">
        <f t="shared" si="1"/>
        <v>3386695</v>
      </c>
      <c r="K195" s="908">
        <f>IFERROR(INDEX('DB(2) Pivots'!$G$257:$G$405,MATCH('Regional DB'!D195,'DB(2) Pivots'!$A$257:$A$405,0)),"")</f>
        <v>16.921291669997601</v>
      </c>
      <c r="L195" s="1"/>
      <c r="M195" t="s">
        <v>265</v>
      </c>
      <c r="N195" s="996">
        <v>3160000</v>
      </c>
      <c r="O195" s="996">
        <v>0</v>
      </c>
      <c r="P195" s="996">
        <v>0</v>
      </c>
      <c r="Q195" s="996">
        <v>0</v>
      </c>
      <c r="R195" s="996">
        <v>0</v>
      </c>
      <c r="S195" s="996">
        <v>0</v>
      </c>
      <c r="T195" s="996">
        <v>0</v>
      </c>
      <c r="U195" s="996"/>
      <c r="V195" s="996">
        <v>126233</v>
      </c>
      <c r="W195" s="996">
        <v>0</v>
      </c>
      <c r="X195" s="996">
        <v>25462</v>
      </c>
      <c r="Y195" s="996">
        <v>0</v>
      </c>
      <c r="Z195" s="996">
        <v>0</v>
      </c>
      <c r="AA195" s="996">
        <v>0</v>
      </c>
      <c r="AB195" s="996">
        <v>0</v>
      </c>
      <c r="AC195" s="996">
        <v>0</v>
      </c>
      <c r="AD195" s="996">
        <v>0</v>
      </c>
      <c r="AE195" s="996">
        <v>0</v>
      </c>
      <c r="AF195" s="996">
        <v>0</v>
      </c>
      <c r="AG195" s="996">
        <v>50000</v>
      </c>
      <c r="AH195" s="996">
        <v>25000</v>
      </c>
      <c r="AI195" s="996">
        <v>0</v>
      </c>
      <c r="AJ195" s="996">
        <v>0</v>
      </c>
      <c r="AK195" s="996">
        <v>0</v>
      </c>
      <c r="AL195" s="996">
        <v>0</v>
      </c>
      <c r="AM195" s="996">
        <v>0</v>
      </c>
      <c r="AN195" s="996">
        <v>0</v>
      </c>
      <c r="AO195" s="1"/>
      <c r="AP195" s="1"/>
      <c r="AQ195" s="1"/>
      <c r="AR195" s="1"/>
    </row>
    <row r="196" spans="1:44">
      <c r="A196" s="1"/>
      <c r="B196" s="1"/>
      <c r="C196" s="1"/>
      <c r="D196" s="900" t="s">
        <v>266</v>
      </c>
      <c r="E196" s="996">
        <v>1800000</v>
      </c>
      <c r="F196" s="996">
        <v>200000</v>
      </c>
      <c r="G196" s="996">
        <v>1478352</v>
      </c>
      <c r="H196" s="996">
        <v>0</v>
      </c>
      <c r="I196" s="996">
        <v>0</v>
      </c>
      <c r="J196" s="907">
        <f t="shared" si="1"/>
        <v>3478352</v>
      </c>
      <c r="K196" s="908">
        <f>IFERROR(INDEX('DB(2) Pivots'!$G$257:$G$405,MATCH('Regional DB'!D196,'DB(2) Pivots'!$A$257:$A$405,0)),"")</f>
        <v>15.572572124424706</v>
      </c>
      <c r="L196" s="1"/>
      <c r="M196" t="s">
        <v>266</v>
      </c>
      <c r="N196" s="996">
        <v>0</v>
      </c>
      <c r="O196" s="996">
        <v>0</v>
      </c>
      <c r="P196" s="996">
        <v>1800000</v>
      </c>
      <c r="Q196" s="996">
        <v>0</v>
      </c>
      <c r="R196" s="996">
        <v>0</v>
      </c>
      <c r="S196" s="996">
        <v>0</v>
      </c>
      <c r="T196" s="996">
        <v>0</v>
      </c>
      <c r="U196" s="996"/>
      <c r="V196" s="996">
        <v>0</v>
      </c>
      <c r="W196" s="996">
        <v>0</v>
      </c>
      <c r="X196" s="996">
        <v>0</v>
      </c>
      <c r="Y196" s="996">
        <v>0</v>
      </c>
      <c r="Z196" s="996">
        <v>0</v>
      </c>
      <c r="AA196" s="996">
        <v>200000</v>
      </c>
      <c r="AB196" s="996">
        <v>40000</v>
      </c>
      <c r="AC196" s="996">
        <v>0</v>
      </c>
      <c r="AD196" s="996">
        <v>91602</v>
      </c>
      <c r="AE196" s="996">
        <v>978461</v>
      </c>
      <c r="AF196" s="996">
        <v>0</v>
      </c>
      <c r="AG196" s="996">
        <v>46300</v>
      </c>
      <c r="AH196" s="996">
        <v>321989</v>
      </c>
      <c r="AI196" s="996">
        <v>0</v>
      </c>
      <c r="AJ196" s="996">
        <v>0</v>
      </c>
      <c r="AK196" s="996">
        <v>0</v>
      </c>
      <c r="AL196" s="996">
        <v>0</v>
      </c>
      <c r="AM196" s="996">
        <v>0</v>
      </c>
      <c r="AN196" s="996">
        <v>0</v>
      </c>
      <c r="AO196" s="1"/>
      <c r="AP196" s="1"/>
      <c r="AQ196" s="1"/>
      <c r="AR196" s="1"/>
    </row>
    <row r="197" spans="1:44">
      <c r="A197" s="1"/>
      <c r="B197" s="1"/>
      <c r="C197" s="1"/>
      <c r="D197" s="900" t="s">
        <v>267</v>
      </c>
      <c r="E197" s="996">
        <v>54900000</v>
      </c>
      <c r="F197" s="996">
        <v>3091000</v>
      </c>
      <c r="G197" s="996">
        <v>2426474.2962962962</v>
      </c>
      <c r="H197" s="996">
        <v>779275</v>
      </c>
      <c r="I197" s="996">
        <v>779275</v>
      </c>
      <c r="J197" s="907">
        <f t="shared" si="1"/>
        <v>61976024.296296299</v>
      </c>
      <c r="K197" s="908">
        <f>IFERROR(INDEX('DB(2) Pivots'!$G$257:$G$405,MATCH('Regional DB'!D197,'DB(2) Pivots'!$A$257:$A$405,0)),"")</f>
        <v>3.6040308359385222</v>
      </c>
      <c r="L197" s="1"/>
      <c r="M197" t="s">
        <v>267</v>
      </c>
      <c r="N197" s="996">
        <v>0</v>
      </c>
      <c r="O197" s="996">
        <v>0</v>
      </c>
      <c r="P197" s="996">
        <v>54900000</v>
      </c>
      <c r="Q197" s="996">
        <v>0</v>
      </c>
      <c r="R197" s="996">
        <v>0</v>
      </c>
      <c r="S197" s="996">
        <v>0</v>
      </c>
      <c r="T197" s="996">
        <v>0</v>
      </c>
      <c r="U197" s="996"/>
      <c r="V197" s="996">
        <v>891000</v>
      </c>
      <c r="W197" s="996">
        <v>0</v>
      </c>
      <c r="X197" s="996">
        <v>0</v>
      </c>
      <c r="Y197" s="996">
        <v>0</v>
      </c>
      <c r="Z197" s="996">
        <v>0</v>
      </c>
      <c r="AA197" s="996">
        <v>2200000</v>
      </c>
      <c r="AB197" s="996">
        <v>225000</v>
      </c>
      <c r="AC197" s="996">
        <v>0</v>
      </c>
      <c r="AD197" s="996">
        <v>463070</v>
      </c>
      <c r="AE197" s="996">
        <v>1380115</v>
      </c>
      <c r="AF197" s="996">
        <v>0</v>
      </c>
      <c r="AG197" s="996">
        <v>171296.29629629629</v>
      </c>
      <c r="AH197" s="996">
        <v>186993</v>
      </c>
      <c r="AI197" s="996">
        <v>0</v>
      </c>
      <c r="AJ197" s="996">
        <v>0</v>
      </c>
      <c r="AK197" s="996">
        <v>779275</v>
      </c>
      <c r="AL197" s="996">
        <v>0</v>
      </c>
      <c r="AM197" s="996">
        <v>0</v>
      </c>
      <c r="AN197" s="996">
        <v>779275</v>
      </c>
      <c r="AO197" s="1"/>
      <c r="AP197" s="1"/>
      <c r="AQ197" s="1"/>
      <c r="AR197" s="1"/>
    </row>
    <row r="198" spans="1:44">
      <c r="A198" s="1"/>
      <c r="B198" s="1"/>
      <c r="C198" s="1"/>
      <c r="D198" s="900" t="s">
        <v>153</v>
      </c>
      <c r="E198" s="996">
        <v>0</v>
      </c>
      <c r="F198" s="996">
        <v>2500000</v>
      </c>
      <c r="G198" s="996">
        <v>0</v>
      </c>
      <c r="H198" s="996">
        <v>100000</v>
      </c>
      <c r="I198" s="996">
        <v>0</v>
      </c>
      <c r="J198" s="907">
        <f t="shared" si="1"/>
        <v>2600000</v>
      </c>
      <c r="K198" s="908">
        <f>IFERROR(INDEX('DB(2) Pivots'!$G$257:$G$405,MATCH('Regional DB'!D198,'DB(2) Pivots'!$A$257:$A$405,0)),"")</f>
        <v>0.29893486059920116</v>
      </c>
      <c r="L198" s="1"/>
      <c r="M198" t="s">
        <v>153</v>
      </c>
      <c r="N198" s="996">
        <v>0</v>
      </c>
      <c r="O198" s="996">
        <v>0</v>
      </c>
      <c r="P198" s="996">
        <v>0</v>
      </c>
      <c r="Q198" s="996">
        <v>0</v>
      </c>
      <c r="R198" s="996">
        <v>0</v>
      </c>
      <c r="S198" s="996">
        <v>0</v>
      </c>
      <c r="T198" s="996">
        <v>0</v>
      </c>
      <c r="U198" s="996"/>
      <c r="V198" s="996">
        <v>0</v>
      </c>
      <c r="W198" s="996">
        <v>0</v>
      </c>
      <c r="X198" s="996">
        <v>0</v>
      </c>
      <c r="Y198" s="996">
        <v>0</v>
      </c>
      <c r="Z198" s="996">
        <v>0</v>
      </c>
      <c r="AA198" s="996">
        <v>2500000</v>
      </c>
      <c r="AB198" s="996">
        <v>0</v>
      </c>
      <c r="AC198" s="996">
        <v>0</v>
      </c>
      <c r="AD198" s="996">
        <v>0</v>
      </c>
      <c r="AE198" s="996">
        <v>0</v>
      </c>
      <c r="AF198" s="996">
        <v>0</v>
      </c>
      <c r="AG198" s="996">
        <v>0</v>
      </c>
      <c r="AH198" s="996">
        <v>0</v>
      </c>
      <c r="AI198" s="996">
        <v>0</v>
      </c>
      <c r="AJ198" s="996">
        <v>0</v>
      </c>
      <c r="AK198" s="996">
        <v>100000</v>
      </c>
      <c r="AL198" s="996">
        <v>0</v>
      </c>
      <c r="AM198" s="996">
        <v>0</v>
      </c>
      <c r="AN198" s="996">
        <v>0</v>
      </c>
      <c r="AO198" s="1"/>
      <c r="AP198" s="1"/>
      <c r="AQ198" s="1"/>
      <c r="AR198" s="1"/>
    </row>
    <row r="199" spans="1:44">
      <c r="A199" s="1"/>
      <c r="B199" s="1"/>
      <c r="C199" s="1"/>
      <c r="D199" s="900" t="s">
        <v>269</v>
      </c>
      <c r="E199" s="996">
        <v>8500000</v>
      </c>
      <c r="F199" s="996">
        <v>3114766</v>
      </c>
      <c r="G199" s="996">
        <v>4051025.56</v>
      </c>
      <c r="H199" s="996">
        <v>472533</v>
      </c>
      <c r="I199" s="996">
        <v>472533</v>
      </c>
      <c r="J199" s="907">
        <f t="shared" si="1"/>
        <v>16610857.560000001</v>
      </c>
      <c r="K199" s="908">
        <f>IFERROR(INDEX('DB(2) Pivots'!$G$257:$G$405,MATCH('Regional DB'!D199,'DB(2) Pivots'!$A$257:$A$405,0)),"")</f>
        <v>2.0403092659282382</v>
      </c>
      <c r="L199" s="1"/>
      <c r="M199" t="s">
        <v>269</v>
      </c>
      <c r="N199" s="996">
        <v>0</v>
      </c>
      <c r="O199" s="996">
        <v>0</v>
      </c>
      <c r="P199" s="996">
        <v>8500000</v>
      </c>
      <c r="Q199" s="996">
        <v>0</v>
      </c>
      <c r="R199" s="996">
        <v>0</v>
      </c>
      <c r="S199" s="996">
        <v>0</v>
      </c>
      <c r="T199" s="996">
        <v>0</v>
      </c>
      <c r="U199" s="996"/>
      <c r="V199" s="996">
        <v>0</v>
      </c>
      <c r="W199" s="996">
        <v>1114766</v>
      </c>
      <c r="X199" s="996">
        <v>0</v>
      </c>
      <c r="Y199" s="996">
        <v>0</v>
      </c>
      <c r="Z199" s="996">
        <v>0</v>
      </c>
      <c r="AA199" s="996">
        <v>2000000</v>
      </c>
      <c r="AB199" s="996">
        <v>215000</v>
      </c>
      <c r="AC199" s="996">
        <v>173000</v>
      </c>
      <c r="AD199" s="996">
        <v>279827</v>
      </c>
      <c r="AE199" s="996">
        <v>967690</v>
      </c>
      <c r="AF199" s="996">
        <v>0</v>
      </c>
      <c r="AG199" s="996">
        <v>94500</v>
      </c>
      <c r="AH199" s="996">
        <v>148730</v>
      </c>
      <c r="AI199" s="996">
        <v>2172278.56</v>
      </c>
      <c r="AJ199" s="996">
        <v>0</v>
      </c>
      <c r="AK199" s="996">
        <v>472533</v>
      </c>
      <c r="AL199" s="996">
        <v>0</v>
      </c>
      <c r="AM199" s="996">
        <v>0</v>
      </c>
      <c r="AN199" s="996">
        <v>472533</v>
      </c>
      <c r="AO199" s="1"/>
      <c r="AP199" s="1"/>
      <c r="AQ199" s="1"/>
      <c r="AR199" s="1"/>
    </row>
    <row r="200" spans="1:44">
      <c r="A200" s="1"/>
      <c r="B200" s="1"/>
      <c r="C200" s="1"/>
      <c r="D200" s="900" t="s">
        <v>270</v>
      </c>
      <c r="E200" s="996">
        <v>0</v>
      </c>
      <c r="F200" s="996">
        <v>3424071</v>
      </c>
      <c r="G200" s="996">
        <v>319290</v>
      </c>
      <c r="H200" s="996">
        <v>0</v>
      </c>
      <c r="I200" s="996">
        <v>0</v>
      </c>
      <c r="J200" s="907">
        <f t="shared" si="1"/>
        <v>3743361</v>
      </c>
      <c r="K200" s="908">
        <f>IFERROR(INDEX('DB(2) Pivots'!$G$257:$G$405,MATCH('Regional DB'!D200,'DB(2) Pivots'!$A$257:$A$405,0)),"")</f>
        <v>5.3173119127266526</v>
      </c>
      <c r="L200" s="1"/>
      <c r="M200" t="s">
        <v>270</v>
      </c>
      <c r="N200" s="996">
        <v>0</v>
      </c>
      <c r="O200" s="996">
        <v>0</v>
      </c>
      <c r="P200" s="996">
        <v>0</v>
      </c>
      <c r="Q200" s="996">
        <v>0</v>
      </c>
      <c r="R200" s="996">
        <v>0</v>
      </c>
      <c r="S200" s="996">
        <v>0</v>
      </c>
      <c r="T200" s="996">
        <v>0</v>
      </c>
      <c r="U200" s="996"/>
      <c r="V200" s="996">
        <v>3316389</v>
      </c>
      <c r="W200" s="996">
        <v>0</v>
      </c>
      <c r="X200" s="996">
        <v>107682</v>
      </c>
      <c r="Y200" s="996">
        <v>0</v>
      </c>
      <c r="Z200" s="996">
        <v>0</v>
      </c>
      <c r="AA200" s="996">
        <v>0</v>
      </c>
      <c r="AB200" s="996">
        <v>75200</v>
      </c>
      <c r="AC200" s="996">
        <v>0</v>
      </c>
      <c r="AD200" s="996">
        <v>0</v>
      </c>
      <c r="AE200" s="996">
        <v>0</v>
      </c>
      <c r="AF200" s="996">
        <v>0</v>
      </c>
      <c r="AG200" s="996">
        <v>151000</v>
      </c>
      <c r="AH200" s="996">
        <v>93090</v>
      </c>
      <c r="AI200" s="996">
        <v>0</v>
      </c>
      <c r="AJ200" s="996">
        <v>0</v>
      </c>
      <c r="AK200" s="996">
        <v>0</v>
      </c>
      <c r="AL200" s="996">
        <v>0</v>
      </c>
      <c r="AM200" s="996">
        <v>0</v>
      </c>
      <c r="AN200" s="996">
        <v>0</v>
      </c>
      <c r="AO200" s="1"/>
      <c r="AP200" s="1"/>
      <c r="AQ200" s="1"/>
      <c r="AR200" s="1"/>
    </row>
    <row r="201" spans="1:44">
      <c r="A201" s="1"/>
      <c r="B201" s="1"/>
      <c r="C201" s="1"/>
      <c r="D201" s="900" t="s">
        <v>271</v>
      </c>
      <c r="E201" s="996">
        <v>18000000</v>
      </c>
      <c r="F201" s="996">
        <v>2315580</v>
      </c>
      <c r="G201" s="996">
        <v>10686321.627407407</v>
      </c>
      <c r="H201" s="996">
        <v>2015014</v>
      </c>
      <c r="I201" s="996">
        <v>345491</v>
      </c>
      <c r="J201" s="907">
        <f t="shared" si="1"/>
        <v>33362406.627407409</v>
      </c>
      <c r="K201" s="908">
        <f>IFERROR(INDEX('DB(2) Pivots'!$G$257:$G$405,MATCH('Regional DB'!D201,'DB(2) Pivots'!$A$257:$A$405,0)),"")</f>
        <v>2.039329235453859</v>
      </c>
      <c r="L201" s="1"/>
      <c r="M201" t="s">
        <v>271</v>
      </c>
      <c r="N201" s="996">
        <v>0</v>
      </c>
      <c r="O201" s="996">
        <v>0</v>
      </c>
      <c r="P201" s="996">
        <v>18000000</v>
      </c>
      <c r="Q201" s="996">
        <v>0</v>
      </c>
      <c r="R201" s="996">
        <v>0</v>
      </c>
      <c r="S201" s="996">
        <v>0</v>
      </c>
      <c r="T201" s="996">
        <v>0</v>
      </c>
      <c r="U201" s="996"/>
      <c r="V201" s="996">
        <v>815580</v>
      </c>
      <c r="W201" s="996">
        <v>0</v>
      </c>
      <c r="X201" s="996">
        <v>0</v>
      </c>
      <c r="Y201" s="996">
        <v>0</v>
      </c>
      <c r="Z201" s="996">
        <v>0</v>
      </c>
      <c r="AA201" s="996">
        <v>1500000</v>
      </c>
      <c r="AB201" s="996">
        <v>3077980</v>
      </c>
      <c r="AC201" s="996">
        <v>995840</v>
      </c>
      <c r="AD201" s="996">
        <v>455449</v>
      </c>
      <c r="AE201" s="996">
        <v>5100000</v>
      </c>
      <c r="AF201" s="996">
        <v>0</v>
      </c>
      <c r="AG201" s="996">
        <v>499062.40740740742</v>
      </c>
      <c r="AH201" s="996">
        <v>557990.22</v>
      </c>
      <c r="AI201" s="996">
        <v>0</v>
      </c>
      <c r="AJ201" s="996">
        <v>0</v>
      </c>
      <c r="AK201" s="996">
        <v>2015014</v>
      </c>
      <c r="AL201" s="996">
        <v>0</v>
      </c>
      <c r="AM201" s="996">
        <v>0</v>
      </c>
      <c r="AN201" s="996">
        <v>345491</v>
      </c>
      <c r="AO201" s="1"/>
      <c r="AP201" s="1"/>
      <c r="AQ201" s="1"/>
      <c r="AR201" s="1"/>
    </row>
    <row r="202" spans="1:44">
      <c r="A202" s="1"/>
      <c r="B202" s="1"/>
      <c r="C202" s="1"/>
      <c r="D202" s="900" t="s">
        <v>272</v>
      </c>
      <c r="E202" s="996">
        <v>0</v>
      </c>
      <c r="F202" s="996">
        <v>10000000</v>
      </c>
      <c r="G202" s="996">
        <v>0</v>
      </c>
      <c r="H202" s="996">
        <v>1872229</v>
      </c>
      <c r="I202" s="996">
        <v>1542556</v>
      </c>
      <c r="J202" s="907">
        <f t="shared" si="1"/>
        <v>13414785</v>
      </c>
      <c r="K202" s="908">
        <f>IFERROR(INDEX('DB(2) Pivots'!$G$257:$G$405,MATCH('Regional DB'!D202,'DB(2) Pivots'!$A$257:$A$405,0)),"")</f>
        <v>0.22342336853691538</v>
      </c>
      <c r="L202" s="1"/>
      <c r="M202" t="s">
        <v>272</v>
      </c>
      <c r="N202" s="996">
        <v>0</v>
      </c>
      <c r="O202" s="996">
        <v>0</v>
      </c>
      <c r="P202" s="996">
        <v>0</v>
      </c>
      <c r="Q202" s="996">
        <v>0</v>
      </c>
      <c r="R202" s="996">
        <v>0</v>
      </c>
      <c r="S202" s="996">
        <v>0</v>
      </c>
      <c r="T202" s="996">
        <v>0</v>
      </c>
      <c r="U202" s="996"/>
      <c r="V202" s="996">
        <v>0</v>
      </c>
      <c r="W202" s="996">
        <v>0</v>
      </c>
      <c r="X202" s="996">
        <v>0</v>
      </c>
      <c r="Y202" s="996">
        <v>0</v>
      </c>
      <c r="Z202" s="996">
        <v>0</v>
      </c>
      <c r="AA202" s="996">
        <v>10000000</v>
      </c>
      <c r="AB202" s="996">
        <v>0</v>
      </c>
      <c r="AC202" s="996">
        <v>0</v>
      </c>
      <c r="AD202" s="996">
        <v>0</v>
      </c>
      <c r="AE202" s="996">
        <v>0</v>
      </c>
      <c r="AF202" s="996">
        <v>0</v>
      </c>
      <c r="AG202" s="996">
        <v>0</v>
      </c>
      <c r="AH202" s="996">
        <v>0</v>
      </c>
      <c r="AI202" s="996">
        <v>0</v>
      </c>
      <c r="AJ202" s="996">
        <v>0</v>
      </c>
      <c r="AK202" s="996">
        <v>1872229</v>
      </c>
      <c r="AL202" s="996">
        <v>987000</v>
      </c>
      <c r="AM202" s="996">
        <v>0</v>
      </c>
      <c r="AN202" s="996">
        <v>555556</v>
      </c>
      <c r="AO202" s="1"/>
      <c r="AP202" s="1"/>
      <c r="AQ202" s="1"/>
      <c r="AR202" s="1"/>
    </row>
    <row r="203" spans="1:44">
      <c r="A203" s="1"/>
      <c r="B203" s="1"/>
      <c r="C203" s="1"/>
      <c r="D203" s="900" t="s">
        <v>273</v>
      </c>
      <c r="E203" s="996">
        <v>7500000</v>
      </c>
      <c r="F203" s="996">
        <v>3939978</v>
      </c>
      <c r="G203" s="996">
        <v>5827739.4074074076</v>
      </c>
      <c r="H203" s="996">
        <v>2301381</v>
      </c>
      <c r="I203" s="996">
        <v>0</v>
      </c>
      <c r="J203" s="907">
        <f t="shared" si="1"/>
        <v>19569098.407407407</v>
      </c>
      <c r="K203" s="908">
        <f>IFERROR(INDEX('DB(2) Pivots'!$G$257:$G$405,MATCH('Regional DB'!D203,'DB(2) Pivots'!$A$257:$A$405,0)),"")</f>
        <v>1.7193963794897056</v>
      </c>
      <c r="L203" s="1"/>
      <c r="M203" t="s">
        <v>273</v>
      </c>
      <c r="N203" s="996">
        <v>0</v>
      </c>
      <c r="O203" s="996">
        <v>0</v>
      </c>
      <c r="P203" s="996">
        <v>7500000</v>
      </c>
      <c r="Q203" s="996">
        <v>0</v>
      </c>
      <c r="R203" s="996">
        <v>0</v>
      </c>
      <c r="S203" s="996">
        <v>0</v>
      </c>
      <c r="T203" s="996">
        <v>0</v>
      </c>
      <c r="U203" s="996"/>
      <c r="V203" s="996">
        <v>1005223</v>
      </c>
      <c r="W203" s="996">
        <v>0</v>
      </c>
      <c r="X203" s="996">
        <v>0</v>
      </c>
      <c r="Y203" s="996">
        <v>0</v>
      </c>
      <c r="Z203" s="996">
        <v>0</v>
      </c>
      <c r="AA203" s="996">
        <v>2934755</v>
      </c>
      <c r="AB203" s="996">
        <v>1337523</v>
      </c>
      <c r="AC203" s="996">
        <v>500000</v>
      </c>
      <c r="AD203" s="996">
        <v>344160</v>
      </c>
      <c r="AE203" s="996">
        <v>2988882</v>
      </c>
      <c r="AF203" s="996">
        <v>0</v>
      </c>
      <c r="AG203" s="996">
        <v>305807.40740740742</v>
      </c>
      <c r="AH203" s="996">
        <v>351367</v>
      </c>
      <c r="AI203" s="996">
        <v>0</v>
      </c>
      <c r="AJ203" s="996">
        <v>1620781</v>
      </c>
      <c r="AK203" s="996">
        <v>680600</v>
      </c>
      <c r="AL203" s="996">
        <v>0</v>
      </c>
      <c r="AM203" s="996">
        <v>0</v>
      </c>
      <c r="AN203" s="996">
        <v>0</v>
      </c>
      <c r="AO203" s="1"/>
      <c r="AP203" s="1"/>
      <c r="AQ203" s="1"/>
      <c r="AR203" s="1"/>
    </row>
    <row r="204" spans="1:44">
      <c r="A204" s="1"/>
      <c r="B204" s="1"/>
      <c r="C204" s="1"/>
      <c r="D204" s="900" t="s">
        <v>274</v>
      </c>
      <c r="E204" s="996">
        <v>88070000</v>
      </c>
      <c r="F204" s="996">
        <v>3166298</v>
      </c>
      <c r="G204" s="996">
        <v>2581693</v>
      </c>
      <c r="H204" s="996">
        <v>500000</v>
      </c>
      <c r="I204" s="996">
        <v>0</v>
      </c>
      <c r="J204" s="907">
        <f t="shared" si="1"/>
        <v>94317991</v>
      </c>
      <c r="K204" s="908">
        <f>IFERROR(INDEX('DB(2) Pivots'!$G$257:$G$405,MATCH('Regional DB'!D204,'DB(2) Pivots'!$A$257:$A$405,0)),"")</f>
        <v>4.3874330578910676</v>
      </c>
      <c r="L204" s="1"/>
      <c r="M204" t="s">
        <v>274</v>
      </c>
      <c r="N204" s="996">
        <v>48970000</v>
      </c>
      <c r="O204" s="996">
        <v>0</v>
      </c>
      <c r="P204" s="996">
        <v>39100000</v>
      </c>
      <c r="Q204" s="996">
        <v>0</v>
      </c>
      <c r="R204" s="996">
        <v>0</v>
      </c>
      <c r="S204" s="996">
        <v>0</v>
      </c>
      <c r="T204" s="996">
        <v>0</v>
      </c>
      <c r="U204" s="996"/>
      <c r="V204" s="996">
        <v>2166298</v>
      </c>
      <c r="W204" s="996">
        <v>0</v>
      </c>
      <c r="X204" s="996">
        <v>0</v>
      </c>
      <c r="Y204" s="996">
        <v>0</v>
      </c>
      <c r="Z204" s="996">
        <v>0</v>
      </c>
      <c r="AA204" s="996">
        <v>1000000</v>
      </c>
      <c r="AB204" s="996">
        <v>40000</v>
      </c>
      <c r="AC204" s="996">
        <v>0</v>
      </c>
      <c r="AD204" s="996">
        <v>374093</v>
      </c>
      <c r="AE204" s="996">
        <v>981803</v>
      </c>
      <c r="AF204" s="996">
        <v>979797</v>
      </c>
      <c r="AG204" s="996">
        <v>46000</v>
      </c>
      <c r="AH204" s="996">
        <v>160000</v>
      </c>
      <c r="AI204" s="996">
        <v>0</v>
      </c>
      <c r="AJ204" s="996">
        <v>0</v>
      </c>
      <c r="AK204" s="996">
        <v>500000</v>
      </c>
      <c r="AL204" s="996">
        <v>0</v>
      </c>
      <c r="AM204" s="996">
        <v>0</v>
      </c>
      <c r="AN204" s="996">
        <v>0</v>
      </c>
      <c r="AO204" s="1"/>
      <c r="AP204" s="1"/>
      <c r="AQ204" s="1"/>
      <c r="AR204" s="1"/>
    </row>
    <row r="205" spans="1:44">
      <c r="A205" s="1"/>
      <c r="B205" s="1"/>
      <c r="C205" s="1"/>
      <c r="D205" s="900" t="s">
        <v>154</v>
      </c>
      <c r="E205" s="996">
        <v>0</v>
      </c>
      <c r="F205" s="996">
        <v>0</v>
      </c>
      <c r="G205" s="996">
        <v>280000</v>
      </c>
      <c r="H205" s="996">
        <v>75000</v>
      </c>
      <c r="I205" s="996">
        <v>0</v>
      </c>
      <c r="J205" s="907">
        <f t="shared" si="1"/>
        <v>355000</v>
      </c>
      <c r="K205" s="908">
        <f>IFERROR(INDEX('DB(2) Pivots'!$G$257:$G$405,MATCH('Regional DB'!D205,'DB(2) Pivots'!$A$257:$A$405,0)),"")</f>
        <v>1.9251522497166502</v>
      </c>
      <c r="L205" s="1"/>
      <c r="M205" t="s">
        <v>154</v>
      </c>
      <c r="N205" s="996">
        <v>0</v>
      </c>
      <c r="O205" s="996">
        <v>0</v>
      </c>
      <c r="P205" s="996">
        <v>0</v>
      </c>
      <c r="Q205" s="996">
        <v>0</v>
      </c>
      <c r="R205" s="996">
        <v>0</v>
      </c>
      <c r="S205" s="996">
        <v>0</v>
      </c>
      <c r="T205" s="996">
        <v>0</v>
      </c>
      <c r="U205" s="996"/>
      <c r="V205" s="996">
        <v>0</v>
      </c>
      <c r="W205" s="996">
        <v>0</v>
      </c>
      <c r="X205" s="996">
        <v>0</v>
      </c>
      <c r="Y205" s="996">
        <v>0</v>
      </c>
      <c r="Z205" s="996">
        <v>0</v>
      </c>
      <c r="AA205" s="996">
        <v>0</v>
      </c>
      <c r="AB205" s="996">
        <v>0</v>
      </c>
      <c r="AC205" s="996">
        <v>0</v>
      </c>
      <c r="AD205" s="996">
        <v>0</v>
      </c>
      <c r="AE205" s="996">
        <v>230000</v>
      </c>
      <c r="AF205" s="996">
        <v>0</v>
      </c>
      <c r="AG205" s="996">
        <v>0</v>
      </c>
      <c r="AH205" s="996">
        <v>50000</v>
      </c>
      <c r="AI205" s="996">
        <v>0</v>
      </c>
      <c r="AJ205" s="996">
        <v>0</v>
      </c>
      <c r="AK205" s="996">
        <v>75000</v>
      </c>
      <c r="AL205" s="996">
        <v>0</v>
      </c>
      <c r="AM205" s="996">
        <v>0</v>
      </c>
      <c r="AN205" s="996">
        <v>0</v>
      </c>
      <c r="AO205" s="1"/>
      <c r="AP205" s="1"/>
      <c r="AQ205" s="1"/>
      <c r="AR205" s="1"/>
    </row>
    <row r="206" spans="1:44">
      <c r="A206" s="1"/>
      <c r="B206" s="1"/>
      <c r="C206" s="1"/>
      <c r="D206" s="900" t="s">
        <v>155</v>
      </c>
      <c r="E206" s="996">
        <v>0</v>
      </c>
      <c r="F206" s="996">
        <v>0</v>
      </c>
      <c r="G206" s="996">
        <v>495000</v>
      </c>
      <c r="H206" s="996">
        <v>75000</v>
      </c>
      <c r="I206" s="996">
        <v>0</v>
      </c>
      <c r="J206" s="907">
        <f t="shared" si="1"/>
        <v>570000</v>
      </c>
      <c r="K206" s="908">
        <f>IFERROR(INDEX('DB(2) Pivots'!$G$257:$G$405,MATCH('Regional DB'!D206,'DB(2) Pivots'!$A$257:$A$405,0)),"")</f>
        <v>5.1227206140074957</v>
      </c>
      <c r="L206" s="1"/>
      <c r="M206" t="s">
        <v>155</v>
      </c>
      <c r="N206" s="996">
        <v>0</v>
      </c>
      <c r="O206" s="996">
        <v>0</v>
      </c>
      <c r="P206" s="996">
        <v>0</v>
      </c>
      <c r="Q206" s="996">
        <v>0</v>
      </c>
      <c r="R206" s="996">
        <v>0</v>
      </c>
      <c r="S206" s="996">
        <v>0</v>
      </c>
      <c r="T206" s="996">
        <v>0</v>
      </c>
      <c r="U206" s="996"/>
      <c r="V206" s="996">
        <v>0</v>
      </c>
      <c r="W206" s="996">
        <v>0</v>
      </c>
      <c r="X206" s="996">
        <v>0</v>
      </c>
      <c r="Y206" s="996">
        <v>0</v>
      </c>
      <c r="Z206" s="996">
        <v>0</v>
      </c>
      <c r="AA206" s="996">
        <v>0</v>
      </c>
      <c r="AB206" s="996">
        <v>0</v>
      </c>
      <c r="AC206" s="996">
        <v>0</v>
      </c>
      <c r="AD206" s="996">
        <v>0</v>
      </c>
      <c r="AE206" s="996">
        <v>230000</v>
      </c>
      <c r="AF206" s="996">
        <v>200000</v>
      </c>
      <c r="AG206" s="996">
        <v>0</v>
      </c>
      <c r="AH206" s="996">
        <v>65000</v>
      </c>
      <c r="AI206" s="996">
        <v>0</v>
      </c>
      <c r="AJ206" s="996">
        <v>0</v>
      </c>
      <c r="AK206" s="996">
        <v>75000</v>
      </c>
      <c r="AL206" s="996">
        <v>0</v>
      </c>
      <c r="AM206" s="996">
        <v>0</v>
      </c>
      <c r="AN206" s="996">
        <v>0</v>
      </c>
      <c r="AO206" s="1"/>
      <c r="AP206" s="1"/>
      <c r="AQ206" s="1"/>
      <c r="AR206" s="1"/>
    </row>
    <row r="207" spans="1:44">
      <c r="A207" s="1"/>
      <c r="B207" s="1"/>
      <c r="C207" s="1"/>
      <c r="D207" s="900" t="s">
        <v>276</v>
      </c>
      <c r="E207" s="996">
        <v>0</v>
      </c>
      <c r="F207" s="996">
        <v>900000</v>
      </c>
      <c r="G207" s="996">
        <v>1657999.54</v>
      </c>
      <c r="H207" s="996">
        <v>450000</v>
      </c>
      <c r="I207" s="996">
        <v>0</v>
      </c>
      <c r="J207" s="907">
        <f t="shared" si="1"/>
        <v>3007999.54</v>
      </c>
      <c r="K207" s="908">
        <f>IFERROR(INDEX('DB(2) Pivots'!$G$257:$G$405,MATCH('Regional DB'!D207,'DB(2) Pivots'!$A$257:$A$405,0)),"")</f>
        <v>0.57594104338782048</v>
      </c>
      <c r="L207" s="1"/>
      <c r="M207" t="s">
        <v>276</v>
      </c>
      <c r="N207" s="996">
        <v>0</v>
      </c>
      <c r="O207" s="996">
        <v>0</v>
      </c>
      <c r="P207" s="996">
        <v>0</v>
      </c>
      <c r="Q207" s="996">
        <v>0</v>
      </c>
      <c r="R207" s="996">
        <v>0</v>
      </c>
      <c r="S207" s="996">
        <v>0</v>
      </c>
      <c r="T207" s="996">
        <v>0</v>
      </c>
      <c r="U207" s="996"/>
      <c r="V207" s="996">
        <v>0</v>
      </c>
      <c r="W207" s="996">
        <v>0</v>
      </c>
      <c r="X207" s="996">
        <v>0</v>
      </c>
      <c r="Y207" s="996">
        <v>0</v>
      </c>
      <c r="Z207" s="996">
        <v>0</v>
      </c>
      <c r="AA207" s="996">
        <v>900000</v>
      </c>
      <c r="AB207" s="996">
        <v>0</v>
      </c>
      <c r="AC207" s="996">
        <v>0</v>
      </c>
      <c r="AD207" s="996">
        <v>0</v>
      </c>
      <c r="AE207" s="996">
        <v>230000</v>
      </c>
      <c r="AF207" s="996">
        <v>1000000</v>
      </c>
      <c r="AG207" s="996">
        <v>25000</v>
      </c>
      <c r="AH207" s="996">
        <v>402999.54000000004</v>
      </c>
      <c r="AI207" s="996">
        <v>0</v>
      </c>
      <c r="AJ207" s="996">
        <v>0</v>
      </c>
      <c r="AK207" s="996">
        <v>450000</v>
      </c>
      <c r="AL207" s="996">
        <v>0</v>
      </c>
      <c r="AM207" s="996">
        <v>0</v>
      </c>
      <c r="AN207" s="996">
        <v>0</v>
      </c>
      <c r="AO207" s="1"/>
      <c r="AP207" s="1"/>
      <c r="AQ207" s="1"/>
      <c r="AR207" s="1"/>
    </row>
    <row r="208" spans="1:44">
      <c r="A208" s="1"/>
      <c r="B208" s="1"/>
      <c r="C208" s="1"/>
      <c r="D208" s="900" t="s">
        <v>277</v>
      </c>
      <c r="E208" s="996">
        <v>49600000</v>
      </c>
      <c r="F208" s="996">
        <v>710000</v>
      </c>
      <c r="G208" s="996">
        <v>5592131.6296296297</v>
      </c>
      <c r="H208" s="996">
        <v>7767500</v>
      </c>
      <c r="I208" s="996">
        <v>476081.75</v>
      </c>
      <c r="J208" s="907">
        <f t="shared" si="1"/>
        <v>64145713.379629627</v>
      </c>
      <c r="K208" s="908">
        <f>IFERROR(INDEX('DB(2) Pivots'!$G$257:$G$405,MATCH('Regional DB'!D208,'DB(2) Pivots'!$A$257:$A$405,0)),"")</f>
        <v>1.4283375722715215</v>
      </c>
      <c r="L208" s="1"/>
      <c r="M208" t="s">
        <v>277</v>
      </c>
      <c r="N208" s="996">
        <v>0</v>
      </c>
      <c r="O208" s="996">
        <v>0</v>
      </c>
      <c r="P208" s="996">
        <v>49600000</v>
      </c>
      <c r="Q208" s="996">
        <v>0</v>
      </c>
      <c r="R208" s="996">
        <v>0</v>
      </c>
      <c r="S208" s="996">
        <v>0</v>
      </c>
      <c r="T208" s="996">
        <v>0</v>
      </c>
      <c r="U208" s="996"/>
      <c r="V208" s="996">
        <v>0</v>
      </c>
      <c r="W208" s="996">
        <v>0</v>
      </c>
      <c r="X208" s="996">
        <v>0</v>
      </c>
      <c r="Y208" s="996">
        <v>0</v>
      </c>
      <c r="Z208" s="996">
        <v>0</v>
      </c>
      <c r="AA208" s="996">
        <v>710000</v>
      </c>
      <c r="AB208" s="996">
        <v>50000</v>
      </c>
      <c r="AC208" s="996">
        <v>0</v>
      </c>
      <c r="AD208" s="996">
        <v>936629</v>
      </c>
      <c r="AE208" s="996">
        <v>3536420</v>
      </c>
      <c r="AF208" s="996">
        <v>0</v>
      </c>
      <c r="AG208" s="996">
        <v>384079.62962962961</v>
      </c>
      <c r="AH208" s="996">
        <v>685003</v>
      </c>
      <c r="AI208" s="996">
        <v>0</v>
      </c>
      <c r="AJ208" s="996">
        <v>0</v>
      </c>
      <c r="AK208" s="996">
        <v>7767500</v>
      </c>
      <c r="AL208" s="996">
        <v>0</v>
      </c>
      <c r="AM208" s="996">
        <v>0</v>
      </c>
      <c r="AN208" s="996">
        <v>476081.75</v>
      </c>
      <c r="AO208" s="1"/>
      <c r="AP208" s="1"/>
      <c r="AQ208" s="1"/>
      <c r="AR208" s="1"/>
    </row>
    <row r="209" spans="1:44">
      <c r="A209" s="1"/>
      <c r="B209" s="1"/>
      <c r="C209" s="1"/>
      <c r="D209" s="900" t="s">
        <v>278</v>
      </c>
      <c r="E209" s="996">
        <v>0</v>
      </c>
      <c r="F209" s="996">
        <v>0</v>
      </c>
      <c r="G209" s="996">
        <v>0</v>
      </c>
      <c r="H209" s="996">
        <v>0</v>
      </c>
      <c r="I209" s="996">
        <v>282294</v>
      </c>
      <c r="J209" s="907">
        <f t="shared" si="1"/>
        <v>282294</v>
      </c>
      <c r="K209" s="908">
        <f>IFERROR(INDEX('DB(2) Pivots'!$G$257:$G$405,MATCH('Regional DB'!D209,'DB(2) Pivots'!$A$257:$A$405,0)),"")</f>
        <v>0.47701073677166872</v>
      </c>
      <c r="L209" s="1"/>
      <c r="M209" t="s">
        <v>278</v>
      </c>
      <c r="N209" s="996">
        <v>0</v>
      </c>
      <c r="O209" s="996">
        <v>0</v>
      </c>
      <c r="P209" s="996">
        <v>0</v>
      </c>
      <c r="Q209" s="996">
        <v>0</v>
      </c>
      <c r="R209" s="996">
        <v>0</v>
      </c>
      <c r="S209" s="996">
        <v>0</v>
      </c>
      <c r="T209" s="996">
        <v>0</v>
      </c>
      <c r="U209" s="996"/>
      <c r="V209" s="996">
        <v>0</v>
      </c>
      <c r="W209" s="996">
        <v>0</v>
      </c>
      <c r="X209" s="996">
        <v>0</v>
      </c>
      <c r="Y209" s="996">
        <v>0</v>
      </c>
      <c r="Z209" s="996">
        <v>0</v>
      </c>
      <c r="AA209" s="996">
        <v>0</v>
      </c>
      <c r="AB209" s="996">
        <v>0</v>
      </c>
      <c r="AC209" s="996">
        <v>0</v>
      </c>
      <c r="AD209" s="996">
        <v>0</v>
      </c>
      <c r="AE209" s="996">
        <v>0</v>
      </c>
      <c r="AF209" s="996">
        <v>0</v>
      </c>
      <c r="AG209" s="996">
        <v>0</v>
      </c>
      <c r="AH209" s="996">
        <v>0</v>
      </c>
      <c r="AI209" s="996">
        <v>0</v>
      </c>
      <c r="AJ209" s="996">
        <v>0</v>
      </c>
      <c r="AK209" s="996">
        <v>0</v>
      </c>
      <c r="AL209" s="996">
        <v>0</v>
      </c>
      <c r="AM209" s="996">
        <v>0</v>
      </c>
      <c r="AN209" s="996">
        <v>282294</v>
      </c>
      <c r="AO209" s="1"/>
      <c r="AP209" s="1"/>
      <c r="AQ209" s="1"/>
      <c r="AR209" s="1"/>
    </row>
    <row r="210" spans="1:44">
      <c r="A210" s="1"/>
      <c r="B210" s="1"/>
      <c r="C210" s="1"/>
      <c r="D210" s="900" t="s">
        <v>279</v>
      </c>
      <c r="E210" s="996">
        <v>0</v>
      </c>
      <c r="F210" s="996">
        <v>300000</v>
      </c>
      <c r="G210" s="996">
        <v>4887288.722222222</v>
      </c>
      <c r="H210" s="996">
        <v>5153018</v>
      </c>
      <c r="I210" s="996">
        <v>0</v>
      </c>
      <c r="J210" s="907">
        <f t="shared" si="1"/>
        <v>10340306.722222222</v>
      </c>
      <c r="K210" s="908">
        <f>IFERROR(INDEX('DB(2) Pivots'!$G$257:$G$405,MATCH('Regional DB'!D210,'DB(2) Pivots'!$A$257:$A$405,0)),"")</f>
        <v>0.56579526141494862</v>
      </c>
      <c r="L210" s="1"/>
      <c r="M210" t="s">
        <v>279</v>
      </c>
      <c r="N210" s="996">
        <v>0</v>
      </c>
      <c r="O210" s="996">
        <v>0</v>
      </c>
      <c r="P210" s="996">
        <v>0</v>
      </c>
      <c r="Q210" s="996">
        <v>0</v>
      </c>
      <c r="R210" s="996">
        <v>0</v>
      </c>
      <c r="S210" s="996">
        <v>0</v>
      </c>
      <c r="T210" s="996">
        <v>0</v>
      </c>
      <c r="U210" s="996"/>
      <c r="V210" s="996">
        <v>0</v>
      </c>
      <c r="W210" s="996">
        <v>0</v>
      </c>
      <c r="X210" s="996">
        <v>0</v>
      </c>
      <c r="Y210" s="996">
        <v>0</v>
      </c>
      <c r="Z210" s="996">
        <v>0</v>
      </c>
      <c r="AA210" s="996">
        <v>300000</v>
      </c>
      <c r="AB210" s="996">
        <v>175000</v>
      </c>
      <c r="AC210" s="996">
        <v>0</v>
      </c>
      <c r="AD210" s="996">
        <v>340991</v>
      </c>
      <c r="AE210" s="996">
        <v>3451738</v>
      </c>
      <c r="AF210" s="996">
        <v>0</v>
      </c>
      <c r="AG210" s="996">
        <v>460772.22222222219</v>
      </c>
      <c r="AH210" s="996">
        <v>458787.5</v>
      </c>
      <c r="AI210" s="996">
        <v>0</v>
      </c>
      <c r="AJ210" s="996">
        <v>0</v>
      </c>
      <c r="AK210" s="996">
        <v>5153018</v>
      </c>
      <c r="AL210" s="996">
        <v>0</v>
      </c>
      <c r="AM210" s="996">
        <v>0</v>
      </c>
      <c r="AN210" s="996">
        <v>0</v>
      </c>
      <c r="AO210" s="1"/>
      <c r="AP210" s="1"/>
      <c r="AQ210" s="1"/>
      <c r="AR210" s="1"/>
    </row>
    <row r="211" spans="1:44">
      <c r="A211" s="1"/>
      <c r="B211" s="1"/>
      <c r="C211" s="1"/>
      <c r="D211" s="900" t="s">
        <v>280</v>
      </c>
      <c r="E211" s="996">
        <v>3170000</v>
      </c>
      <c r="F211" s="996">
        <v>1952000</v>
      </c>
      <c r="G211" s="996">
        <v>2347931.7796296296</v>
      </c>
      <c r="H211" s="996">
        <v>0</v>
      </c>
      <c r="I211" s="996">
        <v>0</v>
      </c>
      <c r="J211" s="907">
        <f t="shared" si="1"/>
        <v>7469931.7796296291</v>
      </c>
      <c r="K211" s="908">
        <f>IFERROR(INDEX('DB(2) Pivots'!$G$257:$G$405,MATCH('Regional DB'!D211,'DB(2) Pivots'!$A$257:$A$405,0)),"")</f>
        <v>0.76617631751268689</v>
      </c>
      <c r="L211" s="1"/>
      <c r="M211" t="s">
        <v>280</v>
      </c>
      <c r="N211" s="996">
        <v>770000</v>
      </c>
      <c r="O211" s="996">
        <v>0</v>
      </c>
      <c r="P211" s="996">
        <v>2400000</v>
      </c>
      <c r="Q211" s="996">
        <v>0</v>
      </c>
      <c r="R211" s="996">
        <v>0</v>
      </c>
      <c r="S211" s="996">
        <v>0</v>
      </c>
      <c r="T211" s="996">
        <v>0</v>
      </c>
      <c r="U211" s="996"/>
      <c r="V211" s="996">
        <v>0</v>
      </c>
      <c r="W211" s="996">
        <v>0</v>
      </c>
      <c r="X211" s="996">
        <v>0</v>
      </c>
      <c r="Y211" s="996">
        <v>0</v>
      </c>
      <c r="Z211" s="996">
        <v>0</v>
      </c>
      <c r="AA211" s="996">
        <v>1952000</v>
      </c>
      <c r="AB211" s="996">
        <v>268000</v>
      </c>
      <c r="AC211" s="996">
        <v>0</v>
      </c>
      <c r="AD211" s="996">
        <v>365913</v>
      </c>
      <c r="AE211" s="996">
        <v>978461</v>
      </c>
      <c r="AF211" s="996">
        <v>0</v>
      </c>
      <c r="AG211" s="996">
        <v>105279.62962962962</v>
      </c>
      <c r="AH211" s="996">
        <v>630278.15</v>
      </c>
      <c r="AI211" s="996">
        <v>0</v>
      </c>
      <c r="AJ211" s="996">
        <v>0</v>
      </c>
      <c r="AK211" s="996">
        <v>0</v>
      </c>
      <c r="AL211" s="996">
        <v>0</v>
      </c>
      <c r="AM211" s="996">
        <v>0</v>
      </c>
      <c r="AN211" s="996">
        <v>0</v>
      </c>
      <c r="AO211" s="1"/>
      <c r="AP211" s="1"/>
      <c r="AQ211" s="1"/>
      <c r="AR211" s="1"/>
    </row>
    <row r="212" spans="1:44">
      <c r="A212" s="1"/>
      <c r="B212" s="1"/>
      <c r="C212" s="1"/>
      <c r="D212" s="900" t="s">
        <v>156</v>
      </c>
      <c r="E212" s="996">
        <v>0</v>
      </c>
      <c r="F212" s="996">
        <v>3006757</v>
      </c>
      <c r="G212" s="996">
        <v>8536985.4000000004</v>
      </c>
      <c r="H212" s="996">
        <v>1824000</v>
      </c>
      <c r="I212" s="996">
        <v>0</v>
      </c>
      <c r="J212" s="907">
        <f t="shared" si="1"/>
        <v>13367742.4</v>
      </c>
      <c r="K212" s="908">
        <f>IFERROR(INDEX('DB(2) Pivots'!$G$257:$G$405,MATCH('Regional DB'!D212,'DB(2) Pivots'!$A$257:$A$405,0)),"")</f>
        <v>0.21736718581372749</v>
      </c>
      <c r="L212" s="1"/>
      <c r="M212" t="s">
        <v>156</v>
      </c>
      <c r="N212" s="996">
        <v>0</v>
      </c>
      <c r="O212" s="996">
        <v>0</v>
      </c>
      <c r="P212" s="996">
        <v>0</v>
      </c>
      <c r="Q212" s="996">
        <v>0</v>
      </c>
      <c r="R212" s="996">
        <v>0</v>
      </c>
      <c r="S212" s="996">
        <v>0</v>
      </c>
      <c r="T212" s="996">
        <v>0</v>
      </c>
      <c r="U212" s="996">
        <v>506757</v>
      </c>
      <c r="V212" s="996">
        <v>0</v>
      </c>
      <c r="W212" s="996">
        <v>0</v>
      </c>
      <c r="X212" s="996">
        <v>0</v>
      </c>
      <c r="Y212" s="996">
        <v>0</v>
      </c>
      <c r="Z212" s="996">
        <v>0</v>
      </c>
      <c r="AA212" s="996">
        <v>2500000</v>
      </c>
      <c r="AB212" s="996">
        <v>420000</v>
      </c>
      <c r="AC212" s="996">
        <v>0</v>
      </c>
      <c r="AD212" s="996">
        <v>1266103</v>
      </c>
      <c r="AE212" s="996">
        <v>6752492</v>
      </c>
      <c r="AF212" s="996">
        <v>0</v>
      </c>
      <c r="AG212" s="996">
        <v>48400</v>
      </c>
      <c r="AH212" s="996">
        <v>49990.400000000001</v>
      </c>
      <c r="AI212" s="996">
        <v>0</v>
      </c>
      <c r="AJ212" s="996">
        <v>0</v>
      </c>
      <c r="AK212" s="996">
        <v>1824000</v>
      </c>
      <c r="AL212" s="996">
        <v>0</v>
      </c>
      <c r="AM212" s="996">
        <v>0</v>
      </c>
      <c r="AN212" s="996">
        <v>0</v>
      </c>
      <c r="AO212" s="1"/>
      <c r="AP212" s="1"/>
      <c r="AQ212" s="1"/>
      <c r="AR212" s="1"/>
    </row>
    <row r="213" spans="1:44">
      <c r="A213" s="1"/>
      <c r="B213" s="1"/>
      <c r="C213" s="1"/>
      <c r="D213" s="900" t="s">
        <v>157</v>
      </c>
      <c r="E213" s="996">
        <v>0</v>
      </c>
      <c r="F213" s="996">
        <v>1893880</v>
      </c>
      <c r="G213" s="996">
        <v>0</v>
      </c>
      <c r="H213" s="996">
        <v>0</v>
      </c>
      <c r="I213" s="996">
        <v>272222</v>
      </c>
      <c r="J213" s="907">
        <f t="shared" si="1"/>
        <v>2166102</v>
      </c>
      <c r="K213" s="908">
        <f>IFERROR(INDEX('DB(2) Pivots'!$G$257:$G$405,MATCH('Regional DB'!D213,'DB(2) Pivots'!$A$257:$A$405,0)),"")</f>
        <v>3.0966059537466051E-2</v>
      </c>
      <c r="L213" s="1"/>
      <c r="M213" t="s">
        <v>157</v>
      </c>
      <c r="N213" s="996">
        <v>0</v>
      </c>
      <c r="O213" s="996">
        <v>0</v>
      </c>
      <c r="P213" s="996">
        <v>0</v>
      </c>
      <c r="Q213" s="996">
        <v>0</v>
      </c>
      <c r="R213" s="996">
        <v>0</v>
      </c>
      <c r="S213" s="996">
        <v>0</v>
      </c>
      <c r="T213" s="996">
        <v>0</v>
      </c>
      <c r="U213" s="996"/>
      <c r="V213" s="996">
        <v>693880</v>
      </c>
      <c r="W213" s="996">
        <v>0</v>
      </c>
      <c r="X213" s="996">
        <v>0</v>
      </c>
      <c r="Y213" s="996">
        <v>0</v>
      </c>
      <c r="Z213" s="996">
        <v>0</v>
      </c>
      <c r="AA213" s="996">
        <v>1200000</v>
      </c>
      <c r="AB213" s="996">
        <v>0</v>
      </c>
      <c r="AC213" s="996">
        <v>0</v>
      </c>
      <c r="AD213" s="996">
        <v>0</v>
      </c>
      <c r="AE213" s="996">
        <v>0</v>
      </c>
      <c r="AF213" s="996">
        <v>0</v>
      </c>
      <c r="AG213" s="996">
        <v>0</v>
      </c>
      <c r="AH213" s="996">
        <v>0</v>
      </c>
      <c r="AI213" s="996">
        <v>0</v>
      </c>
      <c r="AJ213" s="996">
        <v>0</v>
      </c>
      <c r="AK213" s="996">
        <v>0</v>
      </c>
      <c r="AL213" s="996">
        <v>0</v>
      </c>
      <c r="AM213" s="996">
        <v>0</v>
      </c>
      <c r="AN213" s="996">
        <v>272222</v>
      </c>
      <c r="AO213" s="1"/>
      <c r="AP213" s="1"/>
      <c r="AQ213" s="1"/>
      <c r="AR213" s="1"/>
    </row>
    <row r="214" spans="1:44">
      <c r="A214" s="1"/>
      <c r="B214" s="1"/>
      <c r="C214" s="1"/>
      <c r="D214" s="900" t="s">
        <v>281</v>
      </c>
      <c r="E214" s="996">
        <v>0</v>
      </c>
      <c r="F214" s="996">
        <v>4539675</v>
      </c>
      <c r="G214" s="996">
        <v>499976</v>
      </c>
      <c r="H214" s="996">
        <v>260000</v>
      </c>
      <c r="I214" s="996">
        <v>1782183</v>
      </c>
      <c r="J214" s="907">
        <f t="shared" si="1"/>
        <v>7081834</v>
      </c>
      <c r="K214" s="908">
        <f>IFERROR(INDEX('DB(2) Pivots'!$G$257:$G$405,MATCH('Regional DB'!D214,'DB(2) Pivots'!$A$257:$A$405,0)),"")</f>
        <v>5.2697118407589993</v>
      </c>
      <c r="L214" s="1"/>
      <c r="M214" t="s">
        <v>281</v>
      </c>
      <c r="N214" s="996">
        <v>0</v>
      </c>
      <c r="O214" s="996">
        <v>0</v>
      </c>
      <c r="P214" s="996">
        <v>0</v>
      </c>
      <c r="Q214" s="996">
        <v>2678432</v>
      </c>
      <c r="R214" s="996">
        <v>0</v>
      </c>
      <c r="S214" s="996">
        <v>0</v>
      </c>
      <c r="T214" s="996">
        <v>0</v>
      </c>
      <c r="U214" s="996"/>
      <c r="V214" s="996">
        <v>1135520</v>
      </c>
      <c r="W214" s="996">
        <v>0</v>
      </c>
      <c r="X214" s="996">
        <v>0</v>
      </c>
      <c r="Y214" s="996">
        <v>0</v>
      </c>
      <c r="Z214" s="996">
        <v>0</v>
      </c>
      <c r="AA214" s="996">
        <v>725723</v>
      </c>
      <c r="AB214" s="996">
        <v>50000</v>
      </c>
      <c r="AC214" s="996">
        <v>0</v>
      </c>
      <c r="AD214" s="996">
        <v>50361</v>
      </c>
      <c r="AE214" s="996">
        <v>244615</v>
      </c>
      <c r="AF214" s="996">
        <v>0</v>
      </c>
      <c r="AG214" s="996">
        <v>129999.99999999999</v>
      </c>
      <c r="AH214" s="996">
        <v>25000</v>
      </c>
      <c r="AI214" s="996">
        <v>0</v>
      </c>
      <c r="AJ214" s="996">
        <v>0</v>
      </c>
      <c r="AK214" s="996">
        <v>260000</v>
      </c>
      <c r="AL214" s="996">
        <v>99000</v>
      </c>
      <c r="AM214" s="996">
        <v>0</v>
      </c>
      <c r="AN214" s="996">
        <v>1683183</v>
      </c>
      <c r="AO214" s="1"/>
      <c r="AP214" s="1"/>
      <c r="AQ214" s="1"/>
      <c r="AR214" s="1"/>
    </row>
    <row r="215" spans="1:44">
      <c r="A215" s="1"/>
      <c r="B215" s="1"/>
      <c r="C215" s="1"/>
      <c r="D215" s="900" t="s">
        <v>282</v>
      </c>
      <c r="E215" s="996">
        <v>21600000</v>
      </c>
      <c r="F215" s="996">
        <v>500000</v>
      </c>
      <c r="G215" s="996">
        <v>1678324.2962962962</v>
      </c>
      <c r="H215" s="996">
        <v>500000</v>
      </c>
      <c r="I215" s="996">
        <v>0</v>
      </c>
      <c r="J215" s="907">
        <f t="shared" si="1"/>
        <v>24278324.296296295</v>
      </c>
      <c r="K215" s="908">
        <f>IFERROR(INDEX('DB(2) Pivots'!$G$257:$G$405,MATCH('Regional DB'!D215,'DB(2) Pivots'!$A$257:$A$405,0)),"")</f>
        <v>2.8636035980450067</v>
      </c>
      <c r="L215" s="1"/>
      <c r="M215" t="s">
        <v>282</v>
      </c>
      <c r="N215" s="996">
        <v>0</v>
      </c>
      <c r="O215" s="996">
        <v>0</v>
      </c>
      <c r="P215" s="996">
        <v>21600000</v>
      </c>
      <c r="Q215" s="996">
        <v>0</v>
      </c>
      <c r="R215" s="996">
        <v>0</v>
      </c>
      <c r="S215" s="996">
        <v>0</v>
      </c>
      <c r="T215" s="996">
        <v>0</v>
      </c>
      <c r="U215" s="996"/>
      <c r="V215" s="996">
        <v>0</v>
      </c>
      <c r="W215" s="996">
        <v>0</v>
      </c>
      <c r="X215" s="996">
        <v>0</v>
      </c>
      <c r="Y215" s="996">
        <v>0</v>
      </c>
      <c r="Z215" s="996">
        <v>0</v>
      </c>
      <c r="AA215" s="996">
        <v>500000</v>
      </c>
      <c r="AB215" s="996">
        <v>40000</v>
      </c>
      <c r="AC215" s="996">
        <v>0</v>
      </c>
      <c r="AD215" s="996">
        <v>283310</v>
      </c>
      <c r="AE215" s="996">
        <v>1000017</v>
      </c>
      <c r="AF215" s="996">
        <v>0</v>
      </c>
      <c r="AG215" s="996">
        <v>141046.29629629629</v>
      </c>
      <c r="AH215" s="996">
        <v>213951</v>
      </c>
      <c r="AI215" s="996">
        <v>0</v>
      </c>
      <c r="AJ215" s="996">
        <v>0</v>
      </c>
      <c r="AK215" s="996">
        <v>500000</v>
      </c>
      <c r="AL215" s="996">
        <v>0</v>
      </c>
      <c r="AM215" s="996">
        <v>0</v>
      </c>
      <c r="AN215" s="996">
        <v>0</v>
      </c>
      <c r="AO215" s="1"/>
      <c r="AP215" s="1"/>
      <c r="AQ215" s="1"/>
      <c r="AR215" s="1"/>
    </row>
    <row r="216" spans="1:44">
      <c r="A216" s="1"/>
      <c r="B216" s="1"/>
      <c r="C216" s="1"/>
      <c r="D216" s="900" t="s">
        <v>283</v>
      </c>
      <c r="E216" s="996">
        <v>2770000</v>
      </c>
      <c r="F216" s="996">
        <v>521488</v>
      </c>
      <c r="G216" s="996">
        <v>540481.48148148146</v>
      </c>
      <c r="H216" s="996">
        <v>0</v>
      </c>
      <c r="I216" s="996">
        <v>0</v>
      </c>
      <c r="J216" s="907">
        <f t="shared" si="1"/>
        <v>3831969.4814814813</v>
      </c>
      <c r="K216" s="908">
        <f>IFERROR(INDEX('DB(2) Pivots'!$G$257:$G$405,MATCH('Regional DB'!D216,'DB(2) Pivots'!$A$257:$A$405,0)),"")</f>
        <v>35.893643453774217</v>
      </c>
      <c r="L216" s="1"/>
      <c r="M216" t="s">
        <v>283</v>
      </c>
      <c r="N216" s="996">
        <v>2770000</v>
      </c>
      <c r="O216" s="996">
        <v>0</v>
      </c>
      <c r="P216" s="996">
        <v>0</v>
      </c>
      <c r="Q216" s="996">
        <v>0</v>
      </c>
      <c r="R216" s="996">
        <v>0</v>
      </c>
      <c r="S216" s="996">
        <v>0</v>
      </c>
      <c r="T216" s="996">
        <v>0</v>
      </c>
      <c r="U216" s="996"/>
      <c r="V216" s="996">
        <v>498460</v>
      </c>
      <c r="W216" s="996">
        <v>0</v>
      </c>
      <c r="X216" s="996">
        <v>23028</v>
      </c>
      <c r="Y216" s="996">
        <v>0</v>
      </c>
      <c r="Z216" s="996">
        <v>0</v>
      </c>
      <c r="AA216" s="996">
        <v>0</v>
      </c>
      <c r="AB216" s="996">
        <v>0</v>
      </c>
      <c r="AC216" s="996">
        <v>0</v>
      </c>
      <c r="AD216" s="996">
        <v>0</v>
      </c>
      <c r="AE216" s="996">
        <v>230000</v>
      </c>
      <c r="AF216" s="996">
        <v>230000</v>
      </c>
      <c r="AG216" s="996">
        <v>55481.481481481474</v>
      </c>
      <c r="AH216" s="996">
        <v>25000</v>
      </c>
      <c r="AI216" s="996">
        <v>0</v>
      </c>
      <c r="AJ216" s="996">
        <v>0</v>
      </c>
      <c r="AK216" s="996">
        <v>0</v>
      </c>
      <c r="AL216" s="996">
        <v>0</v>
      </c>
      <c r="AM216" s="996">
        <v>0</v>
      </c>
      <c r="AN216" s="996">
        <v>0</v>
      </c>
      <c r="AO216" s="1"/>
      <c r="AP216" s="1"/>
      <c r="AQ216" s="1"/>
      <c r="AR216" s="1"/>
    </row>
    <row r="217" spans="1:44">
      <c r="A217" s="1"/>
      <c r="B217" s="1"/>
      <c r="C217" s="1"/>
      <c r="D217" s="900" t="s">
        <v>285</v>
      </c>
      <c r="E217" s="996">
        <v>9300000</v>
      </c>
      <c r="F217" s="996">
        <v>3650000</v>
      </c>
      <c r="G217" s="996">
        <v>1520584.03</v>
      </c>
      <c r="H217" s="996">
        <v>0</v>
      </c>
      <c r="I217" s="996">
        <v>3118906</v>
      </c>
      <c r="J217" s="907">
        <f t="shared" si="1"/>
        <v>17589490.030000001</v>
      </c>
      <c r="K217" s="908">
        <f>IFERROR(INDEX('DB(2) Pivots'!$G$257:$G$405,MATCH('Regional DB'!D217,'DB(2) Pivots'!$A$257:$A$405,0)),"")</f>
        <v>1.4736794418857477</v>
      </c>
      <c r="L217" s="1"/>
      <c r="M217" t="s">
        <v>285</v>
      </c>
      <c r="N217" s="996">
        <v>0</v>
      </c>
      <c r="O217" s="996">
        <v>0</v>
      </c>
      <c r="P217" s="996">
        <v>9300000</v>
      </c>
      <c r="Q217" s="996">
        <v>0</v>
      </c>
      <c r="R217" s="996">
        <v>0</v>
      </c>
      <c r="S217" s="996">
        <v>0</v>
      </c>
      <c r="T217" s="996">
        <v>0</v>
      </c>
      <c r="U217" s="996"/>
      <c r="V217" s="996">
        <v>650000</v>
      </c>
      <c r="W217" s="996">
        <v>0</v>
      </c>
      <c r="X217" s="996">
        <v>0</v>
      </c>
      <c r="Y217" s="996">
        <v>0</v>
      </c>
      <c r="Z217" s="996">
        <v>0</v>
      </c>
      <c r="AA217" s="996">
        <v>3000000</v>
      </c>
      <c r="AB217" s="996">
        <v>40000</v>
      </c>
      <c r="AC217" s="996">
        <v>0</v>
      </c>
      <c r="AD217" s="996">
        <v>275648</v>
      </c>
      <c r="AE217" s="996">
        <v>530082</v>
      </c>
      <c r="AF217" s="996">
        <v>499854</v>
      </c>
      <c r="AG217" s="996">
        <v>124999.99999999999</v>
      </c>
      <c r="AH217" s="996">
        <v>50000.03</v>
      </c>
      <c r="AI217" s="996">
        <v>0</v>
      </c>
      <c r="AJ217" s="996">
        <v>0</v>
      </c>
      <c r="AK217" s="996">
        <v>0</v>
      </c>
      <c r="AL217" s="996">
        <v>0</v>
      </c>
      <c r="AM217" s="996">
        <v>0</v>
      </c>
      <c r="AN217" s="996">
        <v>3118906</v>
      </c>
      <c r="AO217" s="1"/>
      <c r="AP217" s="1"/>
      <c r="AQ217" s="1"/>
      <c r="AR217" s="1"/>
    </row>
    <row r="218" spans="1:44">
      <c r="A218" s="1"/>
      <c r="B218" s="1"/>
      <c r="C218" s="1"/>
      <c r="D218" s="900" t="s">
        <v>286</v>
      </c>
      <c r="E218" s="996">
        <v>0</v>
      </c>
      <c r="F218" s="996">
        <v>0</v>
      </c>
      <c r="G218" s="996">
        <v>0</v>
      </c>
      <c r="H218" s="996">
        <v>0</v>
      </c>
      <c r="I218" s="996">
        <v>0</v>
      </c>
      <c r="J218" s="907" t="str">
        <f t="shared" si="1"/>
        <v/>
      </c>
      <c r="K218" s="908">
        <f>IFERROR(INDEX('DB(2) Pivots'!$G$257:$G$405,MATCH('Regional DB'!D218,'DB(2) Pivots'!$A$257:$A$405,0)),"")</f>
        <v>0</v>
      </c>
      <c r="L218" s="1"/>
      <c r="M218" t="s">
        <v>286</v>
      </c>
      <c r="N218" s="996">
        <v>0</v>
      </c>
      <c r="O218" s="996">
        <v>0</v>
      </c>
      <c r="P218" s="996">
        <v>0</v>
      </c>
      <c r="Q218" s="996">
        <v>0</v>
      </c>
      <c r="R218" s="996">
        <v>0</v>
      </c>
      <c r="S218" s="996">
        <v>0</v>
      </c>
      <c r="T218" s="996">
        <v>0</v>
      </c>
      <c r="U218" s="996"/>
      <c r="V218" s="996">
        <v>0</v>
      </c>
      <c r="W218" s="996">
        <v>0</v>
      </c>
      <c r="X218" s="996">
        <v>0</v>
      </c>
      <c r="Y218" s="996">
        <v>0</v>
      </c>
      <c r="Z218" s="996">
        <v>0</v>
      </c>
      <c r="AA218" s="996">
        <v>0</v>
      </c>
      <c r="AB218" s="996">
        <v>0</v>
      </c>
      <c r="AC218" s="996">
        <v>0</v>
      </c>
      <c r="AD218" s="996">
        <v>0</v>
      </c>
      <c r="AE218" s="996">
        <v>0</v>
      </c>
      <c r="AF218" s="996">
        <v>0</v>
      </c>
      <c r="AG218" s="996">
        <v>0</v>
      </c>
      <c r="AH218" s="996">
        <v>0</v>
      </c>
      <c r="AI218" s="996">
        <v>0</v>
      </c>
      <c r="AJ218" s="996">
        <v>0</v>
      </c>
      <c r="AK218" s="996">
        <v>0</v>
      </c>
      <c r="AL218" s="996">
        <v>0</v>
      </c>
      <c r="AM218" s="996">
        <v>0</v>
      </c>
      <c r="AN218" s="996">
        <v>0</v>
      </c>
      <c r="AO218" s="1"/>
      <c r="AP218" s="1"/>
      <c r="AQ218" s="1"/>
      <c r="AR218" s="1"/>
    </row>
    <row r="219" spans="1:44">
      <c r="A219" s="1"/>
      <c r="B219" s="1"/>
      <c r="C219" s="1"/>
      <c r="D219" s="900" t="s">
        <v>287</v>
      </c>
      <c r="E219" s="996">
        <v>0</v>
      </c>
      <c r="F219" s="996">
        <v>0</v>
      </c>
      <c r="G219" s="996">
        <v>0</v>
      </c>
      <c r="H219" s="996">
        <v>0</v>
      </c>
      <c r="I219" s="996">
        <v>0</v>
      </c>
      <c r="J219" s="907" t="str">
        <f t="shared" si="1"/>
        <v/>
      </c>
      <c r="K219" s="908">
        <f>IFERROR(INDEX('DB(2) Pivots'!$G$257:$G$405,MATCH('Regional DB'!D219,'DB(2) Pivots'!$A$257:$A$405,0)),"")</f>
        <v>0</v>
      </c>
      <c r="L219" s="1"/>
      <c r="M219" t="s">
        <v>287</v>
      </c>
      <c r="N219" s="996">
        <v>0</v>
      </c>
      <c r="O219" s="996">
        <v>0</v>
      </c>
      <c r="P219" s="996">
        <v>0</v>
      </c>
      <c r="Q219" s="996">
        <v>0</v>
      </c>
      <c r="R219" s="996">
        <v>0</v>
      </c>
      <c r="S219" s="996">
        <v>0</v>
      </c>
      <c r="T219" s="996">
        <v>0</v>
      </c>
      <c r="U219" s="996"/>
      <c r="V219" s="996">
        <v>0</v>
      </c>
      <c r="W219" s="996">
        <v>0</v>
      </c>
      <c r="X219" s="996">
        <v>0</v>
      </c>
      <c r="Y219" s="996">
        <v>0</v>
      </c>
      <c r="Z219" s="996">
        <v>0</v>
      </c>
      <c r="AA219" s="996">
        <v>0</v>
      </c>
      <c r="AB219" s="996">
        <v>0</v>
      </c>
      <c r="AC219" s="996">
        <v>0</v>
      </c>
      <c r="AD219" s="996">
        <v>0</v>
      </c>
      <c r="AE219" s="996">
        <v>0</v>
      </c>
      <c r="AF219" s="996">
        <v>0</v>
      </c>
      <c r="AG219" s="996">
        <v>0</v>
      </c>
      <c r="AH219" s="996">
        <v>0</v>
      </c>
      <c r="AI219" s="996">
        <v>0</v>
      </c>
      <c r="AJ219" s="996">
        <v>0</v>
      </c>
      <c r="AK219" s="996">
        <v>0</v>
      </c>
      <c r="AL219" s="996">
        <v>0</v>
      </c>
      <c r="AM219" s="996">
        <v>0</v>
      </c>
      <c r="AN219" s="996">
        <v>0</v>
      </c>
      <c r="AO219" s="1"/>
      <c r="AP219" s="1"/>
      <c r="AQ219" s="1"/>
      <c r="AR219" s="1"/>
    </row>
    <row r="220" spans="1:44">
      <c r="A220" s="1"/>
      <c r="B220" s="1"/>
      <c r="C220" s="1"/>
      <c r="D220" s="900" t="s">
        <v>288</v>
      </c>
      <c r="E220" s="996">
        <v>840000.00000000012</v>
      </c>
      <c r="F220" s="996">
        <v>133119</v>
      </c>
      <c r="G220" s="996">
        <v>533270.37037037034</v>
      </c>
      <c r="H220" s="996">
        <v>0</v>
      </c>
      <c r="I220" s="996">
        <v>0</v>
      </c>
      <c r="J220" s="907">
        <f t="shared" si="1"/>
        <v>1506389.3703703703</v>
      </c>
      <c r="K220" s="908">
        <f>IFERROR(INDEX('DB(2) Pivots'!$G$257:$G$405,MATCH('Regional DB'!D220,'DB(2) Pivots'!$A$257:$A$405,0)),"")</f>
        <v>19.530018285152341</v>
      </c>
      <c r="L220" s="1"/>
      <c r="M220" t="s">
        <v>288</v>
      </c>
      <c r="N220" s="996">
        <v>840000.00000000012</v>
      </c>
      <c r="O220" s="996">
        <v>0</v>
      </c>
      <c r="P220" s="996">
        <v>0</v>
      </c>
      <c r="Q220" s="996">
        <v>0</v>
      </c>
      <c r="R220" s="996">
        <v>0</v>
      </c>
      <c r="S220" s="996">
        <v>0</v>
      </c>
      <c r="T220" s="996">
        <v>0</v>
      </c>
      <c r="U220" s="996"/>
      <c r="V220" s="996">
        <v>133119</v>
      </c>
      <c r="W220" s="996">
        <v>0</v>
      </c>
      <c r="X220" s="996">
        <v>0</v>
      </c>
      <c r="Y220" s="996">
        <v>0</v>
      </c>
      <c r="Z220" s="996">
        <v>0</v>
      </c>
      <c r="AA220" s="996">
        <v>0</v>
      </c>
      <c r="AB220" s="996">
        <v>0</v>
      </c>
      <c r="AC220" s="996">
        <v>0</v>
      </c>
      <c r="AD220" s="996">
        <v>0</v>
      </c>
      <c r="AE220" s="996">
        <v>230000</v>
      </c>
      <c r="AF220" s="996">
        <v>230000</v>
      </c>
      <c r="AG220" s="996">
        <v>48270.370370370365</v>
      </c>
      <c r="AH220" s="996">
        <v>25000</v>
      </c>
      <c r="AI220" s="996">
        <v>0</v>
      </c>
      <c r="AJ220" s="996">
        <v>0</v>
      </c>
      <c r="AK220" s="996">
        <v>0</v>
      </c>
      <c r="AL220" s="996">
        <v>0</v>
      </c>
      <c r="AM220" s="996">
        <v>0</v>
      </c>
      <c r="AN220" s="996">
        <v>0</v>
      </c>
      <c r="AO220" s="1"/>
      <c r="AP220" s="1"/>
      <c r="AQ220" s="1"/>
      <c r="AR220" s="1"/>
    </row>
    <row r="221" spans="1:44">
      <c r="A221" s="1"/>
      <c r="B221" s="1"/>
      <c r="C221" s="1"/>
      <c r="D221" s="900" t="s">
        <v>289</v>
      </c>
      <c r="E221" s="996">
        <v>20150000</v>
      </c>
      <c r="F221" s="996">
        <v>6382263</v>
      </c>
      <c r="G221" s="996">
        <v>5461385.555555556</v>
      </c>
      <c r="H221" s="996">
        <v>1245581</v>
      </c>
      <c r="I221" s="996">
        <v>3155468</v>
      </c>
      <c r="J221" s="907">
        <f t="shared" ref="J221:J240" si="2">(IF(SUM(E221:I221)=0,"",SUM(E221:I221)))</f>
        <v>36394697.555555552</v>
      </c>
      <c r="K221" s="908">
        <f>IFERROR(INDEX('DB(2) Pivots'!$G$257:$G$405,MATCH('Regional DB'!D221,'DB(2) Pivots'!$A$257:$A$405,0)),"")</f>
        <v>0.77232531685507433</v>
      </c>
      <c r="L221" s="1"/>
      <c r="M221" t="s">
        <v>289</v>
      </c>
      <c r="N221" s="996">
        <v>0</v>
      </c>
      <c r="O221" s="996">
        <v>0</v>
      </c>
      <c r="P221" s="996">
        <v>20150000</v>
      </c>
      <c r="Q221" s="996">
        <v>0</v>
      </c>
      <c r="R221" s="996">
        <v>0</v>
      </c>
      <c r="S221" s="996">
        <v>0</v>
      </c>
      <c r="T221" s="996">
        <v>0</v>
      </c>
      <c r="U221" s="996"/>
      <c r="V221" s="996">
        <v>1518928</v>
      </c>
      <c r="W221" s="996">
        <v>0</v>
      </c>
      <c r="X221" s="996">
        <v>0</v>
      </c>
      <c r="Y221" s="996">
        <v>0</v>
      </c>
      <c r="Z221" s="996">
        <v>0</v>
      </c>
      <c r="AA221" s="996">
        <v>4863335</v>
      </c>
      <c r="AB221" s="996">
        <v>328600</v>
      </c>
      <c r="AC221" s="996">
        <v>0</v>
      </c>
      <c r="AD221" s="996">
        <v>1044909</v>
      </c>
      <c r="AE221" s="996">
        <v>3554186</v>
      </c>
      <c r="AF221" s="996">
        <v>0</v>
      </c>
      <c r="AG221" s="996">
        <v>317030.55555555556</v>
      </c>
      <c r="AH221" s="996">
        <v>216660</v>
      </c>
      <c r="AI221" s="996">
        <v>0</v>
      </c>
      <c r="AJ221" s="996">
        <v>929362</v>
      </c>
      <c r="AK221" s="996">
        <v>316219</v>
      </c>
      <c r="AL221" s="996">
        <v>1106000</v>
      </c>
      <c r="AM221" s="996">
        <v>1105023</v>
      </c>
      <c r="AN221" s="996">
        <v>944445</v>
      </c>
      <c r="AO221" s="1"/>
      <c r="AP221" s="1"/>
      <c r="AQ221" s="1"/>
      <c r="AR221" s="1"/>
    </row>
    <row r="222" spans="1:44">
      <c r="A222" s="1"/>
      <c r="B222" s="1"/>
      <c r="C222" s="1"/>
      <c r="D222" s="900" t="s">
        <v>290</v>
      </c>
      <c r="E222" s="996">
        <v>70000000</v>
      </c>
      <c r="F222" s="996">
        <v>4950000</v>
      </c>
      <c r="G222" s="996">
        <v>4880729.1886956673</v>
      </c>
      <c r="H222" s="996">
        <v>1450000</v>
      </c>
      <c r="I222" s="996">
        <v>92593</v>
      </c>
      <c r="J222" s="907">
        <f t="shared" si="2"/>
        <v>81373322.188695669</v>
      </c>
      <c r="K222" s="908">
        <f>IFERROR(INDEX('DB(2) Pivots'!$G$257:$G$405,MATCH('Regional DB'!D222,'DB(2) Pivots'!$A$257:$A$405,0)),"")</f>
        <v>1.8720789430774505</v>
      </c>
      <c r="L222" s="1"/>
      <c r="M222" t="s">
        <v>290</v>
      </c>
      <c r="N222" s="996">
        <v>0</v>
      </c>
      <c r="O222" s="996">
        <v>0</v>
      </c>
      <c r="P222" s="996">
        <v>70000000</v>
      </c>
      <c r="Q222" s="996">
        <v>0</v>
      </c>
      <c r="R222" s="996">
        <v>0</v>
      </c>
      <c r="S222" s="996">
        <v>0</v>
      </c>
      <c r="T222" s="996">
        <v>0</v>
      </c>
      <c r="U222" s="996"/>
      <c r="V222" s="996">
        <v>0</v>
      </c>
      <c r="W222" s="996">
        <v>0</v>
      </c>
      <c r="X222" s="996">
        <v>0</v>
      </c>
      <c r="Y222" s="996">
        <v>0</v>
      </c>
      <c r="Z222" s="996">
        <v>0</v>
      </c>
      <c r="AA222" s="996">
        <v>4950000</v>
      </c>
      <c r="AB222" s="996">
        <v>110000</v>
      </c>
      <c r="AC222" s="996">
        <v>0</v>
      </c>
      <c r="AD222" s="996">
        <v>681003</v>
      </c>
      <c r="AE222" s="996">
        <v>1977835</v>
      </c>
      <c r="AF222" s="996">
        <v>1979999.5220290006</v>
      </c>
      <c r="AG222" s="996">
        <v>50891.666666666664</v>
      </c>
      <c r="AH222" s="996">
        <v>81000</v>
      </c>
      <c r="AI222" s="996">
        <v>0</v>
      </c>
      <c r="AJ222" s="996">
        <v>0</v>
      </c>
      <c r="AK222" s="996">
        <v>1450000</v>
      </c>
      <c r="AL222" s="996">
        <v>0</v>
      </c>
      <c r="AM222" s="996">
        <v>0</v>
      </c>
      <c r="AN222" s="996">
        <v>92593</v>
      </c>
      <c r="AO222" s="1"/>
      <c r="AP222" s="1"/>
      <c r="AQ222" s="1"/>
      <c r="AR222" s="1"/>
    </row>
    <row r="223" spans="1:44">
      <c r="A223" s="1"/>
      <c r="B223" s="1"/>
      <c r="C223" s="1"/>
      <c r="D223" s="900" t="s">
        <v>292</v>
      </c>
      <c r="E223" s="996">
        <v>0</v>
      </c>
      <c r="F223" s="996">
        <v>3100000</v>
      </c>
      <c r="G223" s="996">
        <v>3869386</v>
      </c>
      <c r="H223" s="996">
        <v>950000</v>
      </c>
      <c r="I223" s="996">
        <v>0</v>
      </c>
      <c r="J223" s="907">
        <f t="shared" si="2"/>
        <v>7919386</v>
      </c>
      <c r="K223" s="908">
        <f>IFERROR(INDEX('DB(2) Pivots'!$G$257:$G$405,MATCH('Regional DB'!D223,'DB(2) Pivots'!$A$257:$A$405,0)),"")</f>
        <v>0.23336400402348378</v>
      </c>
      <c r="L223" s="1"/>
      <c r="M223" t="s">
        <v>292</v>
      </c>
      <c r="N223" s="996">
        <v>0</v>
      </c>
      <c r="O223" s="996">
        <v>0</v>
      </c>
      <c r="P223" s="996">
        <v>0</v>
      </c>
      <c r="Q223" s="996">
        <v>0</v>
      </c>
      <c r="R223" s="996">
        <v>0</v>
      </c>
      <c r="S223" s="996">
        <v>0</v>
      </c>
      <c r="T223" s="996">
        <v>0</v>
      </c>
      <c r="U223" s="996"/>
      <c r="V223" s="996">
        <v>0</v>
      </c>
      <c r="W223" s="996">
        <v>0</v>
      </c>
      <c r="X223" s="996">
        <v>0</v>
      </c>
      <c r="Y223" s="996">
        <v>0</v>
      </c>
      <c r="Z223" s="996">
        <v>0</v>
      </c>
      <c r="AA223" s="996">
        <v>3100000</v>
      </c>
      <c r="AB223" s="996">
        <v>275000</v>
      </c>
      <c r="AC223" s="996">
        <v>0</v>
      </c>
      <c r="AD223" s="996">
        <v>949999</v>
      </c>
      <c r="AE223" s="996">
        <v>2404057</v>
      </c>
      <c r="AF223" s="996">
        <v>0</v>
      </c>
      <c r="AG223" s="996">
        <v>105295.99999999999</v>
      </c>
      <c r="AH223" s="996">
        <v>135034</v>
      </c>
      <c r="AI223" s="996">
        <v>0</v>
      </c>
      <c r="AJ223" s="996">
        <v>0</v>
      </c>
      <c r="AK223" s="996">
        <v>950000</v>
      </c>
      <c r="AL223" s="996">
        <v>0</v>
      </c>
      <c r="AM223" s="996">
        <v>0</v>
      </c>
      <c r="AN223" s="996">
        <v>0</v>
      </c>
      <c r="AO223" s="1"/>
      <c r="AP223" s="1"/>
      <c r="AQ223" s="1"/>
      <c r="AR223" s="1"/>
    </row>
    <row r="224" spans="1:44">
      <c r="A224" s="1"/>
      <c r="B224" s="1"/>
      <c r="C224" s="1"/>
      <c r="D224" s="900" t="s">
        <v>293</v>
      </c>
      <c r="E224" s="996">
        <v>1610000</v>
      </c>
      <c r="F224" s="996">
        <v>459943</v>
      </c>
      <c r="G224" s="996">
        <v>485000.22990000003</v>
      </c>
      <c r="H224" s="996">
        <v>0</v>
      </c>
      <c r="I224" s="996">
        <v>0</v>
      </c>
      <c r="J224" s="907">
        <f t="shared" si="2"/>
        <v>2554943.2299000002</v>
      </c>
      <c r="K224" s="908">
        <f>IFERROR(INDEX('DB(2) Pivots'!$G$257:$G$405,MATCH('Regional DB'!D224,'DB(2) Pivots'!$A$257:$A$405,0)),"")</f>
        <v>8.1247558699882969</v>
      </c>
      <c r="L224" s="1"/>
      <c r="M224" t="s">
        <v>293</v>
      </c>
      <c r="N224" s="996">
        <v>1610000</v>
      </c>
      <c r="O224" s="996">
        <v>0</v>
      </c>
      <c r="P224" s="996">
        <v>0</v>
      </c>
      <c r="Q224" s="996">
        <v>0</v>
      </c>
      <c r="R224" s="996">
        <v>0</v>
      </c>
      <c r="S224" s="996">
        <v>0</v>
      </c>
      <c r="T224" s="996">
        <v>0</v>
      </c>
      <c r="U224" s="996"/>
      <c r="V224" s="996">
        <v>417188</v>
      </c>
      <c r="W224" s="996">
        <v>0</v>
      </c>
      <c r="X224" s="996">
        <v>42755</v>
      </c>
      <c r="Y224" s="996">
        <v>0</v>
      </c>
      <c r="Z224" s="996">
        <v>0</v>
      </c>
      <c r="AA224" s="996">
        <v>0</v>
      </c>
      <c r="AB224" s="996">
        <v>0</v>
      </c>
      <c r="AC224" s="996">
        <v>0</v>
      </c>
      <c r="AD224" s="996">
        <v>0</v>
      </c>
      <c r="AE224" s="996">
        <v>230000</v>
      </c>
      <c r="AF224" s="996">
        <v>230000.22990000001</v>
      </c>
      <c r="AG224" s="996">
        <v>0</v>
      </c>
      <c r="AH224" s="996">
        <v>25000</v>
      </c>
      <c r="AI224" s="996">
        <v>0</v>
      </c>
      <c r="AJ224" s="996">
        <v>0</v>
      </c>
      <c r="AK224" s="996">
        <v>0</v>
      </c>
      <c r="AL224" s="996">
        <v>0</v>
      </c>
      <c r="AM224" s="996">
        <v>0</v>
      </c>
      <c r="AN224" s="996">
        <v>0</v>
      </c>
      <c r="AO224" s="1"/>
      <c r="AP224" s="1"/>
      <c r="AQ224" s="1"/>
      <c r="AR224" s="1"/>
    </row>
    <row r="225" spans="1:44">
      <c r="A225" s="1"/>
      <c r="B225" s="1"/>
      <c r="C225" s="1"/>
      <c r="D225" s="900" t="s">
        <v>294</v>
      </c>
      <c r="E225" s="996">
        <v>0</v>
      </c>
      <c r="F225" s="996">
        <v>9296619.8399999999</v>
      </c>
      <c r="G225" s="996">
        <v>0</v>
      </c>
      <c r="H225" s="996">
        <v>1000000</v>
      </c>
      <c r="I225" s="996">
        <v>0</v>
      </c>
      <c r="J225" s="907">
        <f t="shared" si="2"/>
        <v>10296619.84</v>
      </c>
      <c r="K225" s="908">
        <f>IFERROR(INDEX('DB(2) Pivots'!$G$257:$G$405,MATCH('Regional DB'!D225,'DB(2) Pivots'!$A$257:$A$405,0)),"")</f>
        <v>0.35870541199745115</v>
      </c>
      <c r="L225" s="1"/>
      <c r="M225" t="s">
        <v>294</v>
      </c>
      <c r="N225" s="996">
        <v>0</v>
      </c>
      <c r="O225" s="996">
        <v>0</v>
      </c>
      <c r="P225" s="996">
        <v>0</v>
      </c>
      <c r="Q225" s="996">
        <v>0</v>
      </c>
      <c r="R225" s="996">
        <v>0</v>
      </c>
      <c r="S225" s="996">
        <v>103218.84</v>
      </c>
      <c r="T225" s="996">
        <v>6801213</v>
      </c>
      <c r="U225" s="996"/>
      <c r="V225" s="996">
        <v>2175926</v>
      </c>
      <c r="W225" s="996">
        <v>0</v>
      </c>
      <c r="X225" s="996">
        <v>0</v>
      </c>
      <c r="Y225" s="996">
        <v>216262</v>
      </c>
      <c r="Z225" s="996">
        <v>0</v>
      </c>
      <c r="AA225" s="996">
        <v>0</v>
      </c>
      <c r="AB225" s="996">
        <v>0</v>
      </c>
      <c r="AC225" s="996">
        <v>0</v>
      </c>
      <c r="AD225" s="996">
        <v>0</v>
      </c>
      <c r="AE225" s="996">
        <v>0</v>
      </c>
      <c r="AF225" s="996">
        <v>0</v>
      </c>
      <c r="AG225" s="996">
        <v>0</v>
      </c>
      <c r="AH225" s="996">
        <v>0</v>
      </c>
      <c r="AI225" s="996">
        <v>0</v>
      </c>
      <c r="AJ225" s="996">
        <v>0</v>
      </c>
      <c r="AK225" s="996">
        <v>1000000</v>
      </c>
      <c r="AL225" s="996">
        <v>0</v>
      </c>
      <c r="AM225" s="996">
        <v>0</v>
      </c>
      <c r="AN225" s="996">
        <v>0</v>
      </c>
      <c r="AO225" s="1"/>
      <c r="AP225" s="1"/>
      <c r="AQ225" s="1"/>
      <c r="AR225" s="1"/>
    </row>
    <row r="226" spans="1:44">
      <c r="A226" s="1"/>
      <c r="B226" s="1"/>
      <c r="C226" s="1"/>
      <c r="D226" s="900" t="s">
        <v>295</v>
      </c>
      <c r="E226" s="996">
        <v>0</v>
      </c>
      <c r="F226" s="996">
        <v>3727799</v>
      </c>
      <c r="G226" s="996">
        <v>4995395</v>
      </c>
      <c r="H226" s="996">
        <v>1000000</v>
      </c>
      <c r="I226" s="996">
        <v>0</v>
      </c>
      <c r="J226" s="907">
        <f t="shared" si="2"/>
        <v>9723194</v>
      </c>
      <c r="K226" s="908">
        <f>IFERROR(INDEX('DB(2) Pivots'!$G$257:$G$405,MATCH('Regional DB'!D226,'DB(2) Pivots'!$A$257:$A$405,0)),"")</f>
        <v>9.9045634943857791E-2</v>
      </c>
      <c r="L226" s="1"/>
      <c r="M226" t="s">
        <v>295</v>
      </c>
      <c r="N226" s="996">
        <v>0</v>
      </c>
      <c r="O226" s="996">
        <v>0</v>
      </c>
      <c r="P226" s="996">
        <v>0</v>
      </c>
      <c r="Q226" s="996">
        <v>0</v>
      </c>
      <c r="R226" s="996">
        <v>0</v>
      </c>
      <c r="S226" s="996">
        <v>0</v>
      </c>
      <c r="T226" s="996">
        <v>0</v>
      </c>
      <c r="U226" s="996"/>
      <c r="V226" s="996">
        <v>1690799</v>
      </c>
      <c r="W226" s="996">
        <v>0</v>
      </c>
      <c r="X226" s="996">
        <v>0</v>
      </c>
      <c r="Y226" s="996">
        <v>0</v>
      </c>
      <c r="Z226" s="996">
        <v>0</v>
      </c>
      <c r="AA226" s="996">
        <v>2037000</v>
      </c>
      <c r="AB226" s="996">
        <v>70000</v>
      </c>
      <c r="AC226" s="996">
        <v>500000</v>
      </c>
      <c r="AD226" s="996">
        <v>1230395</v>
      </c>
      <c r="AE226" s="996">
        <v>3000000</v>
      </c>
      <c r="AF226" s="996">
        <v>0</v>
      </c>
      <c r="AG226" s="996">
        <v>100000</v>
      </c>
      <c r="AH226" s="996">
        <v>95000</v>
      </c>
      <c r="AI226" s="996">
        <v>0</v>
      </c>
      <c r="AJ226" s="996">
        <v>0</v>
      </c>
      <c r="AK226" s="996">
        <v>1000000</v>
      </c>
      <c r="AL226" s="996">
        <v>0</v>
      </c>
      <c r="AM226" s="996">
        <v>0</v>
      </c>
      <c r="AN226" s="996">
        <v>0</v>
      </c>
      <c r="AO226" s="1"/>
      <c r="AP226" s="1"/>
      <c r="AQ226" s="1"/>
      <c r="AR226" s="1"/>
    </row>
    <row r="227" spans="1:44">
      <c r="A227" s="1"/>
      <c r="B227" s="1"/>
      <c r="C227" s="1"/>
      <c r="D227" s="900" t="s">
        <v>296</v>
      </c>
      <c r="E227" s="996">
        <v>17800000</v>
      </c>
      <c r="F227" s="996">
        <v>2878000</v>
      </c>
      <c r="G227" s="996">
        <v>7984962.1600000001</v>
      </c>
      <c r="H227" s="996">
        <v>5929249</v>
      </c>
      <c r="I227" s="996">
        <v>126204</v>
      </c>
      <c r="J227" s="907">
        <f t="shared" si="2"/>
        <v>34718415.159999996</v>
      </c>
      <c r="K227" s="908">
        <f>IFERROR(INDEX('DB(2) Pivots'!$G$257:$G$405,MATCH('Regional DB'!D227,'DB(2) Pivots'!$A$257:$A$405,0)),"")</f>
        <v>1.138658168495583</v>
      </c>
      <c r="L227" s="1"/>
      <c r="M227" t="s">
        <v>296</v>
      </c>
      <c r="N227" s="996">
        <v>0</v>
      </c>
      <c r="O227" s="996">
        <v>0</v>
      </c>
      <c r="P227" s="996">
        <v>17800000</v>
      </c>
      <c r="Q227" s="996">
        <v>0</v>
      </c>
      <c r="R227" s="996">
        <v>0</v>
      </c>
      <c r="S227" s="996">
        <v>0</v>
      </c>
      <c r="T227" s="996">
        <v>0</v>
      </c>
      <c r="U227" s="996"/>
      <c r="V227" s="996">
        <v>0</v>
      </c>
      <c r="W227" s="996">
        <v>0</v>
      </c>
      <c r="X227" s="996">
        <v>0</v>
      </c>
      <c r="Y227" s="996">
        <v>0</v>
      </c>
      <c r="Z227" s="996">
        <v>0</v>
      </c>
      <c r="AA227" s="996">
        <v>2878000</v>
      </c>
      <c r="AB227" s="996">
        <v>1953750</v>
      </c>
      <c r="AC227" s="996">
        <v>0</v>
      </c>
      <c r="AD227" s="996">
        <v>738190</v>
      </c>
      <c r="AE227" s="996">
        <v>4283509</v>
      </c>
      <c r="AF227" s="996">
        <v>0</v>
      </c>
      <c r="AG227" s="996">
        <v>516199.99999999994</v>
      </c>
      <c r="AH227" s="996">
        <v>493313.16</v>
      </c>
      <c r="AI227" s="996">
        <v>0</v>
      </c>
      <c r="AJ227" s="996">
        <v>0</v>
      </c>
      <c r="AK227" s="996">
        <v>5929249</v>
      </c>
      <c r="AL227" s="996">
        <v>0</v>
      </c>
      <c r="AM227" s="996">
        <v>0</v>
      </c>
      <c r="AN227" s="996">
        <v>126204</v>
      </c>
      <c r="AO227" s="1"/>
      <c r="AP227" s="1"/>
      <c r="AQ227" s="1"/>
      <c r="AR227" s="1"/>
    </row>
    <row r="228" spans="1:44">
      <c r="A228" s="1"/>
      <c r="B228" s="1"/>
      <c r="C228" s="1"/>
      <c r="D228" s="900" t="s">
        <v>297</v>
      </c>
      <c r="E228" s="996">
        <v>11800000</v>
      </c>
      <c r="F228" s="996">
        <v>4292669</v>
      </c>
      <c r="G228" s="996">
        <v>2894229</v>
      </c>
      <c r="H228" s="996">
        <v>1080000</v>
      </c>
      <c r="I228" s="996">
        <v>148853</v>
      </c>
      <c r="J228" s="907">
        <f t="shared" si="2"/>
        <v>20215751</v>
      </c>
      <c r="K228" s="908">
        <f>IFERROR(INDEX('DB(2) Pivots'!$G$257:$G$405,MATCH('Regional DB'!D228,'DB(2) Pivots'!$A$257:$A$405,0)),"")</f>
        <v>1.0684486801911794</v>
      </c>
      <c r="L228" s="1"/>
      <c r="M228" t="s">
        <v>297</v>
      </c>
      <c r="N228" s="996">
        <v>0</v>
      </c>
      <c r="O228" s="996">
        <v>0</v>
      </c>
      <c r="P228" s="996">
        <v>11800000</v>
      </c>
      <c r="Q228" s="996">
        <v>0</v>
      </c>
      <c r="R228" s="996">
        <v>0</v>
      </c>
      <c r="S228" s="996">
        <v>0</v>
      </c>
      <c r="T228" s="996">
        <v>0</v>
      </c>
      <c r="U228" s="996"/>
      <c r="V228" s="996">
        <v>1092669</v>
      </c>
      <c r="W228" s="996">
        <v>0</v>
      </c>
      <c r="X228" s="996">
        <v>0</v>
      </c>
      <c r="Y228" s="996">
        <v>0</v>
      </c>
      <c r="Z228" s="996">
        <v>0</v>
      </c>
      <c r="AA228" s="996">
        <v>3200000</v>
      </c>
      <c r="AB228" s="996">
        <v>265000</v>
      </c>
      <c r="AC228" s="996">
        <v>0</v>
      </c>
      <c r="AD228" s="996">
        <v>520291</v>
      </c>
      <c r="AE228" s="996">
        <v>1920838</v>
      </c>
      <c r="AF228" s="996">
        <v>0</v>
      </c>
      <c r="AG228" s="996">
        <v>113199.99999999999</v>
      </c>
      <c r="AH228" s="996">
        <v>74900</v>
      </c>
      <c r="AI228" s="996">
        <v>0</v>
      </c>
      <c r="AJ228" s="996">
        <v>0</v>
      </c>
      <c r="AK228" s="996">
        <v>1080000</v>
      </c>
      <c r="AL228" s="996">
        <v>0</v>
      </c>
      <c r="AM228" s="996">
        <v>0</v>
      </c>
      <c r="AN228" s="996">
        <v>148853</v>
      </c>
      <c r="AO228" s="1"/>
      <c r="AP228" s="1"/>
      <c r="AQ228" s="1"/>
      <c r="AR228" s="1"/>
    </row>
    <row r="229" spans="1:44">
      <c r="A229" s="1"/>
      <c r="B229" s="1"/>
      <c r="C229" s="1"/>
      <c r="D229" s="900" t="s">
        <v>298</v>
      </c>
      <c r="E229" s="996">
        <v>0</v>
      </c>
      <c r="F229" s="996">
        <v>3110791</v>
      </c>
      <c r="G229" s="996">
        <v>2326271</v>
      </c>
      <c r="H229" s="996">
        <v>1219176</v>
      </c>
      <c r="I229" s="996">
        <v>100000</v>
      </c>
      <c r="J229" s="907">
        <f t="shared" si="2"/>
        <v>6756238</v>
      </c>
      <c r="K229" s="908">
        <f>IFERROR(INDEX('DB(2) Pivots'!$G$257:$G$405,MATCH('Regional DB'!D229,'DB(2) Pivots'!$A$257:$A$405,0)),"")</f>
        <v>0.44766508410221434</v>
      </c>
      <c r="L229" s="1"/>
      <c r="M229" t="s">
        <v>298</v>
      </c>
      <c r="N229" s="996">
        <v>0</v>
      </c>
      <c r="O229" s="996">
        <v>0</v>
      </c>
      <c r="P229" s="996">
        <v>0</v>
      </c>
      <c r="Q229" s="996">
        <v>0</v>
      </c>
      <c r="R229" s="996">
        <v>0</v>
      </c>
      <c r="S229" s="996">
        <v>0</v>
      </c>
      <c r="T229" s="996">
        <v>0</v>
      </c>
      <c r="U229" s="996"/>
      <c r="V229" s="996">
        <v>610791</v>
      </c>
      <c r="W229" s="996">
        <v>0</v>
      </c>
      <c r="X229" s="996">
        <v>0</v>
      </c>
      <c r="Y229" s="996">
        <v>0</v>
      </c>
      <c r="Z229" s="996">
        <v>0</v>
      </c>
      <c r="AA229" s="996">
        <v>2500000</v>
      </c>
      <c r="AB229" s="996">
        <v>205000</v>
      </c>
      <c r="AC229" s="996">
        <v>0</v>
      </c>
      <c r="AD229" s="996">
        <v>0</v>
      </c>
      <c r="AE229" s="996">
        <v>1388818</v>
      </c>
      <c r="AF229" s="996">
        <v>0</v>
      </c>
      <c r="AG229" s="996">
        <v>387250</v>
      </c>
      <c r="AH229" s="996">
        <v>345203</v>
      </c>
      <c r="AI229" s="996">
        <v>0</v>
      </c>
      <c r="AJ229" s="996">
        <v>903950</v>
      </c>
      <c r="AK229" s="996">
        <v>315226</v>
      </c>
      <c r="AL229" s="996">
        <v>100000</v>
      </c>
      <c r="AM229" s="996">
        <v>0</v>
      </c>
      <c r="AN229" s="996">
        <v>0</v>
      </c>
      <c r="AO229" s="1"/>
      <c r="AP229" s="1"/>
      <c r="AQ229" s="1"/>
      <c r="AR229" s="1"/>
    </row>
    <row r="230" spans="1:44">
      <c r="A230" s="1"/>
      <c r="B230" s="1"/>
      <c r="C230" s="1"/>
      <c r="J230" s="907" t="str">
        <f t="shared" si="2"/>
        <v/>
      </c>
      <c r="K230" s="908" t="str">
        <f>IFERROR(INDEX('DB(2) Pivots'!$G$257:$G$405,MATCH('Regional DB'!D230,'DB(2) Pivots'!$A$257:$A$405,0)),"")</f>
        <v/>
      </c>
      <c r="L230" s="1"/>
      <c r="AO230" s="1"/>
      <c r="AP230" s="1"/>
      <c r="AQ230" s="1"/>
      <c r="AR230" s="1"/>
    </row>
    <row r="231" spans="1:44">
      <c r="A231" s="1"/>
      <c r="B231" s="1"/>
      <c r="C231" s="1"/>
      <c r="J231" s="907" t="str">
        <f t="shared" si="2"/>
        <v/>
      </c>
      <c r="K231" s="908" t="str">
        <f>IFERROR(INDEX('DB(2) Pivots'!$G$257:$G$405,MATCH('Regional DB'!D231,'DB(2) Pivots'!$A$257:$A$405,0)),"")</f>
        <v/>
      </c>
      <c r="L231" s="1"/>
      <c r="AO231" s="1"/>
      <c r="AP231" s="1"/>
      <c r="AQ231" s="1"/>
      <c r="AR231" s="1"/>
    </row>
    <row r="232" spans="1:44">
      <c r="A232" s="1"/>
      <c r="B232" s="1"/>
      <c r="C232" s="1"/>
      <c r="J232" s="907" t="str">
        <f t="shared" si="2"/>
        <v/>
      </c>
      <c r="K232" s="908" t="str">
        <f>IFERROR(INDEX('DB(2) Pivots'!$G$257:$G$405,MATCH('Regional DB'!D232,'DB(2) Pivots'!$A$257:$A$405,0)),"")</f>
        <v/>
      </c>
      <c r="L232" s="1"/>
      <c r="AO232" s="1"/>
      <c r="AP232" s="1"/>
      <c r="AQ232" s="1"/>
      <c r="AR232" s="1"/>
    </row>
    <row r="233" spans="1:44">
      <c r="A233" s="1"/>
      <c r="B233" s="1"/>
      <c r="C233" s="1"/>
      <c r="J233" s="907" t="str">
        <f t="shared" si="2"/>
        <v/>
      </c>
      <c r="K233" s="908" t="str">
        <f>IFERROR(INDEX('DB(2) Pivots'!$G$257:$G$405,MATCH('Regional DB'!D233,'DB(2) Pivots'!$A$257:$A$405,0)),"")</f>
        <v/>
      </c>
      <c r="L233" s="1"/>
      <c r="AO233" s="1"/>
      <c r="AP233" s="1"/>
      <c r="AQ233" s="1"/>
      <c r="AR233" s="1"/>
    </row>
    <row r="234" spans="1:44">
      <c r="A234" s="1"/>
      <c r="B234" s="1"/>
      <c r="C234" s="1"/>
      <c r="J234" s="907" t="str">
        <f t="shared" si="2"/>
        <v/>
      </c>
      <c r="K234" s="908" t="str">
        <f>IFERROR(INDEX('DB(2) Pivots'!$G$257:$G$405,MATCH('Regional DB'!D234,'DB(2) Pivots'!$A$257:$A$405,0)),"")</f>
        <v/>
      </c>
      <c r="L234" s="1"/>
      <c r="AO234" s="1"/>
      <c r="AP234" s="1"/>
      <c r="AQ234" s="1"/>
      <c r="AR234" s="1"/>
    </row>
    <row r="235" spans="1:44">
      <c r="A235" s="1"/>
      <c r="B235" s="1"/>
      <c r="C235" s="1"/>
      <c r="J235" s="907" t="str">
        <f t="shared" si="2"/>
        <v/>
      </c>
      <c r="K235" s="908" t="str">
        <f>IFERROR(INDEX('DB(2) Pivots'!$G$257:$G$405,MATCH('Regional DB'!D235,'DB(2) Pivots'!$A$257:$A$405,0)),"")</f>
        <v/>
      </c>
      <c r="L235" s="1"/>
      <c r="AO235" s="1"/>
      <c r="AP235" s="1"/>
      <c r="AQ235" s="1"/>
      <c r="AR235" s="1"/>
    </row>
    <row r="236" spans="1:44">
      <c r="A236" s="1"/>
      <c r="B236" s="1"/>
      <c r="C236" s="1"/>
      <c r="J236" s="907" t="str">
        <f t="shared" si="2"/>
        <v/>
      </c>
      <c r="K236" s="908" t="str">
        <f>IFERROR(INDEX('DB(2) Pivots'!$G$257:$G$405,MATCH('Regional DB'!D236,'DB(2) Pivots'!$A$257:$A$405,0)),"")</f>
        <v/>
      </c>
      <c r="L236" s="1"/>
      <c r="AO236" s="1"/>
      <c r="AP236" s="1"/>
      <c r="AQ236" s="1"/>
      <c r="AR236" s="1"/>
    </row>
    <row r="237" spans="1:44">
      <c r="A237" s="1"/>
      <c r="B237" s="1"/>
      <c r="C237" s="1"/>
      <c r="J237" s="907" t="str">
        <f t="shared" si="2"/>
        <v/>
      </c>
      <c r="K237" s="908" t="str">
        <f>IFERROR(INDEX('DB(2) Pivots'!$G$257:$G$405,MATCH('Regional DB'!D237,'DB(2) Pivots'!$A$257:$A$405,0)),"")</f>
        <v/>
      </c>
      <c r="L237" s="1"/>
      <c r="AO237" s="1"/>
      <c r="AP237" s="1"/>
      <c r="AQ237" s="1"/>
      <c r="AR237" s="1"/>
    </row>
    <row r="238" spans="1:44">
      <c r="A238" s="1"/>
      <c r="B238" s="1"/>
      <c r="C238" s="1"/>
      <c r="J238" s="907" t="str">
        <f t="shared" si="2"/>
        <v/>
      </c>
      <c r="K238" s="908" t="str">
        <f>IFERROR(INDEX('DB(2) Pivots'!$G$257:$G$405,MATCH('Regional DB'!D238,'DB(2) Pivots'!$A$257:$A$405,0)),"")</f>
        <v/>
      </c>
      <c r="L238" s="1"/>
      <c r="AO238" s="1"/>
      <c r="AP238" s="1"/>
      <c r="AQ238" s="1"/>
      <c r="AR238" s="1"/>
    </row>
    <row r="239" spans="1:44">
      <c r="A239" s="1"/>
      <c r="B239" s="1"/>
      <c r="C239" s="1"/>
      <c r="J239" s="907" t="str">
        <f t="shared" si="2"/>
        <v/>
      </c>
      <c r="K239" s="908" t="str">
        <f>IFERROR(INDEX('DB(2) Pivots'!$G$257:$G$405,MATCH('Regional DB'!D239,'DB(2) Pivots'!$A$257:$A$405,0)),"")</f>
        <v/>
      </c>
      <c r="L239" s="1"/>
      <c r="AO239" s="1"/>
      <c r="AP239" s="1"/>
      <c r="AQ239" s="1"/>
      <c r="AR239" s="1"/>
    </row>
    <row r="240" spans="1:44">
      <c r="A240" s="1"/>
      <c r="B240" s="1"/>
      <c r="C240" s="1"/>
      <c r="J240" s="907" t="str">
        <f t="shared" si="2"/>
        <v/>
      </c>
      <c r="K240" s="908" t="str">
        <f>IFERROR(INDEX('DB(2) Pivots'!$G$257:$G$405,MATCH('Regional DB'!D240,'DB(2) Pivots'!$A$257:$A$405,0)),"")</f>
        <v/>
      </c>
      <c r="L240" s="1"/>
      <c r="AO240" s="1"/>
      <c r="AP240" s="1"/>
      <c r="AQ240" s="1"/>
      <c r="AR240" s="1"/>
    </row>
    <row r="241" spans="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sheetData>
  <mergeCells count="194">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 ref="O71:R71"/>
    <mergeCell ref="O73:R73"/>
    <mergeCell ref="O74:R74"/>
    <mergeCell ref="O75:R75"/>
    <mergeCell ref="O76:R76"/>
    <mergeCell ref="O77:R77"/>
    <mergeCell ref="O78:R78"/>
    <mergeCell ref="O65:R65"/>
    <mergeCell ref="O66:R66"/>
    <mergeCell ref="O67:R67"/>
    <mergeCell ref="O69:R69"/>
    <mergeCell ref="O70:R70"/>
    <mergeCell ref="O72:R72"/>
    <mergeCell ref="O59:R59"/>
    <mergeCell ref="O60:R60"/>
    <mergeCell ref="O61:R61"/>
    <mergeCell ref="O62:R62"/>
    <mergeCell ref="O63:R63"/>
    <mergeCell ref="O64:R64"/>
    <mergeCell ref="O53:R53"/>
    <mergeCell ref="O54:R54"/>
    <mergeCell ref="O55:R55"/>
    <mergeCell ref="O56:R56"/>
    <mergeCell ref="O57:R57"/>
    <mergeCell ref="O58:R58"/>
    <mergeCell ref="K71:N71"/>
    <mergeCell ref="K75:N75"/>
    <mergeCell ref="K76:N76"/>
    <mergeCell ref="K77:N77"/>
    <mergeCell ref="K78:N78"/>
    <mergeCell ref="O47:R47"/>
    <mergeCell ref="O48:R48"/>
    <mergeCell ref="O49:R49"/>
    <mergeCell ref="O50:R50"/>
    <mergeCell ref="O51:R51"/>
    <mergeCell ref="O52:R52"/>
    <mergeCell ref="K67:N67"/>
    <mergeCell ref="K69:N69"/>
    <mergeCell ref="K70:N70"/>
    <mergeCell ref="K72:N72"/>
    <mergeCell ref="K73:N73"/>
    <mergeCell ref="K74:N74"/>
    <mergeCell ref="K61:N61"/>
    <mergeCell ref="K62:N62"/>
    <mergeCell ref="K63:N63"/>
    <mergeCell ref="K64:N64"/>
    <mergeCell ref="K65:N65"/>
    <mergeCell ref="K66:N66"/>
    <mergeCell ref="K55:N55"/>
    <mergeCell ref="K57:N57"/>
    <mergeCell ref="K58:N58"/>
    <mergeCell ref="K59:N59"/>
    <mergeCell ref="K60:N60"/>
    <mergeCell ref="K49:N49"/>
    <mergeCell ref="K50:N50"/>
    <mergeCell ref="K51:N51"/>
    <mergeCell ref="K52:N52"/>
    <mergeCell ref="K53:N53"/>
    <mergeCell ref="K54:N54"/>
    <mergeCell ref="K56:N56"/>
    <mergeCell ref="G71:J71"/>
    <mergeCell ref="G73:J73"/>
    <mergeCell ref="G74:J74"/>
    <mergeCell ref="G75:J75"/>
    <mergeCell ref="G76:J76"/>
    <mergeCell ref="G77:J77"/>
    <mergeCell ref="G78:J78"/>
    <mergeCell ref="G65:J65"/>
    <mergeCell ref="G66:J66"/>
    <mergeCell ref="G67:J67"/>
    <mergeCell ref="G69:J69"/>
    <mergeCell ref="G70:J70"/>
    <mergeCell ref="G72:J72"/>
    <mergeCell ref="G68:J68"/>
    <mergeCell ref="G59:J59"/>
    <mergeCell ref="G60:J60"/>
    <mergeCell ref="G61:J61"/>
    <mergeCell ref="G62:J62"/>
    <mergeCell ref="G63:J63"/>
    <mergeCell ref="G64:J64"/>
    <mergeCell ref="G53:J53"/>
    <mergeCell ref="G54:J54"/>
    <mergeCell ref="G55:J55"/>
    <mergeCell ref="G56:J56"/>
    <mergeCell ref="G57:J57"/>
    <mergeCell ref="G58:J58"/>
    <mergeCell ref="D71:F71"/>
    <mergeCell ref="D76:F76"/>
    <mergeCell ref="D77:F77"/>
    <mergeCell ref="D78:F78"/>
    <mergeCell ref="D75:F75"/>
    <mergeCell ref="G47:J47"/>
    <mergeCell ref="G48:J48"/>
    <mergeCell ref="G49:J49"/>
    <mergeCell ref="G50:J50"/>
    <mergeCell ref="G51:J51"/>
    <mergeCell ref="G52:J52"/>
    <mergeCell ref="D67:F67"/>
    <mergeCell ref="D69:F69"/>
    <mergeCell ref="D70:F70"/>
    <mergeCell ref="D72:F72"/>
    <mergeCell ref="D73:F73"/>
    <mergeCell ref="D74:F74"/>
    <mergeCell ref="D61:F61"/>
    <mergeCell ref="D62:F62"/>
    <mergeCell ref="D63:F63"/>
    <mergeCell ref="D64:F64"/>
    <mergeCell ref="D65:F65"/>
    <mergeCell ref="D66:F66"/>
    <mergeCell ref="D55:F55"/>
    <mergeCell ref="D57:F57"/>
    <mergeCell ref="D58:F58"/>
    <mergeCell ref="D59:F59"/>
    <mergeCell ref="D60:F60"/>
    <mergeCell ref="D49:F49"/>
    <mergeCell ref="D50:F50"/>
    <mergeCell ref="D51:F51"/>
    <mergeCell ref="D52:F52"/>
    <mergeCell ref="D53:F53"/>
    <mergeCell ref="D54:F54"/>
    <mergeCell ref="D56:F56"/>
    <mergeCell ref="K48:N48"/>
    <mergeCell ref="M42:N42"/>
    <mergeCell ref="O42:P42"/>
    <mergeCell ref="Q42:R42"/>
    <mergeCell ref="I43:J43"/>
    <mergeCell ref="K43:L43"/>
    <mergeCell ref="M43:N43"/>
    <mergeCell ref="O43:P43"/>
    <mergeCell ref="Q43:R43"/>
    <mergeCell ref="I42:J42"/>
    <mergeCell ref="K42:L42"/>
    <mergeCell ref="K47:N47"/>
    <mergeCell ref="P11:R11"/>
    <mergeCell ref="P12:Q12"/>
    <mergeCell ref="D14:F14"/>
    <mergeCell ref="G14:I14"/>
    <mergeCell ref="J14:L14"/>
    <mergeCell ref="M14:O14"/>
    <mergeCell ref="P14:R14"/>
    <mergeCell ref="D11:F11"/>
    <mergeCell ref="G11:I11"/>
    <mergeCell ref="D12:F12"/>
    <mergeCell ref="G12:I12"/>
    <mergeCell ref="J11:L11"/>
    <mergeCell ref="J12:L12"/>
    <mergeCell ref="D8:R9"/>
    <mergeCell ref="K68:N68"/>
    <mergeCell ref="O68:R68"/>
    <mergeCell ref="D68:F68"/>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G46:J46"/>
    <mergeCell ref="K46:N46"/>
    <mergeCell ref="O46:R46"/>
    <mergeCell ref="D47:F47"/>
    <mergeCell ref="D48:F48"/>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dimension ref="B2:L58"/>
  <sheetViews>
    <sheetView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206" t="s">
        <v>390</v>
      </c>
      <c r="C2" s="1206"/>
      <c r="D2" s="1206"/>
      <c r="E2" s="1206"/>
      <c r="F2" s="1206"/>
    </row>
    <row r="4" spans="2:9" ht="31" customHeight="1" thickBot="1">
      <c r="B4" s="1207" t="s">
        <v>391</v>
      </c>
      <c r="C4" s="1208"/>
      <c r="E4" s="1207" t="s">
        <v>392</v>
      </c>
      <c r="F4" s="1211"/>
      <c r="H4" s="1207" t="s">
        <v>393</v>
      </c>
      <c r="I4" s="1208"/>
    </row>
    <row r="5" spans="2:9">
      <c r="B5" s="125" t="s">
        <v>394</v>
      </c>
      <c r="C5" s="166">
        <f>COUNTIF('Matrix Allocations'!$T$4:$T$204,Summary!B5)</f>
        <v>59</v>
      </c>
      <c r="E5" s="125" t="s">
        <v>394</v>
      </c>
      <c r="F5" s="166">
        <f>COUNTIFS('Matrix Allocations'!$T$4:$T$204,Summary!E5,'Matrix Allocations'!$E$4:$E$204,"AMC")</f>
        <v>48</v>
      </c>
      <c r="H5" s="125" t="s">
        <v>394</v>
      </c>
      <c r="I5" s="166">
        <f>COUNTIFS('Matrix Allocations'!$T$4:$T$204,Summary!H5,'Matrix Allocations'!$E$4:$E$204,"SFC")</f>
        <v>11</v>
      </c>
    </row>
    <row r="6" spans="2:9">
      <c r="B6" s="128" t="s">
        <v>395</v>
      </c>
      <c r="C6" s="99">
        <f>COUNTIF('Matrix Allocations'!$T$4:$T$204,Summary!B6)</f>
        <v>70</v>
      </c>
      <c r="E6" s="128" t="s">
        <v>395</v>
      </c>
      <c r="F6" s="99">
        <f>COUNTIFS('Matrix Allocations'!$T$4:$T$204,Summary!E6,'Matrix Allocations'!$E$4:$E$204,"AMC")</f>
        <v>28</v>
      </c>
      <c r="H6" s="128" t="s">
        <v>395</v>
      </c>
      <c r="I6" s="99">
        <f>COUNTIFS('Matrix Allocations'!$T$4:$T$204,Summary!H6,'Matrix Allocations'!$E$4:$E$204,"SFC")</f>
        <v>42</v>
      </c>
    </row>
    <row r="7" spans="2:9">
      <c r="B7" s="128" t="s">
        <v>396</v>
      </c>
      <c r="C7" s="99">
        <f>COUNTIF('Matrix Allocations'!$T$4:$T$204,Summary!B7)</f>
        <v>15</v>
      </c>
      <c r="E7" s="128" t="s">
        <v>396</v>
      </c>
      <c r="F7" s="99">
        <f>COUNTIFS('Matrix Allocations'!$T$4:$T$204,Summary!E7,'Matrix Allocations'!$E$4:$E$204,"AMC")</f>
        <v>14</v>
      </c>
      <c r="H7" s="128" t="s">
        <v>396</v>
      </c>
      <c r="I7" s="99">
        <f>COUNTIFS('Matrix Allocations'!$T$4:$T$204,Summary!H7,'Matrix Allocations'!$E$4:$E$204,"AMC")</f>
        <v>14</v>
      </c>
    </row>
    <row r="8" spans="2:9" ht="16" thickBot="1">
      <c r="B8" s="130" t="s">
        <v>397</v>
      </c>
      <c r="C8" s="102">
        <v>4</v>
      </c>
      <c r="E8" s="130" t="s">
        <v>397</v>
      </c>
      <c r="F8" s="102">
        <v>2</v>
      </c>
      <c r="H8" s="130" t="s">
        <v>397</v>
      </c>
      <c r="I8" s="102">
        <v>2</v>
      </c>
    </row>
    <row r="9" spans="2:9">
      <c r="C9" s="49">
        <f>SUM(C5:C8)</f>
        <v>148</v>
      </c>
    </row>
    <row r="10" spans="2:9" ht="16" thickBot="1"/>
    <row r="11" spans="2:9" ht="32.25" customHeight="1" thickBot="1">
      <c r="B11" s="1207" t="s">
        <v>398</v>
      </c>
      <c r="C11" s="1208"/>
      <c r="E11" s="1207" t="s">
        <v>399</v>
      </c>
      <c r="F11" s="1208"/>
      <c r="H11" s="1207" t="s">
        <v>400</v>
      </c>
      <c r="I11" s="1208"/>
    </row>
    <row r="12" spans="2:9">
      <c r="B12" s="125" t="s">
        <v>401</v>
      </c>
      <c r="C12" s="166">
        <f>COUNTIF('Matrix Allocations'!$N$4:$N$152,"Yes")</f>
        <v>72</v>
      </c>
      <c r="E12" s="125" t="s">
        <v>401</v>
      </c>
      <c r="F12" s="166">
        <f>COUNTIFS('Matrix Allocations'!$N$4:$N$152,"Yes",'Matrix Allocations'!$E$4:$E$152,"AMC")</f>
        <v>72</v>
      </c>
      <c r="H12" s="125" t="s">
        <v>401</v>
      </c>
      <c r="I12" s="166">
        <f>COUNTIFS('Matrix Allocations'!$N$4:$N$152,"Yes",'Matrix Allocations'!$E$4:$E$152,"SFC")</f>
        <v>0</v>
      </c>
    </row>
    <row r="13" spans="2:9" ht="16" thickBot="1">
      <c r="B13" s="130" t="s">
        <v>402</v>
      </c>
      <c r="C13" s="102">
        <f>COUNTIF('Matrix Allocations'!$O$4:$O$152,"Yes")</f>
        <v>46</v>
      </c>
      <c r="E13" s="130" t="s">
        <v>402</v>
      </c>
      <c r="F13" s="102">
        <f>COUNTIFS('Matrix Allocations'!$O$4:$O$152,"Yes",'Matrix Allocations'!$E$4:$E$152,"AMC")</f>
        <v>46</v>
      </c>
      <c r="H13" s="130" t="s">
        <v>402</v>
      </c>
      <c r="I13" s="102">
        <f>COUNTIFS('Matrix Allocations'!$O$4:$O$152,"Yes",'Matrix Allocations'!$E$4:$E$152,"SFC")</f>
        <v>0</v>
      </c>
    </row>
    <row r="15" spans="2:9" ht="16" thickBot="1"/>
    <row r="16" spans="2:9" ht="34" customHeight="1" thickBot="1">
      <c r="B16" s="1209" t="s">
        <v>403</v>
      </c>
      <c r="C16" s="1210"/>
      <c r="E16" s="1209" t="s">
        <v>404</v>
      </c>
      <c r="F16" s="1210"/>
      <c r="H16" s="1209" t="s">
        <v>405</v>
      </c>
      <c r="I16" s="1210"/>
    </row>
    <row r="17" spans="2:9">
      <c r="B17" s="231" t="s">
        <v>406</v>
      </c>
      <c r="C17" s="232">
        <f>COUNTIF('Matrix Allocations'!$U$4:$U$152,Summary!B17)</f>
        <v>67</v>
      </c>
      <c r="E17" s="125" t="s">
        <v>406</v>
      </c>
      <c r="F17" s="166">
        <f>COUNTIFS('Matrix Allocations'!$U$4:$U$152,Summary!E17,'Matrix Allocations'!$E$4:$E$152,"AMC")</f>
        <v>58</v>
      </c>
      <c r="H17" s="125" t="s">
        <v>406</v>
      </c>
      <c r="I17" s="166">
        <f>COUNTIFS('Matrix Allocations'!$U$4:$U$152,Summary!H17,'Matrix Allocations'!$E$4:$E$152,"SFC")</f>
        <v>9</v>
      </c>
    </row>
    <row r="18" spans="2:9">
      <c r="B18" s="142" t="s">
        <v>407</v>
      </c>
      <c r="C18" s="233">
        <f>COUNTIF('Matrix Allocations'!$U$4:$U$152,Summary!B18)</f>
        <v>0</v>
      </c>
      <c r="E18" s="142" t="s">
        <v>407</v>
      </c>
      <c r="F18" s="99">
        <f>COUNTIFS('Matrix Allocations'!$U$4:$U$152,Summary!E18,'Matrix Allocations'!$E$4:$E$152,"AMC")</f>
        <v>0</v>
      </c>
      <c r="H18" s="142" t="s">
        <v>407</v>
      </c>
      <c r="I18" s="99">
        <f>COUNTIFS('Matrix Allocations'!$U$4:$U$152,Summary!H18,'Matrix Allocations'!$E$4:$E$152,"SFC")</f>
        <v>0</v>
      </c>
    </row>
    <row r="19" spans="2:9" ht="16" thickBot="1">
      <c r="B19" s="234" t="s">
        <v>408</v>
      </c>
      <c r="C19" s="235">
        <f>COUNTIF('Matrix Allocations'!$U$4:$U$152,Summary!B19)</f>
        <v>0</v>
      </c>
      <c r="E19" s="130" t="s">
        <v>408</v>
      </c>
      <c r="F19" s="102">
        <f>COUNTIFS('Matrix Allocations'!$U$4:$U$152,Summary!E19,'Matrix Allocations'!$E$4:$E$152,"AMC")</f>
        <v>0</v>
      </c>
      <c r="H19" s="130" t="s">
        <v>408</v>
      </c>
      <c r="I19" s="102">
        <f>COUNTIFS('Matrix Allocations'!$U$4:$U$152,Summary!H19,'Matrix Allocations'!$E$4:$E$152,"SFC")</f>
        <v>0</v>
      </c>
    </row>
    <row r="21" spans="2:9" ht="16" thickBot="1"/>
    <row r="22" spans="2:9" s="168" customFormat="1" ht="16" thickBot="1">
      <c r="B22" s="400" t="s">
        <v>409</v>
      </c>
      <c r="C22" s="401" t="s">
        <v>410</v>
      </c>
      <c r="D22" s="402" t="s">
        <v>411</v>
      </c>
    </row>
    <row r="23" spans="2:9">
      <c r="B23" s="406" t="s">
        <v>412</v>
      </c>
      <c r="C23" s="169">
        <f>SUMIF('WB Approved projects'!$J$7:$J$168,Summary!B23,'WB Approved projects'!$K$7:$K$168)</f>
        <v>505130000</v>
      </c>
      <c r="D23" s="298">
        <f>C23/SUM($C$23:$C$31)</f>
        <v>0.13769425567467813</v>
      </c>
    </row>
    <row r="24" spans="2:9">
      <c r="B24" s="167" t="s">
        <v>413</v>
      </c>
      <c r="C24" s="92">
        <f>SUMIF('WB Approved projects'!$J$7:$J$168,Summary!B24,'WB Approved projects'!$K$7:$K$168)</f>
        <v>3000000</v>
      </c>
      <c r="D24" s="170">
        <f t="shared" ref="D24:D31" si="0">C24/SUM($C$23:$C$31)</f>
        <v>8.1777516089726293E-4</v>
      </c>
    </row>
    <row r="25" spans="2:9">
      <c r="B25" s="167" t="s">
        <v>414</v>
      </c>
      <c r="C25" s="92">
        <f>SUMIF('WB Approved projects'!$J$7:$J$168,Summary!B25,'WB Approved projects'!$K$7:$K$168)</f>
        <v>50000000</v>
      </c>
      <c r="D25" s="170">
        <f t="shared" si="0"/>
        <v>1.3629586014954382E-2</v>
      </c>
    </row>
    <row r="26" spans="2:9">
      <c r="B26" s="167" t="s">
        <v>415</v>
      </c>
      <c r="C26" s="92">
        <f>SUMIF('WB Approved projects'!$J$7:$J$168,Summary!B26,'WB Approved projects'!$K$7:$K$168)</f>
        <v>985710000</v>
      </c>
      <c r="D26" s="170">
        <f t="shared" si="0"/>
        <v>0.26869638461601369</v>
      </c>
    </row>
    <row r="27" spans="2:9">
      <c r="B27" s="167" t="s">
        <v>416</v>
      </c>
      <c r="C27" s="92">
        <f>SUMIF('WB Approved projects'!$J$7:$J$168,Summary!B27,'WB Approved projects'!$K$7:$K$168)</f>
        <v>100000000</v>
      </c>
      <c r="D27" s="170">
        <f t="shared" si="0"/>
        <v>2.7259172029908765E-2</v>
      </c>
    </row>
    <row r="28" spans="2:9">
      <c r="B28" s="167" t="s">
        <v>395</v>
      </c>
      <c r="C28" s="92">
        <f>SUMIF('WB Approved projects'!$J$7:$J$168,Summary!B28,'WB Approved projects'!$K$7:$K$168)</f>
        <v>1483500000</v>
      </c>
      <c r="D28" s="170">
        <f t="shared" si="0"/>
        <v>0.40438981706369653</v>
      </c>
    </row>
    <row r="29" spans="2:9">
      <c r="B29" s="167" t="s">
        <v>417</v>
      </c>
      <c r="C29" s="92">
        <f>SUMIF('WB Approved projects'!$J$7:$J$168,Summary!B29,'WB Approved projects'!$K$7:$K$168)</f>
        <v>31250000</v>
      </c>
      <c r="D29" s="170">
        <f t="shared" si="0"/>
        <v>8.5184912593464883E-3</v>
      </c>
    </row>
    <row r="30" spans="2:9">
      <c r="B30" s="407" t="s">
        <v>418</v>
      </c>
      <c r="C30" s="92">
        <f>SUMIF('WB Approved projects'!$J$7:$J$168,Summary!B30,'WB Approved projects'!$K$7:$K$168)</f>
        <v>9900000</v>
      </c>
      <c r="D30" s="170">
        <f t="shared" si="0"/>
        <v>2.6986580309609678E-3</v>
      </c>
    </row>
    <row r="31" spans="2:9">
      <c r="B31" s="407" t="s">
        <v>419</v>
      </c>
      <c r="C31" s="92">
        <f>SUMIF('WB Approved projects'!$J$7:$J$168,Summary!B31,'WB Approved projects'!$K$7:$K$168)</f>
        <v>500000000</v>
      </c>
      <c r="D31" s="170">
        <f t="shared" si="0"/>
        <v>0.13629586014954381</v>
      </c>
    </row>
    <row r="32" spans="2:9">
      <c r="B32" s="407" t="s">
        <v>420</v>
      </c>
      <c r="C32" s="92">
        <f>SUMIF('WB Approved projects'!$J$7:$J$168,Summary!B32,'WB Approved projects'!$K$7:$K$168)</f>
        <v>235000000</v>
      </c>
      <c r="D32" s="170"/>
    </row>
    <row r="33" spans="2:12">
      <c r="B33" s="408" t="s">
        <v>421</v>
      </c>
      <c r="C33" s="92">
        <f>SUMIF('WB Approved projects'!$J$7:$J$168,Summary!B33,'WB Approved projects'!$K$7:$K$168)</f>
        <v>34000000</v>
      </c>
      <c r="D33" s="170"/>
    </row>
    <row r="34" spans="2:12">
      <c r="B34" s="167" t="s">
        <v>422</v>
      </c>
      <c r="C34" s="92">
        <f>SUMIF('WB Approved projects'!$J$7:$J$168,Summary!B34,'WB Approved projects'!$K$7:$K$168)</f>
        <v>15000000</v>
      </c>
      <c r="D34" s="170"/>
    </row>
    <row r="35" spans="2:12" ht="16" thickBot="1">
      <c r="B35" s="409" t="s">
        <v>423</v>
      </c>
      <c r="C35" s="93">
        <f>SUMIF('WB Approved projects'!$J$7:$J$168,Summary!B35,'WB Approved projects'!$K$7:$K$168)</f>
        <v>22760000</v>
      </c>
      <c r="D35" s="171"/>
    </row>
    <row r="36" spans="2:12" ht="16" thickBot="1">
      <c r="B36" s="403" t="s">
        <v>424</v>
      </c>
      <c r="C36" s="404">
        <f>SUM(C23:C31)</f>
        <v>3668490000</v>
      </c>
      <c r="D36" s="405"/>
    </row>
    <row r="37" spans="2:12">
      <c r="B37" s="7"/>
      <c r="C37" s="398"/>
      <c r="D37" s="399"/>
    </row>
    <row r="38" spans="2:12" ht="16" thickBot="1">
      <c r="B38" s="7"/>
    </row>
    <row r="39" spans="2:12" ht="47" thickBot="1">
      <c r="B39" s="94" t="s">
        <v>425</v>
      </c>
      <c r="C39" s="410" t="s">
        <v>58</v>
      </c>
      <c r="D39" s="411" t="s">
        <v>107</v>
      </c>
      <c r="E39" s="103" t="s">
        <v>426</v>
      </c>
      <c r="F39" s="103" t="s">
        <v>427</v>
      </c>
      <c r="G39" s="103" t="s">
        <v>428</v>
      </c>
      <c r="H39" s="411" t="s">
        <v>48</v>
      </c>
      <c r="I39" s="411" t="s">
        <v>51</v>
      </c>
      <c r="J39" s="103" t="s">
        <v>429</v>
      </c>
      <c r="K39" s="412" t="s">
        <v>430</v>
      </c>
      <c r="L39" s="413" t="s">
        <v>431</v>
      </c>
    </row>
    <row r="40" spans="2:12" s="90" customFormat="1">
      <c r="B40" s="95" t="s">
        <v>126</v>
      </c>
      <c r="C40" s="416">
        <f>AVERAGEIF('Matrix Allocations'!$C$4:$C$152,Summary!$B40,'Matrix Allocations'!AX$4:AX$152)</f>
        <v>3003628.75</v>
      </c>
      <c r="D40" s="169">
        <f>AVERAGEIF('Matrix Allocations'!$C$4:$C$152,Summary!$B40,'Matrix Allocations'!AY$4:AY$152)</f>
        <v>2123324.3684210526</v>
      </c>
      <c r="E40" s="169">
        <f>AVERAGEIF('Matrix Allocations'!$C$4:$C$152,Summary!$B40,'Matrix Allocations'!AZ$4:AZ$152)</f>
        <v>223684.21052631579</v>
      </c>
      <c r="F40" s="169">
        <f>AVERAGEIF('Matrix Allocations'!$C$4:$C$152,Summary!$B40,'Matrix Allocations'!BA$4:BA$152)</f>
        <v>79353.962962962964</v>
      </c>
      <c r="G40" s="169">
        <f>AVERAGEIF('Matrix Allocations'!$C$4:$C$152,Summary!$B40,'Matrix Allocations'!BB$4:BB$152)</f>
        <v>86315.96</v>
      </c>
      <c r="H40" s="169">
        <f>AVERAGEIF('Matrix Allocations'!$C$4:$C$152,Summary!$B40,'Matrix Allocations'!BC$4:BC$152)</f>
        <v>1786901.7647058824</v>
      </c>
      <c r="I40" s="169"/>
      <c r="J40" s="169">
        <f>AVERAGEIF('Matrix Allocations'!$C$4:$C$152,Summary!$B40,'Matrix Allocations'!BF$4:BF$152)</f>
        <v>663676.375</v>
      </c>
      <c r="K40" s="126">
        <f>COUNTIFS('Matrix Allocations'!AV$2:AV$152,"Yes",'Matrix Allocations'!$C$2:$C$152,Summary!$B40)</f>
        <v>0</v>
      </c>
      <c r="L40" s="166">
        <f>COUNTIFS('Matrix Allocations'!AW$2:AW$152,"Yes",'Matrix Allocations'!$C$2:$C$152,Summary!$B40)</f>
        <v>0</v>
      </c>
    </row>
    <row r="41" spans="2:12">
      <c r="B41" s="96" t="s">
        <v>127</v>
      </c>
      <c r="C41" s="98">
        <f>AVERAGEIF('Matrix Allocations'!$C$4:$C$152,Summary!$B41,'Matrix Allocations'!AX$4:AX$152)</f>
        <v>2166777.777777778</v>
      </c>
      <c r="D41" s="92"/>
      <c r="E41" s="92">
        <f>AVERAGEIF('Matrix Allocations'!$C$4:$C$152,Summary!$B41,'Matrix Allocations'!AZ$4:AZ$152)</f>
        <v>375718.75</v>
      </c>
      <c r="F41" s="92">
        <f>AVERAGEIF('Matrix Allocations'!$C$4:$C$152,Summary!$B41,'Matrix Allocations'!BA$4:BA$152)</f>
        <v>20937.708534621579</v>
      </c>
      <c r="G41" s="92">
        <f>AVERAGEIF('Matrix Allocations'!$C$4:$C$152,Summary!$B41,'Matrix Allocations'!BB$4:BB$152)</f>
        <v>49139.265217391308</v>
      </c>
      <c r="H41" s="226"/>
      <c r="I41" s="226"/>
      <c r="J41" s="226">
        <f>AVERAGEIF('Matrix Allocations'!$C$4:$C$152,Summary!$B41,'Matrix Allocations'!BF$4:BF$152)</f>
        <v>393221</v>
      </c>
      <c r="K41" s="91">
        <f>COUNTIFS('Matrix Allocations'!AV$2:AV$152,"Yes",'Matrix Allocations'!$C$2:$C$152,Summary!$B41)</f>
        <v>0</v>
      </c>
      <c r="L41" s="99">
        <f>COUNTIFS('Matrix Allocations'!AW$2:AW$152,"Yes",'Matrix Allocations'!$C$2:$C$152,Summary!$B41)</f>
        <v>0</v>
      </c>
    </row>
    <row r="42" spans="2:12">
      <c r="B42" s="96" t="s">
        <v>128</v>
      </c>
      <c r="C42" s="98">
        <f>AVERAGEIF('Matrix Allocations'!$C$4:$C$152,Summary!$B42,'Matrix Allocations'!AX$4:AX$152)</f>
        <v>2911490</v>
      </c>
      <c r="D42" s="92">
        <f>AVERAGEIF('Matrix Allocations'!$C$4:$C$152,Summary!$B42,'Matrix Allocations'!AY$4:AY$152)</f>
        <v>867055.27272727271</v>
      </c>
      <c r="E42" s="92">
        <f>AVERAGEIF('Matrix Allocations'!$C$4:$C$152,Summary!$B42,'Matrix Allocations'!AZ$4:AZ$152)</f>
        <v>957867</v>
      </c>
      <c r="F42" s="92">
        <f>AVERAGEIF('Matrix Allocations'!$C$4:$C$152,Summary!$B42,'Matrix Allocations'!BA$4:BA$152)</f>
        <v>167559.20128824477</v>
      </c>
      <c r="G42" s="92">
        <f>AVERAGEIF('Matrix Allocations'!$C$4:$C$152,Summary!$B42,'Matrix Allocations'!BB$4:BB$152)</f>
        <v>186827.5247826087</v>
      </c>
      <c r="H42" s="226"/>
      <c r="I42" s="226"/>
      <c r="J42" s="226">
        <f>AVERAGEIF('Matrix Allocations'!$C$4:$C$152,Summary!$B42,'Matrix Allocations'!BF$4:BF$152)</f>
        <v>631666.19999999995</v>
      </c>
      <c r="K42" s="91">
        <f>COUNTIFS('Matrix Allocations'!AV$2:AV$152,"Yes",'Matrix Allocations'!$C$2:$C$152,Summary!$B42)</f>
        <v>0</v>
      </c>
      <c r="L42" s="99">
        <f>COUNTIFS('Matrix Allocations'!AW$2:AW$152,"Yes",'Matrix Allocations'!$C$2:$C$152,Summary!$B42)</f>
        <v>10</v>
      </c>
    </row>
    <row r="43" spans="2:12">
      <c r="B43" s="96" t="s">
        <v>130</v>
      </c>
      <c r="C43" s="98">
        <f>AVERAGEIF('Matrix Allocations'!$C$4:$C$152,Summary!$B43,'Matrix Allocations'!AX$4:AX$152)</f>
        <v>3173655.6875</v>
      </c>
      <c r="D43" s="92">
        <f>AVERAGEIF('Matrix Allocations'!$C$4:$C$152,Summary!$B43,'Matrix Allocations'!AY$4:AY$152)</f>
        <v>1641512.3333333333</v>
      </c>
      <c r="E43" s="92">
        <f>AVERAGEIF('Matrix Allocations'!$C$4:$C$152,Summary!$B43,'Matrix Allocations'!AZ$4:AZ$152)</f>
        <v>272671.96296296298</v>
      </c>
      <c r="F43" s="92">
        <f>AVERAGEIF('Matrix Allocations'!$C$4:$C$152,Summary!$B43,'Matrix Allocations'!BA$4:BA$152)</f>
        <v>12056.712962962964</v>
      </c>
      <c r="G43" s="92">
        <f>AVERAGEIF('Matrix Allocations'!$C$4:$C$152,Summary!$B43,'Matrix Allocations'!BB$4:BB$152)</f>
        <v>38284.840937499997</v>
      </c>
      <c r="H43" s="226"/>
      <c r="I43" s="226"/>
      <c r="J43" s="226">
        <f>AVERAGEIF('Matrix Allocations'!$C$4:$C$152,Summary!$B43,'Matrix Allocations'!BF$4:BF$152)</f>
        <v>217983.83333333334</v>
      </c>
      <c r="K43" s="91">
        <f>COUNTIFS('Matrix Allocations'!AV$2:AV$152,"Yes",'Matrix Allocations'!$C$2:$C$152,Summary!$B43)</f>
        <v>0</v>
      </c>
      <c r="L43" s="99">
        <f>COUNTIFS('Matrix Allocations'!AW$2:AW$152,"Yes",'Matrix Allocations'!$C$2:$C$152,Summary!$B43)</f>
        <v>6</v>
      </c>
    </row>
    <row r="44" spans="2:12">
      <c r="B44" s="96" t="s">
        <v>131</v>
      </c>
      <c r="C44" s="98">
        <f>AVERAGEIF('Matrix Allocations'!$C$4:$C$152,Summary!$B44,'Matrix Allocations'!AX$4:AX$152)</f>
        <v>2150777.153846154</v>
      </c>
      <c r="D44" s="92">
        <f>AVERAGEIF('Matrix Allocations'!$C$4:$C$152,Summary!$B44,'Matrix Allocations'!AY$4:AY$152)</f>
        <v>749530.4</v>
      </c>
      <c r="E44" s="92">
        <f>AVERAGEIF('Matrix Allocations'!$C$4:$C$152,Summary!$B44,'Matrix Allocations'!AZ$4:AZ$152)</f>
        <v>2867520.5</v>
      </c>
      <c r="F44" s="92">
        <f>AVERAGEIF('Matrix Allocations'!$C$4:$C$152,Summary!$B44,'Matrix Allocations'!BA$4:BA$152)</f>
        <v>130775.26455026455</v>
      </c>
      <c r="G44" s="92">
        <f>AVERAGEIF('Matrix Allocations'!$C$4:$C$152,Summary!$B44,'Matrix Allocations'!BB$4:BB$152)</f>
        <v>173148.26642857143</v>
      </c>
      <c r="H44" s="226"/>
      <c r="I44" s="226"/>
      <c r="J44" s="226">
        <f>AVERAGEIF('Matrix Allocations'!$C$4:$C$152,Summary!$B44,'Matrix Allocations'!BF$4:BF$152)</f>
        <v>740061</v>
      </c>
      <c r="K44" s="91">
        <f>COUNTIFS('Matrix Allocations'!AV$2:AV$152,"Yes",'Matrix Allocations'!$C$2:$C$152,Summary!$B44)</f>
        <v>0</v>
      </c>
      <c r="L44" s="99">
        <f>COUNTIFS('Matrix Allocations'!AW$2:AW$152,"Yes",'Matrix Allocations'!$C$2:$C$152,Summary!$B44)</f>
        <v>4</v>
      </c>
    </row>
    <row r="45" spans="2:12">
      <c r="B45" s="96" t="s">
        <v>132</v>
      </c>
      <c r="C45" s="98">
        <f>AVERAGEIF('Matrix Allocations'!$C$4:$C$152,Summary!$B45,'Matrix Allocations'!AX$4:AX$152)</f>
        <v>7640421.4285714282</v>
      </c>
      <c r="D45" s="92">
        <f>AVERAGEIF('Matrix Allocations'!$C$4:$C$152,Summary!$B45,'Matrix Allocations'!AY$4:AY$152)</f>
        <v>2260802</v>
      </c>
      <c r="E45" s="92">
        <f>AVERAGEIF('Matrix Allocations'!$C$4:$C$152,Summary!$B45,'Matrix Allocations'!AZ$4:AZ$152)</f>
        <v>2908968.375</v>
      </c>
      <c r="F45" s="92">
        <f>AVERAGEIF('Matrix Allocations'!$C$4:$C$152,Summary!$B45,'Matrix Allocations'!BA$4:BA$152)</f>
        <v>958353.24074074067</v>
      </c>
      <c r="G45" s="92">
        <f>AVERAGEIF('Matrix Allocations'!$C$4:$C$152,Summary!$B45,'Matrix Allocations'!BB$4:BB$152)</f>
        <v>1603874.625</v>
      </c>
      <c r="H45" s="226"/>
      <c r="I45" s="226">
        <f>AVERAGEIF('Matrix Allocations'!$C$4:$C$152,Summary!$B45,'Matrix Allocations'!BD$4:BD$152)</f>
        <v>729927</v>
      </c>
      <c r="J45" s="226">
        <f>AVERAGEIF('Matrix Allocations'!$C$4:$C$152,Summary!$B45,'Matrix Allocations'!BF$4:BF$152)</f>
        <v>1987693.875</v>
      </c>
      <c r="K45" s="91">
        <f>COUNTIFS('Matrix Allocations'!AV$2:AV$152,"Yes",'Matrix Allocations'!$C$2:$C$152,Summary!$B45)</f>
        <v>0</v>
      </c>
      <c r="L45" s="99">
        <f>COUNTIFS('Matrix Allocations'!AW$2:AW$152,"Yes",'Matrix Allocations'!$C$2:$C$152,Summary!$B45)</f>
        <v>0</v>
      </c>
    </row>
    <row r="46" spans="2:12" ht="16" thickBot="1">
      <c r="B46" s="97" t="s">
        <v>129</v>
      </c>
      <c r="C46" s="100">
        <f>AVERAGEIF('Matrix Allocations'!$C$4:$C$152,Summary!$B46,'Matrix Allocations'!AX$4:AX$152)</f>
        <v>1951577.3772727272</v>
      </c>
      <c r="D46" s="93">
        <f>AVERAGEIF('Matrix Allocations'!$C$4:$C$152,Summary!$B46,'Matrix Allocations'!AY$4:AY$152)</f>
        <v>1192928.5555555555</v>
      </c>
      <c r="E46" s="93">
        <f>AVERAGEIF('Matrix Allocations'!$C$4:$C$152,Summary!$B46,'Matrix Allocations'!AZ$4:AZ$152)</f>
        <v>1022749.0909090909</v>
      </c>
      <c r="F46" s="93">
        <f>AVERAGEIF('Matrix Allocations'!$C$4:$C$152,Summary!$B46,'Matrix Allocations'!BA$4:BA$152)</f>
        <v>196151.63607085348</v>
      </c>
      <c r="G46" s="93">
        <f>AVERAGEIF('Matrix Allocations'!$C$4:$C$152,Summary!$B46,'Matrix Allocations'!BB$4:BB$152)</f>
        <v>273219.63</v>
      </c>
      <c r="H46" s="417"/>
      <c r="I46" s="417"/>
      <c r="J46" s="417">
        <f>AVERAGEIF('Matrix Allocations'!$C$4:$C$152,Summary!$B46,'Matrix Allocations'!BF$4:BF$152)</f>
        <v>549508.80000000005</v>
      </c>
      <c r="K46" s="101">
        <f>COUNTIFS('Matrix Allocations'!AV$2:AV$152,"Yes",'Matrix Allocations'!$C$2:$C$152,Summary!$B46)</f>
        <v>0</v>
      </c>
      <c r="L46" s="102">
        <f>COUNTIFS('Matrix Allocations'!AW$2:AW$152,"Yes",'Matrix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H4:I4"/>
    <mergeCell ref="E11:F11"/>
    <mergeCell ref="H11:I11"/>
    <mergeCell ref="E16:F16"/>
    <mergeCell ref="H16:I16"/>
    <mergeCell ref="B2:F2"/>
    <mergeCell ref="B4:C4"/>
    <mergeCell ref="B16:C16"/>
    <mergeCell ref="B11:C11"/>
    <mergeCell ref="E4:F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dimension ref="A1:CL159"/>
  <sheetViews>
    <sheetView zoomScale="85" zoomScaleNormal="85" workbookViewId="0">
      <pane xSplit="2" ySplit="3" topLeftCell="C4" activePane="bottomRight" state="frozen"/>
      <selection pane="topRight" activeCell="C1" sqref="C1"/>
      <selection pane="bottomLeft" activeCell="A3" sqref="A3"/>
      <selection pane="bottomRight" activeCell="BO82" sqref="BO82"/>
    </sheetView>
  </sheetViews>
  <sheetFormatPr defaultColWidth="10.83203125" defaultRowHeight="15.5"/>
  <cols>
    <col min="1" max="1" width="10.83203125" style="53"/>
    <col min="2" max="2" width="20.08203125" style="53" customWidth="1"/>
    <col min="3" max="3" width="12.83203125" style="53" bestFit="1" customWidth="1"/>
    <col min="4" max="4" width="19" style="53" bestFit="1" customWidth="1"/>
    <col min="5" max="5" width="19.33203125" style="53" bestFit="1" customWidth="1"/>
    <col min="6" max="6" width="19.33203125" style="53" hidden="1" customWidth="1"/>
    <col min="7" max="7" width="6" style="53" bestFit="1" customWidth="1"/>
    <col min="8" max="8" width="18" style="53" bestFit="1" customWidth="1"/>
    <col min="9" max="9" width="12.83203125" style="53" bestFit="1" customWidth="1"/>
    <col min="10" max="10" width="5.33203125" style="53" bestFit="1" customWidth="1"/>
    <col min="11" max="11" width="6" style="53" bestFit="1" customWidth="1"/>
    <col min="12" max="12" width="16.33203125" style="53" bestFit="1" customWidth="1"/>
    <col min="13" max="13" width="13.5" style="53" bestFit="1" customWidth="1"/>
    <col min="14" max="14" width="18.83203125" style="53" bestFit="1" customWidth="1"/>
    <col min="15" max="15" width="22" style="53" bestFit="1" customWidth="1"/>
    <col min="16" max="16" width="18" style="53" bestFit="1" customWidth="1"/>
    <col min="17" max="17" width="16.5" style="53" bestFit="1" customWidth="1"/>
    <col min="18" max="18" width="25" style="53" bestFit="1" customWidth="1"/>
    <col min="19" max="19" width="25" style="53" customWidth="1"/>
    <col min="20" max="20" width="9" style="53" bestFit="1" customWidth="1"/>
    <col min="21" max="21" width="16.83203125" style="53" bestFit="1" customWidth="1"/>
    <col min="22" max="22" width="27.25" style="87" bestFit="1" customWidth="1"/>
    <col min="23" max="27" width="16" style="87" customWidth="1"/>
    <col min="28" max="28" width="9" style="53" bestFit="1" customWidth="1"/>
    <col min="29" max="29" width="18" style="53" bestFit="1" customWidth="1"/>
    <col min="30" max="30" width="18" style="53" customWidth="1"/>
    <col min="31" max="31" width="16" style="124" bestFit="1" customWidth="1"/>
    <col min="32" max="34" width="16" style="124" customWidth="1"/>
    <col min="35" max="35" width="9" style="53" bestFit="1" customWidth="1"/>
    <col min="36" max="36" width="23.33203125" style="53" bestFit="1" customWidth="1"/>
    <col min="37" max="37" width="15.5" style="242" bestFit="1" customWidth="1"/>
    <col min="38" max="38" width="9" style="53" bestFit="1" customWidth="1"/>
    <col min="39" max="39" width="13" style="53" bestFit="1" customWidth="1"/>
    <col min="40" max="40" width="9" style="53" bestFit="1" customWidth="1"/>
    <col min="41" max="42" width="9" style="53" customWidth="1"/>
    <col min="43" max="44" width="16.83203125" style="53" customWidth="1"/>
    <col min="45" max="45" width="29.5" style="53" customWidth="1"/>
    <col min="46" max="46" width="27.83203125" style="53" bestFit="1" customWidth="1"/>
    <col min="47" max="47" width="14.83203125" style="87" bestFit="1" customWidth="1"/>
    <col min="48" max="48" width="19.5" style="53" bestFit="1" customWidth="1"/>
    <col min="49" max="49" width="18" style="53" bestFit="1" customWidth="1"/>
    <col min="50" max="50" width="19.5" style="53" bestFit="1" customWidth="1"/>
    <col min="51" max="51" width="23.5" style="237" customWidth="1"/>
    <col min="52" max="52" width="20" style="87" bestFit="1" customWidth="1"/>
    <col min="53" max="53" width="18.5" style="87" bestFit="1" customWidth="1"/>
    <col min="54" max="55" width="18.5" style="87" customWidth="1"/>
    <col min="56" max="56" width="18" style="87" bestFit="1" customWidth="1"/>
    <col min="57" max="58" width="20.08203125" style="87" customWidth="1"/>
    <col min="59" max="59" width="25.83203125" style="87" customWidth="1"/>
    <col min="60" max="60" width="18.25" style="53" customWidth="1"/>
    <col min="61" max="63" width="18.25" style="643" customWidth="1"/>
    <col min="64" max="71" width="18" style="87" customWidth="1"/>
    <col min="72" max="74" width="22" style="87" customWidth="1"/>
    <col min="75" max="78" width="18" style="87" hidden="1" customWidth="1"/>
    <col min="79" max="79" width="23.83203125" hidden="1" customWidth="1"/>
    <col min="80" max="80" width="25.33203125" hidden="1" customWidth="1"/>
    <col min="81" max="81" width="23.83203125" customWidth="1"/>
    <col min="82" max="85" width="29.58203125" customWidth="1"/>
    <col min="86" max="86" width="13.58203125" style="53" customWidth="1"/>
    <col min="87" max="87" width="18.33203125" style="53" customWidth="1"/>
    <col min="88" max="88" width="14.83203125" style="53" customWidth="1"/>
    <col min="89" max="89" width="13.58203125" style="53" customWidth="1"/>
    <col min="90" max="90" width="14.75" style="53" customWidth="1"/>
    <col min="91" max="16384" width="10.83203125" style="53"/>
  </cols>
  <sheetData>
    <row r="1" spans="1:90" ht="11.25" hidden="1" customHeight="1">
      <c r="A1" s="53" t="s">
        <v>432</v>
      </c>
      <c r="B1" s="53" t="s">
        <v>433</v>
      </c>
      <c r="C1" s="53" t="s">
        <v>122</v>
      </c>
      <c r="D1" s="53" t="s">
        <v>3</v>
      </c>
      <c r="E1" s="53" t="s">
        <v>434</v>
      </c>
      <c r="F1" s="53" t="s">
        <v>435</v>
      </c>
      <c r="G1" s="53" t="s">
        <v>436</v>
      </c>
      <c r="H1" s="53" t="s">
        <v>437</v>
      </c>
      <c r="I1" s="53" t="s">
        <v>438</v>
      </c>
      <c r="J1" s="53" t="s">
        <v>439</v>
      </c>
      <c r="K1" s="53" t="s">
        <v>440</v>
      </c>
      <c r="L1" s="53" t="s">
        <v>441</v>
      </c>
      <c r="M1" s="53" t="s">
        <v>442</v>
      </c>
      <c r="N1" s="53" t="s">
        <v>13</v>
      </c>
      <c r="O1" s="53" t="s">
        <v>15</v>
      </c>
      <c r="P1" s="53" t="s">
        <v>443</v>
      </c>
      <c r="Q1" s="53" t="s">
        <v>17</v>
      </c>
      <c r="R1" s="53" t="s">
        <v>20</v>
      </c>
      <c r="S1" s="53" t="s">
        <v>444</v>
      </c>
      <c r="T1" s="53" t="s">
        <v>445</v>
      </c>
      <c r="U1" s="53" t="s">
        <v>446</v>
      </c>
      <c r="V1" s="87" t="s">
        <v>447</v>
      </c>
      <c r="W1" s="87" t="s">
        <v>448</v>
      </c>
      <c r="X1" s="87" t="s">
        <v>449</v>
      </c>
      <c r="Y1" s="87" t="s">
        <v>450</v>
      </c>
      <c r="Z1" s="87" t="s">
        <v>451</v>
      </c>
      <c r="AA1" s="87" t="s">
        <v>452</v>
      </c>
      <c r="AB1" s="53" t="s">
        <v>453</v>
      </c>
      <c r="AC1" s="53" t="s">
        <v>454</v>
      </c>
      <c r="AD1" s="53" t="s">
        <v>455</v>
      </c>
      <c r="AE1" s="124" t="s">
        <v>456</v>
      </c>
      <c r="AF1" s="124" t="s">
        <v>457</v>
      </c>
      <c r="AG1" s="124" t="s">
        <v>458</v>
      </c>
      <c r="AH1" s="124" t="s">
        <v>459</v>
      </c>
      <c r="AI1" s="53" t="s">
        <v>460</v>
      </c>
      <c r="AJ1" s="53" t="s">
        <v>461</v>
      </c>
      <c r="AK1" s="242" t="s">
        <v>462</v>
      </c>
      <c r="AL1" s="53" t="s">
        <v>463</v>
      </c>
      <c r="AM1" s="53" t="s">
        <v>464</v>
      </c>
      <c r="AN1" s="53" t="s">
        <v>465</v>
      </c>
      <c r="AO1" s="53" t="s">
        <v>466</v>
      </c>
      <c r="AP1" s="53" t="s">
        <v>467</v>
      </c>
      <c r="AQ1" s="53" t="s">
        <v>468</v>
      </c>
      <c r="AR1" s="53" t="s">
        <v>469</v>
      </c>
      <c r="AS1" s="53" t="s">
        <v>470</v>
      </c>
      <c r="AT1" s="53" t="s">
        <v>471</v>
      </c>
      <c r="AU1" s="87" t="s">
        <v>472</v>
      </c>
      <c r="AV1" s="53" t="s">
        <v>473</v>
      </c>
      <c r="AW1" s="53" t="s">
        <v>474</v>
      </c>
      <c r="AX1" s="53" t="s">
        <v>475</v>
      </c>
      <c r="AY1" s="237" t="s">
        <v>476</v>
      </c>
      <c r="AZ1" s="87" t="s">
        <v>67</v>
      </c>
      <c r="BA1" s="87" t="s">
        <v>42</v>
      </c>
      <c r="BB1" s="87" t="s">
        <v>45</v>
      </c>
      <c r="BC1" s="87" t="s">
        <v>48</v>
      </c>
      <c r="BD1" s="87" t="s">
        <v>51</v>
      </c>
      <c r="BE1" s="87" t="s">
        <v>477</v>
      </c>
      <c r="BF1" s="87" t="s">
        <v>478</v>
      </c>
      <c r="BG1" s="87" t="s">
        <v>479</v>
      </c>
      <c r="BH1" s="53" t="s">
        <v>480</v>
      </c>
      <c r="BI1" s="643" t="s">
        <v>481</v>
      </c>
      <c r="BJ1" s="643" t="s">
        <v>482</v>
      </c>
      <c r="BK1" s="643" t="s">
        <v>483</v>
      </c>
      <c r="BL1" s="87" t="s">
        <v>69</v>
      </c>
      <c r="BM1" s="87" t="s">
        <v>73</v>
      </c>
      <c r="BN1" s="87" t="s">
        <v>72</v>
      </c>
      <c r="BO1" s="87" t="s">
        <v>484</v>
      </c>
      <c r="BP1" s="87" t="s">
        <v>485</v>
      </c>
      <c r="BQ1" s="87" t="s">
        <v>486</v>
      </c>
      <c r="BR1" s="87" t="s">
        <v>336</v>
      </c>
      <c r="BS1" s="87" t="s">
        <v>487</v>
      </c>
      <c r="BT1" s="87" t="s">
        <v>91</v>
      </c>
      <c r="BU1" s="682" t="s">
        <v>344</v>
      </c>
      <c r="BV1" s="87" t="s">
        <v>488</v>
      </c>
      <c r="BW1" s="87" t="s">
        <v>489</v>
      </c>
      <c r="BX1" s="87" t="s">
        <v>490</v>
      </c>
      <c r="BY1" s="87" t="s">
        <v>491</v>
      </c>
      <c r="BZ1" s="87" t="s">
        <v>492</v>
      </c>
      <c r="CA1" s="87" t="s">
        <v>493</v>
      </c>
      <c r="CB1" s="87" t="s">
        <v>494</v>
      </c>
      <c r="CC1" t="s">
        <v>495</v>
      </c>
      <c r="CD1" t="s">
        <v>496</v>
      </c>
      <c r="CE1" t="s">
        <v>497</v>
      </c>
      <c r="CF1" t="s">
        <v>498</v>
      </c>
      <c r="CG1" t="s">
        <v>499</v>
      </c>
      <c r="CH1" s="55" t="s">
        <v>500</v>
      </c>
      <c r="CI1" s="55" t="s">
        <v>501</v>
      </c>
      <c r="CJ1" s="55" t="s">
        <v>502</v>
      </c>
      <c r="CK1" s="55" t="s">
        <v>503</v>
      </c>
      <c r="CL1" s="55" t="s">
        <v>504</v>
      </c>
    </row>
    <row r="2" spans="1:90" ht="16" customHeight="1" thickBot="1">
      <c r="A2" s="1219" t="s">
        <v>432</v>
      </c>
      <c r="B2" s="1219" t="s">
        <v>433</v>
      </c>
      <c r="C2" s="1221" t="s">
        <v>122</v>
      </c>
      <c r="D2" s="1223" t="s">
        <v>3</v>
      </c>
      <c r="E2" s="1225" t="s">
        <v>434</v>
      </c>
      <c r="F2" s="844"/>
      <c r="G2" s="1216" t="s">
        <v>505</v>
      </c>
      <c r="H2" s="1217"/>
      <c r="I2" s="1217"/>
      <c r="J2" s="1217"/>
      <c r="K2" s="1217"/>
      <c r="L2" s="1217"/>
      <c r="M2" s="1218"/>
      <c r="N2" s="1230" t="s">
        <v>13</v>
      </c>
      <c r="O2" s="1223" t="s">
        <v>15</v>
      </c>
      <c r="P2" s="1223" t="s">
        <v>443</v>
      </c>
      <c r="Q2" s="1223" t="s">
        <v>17</v>
      </c>
      <c r="R2" s="1223" t="s">
        <v>20</v>
      </c>
      <c r="S2" s="955"/>
      <c r="T2" s="1227" t="s">
        <v>332</v>
      </c>
      <c r="U2" s="1228"/>
      <c r="V2" s="1228"/>
      <c r="W2" s="1228"/>
      <c r="X2" s="1228"/>
      <c r="Y2" s="1228"/>
      <c r="Z2" s="1228"/>
      <c r="AA2" s="1229"/>
      <c r="AB2" s="1212" t="s">
        <v>100</v>
      </c>
      <c r="AC2" s="1213"/>
      <c r="AD2" s="1213"/>
      <c r="AE2" s="1213"/>
      <c r="AF2" s="1213"/>
      <c r="AG2" s="1213"/>
      <c r="AH2" s="1214"/>
      <c r="AI2" s="573" t="s">
        <v>506</v>
      </c>
      <c r="AJ2" s="172"/>
      <c r="AK2" s="574"/>
      <c r="AL2" s="1227" t="s">
        <v>507</v>
      </c>
      <c r="AM2" s="1228"/>
      <c r="AN2" s="1228"/>
      <c r="AO2" s="1215" t="s">
        <v>508</v>
      </c>
      <c r="AP2" s="1215"/>
      <c r="AQ2" s="1215"/>
      <c r="AR2" s="1215"/>
      <c r="AS2" s="1215"/>
      <c r="AT2" s="1237" t="s">
        <v>39</v>
      </c>
      <c r="AU2" s="1238"/>
      <c r="AV2" s="1215" t="s">
        <v>473</v>
      </c>
      <c r="AW2" s="1215" t="s">
        <v>474</v>
      </c>
      <c r="AX2" s="1232" t="s">
        <v>509</v>
      </c>
      <c r="AY2" s="1234" t="s">
        <v>476</v>
      </c>
      <c r="AZ2" s="1236" t="s">
        <v>510</v>
      </c>
      <c r="BA2" s="1239" t="s">
        <v>42</v>
      </c>
      <c r="BB2" s="1239" t="s">
        <v>45</v>
      </c>
      <c r="BC2" s="1239" t="s">
        <v>511</v>
      </c>
      <c r="BD2" s="1239" t="s">
        <v>51</v>
      </c>
      <c r="BE2" s="1239" t="s">
        <v>512</v>
      </c>
      <c r="BF2" s="1239"/>
      <c r="BG2" s="648" t="s">
        <v>513</v>
      </c>
      <c r="BH2" s="649"/>
      <c r="BI2" s="650"/>
      <c r="BJ2" s="650"/>
      <c r="BK2" s="650"/>
      <c r="BL2" s="633"/>
      <c r="BM2" s="633"/>
      <c r="BN2" s="633"/>
      <c r="BO2" s="633"/>
      <c r="BP2" s="633"/>
      <c r="BQ2" s="633"/>
      <c r="BR2" s="633"/>
      <c r="BS2" s="633"/>
      <c r="BT2" s="633"/>
      <c r="BU2" s="633"/>
      <c r="BV2" s="633"/>
      <c r="BW2" s="801"/>
      <c r="BX2" s="801"/>
      <c r="BY2" s="801"/>
      <c r="BZ2" s="801"/>
      <c r="CC2" s="789"/>
      <c r="CD2" s="786" t="s">
        <v>514</v>
      </c>
      <c r="CE2" s="786" t="s">
        <v>515</v>
      </c>
      <c r="CF2" s="786" t="s">
        <v>516</v>
      </c>
      <c r="CG2" s="786" t="s">
        <v>517</v>
      </c>
      <c r="CH2" s="829"/>
      <c r="CI2" s="829"/>
      <c r="CJ2" s="829"/>
      <c r="CK2" s="846"/>
      <c r="CL2" s="829"/>
    </row>
    <row r="3" spans="1:90" s="172" customFormat="1" ht="45" customHeight="1">
      <c r="A3" s="1220"/>
      <c r="B3" s="1220"/>
      <c r="C3" s="1222"/>
      <c r="D3" s="1224"/>
      <c r="E3" s="1226"/>
      <c r="F3" s="845" t="s">
        <v>435</v>
      </c>
      <c r="G3" s="80" t="s">
        <v>436</v>
      </c>
      <c r="H3" s="80" t="s">
        <v>437</v>
      </c>
      <c r="I3" s="80" t="s">
        <v>438</v>
      </c>
      <c r="J3" s="80" t="s">
        <v>439</v>
      </c>
      <c r="K3" s="80" t="s">
        <v>440</v>
      </c>
      <c r="L3" s="109" t="s">
        <v>441</v>
      </c>
      <c r="M3" s="686" t="s">
        <v>442</v>
      </c>
      <c r="N3" s="1231"/>
      <c r="O3" s="1224"/>
      <c r="P3" s="1224"/>
      <c r="Q3" s="1224"/>
      <c r="R3" s="1224"/>
      <c r="S3" s="954" t="s">
        <v>444</v>
      </c>
      <c r="T3" s="80" t="s">
        <v>401</v>
      </c>
      <c r="U3" s="686" t="s">
        <v>518</v>
      </c>
      <c r="V3" s="425" t="s">
        <v>519</v>
      </c>
      <c r="W3" s="425" t="s">
        <v>520</v>
      </c>
      <c r="X3" s="425" t="s">
        <v>521</v>
      </c>
      <c r="Y3" s="425" t="s">
        <v>522</v>
      </c>
      <c r="Z3" s="425" t="s">
        <v>523</v>
      </c>
      <c r="AA3" s="425" t="s">
        <v>524</v>
      </c>
      <c r="AB3" s="80" t="s">
        <v>401</v>
      </c>
      <c r="AC3" s="686" t="s">
        <v>518</v>
      </c>
      <c r="AD3" s="686" t="s">
        <v>96</v>
      </c>
      <c r="AE3" s="122" t="s">
        <v>525</v>
      </c>
      <c r="AF3" s="584" t="s">
        <v>522</v>
      </c>
      <c r="AG3" s="584" t="s">
        <v>523</v>
      </c>
      <c r="AH3" s="584" t="s">
        <v>526</v>
      </c>
      <c r="AI3" s="689" t="s">
        <v>401</v>
      </c>
      <c r="AJ3" s="685" t="s">
        <v>518</v>
      </c>
      <c r="AK3" s="243" t="s">
        <v>525</v>
      </c>
      <c r="AL3" s="690" t="s">
        <v>401</v>
      </c>
      <c r="AM3" s="683" t="s">
        <v>518</v>
      </c>
      <c r="AN3" s="597" t="s">
        <v>525</v>
      </c>
      <c r="AO3" s="684" t="s">
        <v>401</v>
      </c>
      <c r="AP3" s="684" t="s">
        <v>527</v>
      </c>
      <c r="AQ3" s="682" t="s">
        <v>528</v>
      </c>
      <c r="AR3" s="682" t="s">
        <v>522</v>
      </c>
      <c r="AS3" s="682" t="s">
        <v>523</v>
      </c>
      <c r="AT3" s="684" t="s">
        <v>529</v>
      </c>
      <c r="AU3" s="682" t="s">
        <v>406</v>
      </c>
      <c r="AV3" s="1215"/>
      <c r="AW3" s="1215"/>
      <c r="AX3" s="1233"/>
      <c r="AY3" s="1235"/>
      <c r="AZ3" s="1236"/>
      <c r="BA3" s="1239"/>
      <c r="BB3" s="1239"/>
      <c r="BC3" s="1239"/>
      <c r="BD3" s="1239"/>
      <c r="BE3" s="414" t="s">
        <v>530</v>
      </c>
      <c r="BF3" s="415" t="s">
        <v>531</v>
      </c>
      <c r="BG3" s="415" t="s">
        <v>532</v>
      </c>
      <c r="BH3" s="638" t="s">
        <v>480</v>
      </c>
      <c r="BI3" s="640" t="s">
        <v>481</v>
      </c>
      <c r="BJ3" s="640" t="s">
        <v>482</v>
      </c>
      <c r="BK3" s="640" t="s">
        <v>483</v>
      </c>
      <c r="BL3" s="415" t="s">
        <v>69</v>
      </c>
      <c r="BM3" s="415" t="s">
        <v>73</v>
      </c>
      <c r="BN3" s="415" t="s">
        <v>72</v>
      </c>
      <c r="BO3" s="415" t="s">
        <v>484</v>
      </c>
      <c r="BP3" s="415" t="s">
        <v>485</v>
      </c>
      <c r="BQ3" s="415" t="s">
        <v>486</v>
      </c>
      <c r="BR3" s="682" t="s">
        <v>336</v>
      </c>
      <c r="BS3" s="682" t="s">
        <v>88</v>
      </c>
      <c r="BT3" s="682" t="s">
        <v>91</v>
      </c>
      <c r="BU3" s="682" t="s">
        <v>344</v>
      </c>
      <c r="BV3" s="682" t="s">
        <v>488</v>
      </c>
      <c r="BW3" s="802" t="s">
        <v>489</v>
      </c>
      <c r="BX3" s="802" t="s">
        <v>490</v>
      </c>
      <c r="BY3" s="802" t="s">
        <v>491</v>
      </c>
      <c r="BZ3" s="802" t="s">
        <v>492</v>
      </c>
      <c r="CA3" s="780" t="s">
        <v>533</v>
      </c>
      <c r="CB3" s="781" t="s">
        <v>534</v>
      </c>
      <c r="CC3" s="790" t="s">
        <v>495</v>
      </c>
      <c r="CD3" s="787" t="s">
        <v>496</v>
      </c>
      <c r="CE3" s="787" t="s">
        <v>497</v>
      </c>
      <c r="CF3" s="827" t="s">
        <v>498</v>
      </c>
      <c r="CG3" s="827" t="s">
        <v>499</v>
      </c>
      <c r="CH3" s="843" t="s">
        <v>535</v>
      </c>
      <c r="CI3" s="843" t="s">
        <v>536</v>
      </c>
      <c r="CJ3" s="843" t="s">
        <v>537</v>
      </c>
      <c r="CK3" s="847" t="s">
        <v>538</v>
      </c>
      <c r="CL3" s="843" t="s">
        <v>539</v>
      </c>
    </row>
    <row r="4" spans="1:90" ht="16" customHeight="1">
      <c r="A4" s="55" t="s">
        <v>540</v>
      </c>
      <c r="B4" s="55" t="s">
        <v>160</v>
      </c>
      <c r="C4" s="55" t="s">
        <v>132</v>
      </c>
      <c r="D4" s="63" t="s">
        <v>148</v>
      </c>
      <c r="E4" s="63" t="s">
        <v>145</v>
      </c>
      <c r="F4" s="64">
        <v>1</v>
      </c>
      <c r="G4" s="64" t="str">
        <f t="shared" ref="G4:H24" si="0">IF($T4="IBRD","Yes","No")</f>
        <v>No</v>
      </c>
      <c r="H4" s="64" t="str">
        <f t="shared" si="0"/>
        <v>No</v>
      </c>
      <c r="I4" s="64" t="str">
        <f t="shared" ref="I4:I39" si="1">IF($T4="Blend","Yes","No")</f>
        <v>No</v>
      </c>
      <c r="J4" s="64" t="str">
        <f t="shared" ref="J4:J39" si="2">IF(OR(T4="IDA",T4="Blend"),"Yes","No")</f>
        <v>Yes</v>
      </c>
      <c r="K4" s="64" t="str">
        <f t="shared" ref="K4:K39" si="3">IF($T4="IBRD","Yes","No")</f>
        <v>No</v>
      </c>
      <c r="L4" s="64" t="s">
        <v>541</v>
      </c>
      <c r="M4" s="55" t="s">
        <v>541</v>
      </c>
      <c r="N4" s="133" t="s">
        <v>541</v>
      </c>
      <c r="O4" s="63" t="s">
        <v>541</v>
      </c>
      <c r="P4" s="63" t="s">
        <v>542</v>
      </c>
      <c r="Q4" s="63"/>
      <c r="R4" s="63"/>
      <c r="S4" s="956">
        <v>95829480.719269618</v>
      </c>
      <c r="T4" s="63" t="s">
        <v>394</v>
      </c>
      <c r="U4" s="64" t="str">
        <f>IFERROR(IF(VLOOKUP(A4,'WB projects data'!$A$5:$C$83,3,0)="Approved",(VLOOKUP(A4,'WB projects data'!$A$5:$C$83,3,0)),""),"")</f>
        <v>Approved</v>
      </c>
      <c r="V4" s="123">
        <f t="shared" ref="V4:V36" si="4">IFERROR(INDEX(wbf,MATCH(A4,wbiso,0))*1000000,"")</f>
        <v>113000000</v>
      </c>
      <c r="W4" s="123">
        <f>IFERROR((VLOOKUP($A4,'WB projects data'!$A$5:$J$83,6,0)*1000000),"")</f>
        <v>53100000</v>
      </c>
      <c r="X4" s="123">
        <f>IFERROR((VLOOKUP($A4,'WB projects data'!$A$5:$J$83,7,0)*1000000),"")</f>
        <v>59900000</v>
      </c>
      <c r="Y4" s="123">
        <f>IFERROR((VLOOKUP($A4,'WB projects data'!$A$5:$J$83,8,0)*1000000),"")</f>
        <v>70800000</v>
      </c>
      <c r="Z4" s="123">
        <f>IFERROR((VLOOKUP($A4,'WB projects data'!$A$5:$J$83,9,0)*1000000),"")</f>
        <v>33600000</v>
      </c>
      <c r="AA4" s="123">
        <f>IFERROR((VLOOKUP($A4,'WB projects data'!$A$5:$J$83,10,0)*1000000),"")</f>
        <v>8600000</v>
      </c>
      <c r="AB4" s="63" t="s">
        <v>541</v>
      </c>
      <c r="AC4" s="110" t="str">
        <f>VLOOKUP($A4,'ADB Projects'!$A$5:$D$21,3,0)</f>
        <v>Approved</v>
      </c>
      <c r="AD4" s="110" t="str">
        <f>IFERROR(VLOOKUP(A4,'ADB Projects'!$A$4:$W$21,5,FALSE),"")</f>
        <v>Grant</v>
      </c>
      <c r="AE4" s="132">
        <f>IF(AC4="Approved",(VLOOKUP($A4,'ADB Projects'!$A$5:$D$21,4,0)*1000000),"")</f>
        <v>50000000</v>
      </c>
      <c r="AF4" s="585">
        <f>IF(AC4="Approved",(PRODUCT(VLOOKUP($A4,'ADB Projects'!$A$4:$W$21,6,FALSE),1000000)),"")</f>
        <v>43173076.92307692</v>
      </c>
      <c r="AG4" s="585">
        <f>IF(AC4="Approved",(PRODUCT(VLOOKUP($A4,'ADB Projects'!$A$4:$W$21,7,FALSE),1000000)),"")</f>
        <v>2019230.7692307692</v>
      </c>
      <c r="AH4" s="585">
        <f>IF(AC4="Approved",(PRODUCT(VLOOKUP($A4,'ADB Projects'!$A$4:$W$21,8,FALSE),1000000)),"")</f>
        <v>4807692.3076923136</v>
      </c>
      <c r="AI4" s="55" t="s">
        <v>541</v>
      </c>
      <c r="AJ4" s="55"/>
      <c r="AK4" s="244"/>
      <c r="AL4" s="55"/>
      <c r="AM4" s="55"/>
      <c r="AN4" s="55"/>
      <c r="AO4" s="55"/>
      <c r="AP4" s="55"/>
      <c r="AQ4" s="602" t="str">
        <f t="shared" ref="AQ4:AQ36" si="5">IF(OR(AR4="", AS4=""), "",(SUM(AR4:AS4)))</f>
        <v/>
      </c>
      <c r="AR4" s="602" t="str">
        <f>IFERROR(VLOOKUP($A4,'IDB C19 Vaccine Projects'!$O$4:$Q$12,2,FALSE),"")</f>
        <v/>
      </c>
      <c r="AS4" s="602" t="str">
        <f>IFERROR(VLOOKUP($A4,'IDB C19 Vaccine Projects'!$O$4:$Q$12,3,FALSE),"")</f>
        <v/>
      </c>
      <c r="AT4" s="55"/>
      <c r="AU4" s="88"/>
      <c r="AV4" s="635"/>
      <c r="AW4" s="55"/>
      <c r="AX4" s="88">
        <f>INDEX(USAID!$C$3:$C$151,MATCH('Matrix Allocations'!A4,USAID!$A$3:$A$151,0))</f>
        <v>4050000</v>
      </c>
      <c r="AY4" s="110"/>
      <c r="AZ4" s="88">
        <f>IFERROR(INDEX('[4]Vx All regions allocations'!O$10:O$144,MATCH(A4,'[4]Vx All regions allocations'!A$10:A$144,0)),"")</f>
        <v>2000000</v>
      </c>
      <c r="BA4" s="88">
        <v>567847.22222222213</v>
      </c>
      <c r="BB4" s="88">
        <v>502703</v>
      </c>
      <c r="BC4" s="88" t="str">
        <f>IFERROR(INDEX(DFAT!$K$4:$K$21,MATCH('Matrix Allocations'!A4,DFAT!$B$4:$B$21,0)),"")</f>
        <v/>
      </c>
      <c r="BD4" s="88"/>
      <c r="BE4" s="826" t="str">
        <f>IFERROR(IF(INDEX('GAVI CCE'!$E$3:$E$95,MATCH('Matrix Allocations'!A4,'GAVI CCE'!$A$3:$A$95,0))="Yes",INDEX('GAVI CCE'!$E$3:$E$95,MATCH('Matrix Allocations'!A4,'GAVI CCE'!$A$3:$A$95,0)),""),"")</f>
        <v>Yes</v>
      </c>
      <c r="BF4" s="88">
        <f>IFERROR(IF(BE4="Yes",INDEX('GAVI CCE'!$F$3:$F$95,MATCH('Matrix Allocations'!A4,'GAVI CCE'!$A$3:$A$95,0)),""),"")</f>
        <v>922566</v>
      </c>
      <c r="BG4" s="609" t="str">
        <f>IFERROR(IF(E4='CDS early access ceilings'!$A$94,(VLOOKUP(A4,'CDS early access ceilings'!$A$2:$D$92,4,FALSE)),""),"")</f>
        <v>GAVI</v>
      </c>
      <c r="BH4" s="639" t="str">
        <f>IFERROR(INDEX(Table14[Status (clean)],MATCH('Matrix Allocations'!A4,Table14[ISO Code],0)),"")</f>
        <v>Disbursed</v>
      </c>
      <c r="BI4" s="641">
        <f>IFERROR(INDEX(Table14[Amount disbursed (USD)],MATCH('Matrix Allocations'!A4,Table14[ISO Code],0)),"")</f>
        <v>7481878</v>
      </c>
      <c r="BJ4" s="641" t="str">
        <f>IFERROR(INDEX('CDS NBW'!$I$2:$I$39,MATCH(A4,'CDS NBW'!$A$2:$A$39,0)),"")</f>
        <v/>
      </c>
      <c r="BK4" s="641" t="str">
        <f>IFERROR(INDEX('CDS NBW'!$J$2:$J$39,MATCH(A4,'CDS NBW'!$A$2:$A$39,0)),"")</f>
        <v/>
      </c>
      <c r="BL4" s="609"/>
      <c r="BM4" s="609"/>
      <c r="BN4" s="609"/>
      <c r="BO4" s="609"/>
      <c r="BP4" s="609">
        <f>IFERROR(INDEX('UNICEF-BMZ'!$O$1:$O$199,MATCH('Matrix Allocations'!A4,'UNICEF-BMZ'!$B$1:$B$199,0)),"")</f>
        <v>1063750</v>
      </c>
      <c r="BQ4" s="609">
        <f>IFERROR(VLOOKUP(A4,'BMGF_clean data'!$A$4:$C$30,3,FALSE),"")</f>
        <v>99000</v>
      </c>
      <c r="BR4" s="88"/>
      <c r="BS4" s="88"/>
      <c r="BT4" s="88"/>
      <c r="BU4" s="88"/>
      <c r="BV4" s="88"/>
      <c r="BW4" s="87">
        <f>INDEX(USAID!$D$3:$D$151,MATCH('Matrix Allocations'!A4,USAID!$A$3:$A$151,0))</f>
        <v>0</v>
      </c>
      <c r="BX4" s="87" t="str">
        <f>IFERROR(INDEX(DFAT!$L$4:$L$21,MATCH('Matrix Allocations'!A4,DFAT!$B$4:$B$21,0)),"")</f>
        <v/>
      </c>
      <c r="BY4" s="87">
        <f>IFERROR(INDEX(Table14[Funds Channelled through UNICEF],MATCH('Matrix Allocations'!A4,Table14[ISO Code],0)),"")</f>
        <v>6949908</v>
      </c>
      <c r="BZ4" s="87">
        <f t="shared" ref="BZ4:BZ35" si="6">SUM(IF(BG4="UNICEF",BI4,0),BY4)</f>
        <v>6949908</v>
      </c>
      <c r="CA4">
        <f t="shared" ref="CA4:CA11" si="7">INDEX(tpop,MATCH(A4,popiso,0))</f>
        <v>39835428</v>
      </c>
      <c r="CB4" s="782">
        <f>CA4*0.3</f>
        <v>11950628.4</v>
      </c>
      <c r="CC4" s="791">
        <f>SUM(BR4,BQ4,BP4,BO4,BN4,BM4,BL4,BF4,BD4,BC4,BB4,BA4,AZ4,AY4,AX4,AW4,AV4,AU4,AS4,AG4,Z4,BS4,BT4,BV4,BU4,IF(OR(BH4="Disbursed",BH4="Approved"),BI4,0),IF(OR(BJ4="Disbursed",BJ4="Approved"),BK4,0))</f>
        <v>52306974.991452992</v>
      </c>
      <c r="CD4" s="788">
        <f>CC4/CB4</f>
        <v>4.3769225550894868</v>
      </c>
      <c r="CE4" s="788">
        <f>CC4/(0.4*CA4)</f>
        <v>3.2826919163171153</v>
      </c>
      <c r="CF4" s="828">
        <f>CC4/(0.7*CA4)</f>
        <v>1.875823952181209</v>
      </c>
      <c r="CG4" s="828">
        <f>CC4/CA4</f>
        <v>1.3130767665268461</v>
      </c>
      <c r="CH4" s="88">
        <f t="shared" ref="CH4:CH11" si="8">SUM(Z4,AG4,AS4)</f>
        <v>35619230.769230768</v>
      </c>
      <c r="CI4" s="88">
        <f>SUM(AW4,AX4,AY4,BC4,BD4,BL4,BM4,BN4,BR4,BS4,BT4,BV4)</f>
        <v>4050000</v>
      </c>
      <c r="CJ4" s="742">
        <f t="shared" ref="CJ4:CJ11" si="9">SUM(AV4,BQ4,BO4)</f>
        <v>99000</v>
      </c>
      <c r="CK4" s="848">
        <f>SUM(AV4,AW4,AY4,BD4,BL4,BM4,BN4,BO4,BR4,BS4,BW4,BX4,AZ4,BT4,BY4,BV4)</f>
        <v>8949908</v>
      </c>
      <c r="CL4" s="88">
        <f>SUM(AU4,BA4,BB4,BF4,BK4,BP4,BU4,IF(OR(BH4="Disbursed",BH4="Approved"),BI4,0),IF(OR(BJ4="Disbursed",BJ4="Approved"),BK4,0))</f>
        <v>10538744.222222222</v>
      </c>
    </row>
    <row r="5" spans="1:90" ht="16" customHeight="1">
      <c r="A5" s="147" t="s">
        <v>543</v>
      </c>
      <c r="B5" s="147" t="s">
        <v>161</v>
      </c>
      <c r="C5" s="55" t="s">
        <v>127</v>
      </c>
      <c r="D5" s="55" t="s">
        <v>152</v>
      </c>
      <c r="E5" s="55" t="s">
        <v>146</v>
      </c>
      <c r="F5" s="56"/>
      <c r="G5" s="56" t="str">
        <f t="shared" si="0"/>
        <v>Yes</v>
      </c>
      <c r="H5" s="56" t="str">
        <f t="shared" si="0"/>
        <v>Yes</v>
      </c>
      <c r="I5" s="56" t="str">
        <f t="shared" si="1"/>
        <v>No</v>
      </c>
      <c r="J5" s="56" t="str">
        <f t="shared" si="2"/>
        <v>No</v>
      </c>
      <c r="K5" s="56" t="str">
        <f t="shared" si="3"/>
        <v>Yes</v>
      </c>
      <c r="L5" s="56" t="s">
        <v>541</v>
      </c>
      <c r="M5" s="55" t="s">
        <v>544</v>
      </c>
      <c r="N5" s="134" t="s">
        <v>544</v>
      </c>
      <c r="O5" s="55" t="s">
        <v>544</v>
      </c>
      <c r="P5" s="55"/>
      <c r="Q5" s="55"/>
      <c r="R5" s="55"/>
      <c r="S5" s="956">
        <v>427904035.52443534</v>
      </c>
      <c r="T5" s="55" t="s">
        <v>395</v>
      </c>
      <c r="U5" s="64" t="str">
        <f>IFERROR(IF(VLOOKUP(A5,'WB projects data'!$A$5:$C$83,3,0)="Approved",(VLOOKUP(A5,'WB projects data'!$A$5:$C$83,3,0)),""),"")</f>
        <v/>
      </c>
      <c r="V5" s="123" t="str">
        <f t="shared" si="4"/>
        <v/>
      </c>
      <c r="W5" s="123" t="str">
        <f>IFERROR((VLOOKUP($A5,'WB projects data'!$A$5:$J$83,6,0)*1000000),"")</f>
        <v/>
      </c>
      <c r="X5" s="123" t="str">
        <f>IFERROR((VLOOKUP($A5,'WB projects data'!$A$5:$J$83,7,0)*1000000),"")</f>
        <v/>
      </c>
      <c r="Y5" s="123" t="str">
        <f>IFERROR((VLOOKUP($A5,'WB projects data'!$A$5:$J$83,8,0)*1000000),"")</f>
        <v/>
      </c>
      <c r="Z5" s="123" t="str">
        <f>IFERROR((VLOOKUP($A5,'WB projects data'!$A$5:$J$83,9,0)*1000000),"")</f>
        <v/>
      </c>
      <c r="AA5" s="123" t="str">
        <f>IFERROR((VLOOKUP($A5,'WB projects data'!$A$5:$J$83,10,0)*1000000),"")</f>
        <v/>
      </c>
      <c r="AB5" s="55"/>
      <c r="AC5" s="110"/>
      <c r="AD5" s="110" t="str">
        <f>IFERROR(VLOOKUP(A5,'ADB Projects'!$A$4:$W$21,5,FALSE),"")</f>
        <v/>
      </c>
      <c r="AE5" s="132" t="str">
        <f>IF(AC5="Approved",(VLOOKUP($A5,'ADB Projects'!$A$5:$D$21,4,0)*1000000),"")</f>
        <v/>
      </c>
      <c r="AF5" s="585" t="str">
        <f>IF(AC5="Approved",(PRODUCT(VLOOKUP($A5,'ADB Projects'!$A$4:$W$21,6,FALSE),1000000)),"")</f>
        <v/>
      </c>
      <c r="AG5" s="585" t="str">
        <f>IF(AC5="Approved",(PRODUCT(VLOOKUP($A5,'ADB Projects'!$A$4:$W$21,7,FALSE),1000000)),"")</f>
        <v/>
      </c>
      <c r="AH5" s="585" t="str">
        <f>IF(AC5="Approved",(PRODUCT(VLOOKUP($A5,'ADB Projects'!$A$4:$W$21,8,FALSE),1000000)),"")</f>
        <v/>
      </c>
      <c r="AI5" s="55" t="s">
        <v>541</v>
      </c>
      <c r="AJ5" s="55"/>
      <c r="AK5" s="244"/>
      <c r="AL5" s="55"/>
      <c r="AM5" s="55"/>
      <c r="AN5" s="55"/>
      <c r="AO5" s="55"/>
      <c r="AP5" s="55"/>
      <c r="AQ5" s="602" t="str">
        <f t="shared" si="5"/>
        <v/>
      </c>
      <c r="AR5" s="602" t="str">
        <f>IFERROR(VLOOKUP($A5,'IDB C19 Vaccine Projects'!$O$4:$Q$12,2,FALSE),"")</f>
        <v/>
      </c>
      <c r="AS5" s="602" t="str">
        <f>IFERROR(VLOOKUP($A5,'IDB C19 Vaccine Projects'!$O$4:$Q$12,3,FALSE),"")</f>
        <v/>
      </c>
      <c r="AT5" s="55"/>
      <c r="AU5" s="88"/>
      <c r="AV5" s="635"/>
      <c r="AW5" s="55"/>
      <c r="AX5" s="88">
        <f>INDEX(USAID!$C$3:$C$151,MATCH('Matrix Allocations'!A5,USAID!$A$3:$A$151,0))</f>
        <v>500000</v>
      </c>
      <c r="AY5" s="110"/>
      <c r="AZ5" s="88">
        <f>IFERROR(INDEX('[4]Vx All regions allocations'!O$10:O$144,MATCH(A5,'[4]Vx All regions allocations'!A$10:A$144,0)),"")</f>
        <v>100000</v>
      </c>
      <c r="BA5" s="88">
        <v>0</v>
      </c>
      <c r="BB5" s="88">
        <v>0</v>
      </c>
      <c r="BC5" s="88" t="str">
        <f>IFERROR(INDEX(DFAT!$K$4:$K$21,MATCH('Matrix Allocations'!A5,DFAT!$B$4:$B$21,0)),"")</f>
        <v/>
      </c>
      <c r="BD5" s="88"/>
      <c r="BE5" s="826" t="str">
        <f>IFERROR(IF(INDEX('GAVI CCE'!$E$3:$E$95,MATCH('Matrix Allocations'!A5,'GAVI CCE'!$A$3:$A$95,0))="Yes",INDEX('GAVI CCE'!$E$3:$E$95,MATCH('Matrix Allocations'!A5,'GAVI CCE'!$A$3:$A$95,0)),""),"")</f>
        <v/>
      </c>
      <c r="BF5" s="88" t="str">
        <f>IFERROR(IF(BE5="Yes",INDEX('GAVI CCE'!$F$3:$F$95,MATCH('Matrix Allocations'!A5,'GAVI CCE'!$A$3:$A$95,0)),""),"")</f>
        <v/>
      </c>
      <c r="BG5" s="609" t="str">
        <f>IFERROR(IF(E5='CDS early access ceilings'!$A$94,(VLOOKUP(A5,'CDS early access ceilings'!$A$2:$D$92,4,FALSE)),""),"")</f>
        <v/>
      </c>
      <c r="BH5" s="639" t="str">
        <f>IFERROR(INDEX(Table14[Status (clean)],MATCH('Matrix Allocations'!A5,Table14[ISO Code],0)),"")</f>
        <v/>
      </c>
      <c r="BI5" s="641" t="str">
        <f>IFERROR(INDEX(Table14[Amount disbursed (USD)],MATCH('Matrix Allocations'!A5,Table14[ISO Code],0)),"")</f>
        <v/>
      </c>
      <c r="BJ5" s="641" t="str">
        <f>IFERROR(INDEX('CDS NBW'!$I$2:$I$39,MATCH(A5,'CDS NBW'!$A$2:$A$39,0)),"")</f>
        <v/>
      </c>
      <c r="BK5" s="641" t="str">
        <f>IFERROR(INDEX('CDS NBW'!$J$2:$J$39,MATCH(A5,'CDS NBW'!$A$2:$A$39,0)),"")</f>
        <v/>
      </c>
      <c r="BL5" s="609"/>
      <c r="BM5" s="609"/>
      <c r="BN5" s="609"/>
      <c r="BO5" s="609"/>
      <c r="BP5" s="609">
        <f>IFERROR(INDEX('UNICEF-BMZ'!$O$1:$O$199,MATCH('Matrix Allocations'!A5,'UNICEF-BMZ'!$B$1:$B$199,0)),"")</f>
        <v>0</v>
      </c>
      <c r="BQ5" s="609" t="str">
        <f>IFERROR(VLOOKUP(A5,'BMGF_clean data'!$A$4:$C$30,3,FALSE),"")</f>
        <v/>
      </c>
      <c r="BR5" s="88"/>
      <c r="BS5" s="88"/>
      <c r="BT5" s="88"/>
      <c r="BU5" s="88"/>
      <c r="BV5" s="88"/>
      <c r="BW5" s="87">
        <f>INDEX(USAID!$D$3:$D$151,MATCH('Matrix Allocations'!A5,USAID!$A$3:$A$151,0))</f>
        <v>0</v>
      </c>
      <c r="BX5" s="87" t="str">
        <f>IFERROR(INDEX(DFAT!$L$4:$L$21,MATCH('Matrix Allocations'!A5,DFAT!$B$4:$B$21,0)),"")</f>
        <v/>
      </c>
      <c r="BY5" s="87" t="str">
        <f>IFERROR(INDEX(Table14[Funds Channelled through UNICEF],MATCH('Matrix Allocations'!A5,Table14[ISO Code],0)),"")</f>
        <v/>
      </c>
      <c r="BZ5" s="87">
        <f t="shared" si="6"/>
        <v>0</v>
      </c>
      <c r="CA5">
        <f t="shared" si="7"/>
        <v>2872934</v>
      </c>
      <c r="CB5" s="782">
        <f t="shared" ref="CB5:CB69" si="10">CA5*0.3</f>
        <v>861880.2</v>
      </c>
      <c r="CC5" s="791">
        <f t="shared" ref="CC5:CC68" si="11">SUM(BR5,BQ5,BP5,BO5,BN5,BM5,BL5,BF5,BD5,BC5,BB5,BA5,AZ5,AY5,AX5,AW5,AV5,AU5,AS5,AG5,Z5,BS5,BT5,BV5,BU5,IF(OR(BH5="Disbursed",BH5="Approved"),BI5,0),IF(OR(BJ5="Disbursed",BJ5="Approved"),BK5,0))</f>
        <v>600000</v>
      </c>
      <c r="CD5" s="788">
        <f t="shared" ref="CD5:CD69" si="12">CC5/CB5</f>
        <v>0.69615243510641045</v>
      </c>
      <c r="CE5" s="788">
        <f t="shared" ref="CE5:CE69" si="13">CC5/(0.4*CA5)</f>
        <v>0.5221143263298077</v>
      </c>
      <c r="CF5" s="828">
        <f t="shared" ref="CF5:CF69" si="14">CC5/(0.7*CA5)</f>
        <v>0.29835104361703307</v>
      </c>
      <c r="CG5" s="828">
        <f t="shared" ref="CG5:CG68" si="15">CC5/CA5</f>
        <v>0.20884573053192312</v>
      </c>
      <c r="CH5" s="88">
        <f t="shared" si="8"/>
        <v>0</v>
      </c>
      <c r="CI5" s="88">
        <f t="shared" ref="CI5:CI68" si="16">SUM(AW5,AX5,AY5,BC5,BD5,BL5,BM5,BN5,BR5,BS5,BT5,BV5)</f>
        <v>500000</v>
      </c>
      <c r="CJ5" s="742">
        <f t="shared" si="9"/>
        <v>0</v>
      </c>
      <c r="CK5" s="848">
        <f t="shared" ref="CK5:CK68" si="17">SUM(AV5,AW5,AY5,BD5,BL5,BM5,BN5,BO5,BR5,BS5,BW5,BX5,AZ5,BT5,BY5,BV5)</f>
        <v>100000</v>
      </c>
      <c r="CL5" s="88">
        <f t="shared" ref="CL5:CL68" si="18">SUM(AU5,BA5,BB5,BF5,BK5,BP5,BU5,IF(OR(BH5="Disbursed",BH5="Approved"),BI5,0),IF(OR(BJ5="Disbursed",BJ5="Approved"),BK5,0))</f>
        <v>0</v>
      </c>
    </row>
    <row r="6" spans="1:90" ht="16" customHeight="1">
      <c r="A6" s="55" t="s">
        <v>545</v>
      </c>
      <c r="B6" s="55" t="s">
        <v>143</v>
      </c>
      <c r="C6" s="55" t="s">
        <v>131</v>
      </c>
      <c r="D6" s="55" t="s">
        <v>150</v>
      </c>
      <c r="E6" s="55" t="s">
        <v>145</v>
      </c>
      <c r="F6" s="56"/>
      <c r="G6" s="56" t="str">
        <f t="shared" si="0"/>
        <v>Yes</v>
      </c>
      <c r="H6" s="56" t="str">
        <f t="shared" si="0"/>
        <v>Yes</v>
      </c>
      <c r="I6" s="56" t="str">
        <f t="shared" si="1"/>
        <v>No</v>
      </c>
      <c r="J6" s="56" t="str">
        <f t="shared" si="2"/>
        <v>No</v>
      </c>
      <c r="K6" s="56" t="str">
        <f t="shared" si="3"/>
        <v>Yes</v>
      </c>
      <c r="L6" s="56" t="s">
        <v>541</v>
      </c>
      <c r="M6" s="55" t="s">
        <v>544</v>
      </c>
      <c r="N6" s="134" t="s">
        <v>544</v>
      </c>
      <c r="O6" s="55" t="s">
        <v>544</v>
      </c>
      <c r="P6" s="55" t="s">
        <v>546</v>
      </c>
      <c r="Q6" s="55"/>
      <c r="R6" s="55"/>
      <c r="S6" s="956">
        <v>7113361022.7267885</v>
      </c>
      <c r="T6" s="55" t="s">
        <v>395</v>
      </c>
      <c r="U6" s="64" t="str">
        <f>IFERROR(IF(VLOOKUP(A6,'WB projects data'!$A$5:$C$83,3,0)="Approved",(VLOOKUP(A6,'WB projects data'!$A$5:$C$83,3,0)),""),"")</f>
        <v/>
      </c>
      <c r="V6" s="123" t="str">
        <f t="shared" si="4"/>
        <v/>
      </c>
      <c r="W6" s="123" t="str">
        <f>IFERROR((VLOOKUP($A6,'WB projects data'!$A$5:$J$83,6,0)*1000000),"")</f>
        <v/>
      </c>
      <c r="X6" s="123" t="str">
        <f>IFERROR((VLOOKUP($A6,'WB projects data'!$A$5:$J$83,7,0)*1000000),"")</f>
        <v/>
      </c>
      <c r="Y6" s="123" t="str">
        <f>IFERROR((VLOOKUP($A6,'WB projects data'!$A$5:$J$83,8,0)*1000000),"")</f>
        <v/>
      </c>
      <c r="Z6" s="123" t="str">
        <f>IFERROR((VLOOKUP($A6,'WB projects data'!$A$5:$J$83,9,0)*1000000),"")</f>
        <v/>
      </c>
      <c r="AA6" s="123" t="str">
        <f>IFERROR((VLOOKUP($A6,'WB projects data'!$A$5:$J$83,10,0)*1000000),"")</f>
        <v/>
      </c>
      <c r="AB6" s="55" t="s">
        <v>541</v>
      </c>
      <c r="AC6" s="110"/>
      <c r="AD6" s="110" t="str">
        <f>IFERROR(VLOOKUP(A6,'ADB Projects'!$A$4:$W$21,5,FALSE),"")</f>
        <v/>
      </c>
      <c r="AE6" s="132" t="str">
        <f>IF(AC6="Approved",(VLOOKUP($A6,'ADB Projects'!$A$5:$D$21,4,0)*1000000),"")</f>
        <v/>
      </c>
      <c r="AF6" s="585" t="str">
        <f>IF(AC6="Approved",(PRODUCT(VLOOKUP($A6,'ADB Projects'!$A$4:$W$21,6,FALSE),1000000)),"")</f>
        <v/>
      </c>
      <c r="AG6" s="585" t="str">
        <f>IF(AC6="Approved",(PRODUCT(VLOOKUP($A6,'ADB Projects'!$A$4:$W$21,7,FALSE),1000000)),"")</f>
        <v/>
      </c>
      <c r="AH6" s="585" t="str">
        <f>IF(AC6="Approved",(PRODUCT(VLOOKUP($A6,'ADB Projects'!$A$4:$W$21,8,FALSE),1000000)),"")</f>
        <v/>
      </c>
      <c r="AI6" s="55"/>
      <c r="AJ6" s="55"/>
      <c r="AK6" s="244"/>
      <c r="AL6" s="55"/>
      <c r="AM6" s="55"/>
      <c r="AN6" s="55"/>
      <c r="AO6" s="55"/>
      <c r="AP6" s="55"/>
      <c r="AQ6" s="602" t="str">
        <f t="shared" si="5"/>
        <v/>
      </c>
      <c r="AR6" s="602" t="str">
        <f>IFERROR(VLOOKUP($A6,'IDB C19 Vaccine Projects'!$O$4:$Q$12,2,FALSE),"")</f>
        <v/>
      </c>
      <c r="AS6" s="602" t="str">
        <f>IFERROR(VLOOKUP($A6,'IDB C19 Vaccine Projects'!$O$4:$Q$12,3,FALSE),"")</f>
        <v/>
      </c>
      <c r="AT6" s="55"/>
      <c r="AU6" s="88"/>
      <c r="AV6" s="635"/>
      <c r="AW6" s="55" t="s">
        <v>541</v>
      </c>
      <c r="AX6" s="88">
        <f>INDEX(USAID!$C$3:$C$151,MATCH('Matrix Allocations'!A6,USAID!$A$3:$A$151,0))</f>
        <v>541945</v>
      </c>
      <c r="AY6" s="110">
        <v>625566</v>
      </c>
      <c r="AZ6" s="88">
        <f>IFERROR(INDEX('[4]Vx All regions allocations'!O$10:O$144,MATCH(A6,'[4]Vx All regions allocations'!A$10:A$144,0)),"")</f>
        <v>0</v>
      </c>
      <c r="BA6" s="88">
        <v>59999.999999999993</v>
      </c>
      <c r="BB6" s="88">
        <v>33499.5</v>
      </c>
      <c r="BC6" s="88" t="str">
        <f>IFERROR(INDEX(DFAT!$K$4:$K$21,MATCH('Matrix Allocations'!A6,DFAT!$B$4:$B$21,0)),"")</f>
        <v/>
      </c>
      <c r="BD6" s="88"/>
      <c r="BE6" s="826" t="str">
        <f>IFERROR(IF(INDEX('GAVI CCE'!$E$3:$E$95,MATCH('Matrix Allocations'!A6,'GAVI CCE'!$A$3:$A$95,0))="Yes",INDEX('GAVI CCE'!$E$3:$E$95,MATCH('Matrix Allocations'!A6,'GAVI CCE'!$A$3:$A$95,0)),""),"")</f>
        <v>Yes</v>
      </c>
      <c r="BF6" s="88">
        <f>IFERROR(IF(BE6="Yes",INDEX('GAVI CCE'!$F$3:$F$95,MATCH('Matrix Allocations'!A6,'GAVI CCE'!$A$3:$A$95,0)),""),"")</f>
        <v>682071</v>
      </c>
      <c r="BG6" s="609" t="str">
        <f>IFERROR(IF(E6='CDS early access ceilings'!$A$94,(VLOOKUP(A6,'CDS early access ceilings'!$A$2:$D$92,4,FALSE)),""),"")</f>
        <v>UNICEF</v>
      </c>
      <c r="BH6" s="639" t="str">
        <f>IFERROR(INDEX(Table14[Status (clean)],MATCH('Matrix Allocations'!A6,Table14[ISO Code],0)),"")</f>
        <v>Disbursed</v>
      </c>
      <c r="BI6" s="641">
        <f>IFERROR(INDEX(Table14[Amount disbursed (USD)],MATCH('Matrix Allocations'!A6,Table14[ISO Code],0)),"")</f>
        <v>847780</v>
      </c>
      <c r="BJ6" s="641" t="str">
        <f>IFERROR(INDEX('CDS NBW'!$I$2:$I$39,MATCH(A6,'CDS NBW'!$A$2:$A$39,0)),"")</f>
        <v>Disbursed</v>
      </c>
      <c r="BK6" s="641">
        <f>IFERROR(INDEX('CDS NBW'!$J$2:$J$39,MATCH(A6,'CDS NBW'!$A$2:$A$39,0)),"")</f>
        <v>849470</v>
      </c>
      <c r="BL6" s="609"/>
      <c r="BM6" s="609"/>
      <c r="BN6" s="609"/>
      <c r="BO6" s="609"/>
      <c r="BP6" s="609">
        <f>IFERROR(INDEX('UNICEF-BMZ'!$O$1:$O$199,MATCH('Matrix Allocations'!A6,'UNICEF-BMZ'!$B$1:$B$199,0)),"")</f>
        <v>50000</v>
      </c>
      <c r="BQ6" s="609" t="str">
        <f>IFERROR(VLOOKUP(A6,'BMGF_clean data'!$A$4:$C$30,3,FALSE),"")</f>
        <v/>
      </c>
      <c r="BR6" s="609"/>
      <c r="BS6" s="609"/>
      <c r="BT6" s="609"/>
      <c r="BU6" s="609"/>
      <c r="BV6" s="609"/>
      <c r="BW6" s="87">
        <f>INDEX(USAID!$D$3:$D$151,MATCH('Matrix Allocations'!A6,USAID!$A$3:$A$151,0))</f>
        <v>541945</v>
      </c>
      <c r="BX6" s="87" t="str">
        <f>IFERROR(INDEX(DFAT!$L$4:$L$21,MATCH('Matrix Allocations'!A6,DFAT!$B$4:$B$21,0)),"")</f>
        <v/>
      </c>
      <c r="BY6" s="87">
        <f>IFERROR(INDEX(Table14[Funds Channelled through UNICEF],MATCH('Matrix Allocations'!A6,Table14[ISO Code],0)),"")</f>
        <v>0</v>
      </c>
      <c r="BZ6" s="87">
        <f t="shared" si="6"/>
        <v>847780</v>
      </c>
      <c r="CA6">
        <f t="shared" si="7"/>
        <v>44616626</v>
      </c>
      <c r="CB6" s="782">
        <f t="shared" si="10"/>
        <v>13384987.799999999</v>
      </c>
      <c r="CC6" s="791">
        <f t="shared" si="11"/>
        <v>3690331.5</v>
      </c>
      <c r="CD6" s="788">
        <f t="shared" si="12"/>
        <v>0.2757067511111217</v>
      </c>
      <c r="CE6" s="788">
        <f t="shared" si="13"/>
        <v>0.20678006333334123</v>
      </c>
      <c r="CF6" s="828">
        <f t="shared" si="14"/>
        <v>0.11816003619048072</v>
      </c>
      <c r="CG6" s="828">
        <f t="shared" si="15"/>
        <v>8.2712025333336506E-2</v>
      </c>
      <c r="CH6" s="88">
        <f t="shared" si="8"/>
        <v>0</v>
      </c>
      <c r="CI6" s="88">
        <f t="shared" si="16"/>
        <v>1167511</v>
      </c>
      <c r="CJ6" s="742">
        <f t="shared" si="9"/>
        <v>0</v>
      </c>
      <c r="CK6" s="848">
        <f t="shared" si="17"/>
        <v>1167511</v>
      </c>
      <c r="CL6" s="88">
        <f t="shared" si="18"/>
        <v>3372290.5</v>
      </c>
    </row>
    <row r="7" spans="1:90" ht="16" customHeight="1">
      <c r="A7" s="55" t="s">
        <v>547</v>
      </c>
      <c r="B7" s="55" t="s">
        <v>162</v>
      </c>
      <c r="C7" s="55" t="s">
        <v>128</v>
      </c>
      <c r="D7" s="55" t="s">
        <v>150</v>
      </c>
      <c r="E7" s="55" t="s">
        <v>145</v>
      </c>
      <c r="F7" s="56"/>
      <c r="G7" s="56" t="str">
        <f t="shared" si="0"/>
        <v>Yes</v>
      </c>
      <c r="H7" s="56" t="str">
        <f t="shared" si="0"/>
        <v>Yes</v>
      </c>
      <c r="I7" s="56" t="str">
        <f t="shared" si="1"/>
        <v>No</v>
      </c>
      <c r="J7" s="56" t="str">
        <f t="shared" si="2"/>
        <v>No</v>
      </c>
      <c r="K7" s="56" t="str">
        <f t="shared" si="3"/>
        <v>Yes</v>
      </c>
      <c r="L7" s="56" t="s">
        <v>541</v>
      </c>
      <c r="M7" s="55" t="s">
        <v>541</v>
      </c>
      <c r="N7" s="134" t="s">
        <v>541</v>
      </c>
      <c r="O7" s="55" t="s">
        <v>541</v>
      </c>
      <c r="P7" s="55" t="s">
        <v>548</v>
      </c>
      <c r="Q7" s="55"/>
      <c r="R7" s="55"/>
      <c r="S7" s="956">
        <v>1131865946.5875781</v>
      </c>
      <c r="T7" s="55" t="s">
        <v>395</v>
      </c>
      <c r="U7" s="64" t="str">
        <f>IFERROR(IF(VLOOKUP(A7,'WB projects data'!$A$5:$C$83,3,0)="Approved",(VLOOKUP(A7,'WB projects data'!$A$5:$C$83,3,0)),""),"")</f>
        <v>Approved</v>
      </c>
      <c r="V7" s="123">
        <f t="shared" si="4"/>
        <v>150000000</v>
      </c>
      <c r="W7" s="123">
        <f>IFERROR((VLOOKUP($A7,'WB projects data'!$A$5:$J$83,6,0)*1000000),"")</f>
        <v>150000000</v>
      </c>
      <c r="X7" s="123">
        <f>IFERROR((VLOOKUP($A7,'WB projects data'!$A$5:$J$83,7,0)*1000000),"")</f>
        <v>0</v>
      </c>
      <c r="Y7" s="123">
        <f>IFERROR((VLOOKUP($A7,'WB projects data'!$A$5:$J$83,8,0)*1000000),"")</f>
        <v>90000000</v>
      </c>
      <c r="Z7" s="123">
        <f>IFERROR((VLOOKUP($A7,'WB projects data'!$A$5:$J$83,9,0)*1000000),"")</f>
        <v>43000000</v>
      </c>
      <c r="AA7" s="123">
        <f>IFERROR((VLOOKUP($A7,'WB projects data'!$A$5:$J$83,10,0)*1000000),"")</f>
        <v>17000000</v>
      </c>
      <c r="AB7" s="55"/>
      <c r="AC7" s="110"/>
      <c r="AD7" s="110" t="str">
        <f>IFERROR(VLOOKUP(A7,'ADB Projects'!$A$4:$W$21,5,FALSE),"")</f>
        <v/>
      </c>
      <c r="AE7" s="132" t="str">
        <f>IF(AC7="Approved",(VLOOKUP($A7,'ADB Projects'!$A$5:$D$21,4,0)*1000000),"")</f>
        <v/>
      </c>
      <c r="AF7" s="585" t="str">
        <f>IF(AC7="Approved",(PRODUCT(VLOOKUP($A7,'ADB Projects'!$A$4:$W$21,6,FALSE),1000000)),"")</f>
        <v/>
      </c>
      <c r="AG7" s="585" t="str">
        <f>IF(AC7="Approved",(PRODUCT(VLOOKUP($A7,'ADB Projects'!$A$4:$W$21,7,FALSE),1000000)),"")</f>
        <v/>
      </c>
      <c r="AH7" s="585" t="str">
        <f>IF(AC7="Approved",(PRODUCT(VLOOKUP($A7,'ADB Projects'!$A$4:$W$21,8,FALSE),1000000)),"")</f>
        <v/>
      </c>
      <c r="AI7" s="55"/>
      <c r="AJ7" s="55"/>
      <c r="AK7" s="244"/>
      <c r="AL7" s="55" t="s">
        <v>541</v>
      </c>
      <c r="AM7" s="55"/>
      <c r="AN7" s="55"/>
      <c r="AO7" s="55"/>
      <c r="AP7" s="55"/>
      <c r="AQ7" s="602" t="str">
        <f t="shared" si="5"/>
        <v/>
      </c>
      <c r="AR7" s="602" t="str">
        <f>IFERROR(VLOOKUP($A7,'IDB C19 Vaccine Projects'!$O$4:$Q$12,2,FALSE),"")</f>
        <v/>
      </c>
      <c r="AS7" s="602" t="str">
        <f>IFERROR(VLOOKUP($A7,'IDB C19 Vaccine Projects'!$O$4:$Q$12,3,FALSE),"")</f>
        <v/>
      </c>
      <c r="AT7" s="55"/>
      <c r="AU7" s="88"/>
      <c r="AV7" s="635"/>
      <c r="AW7" s="55" t="s">
        <v>541</v>
      </c>
      <c r="AX7" s="88">
        <f>INDEX(USAID!$C$3:$C$151,MATCH('Matrix Allocations'!A7,USAID!$A$3:$A$151,0))</f>
        <v>2218200</v>
      </c>
      <c r="AY7" s="110">
        <v>412890</v>
      </c>
      <c r="AZ7" s="88">
        <f>IFERROR(INDEX('[4]Vx All regions allocations'!O$10:O$144,MATCH(A7,'[4]Vx All regions allocations'!A$10:A$144,0)),"")</f>
        <v>839236</v>
      </c>
      <c r="BA7" s="88">
        <v>20000</v>
      </c>
      <c r="BB7" s="88">
        <v>29999.59</v>
      </c>
      <c r="BC7" s="88" t="str">
        <f>IFERROR(INDEX(DFAT!$K$4:$K$21,MATCH('Matrix Allocations'!A7,DFAT!$B$4:$B$21,0)),"")</f>
        <v/>
      </c>
      <c r="BD7" s="88"/>
      <c r="BE7" s="826" t="str">
        <f>IFERROR(IF(INDEX('GAVI CCE'!$E$3:$E$95,MATCH('Matrix Allocations'!A7,'GAVI CCE'!$A$3:$A$95,0))="Yes",INDEX('GAVI CCE'!$E$3:$E$95,MATCH('Matrix Allocations'!A7,'GAVI CCE'!$A$3:$A$95,0)),""),"")</f>
        <v>Yes</v>
      </c>
      <c r="BF7" s="88">
        <f>IFERROR(IF(BE7="Yes",INDEX('GAVI CCE'!$F$3:$F$95,MATCH('Matrix Allocations'!A7,'GAVI CCE'!$A$3:$A$95,0)),""),"")</f>
        <v>539335</v>
      </c>
      <c r="BG7" s="609" t="str">
        <f>IFERROR(IF(E7='CDS early access ceilings'!$A$94,(VLOOKUP(A7,'CDS early access ceilings'!$A$2:$D$92,4,FALSE)),""),"")</f>
        <v>GAVI</v>
      </c>
      <c r="BH7" s="639" t="str">
        <f>IFERROR(INDEX(Table14[Status (clean)],MATCH('Matrix Allocations'!A7,Table14[ISO Code],0)),"")</f>
        <v>Disbursed</v>
      </c>
      <c r="BI7" s="641">
        <f>IFERROR(INDEX(Table14[Amount disbursed (USD)],MATCH('Matrix Allocations'!A7,Table14[ISO Code],0)),"")</f>
        <v>3845583</v>
      </c>
      <c r="BJ7" s="641" t="str">
        <f>IFERROR(INDEX('CDS NBW'!$I$2:$I$39,MATCH(A7,'CDS NBW'!$A$2:$A$39,0)),"")</f>
        <v/>
      </c>
      <c r="BK7" s="641" t="str">
        <f>IFERROR(INDEX('CDS NBW'!$J$2:$J$39,MATCH(A7,'CDS NBW'!$A$2:$A$39,0)),"")</f>
        <v/>
      </c>
      <c r="BL7" s="609"/>
      <c r="BM7" s="609"/>
      <c r="BN7" s="609"/>
      <c r="BO7" s="609"/>
      <c r="BP7" s="609">
        <f>IFERROR(INDEX('UNICEF-BMZ'!$O$1:$O$199,MATCH('Matrix Allocations'!A7,'UNICEF-BMZ'!$B$1:$B$199,0)),"")</f>
        <v>175000</v>
      </c>
      <c r="BQ7" s="609">
        <f>IFERROR(VLOOKUP(A7,'BMGF_clean data'!$A$4:$C$30,3,FALSE),"")</f>
        <v>191000</v>
      </c>
      <c r="BR7" s="88"/>
      <c r="BS7" s="88"/>
      <c r="BT7" s="88"/>
      <c r="BU7" s="88"/>
      <c r="BV7" s="88"/>
      <c r="BW7" s="87">
        <f>INDEX(USAID!$D$3:$D$151,MATCH('Matrix Allocations'!A7,USAID!$A$3:$A$151,0))</f>
        <v>0</v>
      </c>
      <c r="BX7" s="87" t="str">
        <f>IFERROR(INDEX(DFAT!$L$4:$L$21,MATCH('Matrix Allocations'!A7,DFAT!$B$4:$B$21,0)),"")</f>
        <v/>
      </c>
      <c r="BY7" s="87">
        <f>IFERROR(INDEX(Table14[Funds Channelled through UNICEF],MATCH('Matrix Allocations'!A7,Table14[ISO Code],0)),"")</f>
        <v>1000000</v>
      </c>
      <c r="BZ7" s="87">
        <f t="shared" si="6"/>
        <v>1000000</v>
      </c>
      <c r="CA7">
        <f t="shared" si="7"/>
        <v>33933611</v>
      </c>
      <c r="CB7" s="782">
        <f t="shared" si="10"/>
        <v>10180083.299999999</v>
      </c>
      <c r="CC7" s="791">
        <f t="shared" si="11"/>
        <v>51271243.590000004</v>
      </c>
      <c r="CD7" s="788">
        <f t="shared" si="12"/>
        <v>5.0364267245239542</v>
      </c>
      <c r="CE7" s="788">
        <f t="shared" si="13"/>
        <v>3.7773200433929652</v>
      </c>
      <c r="CF7" s="828">
        <f t="shared" si="14"/>
        <v>2.1584685962245516</v>
      </c>
      <c r="CG7" s="828">
        <f t="shared" si="15"/>
        <v>1.5109280173571862</v>
      </c>
      <c r="CH7" s="88">
        <f t="shared" si="8"/>
        <v>43000000</v>
      </c>
      <c r="CI7" s="88">
        <f t="shared" si="16"/>
        <v>2631090</v>
      </c>
      <c r="CJ7" s="742">
        <f t="shared" si="9"/>
        <v>191000</v>
      </c>
      <c r="CK7" s="848">
        <f t="shared" si="17"/>
        <v>2252126</v>
      </c>
      <c r="CL7" s="88">
        <f t="shared" si="18"/>
        <v>4609917.59</v>
      </c>
    </row>
    <row r="8" spans="1:90" ht="16" customHeight="1">
      <c r="A8" s="147" t="s">
        <v>549</v>
      </c>
      <c r="B8" s="147" t="s">
        <v>163</v>
      </c>
      <c r="C8" s="55" t="s">
        <v>130</v>
      </c>
      <c r="D8" s="55" t="s">
        <v>550</v>
      </c>
      <c r="E8" s="55" t="s">
        <v>146</v>
      </c>
      <c r="F8" s="56"/>
      <c r="G8" s="56" t="str">
        <f t="shared" si="0"/>
        <v>Yes</v>
      </c>
      <c r="H8" s="56" t="str">
        <f t="shared" si="0"/>
        <v>Yes</v>
      </c>
      <c r="I8" s="56" t="str">
        <f t="shared" si="1"/>
        <v>No</v>
      </c>
      <c r="J8" s="56" t="str">
        <f t="shared" si="2"/>
        <v>No</v>
      </c>
      <c r="K8" s="56" t="str">
        <f t="shared" si="3"/>
        <v>Yes</v>
      </c>
      <c r="L8" s="56" t="s">
        <v>541</v>
      </c>
      <c r="M8" s="55" t="s">
        <v>544</v>
      </c>
      <c r="N8" s="134" t="s">
        <v>544</v>
      </c>
      <c r="O8" s="55" t="s">
        <v>544</v>
      </c>
      <c r="P8" s="55"/>
      <c r="Q8" s="55"/>
      <c r="R8" s="55"/>
      <c r="S8" s="956">
        <v>46777779.823447868</v>
      </c>
      <c r="T8" s="55" t="s">
        <v>395</v>
      </c>
      <c r="U8" s="64" t="str">
        <f>IFERROR(IF(VLOOKUP(A8,'WB projects data'!$A$5:$C$83,3,0)="Approved",(VLOOKUP(A8,'WB projects data'!$A$5:$C$83,3,0)),""),"")</f>
        <v/>
      </c>
      <c r="V8" s="123" t="str">
        <f t="shared" si="4"/>
        <v/>
      </c>
      <c r="W8" s="123" t="str">
        <f>IFERROR((VLOOKUP($A8,'WB projects data'!$A$5:$J$83,6,0)*1000000),"")</f>
        <v/>
      </c>
      <c r="X8" s="123" t="str">
        <f>IFERROR((VLOOKUP($A8,'WB projects data'!$A$5:$J$83,7,0)*1000000),"")</f>
        <v/>
      </c>
      <c r="Y8" s="123" t="str">
        <f>IFERROR((VLOOKUP($A8,'WB projects data'!$A$5:$J$83,8,0)*1000000),"")</f>
        <v/>
      </c>
      <c r="Z8" s="123" t="str">
        <f>IFERROR((VLOOKUP($A8,'WB projects data'!$A$5:$J$83,9,0)*1000000),"")</f>
        <v/>
      </c>
      <c r="AA8" s="123" t="str">
        <f>IFERROR((VLOOKUP($A8,'WB projects data'!$A$5:$J$83,10,0)*1000000),"")</f>
        <v/>
      </c>
      <c r="AB8" s="55"/>
      <c r="AC8" s="110"/>
      <c r="AD8" s="110" t="str">
        <f>IFERROR(VLOOKUP(A8,'ADB Projects'!$A$4:$W$21,5,FALSE),"")</f>
        <v/>
      </c>
      <c r="AE8" s="132" t="str">
        <f>IF(AC8="Approved",(VLOOKUP($A8,'ADB Projects'!$A$5:$D$21,4,0)*1000000),"")</f>
        <v/>
      </c>
      <c r="AF8" s="585" t="str">
        <f>IF(AC8="Approved",(PRODUCT(VLOOKUP($A8,'ADB Projects'!$A$4:$W$21,6,FALSE),1000000)),"")</f>
        <v/>
      </c>
      <c r="AG8" s="585" t="str">
        <f>IF(AC8="Approved",(PRODUCT(VLOOKUP($A8,'ADB Projects'!$A$4:$W$21,7,FALSE),1000000)),"")</f>
        <v/>
      </c>
      <c r="AH8" s="585" t="str">
        <f>IF(AC8="Approved",(PRODUCT(VLOOKUP($A8,'ADB Projects'!$A$4:$W$21,8,FALSE),1000000)),"")</f>
        <v/>
      </c>
      <c r="AI8" s="55"/>
      <c r="AJ8" s="55"/>
      <c r="AK8" s="244"/>
      <c r="AL8" s="55"/>
      <c r="AM8" s="55"/>
      <c r="AN8" s="55"/>
      <c r="AO8" s="55"/>
      <c r="AP8" s="55"/>
      <c r="AQ8" s="602" t="str">
        <f t="shared" si="5"/>
        <v/>
      </c>
      <c r="AR8" s="602" t="str">
        <f>IFERROR(VLOOKUP($A8,'IDB C19 Vaccine Projects'!$O$4:$Q$12,2,FALSE),"")</f>
        <v/>
      </c>
      <c r="AS8" s="602" t="str">
        <f>IFERROR(VLOOKUP($A8,'IDB C19 Vaccine Projects'!$O$4:$Q$12,3,FALSE),"")</f>
        <v/>
      </c>
      <c r="AT8" s="55"/>
      <c r="AU8" s="88"/>
      <c r="AV8" s="635"/>
      <c r="AW8" s="55"/>
      <c r="AX8" s="88" t="str">
        <f>INDEX(USAID!$C$3:$C$151,MATCH('Matrix Allocations'!A8,USAID!$A$3:$A$151,0))</f>
        <v/>
      </c>
      <c r="AY8" s="110"/>
      <c r="AZ8" s="88" t="str">
        <f>IFERROR(INDEX('[4]Vx All regions allocations'!O$10:O$144,MATCH(A8,'[4]Vx All regions allocations'!A$10:A$144,0)),"")</f>
        <v/>
      </c>
      <c r="BA8" s="88">
        <v>0</v>
      </c>
      <c r="BB8" s="88">
        <v>0</v>
      </c>
      <c r="BC8" s="88" t="str">
        <f>IFERROR(INDEX(DFAT!$K$4:$K$21,MATCH('Matrix Allocations'!A8,DFAT!$B$4:$B$21,0)),"")</f>
        <v/>
      </c>
      <c r="BD8" s="88"/>
      <c r="BE8" s="826" t="str">
        <f>IFERROR(IF(INDEX('GAVI CCE'!$E$3:$E$95,MATCH('Matrix Allocations'!A8,'GAVI CCE'!$A$3:$A$95,0))="Yes",INDEX('GAVI CCE'!$E$3:$E$95,MATCH('Matrix Allocations'!A8,'GAVI CCE'!$A$3:$A$95,0)),""),"")</f>
        <v/>
      </c>
      <c r="BF8" s="88" t="str">
        <f>IFERROR(IF(BE8="Yes",INDEX('GAVI CCE'!$F$3:$F$95,MATCH('Matrix Allocations'!A8,'GAVI CCE'!$A$3:$A$95,0)),""),"")</f>
        <v/>
      </c>
      <c r="BG8" s="609" t="str">
        <f>IFERROR(IF(E8='CDS early access ceilings'!$A$94,(VLOOKUP(A8,'CDS early access ceilings'!$A$2:$D$92,4,FALSE)),""),"")</f>
        <v/>
      </c>
      <c r="BH8" s="639" t="str">
        <f>IFERROR(INDEX(Table14[Status (clean)],MATCH('Matrix Allocations'!A8,Table14[ISO Code],0)),"")</f>
        <v/>
      </c>
      <c r="BI8" s="641" t="str">
        <f>IFERROR(INDEX(Table14[Amount disbursed (USD)],MATCH('Matrix Allocations'!A8,Table14[ISO Code],0)),"")</f>
        <v/>
      </c>
      <c r="BJ8" s="641" t="str">
        <f>IFERROR(INDEX('CDS NBW'!$I$2:$I$39,MATCH(A8,'CDS NBW'!$A$2:$A$39,0)),"")</f>
        <v/>
      </c>
      <c r="BK8" s="641" t="str">
        <f>IFERROR(INDEX('CDS NBW'!$J$2:$J$39,MATCH(A8,'CDS NBW'!$A$2:$A$39,0)),"")</f>
        <v/>
      </c>
      <c r="BL8" s="609"/>
      <c r="BM8" s="609"/>
      <c r="BN8" s="609"/>
      <c r="BO8" s="609"/>
      <c r="BP8" s="609" t="str">
        <f>IFERROR(INDEX('UNICEF-BMZ'!$O$1:$O$199,MATCH('Matrix Allocations'!A8,'UNICEF-BMZ'!$B$1:$B$199,0)),"")</f>
        <v/>
      </c>
      <c r="BQ8" s="609" t="str">
        <f>IFERROR(VLOOKUP(A8,'BMGF_clean data'!$A$4:$C$30,3,FALSE),"")</f>
        <v/>
      </c>
      <c r="BR8" s="88"/>
      <c r="BS8" s="88"/>
      <c r="BT8" s="88"/>
      <c r="BU8" s="88"/>
      <c r="BV8" s="88"/>
      <c r="BW8" s="87">
        <f>INDEX(USAID!$D$3:$D$151,MATCH('Matrix Allocations'!A8,USAID!$A$3:$A$151,0))</f>
        <v>0</v>
      </c>
      <c r="BX8" s="87" t="str">
        <f>IFERROR(INDEX(DFAT!$L$4:$L$21,MATCH('Matrix Allocations'!A8,DFAT!$B$4:$B$21,0)),"")</f>
        <v/>
      </c>
      <c r="BY8" s="87" t="str">
        <f>IFERROR(INDEX(Table14[Funds Channelled through UNICEF],MATCH('Matrix Allocations'!A8,Table14[ISO Code],0)),"")</f>
        <v/>
      </c>
      <c r="BZ8" s="87">
        <f t="shared" si="6"/>
        <v>0</v>
      </c>
      <c r="CA8">
        <f t="shared" si="7"/>
        <v>97928</v>
      </c>
      <c r="CB8" s="782">
        <f t="shared" si="10"/>
        <v>29378.399999999998</v>
      </c>
      <c r="CC8" s="791">
        <f t="shared" si="11"/>
        <v>0</v>
      </c>
      <c r="CD8" s="788">
        <f t="shared" si="12"/>
        <v>0</v>
      </c>
      <c r="CE8" s="788">
        <f t="shared" si="13"/>
        <v>0</v>
      </c>
      <c r="CF8" s="828">
        <f t="shared" si="14"/>
        <v>0</v>
      </c>
      <c r="CG8" s="828">
        <f t="shared" si="15"/>
        <v>0</v>
      </c>
      <c r="CH8" s="88">
        <f t="shared" si="8"/>
        <v>0</v>
      </c>
      <c r="CI8" s="88">
        <f t="shared" si="16"/>
        <v>0</v>
      </c>
      <c r="CJ8" s="742">
        <f t="shared" si="9"/>
        <v>0</v>
      </c>
      <c r="CK8" s="848">
        <f t="shared" si="17"/>
        <v>0</v>
      </c>
      <c r="CL8" s="88">
        <f t="shared" si="18"/>
        <v>0</v>
      </c>
    </row>
    <row r="9" spans="1:90" ht="16" customHeight="1">
      <c r="A9" s="147" t="s">
        <v>551</v>
      </c>
      <c r="B9" s="147" t="s">
        <v>164</v>
      </c>
      <c r="C9" s="55" t="s">
        <v>130</v>
      </c>
      <c r="D9" s="55" t="s">
        <v>152</v>
      </c>
      <c r="E9" s="55" t="s">
        <v>146</v>
      </c>
      <c r="F9" s="56"/>
      <c r="G9" s="56" t="str">
        <f t="shared" si="0"/>
        <v>Yes</v>
      </c>
      <c r="H9" s="56" t="str">
        <f t="shared" si="0"/>
        <v>Yes</v>
      </c>
      <c r="I9" s="56" t="str">
        <f t="shared" si="1"/>
        <v>No</v>
      </c>
      <c r="J9" s="56" t="str">
        <f t="shared" si="2"/>
        <v>No</v>
      </c>
      <c r="K9" s="56" t="str">
        <f t="shared" si="3"/>
        <v>Yes</v>
      </c>
      <c r="L9" s="56" t="s">
        <v>541</v>
      </c>
      <c r="M9" s="55" t="s">
        <v>544</v>
      </c>
      <c r="N9" s="134" t="s">
        <v>544</v>
      </c>
      <c r="O9" s="55" t="s">
        <v>544</v>
      </c>
      <c r="P9" s="55"/>
      <c r="Q9" s="55"/>
      <c r="R9" s="55"/>
      <c r="S9" s="956">
        <v>30725305777.596794</v>
      </c>
      <c r="T9" s="55" t="s">
        <v>395</v>
      </c>
      <c r="U9" s="64" t="str">
        <f>IFERROR(IF(VLOOKUP(A9,'WB projects data'!$A$5:$C$83,3,0)="Approved",(VLOOKUP(A9,'WB projects data'!$A$5:$C$83,3,0)),""),"")</f>
        <v>Approved</v>
      </c>
      <c r="V9" s="123">
        <f t="shared" si="4"/>
        <v>500000000</v>
      </c>
      <c r="W9" s="123">
        <f>IFERROR((VLOOKUP($A9,'WB projects data'!$A$5:$J$83,6,0)*1000000),"")</f>
        <v>500000000</v>
      </c>
      <c r="X9" s="123">
        <f>IFERROR((VLOOKUP($A9,'WB projects data'!$A$5:$J$83,7,0)*1000000),"")</f>
        <v>0</v>
      </c>
      <c r="Y9" s="123">
        <f>IFERROR((VLOOKUP($A9,'WB projects data'!$A$5:$J$83,8,0)*1000000),"")</f>
        <v>498000000</v>
      </c>
      <c r="Z9" s="123">
        <f>IFERROR((VLOOKUP($A9,'WB projects data'!$A$5:$J$83,9,0)*1000000),"")</f>
        <v>1000000</v>
      </c>
      <c r="AA9" s="123">
        <f>IFERROR((VLOOKUP($A9,'WB projects data'!$A$5:$J$83,10,0)*1000000),"")</f>
        <v>1000000</v>
      </c>
      <c r="AB9" s="55"/>
      <c r="AC9" s="110"/>
      <c r="AD9" s="110" t="str">
        <f>IFERROR(VLOOKUP(A9,'ADB Projects'!$A$4:$W$21,5,FALSE),"")</f>
        <v/>
      </c>
      <c r="AE9" s="132" t="str">
        <f>IF(AC9="Approved",(VLOOKUP($A9,'ADB Projects'!$A$5:$D$21,4,0)*1000000),"")</f>
        <v/>
      </c>
      <c r="AF9" s="585" t="str">
        <f>IF(AC9="Approved",(PRODUCT(VLOOKUP($A9,'ADB Projects'!$A$4:$W$21,6,FALSE),1000000)),"")</f>
        <v/>
      </c>
      <c r="AG9" s="585" t="str">
        <f>IF(AC9="Approved",(PRODUCT(VLOOKUP($A9,'ADB Projects'!$A$4:$W$21,7,FALSE),1000000)),"")</f>
        <v/>
      </c>
      <c r="AH9" s="585" t="str">
        <f>IF(AC9="Approved",(PRODUCT(VLOOKUP($A9,'ADB Projects'!$A$4:$W$21,8,FALSE),1000000)),"")</f>
        <v/>
      </c>
      <c r="AI9" s="55"/>
      <c r="AJ9" s="55"/>
      <c r="AK9" s="244"/>
      <c r="AL9" s="55"/>
      <c r="AM9" s="55"/>
      <c r="AN9" s="55"/>
      <c r="AO9" s="55" t="s">
        <v>541</v>
      </c>
      <c r="AP9" s="55" t="s">
        <v>552</v>
      </c>
      <c r="AQ9" s="602">
        <f t="shared" si="5"/>
        <v>115869903</v>
      </c>
      <c r="AR9" s="602">
        <f>IFERROR(VLOOKUP($A9,'IDB C19 Vaccine Projects'!$O$4:$Q$12,2,FALSE),"")</f>
        <v>93117000</v>
      </c>
      <c r="AS9" s="602">
        <f>IFERROR(VLOOKUP($A9,'IDB C19 Vaccine Projects'!$O$4:$Q$12,3,FALSE),"")</f>
        <v>22752903</v>
      </c>
      <c r="AT9" s="55"/>
      <c r="AU9" s="88"/>
      <c r="AV9" s="635"/>
      <c r="AW9" s="55"/>
      <c r="AX9" s="88" t="str">
        <f>INDEX(USAID!$C$3:$C$151,MATCH('Matrix Allocations'!A9,USAID!$A$3:$A$151,0))</f>
        <v/>
      </c>
      <c r="AY9" s="110"/>
      <c r="AZ9" s="88">
        <f>IFERROR(INDEX('[4]Vx All regions allocations'!O$10:O$144,MATCH(A9,'[4]Vx All regions allocations'!A$10:A$144,0)),"")</f>
        <v>0</v>
      </c>
      <c r="BA9" s="88">
        <v>0</v>
      </c>
      <c r="BB9" s="88">
        <v>0</v>
      </c>
      <c r="BC9" s="88" t="str">
        <f>IFERROR(INDEX(DFAT!$K$4:$K$21,MATCH('Matrix Allocations'!A9,DFAT!$B$4:$B$21,0)),"")</f>
        <v/>
      </c>
      <c r="BD9" s="88"/>
      <c r="BE9" s="826" t="str">
        <f>IFERROR(IF(INDEX('GAVI CCE'!$E$3:$E$95,MATCH('Matrix Allocations'!A9,'GAVI CCE'!$A$3:$A$95,0))="Yes",INDEX('GAVI CCE'!$E$3:$E$95,MATCH('Matrix Allocations'!A9,'GAVI CCE'!$A$3:$A$95,0)),""),"")</f>
        <v/>
      </c>
      <c r="BF9" s="88" t="str">
        <f>IFERROR(IF(BE9="Yes",INDEX('GAVI CCE'!$F$3:$F$95,MATCH('Matrix Allocations'!A9,'GAVI CCE'!$A$3:$A$95,0)),""),"")</f>
        <v/>
      </c>
      <c r="BG9" s="609" t="str">
        <f>IFERROR(IF(E9='CDS early access ceilings'!$A$94,(VLOOKUP(A9,'CDS early access ceilings'!$A$2:$D$92,4,FALSE)),""),"")</f>
        <v/>
      </c>
      <c r="BH9" s="639" t="str">
        <f>IFERROR(INDEX(Table14[Status (clean)],MATCH('Matrix Allocations'!A9,Table14[ISO Code],0)),"")</f>
        <v/>
      </c>
      <c r="BI9" s="641" t="str">
        <f>IFERROR(INDEX(Table14[Amount disbursed (USD)],MATCH('Matrix Allocations'!A9,Table14[ISO Code],0)),"")</f>
        <v/>
      </c>
      <c r="BJ9" s="641" t="str">
        <f>IFERROR(INDEX('CDS NBW'!$I$2:$I$39,MATCH(A9,'CDS NBW'!$A$2:$A$39,0)),"")</f>
        <v/>
      </c>
      <c r="BK9" s="641" t="str">
        <f>IFERROR(INDEX('CDS NBW'!$J$2:$J$39,MATCH(A9,'CDS NBW'!$A$2:$A$39,0)),"")</f>
        <v/>
      </c>
      <c r="BL9" s="609"/>
      <c r="BM9" s="609"/>
      <c r="BN9" s="609"/>
      <c r="BO9" s="609">
        <v>68056</v>
      </c>
      <c r="BP9" s="609">
        <f>IFERROR(INDEX('UNICEF-BMZ'!$O$1:$O$199,MATCH('Matrix Allocations'!A9,'UNICEF-BMZ'!$B$1:$B$199,0)),"")</f>
        <v>0</v>
      </c>
      <c r="BQ9" s="609" t="str">
        <f>IFERROR(VLOOKUP(A9,'BMGF_clean data'!$A$4:$C$30,3,FALSE),"")</f>
        <v/>
      </c>
      <c r="BR9" s="88"/>
      <c r="BS9" s="88"/>
      <c r="BT9" s="88"/>
      <c r="BU9" s="88"/>
      <c r="BV9" s="88"/>
      <c r="BW9" s="87">
        <f>INDEX(USAID!$D$3:$D$151,MATCH('Matrix Allocations'!A9,USAID!$A$3:$A$151,0))</f>
        <v>0</v>
      </c>
      <c r="BX9" s="87" t="str">
        <f>IFERROR(INDEX(DFAT!$L$4:$L$21,MATCH('Matrix Allocations'!A9,DFAT!$B$4:$B$21,0)),"")</f>
        <v/>
      </c>
      <c r="BY9" s="87" t="str">
        <f>IFERROR(INDEX(Table14[Funds Channelled through UNICEF],MATCH('Matrix Allocations'!A9,Table14[ISO Code],0)),"")</f>
        <v/>
      </c>
      <c r="BZ9" s="87">
        <f t="shared" si="6"/>
        <v>0</v>
      </c>
      <c r="CA9">
        <f t="shared" si="7"/>
        <v>45605823</v>
      </c>
      <c r="CB9" s="782">
        <f t="shared" si="10"/>
        <v>13681746.9</v>
      </c>
      <c r="CC9" s="791">
        <f t="shared" si="11"/>
        <v>23820959</v>
      </c>
      <c r="CD9" s="788">
        <f t="shared" si="12"/>
        <v>1.7410758417114118</v>
      </c>
      <c r="CE9" s="788">
        <f t="shared" si="13"/>
        <v>1.305806881283559</v>
      </c>
      <c r="CF9" s="828">
        <f t="shared" si="14"/>
        <v>0.74617536073346225</v>
      </c>
      <c r="CG9" s="828">
        <f t="shared" si="15"/>
        <v>0.52232275251342353</v>
      </c>
      <c r="CH9" s="88">
        <f t="shared" si="8"/>
        <v>23752903</v>
      </c>
      <c r="CI9" s="88">
        <f t="shared" si="16"/>
        <v>0</v>
      </c>
      <c r="CJ9" s="742">
        <f t="shared" si="9"/>
        <v>68056</v>
      </c>
      <c r="CK9" s="848">
        <f t="shared" si="17"/>
        <v>68056</v>
      </c>
      <c r="CL9" s="88">
        <f t="shared" si="18"/>
        <v>0</v>
      </c>
    </row>
    <row r="10" spans="1:90" ht="16" customHeight="1">
      <c r="A10" s="147" t="s">
        <v>553</v>
      </c>
      <c r="B10" s="147" t="s">
        <v>165</v>
      </c>
      <c r="C10" s="55" t="s">
        <v>127</v>
      </c>
      <c r="D10" s="55" t="s">
        <v>152</v>
      </c>
      <c r="E10" s="55" t="s">
        <v>146</v>
      </c>
      <c r="F10" s="56"/>
      <c r="G10" s="56" t="str">
        <f t="shared" si="0"/>
        <v>Yes</v>
      </c>
      <c r="H10" s="56" t="str">
        <f t="shared" si="0"/>
        <v>Yes</v>
      </c>
      <c r="I10" s="56" t="str">
        <f t="shared" si="1"/>
        <v>No</v>
      </c>
      <c r="J10" s="56" t="str">
        <f t="shared" si="2"/>
        <v>No</v>
      </c>
      <c r="K10" s="56" t="str">
        <f t="shared" si="3"/>
        <v>Yes</v>
      </c>
      <c r="L10" s="56" t="s">
        <v>541</v>
      </c>
      <c r="M10" s="55" t="s">
        <v>544</v>
      </c>
      <c r="N10" s="134" t="s">
        <v>544</v>
      </c>
      <c r="O10" s="55" t="s">
        <v>544</v>
      </c>
      <c r="P10" s="55"/>
      <c r="Q10" s="55"/>
      <c r="R10" s="55"/>
      <c r="S10" s="956">
        <v>153815827.8380394</v>
      </c>
      <c r="T10" s="55" t="s">
        <v>395</v>
      </c>
      <c r="U10" s="64" t="str">
        <f>IFERROR(IF(VLOOKUP(A10,'WB projects data'!$A$5:$C$83,3,0)="Approved",(VLOOKUP(A10,'WB projects data'!$A$5:$C$83,3,0)),""),"")</f>
        <v/>
      </c>
      <c r="V10" s="123" t="str">
        <f t="shared" si="4"/>
        <v/>
      </c>
      <c r="W10" s="123" t="str">
        <f>IFERROR((VLOOKUP($A10,'WB projects data'!$A$5:$J$83,6,0)*1000000),"")</f>
        <v/>
      </c>
      <c r="X10" s="123" t="str">
        <f>IFERROR((VLOOKUP($A10,'WB projects data'!$A$5:$J$83,7,0)*1000000),"")</f>
        <v/>
      </c>
      <c r="Y10" s="123" t="str">
        <f>IFERROR((VLOOKUP($A10,'WB projects data'!$A$5:$J$83,8,0)*1000000),"")</f>
        <v/>
      </c>
      <c r="Z10" s="123" t="str">
        <f>IFERROR((VLOOKUP($A10,'WB projects data'!$A$5:$J$83,9,0)*1000000),"")</f>
        <v/>
      </c>
      <c r="AA10" s="123" t="str">
        <f>IFERROR((VLOOKUP($A10,'WB projects data'!$A$5:$J$83,10,0)*1000000),"")</f>
        <v/>
      </c>
      <c r="AB10" s="55"/>
      <c r="AC10" s="110"/>
      <c r="AD10" s="110" t="str">
        <f>IFERROR(VLOOKUP(A10,'ADB Projects'!$A$4:$W$21,5,FALSE),"")</f>
        <v/>
      </c>
      <c r="AE10" s="132" t="str">
        <f>IF(AC10="Approved",(VLOOKUP($A10,'ADB Projects'!$A$5:$D$21,4,0)*1000000),"")</f>
        <v/>
      </c>
      <c r="AF10" s="585" t="str">
        <f>IF(AC10="Approved",(PRODUCT(VLOOKUP($A10,'ADB Projects'!$A$4:$W$21,6,FALSE),1000000)),"")</f>
        <v/>
      </c>
      <c r="AG10" s="585" t="str">
        <f>IF(AC10="Approved",(PRODUCT(VLOOKUP($A10,'ADB Projects'!$A$4:$W$21,7,FALSE),1000000)),"")</f>
        <v/>
      </c>
      <c r="AH10" s="585" t="str">
        <f>IF(AC10="Approved",(PRODUCT(VLOOKUP($A10,'ADB Projects'!$A$4:$W$21,8,FALSE),1000000)),"")</f>
        <v/>
      </c>
      <c r="AI10" s="55"/>
      <c r="AJ10" s="55"/>
      <c r="AK10" s="244"/>
      <c r="AL10" s="55"/>
      <c r="AM10" s="55"/>
      <c r="AN10" s="55"/>
      <c r="AO10" s="55"/>
      <c r="AP10" s="55"/>
      <c r="AQ10" s="602" t="str">
        <f t="shared" si="5"/>
        <v/>
      </c>
      <c r="AR10" s="602" t="str">
        <f>IFERROR(VLOOKUP($A10,'IDB C19 Vaccine Projects'!$O$4:$Q$12,2,FALSE),"")</f>
        <v/>
      </c>
      <c r="AS10" s="602" t="str">
        <f>IFERROR(VLOOKUP($A10,'IDB C19 Vaccine Projects'!$O$4:$Q$12,3,FALSE),"")</f>
        <v/>
      </c>
      <c r="AT10" s="55"/>
      <c r="AU10" s="88"/>
      <c r="AV10" s="635"/>
      <c r="AW10" s="55"/>
      <c r="AX10" s="88">
        <f>INDEX(USAID!$C$3:$C$151,MATCH('Matrix Allocations'!A10,USAID!$A$3:$A$151,0))</f>
        <v>2700000</v>
      </c>
      <c r="AY10" s="110"/>
      <c r="AZ10" s="88">
        <f>IFERROR(INDEX('[4]Vx All regions allocations'!O$10:O$144,MATCH(A10,'[4]Vx All regions allocations'!A$10:A$144,0)),"")</f>
        <v>100000</v>
      </c>
      <c r="BA10" s="88">
        <v>0</v>
      </c>
      <c r="BB10" s="88">
        <v>0</v>
      </c>
      <c r="BC10" s="88" t="str">
        <f>IFERROR(INDEX(DFAT!$K$4:$K$21,MATCH('Matrix Allocations'!A10,DFAT!$B$4:$B$21,0)),"")</f>
        <v/>
      </c>
      <c r="BD10" s="88"/>
      <c r="BE10" s="826" t="str">
        <f>IFERROR(IF(INDEX('GAVI CCE'!$E$3:$E$95,MATCH('Matrix Allocations'!A10,'GAVI CCE'!$A$3:$A$95,0))="Yes",INDEX('GAVI CCE'!$E$3:$E$95,MATCH('Matrix Allocations'!A10,'GAVI CCE'!$A$3:$A$95,0)),""),"")</f>
        <v/>
      </c>
      <c r="BF10" s="88" t="str">
        <f>IFERROR(IF(BE10="Yes",INDEX('GAVI CCE'!$F$3:$F$95,MATCH('Matrix Allocations'!A10,'GAVI CCE'!$A$3:$A$95,0)),""),"")</f>
        <v/>
      </c>
      <c r="BG10" s="609" t="str">
        <f>IFERROR(IF(E10='CDS early access ceilings'!$A$94,(VLOOKUP(A10,'CDS early access ceilings'!$A$2:$D$92,4,FALSE)),""),"")</f>
        <v/>
      </c>
      <c r="BH10" s="639" t="str">
        <f>IFERROR(INDEX(Table14[Status (clean)],MATCH('Matrix Allocations'!A10,Table14[ISO Code],0)),"")</f>
        <v/>
      </c>
      <c r="BI10" s="641" t="str">
        <f>IFERROR(INDEX(Table14[Amount disbursed (USD)],MATCH('Matrix Allocations'!A10,Table14[ISO Code],0)),"")</f>
        <v/>
      </c>
      <c r="BJ10" s="641" t="str">
        <f>IFERROR(INDEX('CDS NBW'!$I$2:$I$39,MATCH(A10,'CDS NBW'!$A$2:$A$39,0)),"")</f>
        <v/>
      </c>
      <c r="BK10" s="641" t="str">
        <f>IFERROR(INDEX('CDS NBW'!$J$2:$J$39,MATCH(A10,'CDS NBW'!$A$2:$A$39,0)),"")</f>
        <v/>
      </c>
      <c r="BL10" s="609"/>
      <c r="BM10" s="609"/>
      <c r="BN10" s="609"/>
      <c r="BO10" s="609"/>
      <c r="BP10" s="609">
        <f>IFERROR(INDEX('UNICEF-BMZ'!$O$1:$O$199,MATCH('Matrix Allocations'!A10,'UNICEF-BMZ'!$B$1:$B$199,0)),"")</f>
        <v>0</v>
      </c>
      <c r="BQ10" s="609" t="str">
        <f>IFERROR(VLOOKUP(A10,'BMGF_clean data'!$A$4:$C$30,3,FALSE),"")</f>
        <v/>
      </c>
      <c r="BR10" s="88"/>
      <c r="BS10" s="88"/>
      <c r="BT10" s="88"/>
      <c r="BU10" s="88"/>
      <c r="BV10" s="88"/>
      <c r="BW10" s="87">
        <f>INDEX(USAID!$D$3:$D$151,MATCH('Matrix Allocations'!A10,USAID!$A$3:$A$151,0))</f>
        <v>1700000</v>
      </c>
      <c r="BX10" s="87" t="str">
        <f>IFERROR(INDEX(DFAT!$L$4:$L$21,MATCH('Matrix Allocations'!A10,DFAT!$B$4:$B$21,0)),"")</f>
        <v/>
      </c>
      <c r="BY10" s="87" t="str">
        <f>IFERROR(INDEX(Table14[Funds Channelled through UNICEF],MATCH('Matrix Allocations'!A10,Table14[ISO Code],0)),"")</f>
        <v/>
      </c>
      <c r="BZ10" s="87">
        <f t="shared" si="6"/>
        <v>0</v>
      </c>
      <c r="CA10">
        <f t="shared" si="7"/>
        <v>2968128</v>
      </c>
      <c r="CB10" s="782">
        <f t="shared" si="10"/>
        <v>890438.4</v>
      </c>
      <c r="CC10" s="791">
        <f t="shared" si="11"/>
        <v>2800000</v>
      </c>
      <c r="CD10" s="788">
        <f t="shared" si="12"/>
        <v>3.1445184753936934</v>
      </c>
      <c r="CE10" s="788">
        <f t="shared" si="13"/>
        <v>2.3583888565452704</v>
      </c>
      <c r="CF10" s="828">
        <f t="shared" si="14"/>
        <v>1.3476507751687259</v>
      </c>
      <c r="CG10" s="828">
        <f t="shared" si="15"/>
        <v>0.94335554261810817</v>
      </c>
      <c r="CH10" s="88">
        <f t="shared" si="8"/>
        <v>0</v>
      </c>
      <c r="CI10" s="88">
        <f t="shared" si="16"/>
        <v>2700000</v>
      </c>
      <c r="CJ10" s="742">
        <f t="shared" si="9"/>
        <v>0</v>
      </c>
      <c r="CK10" s="848">
        <f t="shared" si="17"/>
        <v>1800000</v>
      </c>
      <c r="CL10" s="88">
        <f t="shared" si="18"/>
        <v>0</v>
      </c>
    </row>
    <row r="11" spans="1:90" ht="16" customHeight="1">
      <c r="A11" s="55" t="s">
        <v>554</v>
      </c>
      <c r="B11" s="55" t="s">
        <v>166</v>
      </c>
      <c r="C11" s="55" t="s">
        <v>127</v>
      </c>
      <c r="D11" s="55" t="s">
        <v>152</v>
      </c>
      <c r="E11" s="55" t="s">
        <v>146</v>
      </c>
      <c r="F11" s="56"/>
      <c r="G11" s="56" t="str">
        <f t="shared" si="0"/>
        <v>Yes</v>
      </c>
      <c r="H11" s="56" t="str">
        <f t="shared" si="0"/>
        <v>Yes</v>
      </c>
      <c r="I11" s="56" t="str">
        <f t="shared" si="1"/>
        <v>No</v>
      </c>
      <c r="J11" s="56" t="str">
        <f t="shared" si="2"/>
        <v>No</v>
      </c>
      <c r="K11" s="56" t="str">
        <f t="shared" si="3"/>
        <v>Yes</v>
      </c>
      <c r="L11" s="56" t="s">
        <v>541</v>
      </c>
      <c r="M11" s="55" t="s">
        <v>544</v>
      </c>
      <c r="N11" s="134" t="s">
        <v>544</v>
      </c>
      <c r="O11" s="55" t="s">
        <v>544</v>
      </c>
      <c r="P11" s="55" t="s">
        <v>546</v>
      </c>
      <c r="Q11" s="55"/>
      <c r="R11" s="55"/>
      <c r="S11" s="956">
        <v>437525105.31216973</v>
      </c>
      <c r="T11" s="55" t="s">
        <v>395</v>
      </c>
      <c r="U11" s="64" t="str">
        <f>IFERROR(IF(VLOOKUP(A11,'WB projects data'!$A$5:$C$83,3,0)="Approved",(VLOOKUP(A11,'WB projects data'!$A$5:$C$83,3,0)),""),"")</f>
        <v/>
      </c>
      <c r="V11" s="123">
        <f t="shared" si="4"/>
        <v>0</v>
      </c>
      <c r="W11" s="123">
        <f>IFERROR((VLOOKUP($A11,'WB projects data'!$A$5:$J$83,6,0)*1000000),"")</f>
        <v>0</v>
      </c>
      <c r="X11" s="123">
        <f>IFERROR((VLOOKUP($A11,'WB projects data'!$A$5:$J$83,7,0)*1000000),"")</f>
        <v>0</v>
      </c>
      <c r="Y11" s="123">
        <f>IFERROR((VLOOKUP($A11,'WB projects data'!$A$5:$J$83,8,0)*1000000),"")</f>
        <v>0</v>
      </c>
      <c r="Z11" s="123">
        <f>IFERROR((VLOOKUP($A11,'WB projects data'!$A$5:$J$83,9,0)*1000000),"")</f>
        <v>0</v>
      </c>
      <c r="AA11" s="123">
        <f>IFERROR((VLOOKUP($A11,'WB projects data'!$A$5:$J$83,10,0)*1000000),"")</f>
        <v>0</v>
      </c>
      <c r="AB11" s="55" t="s">
        <v>541</v>
      </c>
      <c r="AC11" s="110"/>
      <c r="AD11" s="110" t="str">
        <f>IFERROR(VLOOKUP(A11,'ADB Projects'!$A$4:$W$21,5,FALSE),"")</f>
        <v/>
      </c>
      <c r="AE11" s="132" t="str">
        <f>IF(AC11="Approved",(VLOOKUP($A11,'ADB Projects'!$A$5:$D$21,4,0)*1000000),"")</f>
        <v/>
      </c>
      <c r="AF11" s="585" t="str">
        <f>IF(AC11="Approved",(PRODUCT(VLOOKUP($A11,'ADB Projects'!$A$4:$W$21,6,FALSE),1000000)),"")</f>
        <v/>
      </c>
      <c r="AG11" s="585" t="str">
        <f>IF(AC11="Approved",(PRODUCT(VLOOKUP($A11,'ADB Projects'!$A$4:$W$21,7,FALSE),1000000)),"")</f>
        <v/>
      </c>
      <c r="AH11" s="585" t="str">
        <f>IF(AC11="Approved",(PRODUCT(VLOOKUP($A11,'ADB Projects'!$A$4:$W$21,8,FALSE),1000000)),"")</f>
        <v/>
      </c>
      <c r="AI11" s="55" t="s">
        <v>541</v>
      </c>
      <c r="AJ11" s="55"/>
      <c r="AK11" s="244"/>
      <c r="AL11" s="55"/>
      <c r="AM11" s="55"/>
      <c r="AN11" s="55"/>
      <c r="AO11" s="55"/>
      <c r="AP11" s="55"/>
      <c r="AQ11" s="602" t="str">
        <f t="shared" si="5"/>
        <v/>
      </c>
      <c r="AR11" s="602" t="str">
        <f>IFERROR(VLOOKUP($A11,'IDB C19 Vaccine Projects'!$O$4:$Q$12,2,FALSE),"")</f>
        <v/>
      </c>
      <c r="AS11" s="602" t="str">
        <f>IFERROR(VLOOKUP($A11,'IDB C19 Vaccine Projects'!$O$4:$Q$12,3,FALSE),"")</f>
        <v/>
      </c>
      <c r="AT11" s="55"/>
      <c r="AU11" s="88"/>
      <c r="AV11" s="635"/>
      <c r="AW11" s="55"/>
      <c r="AX11" s="88">
        <f>INDEX(USAID!$C$3:$C$151,MATCH('Matrix Allocations'!A11,USAID!$A$3:$A$151,0))</f>
        <v>1000000</v>
      </c>
      <c r="AY11" s="110"/>
      <c r="AZ11" s="88">
        <f>IFERROR(INDEX('[4]Vx All regions allocations'!O$10:O$144,MATCH(A11,'[4]Vx All regions allocations'!A$10:A$144,0)),"")</f>
        <v>100000</v>
      </c>
      <c r="BA11" s="88">
        <v>0</v>
      </c>
      <c r="BB11" s="88">
        <v>0</v>
      </c>
      <c r="BC11" s="88" t="str">
        <f>IFERROR(INDEX(DFAT!$K$4:$K$21,MATCH('Matrix Allocations'!A11,DFAT!$B$4:$B$21,0)),"")</f>
        <v/>
      </c>
      <c r="BD11" s="88"/>
      <c r="BE11" s="826" t="str">
        <f>IFERROR(IF(INDEX('GAVI CCE'!$E$3:$E$95,MATCH('Matrix Allocations'!A11,'GAVI CCE'!$A$3:$A$95,0))="Yes",INDEX('GAVI CCE'!$E$3:$E$95,MATCH('Matrix Allocations'!A11,'GAVI CCE'!$A$3:$A$95,0)),""),"")</f>
        <v/>
      </c>
      <c r="BF11" s="88" t="str">
        <f>IFERROR(IF(BE11="Yes",INDEX('GAVI CCE'!$F$3:$F$95,MATCH('Matrix Allocations'!A11,'GAVI CCE'!$A$3:$A$95,0)),""),"")</f>
        <v/>
      </c>
      <c r="BG11" s="609" t="str">
        <f>IFERROR(IF(E11='CDS early access ceilings'!$A$94,(VLOOKUP(A11,'CDS early access ceilings'!$A$2:$D$92,4,FALSE)),""),"")</f>
        <v/>
      </c>
      <c r="BH11" s="639" t="str">
        <f>IFERROR(INDEX(Table14[Status (clean)],MATCH('Matrix Allocations'!A11,Table14[ISO Code],0)),"")</f>
        <v/>
      </c>
      <c r="BI11" s="641" t="str">
        <f>IFERROR(INDEX(Table14[Amount disbursed (USD)],MATCH('Matrix Allocations'!A11,Table14[ISO Code],0)),"")</f>
        <v/>
      </c>
      <c r="BJ11" s="641" t="str">
        <f>IFERROR(INDEX('CDS NBW'!$I$2:$I$39,MATCH(A11,'CDS NBW'!$A$2:$A$39,0)),"")</f>
        <v/>
      </c>
      <c r="BK11" s="641" t="str">
        <f>IFERROR(INDEX('CDS NBW'!$J$2:$J$39,MATCH(A11,'CDS NBW'!$A$2:$A$39,0)),"")</f>
        <v/>
      </c>
      <c r="BL11" s="609"/>
      <c r="BM11" s="609"/>
      <c r="BN11" s="609"/>
      <c r="BO11" s="609"/>
      <c r="BP11" s="609">
        <f>IFERROR(INDEX('UNICEF-BMZ'!$O$1:$O$199,MATCH('Matrix Allocations'!A11,'UNICEF-BMZ'!$B$1:$B$199,0)),"")</f>
        <v>0</v>
      </c>
      <c r="BQ11" s="609" t="str">
        <f>IFERROR(VLOOKUP(A11,'BMGF_clean data'!$A$4:$C$30,3,FALSE),"")</f>
        <v/>
      </c>
      <c r="BR11" s="88"/>
      <c r="BS11" s="88"/>
      <c r="BT11" s="88"/>
      <c r="BU11" s="88"/>
      <c r="BV11" s="88"/>
      <c r="BW11" s="87">
        <f>INDEX(USAID!$D$3:$D$151,MATCH('Matrix Allocations'!A11,USAID!$A$3:$A$151,0))</f>
        <v>0</v>
      </c>
      <c r="BX11" s="87" t="str">
        <f>IFERROR(INDEX(DFAT!$L$4:$L$21,MATCH('Matrix Allocations'!A11,DFAT!$B$4:$B$21,0)),"")</f>
        <v/>
      </c>
      <c r="BY11" s="87" t="str">
        <f>IFERROR(INDEX(Table14[Funds Channelled through UNICEF],MATCH('Matrix Allocations'!A11,Table14[ISO Code],0)),"")</f>
        <v/>
      </c>
      <c r="BZ11" s="87">
        <f t="shared" si="6"/>
        <v>0</v>
      </c>
      <c r="CA11">
        <f t="shared" si="7"/>
        <v>10223344</v>
      </c>
      <c r="CB11" s="782">
        <f t="shared" si="10"/>
        <v>3067003.1999999997</v>
      </c>
      <c r="CC11" s="791">
        <f t="shared" si="11"/>
        <v>1100000</v>
      </c>
      <c r="CD11" s="788">
        <f t="shared" si="12"/>
        <v>0.35865629354413459</v>
      </c>
      <c r="CE11" s="788">
        <f t="shared" si="13"/>
        <v>0.26899222015810093</v>
      </c>
      <c r="CF11" s="828">
        <f t="shared" si="14"/>
        <v>0.15370984009034339</v>
      </c>
      <c r="CG11" s="828">
        <f t="shared" si="15"/>
        <v>0.10759688806324036</v>
      </c>
      <c r="CH11" s="88">
        <f t="shared" si="8"/>
        <v>0</v>
      </c>
      <c r="CI11" s="88">
        <f t="shared" si="16"/>
        <v>1000000</v>
      </c>
      <c r="CJ11" s="742">
        <f t="shared" si="9"/>
        <v>0</v>
      </c>
      <c r="CK11" s="848">
        <f t="shared" si="17"/>
        <v>100000</v>
      </c>
      <c r="CL11" s="88">
        <f t="shared" si="18"/>
        <v>0</v>
      </c>
    </row>
    <row r="12" spans="1:90" ht="16" customHeight="1">
      <c r="A12" s="55" t="s">
        <v>555</v>
      </c>
      <c r="B12" s="55" t="s">
        <v>556</v>
      </c>
      <c r="C12" s="55" t="s">
        <v>130</v>
      </c>
      <c r="D12" s="55" t="s">
        <v>550</v>
      </c>
      <c r="E12" s="55" t="s">
        <v>146</v>
      </c>
      <c r="F12" s="56"/>
      <c r="G12" s="56"/>
      <c r="H12" s="56"/>
      <c r="I12" s="56"/>
      <c r="J12" s="56"/>
      <c r="K12" s="56"/>
      <c r="L12" s="56"/>
      <c r="M12" s="55"/>
      <c r="N12" s="134"/>
      <c r="O12" s="55"/>
      <c r="P12" s="55"/>
      <c r="Q12" s="55"/>
      <c r="R12" s="55"/>
      <c r="S12" s="956">
        <v>149463302.00602186</v>
      </c>
      <c r="T12" s="55"/>
      <c r="U12" s="64"/>
      <c r="V12" s="123"/>
      <c r="W12" s="123"/>
      <c r="X12" s="123"/>
      <c r="Y12" s="123"/>
      <c r="Z12" s="123"/>
      <c r="AA12" s="123"/>
      <c r="AB12" s="55"/>
      <c r="AC12" s="110"/>
      <c r="AD12" s="110"/>
      <c r="AE12" s="132"/>
      <c r="AF12" s="585"/>
      <c r="AG12" s="585"/>
      <c r="AH12" s="585"/>
      <c r="AI12" s="55"/>
      <c r="AJ12" s="55"/>
      <c r="AK12" s="244"/>
      <c r="AL12" s="55"/>
      <c r="AM12" s="55"/>
      <c r="AN12" s="55"/>
      <c r="AO12" s="55"/>
      <c r="AP12" s="55"/>
      <c r="AQ12" s="602"/>
      <c r="AR12" s="602"/>
      <c r="AS12" s="602"/>
      <c r="AT12" s="55"/>
      <c r="AU12" s="88"/>
      <c r="AV12" s="635"/>
      <c r="AW12" s="55"/>
      <c r="AX12" s="88"/>
      <c r="AY12" s="110"/>
      <c r="AZ12" s="88" t="str">
        <f>IFERROR(INDEX('[4]Vx All regions allocations'!O$10:O$144,MATCH(A12,'[4]Vx All regions allocations'!A$10:A$144,0)),"")</f>
        <v/>
      </c>
      <c r="BA12" s="88"/>
      <c r="BB12" s="88"/>
      <c r="BC12" s="88"/>
      <c r="BD12" s="88"/>
      <c r="BE12" s="826"/>
      <c r="BF12" s="88"/>
      <c r="BG12" s="609" t="str">
        <f>IFERROR(IF(E12='CDS early access ceilings'!$A$94,(VLOOKUP(A12,'CDS early access ceilings'!$A$2:$D$92,4,FALSE)),""),"")</f>
        <v/>
      </c>
      <c r="BH12" s="639"/>
      <c r="BI12" s="641"/>
      <c r="BJ12" s="641" t="str">
        <f>IFERROR(INDEX('CDS NBW'!$I$2:$I$39,MATCH(A12,'CDS NBW'!$A$2:$A$39,0)),"")</f>
        <v/>
      </c>
      <c r="BK12" s="641" t="str">
        <f>IFERROR(INDEX('CDS NBW'!$J$2:$J$39,MATCH(A12,'CDS NBW'!$A$2:$A$39,0)),"")</f>
        <v/>
      </c>
      <c r="BL12" s="609"/>
      <c r="BM12" s="609"/>
      <c r="BN12" s="609"/>
      <c r="BO12" s="609"/>
      <c r="BP12" s="609">
        <f>IFERROR(INDEX('UNICEF-BMZ'!$O$1:$O$199,MATCH('Matrix Allocations'!A12,'UNICEF-BMZ'!$B$1:$B$199,0)),"")</f>
        <v>0</v>
      </c>
      <c r="BQ12" s="609"/>
      <c r="BR12" s="88"/>
      <c r="BS12" s="88"/>
      <c r="BT12" s="88"/>
      <c r="BU12" s="88"/>
      <c r="BV12" s="88"/>
      <c r="BW12" s="87">
        <f>INDEX(USAID!$D$3:$D$151,MATCH('Matrix Allocations'!A12,USAID!$A$3:$A$151,0))</f>
        <v>894200</v>
      </c>
      <c r="BY12" s="87" t="str">
        <f>IFERROR(INDEX(Table14[Funds Channelled through UNICEF],MATCH('Matrix Allocations'!A12,Table14[ISO Code],0)),"")</f>
        <v/>
      </c>
      <c r="BZ12" s="87">
        <f t="shared" si="6"/>
        <v>0</v>
      </c>
      <c r="CB12" s="782"/>
      <c r="CC12" s="791">
        <f t="shared" si="11"/>
        <v>0</v>
      </c>
      <c r="CD12" s="788"/>
      <c r="CE12" s="788"/>
      <c r="CF12" s="828"/>
      <c r="CG12" s="828"/>
      <c r="CH12" s="88"/>
      <c r="CI12" s="88">
        <f t="shared" si="16"/>
        <v>0</v>
      </c>
      <c r="CJ12" s="742"/>
      <c r="CK12" s="848">
        <f t="shared" si="17"/>
        <v>894200</v>
      </c>
      <c r="CL12" s="88">
        <f t="shared" si="18"/>
        <v>0</v>
      </c>
    </row>
    <row r="13" spans="1:90" ht="16" customHeight="1">
      <c r="A13" s="55" t="s">
        <v>557</v>
      </c>
      <c r="B13" s="55" t="s">
        <v>167</v>
      </c>
      <c r="C13" s="55" t="s">
        <v>132</v>
      </c>
      <c r="D13" s="55" t="s">
        <v>150</v>
      </c>
      <c r="E13" s="55" t="s">
        <v>145</v>
      </c>
      <c r="F13" s="56"/>
      <c r="G13" s="56" t="str">
        <f t="shared" si="0"/>
        <v>No</v>
      </c>
      <c r="H13" s="56" t="str">
        <f t="shared" si="0"/>
        <v>No</v>
      </c>
      <c r="I13" s="56" t="str">
        <f t="shared" si="1"/>
        <v>No</v>
      </c>
      <c r="J13" s="56" t="str">
        <f t="shared" si="2"/>
        <v>Yes</v>
      </c>
      <c r="K13" s="56" t="str">
        <f t="shared" si="3"/>
        <v>No</v>
      </c>
      <c r="L13" s="56" t="s">
        <v>541</v>
      </c>
      <c r="M13" s="55" t="s">
        <v>541</v>
      </c>
      <c r="N13" s="134" t="s">
        <v>541</v>
      </c>
      <c r="O13" s="55" t="s">
        <v>544</v>
      </c>
      <c r="P13" s="55" t="s">
        <v>558</v>
      </c>
      <c r="Q13" s="55"/>
      <c r="R13" s="55"/>
      <c r="S13" s="956">
        <v>1148322593.9600098</v>
      </c>
      <c r="T13" s="55" t="s">
        <v>394</v>
      </c>
      <c r="U13" s="64" t="str">
        <f>IFERROR(IF(VLOOKUP(A13,'WB projects data'!$A$5:$C$83,3,0)="Approved",(VLOOKUP(A13,'WB projects data'!$A$5:$C$83,3,0)),""),"")</f>
        <v>Approved</v>
      </c>
      <c r="V13" s="123">
        <f t="shared" si="4"/>
        <v>500000000</v>
      </c>
      <c r="W13" s="123">
        <f>IFERROR((VLOOKUP($A13,'WB projects data'!$A$5:$J$83,6,0)*1000000),"")</f>
        <v>500000000</v>
      </c>
      <c r="X13" s="123">
        <f>IFERROR((VLOOKUP($A13,'WB projects data'!$A$5:$J$83,7,0)*1000000),"")</f>
        <v>0</v>
      </c>
      <c r="Y13" s="123">
        <f>IFERROR((VLOOKUP($A13,'WB projects data'!$A$5:$J$83,8,0)*1000000),"")</f>
        <v>412300000</v>
      </c>
      <c r="Z13" s="123">
        <f>IFERROR((VLOOKUP($A13,'WB projects data'!$A$5:$J$83,9,0)*1000000),"")</f>
        <v>87700000</v>
      </c>
      <c r="AA13" s="123">
        <f>IFERROR((VLOOKUP($A13,'WB projects data'!$A$5:$J$83,10,0)*1000000),"")</f>
        <v>0</v>
      </c>
      <c r="AB13" s="55" t="s">
        <v>541</v>
      </c>
      <c r="AC13" s="110" t="str">
        <f>VLOOKUP($A13,'ADB Projects'!$A$5:$D$21,3,0)</f>
        <v>Approved</v>
      </c>
      <c r="AD13" s="110" t="str">
        <f>IFERROR(VLOOKUP(A13,'ADB Projects'!$A$4:$W$21,5,FALSE),"")</f>
        <v>Loan</v>
      </c>
      <c r="AE13" s="132">
        <f>IF(AC13="Approved",(VLOOKUP($A13,'ADB Projects'!$A$5:$D$21,4,0)*1000000),"")</f>
        <v>940000000</v>
      </c>
      <c r="AF13" s="585">
        <f>IF(AC13="Approved",(PRODUCT(VLOOKUP($A13,'ADB Projects'!$A$4:$W$21,6,FALSE),1000000)),"")</f>
        <v>893080000</v>
      </c>
      <c r="AG13" s="585">
        <f>IF(AC13="Approved",(PRODUCT(VLOOKUP($A13,'ADB Projects'!$A$4:$W$21,7,FALSE),1000000)),"")</f>
        <v>0</v>
      </c>
      <c r="AH13" s="585">
        <f>IF(AC13="Approved",(PRODUCT(VLOOKUP($A13,'ADB Projects'!$A$4:$W$21,8,FALSE),1000000)),"")</f>
        <v>46919999.999999963</v>
      </c>
      <c r="AI13" s="55" t="s">
        <v>541</v>
      </c>
      <c r="AJ13" s="55" t="str">
        <f>IF(VLOOKUP($B13,'IsDB Projects'!$B$5:$C$14,2,0)&gt;0,"Requested","")</f>
        <v>Requested</v>
      </c>
      <c r="AK13" s="244">
        <f>VLOOKUP($B13,'IsDB Projects'!$B$5:$D$14,3,0)</f>
        <v>33299999.999999996</v>
      </c>
      <c r="AL13" s="55"/>
      <c r="AM13" s="55"/>
      <c r="AN13" s="55"/>
      <c r="AO13" s="55"/>
      <c r="AP13" s="55"/>
      <c r="AQ13" s="602" t="str">
        <f t="shared" si="5"/>
        <v/>
      </c>
      <c r="AR13" s="602" t="str">
        <f>IFERROR(VLOOKUP($A13,'IDB C19 Vaccine Projects'!$O$4:$Q$12,2,FALSE),"")</f>
        <v/>
      </c>
      <c r="AS13" s="602" t="str">
        <f>IFERROR(VLOOKUP($A13,'IDB C19 Vaccine Projects'!$O$4:$Q$12,3,FALSE),"")</f>
        <v/>
      </c>
      <c r="AT13" s="55"/>
      <c r="AU13" s="88"/>
      <c r="AV13" s="635"/>
      <c r="AW13" s="55"/>
      <c r="AX13" s="88">
        <f>INDEX(USAID!$C$3:$C$151,MATCH('Matrix Allocations'!A13,USAID!$A$3:$A$151,0))</f>
        <v>3992811</v>
      </c>
      <c r="AY13" s="110"/>
      <c r="AZ13" s="88">
        <f>IFERROR(INDEX('[4]Vx All regions allocations'!O$10:O$144,MATCH(A13,'[4]Vx All regions allocations'!A$10:A$144,0)),"")</f>
        <v>3000000</v>
      </c>
      <c r="BA13" s="88">
        <v>326500</v>
      </c>
      <c r="BB13" s="88">
        <v>389427</v>
      </c>
      <c r="BC13" s="88" t="str">
        <f>IFERROR(INDEX(DFAT!$K$4:$K$21,MATCH('Matrix Allocations'!A13,DFAT!$B$4:$B$21,0)),"")</f>
        <v/>
      </c>
      <c r="BD13" s="88"/>
      <c r="BE13" s="826" t="str">
        <f>IFERROR(IF(INDEX('GAVI CCE'!$E$3:$E$95,MATCH('Matrix Allocations'!A13,'GAVI CCE'!$A$3:$A$95,0))="Yes",INDEX('GAVI CCE'!$E$3:$E$95,MATCH('Matrix Allocations'!A13,'GAVI CCE'!$A$3:$A$95,0)),""),"")</f>
        <v>Yes</v>
      </c>
      <c r="BF13" s="88">
        <f>IFERROR(IF(BE13="Yes",INDEX('GAVI CCE'!$F$3:$F$95,MATCH('Matrix Allocations'!A13,'GAVI CCE'!$A$3:$A$95,0)),""),"")</f>
        <v>2482278</v>
      </c>
      <c r="BG13" s="609" t="str">
        <f>IFERROR(IF(E13='CDS early access ceilings'!$A$94,(VLOOKUP(A13,'CDS early access ceilings'!$A$2:$D$92,4,FALSE)),""),"")</f>
        <v>GAVI</v>
      </c>
      <c r="BH13" s="639" t="str">
        <f>IFERROR(INDEX(Table14[Status (clean)],MATCH('Matrix Allocations'!A13,Table14[ISO Code],0)),"")</f>
        <v>Disbursed</v>
      </c>
      <c r="BI13" s="641">
        <f>IFERROR(INDEX(Table14[Amount disbursed (USD)],MATCH('Matrix Allocations'!A13,Table14[ISO Code],0)),"")</f>
        <v>10151220</v>
      </c>
      <c r="BJ13" s="641" t="str">
        <f>IFERROR(INDEX('CDS NBW'!$I$2:$I$39,MATCH(A13,'CDS NBW'!$A$2:$A$39,0)),"")</f>
        <v/>
      </c>
      <c r="BK13" s="641" t="str">
        <f>IFERROR(INDEX('CDS NBW'!$J$2:$J$39,MATCH(A13,'CDS NBW'!$A$2:$A$39,0)),"")</f>
        <v/>
      </c>
      <c r="BL13" s="609"/>
      <c r="BM13" s="609"/>
      <c r="BN13" s="609"/>
      <c r="BO13" s="609">
        <v>391896</v>
      </c>
      <c r="BP13" s="609">
        <f>IFERROR(INDEX('UNICEF-BMZ'!$O$1:$O$199,MATCH('Matrix Allocations'!A13,'UNICEF-BMZ'!$B$1:$B$199,0)),"")</f>
        <v>625000</v>
      </c>
      <c r="BQ13" s="609">
        <f>IFERROR(VLOOKUP(A13,'BMGF_clean data'!$A$4:$C$30,3,FALSE),"")</f>
        <v>1074000</v>
      </c>
      <c r="BR13" s="88"/>
      <c r="BS13" s="88"/>
      <c r="BT13" s="88">
        <v>4594003.5999999996</v>
      </c>
      <c r="BU13" s="88"/>
      <c r="BV13" s="88"/>
      <c r="BW13" s="87">
        <f>INDEX(USAID!$D$3:$D$151,MATCH('Matrix Allocations'!A13,USAID!$A$3:$A$151,0))</f>
        <v>0</v>
      </c>
      <c r="BX13" s="87" t="str">
        <f>IFERROR(INDEX(DFAT!$L$4:$L$21,MATCH('Matrix Allocations'!A13,DFAT!$B$4:$B$21,0)),"")</f>
        <v/>
      </c>
      <c r="BY13" s="87">
        <f>IFERROR(INDEX(Table14[Funds Channelled through UNICEF],MATCH('Matrix Allocations'!A13,Table14[ISO Code],0)),"")</f>
        <v>4927567</v>
      </c>
      <c r="BZ13" s="87">
        <f t="shared" si="6"/>
        <v>4927567</v>
      </c>
      <c r="CA13">
        <f t="shared" ref="CA13:CA44" si="19">INDEX(tpop,MATCH(A13,popiso,0))</f>
        <v>166303494</v>
      </c>
      <c r="CB13" s="782">
        <f t="shared" si="10"/>
        <v>49891048.199999996</v>
      </c>
      <c r="CC13" s="791">
        <f t="shared" si="11"/>
        <v>114727135.59999999</v>
      </c>
      <c r="CD13" s="788">
        <f t="shared" si="12"/>
        <v>2.2995535219081646</v>
      </c>
      <c r="CE13" s="788">
        <f t="shared" si="13"/>
        <v>1.7246651414311234</v>
      </c>
      <c r="CF13" s="828">
        <f t="shared" si="14"/>
        <v>0.98552293796064194</v>
      </c>
      <c r="CG13" s="828">
        <f t="shared" si="15"/>
        <v>0.68986605657244937</v>
      </c>
      <c r="CH13" s="88">
        <f t="shared" ref="CH13:CH44" si="20">SUM(Z13,AG13,AS13)</f>
        <v>87700000</v>
      </c>
      <c r="CI13" s="88">
        <f t="shared" si="16"/>
        <v>8586814.5999999996</v>
      </c>
      <c r="CJ13" s="742">
        <f t="shared" ref="CJ13:CJ44" si="21">SUM(AV13,BQ13,BO13)</f>
        <v>1465896</v>
      </c>
      <c r="CK13" s="848">
        <f t="shared" si="17"/>
        <v>12913466.6</v>
      </c>
      <c r="CL13" s="88">
        <f t="shared" si="18"/>
        <v>13974425</v>
      </c>
    </row>
    <row r="14" spans="1:90" ht="16" customHeight="1">
      <c r="A14" s="147" t="s">
        <v>559</v>
      </c>
      <c r="B14" s="147" t="s">
        <v>168</v>
      </c>
      <c r="C14" s="55" t="s">
        <v>127</v>
      </c>
      <c r="D14" s="55" t="s">
        <v>152</v>
      </c>
      <c r="E14" s="55" t="s">
        <v>146</v>
      </c>
      <c r="F14" s="56"/>
      <c r="G14" s="56" t="str">
        <f t="shared" si="0"/>
        <v>Yes</v>
      </c>
      <c r="H14" s="56" t="str">
        <f t="shared" si="0"/>
        <v>Yes</v>
      </c>
      <c r="I14" s="56" t="str">
        <f t="shared" si="1"/>
        <v>No</v>
      </c>
      <c r="J14" s="56" t="str">
        <f t="shared" si="2"/>
        <v>No</v>
      </c>
      <c r="K14" s="56" t="str">
        <f t="shared" si="3"/>
        <v>Yes</v>
      </c>
      <c r="L14" s="56" t="s">
        <v>541</v>
      </c>
      <c r="M14" s="55" t="s">
        <v>544</v>
      </c>
      <c r="N14" s="134" t="s">
        <v>544</v>
      </c>
      <c r="O14" s="55" t="s">
        <v>544</v>
      </c>
      <c r="P14" s="55"/>
      <c r="Q14" s="55"/>
      <c r="R14" s="55"/>
      <c r="S14" s="956">
        <v>2371102058.1093163</v>
      </c>
      <c r="T14" s="55" t="s">
        <v>395</v>
      </c>
      <c r="U14" s="64" t="str">
        <f>IFERROR(IF(VLOOKUP(A14,'WB projects data'!$A$5:$C$83,3,0)="Approved",(VLOOKUP(A14,'WB projects data'!$A$5:$C$83,3,0)),""),"")</f>
        <v/>
      </c>
      <c r="V14" s="123" t="str">
        <f t="shared" si="4"/>
        <v/>
      </c>
      <c r="W14" s="123" t="str">
        <f>IFERROR((VLOOKUP($A14,'WB projects data'!$A$5:$J$83,6,0)*1000000),"")</f>
        <v/>
      </c>
      <c r="X14" s="123" t="str">
        <f>IFERROR((VLOOKUP($A14,'WB projects data'!$A$5:$J$83,7,0)*1000000),"")</f>
        <v/>
      </c>
      <c r="Y14" s="123" t="str">
        <f>IFERROR((VLOOKUP($A14,'WB projects data'!$A$5:$J$83,8,0)*1000000),"")</f>
        <v/>
      </c>
      <c r="Z14" s="123" t="str">
        <f>IFERROR((VLOOKUP($A14,'WB projects data'!$A$5:$J$83,9,0)*1000000),"")</f>
        <v/>
      </c>
      <c r="AA14" s="123" t="str">
        <f>IFERROR((VLOOKUP($A14,'WB projects data'!$A$5:$J$83,10,0)*1000000),"")</f>
        <v/>
      </c>
      <c r="AB14" s="55"/>
      <c r="AC14" s="110"/>
      <c r="AD14" s="110" t="str">
        <f>IFERROR(VLOOKUP(A14,'ADB Projects'!$A$4:$W$21,5,FALSE),"")</f>
        <v/>
      </c>
      <c r="AE14" s="132" t="str">
        <f>IF(AC14="Approved",(VLOOKUP($A14,'ADB Projects'!$A$5:$D$21,4,0)*1000000),"")</f>
        <v/>
      </c>
      <c r="AF14" s="585" t="str">
        <f>IF(AC14="Approved",(PRODUCT(VLOOKUP($A14,'ADB Projects'!$A$4:$W$21,6,FALSE),1000000)),"")</f>
        <v/>
      </c>
      <c r="AG14" s="585" t="str">
        <f>IF(AC14="Approved",(PRODUCT(VLOOKUP($A14,'ADB Projects'!$A$4:$W$21,7,FALSE),1000000)),"")</f>
        <v/>
      </c>
      <c r="AH14" s="585" t="str">
        <f>IF(AC14="Approved",(PRODUCT(VLOOKUP($A14,'ADB Projects'!$A$4:$W$21,8,FALSE),1000000)),"")</f>
        <v/>
      </c>
      <c r="AI14" s="55"/>
      <c r="AJ14" s="55"/>
      <c r="AK14" s="244"/>
      <c r="AL14" s="55"/>
      <c r="AM14" s="55"/>
      <c r="AN14" s="55"/>
      <c r="AO14" s="55"/>
      <c r="AP14" s="55"/>
      <c r="AQ14" s="602" t="str">
        <f t="shared" si="5"/>
        <v/>
      </c>
      <c r="AR14" s="602" t="str">
        <f>IFERROR(VLOOKUP($A14,'IDB C19 Vaccine Projects'!$O$4:$Q$12,2,FALSE),"")</f>
        <v/>
      </c>
      <c r="AS14" s="602" t="str">
        <f>IFERROR(VLOOKUP($A14,'IDB C19 Vaccine Projects'!$O$4:$Q$12,3,FALSE),"")</f>
        <v/>
      </c>
      <c r="AT14" s="55"/>
      <c r="AU14" s="88"/>
      <c r="AV14" s="635"/>
      <c r="AW14" s="55"/>
      <c r="AX14" s="88">
        <f>INDEX(USAID!$C$3:$C$151,MATCH('Matrix Allocations'!A14,USAID!$A$3:$A$151,0))</f>
        <v>500000</v>
      </c>
      <c r="AY14" s="110"/>
      <c r="AZ14" s="88" t="str">
        <f>IFERROR(INDEX('[4]Vx All regions allocations'!O$10:O$144,MATCH(A14,'[4]Vx All regions allocations'!A$10:A$144,0)),"")</f>
        <v/>
      </c>
      <c r="BA14" s="88">
        <v>0</v>
      </c>
      <c r="BB14" s="88">
        <v>0</v>
      </c>
      <c r="BC14" s="88" t="str">
        <f>IFERROR(INDEX(DFAT!$K$4:$K$21,MATCH('Matrix Allocations'!A14,DFAT!$B$4:$B$21,0)),"")</f>
        <v/>
      </c>
      <c r="BD14" s="88"/>
      <c r="BE14" s="826" t="str">
        <f>IFERROR(IF(INDEX('GAVI CCE'!$E$3:$E$95,MATCH('Matrix Allocations'!A14,'GAVI CCE'!$A$3:$A$95,0))="Yes",INDEX('GAVI CCE'!$E$3:$E$95,MATCH('Matrix Allocations'!A14,'GAVI CCE'!$A$3:$A$95,0)),""),"")</f>
        <v/>
      </c>
      <c r="BF14" s="88" t="str">
        <f>IFERROR(IF(BE14="Yes",INDEX('GAVI CCE'!$F$3:$F$95,MATCH('Matrix Allocations'!A14,'GAVI CCE'!$A$3:$A$95,0)),""),"")</f>
        <v/>
      </c>
      <c r="BG14" s="609" t="str">
        <f>IFERROR(IF(E14='CDS early access ceilings'!$A$94,(VLOOKUP(A14,'CDS early access ceilings'!$A$2:$D$92,4,FALSE)),""),"")</f>
        <v/>
      </c>
      <c r="BH14" s="639" t="str">
        <f>IFERROR(INDEX(Table14[Status (clean)],MATCH('Matrix Allocations'!A14,Table14[ISO Code],0)),"")</f>
        <v/>
      </c>
      <c r="BI14" s="641" t="str">
        <f>IFERROR(INDEX(Table14[Amount disbursed (USD)],MATCH('Matrix Allocations'!A14,Table14[ISO Code],0)),"")</f>
        <v/>
      </c>
      <c r="BJ14" s="641" t="str">
        <f>IFERROR(INDEX('CDS NBW'!$I$2:$I$39,MATCH(A14,'CDS NBW'!$A$2:$A$39,0)),"")</f>
        <v/>
      </c>
      <c r="BK14" s="641" t="str">
        <f>IFERROR(INDEX('CDS NBW'!$J$2:$J$39,MATCH(A14,'CDS NBW'!$A$2:$A$39,0)),"")</f>
        <v/>
      </c>
      <c r="BL14" s="609"/>
      <c r="BM14" s="609"/>
      <c r="BN14" s="609"/>
      <c r="BO14" s="609"/>
      <c r="BP14" s="609">
        <f>IFERROR(INDEX('UNICEF-BMZ'!$O$1:$O$199,MATCH('Matrix Allocations'!A14,'UNICEF-BMZ'!$B$1:$B$199,0)),"")</f>
        <v>0</v>
      </c>
      <c r="BQ14" s="609" t="str">
        <f>IFERROR(VLOOKUP(A14,'BMGF_clean data'!$A$4:$C$30,3,FALSE),"")</f>
        <v/>
      </c>
      <c r="BR14" s="88"/>
      <c r="BS14" s="88"/>
      <c r="BT14" s="88"/>
      <c r="BU14" s="88"/>
      <c r="BV14" s="88"/>
      <c r="BW14" s="87">
        <f>INDEX(USAID!$D$3:$D$151,MATCH('Matrix Allocations'!A14,USAID!$A$3:$A$151,0))</f>
        <v>0</v>
      </c>
      <c r="BX14" s="87" t="str">
        <f>IFERROR(INDEX(DFAT!$L$4:$L$21,MATCH('Matrix Allocations'!A14,DFAT!$B$4:$B$21,0)),"")</f>
        <v/>
      </c>
      <c r="BY14" s="87" t="str">
        <f>IFERROR(INDEX(Table14[Funds Channelled through UNICEF],MATCH('Matrix Allocations'!A14,Table14[ISO Code],0)),"")</f>
        <v/>
      </c>
      <c r="BZ14" s="87">
        <f t="shared" si="6"/>
        <v>0</v>
      </c>
      <c r="CA14">
        <f t="shared" si="19"/>
        <v>9442867</v>
      </c>
      <c r="CB14" s="782">
        <f t="shared" si="10"/>
        <v>2832860.1</v>
      </c>
      <c r="CC14" s="791">
        <f t="shared" si="11"/>
        <v>500000</v>
      </c>
      <c r="CD14" s="788">
        <f t="shared" si="12"/>
        <v>0.17650006789957612</v>
      </c>
      <c r="CE14" s="788">
        <f t="shared" si="13"/>
        <v>0.13237505092468208</v>
      </c>
      <c r="CF14" s="828">
        <f t="shared" si="14"/>
        <v>7.5642886242675483E-2</v>
      </c>
      <c r="CG14" s="828">
        <f t="shared" si="15"/>
        <v>5.2950020369872834E-2</v>
      </c>
      <c r="CH14" s="88">
        <f t="shared" si="20"/>
        <v>0</v>
      </c>
      <c r="CI14" s="88">
        <f t="shared" si="16"/>
        <v>500000</v>
      </c>
      <c r="CJ14" s="742">
        <f t="shared" si="21"/>
        <v>0</v>
      </c>
      <c r="CK14" s="848">
        <f t="shared" si="17"/>
        <v>0</v>
      </c>
      <c r="CL14" s="88">
        <f t="shared" si="18"/>
        <v>0</v>
      </c>
    </row>
    <row r="15" spans="1:90" ht="16" customHeight="1">
      <c r="A15" s="55" t="s">
        <v>560</v>
      </c>
      <c r="B15" s="55" t="s">
        <v>169</v>
      </c>
      <c r="C15" s="55" t="s">
        <v>130</v>
      </c>
      <c r="D15" s="55" t="s">
        <v>150</v>
      </c>
      <c r="E15" s="55" t="s">
        <v>146</v>
      </c>
      <c r="F15" s="56"/>
      <c r="G15" s="56" t="str">
        <f t="shared" si="0"/>
        <v>Yes</v>
      </c>
      <c r="H15" s="56" t="str">
        <f t="shared" si="0"/>
        <v>Yes</v>
      </c>
      <c r="I15" s="56" t="str">
        <f t="shared" si="1"/>
        <v>No</v>
      </c>
      <c r="J15" s="56" t="str">
        <f t="shared" si="2"/>
        <v>No</v>
      </c>
      <c r="K15" s="56" t="str">
        <f t="shared" si="3"/>
        <v>Yes</v>
      </c>
      <c r="L15" s="56" t="s">
        <v>541</v>
      </c>
      <c r="M15" s="55" t="s">
        <v>544</v>
      </c>
      <c r="N15" s="134" t="s">
        <v>544</v>
      </c>
      <c r="O15" s="55" t="s">
        <v>544</v>
      </c>
      <c r="P15" s="55" t="s">
        <v>546</v>
      </c>
      <c r="Q15" s="55" t="s">
        <v>541</v>
      </c>
      <c r="R15" s="55"/>
      <c r="S15" s="956">
        <v>75151620.005215243</v>
      </c>
      <c r="T15" s="55" t="s">
        <v>395</v>
      </c>
      <c r="U15" s="64" t="str">
        <f>IFERROR(IF(VLOOKUP(A15,'WB projects data'!$A$5:$C$83,3,0)="Approved",(VLOOKUP(A15,'WB projects data'!$A$5:$C$83,3,0)),""),"")</f>
        <v/>
      </c>
      <c r="V15" s="123" t="str">
        <f t="shared" si="4"/>
        <v/>
      </c>
      <c r="W15" s="123" t="str">
        <f>IFERROR((VLOOKUP($A15,'WB projects data'!$A$5:$J$83,6,0)*1000000),"")</f>
        <v/>
      </c>
      <c r="X15" s="123" t="str">
        <f>IFERROR((VLOOKUP($A15,'WB projects data'!$A$5:$J$83,7,0)*1000000),"")</f>
        <v/>
      </c>
      <c r="Y15" s="123" t="str">
        <f>IFERROR((VLOOKUP($A15,'WB projects data'!$A$5:$J$83,8,0)*1000000),"")</f>
        <v/>
      </c>
      <c r="Z15" s="123" t="str">
        <f>IFERROR((VLOOKUP($A15,'WB projects data'!$A$5:$J$83,9,0)*1000000),"")</f>
        <v/>
      </c>
      <c r="AA15" s="123" t="str">
        <f>IFERROR((VLOOKUP($A15,'WB projects data'!$A$5:$J$83,10,0)*1000000),"")</f>
        <v/>
      </c>
      <c r="AB15" s="55"/>
      <c r="AC15" s="110"/>
      <c r="AD15" s="110" t="str">
        <f>IFERROR(VLOOKUP(A15,'ADB Projects'!$A$4:$W$21,5,FALSE),"")</f>
        <v/>
      </c>
      <c r="AE15" s="132" t="str">
        <f>IF(AC15="Approved",(VLOOKUP($A15,'ADB Projects'!$A$5:$D$21,4,0)*1000000),"")</f>
        <v/>
      </c>
      <c r="AF15" s="585" t="str">
        <f>IF(AC15="Approved",(PRODUCT(VLOOKUP($A15,'ADB Projects'!$A$4:$W$21,6,FALSE),1000000)),"")</f>
        <v/>
      </c>
      <c r="AG15" s="585" t="str">
        <f>IF(AC15="Approved",(PRODUCT(VLOOKUP($A15,'ADB Projects'!$A$4:$W$21,7,FALSE),1000000)),"")</f>
        <v/>
      </c>
      <c r="AH15" s="585" t="str">
        <f>IF(AC15="Approved",(PRODUCT(VLOOKUP($A15,'ADB Projects'!$A$4:$W$21,8,FALSE),1000000)),"")</f>
        <v/>
      </c>
      <c r="AI15" s="55"/>
      <c r="AJ15" s="55"/>
      <c r="AK15" s="244"/>
      <c r="AL15" s="55"/>
      <c r="AM15" s="55"/>
      <c r="AN15" s="55"/>
      <c r="AO15" s="55" t="s">
        <v>541</v>
      </c>
      <c r="AP15" s="55" t="s">
        <v>396</v>
      </c>
      <c r="AQ15" s="602">
        <f t="shared" si="5"/>
        <v>5133210</v>
      </c>
      <c r="AR15" s="602">
        <f>IFERROR(VLOOKUP($A15,'IDB C19 Vaccine Projects'!$O$4:$Q$12,2,FALSE),"")</f>
        <v>2210705</v>
      </c>
      <c r="AS15" s="602">
        <f>IFERROR(VLOOKUP($A15,'IDB C19 Vaccine Projects'!$O$4:$Q$12,3,FALSE),"")</f>
        <v>2922505</v>
      </c>
      <c r="AT15" s="55"/>
      <c r="AU15" s="88"/>
      <c r="AV15" s="635"/>
      <c r="AW15" s="55"/>
      <c r="AX15" s="88" t="str">
        <f>INDEX(USAID!$C$3:$C$151,MATCH('Matrix Allocations'!A15,USAID!$A$3:$A$151,0))</f>
        <v/>
      </c>
      <c r="AY15" s="110"/>
      <c r="AZ15" s="88">
        <f>IFERROR(INDEX('[4]Vx All regions allocations'!O$10:O$144,MATCH(A15,'[4]Vx All regions allocations'!A$10:A$144,0)),"")</f>
        <v>100000</v>
      </c>
      <c r="BA15" s="88">
        <v>0</v>
      </c>
      <c r="BB15" s="88">
        <v>0</v>
      </c>
      <c r="BC15" s="88" t="str">
        <f>IFERROR(INDEX(DFAT!$K$4:$K$21,MATCH('Matrix Allocations'!A15,DFAT!$B$4:$B$21,0)),"")</f>
        <v/>
      </c>
      <c r="BD15" s="88"/>
      <c r="BE15" s="826" t="str">
        <f>IFERROR(IF(INDEX('GAVI CCE'!$E$3:$E$95,MATCH('Matrix Allocations'!A15,'GAVI CCE'!$A$3:$A$95,0))="Yes",INDEX('GAVI CCE'!$E$3:$E$95,MATCH('Matrix Allocations'!A15,'GAVI CCE'!$A$3:$A$95,0)),""),"")</f>
        <v/>
      </c>
      <c r="BF15" s="88" t="str">
        <f>IFERROR(IF(BE15="Yes",INDEX('GAVI CCE'!$F$3:$F$95,MATCH('Matrix Allocations'!A15,'GAVI CCE'!$A$3:$A$95,0)),""),"")</f>
        <v/>
      </c>
      <c r="BG15" s="609" t="str">
        <f>IFERROR(IF(E15='CDS early access ceilings'!$A$94,(VLOOKUP(A15,'CDS early access ceilings'!$A$2:$D$92,4,FALSE)),""),"")</f>
        <v/>
      </c>
      <c r="BH15" s="639" t="str">
        <f>IFERROR(INDEX(Table14[Status (clean)],MATCH('Matrix Allocations'!A15,Table14[ISO Code],0)),"")</f>
        <v/>
      </c>
      <c r="BI15" s="641" t="str">
        <f>IFERROR(INDEX(Table14[Amount disbursed (USD)],MATCH('Matrix Allocations'!A15,Table14[ISO Code],0)),"")</f>
        <v/>
      </c>
      <c r="BJ15" s="641" t="str">
        <f>IFERROR(INDEX('CDS NBW'!$I$2:$I$39,MATCH(A15,'CDS NBW'!$A$2:$A$39,0)),"")</f>
        <v/>
      </c>
      <c r="BK15" s="641" t="str">
        <f>IFERROR(INDEX('CDS NBW'!$J$2:$J$39,MATCH(A15,'CDS NBW'!$A$2:$A$39,0)),"")</f>
        <v/>
      </c>
      <c r="BL15" s="609"/>
      <c r="BM15" s="609"/>
      <c r="BN15" s="609"/>
      <c r="BO15" s="609"/>
      <c r="BP15" s="609">
        <f>IFERROR(INDEX('UNICEF-BMZ'!$O$1:$O$199,MATCH('Matrix Allocations'!A15,'UNICEF-BMZ'!$B$1:$B$199,0)),"")</f>
        <v>0</v>
      </c>
      <c r="BQ15" s="609" t="str">
        <f>IFERROR(VLOOKUP(A15,'BMGF_clean data'!$A$4:$C$30,3,FALSE),"")</f>
        <v/>
      </c>
      <c r="BR15" s="88"/>
      <c r="BS15" s="88"/>
      <c r="BT15" s="88">
        <v>824765</v>
      </c>
      <c r="BU15" s="88"/>
      <c r="BV15" s="88"/>
      <c r="BW15" s="87">
        <f>INDEX(USAID!$D$3:$D$151,MATCH('Matrix Allocations'!A15,USAID!$A$3:$A$151,0))</f>
        <v>0</v>
      </c>
      <c r="BX15" s="87" t="str">
        <f>IFERROR(INDEX(DFAT!$L$4:$L$21,MATCH('Matrix Allocations'!A15,DFAT!$B$4:$B$21,0)),"")</f>
        <v/>
      </c>
      <c r="BY15" s="87" t="str">
        <f>IFERROR(INDEX(Table14[Funds Channelled through UNICEF],MATCH('Matrix Allocations'!A15,Table14[ISO Code],0)),"")</f>
        <v/>
      </c>
      <c r="BZ15" s="87">
        <f t="shared" si="6"/>
        <v>0</v>
      </c>
      <c r="CA15">
        <f t="shared" si="19"/>
        <v>404915</v>
      </c>
      <c r="CB15" s="782">
        <f t="shared" si="10"/>
        <v>121474.5</v>
      </c>
      <c r="CC15" s="791">
        <f t="shared" si="11"/>
        <v>3847270</v>
      </c>
      <c r="CD15" s="788">
        <f t="shared" si="12"/>
        <v>31.671420750857177</v>
      </c>
      <c r="CE15" s="788">
        <f t="shared" si="13"/>
        <v>23.753565563142882</v>
      </c>
      <c r="CF15" s="828">
        <f t="shared" si="14"/>
        <v>13.573466036081646</v>
      </c>
      <c r="CG15" s="828">
        <f t="shared" si="15"/>
        <v>9.501426225257152</v>
      </c>
      <c r="CH15" s="88">
        <f t="shared" si="20"/>
        <v>2922505</v>
      </c>
      <c r="CI15" s="88">
        <f t="shared" si="16"/>
        <v>824765</v>
      </c>
      <c r="CJ15" s="742">
        <f t="shared" si="21"/>
        <v>0</v>
      </c>
      <c r="CK15" s="848">
        <f t="shared" si="17"/>
        <v>924765</v>
      </c>
      <c r="CL15" s="88">
        <f t="shared" si="18"/>
        <v>0</v>
      </c>
    </row>
    <row r="16" spans="1:90" ht="16" customHeight="1">
      <c r="A16" s="55" t="s">
        <v>561</v>
      </c>
      <c r="B16" s="55" t="s">
        <v>170</v>
      </c>
      <c r="C16" s="55" t="s">
        <v>129</v>
      </c>
      <c r="D16" s="55" t="s">
        <v>150</v>
      </c>
      <c r="E16" s="55" t="s">
        <v>145</v>
      </c>
      <c r="F16" s="56"/>
      <c r="G16" s="56" t="str">
        <f t="shared" si="0"/>
        <v>No</v>
      </c>
      <c r="H16" s="56" t="str">
        <f t="shared" si="0"/>
        <v>No</v>
      </c>
      <c r="I16" s="56" t="str">
        <f t="shared" si="1"/>
        <v>No</v>
      </c>
      <c r="J16" s="56" t="str">
        <f t="shared" si="2"/>
        <v>Yes</v>
      </c>
      <c r="K16" s="56" t="str">
        <f t="shared" si="3"/>
        <v>No</v>
      </c>
      <c r="L16" s="56" t="s">
        <v>541</v>
      </c>
      <c r="M16" s="55" t="s">
        <v>541</v>
      </c>
      <c r="N16" s="134" t="s">
        <v>541</v>
      </c>
      <c r="O16" s="55" t="s">
        <v>544</v>
      </c>
      <c r="P16" s="55" t="s">
        <v>562</v>
      </c>
      <c r="Q16" s="55"/>
      <c r="R16" s="55"/>
      <c r="S16" s="956">
        <v>69958487.197715744</v>
      </c>
      <c r="T16" s="55" t="s">
        <v>394</v>
      </c>
      <c r="U16" s="64" t="str">
        <f>IFERROR(IF(VLOOKUP(A16,'WB projects data'!$A$5:$C$83,3,0)="Approved",(VLOOKUP(A16,'WB projects data'!$A$5:$C$83,3,0)),""),"")</f>
        <v>Approved</v>
      </c>
      <c r="V16" s="123">
        <f t="shared" si="4"/>
        <v>30000000</v>
      </c>
      <c r="W16" s="123">
        <f>IFERROR((VLOOKUP($A16,'WB projects data'!$A$5:$J$83,6,0)*1000000),"")</f>
        <v>15000000</v>
      </c>
      <c r="X16" s="123">
        <f>IFERROR((VLOOKUP($A16,'WB projects data'!$A$5:$J$83,7,0)*1000000),"")</f>
        <v>15000000</v>
      </c>
      <c r="Y16" s="123">
        <f>IFERROR((VLOOKUP($A16,'WB projects data'!$A$5:$J$83,8,0)*1000000),"")</f>
        <v>25000000</v>
      </c>
      <c r="Z16" s="123">
        <f>IFERROR((VLOOKUP($A16,'WB projects data'!$A$5:$J$83,9,0)*1000000),"")</f>
        <v>5000000</v>
      </c>
      <c r="AA16" s="123">
        <f>IFERROR((VLOOKUP($A16,'WB projects data'!$A$5:$J$83,10,0)*1000000),"")</f>
        <v>0</v>
      </c>
      <c r="AB16" s="55"/>
      <c r="AC16" s="110"/>
      <c r="AD16" s="110" t="str">
        <f>IFERROR(VLOOKUP(A16,'ADB Projects'!$A$4:$W$21,5,FALSE),"")</f>
        <v/>
      </c>
      <c r="AE16" s="132" t="str">
        <f>IF(AC16="Approved",(VLOOKUP($A16,'ADB Projects'!$A$5:$D$21,4,0)*1000000),"")</f>
        <v/>
      </c>
      <c r="AF16" s="585" t="str">
        <f>IF(AC16="Approved",(PRODUCT(VLOOKUP($A16,'ADB Projects'!$A$4:$W$21,6,FALSE),1000000)),"")</f>
        <v/>
      </c>
      <c r="AG16" s="585" t="str">
        <f>IF(AC16="Approved",(PRODUCT(VLOOKUP($A16,'ADB Projects'!$A$4:$W$21,7,FALSE),1000000)),"")</f>
        <v/>
      </c>
      <c r="AH16" s="585" t="str">
        <f>IF(AC16="Approved",(PRODUCT(VLOOKUP($A16,'ADB Projects'!$A$4:$W$21,8,FALSE),1000000)),"")</f>
        <v/>
      </c>
      <c r="AI16" s="55" t="s">
        <v>541</v>
      </c>
      <c r="AJ16" s="55" t="str">
        <f>IF(VLOOKUP($B16,'IsDB Projects'!$B$5:$C$14,2,0)&gt;0,"Requested","")</f>
        <v>Requested</v>
      </c>
      <c r="AK16" s="244">
        <f>VLOOKUP($B16,'IsDB Projects'!$B$5:$D$14,3,0)</f>
        <v>19300000</v>
      </c>
      <c r="AL16" s="55" t="s">
        <v>541</v>
      </c>
      <c r="AM16" s="55"/>
      <c r="AN16" s="55"/>
      <c r="AO16" s="55"/>
      <c r="AP16" s="55"/>
      <c r="AQ16" s="602" t="str">
        <f t="shared" si="5"/>
        <v/>
      </c>
      <c r="AR16" s="602" t="str">
        <f>IFERROR(VLOOKUP($A16,'IDB C19 Vaccine Projects'!$O$4:$Q$12,2,FALSE),"")</f>
        <v/>
      </c>
      <c r="AS16" s="602" t="str">
        <f>IFERROR(VLOOKUP($A16,'IDB C19 Vaccine Projects'!$O$4:$Q$12,3,FALSE),"")</f>
        <v/>
      </c>
      <c r="AT16" s="55"/>
      <c r="AU16" s="88"/>
      <c r="AV16" s="635"/>
      <c r="AW16" s="55"/>
      <c r="AX16" s="88">
        <f>INDEX(USAID!$C$3:$C$151,MATCH('Matrix Allocations'!A16,USAID!$A$3:$A$151,0))</f>
        <v>1810000</v>
      </c>
      <c r="AY16" s="110"/>
      <c r="AZ16" s="88">
        <f>IFERROR(INDEX('[4]Vx All regions allocations'!O$10:O$144,MATCH(A16,'[4]Vx All regions allocations'!A$10:A$144,0)),"")</f>
        <v>564235</v>
      </c>
      <c r="BA16" s="88">
        <v>91200</v>
      </c>
      <c r="BB16" s="88">
        <v>142437</v>
      </c>
      <c r="BC16" s="88" t="str">
        <f>IFERROR(INDEX(DFAT!$K$4:$K$21,MATCH('Matrix Allocations'!A16,DFAT!$B$4:$B$21,0)),"")</f>
        <v/>
      </c>
      <c r="BD16" s="88"/>
      <c r="BE16" s="826" t="str">
        <f>IFERROR(IF(INDEX('GAVI CCE'!$E$3:$E$95,MATCH('Matrix Allocations'!A16,'GAVI CCE'!$A$3:$A$95,0))="Yes",INDEX('GAVI CCE'!$E$3:$E$95,MATCH('Matrix Allocations'!A16,'GAVI CCE'!$A$3:$A$95,0)),""),"")</f>
        <v>Yes</v>
      </c>
      <c r="BF16" s="88">
        <f>IFERROR(IF(BE16="Yes",INDEX('GAVI CCE'!$F$3:$F$95,MATCH('Matrix Allocations'!A16,'GAVI CCE'!$A$3:$A$95,0)),""),"")</f>
        <v>386989</v>
      </c>
      <c r="BG16" s="609" t="str">
        <f>IFERROR(IF(E16='CDS early access ceilings'!$A$94,(VLOOKUP(A16,'CDS early access ceilings'!$A$2:$D$92,4,FALSE)),""),"")</f>
        <v>GAVI</v>
      </c>
      <c r="BH16" s="639" t="str">
        <f>IFERROR(INDEX(Table14[Status (clean)],MATCH('Matrix Allocations'!A16,Table14[ISO Code],0)),"")</f>
        <v>Disbursed</v>
      </c>
      <c r="BI16" s="641">
        <f>IFERROR(INDEX(Table14[Amount disbursed (USD)],MATCH('Matrix Allocations'!A16,Table14[ISO Code],0)),"")</f>
        <v>1974291</v>
      </c>
      <c r="BJ16" s="641" t="str">
        <f>IFERROR(INDEX('CDS NBW'!$I$2:$I$39,MATCH(A16,'CDS NBW'!$A$2:$A$39,0)),"")</f>
        <v/>
      </c>
      <c r="BK16" s="641" t="str">
        <f>IFERROR(INDEX('CDS NBW'!$J$2:$J$39,MATCH(A16,'CDS NBW'!$A$2:$A$39,0)),"")</f>
        <v/>
      </c>
      <c r="BL16" s="609"/>
      <c r="BM16" s="609"/>
      <c r="BN16" s="609"/>
      <c r="BO16" s="609"/>
      <c r="BP16" s="609">
        <f>IFERROR(INDEX('UNICEF-BMZ'!$O$1:$O$199,MATCH('Matrix Allocations'!A16,'UNICEF-BMZ'!$B$1:$B$199,0)),"")</f>
        <v>1130000</v>
      </c>
      <c r="BQ16" s="609" t="str">
        <f>IFERROR(VLOOKUP(A16,'BMGF_clean data'!$A$4:$C$30,3,FALSE),"")</f>
        <v/>
      </c>
      <c r="BR16" s="88"/>
      <c r="BS16" s="88"/>
      <c r="BT16" s="88"/>
      <c r="BU16" s="88">
        <v>1880277</v>
      </c>
      <c r="BV16" s="88"/>
      <c r="BW16" s="87">
        <f>INDEX(USAID!$D$3:$D$151,MATCH('Matrix Allocations'!A16,USAID!$A$3:$A$151,0))</f>
        <v>0</v>
      </c>
      <c r="BX16" s="87" t="str">
        <f>IFERROR(INDEX(DFAT!$L$4:$L$21,MATCH('Matrix Allocations'!A16,DFAT!$B$4:$B$21,0)),"")</f>
        <v/>
      </c>
      <c r="BY16" s="87">
        <f>IFERROR(INDEX(Table14[Funds Channelled through UNICEF],MATCH('Matrix Allocations'!A16,Table14[ISO Code],0)),"")</f>
        <v>1974291</v>
      </c>
      <c r="BZ16" s="87">
        <f t="shared" si="6"/>
        <v>1974291</v>
      </c>
      <c r="CA16">
        <f t="shared" si="19"/>
        <v>12451031</v>
      </c>
      <c r="CB16" s="782">
        <f t="shared" si="10"/>
        <v>3735309.3</v>
      </c>
      <c r="CC16" s="791">
        <f t="shared" si="11"/>
        <v>12979429</v>
      </c>
      <c r="CD16" s="788">
        <f t="shared" si="12"/>
        <v>3.4747936402482118</v>
      </c>
      <c r="CE16" s="788">
        <f t="shared" si="13"/>
        <v>2.6060952301861589</v>
      </c>
      <c r="CF16" s="828">
        <f t="shared" si="14"/>
        <v>1.4891972743920909</v>
      </c>
      <c r="CG16" s="828">
        <f t="shared" si="15"/>
        <v>1.0424380920744636</v>
      </c>
      <c r="CH16" s="88">
        <f t="shared" si="20"/>
        <v>5000000</v>
      </c>
      <c r="CI16" s="88">
        <f t="shared" si="16"/>
        <v>1810000</v>
      </c>
      <c r="CJ16" s="742">
        <f t="shared" si="21"/>
        <v>0</v>
      </c>
      <c r="CK16" s="848">
        <f t="shared" si="17"/>
        <v>2538526</v>
      </c>
      <c r="CL16" s="88">
        <f t="shared" si="18"/>
        <v>5605194</v>
      </c>
    </row>
    <row r="17" spans="1:90" ht="16" customHeight="1">
      <c r="A17" s="55" t="s">
        <v>563</v>
      </c>
      <c r="B17" s="55" t="s">
        <v>171</v>
      </c>
      <c r="C17" s="55" t="s">
        <v>132</v>
      </c>
      <c r="D17" s="55" t="s">
        <v>150</v>
      </c>
      <c r="E17" s="55" t="s">
        <v>145</v>
      </c>
      <c r="F17" s="56"/>
      <c r="G17" s="56" t="str">
        <f t="shared" si="0"/>
        <v>No</v>
      </c>
      <c r="H17" s="56" t="str">
        <f t="shared" si="0"/>
        <v>No</v>
      </c>
      <c r="I17" s="56" t="str">
        <f t="shared" si="1"/>
        <v>No</v>
      </c>
      <c r="J17" s="56" t="str">
        <f t="shared" si="2"/>
        <v>Yes</v>
      </c>
      <c r="K17" s="56" t="str">
        <f t="shared" si="3"/>
        <v>No</v>
      </c>
      <c r="L17" s="56" t="s">
        <v>541</v>
      </c>
      <c r="M17" s="55" t="s">
        <v>541</v>
      </c>
      <c r="N17" s="134" t="s">
        <v>541</v>
      </c>
      <c r="O17" s="55" t="s">
        <v>544</v>
      </c>
      <c r="P17" s="55" t="s">
        <v>548</v>
      </c>
      <c r="Q17" s="55"/>
      <c r="R17" s="55"/>
      <c r="S17" s="956">
        <v>61654608.560629159</v>
      </c>
      <c r="T17" s="55" t="s">
        <v>394</v>
      </c>
      <c r="U17" s="64" t="str">
        <f>IFERROR(IF(VLOOKUP(A17,'WB projects data'!$A$5:$C$83,3,0)="Approved",(VLOOKUP(A17,'WB projects data'!$A$5:$C$83,3,0)),""),"")</f>
        <v>Approved</v>
      </c>
      <c r="V17" s="123">
        <f t="shared" si="4"/>
        <v>2000000</v>
      </c>
      <c r="W17" s="123">
        <f>IFERROR((VLOOKUP($A17,'WB projects data'!$A$5:$J$83,6,0)*1000000),"")</f>
        <v>0</v>
      </c>
      <c r="X17" s="123">
        <f>IFERROR((VLOOKUP($A17,'WB projects data'!$A$5:$J$83,7,0)*1000000),"")</f>
        <v>2000000</v>
      </c>
      <c r="Y17" s="123">
        <f>IFERROR((VLOOKUP($A17,'WB projects data'!$A$5:$J$83,8,0)*1000000),"")</f>
        <v>0</v>
      </c>
      <c r="Z17" s="123">
        <f>IFERROR((VLOOKUP($A17,'WB projects data'!$A$5:$J$83,9,0)*1000000),"")</f>
        <v>0</v>
      </c>
      <c r="AA17" s="123">
        <f>IFERROR((VLOOKUP($A17,'WB projects data'!$A$5:$J$83,10,0)*1000000),"")</f>
        <v>0</v>
      </c>
      <c r="AB17" s="55" t="s">
        <v>541</v>
      </c>
      <c r="AC17" s="110" t="str">
        <f>VLOOKUP($A17,'ADB Projects'!$A$5:$D$21,3,0)</f>
        <v>Under Preparation</v>
      </c>
      <c r="AD17" s="110">
        <f>IFERROR(VLOOKUP(A17,'ADB Projects'!$A$4:$W$21,5,FALSE),"")</f>
        <v>0</v>
      </c>
      <c r="AE17" s="132" t="str">
        <f>IF(AC17="Approved",(VLOOKUP($A17,'ADB Projects'!$A$5:$D$21,4,0)*1000000),"")</f>
        <v/>
      </c>
      <c r="AF17" s="585" t="str">
        <f>IF(AC17="Approved",(PRODUCT(VLOOKUP($A17,'ADB Projects'!$A$4:$W$21,6,FALSE),1000000)),"")</f>
        <v/>
      </c>
      <c r="AG17" s="585" t="str">
        <f>IF(AC17="Approved",(PRODUCT(VLOOKUP($A17,'ADB Projects'!$A$4:$W$21,7,FALSE),1000000)),"")</f>
        <v/>
      </c>
      <c r="AH17" s="585" t="str">
        <f>IF(AC17="Approved",(PRODUCT(VLOOKUP($A17,'ADB Projects'!$A$4:$W$21,8,FALSE),1000000)),"")</f>
        <v/>
      </c>
      <c r="AI17" s="55"/>
      <c r="AJ17" s="55"/>
      <c r="AK17" s="244"/>
      <c r="AL17" s="55"/>
      <c r="AM17" s="55"/>
      <c r="AN17" s="55"/>
      <c r="AO17" s="55"/>
      <c r="AP17" s="55"/>
      <c r="AQ17" s="602" t="str">
        <f t="shared" si="5"/>
        <v/>
      </c>
      <c r="AR17" s="602" t="str">
        <f>IFERROR(VLOOKUP($A17,'IDB C19 Vaccine Projects'!$O$4:$Q$12,2,FALSE),"")</f>
        <v/>
      </c>
      <c r="AS17" s="602" t="str">
        <f>IFERROR(VLOOKUP($A17,'IDB C19 Vaccine Projects'!$O$4:$Q$12,3,FALSE),"")</f>
        <v/>
      </c>
      <c r="AT17" s="55"/>
      <c r="AU17" s="88"/>
      <c r="AV17" s="635"/>
      <c r="AW17" s="55"/>
      <c r="AX17" s="88" t="str">
        <f>INDEX(USAID!$C$3:$C$151,MATCH('Matrix Allocations'!A17,USAID!$A$3:$A$151,0))</f>
        <v/>
      </c>
      <c r="AY17" s="110">
        <v>923174</v>
      </c>
      <c r="AZ17" s="88">
        <f>IFERROR(INDEX('[4]Vx All regions allocations'!O$10:O$144,MATCH(A17,'[4]Vx All regions allocations'!A$10:A$144,0)),"")</f>
        <v>110950</v>
      </c>
      <c r="BA17" s="88">
        <v>29999.999999999996</v>
      </c>
      <c r="BB17" s="88">
        <v>40000</v>
      </c>
      <c r="BC17" s="88" t="str">
        <f>IFERROR(INDEX(DFAT!$K$4:$K$21,MATCH('Matrix Allocations'!A17,DFAT!$B$4:$B$21,0)),"")</f>
        <v/>
      </c>
      <c r="BD17" s="88"/>
      <c r="BE17" s="826" t="str">
        <f>IFERROR(IF(INDEX('GAVI CCE'!$E$3:$E$95,MATCH('Matrix Allocations'!A17,'GAVI CCE'!$A$3:$A$95,0))="Yes",INDEX('GAVI CCE'!$E$3:$E$95,MATCH('Matrix Allocations'!A17,'GAVI CCE'!$A$3:$A$95,0)),""),"")</f>
        <v>Yes</v>
      </c>
      <c r="BF17" s="88">
        <f>IFERROR(IF(BE17="Yes",INDEX('GAVI CCE'!$F$3:$F$95,MATCH('Matrix Allocations'!A17,'GAVI CCE'!$A$3:$A$95,0)),""),"")</f>
        <v>69721</v>
      </c>
      <c r="BG17" s="609" t="str">
        <f>IFERROR(IF(E17='CDS early access ceilings'!$A$94,(VLOOKUP(A17,'CDS early access ceilings'!$A$2:$D$92,4,FALSE)),""),"")</f>
        <v>UNICEF</v>
      </c>
      <c r="BH17" s="639" t="str">
        <f>IFERROR(INDEX(Table14[Status (clean)],MATCH('Matrix Allocations'!A17,Table14[ISO Code],0)),"")</f>
        <v>Disbursed</v>
      </c>
      <c r="BI17" s="641">
        <f>IFERROR(INDEX(Table14[Amount disbursed (USD)],MATCH('Matrix Allocations'!A17,Table14[ISO Code],0)),"")</f>
        <v>230000</v>
      </c>
      <c r="BJ17" s="641" t="str">
        <f>IFERROR(INDEX('CDS NBW'!$I$2:$I$39,MATCH(A17,'CDS NBW'!$A$2:$A$39,0)),"")</f>
        <v>Disbursed</v>
      </c>
      <c r="BK17" s="641">
        <f>IFERROR(INDEX('CDS NBW'!$J$2:$J$39,MATCH(A17,'CDS NBW'!$A$2:$A$39,0)),"")</f>
        <v>230000</v>
      </c>
      <c r="BL17" s="609"/>
      <c r="BM17" s="609"/>
      <c r="BN17" s="609"/>
      <c r="BO17" s="609"/>
      <c r="BP17" s="609">
        <f>IFERROR(INDEX('UNICEF-BMZ'!$O$1:$O$199,MATCH('Matrix Allocations'!A17,'UNICEF-BMZ'!$B$1:$B$199,0)),"")</f>
        <v>0</v>
      </c>
      <c r="BQ17" s="609" t="str">
        <f>IFERROR(VLOOKUP(A17,'BMGF_clean data'!$A$4:$C$30,3,FALSE),"")</f>
        <v/>
      </c>
      <c r="BR17" s="88"/>
      <c r="BS17" s="88"/>
      <c r="BT17" s="88"/>
      <c r="BU17" s="88"/>
      <c r="BV17" s="88"/>
      <c r="BW17" s="87">
        <f>INDEX(USAID!$D$3:$D$151,MATCH('Matrix Allocations'!A17,USAID!$A$3:$A$151,0))</f>
        <v>0</v>
      </c>
      <c r="BX17" s="87" t="str">
        <f>IFERROR(INDEX(DFAT!$L$4:$L$21,MATCH('Matrix Allocations'!A17,DFAT!$B$4:$B$21,0)),"")</f>
        <v/>
      </c>
      <c r="BY17" s="87">
        <f>IFERROR(INDEX(Table14[Funds Channelled through UNICEF],MATCH('Matrix Allocations'!A17,Table14[ISO Code],0)),"")</f>
        <v>0</v>
      </c>
      <c r="BZ17" s="87">
        <f t="shared" si="6"/>
        <v>230000</v>
      </c>
      <c r="CA17">
        <f t="shared" si="19"/>
        <v>779900</v>
      </c>
      <c r="CB17" s="782">
        <f t="shared" si="10"/>
        <v>233970</v>
      </c>
      <c r="CC17" s="791">
        <f t="shared" si="11"/>
        <v>1633845</v>
      </c>
      <c r="CD17" s="788">
        <f t="shared" si="12"/>
        <v>6.9831388639569179</v>
      </c>
      <c r="CE17" s="788">
        <f t="shared" si="13"/>
        <v>5.2373541479676877</v>
      </c>
      <c r="CF17" s="828">
        <f t="shared" si="14"/>
        <v>2.9927737988386789</v>
      </c>
      <c r="CG17" s="828">
        <f t="shared" si="15"/>
        <v>2.0949416591870751</v>
      </c>
      <c r="CH17" s="88">
        <f t="shared" si="20"/>
        <v>0</v>
      </c>
      <c r="CI17" s="88">
        <f t="shared" si="16"/>
        <v>923174</v>
      </c>
      <c r="CJ17" s="742">
        <f t="shared" si="21"/>
        <v>0</v>
      </c>
      <c r="CK17" s="848">
        <f t="shared" si="17"/>
        <v>1034124</v>
      </c>
      <c r="CL17" s="88">
        <f t="shared" si="18"/>
        <v>829721</v>
      </c>
    </row>
    <row r="18" spans="1:90" ht="16" customHeight="1">
      <c r="A18" s="55" t="s">
        <v>564</v>
      </c>
      <c r="B18" s="55" t="s">
        <v>172</v>
      </c>
      <c r="C18" s="55" t="s">
        <v>130</v>
      </c>
      <c r="D18" s="55" t="s">
        <v>150</v>
      </c>
      <c r="E18" s="55" t="s">
        <v>145</v>
      </c>
      <c r="F18" s="56"/>
      <c r="G18" s="56" t="str">
        <f t="shared" si="0"/>
        <v>Yes</v>
      </c>
      <c r="H18" s="56" t="str">
        <f t="shared" si="0"/>
        <v>Yes</v>
      </c>
      <c r="I18" s="56" t="str">
        <f t="shared" si="1"/>
        <v>No</v>
      </c>
      <c r="J18" s="56" t="str">
        <f t="shared" si="2"/>
        <v>No</v>
      </c>
      <c r="K18" s="56" t="str">
        <f t="shared" si="3"/>
        <v>Yes</v>
      </c>
      <c r="L18" s="56" t="s">
        <v>541</v>
      </c>
      <c r="M18" s="55" t="s">
        <v>541</v>
      </c>
      <c r="N18" s="134" t="s">
        <v>544</v>
      </c>
      <c r="O18" s="55" t="s">
        <v>544</v>
      </c>
      <c r="P18" s="55" t="s">
        <v>546</v>
      </c>
      <c r="Q18" s="55" t="s">
        <v>541</v>
      </c>
      <c r="R18" s="55"/>
      <c r="S18" s="956">
        <v>1806638707.7615163</v>
      </c>
      <c r="T18" s="55" t="s">
        <v>395</v>
      </c>
      <c r="U18" s="64" t="str">
        <f>IFERROR(IF(VLOOKUP(A18,'WB projects data'!$A$5:$C$83,3,0)="Approved",(VLOOKUP(A18,'WB projects data'!$A$5:$C$83,3,0)),""),"")</f>
        <v/>
      </c>
      <c r="V18" s="123">
        <f t="shared" si="4"/>
        <v>0</v>
      </c>
      <c r="W18" s="123">
        <f>IFERROR((VLOOKUP($A18,'WB projects data'!$A$5:$J$83,6,0)*1000000),"")</f>
        <v>0</v>
      </c>
      <c r="X18" s="123">
        <f>IFERROR((VLOOKUP($A18,'WB projects data'!$A$5:$J$83,7,0)*1000000),"")</f>
        <v>0</v>
      </c>
      <c r="Y18" s="123">
        <f>IFERROR((VLOOKUP($A18,'WB projects data'!$A$5:$J$83,8,0)*1000000),"")</f>
        <v>0</v>
      </c>
      <c r="Z18" s="123">
        <f>IFERROR((VLOOKUP($A18,'WB projects data'!$A$5:$J$83,9,0)*1000000),"")</f>
        <v>0</v>
      </c>
      <c r="AA18" s="123">
        <f>IFERROR((VLOOKUP($A18,'WB projects data'!$A$5:$J$83,10,0)*1000000),"")</f>
        <v>0</v>
      </c>
      <c r="AB18" s="55"/>
      <c r="AC18" s="110"/>
      <c r="AD18" s="110" t="str">
        <f>IFERROR(VLOOKUP(A18,'ADB Projects'!$A$4:$W$21,5,FALSE),"")</f>
        <v/>
      </c>
      <c r="AE18" s="132" t="str">
        <f>IF(AC18="Approved",(VLOOKUP($A18,'ADB Projects'!$A$5:$D$21,4,0)*1000000),"")</f>
        <v/>
      </c>
      <c r="AF18" s="585" t="str">
        <f>IF(AC18="Approved",(PRODUCT(VLOOKUP($A18,'ADB Projects'!$A$4:$W$21,6,FALSE),1000000)),"")</f>
        <v/>
      </c>
      <c r="AG18" s="585" t="str">
        <f>IF(AC18="Approved",(PRODUCT(VLOOKUP($A18,'ADB Projects'!$A$4:$W$21,7,FALSE),1000000)),"")</f>
        <v/>
      </c>
      <c r="AH18" s="585" t="str">
        <f>IF(AC18="Approved",(PRODUCT(VLOOKUP($A18,'ADB Projects'!$A$4:$W$21,8,FALSE),1000000)),"")</f>
        <v/>
      </c>
      <c r="AI18" s="55"/>
      <c r="AJ18" s="55"/>
      <c r="AK18" s="244"/>
      <c r="AL18" s="55"/>
      <c r="AM18" s="55"/>
      <c r="AN18" s="55"/>
      <c r="AO18" s="55" t="s">
        <v>541</v>
      </c>
      <c r="AP18" s="55"/>
      <c r="AQ18" s="602" t="str">
        <f t="shared" si="5"/>
        <v/>
      </c>
      <c r="AR18" s="602" t="str">
        <f>IFERROR(VLOOKUP($A18,'IDB C19 Vaccine Projects'!$O$4:$Q$12,2,FALSE),"")</f>
        <v/>
      </c>
      <c r="AS18" s="602" t="str">
        <f>IFERROR(VLOOKUP($A18,'IDB C19 Vaccine Projects'!$O$4:$Q$12,3,FALSE),"")</f>
        <v/>
      </c>
      <c r="AT18" s="55"/>
      <c r="AU18" s="88"/>
      <c r="AV18" s="635"/>
      <c r="AW18" s="55"/>
      <c r="AX18" s="88">
        <f>INDEX(USAID!$C$3:$C$151,MATCH('Matrix Allocations'!A18,USAID!$A$3:$A$151,0))</f>
        <v>2700000</v>
      </c>
      <c r="AY18" s="110"/>
      <c r="AZ18" s="88">
        <f>IFERROR(INDEX('[4]Vx All regions allocations'!O$10:O$144,MATCH(A18,'[4]Vx All regions allocations'!A$10:A$144,0)),"")</f>
        <v>400000</v>
      </c>
      <c r="BA18" s="88">
        <v>0</v>
      </c>
      <c r="BB18" s="88">
        <v>100000</v>
      </c>
      <c r="BC18" s="88" t="str">
        <f>IFERROR(INDEX(DFAT!$K$4:$K$21,MATCH('Matrix Allocations'!A18,DFAT!$B$4:$B$21,0)),"")</f>
        <v/>
      </c>
      <c r="BD18" s="88"/>
      <c r="BE18" s="826" t="str">
        <f>IFERROR(IF(INDEX('GAVI CCE'!$E$3:$E$95,MATCH('Matrix Allocations'!A18,'GAVI CCE'!$A$3:$A$95,0))="Yes",INDEX('GAVI CCE'!$E$3:$E$95,MATCH('Matrix Allocations'!A18,'GAVI CCE'!$A$3:$A$95,0)),""),"")</f>
        <v>Yes</v>
      </c>
      <c r="BF18" s="88">
        <f>IFERROR(IF(BE18="Yes",INDEX('GAVI CCE'!$F$3:$F$95,MATCH('Matrix Allocations'!A18,'GAVI CCE'!$A$3:$A$95,0)),""),"")</f>
        <v>283036</v>
      </c>
      <c r="BG18" s="609" t="str">
        <f>IFERROR(IF(E18='CDS early access ceilings'!$A$94,(VLOOKUP(A18,'CDS early access ceilings'!$A$2:$D$92,4,FALSE)),""),"")</f>
        <v>UNICEF</v>
      </c>
      <c r="BH18" s="639" t="str">
        <f>IFERROR(INDEX(Table14[Status (clean)],MATCH('Matrix Allocations'!A18,Table14[ISO Code],0)),"")</f>
        <v>Disbursed</v>
      </c>
      <c r="BI18" s="641">
        <f>IFERROR(INDEX(Table14[Amount disbursed (USD)],MATCH('Matrix Allocations'!A18,Table14[ISO Code],0)),"")</f>
        <v>920000</v>
      </c>
      <c r="BJ18" s="641" t="str">
        <f>IFERROR(INDEX('CDS NBW'!$I$2:$I$39,MATCH(A18,'CDS NBW'!$A$2:$A$39,0)),"")</f>
        <v>Disbursed</v>
      </c>
      <c r="BK18" s="641">
        <f>IFERROR(INDEX('CDS NBW'!$J$2:$J$39,MATCH(A18,'CDS NBW'!$A$2:$A$39,0)),"")</f>
        <v>1280000</v>
      </c>
      <c r="BL18" s="609"/>
      <c r="BM18" s="609"/>
      <c r="BN18" s="609"/>
      <c r="BO18" s="609">
        <v>273483</v>
      </c>
      <c r="BP18" s="609">
        <f>IFERROR(INDEX('UNICEF-BMZ'!$O$1:$O$199,MATCH('Matrix Allocations'!A18,'UNICEF-BMZ'!$B$1:$B$199,0)),"")</f>
        <v>0</v>
      </c>
      <c r="BQ18" s="609" t="str">
        <f>IFERROR(VLOOKUP(A18,'BMGF_clean data'!$A$4:$C$30,3,FALSE),"")</f>
        <v/>
      </c>
      <c r="BR18" s="88"/>
      <c r="BS18" s="88"/>
      <c r="BT18" s="88"/>
      <c r="BU18" s="88"/>
      <c r="BV18" s="88"/>
      <c r="BW18" s="87">
        <f>INDEX(USAID!$D$3:$D$151,MATCH('Matrix Allocations'!A18,USAID!$A$3:$A$151,0))</f>
        <v>0</v>
      </c>
      <c r="BX18" s="87" t="str">
        <f>IFERROR(INDEX(DFAT!$L$4:$L$21,MATCH('Matrix Allocations'!A18,DFAT!$B$4:$B$21,0)),"")</f>
        <v/>
      </c>
      <c r="BY18" s="87">
        <f>IFERROR(INDEX(Table14[Funds Channelled through UNICEF],MATCH('Matrix Allocations'!A18,Table14[ISO Code],0)),"")</f>
        <v>0</v>
      </c>
      <c r="BZ18" s="87">
        <f t="shared" si="6"/>
        <v>920000</v>
      </c>
      <c r="CA18">
        <f t="shared" si="19"/>
        <v>11832936</v>
      </c>
      <c r="CB18" s="782">
        <f t="shared" si="10"/>
        <v>3549880.8</v>
      </c>
      <c r="CC18" s="791">
        <f t="shared" si="11"/>
        <v>5956519</v>
      </c>
      <c r="CD18" s="788">
        <f t="shared" si="12"/>
        <v>1.6779490173303848</v>
      </c>
      <c r="CE18" s="788">
        <f t="shared" si="13"/>
        <v>1.2584617629977883</v>
      </c>
      <c r="CF18" s="828">
        <f t="shared" si="14"/>
        <v>0.71912100742730778</v>
      </c>
      <c r="CG18" s="828">
        <f t="shared" si="15"/>
        <v>0.50338470519911538</v>
      </c>
      <c r="CH18" s="88">
        <f t="shared" si="20"/>
        <v>0</v>
      </c>
      <c r="CI18" s="88">
        <f t="shared" si="16"/>
        <v>2700000</v>
      </c>
      <c r="CJ18" s="742">
        <f t="shared" si="21"/>
        <v>273483</v>
      </c>
      <c r="CK18" s="848">
        <f t="shared" si="17"/>
        <v>673483</v>
      </c>
      <c r="CL18" s="88">
        <f t="shared" si="18"/>
        <v>3863036</v>
      </c>
    </row>
    <row r="19" spans="1:90" ht="16" customHeight="1">
      <c r="A19" s="55" t="s">
        <v>565</v>
      </c>
      <c r="B19" s="55" t="s">
        <v>174</v>
      </c>
      <c r="C19" s="55" t="s">
        <v>127</v>
      </c>
      <c r="D19" s="55" t="s">
        <v>152</v>
      </c>
      <c r="E19" s="55" t="s">
        <v>146</v>
      </c>
      <c r="F19" s="56"/>
      <c r="G19" s="56" t="str">
        <f t="shared" si="0"/>
        <v>Yes</v>
      </c>
      <c r="H19" s="56" t="str">
        <f t="shared" si="0"/>
        <v>Yes</v>
      </c>
      <c r="I19" s="56" t="str">
        <f t="shared" si="1"/>
        <v>No</v>
      </c>
      <c r="J19" s="56" t="str">
        <f t="shared" si="2"/>
        <v>No</v>
      </c>
      <c r="K19" s="56" t="str">
        <f t="shared" si="3"/>
        <v>Yes</v>
      </c>
      <c r="L19" s="56" t="s">
        <v>541</v>
      </c>
      <c r="M19" s="55" t="s">
        <v>544</v>
      </c>
      <c r="N19" s="134" t="s">
        <v>544</v>
      </c>
      <c r="O19" s="55" t="s">
        <v>544</v>
      </c>
      <c r="P19" s="55" t="s">
        <v>546</v>
      </c>
      <c r="Q19" s="55"/>
      <c r="R19" s="55"/>
      <c r="S19" s="956">
        <v>1252696525.0627904</v>
      </c>
      <c r="T19" s="55" t="s">
        <v>395</v>
      </c>
      <c r="U19" s="64" t="str">
        <f>IFERROR(IF(VLOOKUP(A19,'WB projects data'!$A$5:$C$83,3,0)="Approved",(VLOOKUP(A19,'WB projects data'!$A$5:$C$83,3,0)),""),"")</f>
        <v/>
      </c>
      <c r="V19" s="123" t="str">
        <f t="shared" si="4"/>
        <v/>
      </c>
      <c r="W19" s="123" t="str">
        <f>IFERROR((VLOOKUP($A19,'WB projects data'!$A$5:$J$83,6,0)*1000000),"")</f>
        <v/>
      </c>
      <c r="X19" s="123" t="str">
        <f>IFERROR((VLOOKUP($A19,'WB projects data'!$A$5:$J$83,7,0)*1000000),"")</f>
        <v/>
      </c>
      <c r="Y19" s="123" t="str">
        <f>IFERROR((VLOOKUP($A19,'WB projects data'!$A$5:$J$83,8,0)*1000000),"")</f>
        <v/>
      </c>
      <c r="Z19" s="123" t="str">
        <f>IFERROR((VLOOKUP($A19,'WB projects data'!$A$5:$J$83,9,0)*1000000),"")</f>
        <v/>
      </c>
      <c r="AA19" s="123" t="str">
        <f>IFERROR((VLOOKUP($A19,'WB projects data'!$A$5:$J$83,10,0)*1000000),"")</f>
        <v/>
      </c>
      <c r="AB19" s="55"/>
      <c r="AC19" s="110"/>
      <c r="AD19" s="110" t="str">
        <f>IFERROR(VLOOKUP(A19,'ADB Projects'!$A$4:$W$21,5,FALSE),"")</f>
        <v/>
      </c>
      <c r="AE19" s="132" t="str">
        <f>IF(AC19="Approved",(VLOOKUP($A19,'ADB Projects'!$A$5:$D$21,4,0)*1000000),"")</f>
        <v/>
      </c>
      <c r="AF19" s="585" t="str">
        <f>IF(AC19="Approved",(PRODUCT(VLOOKUP($A19,'ADB Projects'!$A$4:$W$21,6,FALSE),1000000)),"")</f>
        <v/>
      </c>
      <c r="AG19" s="585" t="str">
        <f>IF(AC19="Approved",(PRODUCT(VLOOKUP($A19,'ADB Projects'!$A$4:$W$21,7,FALSE),1000000)),"")</f>
        <v/>
      </c>
      <c r="AH19" s="585" t="str">
        <f>IF(AC19="Approved",(PRODUCT(VLOOKUP($A19,'ADB Projects'!$A$4:$W$21,8,FALSE),1000000)),"")</f>
        <v/>
      </c>
      <c r="AI19" s="55"/>
      <c r="AJ19" s="55"/>
      <c r="AK19" s="244"/>
      <c r="AL19" s="55"/>
      <c r="AM19" s="55"/>
      <c r="AN19" s="55"/>
      <c r="AO19" s="55"/>
      <c r="AP19" s="55"/>
      <c r="AQ19" s="602" t="str">
        <f t="shared" si="5"/>
        <v/>
      </c>
      <c r="AR19" s="602" t="str">
        <f>IFERROR(VLOOKUP($A19,'IDB C19 Vaccine Projects'!$O$4:$Q$12,2,FALSE),"")</f>
        <v/>
      </c>
      <c r="AS19" s="602" t="str">
        <f>IFERROR(VLOOKUP($A19,'IDB C19 Vaccine Projects'!$O$4:$Q$12,3,FALSE),"")</f>
        <v/>
      </c>
      <c r="AT19" s="55"/>
      <c r="AU19" s="88"/>
      <c r="AV19" s="635"/>
      <c r="AW19" s="55"/>
      <c r="AX19" s="88">
        <f>INDEX(USAID!$C$3:$C$151,MATCH('Matrix Allocations'!A19,USAID!$A$3:$A$151,0))</f>
        <v>2050000</v>
      </c>
      <c r="AY19" s="110"/>
      <c r="AZ19" s="88">
        <f>IFERROR(INDEX('[4]Vx All regions allocations'!O$10:O$144,MATCH(A19,'[4]Vx All regions allocations'!A$10:A$144,0)),"")</f>
        <v>200000</v>
      </c>
      <c r="BA19" s="88">
        <v>0</v>
      </c>
      <c r="BB19" s="88">
        <v>0</v>
      </c>
      <c r="BC19" s="88" t="str">
        <f>IFERROR(INDEX(DFAT!$K$4:$K$21,MATCH('Matrix Allocations'!A19,DFAT!$B$4:$B$21,0)),"")</f>
        <v/>
      </c>
      <c r="BD19" s="88"/>
      <c r="BE19" s="826" t="str">
        <f>IFERROR(IF(INDEX('GAVI CCE'!$E$3:$E$95,MATCH('Matrix Allocations'!A19,'GAVI CCE'!$A$3:$A$95,0))="Yes",INDEX('GAVI CCE'!$E$3:$E$95,MATCH('Matrix Allocations'!A19,'GAVI CCE'!$A$3:$A$95,0)),""),"")</f>
        <v/>
      </c>
      <c r="BF19" s="88" t="str">
        <f>IFERROR(IF(BE19="Yes",INDEX('GAVI CCE'!$F$3:$F$95,MATCH('Matrix Allocations'!A19,'GAVI CCE'!$A$3:$A$95,0)),""),"")</f>
        <v/>
      </c>
      <c r="BG19" s="609" t="str">
        <f>IFERROR(IF(E19='CDS early access ceilings'!$A$94,(VLOOKUP(A19,'CDS early access ceilings'!$A$2:$D$92,4,FALSE)),""),"")</f>
        <v/>
      </c>
      <c r="BH19" s="639" t="str">
        <f>IFERROR(INDEX(Table14[Status (clean)],MATCH('Matrix Allocations'!A19,Table14[ISO Code],0)),"")</f>
        <v/>
      </c>
      <c r="BI19" s="641" t="str">
        <f>IFERROR(INDEX(Table14[Amount disbursed (USD)],MATCH('Matrix Allocations'!A19,Table14[ISO Code],0)),"")</f>
        <v/>
      </c>
      <c r="BJ19" s="641" t="str">
        <f>IFERROR(INDEX('CDS NBW'!$I$2:$I$39,MATCH(A19,'CDS NBW'!$A$2:$A$39,0)),"")</f>
        <v/>
      </c>
      <c r="BK19" s="641" t="str">
        <f>IFERROR(INDEX('CDS NBW'!$J$2:$J$39,MATCH(A19,'CDS NBW'!$A$2:$A$39,0)),"")</f>
        <v/>
      </c>
      <c r="BL19" s="609"/>
      <c r="BM19" s="609"/>
      <c r="BN19" s="609"/>
      <c r="BO19" s="609"/>
      <c r="BP19" s="609">
        <f>IFERROR(INDEX('UNICEF-BMZ'!$O$1:$O$199,MATCH('Matrix Allocations'!A19,'UNICEF-BMZ'!$B$1:$B$199,0)),"")</f>
        <v>0</v>
      </c>
      <c r="BQ19" s="609" t="str">
        <f>IFERROR(VLOOKUP(A19,'BMGF_clean data'!$A$4:$C$30,3,FALSE),"")</f>
        <v/>
      </c>
      <c r="BR19" s="88"/>
      <c r="BS19" s="88"/>
      <c r="BT19" s="88"/>
      <c r="BU19" s="88"/>
      <c r="BV19" s="88"/>
      <c r="BW19" s="87">
        <f>INDEX(USAID!$D$3:$D$151,MATCH('Matrix Allocations'!A19,USAID!$A$3:$A$151,0))</f>
        <v>1800000</v>
      </c>
      <c r="BX19" s="87" t="str">
        <f>IFERROR(INDEX(DFAT!$L$4:$L$21,MATCH('Matrix Allocations'!A19,DFAT!$B$4:$B$21,0)),"")</f>
        <v/>
      </c>
      <c r="BY19" s="87" t="str">
        <f>IFERROR(INDEX(Table14[Funds Channelled through UNICEF],MATCH('Matrix Allocations'!A19,Table14[ISO Code],0)),"")</f>
        <v/>
      </c>
      <c r="BZ19" s="87">
        <f t="shared" si="6"/>
        <v>0</v>
      </c>
      <c r="CA19">
        <f t="shared" si="19"/>
        <v>3263459</v>
      </c>
      <c r="CB19" s="782">
        <f t="shared" si="10"/>
        <v>979037.7</v>
      </c>
      <c r="CC19" s="791">
        <f t="shared" si="11"/>
        <v>2250000</v>
      </c>
      <c r="CD19" s="788">
        <f t="shared" si="12"/>
        <v>2.2981750345262495</v>
      </c>
      <c r="CE19" s="788">
        <f t="shared" si="13"/>
        <v>1.723631275894687</v>
      </c>
      <c r="CF19" s="828">
        <f t="shared" si="14"/>
        <v>0.98493215765410702</v>
      </c>
      <c r="CG19" s="828">
        <f t="shared" si="15"/>
        <v>0.68945251035787491</v>
      </c>
      <c r="CH19" s="88">
        <f t="shared" si="20"/>
        <v>0</v>
      </c>
      <c r="CI19" s="88">
        <f t="shared" si="16"/>
        <v>2050000</v>
      </c>
      <c r="CJ19" s="742">
        <f t="shared" si="21"/>
        <v>0</v>
      </c>
      <c r="CK19" s="848">
        <f t="shared" si="17"/>
        <v>2000000</v>
      </c>
      <c r="CL19" s="88">
        <f t="shared" si="18"/>
        <v>0</v>
      </c>
    </row>
    <row r="20" spans="1:90" ht="16" customHeight="1">
      <c r="A20" s="147" t="s">
        <v>566</v>
      </c>
      <c r="B20" s="147" t="s">
        <v>175</v>
      </c>
      <c r="C20" s="55" t="s">
        <v>128</v>
      </c>
      <c r="D20" s="55" t="s">
        <v>152</v>
      </c>
      <c r="E20" s="55" t="s">
        <v>146</v>
      </c>
      <c r="F20" s="56"/>
      <c r="G20" s="56" t="str">
        <f t="shared" si="0"/>
        <v>Yes</v>
      </c>
      <c r="H20" s="56" t="str">
        <f t="shared" si="0"/>
        <v>Yes</v>
      </c>
      <c r="I20" s="56" t="str">
        <f t="shared" si="1"/>
        <v>No</v>
      </c>
      <c r="J20" s="56" t="str">
        <f t="shared" si="2"/>
        <v>No</v>
      </c>
      <c r="K20" s="56" t="str">
        <f t="shared" si="3"/>
        <v>Yes</v>
      </c>
      <c r="L20" s="56" t="s">
        <v>541</v>
      </c>
      <c r="M20" s="55" t="s">
        <v>544</v>
      </c>
      <c r="N20" s="134" t="s">
        <v>544</v>
      </c>
      <c r="O20" s="55" t="s">
        <v>544</v>
      </c>
      <c r="P20" s="55"/>
      <c r="Q20" s="55"/>
      <c r="R20" s="55"/>
      <c r="S20" s="956">
        <v>843425084.07334602</v>
      </c>
      <c r="T20" s="55" t="s">
        <v>395</v>
      </c>
      <c r="U20" s="64" t="str">
        <f>IFERROR(IF(VLOOKUP(A20,'WB projects data'!$A$5:$C$83,3,0)="Approved",(VLOOKUP(A20,'WB projects data'!$A$5:$C$83,3,0)),""),"")</f>
        <v/>
      </c>
      <c r="V20" s="123" t="str">
        <f t="shared" si="4"/>
        <v/>
      </c>
      <c r="W20" s="123" t="str">
        <f>IFERROR((VLOOKUP($A20,'WB projects data'!$A$5:$J$83,6,0)*1000000),"")</f>
        <v/>
      </c>
      <c r="X20" s="123" t="str">
        <f>IFERROR((VLOOKUP($A20,'WB projects data'!$A$5:$J$83,7,0)*1000000),"")</f>
        <v/>
      </c>
      <c r="Y20" s="123" t="str">
        <f>IFERROR((VLOOKUP($A20,'WB projects data'!$A$5:$J$83,8,0)*1000000),"")</f>
        <v/>
      </c>
      <c r="Z20" s="123" t="str">
        <f>IFERROR((VLOOKUP($A20,'WB projects data'!$A$5:$J$83,9,0)*1000000),"")</f>
        <v/>
      </c>
      <c r="AA20" s="123" t="str">
        <f>IFERROR((VLOOKUP($A20,'WB projects data'!$A$5:$J$83,10,0)*1000000),"")</f>
        <v/>
      </c>
      <c r="AB20" s="55"/>
      <c r="AC20" s="110"/>
      <c r="AD20" s="110" t="str">
        <f>IFERROR(VLOOKUP(A20,'ADB Projects'!$A$4:$W$21,5,FALSE),"")</f>
        <v/>
      </c>
      <c r="AE20" s="132" t="str">
        <f>IF(AC20="Approved",(VLOOKUP($A20,'ADB Projects'!$A$5:$D$21,4,0)*1000000),"")</f>
        <v/>
      </c>
      <c r="AF20" s="585" t="str">
        <f>IF(AC20="Approved",(PRODUCT(VLOOKUP($A20,'ADB Projects'!$A$4:$W$21,6,FALSE),1000000)),"")</f>
        <v/>
      </c>
      <c r="AG20" s="585" t="str">
        <f>IF(AC20="Approved",(PRODUCT(VLOOKUP($A20,'ADB Projects'!$A$4:$W$21,7,FALSE),1000000)),"")</f>
        <v/>
      </c>
      <c r="AH20" s="585" t="str">
        <f>IF(AC20="Approved",(PRODUCT(VLOOKUP($A20,'ADB Projects'!$A$4:$W$21,8,FALSE),1000000)),"")</f>
        <v/>
      </c>
      <c r="AI20" s="55"/>
      <c r="AJ20" s="55"/>
      <c r="AK20" s="244"/>
      <c r="AL20" s="55" t="s">
        <v>541</v>
      </c>
      <c r="AM20" s="55"/>
      <c r="AN20" s="55"/>
      <c r="AO20" s="55"/>
      <c r="AP20" s="55"/>
      <c r="AQ20" s="602" t="str">
        <f t="shared" si="5"/>
        <v/>
      </c>
      <c r="AR20" s="602" t="str">
        <f>IFERROR(VLOOKUP($A20,'IDB C19 Vaccine Projects'!$O$4:$Q$12,2,FALSE),"")</f>
        <v/>
      </c>
      <c r="AS20" s="602" t="str">
        <f>IFERROR(VLOOKUP($A20,'IDB C19 Vaccine Projects'!$O$4:$Q$12,3,FALSE),"")</f>
        <v/>
      </c>
      <c r="AT20" s="55"/>
      <c r="AU20" s="88"/>
      <c r="AV20" s="635">
        <v>266162</v>
      </c>
      <c r="AW20" s="55"/>
      <c r="AX20" s="88">
        <f>INDEX(USAID!$C$3:$C$151,MATCH('Matrix Allocations'!A20,USAID!$A$3:$A$151,0))</f>
        <v>3555000</v>
      </c>
      <c r="AY20" s="110"/>
      <c r="AZ20" s="88">
        <f>IFERROR(INDEX('[4]Vx All regions allocations'!O$10:O$144,MATCH(A20,'[4]Vx All regions allocations'!A$10:A$144,0)),"")</f>
        <v>650000</v>
      </c>
      <c r="BA20" s="88">
        <v>0</v>
      </c>
      <c r="BB20" s="88">
        <v>0</v>
      </c>
      <c r="BC20" s="88" t="str">
        <f>IFERROR(INDEX(DFAT!$K$4:$K$21,MATCH('Matrix Allocations'!A20,DFAT!$B$4:$B$21,0)),"")</f>
        <v/>
      </c>
      <c r="BD20" s="88"/>
      <c r="BE20" s="826" t="str">
        <f>IFERROR(IF(INDEX('GAVI CCE'!$E$3:$E$95,MATCH('Matrix Allocations'!A20,'GAVI CCE'!$A$3:$A$95,0))="Yes",INDEX('GAVI CCE'!$E$3:$E$95,MATCH('Matrix Allocations'!A20,'GAVI CCE'!$A$3:$A$95,0)),""),"")</f>
        <v/>
      </c>
      <c r="BF20" s="88" t="str">
        <f>IFERROR(IF(BE20="Yes",INDEX('GAVI CCE'!$F$3:$F$95,MATCH('Matrix Allocations'!A20,'GAVI CCE'!$A$3:$A$95,0)),""),"")</f>
        <v/>
      </c>
      <c r="BG20" s="609" t="str">
        <f>IFERROR(IF(E20='CDS early access ceilings'!$A$94,(VLOOKUP(A20,'CDS early access ceilings'!$A$2:$D$92,4,FALSE)),""),"")</f>
        <v/>
      </c>
      <c r="BH20" s="639" t="str">
        <f>IFERROR(INDEX(Table14[Status (clean)],MATCH('Matrix Allocations'!A20,Table14[ISO Code],0)),"")</f>
        <v/>
      </c>
      <c r="BI20" s="641" t="str">
        <f>IFERROR(INDEX(Table14[Amount disbursed (USD)],MATCH('Matrix Allocations'!A20,Table14[ISO Code],0)),"")</f>
        <v/>
      </c>
      <c r="BJ20" s="641" t="str">
        <f>IFERROR(INDEX('CDS NBW'!$I$2:$I$39,MATCH(A20,'CDS NBW'!$A$2:$A$39,0)),"")</f>
        <v/>
      </c>
      <c r="BK20" s="641" t="str">
        <f>IFERROR(INDEX('CDS NBW'!$J$2:$J$39,MATCH(A20,'CDS NBW'!$A$2:$A$39,0)),"")</f>
        <v/>
      </c>
      <c r="BL20" s="609"/>
      <c r="BM20" s="609"/>
      <c r="BN20" s="609"/>
      <c r="BO20" s="609"/>
      <c r="BP20" s="609">
        <f>IFERROR(INDEX('UNICEF-BMZ'!$O$1:$O$199,MATCH('Matrix Allocations'!A20,'UNICEF-BMZ'!$B$1:$B$199,0)),"")</f>
        <v>0</v>
      </c>
      <c r="BQ20" s="609" t="str">
        <f>IFERROR(VLOOKUP(A20,'BMGF_clean data'!$A$4:$C$30,3,FALSE),"")</f>
        <v/>
      </c>
      <c r="BR20" s="88"/>
      <c r="BS20" s="88"/>
      <c r="BT20" s="88"/>
      <c r="BU20" s="88"/>
      <c r="BV20" s="88"/>
      <c r="BW20" s="87">
        <f>INDEX(USAID!$D$3:$D$151,MATCH('Matrix Allocations'!A20,USAID!$A$3:$A$151,0))</f>
        <v>0</v>
      </c>
      <c r="BX20" s="87" t="str">
        <f>IFERROR(INDEX(DFAT!$L$4:$L$21,MATCH('Matrix Allocations'!A20,DFAT!$B$4:$B$21,0)),"")</f>
        <v/>
      </c>
      <c r="BY20" s="87" t="str">
        <f>IFERROR(INDEX(Table14[Funds Channelled through UNICEF],MATCH('Matrix Allocations'!A20,Table14[ISO Code],0)),"")</f>
        <v/>
      </c>
      <c r="BZ20" s="87">
        <f t="shared" si="6"/>
        <v>0</v>
      </c>
      <c r="CA20">
        <f t="shared" si="19"/>
        <v>2397240</v>
      </c>
      <c r="CB20" s="782">
        <f t="shared" si="10"/>
        <v>719172</v>
      </c>
      <c r="CC20" s="791">
        <f t="shared" si="11"/>
        <v>4471162</v>
      </c>
      <c r="CD20" s="788">
        <f t="shared" si="12"/>
        <v>6.2170968836384066</v>
      </c>
      <c r="CE20" s="788">
        <f t="shared" si="13"/>
        <v>4.6628226627288045</v>
      </c>
      <c r="CF20" s="828">
        <f t="shared" si="14"/>
        <v>2.6644700929878886</v>
      </c>
      <c r="CG20" s="828">
        <f t="shared" si="15"/>
        <v>1.865129065091522</v>
      </c>
      <c r="CH20" s="88">
        <f t="shared" si="20"/>
        <v>0</v>
      </c>
      <c r="CI20" s="88">
        <f t="shared" si="16"/>
        <v>3555000</v>
      </c>
      <c r="CJ20" s="742">
        <f t="shared" si="21"/>
        <v>266162</v>
      </c>
      <c r="CK20" s="848">
        <f t="shared" si="17"/>
        <v>916162</v>
      </c>
      <c r="CL20" s="88">
        <f t="shared" si="18"/>
        <v>0</v>
      </c>
    </row>
    <row r="21" spans="1:90" ht="16" customHeight="1">
      <c r="A21" s="55" t="s">
        <v>567</v>
      </c>
      <c r="B21" s="55" t="s">
        <v>144</v>
      </c>
      <c r="C21" s="55" t="s">
        <v>130</v>
      </c>
      <c r="D21" s="55" t="s">
        <v>152</v>
      </c>
      <c r="E21" s="55" t="s">
        <v>146</v>
      </c>
      <c r="F21" s="56"/>
      <c r="G21" s="56" t="str">
        <f t="shared" si="0"/>
        <v>Yes</v>
      </c>
      <c r="H21" s="56" t="str">
        <f t="shared" si="0"/>
        <v>Yes</v>
      </c>
      <c r="I21" s="56" t="str">
        <f t="shared" si="1"/>
        <v>No</v>
      </c>
      <c r="J21" s="56" t="str">
        <f t="shared" si="2"/>
        <v>No</v>
      </c>
      <c r="K21" s="56" t="str">
        <f t="shared" si="3"/>
        <v>Yes</v>
      </c>
      <c r="L21" s="56" t="s">
        <v>541</v>
      </c>
      <c r="M21" s="55" t="s">
        <v>544</v>
      </c>
      <c r="N21" s="134" t="s">
        <v>544</v>
      </c>
      <c r="O21" s="55" t="s">
        <v>544</v>
      </c>
      <c r="P21" s="55" t="s">
        <v>546</v>
      </c>
      <c r="Q21" s="55"/>
      <c r="R21" s="55"/>
      <c r="S21" s="956">
        <v>74055620038.853683</v>
      </c>
      <c r="T21" s="55" t="s">
        <v>395</v>
      </c>
      <c r="U21" s="64" t="str">
        <f>IFERROR(IF(VLOOKUP(A21,'WB projects data'!$A$5:$C$83,3,0)="Approved",(VLOOKUP(A21,'WB projects data'!$A$5:$C$83,3,0)),""),"")</f>
        <v/>
      </c>
      <c r="V21" s="123" t="str">
        <f t="shared" si="4"/>
        <v/>
      </c>
      <c r="W21" s="123" t="str">
        <f>IFERROR((VLOOKUP($A21,'WB projects data'!$A$5:$J$83,6,0)*1000000),"")</f>
        <v/>
      </c>
      <c r="X21" s="123" t="str">
        <f>IFERROR((VLOOKUP($A21,'WB projects data'!$A$5:$J$83,7,0)*1000000),"")</f>
        <v/>
      </c>
      <c r="Y21" s="123" t="str">
        <f>IFERROR((VLOOKUP($A21,'WB projects data'!$A$5:$J$83,8,0)*1000000),"")</f>
        <v/>
      </c>
      <c r="Z21" s="123" t="str">
        <f>IFERROR((VLOOKUP($A21,'WB projects data'!$A$5:$J$83,9,0)*1000000),"")</f>
        <v/>
      </c>
      <c r="AA21" s="123" t="str">
        <f>IFERROR((VLOOKUP($A21,'WB projects data'!$A$5:$J$83,10,0)*1000000),"")</f>
        <v/>
      </c>
      <c r="AB21" s="55"/>
      <c r="AC21" s="110"/>
      <c r="AD21" s="110" t="str">
        <f>IFERROR(VLOOKUP(A21,'ADB Projects'!$A$4:$W$21,5,FALSE),"")</f>
        <v/>
      </c>
      <c r="AE21" s="132" t="str">
        <f>IF(AC21="Approved",(VLOOKUP($A21,'ADB Projects'!$A$5:$D$21,4,0)*1000000),"")</f>
        <v/>
      </c>
      <c r="AF21" s="585" t="str">
        <f>IF(AC21="Approved",(PRODUCT(VLOOKUP($A21,'ADB Projects'!$A$4:$W$21,6,FALSE),1000000)),"")</f>
        <v/>
      </c>
      <c r="AG21" s="585" t="str">
        <f>IF(AC21="Approved",(PRODUCT(VLOOKUP($A21,'ADB Projects'!$A$4:$W$21,7,FALSE),1000000)),"")</f>
        <v/>
      </c>
      <c r="AH21" s="585" t="str">
        <f>IF(AC21="Approved",(PRODUCT(VLOOKUP($A21,'ADB Projects'!$A$4:$W$21,8,FALSE),1000000)),"")</f>
        <v/>
      </c>
      <c r="AI21" s="55"/>
      <c r="AJ21" s="55"/>
      <c r="AK21" s="244"/>
      <c r="AL21" s="55"/>
      <c r="AM21" s="55"/>
      <c r="AN21" s="55"/>
      <c r="AO21" s="55" t="s">
        <v>541</v>
      </c>
      <c r="AP21" s="55"/>
      <c r="AQ21" s="602" t="str">
        <f t="shared" si="5"/>
        <v/>
      </c>
      <c r="AR21" s="602" t="str">
        <f>IFERROR(VLOOKUP($A21,'IDB C19 Vaccine Projects'!$O$4:$Q$12,2,FALSE),"")</f>
        <v/>
      </c>
      <c r="AS21" s="602" t="str">
        <f>IFERROR(VLOOKUP($A21,'IDB C19 Vaccine Projects'!$O$4:$Q$12,3,FALSE),"")</f>
        <v/>
      </c>
      <c r="AT21" s="55"/>
      <c r="AU21" s="88"/>
      <c r="AV21" s="635"/>
      <c r="AW21" s="55"/>
      <c r="AX21" s="88">
        <f>INDEX(USAID!$C$3:$C$151,MATCH('Matrix Allocations'!A21,USAID!$A$3:$A$151,0))</f>
        <v>3750000</v>
      </c>
      <c r="AY21" s="110"/>
      <c r="AZ21" s="88">
        <f>IFERROR(INDEX('[4]Vx All regions allocations'!O$10:O$144,MATCH(A21,'[4]Vx All regions allocations'!A$10:A$144,0)),"")</f>
        <v>660000</v>
      </c>
      <c r="BA21" s="88">
        <v>0</v>
      </c>
      <c r="BB21" s="88">
        <v>0</v>
      </c>
      <c r="BC21" s="88" t="str">
        <f>IFERROR(INDEX(DFAT!$K$4:$K$21,MATCH('Matrix Allocations'!A21,DFAT!$B$4:$B$21,0)),"")</f>
        <v/>
      </c>
      <c r="BD21" s="88"/>
      <c r="BE21" s="826" t="str">
        <f>IFERROR(IF(INDEX('GAVI CCE'!$E$3:$E$95,MATCH('Matrix Allocations'!A21,'GAVI CCE'!$A$3:$A$95,0))="Yes",INDEX('GAVI CCE'!$E$3:$E$95,MATCH('Matrix Allocations'!A21,'GAVI CCE'!$A$3:$A$95,0)),""),"")</f>
        <v/>
      </c>
      <c r="BF21" s="88" t="str">
        <f>IFERROR(IF(BE21="Yes",INDEX('GAVI CCE'!$F$3:$F$95,MATCH('Matrix Allocations'!A21,'GAVI CCE'!$A$3:$A$95,0)),""),"")</f>
        <v/>
      </c>
      <c r="BG21" s="609" t="str">
        <f>IFERROR(IF(E21='CDS early access ceilings'!$A$94,(VLOOKUP(A21,'CDS early access ceilings'!$A$2:$D$92,4,FALSE)),""),"")</f>
        <v/>
      </c>
      <c r="BH21" s="639" t="str">
        <f>IFERROR(INDEX(Table14[Status (clean)],MATCH('Matrix Allocations'!A21,Table14[ISO Code],0)),"")</f>
        <v/>
      </c>
      <c r="BI21" s="641" t="str">
        <f>IFERROR(INDEX(Table14[Amount disbursed (USD)],MATCH('Matrix Allocations'!A21,Table14[ISO Code],0)),"")</f>
        <v/>
      </c>
      <c r="BJ21" s="641" t="str">
        <f>IFERROR(INDEX('CDS NBW'!$I$2:$I$39,MATCH(A21,'CDS NBW'!$A$2:$A$39,0)),"")</f>
        <v/>
      </c>
      <c r="BK21" s="641" t="str">
        <f>IFERROR(INDEX('CDS NBW'!$J$2:$J$39,MATCH(A21,'CDS NBW'!$A$2:$A$39,0)),"")</f>
        <v/>
      </c>
      <c r="BL21" s="609"/>
      <c r="BM21" s="609"/>
      <c r="BN21" s="609"/>
      <c r="BO21" s="609">
        <v>92593</v>
      </c>
      <c r="BP21" s="609">
        <f>IFERROR(INDEX('UNICEF-BMZ'!$O$1:$O$199,MATCH('Matrix Allocations'!A21,'UNICEF-BMZ'!$B$1:$B$199,0)),"")</f>
        <v>0</v>
      </c>
      <c r="BQ21" s="609" t="str">
        <f>IFERROR(VLOOKUP(A21,'BMGF_clean data'!$A$4:$C$30,3,FALSE),"")</f>
        <v/>
      </c>
      <c r="BR21" s="88"/>
      <c r="BS21" s="88"/>
      <c r="BT21" s="88"/>
      <c r="BU21" s="88"/>
      <c r="BV21" s="88"/>
      <c r="BW21" s="87">
        <f>INDEX(USAID!$D$3:$D$151,MATCH('Matrix Allocations'!A21,USAID!$A$3:$A$151,0))</f>
        <v>0</v>
      </c>
      <c r="BX21" s="87" t="str">
        <f>IFERROR(INDEX(DFAT!$L$4:$L$21,MATCH('Matrix Allocations'!A21,DFAT!$B$4:$B$21,0)),"")</f>
        <v/>
      </c>
      <c r="BY21" s="87" t="str">
        <f>IFERROR(INDEX(Table14[Funds Channelled through UNICEF],MATCH('Matrix Allocations'!A21,Table14[ISO Code],0)),"")</f>
        <v/>
      </c>
      <c r="BZ21" s="87">
        <f t="shared" si="6"/>
        <v>0</v>
      </c>
      <c r="CA21">
        <f t="shared" si="19"/>
        <v>213993441</v>
      </c>
      <c r="CB21" s="782">
        <f t="shared" si="10"/>
        <v>64198032.299999997</v>
      </c>
      <c r="CC21" s="791">
        <f t="shared" si="11"/>
        <v>4502593</v>
      </c>
      <c r="CD21" s="788">
        <f t="shared" si="12"/>
        <v>7.0135996987558763E-2</v>
      </c>
      <c r="CE21" s="788">
        <f t="shared" si="13"/>
        <v>5.2601997740669065E-2</v>
      </c>
      <c r="CF21" s="828">
        <f t="shared" si="14"/>
        <v>3.0058284423239472E-2</v>
      </c>
      <c r="CG21" s="828">
        <f t="shared" si="15"/>
        <v>2.1040799096267628E-2</v>
      </c>
      <c r="CH21" s="88">
        <f t="shared" si="20"/>
        <v>0</v>
      </c>
      <c r="CI21" s="88">
        <f t="shared" si="16"/>
        <v>3750000</v>
      </c>
      <c r="CJ21" s="742">
        <f t="shared" si="21"/>
        <v>92593</v>
      </c>
      <c r="CK21" s="848">
        <f t="shared" si="17"/>
        <v>752593</v>
      </c>
      <c r="CL21" s="88">
        <f t="shared" si="18"/>
        <v>0</v>
      </c>
    </row>
    <row r="22" spans="1:90" ht="16" customHeight="1">
      <c r="A22" s="147" t="s">
        <v>568</v>
      </c>
      <c r="B22" s="147" t="s">
        <v>176</v>
      </c>
      <c r="C22" s="55" t="s">
        <v>127</v>
      </c>
      <c r="D22" s="55" t="s">
        <v>152</v>
      </c>
      <c r="E22" s="55" t="s">
        <v>146</v>
      </c>
      <c r="F22" s="56"/>
      <c r="G22" s="56" t="str">
        <f t="shared" si="0"/>
        <v>Yes</v>
      </c>
      <c r="H22" s="56" t="str">
        <f t="shared" si="0"/>
        <v>Yes</v>
      </c>
      <c r="I22" s="56" t="str">
        <f t="shared" si="1"/>
        <v>No</v>
      </c>
      <c r="J22" s="56" t="str">
        <f t="shared" si="2"/>
        <v>No</v>
      </c>
      <c r="K22" s="56" t="str">
        <f t="shared" si="3"/>
        <v>Yes</v>
      </c>
      <c r="L22" s="56" t="s">
        <v>541</v>
      </c>
      <c r="M22" s="55" t="s">
        <v>544</v>
      </c>
      <c r="N22" s="134" t="s">
        <v>544</v>
      </c>
      <c r="O22" s="55" t="s">
        <v>544</v>
      </c>
      <c r="P22" s="55"/>
      <c r="Q22" s="55"/>
      <c r="R22" s="55"/>
      <c r="S22" s="956">
        <v>2803357765.5888777</v>
      </c>
      <c r="T22" s="55" t="s">
        <v>395</v>
      </c>
      <c r="U22" s="64" t="str">
        <f>IFERROR(IF(VLOOKUP(A22,'WB projects data'!$A$5:$C$83,3,0)="Approved",(VLOOKUP(A22,'WB projects data'!$A$5:$C$83,3,0)),""),"")</f>
        <v/>
      </c>
      <c r="V22" s="123" t="str">
        <f t="shared" si="4"/>
        <v/>
      </c>
      <c r="W22" s="123" t="str">
        <f>IFERROR((VLOOKUP($A22,'WB projects data'!$A$5:$J$83,6,0)*1000000),"")</f>
        <v/>
      </c>
      <c r="X22" s="123" t="str">
        <f>IFERROR((VLOOKUP($A22,'WB projects data'!$A$5:$J$83,7,0)*1000000),"")</f>
        <v/>
      </c>
      <c r="Y22" s="123" t="str">
        <f>IFERROR((VLOOKUP($A22,'WB projects data'!$A$5:$J$83,8,0)*1000000),"")</f>
        <v/>
      </c>
      <c r="Z22" s="123" t="str">
        <f>IFERROR((VLOOKUP($A22,'WB projects data'!$A$5:$J$83,9,0)*1000000),"")</f>
        <v/>
      </c>
      <c r="AA22" s="123" t="str">
        <f>IFERROR((VLOOKUP($A22,'WB projects data'!$A$5:$J$83,10,0)*1000000),"")</f>
        <v/>
      </c>
      <c r="AB22" s="55"/>
      <c r="AC22" s="110"/>
      <c r="AD22" s="110" t="str">
        <f>IFERROR(VLOOKUP(A22,'ADB Projects'!$A$4:$W$21,5,FALSE),"")</f>
        <v/>
      </c>
      <c r="AE22" s="132" t="str">
        <f>IF(AC22="Approved",(VLOOKUP($A22,'ADB Projects'!$A$5:$D$21,4,0)*1000000),"")</f>
        <v/>
      </c>
      <c r="AF22" s="585" t="str">
        <f>IF(AC22="Approved",(PRODUCT(VLOOKUP($A22,'ADB Projects'!$A$4:$W$21,6,FALSE),1000000)),"")</f>
        <v/>
      </c>
      <c r="AG22" s="585" t="str">
        <f>IF(AC22="Approved",(PRODUCT(VLOOKUP($A22,'ADB Projects'!$A$4:$W$21,7,FALSE),1000000)),"")</f>
        <v/>
      </c>
      <c r="AH22" s="585" t="str">
        <f>IF(AC22="Approved",(PRODUCT(VLOOKUP($A22,'ADB Projects'!$A$4:$W$21,8,FALSE),1000000)),"")</f>
        <v/>
      </c>
      <c r="AI22" s="55"/>
      <c r="AJ22" s="55"/>
      <c r="AK22" s="244"/>
      <c r="AL22" s="55"/>
      <c r="AM22" s="55"/>
      <c r="AN22" s="55"/>
      <c r="AO22" s="55"/>
      <c r="AP22" s="55"/>
      <c r="AQ22" s="602" t="str">
        <f t="shared" si="5"/>
        <v/>
      </c>
      <c r="AR22" s="602" t="str">
        <f>IFERROR(VLOOKUP($A22,'IDB C19 Vaccine Projects'!$O$4:$Q$12,2,FALSE),"")</f>
        <v/>
      </c>
      <c r="AS22" s="602" t="str">
        <f>IFERROR(VLOOKUP($A22,'IDB C19 Vaccine Projects'!$O$4:$Q$12,3,FALSE),"")</f>
        <v/>
      </c>
      <c r="AT22" s="55"/>
      <c r="AU22" s="88"/>
      <c r="AV22" s="635"/>
      <c r="AW22" s="55"/>
      <c r="AX22" s="88">
        <f>INDEX(USAID!$C$3:$C$151,MATCH('Matrix Allocations'!A22,USAID!$A$3:$A$151,0))</f>
        <v>1300000</v>
      </c>
      <c r="AY22" s="110"/>
      <c r="AZ22" s="88" t="str">
        <f>IFERROR(INDEX('[4]Vx All regions allocations'!O$10:O$144,MATCH(A22,'[4]Vx All regions allocations'!A$10:A$144,0)),"")</f>
        <v/>
      </c>
      <c r="BA22" s="88">
        <v>0</v>
      </c>
      <c r="BB22" s="88">
        <v>0</v>
      </c>
      <c r="BC22" s="88" t="str">
        <f>IFERROR(INDEX(DFAT!$K$4:$K$21,MATCH('Matrix Allocations'!A22,DFAT!$B$4:$B$21,0)),"")</f>
        <v/>
      </c>
      <c r="BD22" s="88"/>
      <c r="BE22" s="826" t="str">
        <f>IFERROR(IF(INDEX('GAVI CCE'!$E$3:$E$95,MATCH('Matrix Allocations'!A22,'GAVI CCE'!$A$3:$A$95,0))="Yes",INDEX('GAVI CCE'!$E$3:$E$95,MATCH('Matrix Allocations'!A22,'GAVI CCE'!$A$3:$A$95,0)),""),"")</f>
        <v/>
      </c>
      <c r="BF22" s="88" t="str">
        <f>IFERROR(IF(BE22="Yes",INDEX('GAVI CCE'!$F$3:$F$95,MATCH('Matrix Allocations'!A22,'GAVI CCE'!$A$3:$A$95,0)),""),"")</f>
        <v/>
      </c>
      <c r="BG22" s="609" t="str">
        <f>IFERROR(IF(E22='CDS early access ceilings'!$A$94,(VLOOKUP(A22,'CDS early access ceilings'!$A$2:$D$92,4,FALSE)),""),"")</f>
        <v/>
      </c>
      <c r="BH22" s="639" t="str">
        <f>IFERROR(INDEX(Table14[Status (clean)],MATCH('Matrix Allocations'!A22,Table14[ISO Code],0)),"")</f>
        <v/>
      </c>
      <c r="BI22" s="641" t="str">
        <f>IFERROR(INDEX(Table14[Amount disbursed (USD)],MATCH('Matrix Allocations'!A22,Table14[ISO Code],0)),"")</f>
        <v/>
      </c>
      <c r="BJ22" s="641" t="str">
        <f>IFERROR(INDEX('CDS NBW'!$I$2:$I$39,MATCH(A22,'CDS NBW'!$A$2:$A$39,0)),"")</f>
        <v/>
      </c>
      <c r="BK22" s="641" t="str">
        <f>IFERROR(INDEX('CDS NBW'!$J$2:$J$39,MATCH(A22,'CDS NBW'!$A$2:$A$39,0)),"")</f>
        <v/>
      </c>
      <c r="BL22" s="609"/>
      <c r="BM22" s="609"/>
      <c r="BN22" s="609"/>
      <c r="BO22" s="609"/>
      <c r="BP22" s="609">
        <f>IFERROR(INDEX('UNICEF-BMZ'!$O$1:$O$199,MATCH('Matrix Allocations'!A22,'UNICEF-BMZ'!$B$1:$B$199,0)),"")</f>
        <v>0</v>
      </c>
      <c r="BQ22" s="609" t="str">
        <f>IFERROR(VLOOKUP(A22,'BMGF_clean data'!$A$4:$C$30,3,FALSE),"")</f>
        <v/>
      </c>
      <c r="BR22" s="88"/>
      <c r="BS22" s="88"/>
      <c r="BT22" s="88"/>
      <c r="BU22" s="88"/>
      <c r="BV22" s="88"/>
      <c r="BW22" s="87">
        <f>INDEX(USAID!$D$3:$D$151,MATCH('Matrix Allocations'!A22,USAID!$A$3:$A$151,0))</f>
        <v>0</v>
      </c>
      <c r="BX22" s="87" t="str">
        <f>IFERROR(INDEX(DFAT!$L$4:$L$21,MATCH('Matrix Allocations'!A22,DFAT!$B$4:$B$21,0)),"")</f>
        <v/>
      </c>
      <c r="BY22" s="87" t="str">
        <f>IFERROR(INDEX(Table14[Funds Channelled through UNICEF],MATCH('Matrix Allocations'!A22,Table14[ISO Code],0)),"")</f>
        <v/>
      </c>
      <c r="BZ22" s="87">
        <f t="shared" si="6"/>
        <v>0</v>
      </c>
      <c r="CA22">
        <f t="shared" si="19"/>
        <v>6948445</v>
      </c>
      <c r="CB22" s="782">
        <f t="shared" si="10"/>
        <v>2084533.5</v>
      </c>
      <c r="CC22" s="791">
        <f t="shared" si="11"/>
        <v>1300000</v>
      </c>
      <c r="CD22" s="788">
        <f t="shared" si="12"/>
        <v>0.62364073304650658</v>
      </c>
      <c r="CE22" s="788">
        <f t="shared" si="13"/>
        <v>0.46773054978487993</v>
      </c>
      <c r="CF22" s="828">
        <f t="shared" si="14"/>
        <v>0.26727459987707425</v>
      </c>
      <c r="CG22" s="828">
        <f t="shared" si="15"/>
        <v>0.18709221991395197</v>
      </c>
      <c r="CH22" s="88">
        <f t="shared" si="20"/>
        <v>0</v>
      </c>
      <c r="CI22" s="88">
        <f t="shared" si="16"/>
        <v>1300000</v>
      </c>
      <c r="CJ22" s="742">
        <f t="shared" si="21"/>
        <v>0</v>
      </c>
      <c r="CK22" s="848">
        <f t="shared" si="17"/>
        <v>0</v>
      </c>
      <c r="CL22" s="88">
        <f t="shared" si="18"/>
        <v>0</v>
      </c>
    </row>
    <row r="23" spans="1:90" ht="16" customHeight="1">
      <c r="A23" s="55" t="s">
        <v>569</v>
      </c>
      <c r="B23" s="55" t="s">
        <v>177</v>
      </c>
      <c r="C23" s="55" t="s">
        <v>129</v>
      </c>
      <c r="D23" s="55" t="s">
        <v>148</v>
      </c>
      <c r="E23" s="55" t="s">
        <v>145</v>
      </c>
      <c r="F23" s="56">
        <v>2</v>
      </c>
      <c r="G23" s="56" t="str">
        <f t="shared" si="0"/>
        <v>No</v>
      </c>
      <c r="H23" s="56" t="str">
        <f t="shared" si="0"/>
        <v>No</v>
      </c>
      <c r="I23" s="56" t="str">
        <f t="shared" si="1"/>
        <v>No</v>
      </c>
      <c r="J23" s="56" t="str">
        <f t="shared" si="2"/>
        <v>Yes</v>
      </c>
      <c r="K23" s="56" t="str">
        <f t="shared" si="3"/>
        <v>No</v>
      </c>
      <c r="L23" s="56" t="s">
        <v>541</v>
      </c>
      <c r="M23" s="55" t="s">
        <v>541</v>
      </c>
      <c r="N23" s="134" t="s">
        <v>541</v>
      </c>
      <c r="O23" s="55" t="s">
        <v>541</v>
      </c>
      <c r="P23" s="55" t="s">
        <v>562</v>
      </c>
      <c r="Q23" s="55"/>
      <c r="R23" s="55"/>
      <c r="S23" s="956">
        <v>337927779.25510043</v>
      </c>
      <c r="T23" s="55" t="s">
        <v>394</v>
      </c>
      <c r="U23" s="64" t="str">
        <f>IFERROR(IF(VLOOKUP(A23,'WB projects data'!$A$5:$C$83,3,0)="Approved",(VLOOKUP(A23,'WB projects data'!$A$5:$C$83,3,0)),""),"")</f>
        <v/>
      </c>
      <c r="V23" s="123" t="str">
        <f t="shared" si="4"/>
        <v/>
      </c>
      <c r="W23" s="123" t="str">
        <f>IFERROR((VLOOKUP($A23,'WB projects data'!$A$5:$J$83,6,0)*1000000),"")</f>
        <v/>
      </c>
      <c r="X23" s="123" t="str">
        <f>IFERROR((VLOOKUP($A23,'WB projects data'!$A$5:$J$83,7,0)*1000000),"")</f>
        <v/>
      </c>
      <c r="Y23" s="123" t="str">
        <f>IFERROR((VLOOKUP($A23,'WB projects data'!$A$5:$J$83,8,0)*1000000),"")</f>
        <v/>
      </c>
      <c r="Z23" s="123" t="str">
        <f>IFERROR((VLOOKUP($A23,'WB projects data'!$A$5:$J$83,9,0)*1000000),"")</f>
        <v/>
      </c>
      <c r="AA23" s="123" t="str">
        <f>IFERROR((VLOOKUP($A23,'WB projects data'!$A$5:$J$83,10,0)*1000000),"")</f>
        <v/>
      </c>
      <c r="AB23" s="55"/>
      <c r="AC23" s="110"/>
      <c r="AD23" s="110" t="str">
        <f>IFERROR(VLOOKUP(A23,'ADB Projects'!$A$4:$W$21,5,FALSE),"")</f>
        <v/>
      </c>
      <c r="AE23" s="132" t="str">
        <f>IF(AC23="Approved",(VLOOKUP($A23,'ADB Projects'!$A$5:$D$21,4,0)*1000000),"")</f>
        <v/>
      </c>
      <c r="AF23" s="585" t="str">
        <f>IF(AC23="Approved",(PRODUCT(VLOOKUP($A23,'ADB Projects'!$A$4:$W$21,6,FALSE),1000000)),"")</f>
        <v/>
      </c>
      <c r="AG23" s="585" t="str">
        <f>IF(AC23="Approved",(PRODUCT(VLOOKUP($A23,'ADB Projects'!$A$4:$W$21,7,FALSE),1000000)),"")</f>
        <v/>
      </c>
      <c r="AH23" s="585" t="str">
        <f>IF(AC23="Approved",(PRODUCT(VLOOKUP($A23,'ADB Projects'!$A$4:$W$21,8,FALSE),1000000)),"")</f>
        <v/>
      </c>
      <c r="AI23" s="55" t="s">
        <v>541</v>
      </c>
      <c r="AJ23" s="55"/>
      <c r="AK23" s="244"/>
      <c r="AL23" s="55"/>
      <c r="AM23" s="55"/>
      <c r="AN23" s="55"/>
      <c r="AO23" s="55"/>
      <c r="AP23" s="55"/>
      <c r="AQ23" s="602" t="str">
        <f t="shared" si="5"/>
        <v/>
      </c>
      <c r="AR23" s="602" t="str">
        <f>IFERROR(VLOOKUP($A23,'IDB C19 Vaccine Projects'!$O$4:$Q$12,2,FALSE),"")</f>
        <v/>
      </c>
      <c r="AS23" s="602" t="str">
        <f>IFERROR(VLOOKUP($A23,'IDB C19 Vaccine Projects'!$O$4:$Q$12,3,FALSE),"")</f>
        <v/>
      </c>
      <c r="AT23" s="55"/>
      <c r="AU23" s="88"/>
      <c r="AV23" s="635"/>
      <c r="AW23" s="55"/>
      <c r="AX23" s="88">
        <f>INDEX(USAID!$C$3:$C$151,MATCH('Matrix Allocations'!A23,USAID!$A$3:$A$151,0))</f>
        <v>2000000</v>
      </c>
      <c r="AY23" s="110"/>
      <c r="AZ23" s="88">
        <f>IFERROR(INDEX('[4]Vx All regions allocations'!O$10:O$144,MATCH(A23,'[4]Vx All regions allocations'!A$10:A$144,0)),"")</f>
        <v>898700</v>
      </c>
      <c r="BA23" s="88">
        <v>385000</v>
      </c>
      <c r="BB23" s="88">
        <v>398040</v>
      </c>
      <c r="BC23" s="88" t="str">
        <f>IFERROR(INDEX(DFAT!$K$4:$K$21,MATCH('Matrix Allocations'!A23,DFAT!$B$4:$B$21,0)),"")</f>
        <v/>
      </c>
      <c r="BD23" s="88"/>
      <c r="BE23" s="826" t="str">
        <f>IFERROR(IF(INDEX('GAVI CCE'!$E$3:$E$95,MATCH('Matrix Allocations'!A23,'GAVI CCE'!$A$3:$A$95,0))="Yes",INDEX('GAVI CCE'!$E$3:$E$95,MATCH('Matrix Allocations'!A23,'GAVI CCE'!$A$3:$A$95,0)),""),"")</f>
        <v>Yes</v>
      </c>
      <c r="BF23" s="88">
        <f>IFERROR(IF(BE23="Yes",INDEX('GAVI CCE'!$F$3:$F$95,MATCH('Matrix Allocations'!A23,'GAVI CCE'!$A$3:$A$95,0)),""),"")</f>
        <v>555832</v>
      </c>
      <c r="BG23" s="609" t="str">
        <f>IFERROR(IF(E23='CDS early access ceilings'!$A$94,(VLOOKUP(A23,'CDS early access ceilings'!$A$2:$D$92,4,FALSE)),""),"")</f>
        <v>GAVI</v>
      </c>
      <c r="BH23" s="639" t="str">
        <f>IFERROR(INDEX(Table14[Status (clean)],MATCH('Matrix Allocations'!A23,Table14[ISO Code],0)),"")</f>
        <v>Disbursed</v>
      </c>
      <c r="BI23" s="641">
        <f>IFERROR(INDEX(Table14[Amount disbursed (USD)],MATCH('Matrix Allocations'!A23,Table14[ISO Code],0)),"")</f>
        <v>1144242</v>
      </c>
      <c r="BJ23" s="641" t="str">
        <f>IFERROR(INDEX('CDS NBW'!$I$2:$I$39,MATCH(A23,'CDS NBW'!$A$2:$A$39,0)),"")</f>
        <v/>
      </c>
      <c r="BK23" s="641" t="str">
        <f>IFERROR(INDEX('CDS NBW'!$J$2:$J$39,MATCH(A23,'CDS NBW'!$A$2:$A$39,0)),"")</f>
        <v/>
      </c>
      <c r="BL23" s="609"/>
      <c r="BM23" s="609"/>
      <c r="BN23" s="609"/>
      <c r="BO23" s="609"/>
      <c r="BP23" s="609">
        <f>IFERROR(INDEX('UNICEF-BMZ'!$O$1:$O$199,MATCH('Matrix Allocations'!A23,'UNICEF-BMZ'!$B$1:$B$199,0)),"")</f>
        <v>78000</v>
      </c>
      <c r="BQ23" s="609">
        <f>IFERROR(VLOOKUP(A23,'BMGF_clean data'!$A$4:$C$30,3,FALSE),"")</f>
        <v>2736000</v>
      </c>
      <c r="BR23" s="88"/>
      <c r="BS23" s="88">
        <v>1110635</v>
      </c>
      <c r="BT23" s="88"/>
      <c r="BU23" s="88"/>
      <c r="BV23" s="88"/>
      <c r="BW23" s="87">
        <f>INDEX(USAID!$D$3:$D$151,MATCH('Matrix Allocations'!A23,USAID!$A$3:$A$151,0))</f>
        <v>350000</v>
      </c>
      <c r="BX23" s="87" t="str">
        <f>IFERROR(INDEX(DFAT!$L$4:$L$21,MATCH('Matrix Allocations'!A23,DFAT!$B$4:$B$21,0)),"")</f>
        <v/>
      </c>
      <c r="BY23" s="87">
        <f>IFERROR(INDEX(Table14[Funds Channelled through UNICEF],MATCH('Matrix Allocations'!A23,Table14[ISO Code],0)),"")</f>
        <v>0</v>
      </c>
      <c r="BZ23" s="87">
        <f t="shared" si="6"/>
        <v>0</v>
      </c>
      <c r="CA23">
        <f t="shared" si="19"/>
        <v>21497097</v>
      </c>
      <c r="CB23" s="782">
        <f t="shared" si="10"/>
        <v>6449129.0999999996</v>
      </c>
      <c r="CC23" s="791">
        <f t="shared" si="11"/>
        <v>9306449</v>
      </c>
      <c r="CD23" s="788">
        <f t="shared" si="12"/>
        <v>1.4430551560830129</v>
      </c>
      <c r="CE23" s="788">
        <f t="shared" si="13"/>
        <v>1.0822913670622596</v>
      </c>
      <c r="CF23" s="828">
        <f t="shared" si="14"/>
        <v>0.6184522097498627</v>
      </c>
      <c r="CG23" s="828">
        <f t="shared" si="15"/>
        <v>0.43291654682490383</v>
      </c>
      <c r="CH23" s="88">
        <f t="shared" si="20"/>
        <v>0</v>
      </c>
      <c r="CI23" s="88">
        <f t="shared" si="16"/>
        <v>3110635</v>
      </c>
      <c r="CJ23" s="742">
        <f t="shared" si="21"/>
        <v>2736000</v>
      </c>
      <c r="CK23" s="848">
        <f t="shared" si="17"/>
        <v>2359335</v>
      </c>
      <c r="CL23" s="88">
        <f t="shared" si="18"/>
        <v>2561114</v>
      </c>
    </row>
    <row r="24" spans="1:90" ht="16" customHeight="1">
      <c r="A24" s="55" t="s">
        <v>570</v>
      </c>
      <c r="B24" s="55" t="s">
        <v>178</v>
      </c>
      <c r="C24" s="55" t="s">
        <v>128</v>
      </c>
      <c r="D24" s="55" t="s">
        <v>148</v>
      </c>
      <c r="E24" s="55" t="s">
        <v>145</v>
      </c>
      <c r="F24" s="56">
        <v>2</v>
      </c>
      <c r="G24" s="56" t="str">
        <f t="shared" si="0"/>
        <v>No</v>
      </c>
      <c r="H24" s="56" t="str">
        <f t="shared" si="0"/>
        <v>No</v>
      </c>
      <c r="I24" s="56" t="str">
        <f t="shared" si="1"/>
        <v>No</v>
      </c>
      <c r="J24" s="56" t="str">
        <f t="shared" si="2"/>
        <v>Yes</v>
      </c>
      <c r="K24" s="56" t="str">
        <f t="shared" si="3"/>
        <v>No</v>
      </c>
      <c r="L24" s="56" t="s">
        <v>541</v>
      </c>
      <c r="M24" s="55" t="s">
        <v>541</v>
      </c>
      <c r="N24" s="134" t="s">
        <v>541</v>
      </c>
      <c r="O24" s="55" t="s">
        <v>541</v>
      </c>
      <c r="P24" s="55" t="s">
        <v>548</v>
      </c>
      <c r="Q24" s="55"/>
      <c r="R24" s="55"/>
      <c r="S24" s="956">
        <v>65979512.47399316</v>
      </c>
      <c r="T24" s="55" t="s">
        <v>394</v>
      </c>
      <c r="U24" s="64" t="str">
        <f>IFERROR(IF(VLOOKUP(A24,'WB projects data'!$A$5:$C$83,3,0)="Approved",(VLOOKUP(A24,'WB projects data'!$A$5:$C$83,3,0)),""),"")</f>
        <v>Approved</v>
      </c>
      <c r="V24" s="123">
        <f t="shared" si="4"/>
        <v>60000000</v>
      </c>
      <c r="W24" s="123">
        <f>IFERROR((VLOOKUP($A24,'WB projects data'!$A$5:$J$83,6,0)*1000000),"")</f>
        <v>0</v>
      </c>
      <c r="X24" s="123">
        <f>IFERROR((VLOOKUP($A24,'WB projects data'!$A$5:$J$83,7,0)*1000000),"")</f>
        <v>60000000</v>
      </c>
      <c r="Y24" s="123">
        <f>IFERROR((VLOOKUP($A24,'WB projects data'!$A$5:$J$83,8,0)*1000000),"")</f>
        <v>21300000</v>
      </c>
      <c r="Z24" s="123">
        <f>IFERROR((VLOOKUP($A24,'WB projects data'!$A$5:$J$83,9,0)*1000000),"")</f>
        <v>17800000</v>
      </c>
      <c r="AA24" s="123">
        <f>IFERROR((VLOOKUP($A24,'WB projects data'!$A$5:$J$83,10,0)*1000000),"")</f>
        <v>20900000</v>
      </c>
      <c r="AB24" s="55"/>
      <c r="AC24" s="110"/>
      <c r="AD24" s="110" t="str">
        <f>IFERROR(VLOOKUP(A24,'ADB Projects'!$A$4:$W$21,5,FALSE),"")</f>
        <v/>
      </c>
      <c r="AE24" s="132" t="str">
        <f>IF(AC24="Approved",(VLOOKUP($A24,'ADB Projects'!$A$5:$D$21,4,0)*1000000),"")</f>
        <v/>
      </c>
      <c r="AF24" s="585" t="str">
        <f>IF(AC24="Approved",(PRODUCT(VLOOKUP($A24,'ADB Projects'!$A$4:$W$21,6,FALSE),1000000)),"")</f>
        <v/>
      </c>
      <c r="AG24" s="585" t="str">
        <f>IF(AC24="Approved",(PRODUCT(VLOOKUP($A24,'ADB Projects'!$A$4:$W$21,7,FALSE),1000000)),"")</f>
        <v/>
      </c>
      <c r="AH24" s="585" t="str">
        <f>IF(AC24="Approved",(PRODUCT(VLOOKUP($A24,'ADB Projects'!$A$4:$W$21,8,FALSE),1000000)),"")</f>
        <v/>
      </c>
      <c r="AI24" s="55"/>
      <c r="AJ24" s="55"/>
      <c r="AK24" s="244"/>
      <c r="AL24" s="55" t="s">
        <v>541</v>
      </c>
      <c r="AM24" s="55"/>
      <c r="AN24" s="55"/>
      <c r="AO24" s="55"/>
      <c r="AP24" s="55"/>
      <c r="AQ24" s="602" t="str">
        <f t="shared" si="5"/>
        <v/>
      </c>
      <c r="AR24" s="602" t="str">
        <f>IFERROR(VLOOKUP($A24,'IDB C19 Vaccine Projects'!$O$4:$Q$12,2,FALSE),"")</f>
        <v/>
      </c>
      <c r="AS24" s="602" t="str">
        <f>IFERROR(VLOOKUP($A24,'IDB C19 Vaccine Projects'!$O$4:$Q$12,3,FALSE),"")</f>
        <v/>
      </c>
      <c r="AT24" s="55"/>
      <c r="AU24" s="88"/>
      <c r="AV24" s="635"/>
      <c r="AW24" s="55"/>
      <c r="AX24" s="88">
        <f>INDEX(USAID!$C$3:$C$151,MATCH('Matrix Allocations'!A24,USAID!$A$3:$A$151,0))</f>
        <v>1000000</v>
      </c>
      <c r="AY24" s="110"/>
      <c r="AZ24" s="88">
        <f>IFERROR(INDEX('[4]Vx All regions allocations'!O$10:O$144,MATCH(A24,'[4]Vx All regions allocations'!A$10:A$144,0)),"")</f>
        <v>575000</v>
      </c>
      <c r="BA24" s="88">
        <v>172200</v>
      </c>
      <c r="BB24" s="88">
        <v>185859</v>
      </c>
      <c r="BC24" s="88" t="str">
        <f>IFERROR(INDEX(DFAT!$K$4:$K$21,MATCH('Matrix Allocations'!A24,DFAT!$B$4:$B$21,0)),"")</f>
        <v/>
      </c>
      <c r="BD24" s="88"/>
      <c r="BE24" s="826" t="str">
        <f>IFERROR(IF(INDEX('GAVI CCE'!$E$3:$E$95,MATCH('Matrix Allocations'!A24,'GAVI CCE'!$A$3:$A$95,0))="Yes",INDEX('GAVI CCE'!$E$3:$E$95,MATCH('Matrix Allocations'!A24,'GAVI CCE'!$A$3:$A$95,0)),""),"")</f>
        <v/>
      </c>
      <c r="BF24" s="88" t="str">
        <f>IFERROR(IF(BE24="Yes",INDEX('GAVI CCE'!$F$3:$F$95,MATCH('Matrix Allocations'!A24,'GAVI CCE'!$A$3:$A$95,0)),""),"")</f>
        <v/>
      </c>
      <c r="BG24" s="609" t="str">
        <f>IFERROR(IF(E24='CDS early access ceilings'!$A$94,(VLOOKUP(A24,'CDS early access ceilings'!$A$2:$D$92,4,FALSE)),""),"")</f>
        <v>GAVI</v>
      </c>
      <c r="BH24" s="639" t="str">
        <f>IFERROR(INDEX(Table14[Status (clean)],MATCH('Matrix Allocations'!A24,Table14[ISO Code],0)),"")</f>
        <v/>
      </c>
      <c r="BI24" s="641" t="str">
        <f>IFERROR(INDEX(Table14[Amount disbursed (USD)],MATCH('Matrix Allocations'!A24,Table14[ISO Code],0)),"")</f>
        <v/>
      </c>
      <c r="BJ24" s="641" t="str">
        <f>IFERROR(INDEX('CDS NBW'!$I$2:$I$39,MATCH(A24,'CDS NBW'!$A$2:$A$39,0)),"")</f>
        <v/>
      </c>
      <c r="BK24" s="641" t="str">
        <f>IFERROR(INDEX('CDS NBW'!$J$2:$J$39,MATCH(A24,'CDS NBW'!$A$2:$A$39,0)),"")</f>
        <v/>
      </c>
      <c r="BL24" s="609"/>
      <c r="BM24" s="609"/>
      <c r="BN24" s="609"/>
      <c r="BO24" s="609"/>
      <c r="BP24" s="609">
        <f>IFERROR(INDEX('UNICEF-BMZ'!$O$1:$O$199,MATCH('Matrix Allocations'!A24,'UNICEF-BMZ'!$B$1:$B$199,0)),"")</f>
        <v>175000</v>
      </c>
      <c r="BQ24" s="609" t="str">
        <f>IFERROR(VLOOKUP(A24,'BMGF_clean data'!$A$4:$C$30,3,FALSE),"")</f>
        <v/>
      </c>
      <c r="BR24" s="88"/>
      <c r="BS24" s="88"/>
      <c r="BT24" s="88"/>
      <c r="BU24" s="88"/>
      <c r="BV24" s="88"/>
      <c r="BW24" s="87">
        <f>INDEX(USAID!$D$3:$D$151,MATCH('Matrix Allocations'!A24,USAID!$A$3:$A$151,0))</f>
        <v>500000</v>
      </c>
      <c r="BX24" s="87" t="str">
        <f>IFERROR(INDEX(DFAT!$L$4:$L$21,MATCH('Matrix Allocations'!A24,DFAT!$B$4:$B$21,0)),"")</f>
        <v/>
      </c>
      <c r="BY24" s="87" t="str">
        <f>IFERROR(INDEX(Table14[Funds Channelled through UNICEF],MATCH('Matrix Allocations'!A24,Table14[ISO Code],0)),"")</f>
        <v/>
      </c>
      <c r="BZ24" s="87">
        <f t="shared" si="6"/>
        <v>0</v>
      </c>
      <c r="CA24">
        <f t="shared" si="19"/>
        <v>12255429</v>
      </c>
      <c r="CB24" s="782">
        <f t="shared" si="10"/>
        <v>3676628.6999999997</v>
      </c>
      <c r="CC24" s="791">
        <f t="shared" si="11"/>
        <v>19908059</v>
      </c>
      <c r="CD24" s="788">
        <f t="shared" si="12"/>
        <v>5.4147591787008578</v>
      </c>
      <c r="CE24" s="788">
        <f t="shared" si="13"/>
        <v>4.0610693840256422</v>
      </c>
      <c r="CF24" s="828">
        <f t="shared" si="14"/>
        <v>2.3206110765860819</v>
      </c>
      <c r="CG24" s="828">
        <f t="shared" si="15"/>
        <v>1.6244277536102572</v>
      </c>
      <c r="CH24" s="88">
        <f t="shared" si="20"/>
        <v>17800000</v>
      </c>
      <c r="CI24" s="88">
        <f t="shared" si="16"/>
        <v>1000000</v>
      </c>
      <c r="CJ24" s="742">
        <f t="shared" si="21"/>
        <v>0</v>
      </c>
      <c r="CK24" s="848">
        <f t="shared" si="17"/>
        <v>1075000</v>
      </c>
      <c r="CL24" s="88">
        <f t="shared" si="18"/>
        <v>533059</v>
      </c>
    </row>
    <row r="25" spans="1:90" ht="16" customHeight="1">
      <c r="A25" s="55" t="s">
        <v>571</v>
      </c>
      <c r="B25" s="55" t="s">
        <v>179</v>
      </c>
      <c r="C25" s="55" t="s">
        <v>129</v>
      </c>
      <c r="D25" s="55" t="s">
        <v>150</v>
      </c>
      <c r="E25" s="55" t="s">
        <v>145</v>
      </c>
      <c r="F25" s="56"/>
      <c r="G25" s="56" t="str">
        <f t="shared" ref="G25:H39" si="22">IF($T25="IBRD","Yes","No")</f>
        <v>No</v>
      </c>
      <c r="H25" s="56" t="str">
        <f t="shared" si="22"/>
        <v>No</v>
      </c>
      <c r="I25" s="56" t="str">
        <f t="shared" si="1"/>
        <v>Yes</v>
      </c>
      <c r="J25" s="56" t="str">
        <f t="shared" si="2"/>
        <v>Yes</v>
      </c>
      <c r="K25" s="56" t="str">
        <f t="shared" si="3"/>
        <v>No</v>
      </c>
      <c r="L25" s="56" t="s">
        <v>541</v>
      </c>
      <c r="M25" s="55" t="s">
        <v>544</v>
      </c>
      <c r="N25" s="134" t="s">
        <v>541</v>
      </c>
      <c r="O25" s="55" t="s">
        <v>541</v>
      </c>
      <c r="P25" s="55" t="s">
        <v>542</v>
      </c>
      <c r="Q25" s="55"/>
      <c r="R25" s="55"/>
      <c r="S25" s="956">
        <v>63748362.778827004</v>
      </c>
      <c r="T25" s="55" t="s">
        <v>396</v>
      </c>
      <c r="U25" s="64" t="str">
        <f>IFERROR(IF(VLOOKUP(A25,'WB projects data'!$A$5:$C$83,3,0)="Approved",(VLOOKUP(A25,'WB projects data'!$A$5:$C$83,3,0)),""),"")</f>
        <v>Approved</v>
      </c>
      <c r="V25" s="123">
        <f t="shared" si="4"/>
        <v>15000000</v>
      </c>
      <c r="W25" s="123">
        <f>IFERROR((VLOOKUP($A25,'WB projects data'!$A$5:$J$83,6,0)*1000000),"")</f>
        <v>15000000</v>
      </c>
      <c r="X25" s="123">
        <f>IFERROR((VLOOKUP($A25,'WB projects data'!$A$5:$J$83,7,0)*1000000),"")</f>
        <v>0</v>
      </c>
      <c r="Y25" s="123">
        <f>IFERROR((VLOOKUP($A25,'WB projects data'!$A$5:$J$83,8,0)*1000000),"")</f>
        <v>8600000</v>
      </c>
      <c r="Z25" s="123">
        <f>IFERROR((VLOOKUP($A25,'WB projects data'!$A$5:$J$83,9,0)*1000000),"")</f>
        <v>4700000</v>
      </c>
      <c r="AA25" s="123">
        <f>IFERROR((VLOOKUP($A25,'WB projects data'!$A$5:$J$83,10,0)*1000000),"")</f>
        <v>1700000</v>
      </c>
      <c r="AB25" s="55"/>
      <c r="AC25" s="110"/>
      <c r="AD25" s="110" t="str">
        <f>IFERROR(VLOOKUP(A25,'ADB Projects'!$A$4:$W$21,5,FALSE),"")</f>
        <v/>
      </c>
      <c r="AE25" s="132" t="str">
        <f>IF(AC25="Approved",(VLOOKUP($A25,'ADB Projects'!$A$5:$D$21,4,0)*1000000),"")</f>
        <v/>
      </c>
      <c r="AF25" s="585" t="str">
        <f>IF(AC25="Approved",(PRODUCT(VLOOKUP($A25,'ADB Projects'!$A$4:$W$21,6,FALSE),1000000)),"")</f>
        <v/>
      </c>
      <c r="AG25" s="585" t="str">
        <f>IF(AC25="Approved",(PRODUCT(VLOOKUP($A25,'ADB Projects'!$A$4:$W$21,7,FALSE),1000000)),"")</f>
        <v/>
      </c>
      <c r="AH25" s="585" t="str">
        <f>IF(AC25="Approved",(PRODUCT(VLOOKUP($A25,'ADB Projects'!$A$4:$W$21,8,FALSE),1000000)),"")</f>
        <v/>
      </c>
      <c r="AI25" s="55"/>
      <c r="AJ25" s="55"/>
      <c r="AK25" s="244"/>
      <c r="AL25" s="55" t="s">
        <v>541</v>
      </c>
      <c r="AM25" s="55"/>
      <c r="AN25" s="55"/>
      <c r="AO25" s="55"/>
      <c r="AP25" s="55"/>
      <c r="AQ25" s="602" t="str">
        <f t="shared" si="5"/>
        <v/>
      </c>
      <c r="AR25" s="602" t="str">
        <f>IFERROR(VLOOKUP($A25,'IDB C19 Vaccine Projects'!$O$4:$Q$12,2,FALSE),"")</f>
        <v/>
      </c>
      <c r="AS25" s="602" t="str">
        <f>IFERROR(VLOOKUP($A25,'IDB C19 Vaccine Projects'!$O$4:$Q$12,3,FALSE),"")</f>
        <v/>
      </c>
      <c r="AT25" s="55"/>
      <c r="AU25" s="88"/>
      <c r="AV25" s="635"/>
      <c r="AW25" s="55"/>
      <c r="AX25" s="88">
        <f>INDEX(USAID!$C$3:$C$151,MATCH('Matrix Allocations'!A25,USAID!$A$3:$A$151,0))</f>
        <v>500000</v>
      </c>
      <c r="AY25" s="110"/>
      <c r="AZ25" s="88">
        <f>IFERROR(INDEX('[4]Vx All regions allocations'!O$10:O$144,MATCH(A25,'[4]Vx All regions allocations'!A$10:A$144,0)),"")</f>
        <v>0</v>
      </c>
      <c r="BA25" s="88">
        <v>23148.148148148146</v>
      </c>
      <c r="BB25" s="88">
        <v>104999.54000000001</v>
      </c>
      <c r="BC25" s="88" t="str">
        <f>IFERROR(INDEX(DFAT!$K$4:$K$21,MATCH('Matrix Allocations'!A25,DFAT!$B$4:$B$21,0)),"")</f>
        <v/>
      </c>
      <c r="BD25" s="88"/>
      <c r="BE25" s="826" t="str">
        <f>IFERROR(IF(INDEX('GAVI CCE'!$E$3:$E$95,MATCH('Matrix Allocations'!A25,'GAVI CCE'!$A$3:$A$95,0))="Yes",INDEX('GAVI CCE'!$E$3:$E$95,MATCH('Matrix Allocations'!A25,'GAVI CCE'!$A$3:$A$95,0)),""),"")</f>
        <v/>
      </c>
      <c r="BF25" s="88" t="str">
        <f>IFERROR(IF(BE25="Yes",INDEX('GAVI CCE'!$F$3:$F$95,MATCH('Matrix Allocations'!A25,'GAVI CCE'!$A$3:$A$95,0)),""),"")</f>
        <v/>
      </c>
      <c r="BG25" s="609" t="str">
        <f>IFERROR(IF(E25='CDS early access ceilings'!$A$94,(VLOOKUP(A25,'CDS early access ceilings'!$A$2:$D$92,4,FALSE)),""),"")</f>
        <v>UNICEF</v>
      </c>
      <c r="BH25" s="639" t="str">
        <f>IFERROR(INDEX(Table14[Status (clean)],MATCH('Matrix Allocations'!A25,Table14[ISO Code],0)),"")</f>
        <v>Disbursed</v>
      </c>
      <c r="BI25" s="641">
        <f>IFERROR(INDEX(Table14[Amount disbursed (USD)],MATCH('Matrix Allocations'!A25,Table14[ISO Code],0)),"")</f>
        <v>72358</v>
      </c>
      <c r="BJ25" s="641" t="str">
        <f>IFERROR(INDEX('CDS NBW'!$I$2:$I$39,MATCH(A25,'CDS NBW'!$A$2:$A$39,0)),"")</f>
        <v>Disbursed</v>
      </c>
      <c r="BK25" s="641">
        <f>IFERROR(INDEX('CDS NBW'!$J$2:$J$39,MATCH(A25,'CDS NBW'!$A$2:$A$39,0)),"")</f>
        <v>227642</v>
      </c>
      <c r="BL25" s="609"/>
      <c r="BM25" s="609"/>
      <c r="BN25" s="609"/>
      <c r="BO25" s="609"/>
      <c r="BP25" s="609">
        <f>IFERROR(INDEX('UNICEF-BMZ'!$O$1:$O$199,MATCH('Matrix Allocations'!A25,'UNICEF-BMZ'!$B$1:$B$199,0)),"")</f>
        <v>40000</v>
      </c>
      <c r="BQ25" s="609" t="str">
        <f>IFERROR(VLOOKUP(A25,'BMGF_clean data'!$A$4:$C$30,3,FALSE),"")</f>
        <v/>
      </c>
      <c r="BR25" s="609"/>
      <c r="BS25" s="609"/>
      <c r="BT25" s="609"/>
      <c r="BU25" s="609"/>
      <c r="BV25" s="609"/>
      <c r="BW25" s="87">
        <f>INDEX(USAID!$D$3:$D$151,MATCH('Matrix Allocations'!A25,USAID!$A$3:$A$151,0))</f>
        <v>500000</v>
      </c>
      <c r="BX25" s="87" t="str">
        <f>IFERROR(INDEX(DFAT!$L$4:$L$21,MATCH('Matrix Allocations'!A25,DFAT!$B$4:$B$21,0)),"")</f>
        <v/>
      </c>
      <c r="BY25" s="87">
        <f>IFERROR(INDEX(Table14[Funds Channelled through UNICEF],MATCH('Matrix Allocations'!A25,Table14[ISO Code],0)),"")</f>
        <v>0</v>
      </c>
      <c r="BZ25" s="87">
        <f t="shared" si="6"/>
        <v>72358</v>
      </c>
      <c r="CA25">
        <f t="shared" si="19"/>
        <v>561901</v>
      </c>
      <c r="CB25" s="782">
        <f t="shared" si="10"/>
        <v>168570.3</v>
      </c>
      <c r="CC25" s="791">
        <f t="shared" si="11"/>
        <v>5668147.6881481484</v>
      </c>
      <c r="CD25" s="788">
        <f t="shared" si="12"/>
        <v>33.624830045079996</v>
      </c>
      <c r="CE25" s="788">
        <f t="shared" si="13"/>
        <v>25.218622533809995</v>
      </c>
      <c r="CF25" s="828">
        <f t="shared" si="14"/>
        <v>14.410641447891429</v>
      </c>
      <c r="CG25" s="828">
        <f t="shared" si="15"/>
        <v>10.087449013523999</v>
      </c>
      <c r="CH25" s="88">
        <f t="shared" si="20"/>
        <v>4700000</v>
      </c>
      <c r="CI25" s="88">
        <f t="shared" si="16"/>
        <v>500000</v>
      </c>
      <c r="CJ25" s="742">
        <f t="shared" si="21"/>
        <v>0</v>
      </c>
      <c r="CK25" s="848">
        <f t="shared" si="17"/>
        <v>500000</v>
      </c>
      <c r="CL25" s="88">
        <f t="shared" si="18"/>
        <v>695789.68814814813</v>
      </c>
    </row>
    <row r="26" spans="1:90" ht="16" customHeight="1">
      <c r="A26" s="55" t="s">
        <v>572</v>
      </c>
      <c r="B26" s="55" t="s">
        <v>180</v>
      </c>
      <c r="C26" s="55" t="s">
        <v>126</v>
      </c>
      <c r="D26" s="55" t="s">
        <v>150</v>
      </c>
      <c r="E26" s="55" t="s">
        <v>145</v>
      </c>
      <c r="F26" s="56"/>
      <c r="G26" s="56" t="str">
        <f t="shared" si="22"/>
        <v>Yes</v>
      </c>
      <c r="H26" s="56" t="str">
        <f t="shared" si="22"/>
        <v>Yes</v>
      </c>
      <c r="I26" s="56" t="str">
        <f t="shared" si="1"/>
        <v>No</v>
      </c>
      <c r="J26" s="56" t="str">
        <f t="shared" si="2"/>
        <v>No</v>
      </c>
      <c r="K26" s="56" t="str">
        <f t="shared" si="3"/>
        <v>Yes</v>
      </c>
      <c r="L26" s="56" t="s">
        <v>541</v>
      </c>
      <c r="M26" s="55" t="s">
        <v>541</v>
      </c>
      <c r="N26" s="134" t="s">
        <v>541</v>
      </c>
      <c r="O26" s="55" t="s">
        <v>544</v>
      </c>
      <c r="P26" s="55" t="s">
        <v>558</v>
      </c>
      <c r="Q26" s="55"/>
      <c r="R26" s="55"/>
      <c r="S26" s="956">
        <v>313039649.45369786</v>
      </c>
      <c r="T26" s="55" t="s">
        <v>395</v>
      </c>
      <c r="U26" s="64" t="str">
        <f>IFERROR(IF(VLOOKUP(A26,'WB projects data'!$A$5:$C$83,3,0)="Approved",(VLOOKUP(A26,'WB projects data'!$A$5:$C$83,3,0)),""),"")</f>
        <v>Approved</v>
      </c>
      <c r="V26" s="123">
        <f t="shared" si="4"/>
        <v>3500000</v>
      </c>
      <c r="W26" s="123">
        <f>IFERROR((VLOOKUP($A26,'WB projects data'!$A$5:$J$83,6,0)*1000000),"")</f>
        <v>0</v>
      </c>
      <c r="X26" s="123">
        <f>IFERROR((VLOOKUP($A26,'WB projects data'!$A$5:$J$83,7,0)*1000000),"")</f>
        <v>3500000</v>
      </c>
      <c r="Y26" s="123">
        <f>IFERROR((VLOOKUP($A26,'WB projects data'!$A$5:$J$83,8,0)*1000000),"")</f>
        <v>0</v>
      </c>
      <c r="Z26" s="123">
        <f>IFERROR((VLOOKUP($A26,'WB projects data'!$A$5:$J$83,9,0)*1000000),"")</f>
        <v>3500000</v>
      </c>
      <c r="AA26" s="123">
        <f>IFERROR((VLOOKUP($A26,'WB projects data'!$A$5:$J$83,10,0)*1000000),"")</f>
        <v>0</v>
      </c>
      <c r="AB26" s="55"/>
      <c r="AC26" s="110" t="str">
        <f>VLOOKUP($A26,'ADB Projects'!$A$5:$D$21,3,0)</f>
        <v>Under Preparation</v>
      </c>
      <c r="AD26" s="110">
        <f>IFERROR(VLOOKUP(A26,'ADB Projects'!$A$4:$W$21,5,FALSE),"")</f>
        <v>0</v>
      </c>
      <c r="AE26" s="132" t="str">
        <f>IF(AC26="Approved",(VLOOKUP($A26,'ADB Projects'!$A$5:$D$21,4,0)*1000000),"")</f>
        <v/>
      </c>
      <c r="AF26" s="585" t="str">
        <f>IF(AC26="Approved",(PRODUCT(VLOOKUP($A26,'ADB Projects'!$A$4:$W$21,6,FALSE),1000000)),"")</f>
        <v/>
      </c>
      <c r="AG26" s="585" t="str">
        <f>IF(AC26="Approved",(PRODUCT(VLOOKUP($A26,'ADB Projects'!$A$4:$W$21,7,FALSE),1000000)),"")</f>
        <v/>
      </c>
      <c r="AH26" s="585" t="str">
        <f>IF(AC26="Approved",(PRODUCT(VLOOKUP($A26,'ADB Projects'!$A$4:$W$21,8,FALSE),1000000)),"")</f>
        <v/>
      </c>
      <c r="AI26" s="55"/>
      <c r="AJ26" s="55"/>
      <c r="AK26" s="244"/>
      <c r="AL26" s="55" t="s">
        <v>541</v>
      </c>
      <c r="AM26" s="55"/>
      <c r="AN26" s="55"/>
      <c r="AO26" s="55"/>
      <c r="AP26" s="55"/>
      <c r="AQ26" s="602" t="str">
        <f t="shared" si="5"/>
        <v/>
      </c>
      <c r="AR26" s="602" t="str">
        <f>IFERROR(VLOOKUP($A26,'IDB C19 Vaccine Projects'!$O$4:$Q$12,2,FALSE),"")</f>
        <v/>
      </c>
      <c r="AS26" s="602" t="str">
        <f>IFERROR(VLOOKUP($A26,'IDB C19 Vaccine Projects'!$O$4:$Q$12,3,FALSE),"")</f>
        <v/>
      </c>
      <c r="AT26" s="55"/>
      <c r="AU26" s="88"/>
      <c r="AV26" s="55"/>
      <c r="AW26" s="55"/>
      <c r="AX26" s="88">
        <f>INDEX(USAID!$C$3:$C$151,MATCH('Matrix Allocations'!A26,USAID!$A$3:$A$151,0))</f>
        <v>662222</v>
      </c>
      <c r="AY26" s="110">
        <f>615359</f>
        <v>615359</v>
      </c>
      <c r="AZ26" s="88">
        <f>IFERROR(INDEX('[4]Vx All regions allocations'!O$10:O$144,MATCH(A26,'[4]Vx All regions allocations'!A$10:A$144,0)),"")</f>
        <v>0</v>
      </c>
      <c r="BA26" s="88">
        <v>95138.888888888876</v>
      </c>
      <c r="BB26" s="88">
        <v>136826</v>
      </c>
      <c r="BC26" s="88">
        <f>IFERROR(INDEX(DFAT!$K$4:$K$21,MATCH('Matrix Allocations'!A26,DFAT!$B$4:$B$21,0)),"")</f>
        <v>5452817</v>
      </c>
      <c r="BD26" s="88"/>
      <c r="BE26" s="826" t="str">
        <f>IFERROR(IF(INDEX('GAVI CCE'!$E$3:$E$95,MATCH('Matrix Allocations'!A26,'GAVI CCE'!$A$3:$A$95,0))="Yes",INDEX('GAVI CCE'!$E$3:$E$95,MATCH('Matrix Allocations'!A26,'GAVI CCE'!$A$3:$A$95,0)),""),"")</f>
        <v>Yes</v>
      </c>
      <c r="BF26" s="88">
        <f>IFERROR(IF(BE26="Yes",INDEX('GAVI CCE'!$F$3:$F$95,MATCH('Matrix Allocations'!A26,'GAVI CCE'!$A$3:$A$95,0)),""),"")</f>
        <v>459999</v>
      </c>
      <c r="BG26" s="609" t="str">
        <f>IFERROR(IF(E26='CDS early access ceilings'!$A$94,(VLOOKUP(A26,'CDS early access ceilings'!$A$2:$D$92,4,FALSE)),""),"")</f>
        <v>GAVI</v>
      </c>
      <c r="BH26" s="639" t="str">
        <f>IFERROR(INDEX(Table14[Status (clean)],MATCH('Matrix Allocations'!A26,Table14[ISO Code],0)),"")</f>
        <v>Disbursed</v>
      </c>
      <c r="BI26" s="641">
        <f>IFERROR(INDEX(Table14[Amount disbursed (USD)],MATCH('Matrix Allocations'!A26,Table14[ISO Code],0)),"")</f>
        <v>1238955</v>
      </c>
      <c r="BJ26" s="641" t="str">
        <f>IFERROR(INDEX('CDS NBW'!$I$2:$I$39,MATCH(A26,'CDS NBW'!$A$2:$A$39,0)),"")</f>
        <v/>
      </c>
      <c r="BK26" s="641" t="str">
        <f>IFERROR(INDEX('CDS NBW'!$J$2:$J$39,MATCH(A26,'CDS NBW'!$A$2:$A$39,0)),"")</f>
        <v/>
      </c>
      <c r="BL26" s="609"/>
      <c r="BM26" s="609">
        <v>279000</v>
      </c>
      <c r="BN26" s="609"/>
      <c r="BO26" s="609"/>
      <c r="BP26" s="609">
        <f>IFERROR(INDEX('UNICEF-BMZ'!$O$1:$O$199,MATCH('Matrix Allocations'!A26,'UNICEF-BMZ'!$B$1:$B$199,0)),"")</f>
        <v>0</v>
      </c>
      <c r="BQ26" s="609">
        <f>IFERROR(VLOOKUP(A26,'BMGF_clean data'!$A$4:$C$30,3,FALSE),"")</f>
        <v>354000</v>
      </c>
      <c r="BR26" s="609"/>
      <c r="BS26" s="609"/>
      <c r="BT26" s="609"/>
      <c r="BU26" s="609"/>
      <c r="BV26" s="609"/>
      <c r="BW26" s="87">
        <f>INDEX(USAID!$D$3:$D$151,MATCH('Matrix Allocations'!A26,USAID!$A$3:$A$151,0))</f>
        <v>0</v>
      </c>
      <c r="BX26" s="87">
        <f>IFERROR(INDEX(DFAT!$L$4:$L$21,MATCH('Matrix Allocations'!A26,DFAT!$B$4:$B$21,0)),"")</f>
        <v>1642589</v>
      </c>
      <c r="BY26" s="87">
        <f>IFERROR(INDEX(Table14[Funds Channelled through UNICEF],MATCH('Matrix Allocations'!A26,Table14[ISO Code],0)),"")</f>
        <v>0</v>
      </c>
      <c r="BZ26" s="87">
        <f t="shared" si="6"/>
        <v>0</v>
      </c>
      <c r="CA26">
        <f t="shared" si="19"/>
        <v>16946446</v>
      </c>
      <c r="CB26" s="782">
        <f t="shared" si="10"/>
        <v>5083933.8</v>
      </c>
      <c r="CC26" s="791">
        <f t="shared" si="11"/>
        <v>12794316.888888888</v>
      </c>
      <c r="CD26" s="788">
        <f t="shared" si="12"/>
        <v>2.5166175234006567</v>
      </c>
      <c r="CE26" s="788">
        <f t="shared" si="13"/>
        <v>1.8874631425504922</v>
      </c>
      <c r="CF26" s="828">
        <f t="shared" si="14"/>
        <v>1.07855036717171</v>
      </c>
      <c r="CG26" s="828">
        <f t="shared" si="15"/>
        <v>0.75498525702019692</v>
      </c>
      <c r="CH26" s="88">
        <f t="shared" si="20"/>
        <v>3500000</v>
      </c>
      <c r="CI26" s="88">
        <f t="shared" si="16"/>
        <v>7009398</v>
      </c>
      <c r="CJ26" s="742">
        <f t="shared" si="21"/>
        <v>354000</v>
      </c>
      <c r="CK26" s="848">
        <f t="shared" si="17"/>
        <v>2536948</v>
      </c>
      <c r="CL26" s="88">
        <f t="shared" si="18"/>
        <v>1930918.888888889</v>
      </c>
    </row>
    <row r="27" spans="1:90" ht="16" customHeight="1">
      <c r="A27" s="55" t="s">
        <v>573</v>
      </c>
      <c r="B27" s="55" t="s">
        <v>181</v>
      </c>
      <c r="C27" s="55" t="s">
        <v>129</v>
      </c>
      <c r="D27" s="55" t="s">
        <v>150</v>
      </c>
      <c r="E27" s="55" t="s">
        <v>145</v>
      </c>
      <c r="F27" s="56">
        <v>2</v>
      </c>
      <c r="G27" s="56" t="str">
        <f t="shared" si="22"/>
        <v>No</v>
      </c>
      <c r="H27" s="56" t="str">
        <f t="shared" si="22"/>
        <v>No</v>
      </c>
      <c r="I27" s="56" t="str">
        <f t="shared" si="1"/>
        <v>Yes</v>
      </c>
      <c r="J27" s="56" t="str">
        <f t="shared" si="2"/>
        <v>Yes</v>
      </c>
      <c r="K27" s="56" t="str">
        <f t="shared" si="3"/>
        <v>No</v>
      </c>
      <c r="L27" s="56" t="s">
        <v>541</v>
      </c>
      <c r="M27" s="55" t="s">
        <v>541</v>
      </c>
      <c r="N27" s="134" t="s">
        <v>541</v>
      </c>
      <c r="O27" s="55" t="s">
        <v>541</v>
      </c>
      <c r="P27" s="55" t="s">
        <v>542</v>
      </c>
      <c r="Q27" s="55" t="s">
        <v>541</v>
      </c>
      <c r="R27" s="55"/>
      <c r="S27" s="956">
        <v>81361801.477472037</v>
      </c>
      <c r="T27" s="55" t="s">
        <v>396</v>
      </c>
      <c r="U27" s="64" t="str">
        <f>IFERROR(IF(VLOOKUP(A27,'WB projects data'!$A$5:$C$83,3,0)="Approved",(VLOOKUP(A27,'WB projects data'!$A$5:$C$83,3,0)),""),"")</f>
        <v>Approved</v>
      </c>
      <c r="V27" s="123">
        <f t="shared" si="4"/>
        <v>44600000</v>
      </c>
      <c r="W27" s="123">
        <f>IFERROR((VLOOKUP($A27,'WB projects data'!$A$5:$J$83,6,0)*1000000),"")</f>
        <v>0</v>
      </c>
      <c r="X27" s="123">
        <f>IFERROR((VLOOKUP($A27,'WB projects data'!$A$5:$J$83,7,0)*1000000),"")</f>
        <v>44600000</v>
      </c>
      <c r="Y27" s="123">
        <f>IFERROR((VLOOKUP($A27,'WB projects data'!$A$5:$J$83,8,0)*1000000),"")</f>
        <v>29600000</v>
      </c>
      <c r="Z27" s="123">
        <f>IFERROR((VLOOKUP($A27,'WB projects data'!$A$5:$J$83,9,0)*1000000),"")</f>
        <v>18000000</v>
      </c>
      <c r="AA27" s="123">
        <f>IFERROR((VLOOKUP($A27,'WB projects data'!$A$5:$J$83,10,0)*1000000),"")</f>
        <v>11000000</v>
      </c>
      <c r="AB27" s="55"/>
      <c r="AC27" s="110"/>
      <c r="AD27" s="110" t="str">
        <f>IFERROR(VLOOKUP(A27,'ADB Projects'!$A$4:$W$21,5,FALSE),"")</f>
        <v/>
      </c>
      <c r="AE27" s="132" t="str">
        <f>IF(AC27="Approved",(VLOOKUP($A27,'ADB Projects'!$A$5:$D$21,4,0)*1000000),"")</f>
        <v/>
      </c>
      <c r="AF27" s="585" t="str">
        <f>IF(AC27="Approved",(PRODUCT(VLOOKUP($A27,'ADB Projects'!$A$4:$W$21,6,FALSE),1000000)),"")</f>
        <v/>
      </c>
      <c r="AG27" s="585" t="str">
        <f>IF(AC27="Approved",(PRODUCT(VLOOKUP($A27,'ADB Projects'!$A$4:$W$21,7,FALSE),1000000)),"")</f>
        <v/>
      </c>
      <c r="AH27" s="585" t="str">
        <f>IF(AC27="Approved",(PRODUCT(VLOOKUP($A27,'ADB Projects'!$A$4:$W$21,8,FALSE),1000000)),"")</f>
        <v/>
      </c>
      <c r="AI27" s="55" t="s">
        <v>541</v>
      </c>
      <c r="AJ27" s="55" t="str">
        <f>IF(VLOOKUP($B27,'IsDB Projects'!$B$5:$C$14,2,0)&gt;0,"Requested","")</f>
        <v>Requested</v>
      </c>
      <c r="AK27" s="244">
        <f>VLOOKUP($B27,'IsDB Projects'!$B$5:$D$14,3,0)</f>
        <v>30000000</v>
      </c>
      <c r="AL27" s="55" t="s">
        <v>541</v>
      </c>
      <c r="AM27" s="55"/>
      <c r="AN27" s="55"/>
      <c r="AO27" s="55"/>
      <c r="AP27" s="55"/>
      <c r="AQ27" s="602" t="str">
        <f t="shared" si="5"/>
        <v/>
      </c>
      <c r="AR27" s="602" t="str">
        <f>IFERROR(VLOOKUP($A27,'IDB C19 Vaccine Projects'!$O$4:$Q$12,2,FALSE),"")</f>
        <v/>
      </c>
      <c r="AS27" s="602" t="str">
        <f>IFERROR(VLOOKUP($A27,'IDB C19 Vaccine Projects'!$O$4:$Q$12,3,FALSE),"")</f>
        <v/>
      </c>
      <c r="AT27" s="55"/>
      <c r="AU27" s="88">
        <v>380000</v>
      </c>
      <c r="AV27" s="635"/>
      <c r="AW27" s="55" t="s">
        <v>541</v>
      </c>
      <c r="AX27" s="88">
        <f>INDEX(USAID!$C$3:$C$151,MATCH('Matrix Allocations'!A27,USAID!$A$3:$A$151,0))</f>
        <v>1600000</v>
      </c>
      <c r="AY27" s="110">
        <v>925640</v>
      </c>
      <c r="AZ27" s="88">
        <f>IFERROR(INDEX('[4]Vx All regions allocations'!O$10:O$144,MATCH(A27,'[4]Vx All regions allocations'!A$10:A$144,0)),"")</f>
        <v>1645844</v>
      </c>
      <c r="BA27" s="88">
        <v>208184.85185185185</v>
      </c>
      <c r="BB27" s="88">
        <v>328692</v>
      </c>
      <c r="BC27" s="88" t="str">
        <f>IFERROR(INDEX(DFAT!$K$4:$K$21,MATCH('Matrix Allocations'!A27,DFAT!$B$4:$B$21,0)),"")</f>
        <v/>
      </c>
      <c r="BD27" s="88"/>
      <c r="BE27" s="826" t="str">
        <f>IFERROR(IF(INDEX('GAVI CCE'!$E$3:$E$95,MATCH('Matrix Allocations'!A27,'GAVI CCE'!$A$3:$A$95,0))="Yes",INDEX('GAVI CCE'!$E$3:$E$95,MATCH('Matrix Allocations'!A27,'GAVI CCE'!$A$3:$A$95,0)),""),"")</f>
        <v>Yes</v>
      </c>
      <c r="BF27" s="88">
        <f>IFERROR(IF(BE27="Yes",INDEX('GAVI CCE'!$F$3:$F$95,MATCH('Matrix Allocations'!A27,'GAVI CCE'!$A$3:$A$95,0)),""),"")</f>
        <v>690768</v>
      </c>
      <c r="BG27" s="609" t="str">
        <f>IFERROR(IF(E27='CDS early access ceilings'!$A$94,(VLOOKUP(A27,'CDS early access ceilings'!$A$2:$D$92,4,FALSE)),""),"")</f>
        <v>GAVI</v>
      </c>
      <c r="BH27" s="639" t="str">
        <f>IFERROR(INDEX(Table14[Status (clean)],MATCH('Matrix Allocations'!A27,Table14[ISO Code],0)),"")</f>
        <v>Disbursed</v>
      </c>
      <c r="BI27" s="641">
        <f>IFERROR(INDEX(Table14[Amount disbursed (USD)],MATCH('Matrix Allocations'!A27,Table14[ISO Code],0)),"")</f>
        <v>5427618</v>
      </c>
      <c r="BJ27" s="641" t="str">
        <f>IFERROR(INDEX('CDS NBW'!$I$2:$I$39,MATCH(A27,'CDS NBW'!$A$2:$A$39,0)),"")</f>
        <v/>
      </c>
      <c r="BK27" s="641" t="str">
        <f>IFERROR(INDEX('CDS NBW'!$J$2:$J$39,MATCH(A27,'CDS NBW'!$A$2:$A$39,0)),"")</f>
        <v/>
      </c>
      <c r="BL27" s="609"/>
      <c r="BM27" s="609"/>
      <c r="BN27" s="609"/>
      <c r="BO27" s="609"/>
      <c r="BP27" s="609">
        <f>IFERROR(INDEX('UNICEF-BMZ'!$O$1:$O$199,MATCH('Matrix Allocations'!A27,'UNICEF-BMZ'!$B$1:$B$199,0)),"")</f>
        <v>627400</v>
      </c>
      <c r="BQ27" s="609" t="str">
        <f>IFERROR(VLOOKUP(A27,'BMGF_clean data'!$A$4:$C$30,3,FALSE),"")</f>
        <v/>
      </c>
      <c r="BR27" s="88"/>
      <c r="BS27" s="88"/>
      <c r="BT27" s="88"/>
      <c r="BU27" s="88"/>
      <c r="BV27" s="88"/>
      <c r="BW27" s="87">
        <f>INDEX(USAID!$D$3:$D$151,MATCH('Matrix Allocations'!A27,USAID!$A$3:$A$151,0))</f>
        <v>500000</v>
      </c>
      <c r="BX27" s="87" t="str">
        <f>IFERROR(INDEX(DFAT!$L$4:$L$21,MATCH('Matrix Allocations'!A27,DFAT!$B$4:$B$21,0)),"")</f>
        <v/>
      </c>
      <c r="BY27" s="87">
        <f>IFERROR(INDEX(Table14[Funds Channelled through UNICEF],MATCH('Matrix Allocations'!A27,Table14[ISO Code],0)),"")</f>
        <v>196992</v>
      </c>
      <c r="BZ27" s="87">
        <f t="shared" si="6"/>
        <v>196992</v>
      </c>
      <c r="CA27">
        <f t="shared" si="19"/>
        <v>27224262</v>
      </c>
      <c r="CB27" s="782">
        <f t="shared" si="10"/>
        <v>8167278.5999999996</v>
      </c>
      <c r="CC27" s="791">
        <f t="shared" si="11"/>
        <v>29834146.851851851</v>
      </c>
      <c r="CD27" s="788">
        <f t="shared" si="12"/>
        <v>3.6528871259334599</v>
      </c>
      <c r="CE27" s="788">
        <f t="shared" si="13"/>
        <v>2.7396653444500947</v>
      </c>
      <c r="CF27" s="828">
        <f t="shared" si="14"/>
        <v>1.5655230539714828</v>
      </c>
      <c r="CG27" s="828">
        <f t="shared" si="15"/>
        <v>1.0958661377800378</v>
      </c>
      <c r="CH27" s="88">
        <f t="shared" si="20"/>
        <v>18000000</v>
      </c>
      <c r="CI27" s="88">
        <f t="shared" si="16"/>
        <v>2525640</v>
      </c>
      <c r="CJ27" s="742">
        <f t="shared" si="21"/>
        <v>0</v>
      </c>
      <c r="CK27" s="848">
        <f t="shared" si="17"/>
        <v>3268476</v>
      </c>
      <c r="CL27" s="88">
        <f t="shared" si="18"/>
        <v>7662662.8518518517</v>
      </c>
    </row>
    <row r="28" spans="1:90" ht="16" customHeight="1">
      <c r="A28" s="55" t="s">
        <v>574</v>
      </c>
      <c r="B28" s="55" t="s">
        <v>182</v>
      </c>
      <c r="C28" s="55" t="s">
        <v>129</v>
      </c>
      <c r="D28" s="55" t="s">
        <v>148</v>
      </c>
      <c r="E28" s="55" t="s">
        <v>145</v>
      </c>
      <c r="F28" s="56">
        <v>1</v>
      </c>
      <c r="G28" s="56" t="str">
        <f t="shared" si="22"/>
        <v>No</v>
      </c>
      <c r="H28" s="56" t="str">
        <f t="shared" si="22"/>
        <v>No</v>
      </c>
      <c r="I28" s="56" t="str">
        <f t="shared" si="1"/>
        <v>No</v>
      </c>
      <c r="J28" s="56" t="str">
        <f t="shared" si="2"/>
        <v>Yes</v>
      </c>
      <c r="K28" s="56" t="str">
        <f t="shared" si="3"/>
        <v>No</v>
      </c>
      <c r="L28" s="56" t="s">
        <v>541</v>
      </c>
      <c r="M28" s="55" t="s">
        <v>541</v>
      </c>
      <c r="N28" s="134" t="s">
        <v>541</v>
      </c>
      <c r="O28" s="55" t="s">
        <v>541</v>
      </c>
      <c r="P28" s="55" t="s">
        <v>542</v>
      </c>
      <c r="Q28" s="55"/>
      <c r="R28" s="55"/>
      <c r="S28" s="956" t="s">
        <v>575</v>
      </c>
      <c r="T28" s="55" t="s">
        <v>394</v>
      </c>
      <c r="U28" s="64" t="str">
        <f>IFERROR(IF(VLOOKUP(A28,'WB projects data'!$A$5:$C$83,3,0)="Approved",(VLOOKUP(A28,'WB projects data'!$A$5:$C$83,3,0)),""),"")</f>
        <v/>
      </c>
      <c r="V28" s="123" t="str">
        <f t="shared" si="4"/>
        <v/>
      </c>
      <c r="W28" s="123" t="str">
        <f>IFERROR((VLOOKUP($A28,'WB projects data'!$A$5:$J$83,6,0)*1000000),"")</f>
        <v/>
      </c>
      <c r="X28" s="123" t="str">
        <f>IFERROR((VLOOKUP($A28,'WB projects data'!$A$5:$J$83,7,0)*1000000),"")</f>
        <v/>
      </c>
      <c r="Y28" s="123" t="str">
        <f>IFERROR((VLOOKUP($A28,'WB projects data'!$A$5:$J$83,8,0)*1000000),"")</f>
        <v/>
      </c>
      <c r="Z28" s="123" t="str">
        <f>IFERROR((VLOOKUP($A28,'WB projects data'!$A$5:$J$83,9,0)*1000000),"")</f>
        <v/>
      </c>
      <c r="AA28" s="123" t="str">
        <f>IFERROR((VLOOKUP($A28,'WB projects data'!$A$5:$J$83,10,0)*1000000),"")</f>
        <v/>
      </c>
      <c r="AB28" s="55"/>
      <c r="AC28" s="110"/>
      <c r="AD28" s="110" t="str">
        <f>IFERROR(VLOOKUP(A28,'ADB Projects'!$A$4:$W$21,5,FALSE),"")</f>
        <v/>
      </c>
      <c r="AE28" s="132" t="str">
        <f>IF(AC28="Approved",(VLOOKUP($A28,'ADB Projects'!$A$5:$D$21,4,0)*1000000),"")</f>
        <v/>
      </c>
      <c r="AF28" s="585" t="str">
        <f>IF(AC28="Approved",(PRODUCT(VLOOKUP($A28,'ADB Projects'!$A$4:$W$21,6,FALSE),1000000)),"")</f>
        <v/>
      </c>
      <c r="AG28" s="585" t="str">
        <f>IF(AC28="Approved",(PRODUCT(VLOOKUP($A28,'ADB Projects'!$A$4:$W$21,7,FALSE),1000000)),"")</f>
        <v/>
      </c>
      <c r="AH28" s="585" t="str">
        <f>IF(AC28="Approved",(PRODUCT(VLOOKUP($A28,'ADB Projects'!$A$4:$W$21,8,FALSE),1000000)),"")</f>
        <v/>
      </c>
      <c r="AI28" s="55"/>
      <c r="AJ28" s="55"/>
      <c r="AK28" s="244"/>
      <c r="AL28" s="55" t="s">
        <v>541</v>
      </c>
      <c r="AM28" s="55"/>
      <c r="AN28" s="55"/>
      <c r="AO28" s="55"/>
      <c r="AP28" s="55"/>
      <c r="AQ28" s="602" t="str">
        <f t="shared" si="5"/>
        <v/>
      </c>
      <c r="AR28" s="602" t="str">
        <f>IFERROR(VLOOKUP($A28,'IDB C19 Vaccine Projects'!$O$4:$Q$12,2,FALSE),"")</f>
        <v/>
      </c>
      <c r="AS28" s="602" t="str">
        <f>IFERROR(VLOOKUP($A28,'IDB C19 Vaccine Projects'!$O$4:$Q$12,3,FALSE),"")</f>
        <v/>
      </c>
      <c r="AT28" s="55" t="s">
        <v>541</v>
      </c>
      <c r="AU28" s="88">
        <v>500000</v>
      </c>
      <c r="AV28" s="635"/>
      <c r="AW28" s="55"/>
      <c r="AX28" s="88">
        <f>INDEX(USAID!$C$3:$C$151,MATCH('Matrix Allocations'!A28,USAID!$A$3:$A$151,0))</f>
        <v>1150000</v>
      </c>
      <c r="AY28" s="110"/>
      <c r="AZ28" s="88">
        <f>IFERROR(INDEX('[4]Vx All regions allocations'!O$10:O$144,MATCH(A28,'[4]Vx All regions allocations'!A$10:A$144,0)),"")</f>
        <v>0</v>
      </c>
      <c r="BA28" s="88">
        <v>390170.37037037034</v>
      </c>
      <c r="BB28" s="88">
        <v>557042</v>
      </c>
      <c r="BC28" s="88" t="str">
        <f>IFERROR(INDEX(DFAT!$K$4:$K$21,MATCH('Matrix Allocations'!A28,DFAT!$B$4:$B$21,0)),"")</f>
        <v/>
      </c>
      <c r="BD28" s="88"/>
      <c r="BE28" s="826" t="str">
        <f>IFERROR(IF(INDEX('GAVI CCE'!$E$3:$E$95,MATCH('Matrix Allocations'!A28,'GAVI CCE'!$A$3:$A$95,0))="Yes",INDEX('GAVI CCE'!$E$3:$E$95,MATCH('Matrix Allocations'!A28,'GAVI CCE'!$A$3:$A$95,0)),""),"")</f>
        <v>Yes</v>
      </c>
      <c r="BF28" s="88">
        <f>IFERROR(IF(BE28="Yes",INDEX('GAVI CCE'!$F$3:$F$95,MATCH('Matrix Allocations'!A28,'GAVI CCE'!$A$3:$A$95,0)),""),"")</f>
        <v>201700</v>
      </c>
      <c r="BG28" s="609" t="str">
        <f>IFERROR(IF(E28='CDS early access ceilings'!$A$94,(VLOOKUP(A28,'CDS early access ceilings'!$A$2:$D$92,4,FALSE)),""),"")</f>
        <v>GAVI</v>
      </c>
      <c r="BH28" s="639" t="str">
        <f>IFERROR(INDEX(Table14[Status (clean)],MATCH('Matrix Allocations'!A28,Table14[ISO Code],0)),"")</f>
        <v>Disbursed</v>
      </c>
      <c r="BI28" s="641">
        <f>IFERROR(INDEX(Table14[Amount disbursed (USD)],MATCH('Matrix Allocations'!A28,Table14[ISO Code],0)),"")</f>
        <v>1303508</v>
      </c>
      <c r="BJ28" s="641" t="str">
        <f>IFERROR(INDEX('CDS NBW'!$I$2:$I$39,MATCH(A28,'CDS NBW'!$A$2:$A$39,0)),"")</f>
        <v/>
      </c>
      <c r="BK28" s="641" t="str">
        <f>IFERROR(INDEX('CDS NBW'!$J$2:$J$39,MATCH(A28,'CDS NBW'!$A$2:$A$39,0)),"")</f>
        <v/>
      </c>
      <c r="BL28" s="609"/>
      <c r="BM28" s="609"/>
      <c r="BN28" s="609"/>
      <c r="BO28" s="609"/>
      <c r="BP28" s="609">
        <f>IFERROR(INDEX('UNICEF-BMZ'!$O$1:$O$199,MATCH('Matrix Allocations'!A28,'UNICEF-BMZ'!$B$1:$B$199,0)),"")</f>
        <v>265000</v>
      </c>
      <c r="BQ28" s="609" t="str">
        <f>IFERROR(VLOOKUP(A28,'BMGF_clean data'!$A$4:$C$30,3,FALSE),"")</f>
        <v/>
      </c>
      <c r="BR28" s="88"/>
      <c r="BS28" s="88">
        <v>1110635</v>
      </c>
      <c r="BT28" s="88"/>
      <c r="BU28" s="88"/>
      <c r="BV28" s="88"/>
      <c r="BW28" s="87">
        <f>INDEX(USAID!$D$3:$D$151,MATCH('Matrix Allocations'!A28,USAID!$A$3:$A$151,0))</f>
        <v>1150000</v>
      </c>
      <c r="BX28" s="87" t="str">
        <f>IFERROR(INDEX(DFAT!$L$4:$L$21,MATCH('Matrix Allocations'!A28,DFAT!$B$4:$B$21,0)),"")</f>
        <v/>
      </c>
      <c r="BY28" s="87">
        <f>IFERROR(INDEX(Table14[Funds Channelled through UNICEF],MATCH('Matrix Allocations'!A28,Table14[ISO Code],0)),"")</f>
        <v>1303508</v>
      </c>
      <c r="BZ28" s="87">
        <f t="shared" si="6"/>
        <v>1303508</v>
      </c>
      <c r="CA28">
        <f t="shared" si="19"/>
        <v>4919987</v>
      </c>
      <c r="CB28" s="782">
        <f t="shared" si="10"/>
        <v>1475996.0999999999</v>
      </c>
      <c r="CC28" s="791">
        <f t="shared" si="11"/>
        <v>5478055.3703703703</v>
      </c>
      <c r="CD28" s="788">
        <f t="shared" si="12"/>
        <v>3.7114294342446912</v>
      </c>
      <c r="CE28" s="788">
        <f t="shared" si="13"/>
        <v>2.7835720756835181</v>
      </c>
      <c r="CF28" s="828">
        <f t="shared" si="14"/>
        <v>1.5906126146762962</v>
      </c>
      <c r="CG28" s="828">
        <f t="shared" si="15"/>
        <v>1.1134288302734072</v>
      </c>
      <c r="CH28" s="88">
        <f t="shared" si="20"/>
        <v>0</v>
      </c>
      <c r="CI28" s="88">
        <f t="shared" si="16"/>
        <v>2260635</v>
      </c>
      <c r="CJ28" s="742">
        <f t="shared" si="21"/>
        <v>0</v>
      </c>
      <c r="CK28" s="848">
        <f t="shared" si="17"/>
        <v>3564143</v>
      </c>
      <c r="CL28" s="88">
        <f t="shared" si="18"/>
        <v>3217420.3703703703</v>
      </c>
    </row>
    <row r="29" spans="1:90" ht="16" customHeight="1">
      <c r="A29" s="55" t="s">
        <v>576</v>
      </c>
      <c r="B29" s="55" t="s">
        <v>183</v>
      </c>
      <c r="C29" s="55" t="s">
        <v>129</v>
      </c>
      <c r="D29" s="55" t="s">
        <v>148</v>
      </c>
      <c r="E29" s="55" t="s">
        <v>145</v>
      </c>
      <c r="F29" s="56">
        <v>1</v>
      </c>
      <c r="G29" s="56" t="str">
        <f t="shared" si="22"/>
        <v>No</v>
      </c>
      <c r="H29" s="56" t="str">
        <f t="shared" si="22"/>
        <v>No</v>
      </c>
      <c r="I29" s="56" t="str">
        <f t="shared" si="1"/>
        <v>No</v>
      </c>
      <c r="J29" s="56" t="str">
        <f t="shared" si="2"/>
        <v>Yes</v>
      </c>
      <c r="K29" s="56" t="str">
        <f t="shared" si="3"/>
        <v>No</v>
      </c>
      <c r="L29" s="56" t="s">
        <v>541</v>
      </c>
      <c r="M29" s="55" t="s">
        <v>541</v>
      </c>
      <c r="N29" s="134" t="s">
        <v>541</v>
      </c>
      <c r="O29" s="55" t="s">
        <v>541</v>
      </c>
      <c r="P29" s="55" t="s">
        <v>542</v>
      </c>
      <c r="Q29" s="55"/>
      <c r="R29" s="55"/>
      <c r="S29" s="956">
        <v>76939306.715636879</v>
      </c>
      <c r="T29" s="55" t="s">
        <v>394</v>
      </c>
      <c r="U29" s="64" t="str">
        <f>IFERROR(IF(VLOOKUP(A29,'WB projects data'!$A$5:$C$83,3,0)="Approved",(VLOOKUP(A29,'WB projects data'!$A$5:$C$83,3,0)),""),"")</f>
        <v>Approved</v>
      </c>
      <c r="V29" s="123">
        <f t="shared" si="4"/>
        <v>38200000</v>
      </c>
      <c r="W29" s="123">
        <f>IFERROR((VLOOKUP($A29,'WB projects data'!$A$5:$J$83,6,0)*1000000),"")</f>
        <v>0</v>
      </c>
      <c r="X29" s="123">
        <f>IFERROR((VLOOKUP($A29,'WB projects data'!$A$5:$J$83,7,0)*1000000),"")</f>
        <v>38200000</v>
      </c>
      <c r="Y29" s="123">
        <f>IFERROR((VLOOKUP($A29,'WB projects data'!$A$5:$J$83,8,0)*1000000),"")</f>
        <v>26200000</v>
      </c>
      <c r="Z29" s="123">
        <f>IFERROR((VLOOKUP($A29,'WB projects data'!$A$5:$J$83,9,0)*1000000),"")</f>
        <v>9000000</v>
      </c>
      <c r="AA29" s="123">
        <f>IFERROR((VLOOKUP($A29,'WB projects data'!$A$5:$J$83,10,0)*1000000),"")</f>
        <v>3000000</v>
      </c>
      <c r="AB29" s="55"/>
      <c r="AC29" s="110"/>
      <c r="AD29" s="110" t="str">
        <f>IFERROR(VLOOKUP(A29,'ADB Projects'!$A$4:$W$21,5,FALSE),"")</f>
        <v/>
      </c>
      <c r="AE29" s="132" t="str">
        <f>IF(AC29="Approved",(VLOOKUP($A29,'ADB Projects'!$A$5:$D$21,4,0)*1000000),"")</f>
        <v/>
      </c>
      <c r="AF29" s="585" t="str">
        <f>IF(AC29="Approved",(PRODUCT(VLOOKUP($A29,'ADB Projects'!$A$4:$W$21,6,FALSE),1000000)),"")</f>
        <v/>
      </c>
      <c r="AG29" s="585" t="str">
        <f>IF(AC29="Approved",(PRODUCT(VLOOKUP($A29,'ADB Projects'!$A$4:$W$21,7,FALSE),1000000)),"")</f>
        <v/>
      </c>
      <c r="AH29" s="585" t="str">
        <f>IF(AC29="Approved",(PRODUCT(VLOOKUP($A29,'ADB Projects'!$A$4:$W$21,8,FALSE),1000000)),"")</f>
        <v/>
      </c>
      <c r="AI29" s="148" t="s">
        <v>541</v>
      </c>
      <c r="AJ29" s="55" t="str">
        <f>IF(VLOOKUP($B29,'IsDB Projects'!$B$5:$C$14,2,0)&gt;0,"Requested","")</f>
        <v>Requested</v>
      </c>
      <c r="AK29" s="244">
        <f>VLOOKUP($B29,'IsDB Projects'!$B$5:$D$14,3,0)</f>
        <v>20000000</v>
      </c>
      <c r="AL29" s="148" t="s">
        <v>541</v>
      </c>
      <c r="AM29" s="148"/>
      <c r="AN29" s="148"/>
      <c r="AO29" s="148"/>
      <c r="AP29" s="148"/>
      <c r="AQ29" s="602" t="str">
        <f t="shared" si="5"/>
        <v/>
      </c>
      <c r="AR29" s="602" t="str">
        <f>IFERROR(VLOOKUP($A29,'IDB C19 Vaccine Projects'!$O$4:$Q$12,2,FALSE),"")</f>
        <v/>
      </c>
      <c r="AS29" s="602" t="str">
        <f>IFERROR(VLOOKUP($A29,'IDB C19 Vaccine Projects'!$O$4:$Q$12,3,FALSE),"")</f>
        <v/>
      </c>
      <c r="AT29" s="55" t="s">
        <v>541</v>
      </c>
      <c r="AU29" s="88">
        <v>1582483</v>
      </c>
      <c r="AV29" s="55"/>
      <c r="AW29" s="55"/>
      <c r="AX29" s="88" t="str">
        <f>INDEX(USAID!$C$3:$C$151,MATCH('Matrix Allocations'!A29,USAID!$A$3:$A$151,0))</f>
        <v/>
      </c>
      <c r="AY29" s="110"/>
      <c r="AZ29" s="88">
        <f>IFERROR(INDEX('[4]Vx All regions allocations'!O$10:O$144,MATCH(A29,'[4]Vx All regions allocations'!A$10:A$144,0)),"")</f>
        <v>1086043</v>
      </c>
      <c r="BA29" s="88">
        <v>225360.18518518517</v>
      </c>
      <c r="BB29" s="88">
        <v>455627</v>
      </c>
      <c r="BC29" s="88" t="str">
        <f>IFERROR(INDEX(DFAT!$K$4:$K$21,MATCH('Matrix Allocations'!A29,DFAT!$B$4:$B$21,0)),"")</f>
        <v/>
      </c>
      <c r="BD29" s="88"/>
      <c r="BE29" s="826" t="str">
        <f>IFERROR(IF(INDEX('GAVI CCE'!$E$3:$E$95,MATCH('Matrix Allocations'!A29,'GAVI CCE'!$A$3:$A$95,0))="Yes",INDEX('GAVI CCE'!$E$3:$E$95,MATCH('Matrix Allocations'!A29,'GAVI CCE'!$A$3:$A$95,0)),""),"")</f>
        <v>Yes</v>
      </c>
      <c r="BF29" s="88" t="str">
        <f>IFERROR(IF(BE29="Yes",INDEX('GAVI CCE'!$F$3:$F$95,MATCH('Matrix Allocations'!A29,'GAVI CCE'!$A$3:$A$95,0)),""),"")</f>
        <v xml:space="preserve"> $-   </v>
      </c>
      <c r="BG29" s="609" t="str">
        <f>IFERROR(IF(E29='CDS early access ceilings'!$A$94,(VLOOKUP(A29,'CDS early access ceilings'!$A$2:$D$92,4,FALSE)),""),"")</f>
        <v>GAVI</v>
      </c>
      <c r="BH29" s="639" t="str">
        <f>IFERROR(INDEX(Table14[Status (clean)],MATCH('Matrix Allocations'!A29,Table14[ISO Code],0)),"")</f>
        <v>Disbursed</v>
      </c>
      <c r="BI29" s="641">
        <f>IFERROR(INDEX(Table14[Amount disbursed (USD)],MATCH('Matrix Allocations'!A29,Table14[ISO Code],0)),"")</f>
        <v>4700000</v>
      </c>
      <c r="BJ29" s="641" t="str">
        <f>IFERROR(INDEX('CDS NBW'!$I$2:$I$39,MATCH(A29,'CDS NBW'!$A$2:$A$39,0)),"")</f>
        <v/>
      </c>
      <c r="BK29" s="641" t="str">
        <f>IFERROR(INDEX('CDS NBW'!$J$2:$J$39,MATCH(A29,'CDS NBW'!$A$2:$A$39,0)),"")</f>
        <v/>
      </c>
      <c r="BL29" s="609"/>
      <c r="BM29" s="609"/>
      <c r="BN29" s="609"/>
      <c r="BO29" s="609"/>
      <c r="BP29" s="609">
        <f>IFERROR(INDEX('UNICEF-BMZ'!$O$1:$O$199,MATCH('Matrix Allocations'!A29,'UNICEF-BMZ'!$B$1:$B$199,0)),"")</f>
        <v>1069300</v>
      </c>
      <c r="BQ29" s="609" t="str">
        <f>IFERROR(VLOOKUP(A29,'BMGF_clean data'!$A$4:$C$30,3,FALSE),"")</f>
        <v/>
      </c>
      <c r="BR29" s="609"/>
      <c r="BS29" s="609"/>
      <c r="BT29" s="609"/>
      <c r="BU29" s="609"/>
      <c r="BV29" s="609"/>
      <c r="BW29" s="87">
        <f>INDEX(USAID!$D$3:$D$151,MATCH('Matrix Allocations'!A29,USAID!$A$3:$A$151,0))</f>
        <v>0</v>
      </c>
      <c r="BX29" s="87" t="str">
        <f>IFERROR(INDEX(DFAT!$L$4:$L$21,MATCH('Matrix Allocations'!A29,DFAT!$B$4:$B$21,0)),"")</f>
        <v/>
      </c>
      <c r="BY29" s="87">
        <f>IFERROR(INDEX(Table14[Funds Channelled through UNICEF],MATCH('Matrix Allocations'!A29,Table14[ISO Code],0)),"")</f>
        <v>0</v>
      </c>
      <c r="BZ29" s="87">
        <f t="shared" si="6"/>
        <v>0</v>
      </c>
      <c r="CA29">
        <f t="shared" si="19"/>
        <v>16914985</v>
      </c>
      <c r="CB29" s="782">
        <f t="shared" si="10"/>
        <v>5074495.5</v>
      </c>
      <c r="CC29" s="791">
        <f t="shared" si="11"/>
        <v>18118813.185185187</v>
      </c>
      <c r="CD29" s="788">
        <f t="shared" si="12"/>
        <v>3.5705644403833223</v>
      </c>
      <c r="CE29" s="788">
        <f t="shared" si="13"/>
        <v>2.6779233302874914</v>
      </c>
      <c r="CF29" s="828">
        <f t="shared" si="14"/>
        <v>1.5302419030214238</v>
      </c>
      <c r="CG29" s="828">
        <f t="shared" si="15"/>
        <v>1.0711693321149967</v>
      </c>
      <c r="CH29" s="88">
        <f t="shared" si="20"/>
        <v>9000000</v>
      </c>
      <c r="CI29" s="88">
        <f t="shared" si="16"/>
        <v>0</v>
      </c>
      <c r="CJ29" s="742">
        <f t="shared" si="21"/>
        <v>0</v>
      </c>
      <c r="CK29" s="848">
        <f t="shared" si="17"/>
        <v>1086043</v>
      </c>
      <c r="CL29" s="88">
        <f t="shared" si="18"/>
        <v>8032770.1851851847</v>
      </c>
    </row>
    <row r="30" spans="1:90" ht="16" customHeight="1">
      <c r="A30" s="147" t="s">
        <v>577</v>
      </c>
      <c r="B30" s="147" t="s">
        <v>184</v>
      </c>
      <c r="C30" s="55" t="s">
        <v>130</v>
      </c>
      <c r="D30" s="55" t="s">
        <v>550</v>
      </c>
      <c r="E30" s="55" t="s">
        <v>146</v>
      </c>
      <c r="F30" s="56"/>
      <c r="G30" s="56" t="str">
        <f t="shared" si="22"/>
        <v>Yes</v>
      </c>
      <c r="H30" s="56" t="str">
        <f t="shared" si="22"/>
        <v>Yes</v>
      </c>
      <c r="I30" s="56" t="str">
        <f t="shared" si="1"/>
        <v>No</v>
      </c>
      <c r="J30" s="56" t="str">
        <f t="shared" si="2"/>
        <v>No</v>
      </c>
      <c r="K30" s="56" t="str">
        <f t="shared" si="3"/>
        <v>Yes</v>
      </c>
      <c r="L30" s="56" t="s">
        <v>541</v>
      </c>
      <c r="M30" s="55" t="s">
        <v>544</v>
      </c>
      <c r="N30" s="134" t="s">
        <v>544</v>
      </c>
      <c r="O30" s="55" t="s">
        <v>544</v>
      </c>
      <c r="P30" s="55"/>
      <c r="Q30" s="55"/>
      <c r="R30" s="55"/>
      <c r="S30" s="956">
        <v>13859708717.682571</v>
      </c>
      <c r="T30" s="55" t="s">
        <v>395</v>
      </c>
      <c r="U30" s="64" t="str">
        <f>IFERROR(IF(VLOOKUP(A30,'WB projects data'!$A$5:$C$83,3,0)="Approved",(VLOOKUP(A30,'WB projects data'!$A$5:$C$83,3,0)),""),"")</f>
        <v/>
      </c>
      <c r="V30" s="123" t="str">
        <f t="shared" si="4"/>
        <v/>
      </c>
      <c r="W30" s="123" t="str">
        <f>IFERROR((VLOOKUP($A30,'WB projects data'!$A$5:$J$83,6,0)*1000000),"")</f>
        <v/>
      </c>
      <c r="X30" s="123" t="str">
        <f>IFERROR((VLOOKUP($A30,'WB projects data'!$A$5:$J$83,7,0)*1000000),"")</f>
        <v/>
      </c>
      <c r="Y30" s="123" t="str">
        <f>IFERROR((VLOOKUP($A30,'WB projects data'!$A$5:$J$83,8,0)*1000000),"")</f>
        <v/>
      </c>
      <c r="Z30" s="123" t="str">
        <f>IFERROR((VLOOKUP($A30,'WB projects data'!$A$5:$J$83,9,0)*1000000),"")</f>
        <v/>
      </c>
      <c r="AA30" s="123" t="str">
        <f>IFERROR((VLOOKUP($A30,'WB projects data'!$A$5:$J$83,10,0)*1000000),"")</f>
        <v/>
      </c>
      <c r="AB30" s="55"/>
      <c r="AC30" s="110"/>
      <c r="AD30" s="110" t="str">
        <f>IFERROR(VLOOKUP(A30,'ADB Projects'!$A$4:$W$21,5,FALSE),"")</f>
        <v/>
      </c>
      <c r="AE30" s="132" t="str">
        <f>IF(AC30="Approved",(VLOOKUP($A30,'ADB Projects'!$A$5:$D$21,4,0)*1000000),"")</f>
        <v/>
      </c>
      <c r="AF30" s="585" t="str">
        <f>IF(AC30="Approved",(PRODUCT(VLOOKUP($A30,'ADB Projects'!$A$4:$W$21,6,FALSE),1000000)),"")</f>
        <v/>
      </c>
      <c r="AG30" s="585" t="str">
        <f>IF(AC30="Approved",(PRODUCT(VLOOKUP($A30,'ADB Projects'!$A$4:$W$21,7,FALSE),1000000)),"")</f>
        <v/>
      </c>
      <c r="AH30" s="585" t="str">
        <f>IF(AC30="Approved",(PRODUCT(VLOOKUP($A30,'ADB Projects'!$A$4:$W$21,8,FALSE),1000000)),"")</f>
        <v/>
      </c>
      <c r="AI30" s="55"/>
      <c r="AJ30" s="55"/>
      <c r="AK30" s="244"/>
      <c r="AL30" s="55"/>
      <c r="AM30" s="55"/>
      <c r="AN30" s="55"/>
      <c r="AO30" s="55" t="s">
        <v>541</v>
      </c>
      <c r="AP30" s="55"/>
      <c r="AQ30" s="602" t="str">
        <f t="shared" si="5"/>
        <v/>
      </c>
      <c r="AR30" s="602" t="str">
        <f>IFERROR(VLOOKUP($A30,'IDB C19 Vaccine Projects'!$O$4:$Q$12,2,FALSE),"")</f>
        <v/>
      </c>
      <c r="AS30" s="602" t="str">
        <f>IFERROR(VLOOKUP($A30,'IDB C19 Vaccine Projects'!$O$4:$Q$12,3,FALSE),"")</f>
        <v/>
      </c>
      <c r="AT30" s="55"/>
      <c r="AU30" s="88"/>
      <c r="AV30" s="635"/>
      <c r="AW30" s="55"/>
      <c r="AX30" s="88" t="str">
        <f>INDEX(USAID!$C$3:$C$151,MATCH('Matrix Allocations'!A30,USAID!$A$3:$A$151,0))</f>
        <v/>
      </c>
      <c r="AY30" s="110"/>
      <c r="AZ30" s="88">
        <f>IFERROR(INDEX('[4]Vx All regions allocations'!O$10:O$144,MATCH(A30,'[4]Vx All regions allocations'!A$10:A$144,0)),"")</f>
        <v>0</v>
      </c>
      <c r="BA30" s="88">
        <v>0</v>
      </c>
      <c r="BB30" s="88">
        <v>0</v>
      </c>
      <c r="BC30" s="88" t="str">
        <f>IFERROR(INDEX(DFAT!$K$4:$K$21,MATCH('Matrix Allocations'!A30,DFAT!$B$4:$B$21,0)),"")</f>
        <v/>
      </c>
      <c r="BD30" s="88"/>
      <c r="BE30" s="826" t="str">
        <f>IFERROR(IF(INDEX('GAVI CCE'!$E$3:$E$95,MATCH('Matrix Allocations'!A30,'GAVI CCE'!$A$3:$A$95,0))="Yes",INDEX('GAVI CCE'!$E$3:$E$95,MATCH('Matrix Allocations'!A30,'GAVI CCE'!$A$3:$A$95,0)),""),"")</f>
        <v/>
      </c>
      <c r="BF30" s="88" t="str">
        <f>IFERROR(IF(BE30="Yes",INDEX('GAVI CCE'!$F$3:$F$95,MATCH('Matrix Allocations'!A30,'GAVI CCE'!$A$3:$A$95,0)),""),"")</f>
        <v/>
      </c>
      <c r="BG30" s="609" t="str">
        <f>IFERROR(IF(E30='CDS early access ceilings'!$A$94,(VLOOKUP(A30,'CDS early access ceilings'!$A$2:$D$92,4,FALSE)),""),"")</f>
        <v/>
      </c>
      <c r="BH30" s="639" t="str">
        <f>IFERROR(INDEX(Table14[Status (clean)],MATCH('Matrix Allocations'!A30,Table14[ISO Code],0)),"")</f>
        <v/>
      </c>
      <c r="BI30" s="641" t="str">
        <f>IFERROR(INDEX(Table14[Amount disbursed (USD)],MATCH('Matrix Allocations'!A30,Table14[ISO Code],0)),"")</f>
        <v/>
      </c>
      <c r="BJ30" s="641" t="str">
        <f>IFERROR(INDEX('CDS NBW'!$I$2:$I$39,MATCH(A30,'CDS NBW'!$A$2:$A$39,0)),"")</f>
        <v/>
      </c>
      <c r="BK30" s="641" t="str">
        <f>IFERROR(INDEX('CDS NBW'!$J$2:$J$39,MATCH(A30,'CDS NBW'!$A$2:$A$39,0)),"")</f>
        <v/>
      </c>
      <c r="BL30" s="609"/>
      <c r="BM30" s="609"/>
      <c r="BN30" s="609"/>
      <c r="BO30" s="609"/>
      <c r="BP30" s="609">
        <f>IFERROR(INDEX('UNICEF-BMZ'!$O$1:$O$199,MATCH('Matrix Allocations'!A30,'UNICEF-BMZ'!$B$1:$B$199,0)),"")</f>
        <v>0</v>
      </c>
      <c r="BQ30" s="609" t="str">
        <f>IFERROR(VLOOKUP(A30,'BMGF_clean data'!$A$4:$C$30,3,FALSE),"")</f>
        <v/>
      </c>
      <c r="BR30" s="88"/>
      <c r="BS30" s="88"/>
      <c r="BT30" s="88"/>
      <c r="BU30" s="88"/>
      <c r="BV30" s="88"/>
      <c r="BW30" s="87">
        <f>INDEX(USAID!$D$3:$D$151,MATCH('Matrix Allocations'!A30,USAID!$A$3:$A$151,0))</f>
        <v>0</v>
      </c>
      <c r="BX30" s="87" t="str">
        <f>IFERROR(INDEX(DFAT!$L$4:$L$21,MATCH('Matrix Allocations'!A30,DFAT!$B$4:$B$21,0)),"")</f>
        <v/>
      </c>
      <c r="BY30" s="87" t="str">
        <f>IFERROR(INDEX(Table14[Funds Channelled through UNICEF],MATCH('Matrix Allocations'!A30,Table14[ISO Code],0)),"")</f>
        <v/>
      </c>
      <c r="BZ30" s="87">
        <f t="shared" si="6"/>
        <v>0</v>
      </c>
      <c r="CA30">
        <f t="shared" si="19"/>
        <v>19116209</v>
      </c>
      <c r="CB30" s="782">
        <f t="shared" si="10"/>
        <v>5734862.7000000002</v>
      </c>
      <c r="CC30" s="791">
        <f t="shared" si="11"/>
        <v>0</v>
      </c>
      <c r="CD30" s="788">
        <f t="shared" si="12"/>
        <v>0</v>
      </c>
      <c r="CE30" s="788">
        <f t="shared" si="13"/>
        <v>0</v>
      </c>
      <c r="CF30" s="828">
        <f t="shared" si="14"/>
        <v>0</v>
      </c>
      <c r="CG30" s="828">
        <f t="shared" si="15"/>
        <v>0</v>
      </c>
      <c r="CH30" s="88">
        <f t="shared" si="20"/>
        <v>0</v>
      </c>
      <c r="CI30" s="88">
        <f t="shared" si="16"/>
        <v>0</v>
      </c>
      <c r="CJ30" s="742">
        <f t="shared" si="21"/>
        <v>0</v>
      </c>
      <c r="CK30" s="848">
        <f t="shared" si="17"/>
        <v>0</v>
      </c>
      <c r="CL30" s="88">
        <f t="shared" si="18"/>
        <v>0</v>
      </c>
    </row>
    <row r="31" spans="1:90" ht="16" customHeight="1">
      <c r="A31" s="147" t="s">
        <v>578</v>
      </c>
      <c r="B31" s="147" t="s">
        <v>185</v>
      </c>
      <c r="C31" s="55" t="s">
        <v>126</v>
      </c>
      <c r="D31" s="55" t="s">
        <v>152</v>
      </c>
      <c r="E31" s="55" t="s">
        <v>146</v>
      </c>
      <c r="F31" s="56"/>
      <c r="G31" s="56" t="str">
        <f t="shared" si="22"/>
        <v>Yes</v>
      </c>
      <c r="H31" s="56" t="str">
        <f t="shared" si="22"/>
        <v>Yes</v>
      </c>
      <c r="I31" s="56" t="str">
        <f t="shared" si="1"/>
        <v>No</v>
      </c>
      <c r="J31" s="56" t="str">
        <f t="shared" si="2"/>
        <v>No</v>
      </c>
      <c r="K31" s="56" t="str">
        <f t="shared" si="3"/>
        <v>Yes</v>
      </c>
      <c r="L31" s="56" t="s">
        <v>541</v>
      </c>
      <c r="M31" s="55" t="s">
        <v>544</v>
      </c>
      <c r="N31" s="134" t="s">
        <v>544</v>
      </c>
      <c r="O31" s="55" t="s">
        <v>544</v>
      </c>
      <c r="P31" s="55"/>
      <c r="Q31" s="55"/>
      <c r="R31" s="55"/>
      <c r="S31" s="956">
        <v>403567160707.7016</v>
      </c>
      <c r="T31" s="55" t="s">
        <v>395</v>
      </c>
      <c r="U31" s="64" t="str">
        <f>IFERROR(IF(VLOOKUP(A31,'WB projects data'!$A$5:$C$83,3,0)="Approved",(VLOOKUP(A31,'WB projects data'!$A$5:$C$83,3,0)),""),"")</f>
        <v/>
      </c>
      <c r="V31" s="123" t="str">
        <f t="shared" si="4"/>
        <v/>
      </c>
      <c r="W31" s="123" t="str">
        <f>IFERROR((VLOOKUP($A31,'WB projects data'!$A$5:$J$83,6,0)*1000000),"")</f>
        <v/>
      </c>
      <c r="X31" s="123" t="str">
        <f>IFERROR((VLOOKUP($A31,'WB projects data'!$A$5:$J$83,7,0)*1000000),"")</f>
        <v/>
      </c>
      <c r="Y31" s="123" t="str">
        <f>IFERROR((VLOOKUP($A31,'WB projects data'!$A$5:$J$83,8,0)*1000000),"")</f>
        <v/>
      </c>
      <c r="Z31" s="123" t="str">
        <f>IFERROR((VLOOKUP($A31,'WB projects data'!$A$5:$J$83,9,0)*1000000),"")</f>
        <v/>
      </c>
      <c r="AA31" s="123" t="str">
        <f>IFERROR((VLOOKUP($A31,'WB projects data'!$A$5:$J$83,10,0)*1000000),"")</f>
        <v/>
      </c>
      <c r="AB31" s="55"/>
      <c r="AC31" s="110"/>
      <c r="AD31" s="110" t="str">
        <f>IFERROR(VLOOKUP(A31,'ADB Projects'!$A$4:$W$21,5,FALSE),"")</f>
        <v/>
      </c>
      <c r="AE31" s="132" t="str">
        <f>IF(AC31="Approved",(VLOOKUP($A31,'ADB Projects'!$A$5:$D$21,4,0)*1000000),"")</f>
        <v/>
      </c>
      <c r="AF31" s="585" t="str">
        <f>IF(AC31="Approved",(PRODUCT(VLOOKUP($A31,'ADB Projects'!$A$4:$W$21,6,FALSE),1000000)),"")</f>
        <v/>
      </c>
      <c r="AG31" s="585" t="str">
        <f>IF(AC31="Approved",(PRODUCT(VLOOKUP($A31,'ADB Projects'!$A$4:$W$21,7,FALSE),1000000)),"")</f>
        <v/>
      </c>
      <c r="AH31" s="585" t="str">
        <f>IF(AC31="Approved",(PRODUCT(VLOOKUP($A31,'ADB Projects'!$A$4:$W$21,8,FALSE),1000000)),"")</f>
        <v/>
      </c>
      <c r="AI31" s="55"/>
      <c r="AJ31" s="55"/>
      <c r="AK31" s="244"/>
      <c r="AL31" s="55"/>
      <c r="AM31" s="55"/>
      <c r="AN31" s="55"/>
      <c r="AO31" s="55"/>
      <c r="AP31" s="55"/>
      <c r="AQ31" s="602" t="str">
        <f t="shared" si="5"/>
        <v/>
      </c>
      <c r="AR31" s="602" t="str">
        <f>IFERROR(VLOOKUP($A31,'IDB C19 Vaccine Projects'!$O$4:$Q$12,2,FALSE),"")</f>
        <v/>
      </c>
      <c r="AS31" s="602" t="str">
        <f>IFERROR(VLOOKUP($A31,'IDB C19 Vaccine Projects'!$O$4:$Q$12,3,FALSE),"")</f>
        <v/>
      </c>
      <c r="AT31" s="55"/>
      <c r="AU31" s="88"/>
      <c r="AV31" s="635"/>
      <c r="AW31" s="55"/>
      <c r="AX31" s="88" t="str">
        <f>INDEX(USAID!$C$3:$C$151,MATCH('Matrix Allocations'!A31,USAID!$A$3:$A$151,0))</f>
        <v/>
      </c>
      <c r="AY31" s="110"/>
      <c r="AZ31" s="88" t="str">
        <f>IFERROR(INDEX('[4]Vx All regions allocations'!O$10:O$144,MATCH(A31,'[4]Vx All regions allocations'!A$10:A$144,0)),"")</f>
        <v/>
      </c>
      <c r="BA31" s="88">
        <v>0</v>
      </c>
      <c r="BB31" s="88">
        <v>0</v>
      </c>
      <c r="BC31" s="88" t="str">
        <f>IFERROR(INDEX(DFAT!$K$4:$K$21,MATCH('Matrix Allocations'!A31,DFAT!$B$4:$B$21,0)),"")</f>
        <v/>
      </c>
      <c r="BD31" s="88"/>
      <c r="BE31" s="826" t="str">
        <f>IFERROR(IF(INDEX('GAVI CCE'!$E$3:$E$95,MATCH('Matrix Allocations'!A31,'GAVI CCE'!$A$3:$A$95,0))="Yes",INDEX('GAVI CCE'!$E$3:$E$95,MATCH('Matrix Allocations'!A31,'GAVI CCE'!$A$3:$A$95,0)),""),"")</f>
        <v/>
      </c>
      <c r="BF31" s="88" t="str">
        <f>IFERROR(IF(BE31="Yes",INDEX('GAVI CCE'!$F$3:$F$95,MATCH('Matrix Allocations'!A31,'GAVI CCE'!$A$3:$A$95,0)),""),"")</f>
        <v/>
      </c>
      <c r="BG31" s="609" t="str">
        <f>IFERROR(IF(E31='CDS early access ceilings'!$A$94,(VLOOKUP(A31,'CDS early access ceilings'!$A$2:$D$92,4,FALSE)),""),"")</f>
        <v/>
      </c>
      <c r="BH31" s="639" t="str">
        <f>IFERROR(INDEX(Table14[Status (clean)],MATCH('Matrix Allocations'!A31,Table14[ISO Code],0)),"")</f>
        <v/>
      </c>
      <c r="BI31" s="641" t="str">
        <f>IFERROR(INDEX(Table14[Amount disbursed (USD)],MATCH('Matrix Allocations'!A31,Table14[ISO Code],0)),"")</f>
        <v/>
      </c>
      <c r="BJ31" s="641" t="str">
        <f>IFERROR(INDEX('CDS NBW'!$I$2:$I$39,MATCH(A31,'CDS NBW'!$A$2:$A$39,0)),"")</f>
        <v/>
      </c>
      <c r="BK31" s="641" t="str">
        <f>IFERROR(INDEX('CDS NBW'!$J$2:$J$39,MATCH(A31,'CDS NBW'!$A$2:$A$39,0)),"")</f>
        <v/>
      </c>
      <c r="BL31" s="609"/>
      <c r="BM31" s="609"/>
      <c r="BN31" s="609"/>
      <c r="BO31" s="609"/>
      <c r="BP31" s="609">
        <f>IFERROR(INDEX('UNICEF-BMZ'!$O$1:$O$199,MATCH('Matrix Allocations'!A31,'UNICEF-BMZ'!$B$1:$B$199,0)),"")</f>
        <v>0</v>
      </c>
      <c r="BQ31" s="609" t="str">
        <f>IFERROR(VLOOKUP(A31,'BMGF_clean data'!$A$4:$C$30,3,FALSE),"")</f>
        <v/>
      </c>
      <c r="BR31" s="88"/>
      <c r="BS31" s="88"/>
      <c r="BT31" s="88"/>
      <c r="BU31" s="88"/>
      <c r="BV31" s="88"/>
      <c r="BW31" s="87">
        <f>INDEX(USAID!$D$3:$D$151,MATCH('Matrix Allocations'!A31,USAID!$A$3:$A$151,0))</f>
        <v>0</v>
      </c>
      <c r="BX31" s="87" t="str">
        <f>IFERROR(INDEX(DFAT!$L$4:$L$21,MATCH('Matrix Allocations'!A31,DFAT!$B$4:$B$21,0)),"")</f>
        <v/>
      </c>
      <c r="BY31" s="87" t="str">
        <f>IFERROR(INDEX(Table14[Funds Channelled through UNICEF],MATCH('Matrix Allocations'!A31,Table14[ISO Code],0)),"")</f>
        <v/>
      </c>
      <c r="BZ31" s="87">
        <f t="shared" si="6"/>
        <v>0</v>
      </c>
      <c r="CA31">
        <f t="shared" si="19"/>
        <v>1439323774</v>
      </c>
      <c r="CB31" s="782">
        <f t="shared" si="10"/>
        <v>431797132.19999999</v>
      </c>
      <c r="CC31" s="791">
        <f t="shared" si="11"/>
        <v>0</v>
      </c>
      <c r="CD31" s="788">
        <f t="shared" si="12"/>
        <v>0</v>
      </c>
      <c r="CE31" s="788">
        <f t="shared" si="13"/>
        <v>0</v>
      </c>
      <c r="CF31" s="828">
        <f t="shared" si="14"/>
        <v>0</v>
      </c>
      <c r="CG31" s="828">
        <f t="shared" si="15"/>
        <v>0</v>
      </c>
      <c r="CH31" s="88">
        <f t="shared" si="20"/>
        <v>0</v>
      </c>
      <c r="CI31" s="88">
        <f t="shared" si="16"/>
        <v>0</v>
      </c>
      <c r="CJ31" s="742">
        <f t="shared" si="21"/>
        <v>0</v>
      </c>
      <c r="CK31" s="848">
        <f t="shared" si="17"/>
        <v>0</v>
      </c>
      <c r="CL31" s="88">
        <f t="shared" si="18"/>
        <v>0</v>
      </c>
    </row>
    <row r="32" spans="1:90" ht="16" customHeight="1">
      <c r="A32" s="147" t="s">
        <v>579</v>
      </c>
      <c r="B32" s="147" t="s">
        <v>186</v>
      </c>
      <c r="C32" s="55" t="s">
        <v>130</v>
      </c>
      <c r="D32" s="55" t="s">
        <v>152</v>
      </c>
      <c r="E32" s="55" t="s">
        <v>146</v>
      </c>
      <c r="F32" s="56"/>
      <c r="G32" s="56" t="str">
        <f t="shared" si="22"/>
        <v>Yes</v>
      </c>
      <c r="H32" s="56" t="str">
        <f t="shared" si="22"/>
        <v>Yes</v>
      </c>
      <c r="I32" s="56" t="str">
        <f t="shared" si="1"/>
        <v>No</v>
      </c>
      <c r="J32" s="56" t="str">
        <f t="shared" si="2"/>
        <v>No</v>
      </c>
      <c r="K32" s="56" t="str">
        <f t="shared" si="3"/>
        <v>Yes</v>
      </c>
      <c r="L32" s="56" t="s">
        <v>541</v>
      </c>
      <c r="M32" s="55" t="s">
        <v>544</v>
      </c>
      <c r="N32" s="134" t="s">
        <v>544</v>
      </c>
      <c r="O32" s="55" t="s">
        <v>544</v>
      </c>
      <c r="P32" s="55"/>
      <c r="Q32" s="55"/>
      <c r="R32" s="55"/>
      <c r="S32" s="956">
        <v>18250225995.972618</v>
      </c>
      <c r="T32" s="55" t="s">
        <v>395</v>
      </c>
      <c r="U32" s="64" t="str">
        <f>IFERROR(IF(VLOOKUP(A32,'WB projects data'!$A$5:$C$83,3,0)="Approved",(VLOOKUP(A32,'WB projects data'!$A$5:$C$83,3,0)),""),"")</f>
        <v/>
      </c>
      <c r="V32" s="123" t="str">
        <f t="shared" si="4"/>
        <v/>
      </c>
      <c r="W32" s="123" t="str">
        <f>IFERROR((VLOOKUP($A32,'WB projects data'!$A$5:$J$83,6,0)*1000000),"")</f>
        <v/>
      </c>
      <c r="X32" s="123" t="str">
        <f>IFERROR((VLOOKUP($A32,'WB projects data'!$A$5:$J$83,7,0)*1000000),"")</f>
        <v/>
      </c>
      <c r="Y32" s="123" t="str">
        <f>IFERROR((VLOOKUP($A32,'WB projects data'!$A$5:$J$83,8,0)*1000000),"")</f>
        <v/>
      </c>
      <c r="Z32" s="123" t="str">
        <f>IFERROR((VLOOKUP($A32,'WB projects data'!$A$5:$J$83,9,0)*1000000),"")</f>
        <v/>
      </c>
      <c r="AA32" s="123" t="str">
        <f>IFERROR((VLOOKUP($A32,'WB projects data'!$A$5:$J$83,10,0)*1000000),"")</f>
        <v/>
      </c>
      <c r="AB32" s="55"/>
      <c r="AC32" s="110"/>
      <c r="AD32" s="110" t="str">
        <f>IFERROR(VLOOKUP(A32,'ADB Projects'!$A$4:$W$21,5,FALSE),"")</f>
        <v/>
      </c>
      <c r="AE32" s="132" t="str">
        <f>IF(AC32="Approved",(VLOOKUP($A32,'ADB Projects'!$A$5:$D$21,4,0)*1000000),"")</f>
        <v/>
      </c>
      <c r="AF32" s="585" t="str">
        <f>IF(AC32="Approved",(PRODUCT(VLOOKUP($A32,'ADB Projects'!$A$4:$W$21,6,FALSE),1000000)),"")</f>
        <v/>
      </c>
      <c r="AG32" s="585" t="str">
        <f>IF(AC32="Approved",(PRODUCT(VLOOKUP($A32,'ADB Projects'!$A$4:$W$21,7,FALSE),1000000)),"")</f>
        <v/>
      </c>
      <c r="AH32" s="585" t="str">
        <f>IF(AC32="Approved",(PRODUCT(VLOOKUP($A32,'ADB Projects'!$A$4:$W$21,8,FALSE),1000000)),"")</f>
        <v/>
      </c>
      <c r="AI32" s="55"/>
      <c r="AJ32" s="55"/>
      <c r="AK32" s="244"/>
      <c r="AL32" s="55"/>
      <c r="AM32" s="55"/>
      <c r="AN32" s="55"/>
      <c r="AO32" s="55" t="s">
        <v>541</v>
      </c>
      <c r="AP32" s="55"/>
      <c r="AQ32" s="602" t="str">
        <f t="shared" si="5"/>
        <v/>
      </c>
      <c r="AR32" s="602" t="str">
        <f>IFERROR(VLOOKUP($A32,'IDB C19 Vaccine Projects'!$O$4:$Q$12,2,FALSE),"")</f>
        <v/>
      </c>
      <c r="AS32" s="602" t="str">
        <f>IFERROR(VLOOKUP($A32,'IDB C19 Vaccine Projects'!$O$4:$Q$12,3,FALSE),"")</f>
        <v/>
      </c>
      <c r="AT32" s="55"/>
      <c r="AU32" s="88"/>
      <c r="AV32" s="635"/>
      <c r="AW32" s="55"/>
      <c r="AX32" s="88">
        <f>INDEX(USAID!$C$3:$C$151,MATCH('Matrix Allocations'!A32,USAID!$A$3:$A$151,0))</f>
        <v>11000000</v>
      </c>
      <c r="AY32" s="110"/>
      <c r="AZ32" s="88">
        <f>IFERROR(INDEX('[4]Vx All regions allocations'!O$10:O$144,MATCH(A32,'[4]Vx All regions allocations'!A$10:A$144,0)),"")</f>
        <v>200000</v>
      </c>
      <c r="BA32" s="88">
        <v>0</v>
      </c>
      <c r="BB32" s="88">
        <v>0</v>
      </c>
      <c r="BC32" s="88" t="str">
        <f>IFERROR(INDEX(DFAT!$K$4:$K$21,MATCH('Matrix Allocations'!A32,DFAT!$B$4:$B$21,0)),"")</f>
        <v/>
      </c>
      <c r="BD32" s="88"/>
      <c r="BE32" s="826" t="str">
        <f>IFERROR(IF(INDEX('GAVI CCE'!$E$3:$E$95,MATCH('Matrix Allocations'!A32,'GAVI CCE'!$A$3:$A$95,0))="Yes",INDEX('GAVI CCE'!$E$3:$E$95,MATCH('Matrix Allocations'!A32,'GAVI CCE'!$A$3:$A$95,0)),""),"")</f>
        <v/>
      </c>
      <c r="BF32" s="88" t="str">
        <f>IFERROR(IF(BE32="Yes",INDEX('GAVI CCE'!$F$3:$F$95,MATCH('Matrix Allocations'!A32,'GAVI CCE'!$A$3:$A$95,0)),""),"")</f>
        <v/>
      </c>
      <c r="BG32" s="609" t="str">
        <f>IFERROR(IF(E32='CDS early access ceilings'!$A$94,(VLOOKUP(A32,'CDS early access ceilings'!$A$2:$D$92,4,FALSE)),""),"")</f>
        <v/>
      </c>
      <c r="BH32" s="639" t="str">
        <f>IFERROR(INDEX(Table14[Status (clean)],MATCH('Matrix Allocations'!A32,Table14[ISO Code],0)),"")</f>
        <v/>
      </c>
      <c r="BI32" s="641" t="str">
        <f>IFERROR(INDEX(Table14[Amount disbursed (USD)],MATCH('Matrix Allocations'!A32,Table14[ISO Code],0)),"")</f>
        <v/>
      </c>
      <c r="BJ32" s="641" t="str">
        <f>IFERROR(INDEX('CDS NBW'!$I$2:$I$39,MATCH(A32,'CDS NBW'!$A$2:$A$39,0)),"")</f>
        <v/>
      </c>
      <c r="BK32" s="641" t="str">
        <f>IFERROR(INDEX('CDS NBW'!$J$2:$J$39,MATCH(A32,'CDS NBW'!$A$2:$A$39,0)),"")</f>
        <v/>
      </c>
      <c r="BL32" s="609"/>
      <c r="BM32" s="609"/>
      <c r="BN32" s="609"/>
      <c r="BO32" s="609"/>
      <c r="BP32" s="609">
        <f>IFERROR(INDEX('UNICEF-BMZ'!$O$1:$O$199,MATCH('Matrix Allocations'!A32,'UNICEF-BMZ'!$B$1:$B$199,0)),"")</f>
        <v>0</v>
      </c>
      <c r="BQ32" s="609" t="str">
        <f>IFERROR(VLOOKUP(A32,'BMGF_clean data'!$A$4:$C$30,3,FALSE),"")</f>
        <v/>
      </c>
      <c r="BR32" s="609"/>
      <c r="BS32" s="609"/>
      <c r="BT32" s="609"/>
      <c r="BU32" s="609"/>
      <c r="BV32" s="609"/>
      <c r="BW32" s="87">
        <f>INDEX(USAID!$D$3:$D$151,MATCH('Matrix Allocations'!A32,USAID!$A$3:$A$151,0))</f>
        <v>0</v>
      </c>
      <c r="BX32" s="87" t="str">
        <f>IFERROR(INDEX(DFAT!$L$4:$L$21,MATCH('Matrix Allocations'!A32,DFAT!$B$4:$B$21,0)),"")</f>
        <v/>
      </c>
      <c r="BY32" s="87" t="str">
        <f>IFERROR(INDEX(Table14[Funds Channelled through UNICEF],MATCH('Matrix Allocations'!A32,Table14[ISO Code],0)),"")</f>
        <v/>
      </c>
      <c r="BZ32" s="87">
        <f t="shared" si="6"/>
        <v>0</v>
      </c>
      <c r="CA32">
        <f t="shared" si="19"/>
        <v>51265841</v>
      </c>
      <c r="CB32" s="782">
        <f t="shared" si="10"/>
        <v>15379752.299999999</v>
      </c>
      <c r="CC32" s="791">
        <f t="shared" si="11"/>
        <v>11200000</v>
      </c>
      <c r="CD32" s="788">
        <f t="shared" si="12"/>
        <v>0.72823019392841593</v>
      </c>
      <c r="CE32" s="788">
        <f t="shared" si="13"/>
        <v>0.54617264544631183</v>
      </c>
      <c r="CF32" s="828">
        <f t="shared" si="14"/>
        <v>0.3120986545407497</v>
      </c>
      <c r="CG32" s="828">
        <f t="shared" si="15"/>
        <v>0.21846905817852477</v>
      </c>
      <c r="CH32" s="88">
        <f t="shared" si="20"/>
        <v>0</v>
      </c>
      <c r="CI32" s="88">
        <f t="shared" si="16"/>
        <v>11000000</v>
      </c>
      <c r="CJ32" s="742">
        <f t="shared" si="21"/>
        <v>0</v>
      </c>
      <c r="CK32" s="848">
        <f t="shared" si="17"/>
        <v>200000</v>
      </c>
      <c r="CL32" s="88">
        <f t="shared" si="18"/>
        <v>0</v>
      </c>
    </row>
    <row r="33" spans="1:90" ht="16" customHeight="1">
      <c r="A33" s="55" t="s">
        <v>580</v>
      </c>
      <c r="B33" s="55" t="s">
        <v>187</v>
      </c>
      <c r="C33" s="55" t="s">
        <v>128</v>
      </c>
      <c r="D33" s="55" t="s">
        <v>150</v>
      </c>
      <c r="E33" s="55" t="s">
        <v>145</v>
      </c>
      <c r="F33" s="56"/>
      <c r="G33" s="56" t="str">
        <f t="shared" si="22"/>
        <v>No</v>
      </c>
      <c r="H33" s="56" t="str">
        <f t="shared" si="22"/>
        <v>No</v>
      </c>
      <c r="I33" s="56" t="str">
        <f t="shared" si="1"/>
        <v>No</v>
      </c>
      <c r="J33" s="56" t="str">
        <f t="shared" si="2"/>
        <v>Yes</v>
      </c>
      <c r="K33" s="56" t="str">
        <f t="shared" si="3"/>
        <v>No</v>
      </c>
      <c r="L33" s="56" t="s">
        <v>541</v>
      </c>
      <c r="M33" s="55" t="s">
        <v>541</v>
      </c>
      <c r="N33" s="134" t="s">
        <v>541</v>
      </c>
      <c r="O33" s="55" t="s">
        <v>541</v>
      </c>
      <c r="P33" s="55" t="s">
        <v>562</v>
      </c>
      <c r="Q33" s="55"/>
      <c r="R33" s="55"/>
      <c r="S33" s="956">
        <v>5027591.1682657599</v>
      </c>
      <c r="T33" s="55" t="s">
        <v>394</v>
      </c>
      <c r="U33" s="64" t="str">
        <f>IFERROR(IF(VLOOKUP(A33,'WB projects data'!$A$5:$C$83,3,0)="Approved",(VLOOKUP(A33,'WB projects data'!$A$5:$C$83,3,0)),""),"")</f>
        <v>Approved</v>
      </c>
      <c r="V33" s="123">
        <f t="shared" si="4"/>
        <v>21000000</v>
      </c>
      <c r="W33" s="123">
        <f>IFERROR((VLOOKUP($A33,'WB projects data'!$A$5:$J$83,6,0)*1000000),"")</f>
        <v>10000000</v>
      </c>
      <c r="X33" s="123">
        <f>IFERROR((VLOOKUP($A33,'WB projects data'!$A$5:$J$83,7,0)*1000000),"")</f>
        <v>11000000</v>
      </c>
      <c r="Y33" s="123">
        <f>IFERROR((VLOOKUP($A33,'WB projects data'!$A$5:$J$83,8,0)*1000000),"")</f>
        <v>5600000</v>
      </c>
      <c r="Z33" s="123">
        <f>IFERROR((VLOOKUP($A33,'WB projects data'!$A$5:$J$83,9,0)*1000000),"")</f>
        <v>12800000</v>
      </c>
      <c r="AA33" s="123">
        <f>IFERROR((VLOOKUP($A33,'WB projects data'!$A$5:$J$83,10,0)*1000000),"")</f>
        <v>2700000</v>
      </c>
      <c r="AB33" s="55"/>
      <c r="AC33" s="110"/>
      <c r="AD33" s="110" t="str">
        <f>IFERROR(VLOOKUP(A33,'ADB Projects'!$A$4:$W$21,5,FALSE),"")</f>
        <v/>
      </c>
      <c r="AE33" s="132" t="str">
        <f>IF(AC33="Approved",(VLOOKUP($A33,'ADB Projects'!$A$5:$D$21,4,0)*1000000),"")</f>
        <v/>
      </c>
      <c r="AF33" s="585" t="str">
        <f>IF(AC33="Approved",(PRODUCT(VLOOKUP($A33,'ADB Projects'!$A$4:$W$21,6,FALSE),1000000)),"")</f>
        <v/>
      </c>
      <c r="AG33" s="585" t="str">
        <f>IF(AC33="Approved",(PRODUCT(VLOOKUP($A33,'ADB Projects'!$A$4:$W$21,7,FALSE),1000000)),"")</f>
        <v/>
      </c>
      <c r="AH33" s="585" t="str">
        <f>IF(AC33="Approved",(PRODUCT(VLOOKUP($A33,'ADB Projects'!$A$4:$W$21,8,FALSE),1000000)),"")</f>
        <v/>
      </c>
      <c r="AI33" s="55"/>
      <c r="AJ33" s="55"/>
      <c r="AK33" s="244"/>
      <c r="AL33" s="55" t="s">
        <v>541</v>
      </c>
      <c r="AM33" s="55"/>
      <c r="AN33" s="55"/>
      <c r="AO33" s="55"/>
      <c r="AP33" s="55"/>
      <c r="AQ33" s="602" t="str">
        <f t="shared" si="5"/>
        <v/>
      </c>
      <c r="AR33" s="602" t="str">
        <f>IFERROR(VLOOKUP($A33,'IDB C19 Vaccine Projects'!$O$4:$Q$12,2,FALSE),"")</f>
        <v/>
      </c>
      <c r="AS33" s="602" t="str">
        <f>IFERROR(VLOOKUP($A33,'IDB C19 Vaccine Projects'!$O$4:$Q$12,3,FALSE),"")</f>
        <v/>
      </c>
      <c r="AT33" s="55"/>
      <c r="AU33" s="88"/>
      <c r="AV33" s="635"/>
      <c r="AW33" s="55"/>
      <c r="AX33" s="88">
        <f>INDEX(USAID!$C$3:$C$151,MATCH('Matrix Allocations'!A33,USAID!$A$3:$A$151,0))</f>
        <v>100000</v>
      </c>
      <c r="AY33" s="110"/>
      <c r="AZ33" s="88">
        <f>IFERROR(INDEX('[4]Vx All regions allocations'!O$10:O$144,MATCH(A33,'[4]Vx All regions allocations'!A$10:A$144,0)),"")</f>
        <v>143500</v>
      </c>
      <c r="BA33" s="88">
        <v>118499.99999999999</v>
      </c>
      <c r="BB33" s="88">
        <v>146590</v>
      </c>
      <c r="BC33" s="88" t="str">
        <f>IFERROR(INDEX(DFAT!$K$4:$K$21,MATCH('Matrix Allocations'!A33,DFAT!$B$4:$B$21,0)),"")</f>
        <v/>
      </c>
      <c r="BD33" s="88"/>
      <c r="BE33" s="826" t="str">
        <f>IFERROR(IF(INDEX('GAVI CCE'!$E$3:$E$95,MATCH('Matrix Allocations'!A33,'GAVI CCE'!$A$3:$A$95,0))="Yes",INDEX('GAVI CCE'!$E$3:$E$95,MATCH('Matrix Allocations'!A33,'GAVI CCE'!$A$3:$A$95,0)),""),"")</f>
        <v>Yes</v>
      </c>
      <c r="BF33" s="88">
        <f>IFERROR(IF(BE33="Yes",INDEX('GAVI CCE'!$F$3:$F$95,MATCH('Matrix Allocations'!A33,'GAVI CCE'!$A$3:$A$95,0)),""),"")</f>
        <v>80000</v>
      </c>
      <c r="BG33" s="609" t="str">
        <f>IFERROR(IF(E33='CDS early access ceilings'!$A$94,(VLOOKUP(A33,'CDS early access ceilings'!$A$2:$D$92,4,FALSE)),""),"")</f>
        <v>GAVI</v>
      </c>
      <c r="BH33" s="639" t="str">
        <f>IFERROR(INDEX(Table14[Status (clean)],MATCH('Matrix Allocations'!A33,Table14[ISO Code],0)),"")</f>
        <v>Disbursed</v>
      </c>
      <c r="BI33" s="641">
        <f>IFERROR(INDEX(Table14[Amount disbursed (USD)],MATCH('Matrix Allocations'!A33,Table14[ISO Code],0)),"")</f>
        <v>146720</v>
      </c>
      <c r="BJ33" s="641" t="str">
        <f>IFERROR(INDEX('CDS NBW'!$I$2:$I$39,MATCH(A33,'CDS NBW'!$A$2:$A$39,0)),"")</f>
        <v/>
      </c>
      <c r="BK33" s="641" t="str">
        <f>IFERROR(INDEX('CDS NBW'!$J$2:$J$39,MATCH(A33,'CDS NBW'!$A$2:$A$39,0)),"")</f>
        <v/>
      </c>
      <c r="BL33" s="609"/>
      <c r="BM33" s="609"/>
      <c r="BN33" s="609"/>
      <c r="BO33" s="609"/>
      <c r="BP33" s="609">
        <f>IFERROR(INDEX('UNICEF-BMZ'!$O$1:$O$199,MATCH('Matrix Allocations'!A33,'UNICEF-BMZ'!$B$1:$B$199,0)),"")</f>
        <v>0</v>
      </c>
      <c r="BQ33" s="609" t="str">
        <f>IFERROR(VLOOKUP(A33,'BMGF_clean data'!$A$4:$C$30,3,FALSE),"")</f>
        <v/>
      </c>
      <c r="BR33" s="609"/>
      <c r="BS33" s="609"/>
      <c r="BT33" s="609"/>
      <c r="BU33" s="609"/>
      <c r="BV33" s="609"/>
      <c r="BW33" s="87">
        <f>INDEX(USAID!$D$3:$D$151,MATCH('Matrix Allocations'!A33,USAID!$A$3:$A$151,0))</f>
        <v>0</v>
      </c>
      <c r="BX33" s="87" t="str">
        <f>IFERROR(INDEX(DFAT!$L$4:$L$21,MATCH('Matrix Allocations'!A33,DFAT!$B$4:$B$21,0)),"")</f>
        <v/>
      </c>
      <c r="BY33" s="87">
        <f>IFERROR(INDEX(Table14[Funds Channelled through UNICEF],MATCH('Matrix Allocations'!A33,Table14[ISO Code],0)),"")</f>
        <v>146720</v>
      </c>
      <c r="BZ33" s="87">
        <f t="shared" si="6"/>
        <v>146720</v>
      </c>
      <c r="CA33">
        <f t="shared" si="19"/>
        <v>888456</v>
      </c>
      <c r="CB33" s="782">
        <f t="shared" si="10"/>
        <v>266536.8</v>
      </c>
      <c r="CC33" s="791">
        <f t="shared" si="11"/>
        <v>13535310</v>
      </c>
      <c r="CD33" s="788">
        <f t="shared" si="12"/>
        <v>50.782143403837672</v>
      </c>
      <c r="CE33" s="788">
        <f t="shared" si="13"/>
        <v>38.086607552878249</v>
      </c>
      <c r="CF33" s="828">
        <f t="shared" si="14"/>
        <v>21.76377574450186</v>
      </c>
      <c r="CG33" s="828">
        <f t="shared" si="15"/>
        <v>15.234643021151301</v>
      </c>
      <c r="CH33" s="88">
        <f t="shared" si="20"/>
        <v>12800000</v>
      </c>
      <c r="CI33" s="88">
        <f t="shared" si="16"/>
        <v>100000</v>
      </c>
      <c r="CJ33" s="742">
        <f t="shared" si="21"/>
        <v>0</v>
      </c>
      <c r="CK33" s="848">
        <f t="shared" si="17"/>
        <v>290220</v>
      </c>
      <c r="CL33" s="88">
        <f t="shared" si="18"/>
        <v>491810</v>
      </c>
    </row>
    <row r="34" spans="1:90" ht="16" customHeight="1">
      <c r="A34" s="55" t="s">
        <v>581</v>
      </c>
      <c r="B34" s="55" t="s">
        <v>188</v>
      </c>
      <c r="C34" s="55" t="s">
        <v>129</v>
      </c>
      <c r="D34" s="55" t="s">
        <v>148</v>
      </c>
      <c r="E34" s="55" t="s">
        <v>145</v>
      </c>
      <c r="F34" s="56">
        <v>3</v>
      </c>
      <c r="G34" s="56" t="str">
        <f t="shared" si="22"/>
        <v>No</v>
      </c>
      <c r="H34" s="56" t="str">
        <f t="shared" si="22"/>
        <v>No</v>
      </c>
      <c r="I34" s="56" t="str">
        <f t="shared" si="1"/>
        <v>No</v>
      </c>
      <c r="J34" s="56" t="str">
        <f t="shared" si="2"/>
        <v>Yes</v>
      </c>
      <c r="K34" s="56" t="str">
        <f t="shared" si="3"/>
        <v>No</v>
      </c>
      <c r="L34" s="56" t="s">
        <v>541</v>
      </c>
      <c r="M34" s="55" t="s">
        <v>541</v>
      </c>
      <c r="N34" s="134" t="s">
        <v>541</v>
      </c>
      <c r="O34" s="55" t="s">
        <v>541</v>
      </c>
      <c r="P34" s="55" t="s">
        <v>562</v>
      </c>
      <c r="Q34" s="55"/>
      <c r="R34" s="55"/>
      <c r="S34" s="956">
        <v>234645958.63289919</v>
      </c>
      <c r="T34" s="55" t="s">
        <v>394</v>
      </c>
      <c r="U34" s="64" t="str">
        <f>IFERROR(IF(VLOOKUP(A34,'WB projects data'!$A$5:$C$83,3,0)="Approved",(VLOOKUP(A34,'WB projects data'!$A$5:$C$83,3,0)),""),"")</f>
        <v>Approved</v>
      </c>
      <c r="V34" s="123">
        <f t="shared" si="4"/>
        <v>200000000</v>
      </c>
      <c r="W34" s="123">
        <f>IFERROR((VLOOKUP($A34,'WB projects data'!$A$5:$J$83,6,0)*1000000),"")</f>
        <v>100000000</v>
      </c>
      <c r="X34" s="123">
        <f>IFERROR((VLOOKUP($A34,'WB projects data'!$A$5:$J$83,7,0)*1000000),"")</f>
        <v>100000000</v>
      </c>
      <c r="Y34" s="123">
        <f>IFERROR((VLOOKUP($A34,'WB projects data'!$A$5:$J$83,8,0)*1000000),"")</f>
        <v>85000000</v>
      </c>
      <c r="Z34" s="123">
        <f>IFERROR((VLOOKUP($A34,'WB projects data'!$A$5:$J$83,9,0)*1000000),"")</f>
        <v>50000000</v>
      </c>
      <c r="AA34" s="123">
        <f>IFERROR((VLOOKUP($A34,'WB projects data'!$A$5:$J$83,10,0)*1000000),"")</f>
        <v>65000000</v>
      </c>
      <c r="AB34" s="55"/>
      <c r="AC34" s="110"/>
      <c r="AD34" s="110" t="str">
        <f>IFERROR(VLOOKUP(A34,'ADB Projects'!$A$4:$W$21,5,FALSE),"")</f>
        <v/>
      </c>
      <c r="AE34" s="132" t="str">
        <f>IF(AC34="Approved",(VLOOKUP($A34,'ADB Projects'!$A$5:$D$21,4,0)*1000000),"")</f>
        <v/>
      </c>
      <c r="AF34" s="585" t="str">
        <f>IF(AC34="Approved",(PRODUCT(VLOOKUP($A34,'ADB Projects'!$A$4:$W$21,6,FALSE),1000000)),"")</f>
        <v/>
      </c>
      <c r="AG34" s="585" t="str">
        <f>IF(AC34="Approved",(PRODUCT(VLOOKUP($A34,'ADB Projects'!$A$4:$W$21,7,FALSE),1000000)),"")</f>
        <v/>
      </c>
      <c r="AH34" s="585" t="str">
        <f>IF(AC34="Approved",(PRODUCT(VLOOKUP($A34,'ADB Projects'!$A$4:$W$21,8,FALSE),1000000)),"")</f>
        <v/>
      </c>
      <c r="AI34" s="55"/>
      <c r="AJ34" s="55"/>
      <c r="AK34" s="244"/>
      <c r="AL34" s="55" t="s">
        <v>541</v>
      </c>
      <c r="AM34" s="55"/>
      <c r="AN34" s="55"/>
      <c r="AO34" s="55"/>
      <c r="AP34" s="55"/>
      <c r="AQ34" s="602" t="str">
        <f t="shared" si="5"/>
        <v/>
      </c>
      <c r="AR34" s="602" t="str">
        <f>IFERROR(VLOOKUP($A34,'IDB C19 Vaccine Projects'!$O$4:$Q$12,2,FALSE),"")</f>
        <v/>
      </c>
      <c r="AS34" s="602" t="str">
        <f>IFERROR(VLOOKUP($A34,'IDB C19 Vaccine Projects'!$O$4:$Q$12,3,FALSE),"")</f>
        <v/>
      </c>
      <c r="AT34" s="55"/>
      <c r="AU34" s="88">
        <v>2438852</v>
      </c>
      <c r="AV34" s="635"/>
      <c r="AW34" s="55" t="s">
        <v>541</v>
      </c>
      <c r="AX34" s="88">
        <f>INDEX(USAID!$C$3:$C$151,MATCH('Matrix Allocations'!A34,USAID!$A$3:$A$151,0))</f>
        <v>5350000</v>
      </c>
      <c r="AY34" s="110">
        <v>2313812</v>
      </c>
      <c r="AZ34" s="88">
        <f>IFERROR(INDEX('[4]Vx All regions allocations'!O$10:O$144,MATCH(A34,'[4]Vx All regions allocations'!A$10:A$144,0)),"")</f>
        <v>3858268</v>
      </c>
      <c r="BA34" s="88">
        <v>457699.99999999994</v>
      </c>
      <c r="BB34" s="88">
        <v>512667</v>
      </c>
      <c r="BC34" s="88" t="str">
        <f>IFERROR(INDEX(DFAT!$K$4:$K$21,MATCH('Matrix Allocations'!A34,DFAT!$B$4:$B$21,0)),"")</f>
        <v/>
      </c>
      <c r="BD34" s="88"/>
      <c r="BE34" s="826" t="str">
        <f>IFERROR(IF(INDEX('GAVI CCE'!$E$3:$E$95,MATCH('Matrix Allocations'!A34,'GAVI CCE'!$A$3:$A$95,0))="Yes",INDEX('GAVI CCE'!$E$3:$E$95,MATCH('Matrix Allocations'!A34,'GAVI CCE'!$A$3:$A$95,0)),""),"")</f>
        <v>Yes</v>
      </c>
      <c r="BF34" s="88">
        <f>IFERROR(IF(BE34="Yes",INDEX('GAVI CCE'!$F$3:$F$95,MATCH('Matrix Allocations'!A34,'GAVI CCE'!$A$3:$A$95,0)),""),"")</f>
        <v>1737208</v>
      </c>
      <c r="BG34" s="609" t="str">
        <f>IFERROR(IF(E34='CDS early access ceilings'!$A$94,(VLOOKUP(A34,'CDS early access ceilings'!$A$2:$D$92,4,FALSE)),""),"")</f>
        <v>GAVI</v>
      </c>
      <c r="BH34" s="639" t="str">
        <f>IFERROR(INDEX(Table14[Status (clean)],MATCH('Matrix Allocations'!A34,Table14[ISO Code],0)),"")</f>
        <v>Disbursed</v>
      </c>
      <c r="BI34" s="641">
        <f>IFERROR(INDEX(Table14[Amount disbursed (USD)],MATCH('Matrix Allocations'!A34,Table14[ISO Code],0)),"")</f>
        <v>13184599</v>
      </c>
      <c r="BJ34" s="641" t="str">
        <f>IFERROR(INDEX('CDS NBW'!$I$2:$I$39,MATCH(A34,'CDS NBW'!$A$2:$A$39,0)),"")</f>
        <v>Submitted</v>
      </c>
      <c r="BK34" s="641" t="str">
        <f>IFERROR(INDEX('CDS NBW'!$J$2:$J$39,MATCH(A34,'CDS NBW'!$A$2:$A$39,0)),"")</f>
        <v/>
      </c>
      <c r="BL34" s="609"/>
      <c r="BM34" s="609"/>
      <c r="BN34" s="609"/>
      <c r="BO34" s="609">
        <v>250899</v>
      </c>
      <c r="BP34" s="609">
        <f>IFERROR(INDEX('UNICEF-BMZ'!$O$1:$O$199,MATCH('Matrix Allocations'!A34,'UNICEF-BMZ'!$B$1:$B$199,0)),"")</f>
        <v>2313750</v>
      </c>
      <c r="BQ34" s="609">
        <f>IFERROR(VLOOKUP(A34,'BMGF_clean data'!$A$4:$C$30,3,FALSE),"")</f>
        <v>850000</v>
      </c>
      <c r="BR34" s="88">
        <v>1997233</v>
      </c>
      <c r="BS34" s="88">
        <v>1693999</v>
      </c>
      <c r="BT34" s="88"/>
      <c r="BU34" s="88"/>
      <c r="BV34" s="88"/>
      <c r="BW34" s="87">
        <f>INDEX(USAID!$D$3:$D$151,MATCH('Matrix Allocations'!A34,USAID!$A$3:$A$151,0))</f>
        <v>250899</v>
      </c>
      <c r="BX34" s="87" t="str">
        <f>IFERROR(INDEX(DFAT!$L$4:$L$21,MATCH('Matrix Allocations'!A34,DFAT!$B$4:$B$21,0)),"")</f>
        <v/>
      </c>
      <c r="BY34" s="87">
        <f>IFERROR(INDEX(Table14[Funds Channelled through UNICEF],MATCH('Matrix Allocations'!A34,Table14[ISO Code],0)),"")</f>
        <v>8507891</v>
      </c>
      <c r="BZ34" s="87">
        <f t="shared" si="6"/>
        <v>8507891</v>
      </c>
      <c r="CA34">
        <f t="shared" si="19"/>
        <v>92377986</v>
      </c>
      <c r="CB34" s="782">
        <f t="shared" si="10"/>
        <v>27713395.800000001</v>
      </c>
      <c r="CC34" s="791">
        <f t="shared" si="11"/>
        <v>86958987</v>
      </c>
      <c r="CD34" s="788">
        <f t="shared" si="12"/>
        <v>3.1377961628217355</v>
      </c>
      <c r="CE34" s="788">
        <f t="shared" si="13"/>
        <v>2.3533471221163018</v>
      </c>
      <c r="CF34" s="828">
        <f t="shared" si="14"/>
        <v>1.3447697840664581</v>
      </c>
      <c r="CG34" s="828">
        <f t="shared" si="15"/>
        <v>0.94133884884652064</v>
      </c>
      <c r="CH34" s="88">
        <f t="shared" si="20"/>
        <v>50000000</v>
      </c>
      <c r="CI34" s="88">
        <f t="shared" si="16"/>
        <v>11355044</v>
      </c>
      <c r="CJ34" s="742">
        <f t="shared" si="21"/>
        <v>1100899</v>
      </c>
      <c r="CK34" s="848">
        <f t="shared" si="17"/>
        <v>18873001</v>
      </c>
      <c r="CL34" s="88">
        <f t="shared" si="18"/>
        <v>20644776</v>
      </c>
    </row>
    <row r="35" spans="1:90" ht="16" customHeight="1">
      <c r="A35" s="55" t="s">
        <v>582</v>
      </c>
      <c r="B35" s="55" t="s">
        <v>189</v>
      </c>
      <c r="C35" s="55" t="s">
        <v>129</v>
      </c>
      <c r="D35" s="55" t="s">
        <v>150</v>
      </c>
      <c r="E35" s="55" t="s">
        <v>145</v>
      </c>
      <c r="F35" s="56">
        <v>2</v>
      </c>
      <c r="G35" s="56" t="str">
        <f t="shared" si="22"/>
        <v>No</v>
      </c>
      <c r="H35" s="56" t="str">
        <f t="shared" si="22"/>
        <v>No</v>
      </c>
      <c r="I35" s="56" t="str">
        <f t="shared" si="1"/>
        <v>Yes</v>
      </c>
      <c r="J35" s="56" t="str">
        <f t="shared" si="2"/>
        <v>Yes</v>
      </c>
      <c r="K35" s="56" t="str">
        <f t="shared" si="3"/>
        <v>No</v>
      </c>
      <c r="L35" s="56" t="s">
        <v>541</v>
      </c>
      <c r="M35" s="55" t="s">
        <v>541</v>
      </c>
      <c r="N35" s="134" t="s">
        <v>541</v>
      </c>
      <c r="O35" s="55" t="s">
        <v>541</v>
      </c>
      <c r="P35" s="55" t="s">
        <v>583</v>
      </c>
      <c r="Q35" s="55"/>
      <c r="R35" s="55"/>
      <c r="S35" s="956">
        <v>91590910.247314155</v>
      </c>
      <c r="T35" s="55" t="s">
        <v>396</v>
      </c>
      <c r="U35" s="64" t="str">
        <f>IFERROR(IF(VLOOKUP(A35,'WB projects data'!$A$5:$C$83,3,0)="Approved",(VLOOKUP(A35,'WB projects data'!$A$5:$C$83,3,0)),""),"")</f>
        <v>Approved</v>
      </c>
      <c r="V35" s="123">
        <f t="shared" si="4"/>
        <v>12000000</v>
      </c>
      <c r="W35" s="123">
        <f>IFERROR((VLOOKUP($A35,'WB projects data'!$A$5:$J$83,6,0)*1000000),"")</f>
        <v>12000000</v>
      </c>
      <c r="X35" s="123">
        <f>IFERROR((VLOOKUP($A35,'WB projects data'!$A$5:$J$83,7,0)*1000000),"")</f>
        <v>0</v>
      </c>
      <c r="Y35" s="123">
        <f>IFERROR((VLOOKUP($A35,'WB projects data'!$A$5:$J$83,8,0)*1000000),"")</f>
        <v>7100000</v>
      </c>
      <c r="Z35" s="123">
        <f>IFERROR((VLOOKUP($A35,'WB projects data'!$A$5:$J$83,9,0)*1000000),"")</f>
        <v>3000000</v>
      </c>
      <c r="AA35" s="123">
        <f>IFERROR((VLOOKUP($A35,'WB projects data'!$A$5:$J$83,10,0)*1000000),"")</f>
        <v>1900000</v>
      </c>
      <c r="AB35" s="55"/>
      <c r="AC35" s="110"/>
      <c r="AD35" s="110" t="str">
        <f>IFERROR(VLOOKUP(A35,'ADB Projects'!$A$4:$W$21,5,FALSE),"")</f>
        <v/>
      </c>
      <c r="AE35" s="132" t="str">
        <f>IF(AC35="Approved",(VLOOKUP($A35,'ADB Projects'!$A$5:$D$21,4,0)*1000000),"")</f>
        <v/>
      </c>
      <c r="AF35" s="585" t="str">
        <f>IF(AC35="Approved",(PRODUCT(VLOOKUP($A35,'ADB Projects'!$A$4:$W$21,6,FALSE),1000000)),"")</f>
        <v/>
      </c>
      <c r="AG35" s="585" t="str">
        <f>IF(AC35="Approved",(PRODUCT(VLOOKUP($A35,'ADB Projects'!$A$4:$W$21,7,FALSE),1000000)),"")</f>
        <v/>
      </c>
      <c r="AH35" s="585" t="str">
        <f>IF(AC35="Approved",(PRODUCT(VLOOKUP($A35,'ADB Projects'!$A$4:$W$21,8,FALSE),1000000)),"")</f>
        <v/>
      </c>
      <c r="AI35" s="55"/>
      <c r="AJ35" s="55"/>
      <c r="AK35" s="244"/>
      <c r="AL35" s="55"/>
      <c r="AM35" s="55"/>
      <c r="AN35" s="55"/>
      <c r="AO35" s="55"/>
      <c r="AP35" s="55"/>
      <c r="AQ35" s="602" t="str">
        <f t="shared" si="5"/>
        <v/>
      </c>
      <c r="AR35" s="602" t="str">
        <f>IFERROR(VLOOKUP($A35,'IDB C19 Vaccine Projects'!$O$4:$Q$12,2,FALSE),"")</f>
        <v/>
      </c>
      <c r="AS35" s="602" t="str">
        <f>IFERROR(VLOOKUP($A35,'IDB C19 Vaccine Projects'!$O$4:$Q$12,3,FALSE),"")</f>
        <v/>
      </c>
      <c r="AT35" s="55"/>
      <c r="AU35" s="88"/>
      <c r="AV35" s="635"/>
      <c r="AW35" s="55" t="s">
        <v>541</v>
      </c>
      <c r="AX35" s="88">
        <f>INDEX(USAID!$C$3:$C$151,MATCH('Matrix Allocations'!A35,USAID!$A$3:$A$151,0))</f>
        <v>1500000</v>
      </c>
      <c r="AY35" s="110"/>
      <c r="AZ35" s="88">
        <f>IFERROR(INDEX('[4]Vx All regions allocations'!O$10:O$144,MATCH(A35,'[4]Vx All regions allocations'!A$10:A$144,0)),"")</f>
        <v>555079</v>
      </c>
      <c r="BA35" s="88">
        <v>155000</v>
      </c>
      <c r="BB35" s="88">
        <v>203300</v>
      </c>
      <c r="BC35" s="88" t="str">
        <f>IFERROR(INDEX(DFAT!$K$4:$K$21,MATCH('Matrix Allocations'!A35,DFAT!$B$4:$B$21,0)),"")</f>
        <v/>
      </c>
      <c r="BD35" s="88"/>
      <c r="BE35" s="826" t="str">
        <f>IFERROR(IF(INDEX('GAVI CCE'!$E$3:$E$95,MATCH('Matrix Allocations'!A35,'GAVI CCE'!$A$3:$A$95,0))="Yes",INDEX('GAVI CCE'!$E$3:$E$95,MATCH('Matrix Allocations'!A35,'GAVI CCE'!$A$3:$A$95,0)),""),"")</f>
        <v>Yes</v>
      </c>
      <c r="BF35" s="88">
        <f>IFERROR(IF(BE35="Yes",INDEX('GAVI CCE'!$F$3:$F$95,MATCH('Matrix Allocations'!A35,'GAVI CCE'!$A$3:$A$95,0)),""),"")</f>
        <v>180490</v>
      </c>
      <c r="BG35" s="609" t="str">
        <f>IFERROR(IF(E35='CDS early access ceilings'!$A$94,(VLOOKUP(A35,'CDS early access ceilings'!$A$2:$D$92,4,FALSE)),""),"")</f>
        <v>GAVI</v>
      </c>
      <c r="BH35" s="639" t="str">
        <f>IFERROR(INDEX(Table14[Status (clean)],MATCH('Matrix Allocations'!A35,Table14[ISO Code],0)),"")</f>
        <v>Disbursed</v>
      </c>
      <c r="BI35" s="641">
        <f>IFERROR(INDEX(Table14[Amount disbursed (USD)],MATCH('Matrix Allocations'!A35,Table14[ISO Code],0)),"")</f>
        <v>978460</v>
      </c>
      <c r="BJ35" s="641" t="str">
        <f>IFERROR(INDEX('CDS NBW'!$I$2:$I$39,MATCH(A35,'CDS NBW'!$A$2:$A$39,0)),"")</f>
        <v/>
      </c>
      <c r="BK35" s="641" t="str">
        <f>IFERROR(INDEX('CDS NBW'!$J$2:$J$39,MATCH(A35,'CDS NBW'!$A$2:$A$39,0)),"")</f>
        <v/>
      </c>
      <c r="BL35" s="609"/>
      <c r="BM35" s="609"/>
      <c r="BN35" s="609"/>
      <c r="BO35" s="609"/>
      <c r="BP35" s="609">
        <f>IFERROR(INDEX('UNICEF-BMZ'!$O$1:$O$199,MATCH('Matrix Allocations'!A35,'UNICEF-BMZ'!$B$1:$B$199,0)),"")</f>
        <v>45600</v>
      </c>
      <c r="BQ35" s="609" t="str">
        <f>IFERROR(VLOOKUP(A35,'BMGF_clean data'!$A$4:$C$30,3,FALSE),"")</f>
        <v/>
      </c>
      <c r="BR35" s="609"/>
      <c r="BS35" s="609"/>
      <c r="BT35" s="609"/>
      <c r="BU35" s="609"/>
      <c r="BV35" s="609"/>
      <c r="BW35" s="87">
        <f>INDEX(USAID!$D$3:$D$151,MATCH('Matrix Allocations'!A35,USAID!$A$3:$A$151,0))</f>
        <v>1500000</v>
      </c>
      <c r="BX35" s="87" t="str">
        <f>IFERROR(INDEX(DFAT!$L$4:$L$21,MATCH('Matrix Allocations'!A35,DFAT!$B$4:$B$21,0)),"")</f>
        <v/>
      </c>
      <c r="BY35" s="87">
        <f>IFERROR(INDEX(Table14[Funds Channelled through UNICEF],MATCH('Matrix Allocations'!A35,Table14[ISO Code],0)),"")</f>
        <v>978460</v>
      </c>
      <c r="BZ35" s="87">
        <f t="shared" si="6"/>
        <v>978460</v>
      </c>
      <c r="CA35">
        <f t="shared" si="19"/>
        <v>5657017</v>
      </c>
      <c r="CB35" s="782">
        <f t="shared" si="10"/>
        <v>1697105.0999999999</v>
      </c>
      <c r="CC35" s="791">
        <f t="shared" si="11"/>
        <v>6617929</v>
      </c>
      <c r="CD35" s="788">
        <f t="shared" si="12"/>
        <v>3.899539869392886</v>
      </c>
      <c r="CE35" s="788">
        <f t="shared" si="13"/>
        <v>2.9246549020446637</v>
      </c>
      <c r="CF35" s="828">
        <f t="shared" si="14"/>
        <v>1.671231372596951</v>
      </c>
      <c r="CG35" s="828">
        <f t="shared" si="15"/>
        <v>1.1698619608178658</v>
      </c>
      <c r="CH35" s="88">
        <f t="shared" si="20"/>
        <v>3000000</v>
      </c>
      <c r="CI35" s="88">
        <f t="shared" si="16"/>
        <v>1500000</v>
      </c>
      <c r="CJ35" s="742">
        <f t="shared" si="21"/>
        <v>0</v>
      </c>
      <c r="CK35" s="848">
        <f t="shared" si="17"/>
        <v>3033539</v>
      </c>
      <c r="CL35" s="88">
        <f t="shared" si="18"/>
        <v>1562850</v>
      </c>
    </row>
    <row r="36" spans="1:90" ht="16" customHeight="1">
      <c r="A36" s="55" t="s">
        <v>584</v>
      </c>
      <c r="B36" s="55" t="s">
        <v>190</v>
      </c>
      <c r="C36" s="55" t="s">
        <v>126</v>
      </c>
      <c r="D36" s="55" t="s">
        <v>322</v>
      </c>
      <c r="E36" s="55" t="s">
        <v>146</v>
      </c>
      <c r="F36" s="56"/>
      <c r="G36" s="56" t="str">
        <f t="shared" si="22"/>
        <v>No</v>
      </c>
      <c r="H36" s="56" t="str">
        <f t="shared" si="22"/>
        <v>No</v>
      </c>
      <c r="I36" s="56" t="str">
        <f t="shared" si="1"/>
        <v>No</v>
      </c>
      <c r="J36" s="56" t="str">
        <f t="shared" si="2"/>
        <v>No</v>
      </c>
      <c r="K36" s="56" t="str">
        <f t="shared" si="3"/>
        <v>No</v>
      </c>
      <c r="L36" s="56" t="s">
        <v>541</v>
      </c>
      <c r="M36" s="55" t="s">
        <v>544</v>
      </c>
      <c r="N36" s="134" t="s">
        <v>544</v>
      </c>
      <c r="O36" s="55" t="s">
        <v>544</v>
      </c>
      <c r="P36" s="55" t="s">
        <v>546</v>
      </c>
      <c r="Q36" s="55" t="s">
        <v>541</v>
      </c>
      <c r="R36" s="55"/>
      <c r="S36" s="956">
        <v>8560012.8840167802</v>
      </c>
      <c r="T36" s="55"/>
      <c r="U36" s="64" t="str">
        <f>IFERROR(IF(VLOOKUP(A36,'WB projects data'!$A$5:$C$83,3,0)="Approved",(VLOOKUP(A36,'WB projects data'!$A$5:$C$83,3,0)),""),"")</f>
        <v/>
      </c>
      <c r="V36" s="123" t="str">
        <f t="shared" si="4"/>
        <v/>
      </c>
      <c r="W36" s="123" t="str">
        <f>IFERROR((VLOOKUP($A36,'WB projects data'!$A$5:$J$83,6,0)*1000000),"")</f>
        <v/>
      </c>
      <c r="X36" s="123" t="str">
        <f>IFERROR((VLOOKUP($A36,'WB projects data'!$A$5:$J$83,7,0)*1000000),"")</f>
        <v/>
      </c>
      <c r="Y36" s="123" t="str">
        <f>IFERROR((VLOOKUP($A36,'WB projects data'!$A$5:$J$83,8,0)*1000000),"")</f>
        <v/>
      </c>
      <c r="Z36" s="123" t="str">
        <f>IFERROR((VLOOKUP($A36,'WB projects data'!$A$5:$J$83,9,0)*1000000),"")</f>
        <v/>
      </c>
      <c r="AA36" s="123" t="str">
        <f>IFERROR((VLOOKUP($A36,'WB projects data'!$A$5:$J$83,10,0)*1000000),"")</f>
        <v/>
      </c>
      <c r="AB36" s="55" t="s">
        <v>541</v>
      </c>
      <c r="AC36" s="110"/>
      <c r="AD36" s="110" t="str">
        <f>IFERROR(VLOOKUP(A36,'ADB Projects'!$A$4:$W$21,5,FALSE),"")</f>
        <v/>
      </c>
      <c r="AE36" s="132" t="str">
        <f>IF(AC36="Approved",(VLOOKUP($A36,'ADB Projects'!$A$5:$D$21,4,0)*1000000),"")</f>
        <v/>
      </c>
      <c r="AF36" s="585" t="str">
        <f>IF(AC36="Approved",(PRODUCT(VLOOKUP($A36,'ADB Projects'!$A$4:$W$21,6,FALSE),1000000)),"")</f>
        <v/>
      </c>
      <c r="AG36" s="585" t="str">
        <f>IF(AC36="Approved",(PRODUCT(VLOOKUP($A36,'ADB Projects'!$A$4:$W$21,7,FALSE),1000000)),"")</f>
        <v/>
      </c>
      <c r="AH36" s="585" t="str">
        <f>IF(AC36="Approved",(PRODUCT(VLOOKUP($A36,'ADB Projects'!$A$4:$W$21,8,FALSE),1000000)),"")</f>
        <v/>
      </c>
      <c r="AI36" s="55"/>
      <c r="AJ36" s="55"/>
      <c r="AK36" s="244"/>
      <c r="AL36" s="55"/>
      <c r="AM36" s="55"/>
      <c r="AN36" s="55"/>
      <c r="AO36" s="55"/>
      <c r="AP36" s="55"/>
      <c r="AQ36" s="602" t="str">
        <f t="shared" si="5"/>
        <v/>
      </c>
      <c r="AR36" s="602" t="str">
        <f>IFERROR(VLOOKUP($A36,'IDB C19 Vaccine Projects'!$O$4:$Q$12,2,FALSE),"")</f>
        <v/>
      </c>
      <c r="AS36" s="602" t="str">
        <f>IFERROR(VLOOKUP($A36,'IDB C19 Vaccine Projects'!$O$4:$Q$12,3,FALSE),"")</f>
        <v/>
      </c>
      <c r="AT36" s="55"/>
      <c r="AU36" s="88"/>
      <c r="AV36" s="635"/>
      <c r="AW36" s="55"/>
      <c r="AX36" s="88" t="str">
        <f>INDEX(USAID!$C$3:$C$151,MATCH('Matrix Allocations'!A36,USAID!$A$3:$A$151,0))</f>
        <v/>
      </c>
      <c r="AY36" s="110">
        <v>198193</v>
      </c>
      <c r="AZ36" s="88" t="str">
        <f>IFERROR(INDEX('[4]Vx All regions allocations'!O$10:O$144,MATCH(A36,'[4]Vx All regions allocations'!A$10:A$144,0)),"")</f>
        <v/>
      </c>
      <c r="BA36" s="88">
        <v>0</v>
      </c>
      <c r="BB36" s="88">
        <v>0</v>
      </c>
      <c r="BC36" s="88" t="str">
        <f>IFERROR(INDEX(DFAT!$K$4:$K$21,MATCH('Matrix Allocations'!A36,DFAT!$B$4:$B$21,0)),"")</f>
        <v/>
      </c>
      <c r="BD36" s="88"/>
      <c r="BE36" s="826" t="str">
        <f>IFERROR(IF(INDEX('GAVI CCE'!$E$3:$E$95,MATCH('Matrix Allocations'!A36,'GAVI CCE'!$A$3:$A$95,0))="Yes",INDEX('GAVI CCE'!$E$3:$E$95,MATCH('Matrix Allocations'!A36,'GAVI CCE'!$A$3:$A$95,0)),""),"")</f>
        <v/>
      </c>
      <c r="BF36" s="88" t="str">
        <f>IFERROR(IF(BE36="Yes",INDEX('GAVI CCE'!$F$3:$F$95,MATCH('Matrix Allocations'!A36,'GAVI CCE'!$A$3:$A$95,0)),""),"")</f>
        <v/>
      </c>
      <c r="BG36" s="609" t="str">
        <f>IFERROR(IF(E36='CDS early access ceilings'!$A$94,(VLOOKUP(A36,'CDS early access ceilings'!$A$2:$D$92,4,FALSE)),""),"")</f>
        <v/>
      </c>
      <c r="BH36" s="639" t="str">
        <f>IFERROR(INDEX(Table14[Status (clean)],MATCH('Matrix Allocations'!A36,Table14[ISO Code],0)),"")</f>
        <v/>
      </c>
      <c r="BI36" s="641" t="str">
        <f>IFERROR(INDEX(Table14[Amount disbursed (USD)],MATCH('Matrix Allocations'!A36,Table14[ISO Code],0)),"")</f>
        <v/>
      </c>
      <c r="BJ36" s="641" t="str">
        <f>IFERROR(INDEX('CDS NBW'!$I$2:$I$39,MATCH(A36,'CDS NBW'!$A$2:$A$39,0)),"")</f>
        <v/>
      </c>
      <c r="BK36" s="641" t="str">
        <f>IFERROR(INDEX('CDS NBW'!$J$2:$J$39,MATCH(A36,'CDS NBW'!$A$2:$A$39,0)),"")</f>
        <v/>
      </c>
      <c r="BL36" s="609"/>
      <c r="BM36" s="609"/>
      <c r="BN36" s="609"/>
      <c r="BO36" s="609"/>
      <c r="BP36" s="609" t="str">
        <f>IFERROR(INDEX('UNICEF-BMZ'!$O$1:$O$199,MATCH('Matrix Allocations'!A36,'UNICEF-BMZ'!$B$1:$B$199,0)),"")</f>
        <v/>
      </c>
      <c r="BQ36" s="609" t="str">
        <f>IFERROR(VLOOKUP(A36,'BMGF_clean data'!$A$4:$C$30,3,FALSE),"")</f>
        <v/>
      </c>
      <c r="BR36" s="609"/>
      <c r="BS36" s="609"/>
      <c r="BT36" s="609"/>
      <c r="BU36" s="609"/>
      <c r="BV36" s="609"/>
      <c r="BW36" s="87">
        <f>INDEX(USAID!$D$3:$D$151,MATCH('Matrix Allocations'!A36,USAID!$A$3:$A$151,0))</f>
        <v>0</v>
      </c>
      <c r="BX36" s="87" t="str">
        <f>IFERROR(INDEX(DFAT!$L$4:$L$21,MATCH('Matrix Allocations'!A36,DFAT!$B$4:$B$21,0)),"")</f>
        <v/>
      </c>
      <c r="BY36" s="87" t="str">
        <f>IFERROR(INDEX(Table14[Funds Channelled through UNICEF],MATCH('Matrix Allocations'!A36,Table14[ISO Code],0)),"")</f>
        <v/>
      </c>
      <c r="BZ36" s="87">
        <f t="shared" ref="BZ36:BZ67" si="23">SUM(IF(BG36="UNICEF",BI36,0),BY36)</f>
        <v>0</v>
      </c>
      <c r="CA36">
        <f t="shared" si="19"/>
        <v>17564</v>
      </c>
      <c r="CB36" s="782">
        <f t="shared" si="10"/>
        <v>5269.2</v>
      </c>
      <c r="CC36" s="791">
        <f t="shared" si="11"/>
        <v>198193</v>
      </c>
      <c r="CD36" s="788">
        <f t="shared" si="12"/>
        <v>37.613489713808548</v>
      </c>
      <c r="CE36" s="788">
        <f t="shared" si="13"/>
        <v>28.210117285356411</v>
      </c>
      <c r="CF36" s="828">
        <f t="shared" si="14"/>
        <v>16.120067020203663</v>
      </c>
      <c r="CG36" s="828">
        <f t="shared" si="15"/>
        <v>11.284046914142564</v>
      </c>
      <c r="CH36" s="88">
        <f t="shared" si="20"/>
        <v>0</v>
      </c>
      <c r="CI36" s="88">
        <f t="shared" si="16"/>
        <v>198193</v>
      </c>
      <c r="CJ36" s="742">
        <f t="shared" si="21"/>
        <v>0</v>
      </c>
      <c r="CK36" s="848">
        <f t="shared" si="17"/>
        <v>198193</v>
      </c>
      <c r="CL36" s="88">
        <f t="shared" si="18"/>
        <v>0</v>
      </c>
    </row>
    <row r="37" spans="1:90" ht="16" customHeight="1">
      <c r="A37" s="55" t="s">
        <v>585</v>
      </c>
      <c r="B37" s="55" t="s">
        <v>191</v>
      </c>
      <c r="C37" s="55" t="s">
        <v>130</v>
      </c>
      <c r="D37" s="55" t="s">
        <v>152</v>
      </c>
      <c r="E37" s="55" t="s">
        <v>146</v>
      </c>
      <c r="F37" s="56"/>
      <c r="G37" s="56" t="str">
        <f t="shared" si="22"/>
        <v>Yes</v>
      </c>
      <c r="H37" s="56" t="str">
        <f t="shared" si="22"/>
        <v>Yes</v>
      </c>
      <c r="I37" s="56" t="str">
        <f t="shared" si="1"/>
        <v>No</v>
      </c>
      <c r="J37" s="56" t="str">
        <f t="shared" si="2"/>
        <v>No</v>
      </c>
      <c r="K37" s="56" t="str">
        <f t="shared" si="3"/>
        <v>Yes</v>
      </c>
      <c r="L37" s="56" t="s">
        <v>541</v>
      </c>
      <c r="M37" s="55" t="s">
        <v>544</v>
      </c>
      <c r="N37" s="134" t="s">
        <v>544</v>
      </c>
      <c r="O37" s="55" t="s">
        <v>544</v>
      </c>
      <c r="P37" s="55" t="s">
        <v>546</v>
      </c>
      <c r="Q37" s="55" t="s">
        <v>541</v>
      </c>
      <c r="R37" s="55"/>
      <c r="S37" s="956">
        <v>3292372960.3962669</v>
      </c>
      <c r="T37" s="55" t="s">
        <v>395</v>
      </c>
      <c r="U37" s="64" t="str">
        <f>IFERROR(IF(VLOOKUP(A37,'WB projects data'!$A$5:$C$83,3,0)="Approved",(VLOOKUP(A37,'WB projects data'!$A$5:$C$83,3,0)),""),"")</f>
        <v/>
      </c>
      <c r="V37" s="123" t="str">
        <f t="shared" ref="V37:V68" si="24">IFERROR(INDEX(wbf,MATCH(A37,wbiso,0))*1000000,"")</f>
        <v/>
      </c>
      <c r="W37" s="123" t="str">
        <f>IFERROR((VLOOKUP($A37,'WB projects data'!$A$5:$J$83,6,0)*1000000),"")</f>
        <v/>
      </c>
      <c r="X37" s="123" t="str">
        <f>IFERROR((VLOOKUP($A37,'WB projects data'!$A$5:$J$83,7,0)*1000000),"")</f>
        <v/>
      </c>
      <c r="Y37" s="123" t="str">
        <f>IFERROR((VLOOKUP($A37,'WB projects data'!$A$5:$J$83,8,0)*1000000),"")</f>
        <v/>
      </c>
      <c r="Z37" s="123" t="str">
        <f>IFERROR((VLOOKUP($A37,'WB projects data'!$A$5:$J$83,9,0)*1000000),"")</f>
        <v/>
      </c>
      <c r="AA37" s="123" t="str">
        <f>IFERROR((VLOOKUP($A37,'WB projects data'!$A$5:$J$83,10,0)*1000000),"")</f>
        <v/>
      </c>
      <c r="AB37" s="55"/>
      <c r="AC37" s="110"/>
      <c r="AD37" s="110" t="str">
        <f>IFERROR(VLOOKUP(A37,'ADB Projects'!$A$4:$W$21,5,FALSE),"")</f>
        <v/>
      </c>
      <c r="AE37" s="132" t="str">
        <f>IF(AC37="Approved",(VLOOKUP($A37,'ADB Projects'!$A$5:$D$21,4,0)*1000000),"")</f>
        <v/>
      </c>
      <c r="AF37" s="585" t="str">
        <f>IF(AC37="Approved",(PRODUCT(VLOOKUP($A37,'ADB Projects'!$A$4:$W$21,6,FALSE),1000000)),"")</f>
        <v/>
      </c>
      <c r="AG37" s="585" t="str">
        <f>IF(AC37="Approved",(PRODUCT(VLOOKUP($A37,'ADB Projects'!$A$4:$W$21,7,FALSE),1000000)),"")</f>
        <v/>
      </c>
      <c r="AH37" s="585" t="str">
        <f>IF(AC37="Approved",(PRODUCT(VLOOKUP($A37,'ADB Projects'!$A$4:$W$21,8,FALSE),1000000)),"")</f>
        <v/>
      </c>
      <c r="AI37" s="55"/>
      <c r="AJ37" s="55"/>
      <c r="AK37" s="244"/>
      <c r="AL37" s="55"/>
      <c r="AM37" s="55"/>
      <c r="AN37" s="55"/>
      <c r="AO37" s="55" t="s">
        <v>541</v>
      </c>
      <c r="AP37" s="55"/>
      <c r="AQ37" s="602" t="str">
        <f t="shared" ref="AQ37:AQ68" si="25">IF(OR(AR37="", AS37=""), "",(SUM(AR37:AS37)))</f>
        <v/>
      </c>
      <c r="AR37" s="602" t="str">
        <f>IFERROR(VLOOKUP($A37,'IDB C19 Vaccine Projects'!$O$4:$Q$12,2,FALSE),"")</f>
        <v/>
      </c>
      <c r="AS37" s="602" t="str">
        <f>IFERROR(VLOOKUP($A37,'IDB C19 Vaccine Projects'!$O$4:$Q$12,3,FALSE),"")</f>
        <v/>
      </c>
      <c r="AT37" s="55"/>
      <c r="AU37" s="88"/>
      <c r="AV37" s="635"/>
      <c r="AW37" s="55"/>
      <c r="AX37" s="88">
        <f>INDEX(USAID!$C$3:$C$151,MATCH('Matrix Allocations'!A37,USAID!$A$3:$A$151,0))</f>
        <v>550000</v>
      </c>
      <c r="AY37" s="110"/>
      <c r="AZ37" s="88">
        <f>IFERROR(INDEX('[4]Vx All regions allocations'!O$10:O$144,MATCH(A37,'[4]Vx All regions allocations'!A$10:A$144,0)),"")</f>
        <v>0</v>
      </c>
      <c r="BA37" s="88">
        <v>0</v>
      </c>
      <c r="BB37" s="88">
        <v>0</v>
      </c>
      <c r="BC37" s="88" t="str">
        <f>IFERROR(INDEX(DFAT!$K$4:$K$21,MATCH('Matrix Allocations'!A37,DFAT!$B$4:$B$21,0)),"")</f>
        <v/>
      </c>
      <c r="BD37" s="88"/>
      <c r="BE37" s="826" t="str">
        <f>IFERROR(IF(INDEX('GAVI CCE'!$E$3:$E$95,MATCH('Matrix Allocations'!A37,'GAVI CCE'!$A$3:$A$95,0))="Yes",INDEX('GAVI CCE'!$E$3:$E$95,MATCH('Matrix Allocations'!A37,'GAVI CCE'!$A$3:$A$95,0)),""),"")</f>
        <v/>
      </c>
      <c r="BF37" s="88" t="str">
        <f>IFERROR(IF(BE37="Yes",INDEX('GAVI CCE'!$F$3:$F$95,MATCH('Matrix Allocations'!A37,'GAVI CCE'!$A$3:$A$95,0)),""),"")</f>
        <v/>
      </c>
      <c r="BG37" s="609" t="str">
        <f>IFERROR(IF(E37='CDS early access ceilings'!$A$94,(VLOOKUP(A37,'CDS early access ceilings'!$A$2:$D$92,4,FALSE)),""),"")</f>
        <v/>
      </c>
      <c r="BH37" s="639" t="str">
        <f>IFERROR(INDEX(Table14[Status (clean)],MATCH('Matrix Allocations'!A37,Table14[ISO Code],0)),"")</f>
        <v/>
      </c>
      <c r="BI37" s="641" t="str">
        <f>IFERROR(INDEX(Table14[Amount disbursed (USD)],MATCH('Matrix Allocations'!A37,Table14[ISO Code],0)),"")</f>
        <v/>
      </c>
      <c r="BJ37" s="641" t="str">
        <f>IFERROR(INDEX('CDS NBW'!$I$2:$I$39,MATCH(A37,'CDS NBW'!$A$2:$A$39,0)),"")</f>
        <v/>
      </c>
      <c r="BK37" s="641" t="str">
        <f>IFERROR(INDEX('CDS NBW'!$J$2:$J$39,MATCH(A37,'CDS NBW'!$A$2:$A$39,0)),"")</f>
        <v/>
      </c>
      <c r="BL37" s="609"/>
      <c r="BM37" s="609"/>
      <c r="BN37" s="609"/>
      <c r="BO37" s="609"/>
      <c r="BP37" s="609">
        <f>IFERROR(INDEX('UNICEF-BMZ'!$O$1:$O$199,MATCH('Matrix Allocations'!A37,'UNICEF-BMZ'!$B$1:$B$199,0)),"")</f>
        <v>0</v>
      </c>
      <c r="BQ37" s="609" t="str">
        <f>IFERROR(VLOOKUP(A37,'BMGF_clean data'!$A$4:$C$30,3,FALSE),"")</f>
        <v/>
      </c>
      <c r="BR37" s="609"/>
      <c r="BS37" s="609"/>
      <c r="BT37" s="609"/>
      <c r="BU37" s="609"/>
      <c r="BV37" s="609"/>
      <c r="BW37" s="87">
        <f>INDEX(USAID!$D$3:$D$151,MATCH('Matrix Allocations'!A37,USAID!$A$3:$A$151,0))</f>
        <v>0</v>
      </c>
      <c r="BX37" s="87" t="str">
        <f>IFERROR(INDEX(DFAT!$L$4:$L$21,MATCH('Matrix Allocations'!A37,DFAT!$B$4:$B$21,0)),"")</f>
        <v/>
      </c>
      <c r="BY37" s="87" t="str">
        <f>IFERROR(INDEX(Table14[Funds Channelled through UNICEF],MATCH('Matrix Allocations'!A37,Table14[ISO Code],0)),"")</f>
        <v/>
      </c>
      <c r="BZ37" s="87">
        <f t="shared" si="23"/>
        <v>0</v>
      </c>
      <c r="CA37">
        <f t="shared" si="19"/>
        <v>5139053</v>
      </c>
      <c r="CB37" s="782">
        <f t="shared" si="10"/>
        <v>1541715.9</v>
      </c>
      <c r="CC37" s="791">
        <f t="shared" si="11"/>
        <v>550000</v>
      </c>
      <c r="CD37" s="788">
        <f t="shared" si="12"/>
        <v>0.35674536404534718</v>
      </c>
      <c r="CE37" s="788">
        <f t="shared" si="13"/>
        <v>0.2675590230340103</v>
      </c>
      <c r="CF37" s="828">
        <f t="shared" si="14"/>
        <v>0.15289087030514878</v>
      </c>
      <c r="CG37" s="828">
        <f t="shared" si="15"/>
        <v>0.10702360921360414</v>
      </c>
      <c r="CH37" s="88">
        <f t="shared" si="20"/>
        <v>0</v>
      </c>
      <c r="CI37" s="88">
        <f t="shared" si="16"/>
        <v>550000</v>
      </c>
      <c r="CJ37" s="742">
        <f t="shared" si="21"/>
        <v>0</v>
      </c>
      <c r="CK37" s="848">
        <f t="shared" si="17"/>
        <v>0</v>
      </c>
      <c r="CL37" s="88">
        <f t="shared" si="18"/>
        <v>0</v>
      </c>
    </row>
    <row r="38" spans="1:90" ht="16" customHeight="1">
      <c r="A38" s="55" t="s">
        <v>586</v>
      </c>
      <c r="B38" s="55" t="s">
        <v>192</v>
      </c>
      <c r="C38" s="55" t="s">
        <v>129</v>
      </c>
      <c r="D38" s="55" t="s">
        <v>150</v>
      </c>
      <c r="E38" s="55" t="s">
        <v>145</v>
      </c>
      <c r="F38" s="56"/>
      <c r="G38" s="56" t="str">
        <f t="shared" si="22"/>
        <v>No</v>
      </c>
      <c r="H38" s="56" t="str">
        <f t="shared" si="22"/>
        <v>No</v>
      </c>
      <c r="I38" s="56" t="str">
        <f t="shared" si="1"/>
        <v>No</v>
      </c>
      <c r="J38" s="56" t="str">
        <f t="shared" si="2"/>
        <v>Yes</v>
      </c>
      <c r="K38" s="56" t="str">
        <f t="shared" si="3"/>
        <v>No</v>
      </c>
      <c r="L38" s="56" t="s">
        <v>541</v>
      </c>
      <c r="M38" s="55" t="s">
        <v>541</v>
      </c>
      <c r="N38" s="134" t="s">
        <v>541</v>
      </c>
      <c r="O38" s="55" t="s">
        <v>541</v>
      </c>
      <c r="P38" s="55" t="s">
        <v>562</v>
      </c>
      <c r="Q38" s="55" t="s">
        <v>541</v>
      </c>
      <c r="R38" s="55"/>
      <c r="S38" s="956">
        <v>519209981.22981054</v>
      </c>
      <c r="T38" s="55" t="s">
        <v>394</v>
      </c>
      <c r="U38" s="64" t="str">
        <f>IFERROR(IF(VLOOKUP(A38,'WB projects data'!$A$5:$C$83,3,0)="Approved",(VLOOKUP(A38,'WB projects data'!$A$5:$C$83,3,0)),""),"")</f>
        <v>Approved</v>
      </c>
      <c r="V38" s="123">
        <f t="shared" si="24"/>
        <v>100000000</v>
      </c>
      <c r="W38" s="123">
        <f>IFERROR((VLOOKUP($A38,'WB projects data'!$A$5:$J$83,6,0)*1000000),"")</f>
        <v>100000000</v>
      </c>
      <c r="X38" s="123">
        <f>IFERROR((VLOOKUP($A38,'WB projects data'!$A$5:$J$83,7,0)*1000000),"")</f>
        <v>0</v>
      </c>
      <c r="Y38" s="123">
        <f>IFERROR((VLOOKUP($A38,'WB projects data'!$A$5:$J$83,8,0)*1000000),"")</f>
        <v>63000000</v>
      </c>
      <c r="Z38" s="123">
        <f>IFERROR((VLOOKUP($A38,'WB projects data'!$A$5:$J$83,9,0)*1000000),"")</f>
        <v>31900000</v>
      </c>
      <c r="AA38" s="123">
        <f>IFERROR((VLOOKUP($A38,'WB projects data'!$A$5:$J$83,10,0)*1000000),"")</f>
        <v>5100000</v>
      </c>
      <c r="AB38" s="55"/>
      <c r="AC38" s="110"/>
      <c r="AD38" s="110" t="str">
        <f>IFERROR(VLOOKUP(A38,'ADB Projects'!$A$4:$W$21,5,FALSE),"")</f>
        <v/>
      </c>
      <c r="AE38" s="132" t="str">
        <f>IF(AC38="Approved",(VLOOKUP($A38,'ADB Projects'!$A$5:$D$21,4,0)*1000000),"")</f>
        <v/>
      </c>
      <c r="AF38" s="585" t="str">
        <f>IF(AC38="Approved",(PRODUCT(VLOOKUP($A38,'ADB Projects'!$A$4:$W$21,6,FALSE),1000000)),"")</f>
        <v/>
      </c>
      <c r="AG38" s="585" t="str">
        <f>IF(AC38="Approved",(PRODUCT(VLOOKUP($A38,'ADB Projects'!$A$4:$W$21,7,FALSE),1000000)),"")</f>
        <v/>
      </c>
      <c r="AH38" s="585" t="str">
        <f>IF(AC38="Approved",(PRODUCT(VLOOKUP($A38,'ADB Projects'!$A$4:$W$21,8,FALSE),1000000)),"")</f>
        <v/>
      </c>
      <c r="AI38" s="55" t="s">
        <v>541</v>
      </c>
      <c r="AJ38" s="55"/>
      <c r="AK38" s="244"/>
      <c r="AL38" s="55" t="s">
        <v>541</v>
      </c>
      <c r="AM38" s="55"/>
      <c r="AN38" s="55"/>
      <c r="AO38" s="55"/>
      <c r="AP38" s="55"/>
      <c r="AQ38" s="602" t="str">
        <f t="shared" si="25"/>
        <v/>
      </c>
      <c r="AR38" s="602" t="str">
        <f>IFERROR(VLOOKUP($A38,'IDB C19 Vaccine Projects'!$O$4:$Q$12,2,FALSE),"")</f>
        <v/>
      </c>
      <c r="AS38" s="602" t="str">
        <f>IFERROR(VLOOKUP($A38,'IDB C19 Vaccine Projects'!$O$4:$Q$12,3,FALSE),"")</f>
        <v/>
      </c>
      <c r="AT38" s="110"/>
      <c r="AU38" s="326">
        <v>1000526</v>
      </c>
      <c r="AV38" s="635">
        <v>675541</v>
      </c>
      <c r="AW38" s="55" t="s">
        <v>541</v>
      </c>
      <c r="AX38" s="88">
        <f>INDEX(USAID!$C$3:$C$151,MATCH('Matrix Allocations'!A38,USAID!$A$3:$A$151,0))</f>
        <v>4476000</v>
      </c>
      <c r="AY38" s="110"/>
      <c r="AZ38" s="88">
        <f>IFERROR(INDEX('[4]Vx All regions allocations'!O$10:O$144,MATCH(A38,'[4]Vx All regions allocations'!A$10:A$144,0)),"")</f>
        <v>1677055</v>
      </c>
      <c r="BA38" s="88">
        <v>74074.074074074073</v>
      </c>
      <c r="BB38" s="88">
        <v>92436.2</v>
      </c>
      <c r="BC38" s="88" t="str">
        <f>IFERROR(INDEX(DFAT!$K$4:$K$21,MATCH('Matrix Allocations'!A38,DFAT!$B$4:$B$21,0)),"")</f>
        <v/>
      </c>
      <c r="BD38" s="88"/>
      <c r="BE38" s="826" t="str">
        <f>IFERROR(IF(INDEX('GAVI CCE'!$E$3:$E$95,MATCH('Matrix Allocations'!A38,'GAVI CCE'!$A$3:$A$95,0))="Yes",INDEX('GAVI CCE'!$E$3:$E$95,MATCH('Matrix Allocations'!A38,'GAVI CCE'!$A$3:$A$95,0)),""),"")</f>
        <v>Yes</v>
      </c>
      <c r="BF38" s="88">
        <f>IFERROR(IF(BE38="Yes",INDEX('GAVI CCE'!$F$3:$F$95,MATCH('Matrix Allocations'!A38,'GAVI CCE'!$A$3:$A$95,0)),""),"")</f>
        <v>664320</v>
      </c>
      <c r="BG38" s="609" t="str">
        <f>IFERROR(IF(E38='CDS early access ceilings'!$A$94,(VLOOKUP(A38,'CDS early access ceilings'!$A$2:$D$92,4,FALSE)),""),"")</f>
        <v>GAVI</v>
      </c>
      <c r="BH38" s="639" t="str">
        <f>IFERROR(INDEX(Table14[Status (clean)],MATCH('Matrix Allocations'!A38,Table14[ISO Code],0)),"")</f>
        <v>Disbursed</v>
      </c>
      <c r="BI38" s="641">
        <f>IFERROR(INDEX(Table14[Amount disbursed (USD)],MATCH('Matrix Allocations'!A38,Table14[ISO Code],0)),"")</f>
        <v>2628307</v>
      </c>
      <c r="BJ38" s="641" t="str">
        <f>IFERROR(INDEX('CDS NBW'!$I$2:$I$39,MATCH(A38,'CDS NBW'!$A$2:$A$39,0)),"")</f>
        <v/>
      </c>
      <c r="BK38" s="641" t="str">
        <f>IFERROR(INDEX('CDS NBW'!$J$2:$J$39,MATCH(A38,'CDS NBW'!$A$2:$A$39,0)),"")</f>
        <v/>
      </c>
      <c r="BL38" s="609"/>
      <c r="BM38" s="609"/>
      <c r="BN38" s="609"/>
      <c r="BO38" s="609"/>
      <c r="BP38" s="609">
        <f>IFERROR(INDEX('UNICEF-BMZ'!$O$1:$O$199,MATCH('Matrix Allocations'!A38,'UNICEF-BMZ'!$B$1:$B$199,0)),"")</f>
        <v>400000</v>
      </c>
      <c r="BQ38" s="609">
        <f>IFERROR(VLOOKUP(A38,'BMGF_clean data'!$A$4:$C$30,3,FALSE),"")</f>
        <v>1500000</v>
      </c>
      <c r="BR38" s="88"/>
      <c r="BS38" s="88"/>
      <c r="BT38" s="88"/>
      <c r="BU38" s="88"/>
      <c r="BV38" s="88"/>
      <c r="BW38" s="87">
        <f>INDEX(USAID!$D$3:$D$151,MATCH('Matrix Allocations'!A38,USAID!$A$3:$A$151,0))</f>
        <v>600000</v>
      </c>
      <c r="BX38" s="87" t="str">
        <f>IFERROR(INDEX(DFAT!$L$4:$L$21,MATCH('Matrix Allocations'!A38,DFAT!$B$4:$B$21,0)),"")</f>
        <v/>
      </c>
      <c r="BY38" s="87">
        <f>IFERROR(INDEX(Table14[Funds Channelled through UNICEF],MATCH('Matrix Allocations'!A38,Table14[ISO Code],0)),"")</f>
        <v>0</v>
      </c>
      <c r="BZ38" s="87">
        <f t="shared" si="23"/>
        <v>0</v>
      </c>
      <c r="CA38">
        <f t="shared" si="19"/>
        <v>27053629</v>
      </c>
      <c r="CB38" s="782">
        <f t="shared" si="10"/>
        <v>8116088.6999999993</v>
      </c>
      <c r="CC38" s="791">
        <f t="shared" si="11"/>
        <v>45088259.274074078</v>
      </c>
      <c r="CD38" s="788">
        <f t="shared" si="12"/>
        <v>5.5554172632531831</v>
      </c>
      <c r="CE38" s="788">
        <f t="shared" si="13"/>
        <v>4.1665629474398864</v>
      </c>
      <c r="CF38" s="828">
        <f t="shared" si="14"/>
        <v>2.3808931128227928</v>
      </c>
      <c r="CG38" s="828">
        <f t="shared" si="15"/>
        <v>1.6666251789759547</v>
      </c>
      <c r="CH38" s="88">
        <f t="shared" si="20"/>
        <v>31900000</v>
      </c>
      <c r="CI38" s="88">
        <f t="shared" si="16"/>
        <v>4476000</v>
      </c>
      <c r="CJ38" s="742">
        <f t="shared" si="21"/>
        <v>2175541</v>
      </c>
      <c r="CK38" s="848">
        <f t="shared" si="17"/>
        <v>2952596</v>
      </c>
      <c r="CL38" s="88">
        <f t="shared" si="18"/>
        <v>4859663.2740740739</v>
      </c>
    </row>
    <row r="39" spans="1:90" ht="16" customHeight="1">
      <c r="A39" s="147" t="s">
        <v>587</v>
      </c>
      <c r="B39" s="147" t="s">
        <v>193</v>
      </c>
      <c r="C39" s="55" t="s">
        <v>127</v>
      </c>
      <c r="D39" s="55" t="s">
        <v>550</v>
      </c>
      <c r="E39" s="55" t="s">
        <v>146</v>
      </c>
      <c r="F39" s="56"/>
      <c r="G39" s="56" t="str">
        <f t="shared" si="22"/>
        <v>Yes</v>
      </c>
      <c r="H39" s="56" t="str">
        <f t="shared" si="22"/>
        <v>Yes</v>
      </c>
      <c r="I39" s="56" t="str">
        <f t="shared" si="1"/>
        <v>No</v>
      </c>
      <c r="J39" s="56" t="str">
        <f t="shared" si="2"/>
        <v>No</v>
      </c>
      <c r="K39" s="56" t="str">
        <f t="shared" si="3"/>
        <v>Yes</v>
      </c>
      <c r="L39" s="56" t="s">
        <v>541</v>
      </c>
      <c r="M39" s="55" t="s">
        <v>544</v>
      </c>
      <c r="N39" s="134" t="s">
        <v>544</v>
      </c>
      <c r="O39" s="55" t="s">
        <v>544</v>
      </c>
      <c r="P39" s="55"/>
      <c r="Q39" s="55"/>
      <c r="R39" s="55"/>
      <c r="S39" s="956">
        <v>3464739907.1604805</v>
      </c>
      <c r="T39" s="55" t="s">
        <v>395</v>
      </c>
      <c r="U39" s="64" t="str">
        <f>IFERROR(IF(VLOOKUP(A39,'WB projects data'!$A$5:$C$83,3,0)="Approved",(VLOOKUP(A39,'WB projects data'!$A$5:$C$83,3,0)),""),"")</f>
        <v/>
      </c>
      <c r="V39" s="123" t="str">
        <f t="shared" si="24"/>
        <v/>
      </c>
      <c r="W39" s="123" t="str">
        <f>IFERROR((VLOOKUP($A39,'WB projects data'!$A$5:$J$83,6,0)*1000000),"")</f>
        <v/>
      </c>
      <c r="X39" s="123" t="str">
        <f>IFERROR((VLOOKUP($A39,'WB projects data'!$A$5:$J$83,7,0)*1000000),"")</f>
        <v/>
      </c>
      <c r="Y39" s="123" t="str">
        <f>IFERROR((VLOOKUP($A39,'WB projects data'!$A$5:$J$83,8,0)*1000000),"")</f>
        <v/>
      </c>
      <c r="Z39" s="123" t="str">
        <f>IFERROR((VLOOKUP($A39,'WB projects data'!$A$5:$J$83,9,0)*1000000),"")</f>
        <v/>
      </c>
      <c r="AA39" s="123" t="str">
        <f>IFERROR((VLOOKUP($A39,'WB projects data'!$A$5:$J$83,10,0)*1000000),"")</f>
        <v/>
      </c>
      <c r="AB39" s="55"/>
      <c r="AC39" s="110"/>
      <c r="AD39" s="110" t="str">
        <f>IFERROR(VLOOKUP(A39,'ADB Projects'!$A$4:$W$21,5,FALSE),"")</f>
        <v/>
      </c>
      <c r="AE39" s="132" t="str">
        <f>IF(AC39="Approved",(VLOOKUP($A39,'ADB Projects'!$A$5:$D$21,4,0)*1000000),"")</f>
        <v/>
      </c>
      <c r="AF39" s="585" t="str">
        <f>IF(AC39="Approved",(PRODUCT(VLOOKUP($A39,'ADB Projects'!$A$4:$W$21,6,FALSE),1000000)),"")</f>
        <v/>
      </c>
      <c r="AG39" s="585" t="str">
        <f>IF(AC39="Approved",(PRODUCT(VLOOKUP($A39,'ADB Projects'!$A$4:$W$21,7,FALSE),1000000)),"")</f>
        <v/>
      </c>
      <c r="AH39" s="585" t="str">
        <f>IF(AC39="Approved",(PRODUCT(VLOOKUP($A39,'ADB Projects'!$A$4:$W$21,8,FALSE),1000000)),"")</f>
        <v/>
      </c>
      <c r="AI39" s="55"/>
      <c r="AJ39" s="55"/>
      <c r="AK39" s="244"/>
      <c r="AL39" s="55" t="s">
        <v>541</v>
      </c>
      <c r="AM39" s="55"/>
      <c r="AN39" s="55"/>
      <c r="AO39" s="55"/>
      <c r="AP39" s="55"/>
      <c r="AQ39" s="602" t="str">
        <f t="shared" si="25"/>
        <v/>
      </c>
      <c r="AR39" s="602" t="str">
        <f>IFERROR(VLOOKUP($A39,'IDB C19 Vaccine Projects'!$O$4:$Q$12,2,FALSE),"")</f>
        <v/>
      </c>
      <c r="AS39" s="602" t="str">
        <f>IFERROR(VLOOKUP($A39,'IDB C19 Vaccine Projects'!$O$4:$Q$12,3,FALSE),"")</f>
        <v/>
      </c>
      <c r="AT39" s="55"/>
      <c r="AU39" s="88"/>
      <c r="AV39" s="55"/>
      <c r="AW39" s="55"/>
      <c r="AX39" s="88" t="str">
        <f>INDEX(USAID!$C$3:$C$151,MATCH('Matrix Allocations'!A39,USAID!$A$3:$A$151,0))</f>
        <v/>
      </c>
      <c r="AY39" s="110"/>
      <c r="AZ39" s="88" t="str">
        <f>IFERROR(INDEX('[4]Vx All regions allocations'!O$10:O$144,MATCH(A39,'[4]Vx All regions allocations'!A$10:A$144,0)),"")</f>
        <v/>
      </c>
      <c r="BA39" s="88">
        <v>0</v>
      </c>
      <c r="BB39" s="88">
        <v>0</v>
      </c>
      <c r="BC39" s="88" t="str">
        <f>IFERROR(INDEX(DFAT!$K$4:$K$21,MATCH('Matrix Allocations'!A39,DFAT!$B$4:$B$21,0)),"")</f>
        <v/>
      </c>
      <c r="BD39" s="88"/>
      <c r="BE39" s="826" t="str">
        <f>IFERROR(IF(INDEX('GAVI CCE'!$E$3:$E$95,MATCH('Matrix Allocations'!A39,'GAVI CCE'!$A$3:$A$95,0))="Yes",INDEX('GAVI CCE'!$E$3:$E$95,MATCH('Matrix Allocations'!A39,'GAVI CCE'!$A$3:$A$95,0)),""),"")</f>
        <v/>
      </c>
      <c r="BF39" s="88" t="str">
        <f>IFERROR(IF(BE39="Yes",INDEX('GAVI CCE'!$F$3:$F$95,MATCH('Matrix Allocations'!A39,'GAVI CCE'!$A$3:$A$95,0)),""),"")</f>
        <v/>
      </c>
      <c r="BG39" s="609" t="str">
        <f>IFERROR(IF(E39='CDS early access ceilings'!$A$94,(VLOOKUP(A39,'CDS early access ceilings'!$A$2:$D$92,4,FALSE)),""),"")</f>
        <v/>
      </c>
      <c r="BH39" s="639" t="str">
        <f>IFERROR(INDEX(Table14[Status (clean)],MATCH('Matrix Allocations'!A39,Table14[ISO Code],0)),"")</f>
        <v/>
      </c>
      <c r="BI39" s="641" t="str">
        <f>IFERROR(INDEX(Table14[Amount disbursed (USD)],MATCH('Matrix Allocations'!A39,Table14[ISO Code],0)),"")</f>
        <v/>
      </c>
      <c r="BJ39" s="641" t="str">
        <f>IFERROR(INDEX('CDS NBW'!$I$2:$I$39,MATCH(A39,'CDS NBW'!$A$2:$A$39,0)),"")</f>
        <v/>
      </c>
      <c r="BK39" s="641" t="str">
        <f>IFERROR(INDEX('CDS NBW'!$J$2:$J$39,MATCH(A39,'CDS NBW'!$A$2:$A$39,0)),"")</f>
        <v/>
      </c>
      <c r="BL39" s="609"/>
      <c r="BM39" s="609"/>
      <c r="BN39" s="609"/>
      <c r="BO39" s="609"/>
      <c r="BP39" s="609">
        <f>IFERROR(INDEX('UNICEF-BMZ'!$O$1:$O$199,MATCH('Matrix Allocations'!A39,'UNICEF-BMZ'!$B$1:$B$199,0)),"")</f>
        <v>0</v>
      </c>
      <c r="BQ39" s="609" t="str">
        <f>IFERROR(VLOOKUP(A39,'BMGF_clean data'!$A$4:$C$30,3,FALSE),"")</f>
        <v/>
      </c>
      <c r="BR39" s="609"/>
      <c r="BS39" s="609"/>
      <c r="BT39" s="609"/>
      <c r="BU39" s="609"/>
      <c r="BV39" s="609"/>
      <c r="BW39" s="87">
        <f>INDEX(USAID!$D$3:$D$151,MATCH('Matrix Allocations'!A39,USAID!$A$3:$A$151,0))</f>
        <v>0</v>
      </c>
      <c r="BX39" s="87" t="str">
        <f>IFERROR(INDEX(DFAT!$L$4:$L$21,MATCH('Matrix Allocations'!A39,DFAT!$B$4:$B$21,0)),"")</f>
        <v/>
      </c>
      <c r="BY39" s="87" t="str">
        <f>IFERROR(INDEX(Table14[Funds Channelled through UNICEF],MATCH('Matrix Allocations'!A39,Table14[ISO Code],0)),"")</f>
        <v/>
      </c>
      <c r="BZ39" s="87">
        <f t="shared" si="23"/>
        <v>0</v>
      </c>
      <c r="CA39">
        <f t="shared" si="19"/>
        <v>4105268</v>
      </c>
      <c r="CB39" s="782">
        <f t="shared" si="10"/>
        <v>1231580.3999999999</v>
      </c>
      <c r="CC39" s="791">
        <f t="shared" si="11"/>
        <v>0</v>
      </c>
      <c r="CD39" s="788">
        <f t="shared" si="12"/>
        <v>0</v>
      </c>
      <c r="CE39" s="788">
        <f t="shared" si="13"/>
        <v>0</v>
      </c>
      <c r="CF39" s="828">
        <f t="shared" si="14"/>
        <v>0</v>
      </c>
      <c r="CG39" s="828">
        <f t="shared" si="15"/>
        <v>0</v>
      </c>
      <c r="CH39" s="88">
        <f t="shared" si="20"/>
        <v>0</v>
      </c>
      <c r="CI39" s="88">
        <f t="shared" si="16"/>
        <v>0</v>
      </c>
      <c r="CJ39" s="742">
        <f t="shared" si="21"/>
        <v>0</v>
      </c>
      <c r="CK39" s="848">
        <f t="shared" si="17"/>
        <v>0</v>
      </c>
      <c r="CL39" s="88">
        <f t="shared" si="18"/>
        <v>0</v>
      </c>
    </row>
    <row r="40" spans="1:90" ht="16" customHeight="1">
      <c r="A40" s="55" t="s">
        <v>588</v>
      </c>
      <c r="B40" s="55" t="s">
        <v>147</v>
      </c>
      <c r="C40" s="55" t="s">
        <v>130</v>
      </c>
      <c r="D40" s="55" t="s">
        <v>152</v>
      </c>
      <c r="E40" s="55" t="s">
        <v>146</v>
      </c>
      <c r="F40" s="56"/>
      <c r="G40" s="56"/>
      <c r="H40" s="56"/>
      <c r="I40" s="56"/>
      <c r="J40" s="56"/>
      <c r="K40" s="56"/>
      <c r="L40" s="56"/>
      <c r="M40" s="55"/>
      <c r="N40" s="134"/>
      <c r="O40" s="55"/>
      <c r="P40" s="55"/>
      <c r="Q40" s="55"/>
      <c r="R40" s="55"/>
      <c r="S40" s="956">
        <v>9948521252.2569065</v>
      </c>
      <c r="T40" s="55"/>
      <c r="U40" s="64" t="str">
        <f>IFERROR(IF(VLOOKUP(A40,'WB projects data'!$A$5:$C$83,3,0)="Approved",(VLOOKUP(A40,'WB projects data'!$A$5:$C$83,3,0)),""),"")</f>
        <v/>
      </c>
      <c r="V40" s="123" t="str">
        <f t="shared" si="24"/>
        <v/>
      </c>
      <c r="W40" s="123" t="str">
        <f>IFERROR((VLOOKUP($A40,'WB projects data'!$A$5:$J$83,6,0)*1000000),"")</f>
        <v/>
      </c>
      <c r="X40" s="123" t="str">
        <f>IFERROR((VLOOKUP($A40,'WB projects data'!$A$5:$J$83,7,0)*1000000),"")</f>
        <v/>
      </c>
      <c r="Y40" s="123" t="str">
        <f>IFERROR((VLOOKUP($A40,'WB projects data'!$A$5:$J$83,8,0)*1000000),"")</f>
        <v/>
      </c>
      <c r="Z40" s="123" t="str">
        <f>IFERROR((VLOOKUP($A40,'WB projects data'!$A$5:$J$83,9,0)*1000000),"")</f>
        <v/>
      </c>
      <c r="AA40" s="123" t="str">
        <f>IFERROR((VLOOKUP($A40,'WB projects data'!$A$5:$J$83,10,0)*1000000),"")</f>
        <v/>
      </c>
      <c r="AB40" s="55"/>
      <c r="AC40" s="110"/>
      <c r="AD40" s="110" t="str">
        <f>IFERROR(VLOOKUP(A40,'ADB Projects'!$A$4:$W$21,5,FALSE),"")</f>
        <v/>
      </c>
      <c r="AE40" s="132" t="str">
        <f>IF(AC40="Approved",(VLOOKUP($A40,'ADB Projects'!$A$5:$D$21,4,0)*1000000),"")</f>
        <v/>
      </c>
      <c r="AF40" s="585" t="str">
        <f>IF(AC40="Approved",(PRODUCT(VLOOKUP($A40,'ADB Projects'!$A$4:$W$21,6,FALSE),1000000)),"")</f>
        <v/>
      </c>
      <c r="AG40" s="585" t="str">
        <f>IF(AC40="Approved",(PRODUCT(VLOOKUP($A40,'ADB Projects'!$A$4:$W$21,7,FALSE),1000000)),"")</f>
        <v/>
      </c>
      <c r="AH40" s="585" t="str">
        <f>IF(AC40="Approved",(PRODUCT(VLOOKUP($A40,'ADB Projects'!$A$4:$W$21,8,FALSE),1000000)),"")</f>
        <v/>
      </c>
      <c r="AI40" s="55"/>
      <c r="AJ40" s="55"/>
      <c r="AK40" s="244"/>
      <c r="AL40" s="55"/>
      <c r="AM40" s="55"/>
      <c r="AN40" s="55"/>
      <c r="AO40" s="55"/>
      <c r="AP40" s="55"/>
      <c r="AQ40" s="602" t="str">
        <f t="shared" si="25"/>
        <v/>
      </c>
      <c r="AR40" s="602" t="str">
        <f>IFERROR(VLOOKUP($A40,'IDB C19 Vaccine Projects'!$O$4:$Q$12,2,FALSE),"")</f>
        <v/>
      </c>
      <c r="AS40" s="602" t="str">
        <f>IFERROR(VLOOKUP($A40,'IDB C19 Vaccine Projects'!$O$4:$Q$12,3,FALSE),"")</f>
        <v/>
      </c>
      <c r="AT40" s="55"/>
      <c r="AU40" s="88"/>
      <c r="AV40" s="635"/>
      <c r="AW40" s="55"/>
      <c r="AX40" s="88" t="str">
        <f>INDEX(USAID!$C$3:$C$151,MATCH('Matrix Allocations'!A40,USAID!$A$3:$A$151,0))</f>
        <v/>
      </c>
      <c r="AY40" s="110"/>
      <c r="AZ40" s="88">
        <f>IFERROR(INDEX('[4]Vx All regions allocations'!O$10:O$144,MATCH(A40,'[4]Vx All regions allocations'!A$10:A$144,0)),"")</f>
        <v>500000</v>
      </c>
      <c r="BA40" s="88">
        <v>0</v>
      </c>
      <c r="BB40" s="88">
        <v>0</v>
      </c>
      <c r="BC40" s="88" t="str">
        <f>IFERROR(INDEX(DFAT!$K$4:$K$21,MATCH('Matrix Allocations'!A40,DFAT!$B$4:$B$21,0)),"")</f>
        <v/>
      </c>
      <c r="BD40" s="88"/>
      <c r="BE40" s="826" t="str">
        <f>IFERROR(IF(INDEX('GAVI CCE'!$E$3:$E$95,MATCH('Matrix Allocations'!A40,'GAVI CCE'!$A$3:$A$95,0))="Yes",INDEX('GAVI CCE'!$E$3:$E$95,MATCH('Matrix Allocations'!A40,'GAVI CCE'!$A$3:$A$95,0)),""),"")</f>
        <v/>
      </c>
      <c r="BF40" s="88" t="str">
        <f>IFERROR(IF(BE40="Yes",INDEX('GAVI CCE'!$F$3:$F$95,MATCH('Matrix Allocations'!A40,'GAVI CCE'!$A$3:$A$95,0)),""),"")</f>
        <v/>
      </c>
      <c r="BG40" s="609" t="str">
        <f>IFERROR(IF(E40='CDS early access ceilings'!$A$94,(VLOOKUP(A40,'CDS early access ceilings'!$A$2:$D$92,4,FALSE)),""),"")</f>
        <v/>
      </c>
      <c r="BH40" s="639" t="str">
        <f>IFERROR(INDEX(Table14[Status (clean)],MATCH('Matrix Allocations'!A40,Table14[ISO Code],0)),"")</f>
        <v/>
      </c>
      <c r="BI40" s="641" t="str">
        <f>IFERROR(INDEX(Table14[Amount disbursed (USD)],MATCH('Matrix Allocations'!A40,Table14[ISO Code],0)),"")</f>
        <v/>
      </c>
      <c r="BJ40" s="641" t="str">
        <f>IFERROR(INDEX('CDS NBW'!$I$2:$I$39,MATCH(A40,'CDS NBW'!$A$2:$A$39,0)),"")</f>
        <v/>
      </c>
      <c r="BK40" s="641" t="str">
        <f>IFERROR(INDEX('CDS NBW'!$J$2:$J$39,MATCH(A40,'CDS NBW'!$A$2:$A$39,0)),"")</f>
        <v/>
      </c>
      <c r="BL40" s="609"/>
      <c r="BM40" s="609"/>
      <c r="BN40" s="609"/>
      <c r="BO40" s="609"/>
      <c r="BP40" s="609">
        <f>IFERROR(INDEX('UNICEF-BMZ'!$O$1:$O$199,MATCH('Matrix Allocations'!A40,'UNICEF-BMZ'!$B$1:$B$199,0)),"")</f>
        <v>0</v>
      </c>
      <c r="BQ40" s="609" t="str">
        <f>IFERROR(VLOOKUP(A40,'BMGF_clean data'!$A$4:$C$30,3,FALSE),"")</f>
        <v/>
      </c>
      <c r="BR40" s="609"/>
      <c r="BS40" s="609"/>
      <c r="BT40" s="609">
        <v>715090</v>
      </c>
      <c r="BU40" s="609"/>
      <c r="BV40" s="609"/>
      <c r="BW40" s="87">
        <f>INDEX(USAID!$D$3:$D$151,MATCH('Matrix Allocations'!A40,USAID!$A$3:$A$151,0))</f>
        <v>0</v>
      </c>
      <c r="BX40" s="87" t="str">
        <f>IFERROR(INDEX(DFAT!$L$4:$L$21,MATCH('Matrix Allocations'!A40,DFAT!$B$4:$B$21,0)),"")</f>
        <v/>
      </c>
      <c r="BY40" s="87" t="str">
        <f>IFERROR(INDEX(Table14[Funds Channelled through UNICEF],MATCH('Matrix Allocations'!A40,Table14[ISO Code],0)),"")</f>
        <v/>
      </c>
      <c r="BZ40" s="87">
        <f t="shared" si="23"/>
        <v>0</v>
      </c>
      <c r="CA40">
        <f t="shared" si="19"/>
        <v>11317498</v>
      </c>
      <c r="CB40" s="782">
        <f t="shared" si="10"/>
        <v>3395249.4</v>
      </c>
      <c r="CC40" s="791">
        <f t="shared" si="11"/>
        <v>1215090</v>
      </c>
      <c r="CD40" s="788">
        <f t="shared" si="12"/>
        <v>0.357879453568271</v>
      </c>
      <c r="CE40" s="788">
        <f t="shared" si="13"/>
        <v>0.26840959017620325</v>
      </c>
      <c r="CF40" s="828">
        <f t="shared" si="14"/>
        <v>0.15337690867211615</v>
      </c>
      <c r="CG40" s="828">
        <f t="shared" si="15"/>
        <v>0.10736383607048131</v>
      </c>
      <c r="CH40" s="88">
        <f t="shared" si="20"/>
        <v>0</v>
      </c>
      <c r="CI40" s="88">
        <f t="shared" si="16"/>
        <v>715090</v>
      </c>
      <c r="CJ40" s="742">
        <f t="shared" si="21"/>
        <v>0</v>
      </c>
      <c r="CK40" s="848">
        <f t="shared" si="17"/>
        <v>1215090</v>
      </c>
      <c r="CL40" s="88">
        <f t="shared" si="18"/>
        <v>0</v>
      </c>
    </row>
    <row r="41" spans="1:90" ht="16" customHeight="1">
      <c r="A41" s="55" t="s">
        <v>589</v>
      </c>
      <c r="B41" s="55" t="s">
        <v>194</v>
      </c>
      <c r="C41" s="55" t="s">
        <v>131</v>
      </c>
      <c r="D41" s="55" t="s">
        <v>150</v>
      </c>
      <c r="E41" s="55" t="s">
        <v>145</v>
      </c>
      <c r="F41" s="56">
        <v>1</v>
      </c>
      <c r="G41" s="56" t="str">
        <f t="shared" ref="G41:H60" si="26">IF($T41="IBRD","Yes","No")</f>
        <v>No</v>
      </c>
      <c r="H41" s="56" t="str">
        <f t="shared" si="26"/>
        <v>No</v>
      </c>
      <c r="I41" s="56" t="str">
        <f t="shared" ref="I41:I72" si="27">IF($T41="Blend","Yes","No")</f>
        <v>Yes</v>
      </c>
      <c r="J41" s="56" t="str">
        <f t="shared" ref="J41:J72" si="28">IF(OR(T41="IDA",T41="Blend"),"Yes","No")</f>
        <v>Yes</v>
      </c>
      <c r="K41" s="56" t="str">
        <f t="shared" ref="K41:K72" si="29">IF($T41="IBRD","Yes","No")</f>
        <v>No</v>
      </c>
      <c r="L41" s="56" t="s">
        <v>541</v>
      </c>
      <c r="M41" s="55" t="s">
        <v>541</v>
      </c>
      <c r="N41" s="134" t="s">
        <v>541</v>
      </c>
      <c r="O41" s="55" t="s">
        <v>541</v>
      </c>
      <c r="P41" s="55" t="s">
        <v>542</v>
      </c>
      <c r="Q41" s="55" t="s">
        <v>541</v>
      </c>
      <c r="R41" s="55"/>
      <c r="S41" s="956">
        <v>33679192.765657313</v>
      </c>
      <c r="T41" s="55" t="s">
        <v>396</v>
      </c>
      <c r="U41" s="64" t="str">
        <f>IFERROR(IF(VLOOKUP(A41,'WB projects data'!$A$5:$C$83,3,0)="Approved",(VLOOKUP(A41,'WB projects data'!$A$5:$C$83,3,0)),""),"")</f>
        <v/>
      </c>
      <c r="V41" s="123" t="str">
        <f t="shared" si="24"/>
        <v/>
      </c>
      <c r="W41" s="123" t="str">
        <f>IFERROR((VLOOKUP($A41,'WB projects data'!$A$5:$J$83,6,0)*1000000),"")</f>
        <v/>
      </c>
      <c r="X41" s="123" t="str">
        <f>IFERROR((VLOOKUP($A41,'WB projects data'!$A$5:$J$83,7,0)*1000000),"")</f>
        <v/>
      </c>
      <c r="Y41" s="123" t="str">
        <f>IFERROR((VLOOKUP($A41,'WB projects data'!$A$5:$J$83,8,0)*1000000),"")</f>
        <v/>
      </c>
      <c r="Z41" s="123" t="str">
        <f>IFERROR((VLOOKUP($A41,'WB projects data'!$A$5:$J$83,9,0)*1000000),"")</f>
        <v/>
      </c>
      <c r="AA41" s="123" t="str">
        <f>IFERROR((VLOOKUP($A41,'WB projects data'!$A$5:$J$83,10,0)*1000000),"")</f>
        <v/>
      </c>
      <c r="AB41" s="55" t="s">
        <v>541</v>
      </c>
      <c r="AC41" s="110"/>
      <c r="AD41" s="110" t="str">
        <f>IFERROR(VLOOKUP(A41,'ADB Projects'!$A$4:$W$21,5,FALSE),"")</f>
        <v/>
      </c>
      <c r="AE41" s="132" t="str">
        <f>IF(AC41="Approved",(VLOOKUP($A41,'ADB Projects'!$A$5:$D$21,4,0)*1000000),"")</f>
        <v/>
      </c>
      <c r="AF41" s="585" t="str">
        <f>IF(AC41="Approved",(PRODUCT(VLOOKUP($A41,'ADB Projects'!$A$4:$W$21,6,FALSE),1000000)),"")</f>
        <v/>
      </c>
      <c r="AG41" s="585" t="str">
        <f>IF(AC41="Approved",(PRODUCT(VLOOKUP($A41,'ADB Projects'!$A$4:$W$21,7,FALSE),1000000)),"")</f>
        <v/>
      </c>
      <c r="AH41" s="585" t="str">
        <f>IF(AC41="Approved",(PRODUCT(VLOOKUP($A41,'ADB Projects'!$A$4:$W$21,8,FALSE),1000000)),"")</f>
        <v/>
      </c>
      <c r="AI41" s="55"/>
      <c r="AJ41" s="55"/>
      <c r="AK41" s="244"/>
      <c r="AL41" s="55"/>
      <c r="AM41" s="55"/>
      <c r="AN41" s="55"/>
      <c r="AO41" s="55"/>
      <c r="AP41" s="55"/>
      <c r="AQ41" s="602" t="str">
        <f t="shared" si="25"/>
        <v/>
      </c>
      <c r="AR41" s="602" t="str">
        <f>IFERROR(VLOOKUP($A41,'IDB C19 Vaccine Projects'!$O$4:$Q$12,2,FALSE),"")</f>
        <v/>
      </c>
      <c r="AS41" s="602" t="str">
        <f>IFERROR(VLOOKUP($A41,'IDB C19 Vaccine Projects'!$O$4:$Q$12,3,FALSE),"")</f>
        <v/>
      </c>
      <c r="AT41" s="55"/>
      <c r="AU41" s="88"/>
      <c r="AV41" s="635"/>
      <c r="AW41" s="55" t="s">
        <v>541</v>
      </c>
      <c r="AX41" s="88">
        <f>INDEX(USAID!$C$3:$C$151,MATCH('Matrix Allocations'!A41,USAID!$A$3:$A$151,0))</f>
        <v>1100000</v>
      </c>
      <c r="AY41" s="110">
        <v>92553</v>
      </c>
      <c r="AZ41" s="88">
        <f>IFERROR(INDEX('[4]Vx All regions allocations'!O$10:O$144,MATCH(A41,'[4]Vx All regions allocations'!A$10:A$144,0)),"")</f>
        <v>0</v>
      </c>
      <c r="BA41" s="88">
        <v>168981.48148148146</v>
      </c>
      <c r="BB41" s="88">
        <v>189473</v>
      </c>
      <c r="BC41" s="88" t="str">
        <f>IFERROR(INDEX(DFAT!$K$4:$K$21,MATCH('Matrix Allocations'!A41,DFAT!$B$4:$B$21,0)),"")</f>
        <v/>
      </c>
      <c r="BD41" s="88"/>
      <c r="BE41" s="826" t="str">
        <f>IFERROR(IF(INDEX('GAVI CCE'!$E$3:$E$95,MATCH('Matrix Allocations'!A41,'GAVI CCE'!$A$3:$A$95,0))="Yes",INDEX('GAVI CCE'!$E$3:$E$95,MATCH('Matrix Allocations'!A41,'GAVI CCE'!$A$3:$A$95,0)),""),"")</f>
        <v/>
      </c>
      <c r="BF41" s="88" t="str">
        <f>IFERROR(IF(BE41="Yes",INDEX('GAVI CCE'!$F$3:$F$95,MATCH('Matrix Allocations'!A41,'GAVI CCE'!$A$3:$A$95,0)),""),"")</f>
        <v/>
      </c>
      <c r="BG41" s="609" t="str">
        <f>IFERROR(IF(E41='CDS early access ceilings'!$A$94,(VLOOKUP(A41,'CDS early access ceilings'!$A$2:$D$92,4,FALSE)),""),"")</f>
        <v>GAVI</v>
      </c>
      <c r="BH41" s="639" t="str">
        <f>IFERROR(INDEX(Table14[Status (clean)],MATCH('Matrix Allocations'!A41,Table14[ISO Code],0)),"")</f>
        <v>Disbursed</v>
      </c>
      <c r="BI41" s="641">
        <f>IFERROR(INDEX(Table14[Amount disbursed (USD)],MATCH('Matrix Allocations'!A41,Table14[ISO Code],0)),"")</f>
        <v>978421</v>
      </c>
      <c r="BJ41" s="641" t="str">
        <f>IFERROR(INDEX('CDS NBW'!$I$2:$I$39,MATCH(A41,'CDS NBW'!$A$2:$A$39,0)),"")</f>
        <v/>
      </c>
      <c r="BK41" s="641" t="str">
        <f>IFERROR(INDEX('CDS NBW'!$J$2:$J$39,MATCH(A41,'CDS NBW'!$A$2:$A$39,0)),"")</f>
        <v/>
      </c>
      <c r="BL41" s="609"/>
      <c r="BM41" s="609"/>
      <c r="BN41" s="609"/>
      <c r="BO41" s="609"/>
      <c r="BP41" s="609">
        <f>IFERROR(INDEX('UNICEF-BMZ'!$O$1:$O$199,MATCH('Matrix Allocations'!A41,'UNICEF-BMZ'!$B$1:$B$199,0)),"")</f>
        <v>40000</v>
      </c>
      <c r="BQ41" s="609" t="str">
        <f>IFERROR(VLOOKUP(A41,'BMGF_clean data'!$A$4:$C$30,3,FALSE),"")</f>
        <v/>
      </c>
      <c r="BR41" s="609"/>
      <c r="BS41" s="609"/>
      <c r="BT41" s="609"/>
      <c r="BU41" s="609"/>
      <c r="BV41" s="609"/>
      <c r="BW41" s="87">
        <f>INDEX(USAID!$D$3:$D$151,MATCH('Matrix Allocations'!A41,USAID!$A$3:$A$151,0))</f>
        <v>0</v>
      </c>
      <c r="BX41" s="87" t="str">
        <f>IFERROR(INDEX(DFAT!$L$4:$L$21,MATCH('Matrix Allocations'!A41,DFAT!$B$4:$B$21,0)),"")</f>
        <v/>
      </c>
      <c r="BY41" s="87">
        <f>IFERROR(INDEX(Table14[Funds Channelled through UNICEF],MATCH('Matrix Allocations'!A41,Table14[ISO Code],0)),"")</f>
        <v>292108</v>
      </c>
      <c r="BZ41" s="87">
        <f t="shared" si="23"/>
        <v>292108</v>
      </c>
      <c r="CA41">
        <f t="shared" si="19"/>
        <v>1002197</v>
      </c>
      <c r="CB41" s="782">
        <f t="shared" si="10"/>
        <v>300659.09999999998</v>
      </c>
      <c r="CC41" s="791">
        <f t="shared" si="11"/>
        <v>2569428.4814814813</v>
      </c>
      <c r="CD41" s="788">
        <f t="shared" si="12"/>
        <v>8.5459860735347153</v>
      </c>
      <c r="CE41" s="788">
        <f t="shared" si="13"/>
        <v>6.409489555151036</v>
      </c>
      <c r="CF41" s="828">
        <f t="shared" si="14"/>
        <v>3.6625654600863071</v>
      </c>
      <c r="CG41" s="828">
        <f t="shared" si="15"/>
        <v>2.5637958220604147</v>
      </c>
      <c r="CH41" s="88">
        <f t="shared" si="20"/>
        <v>0</v>
      </c>
      <c r="CI41" s="88">
        <f t="shared" si="16"/>
        <v>1192553</v>
      </c>
      <c r="CJ41" s="742">
        <f t="shared" si="21"/>
        <v>0</v>
      </c>
      <c r="CK41" s="848">
        <f t="shared" si="17"/>
        <v>384661</v>
      </c>
      <c r="CL41" s="88">
        <f t="shared" si="18"/>
        <v>1376875.4814814813</v>
      </c>
    </row>
    <row r="42" spans="1:90" ht="16" customHeight="1">
      <c r="A42" s="55" t="s">
        <v>590</v>
      </c>
      <c r="B42" s="55" t="s">
        <v>195</v>
      </c>
      <c r="C42" s="55" t="s">
        <v>130</v>
      </c>
      <c r="D42" s="55" t="s">
        <v>152</v>
      </c>
      <c r="E42" s="55" t="s">
        <v>145</v>
      </c>
      <c r="F42" s="56"/>
      <c r="G42" s="56" t="str">
        <f t="shared" si="26"/>
        <v>No</v>
      </c>
      <c r="H42" s="56" t="str">
        <f t="shared" si="26"/>
        <v>No</v>
      </c>
      <c r="I42" s="56" t="str">
        <f t="shared" si="27"/>
        <v>No</v>
      </c>
      <c r="J42" s="56" t="str">
        <f t="shared" si="28"/>
        <v>Yes</v>
      </c>
      <c r="K42" s="56" t="str">
        <f t="shared" si="29"/>
        <v>No</v>
      </c>
      <c r="L42" s="56" t="s">
        <v>541</v>
      </c>
      <c r="M42" s="55" t="s">
        <v>544</v>
      </c>
      <c r="N42" s="134" t="s">
        <v>541</v>
      </c>
      <c r="O42" s="55" t="s">
        <v>541</v>
      </c>
      <c r="P42" s="55" t="s">
        <v>548</v>
      </c>
      <c r="Q42" s="55"/>
      <c r="R42" s="55"/>
      <c r="S42" s="956">
        <v>22784494.365742501</v>
      </c>
      <c r="T42" s="55" t="s">
        <v>394</v>
      </c>
      <c r="U42" s="64" t="str">
        <f>IFERROR(IF(VLOOKUP(A42,'WB projects data'!$A$5:$C$83,3,0)="Approved",(VLOOKUP(A42,'WB projects data'!$A$5:$C$83,3,0)),""),"")</f>
        <v/>
      </c>
      <c r="V42" s="123" t="str">
        <f t="shared" si="24"/>
        <v/>
      </c>
      <c r="W42" s="123" t="str">
        <f>IFERROR((VLOOKUP($A42,'WB projects data'!$A$5:$J$83,6,0)*1000000),"")</f>
        <v/>
      </c>
      <c r="X42" s="123" t="str">
        <f>IFERROR((VLOOKUP($A42,'WB projects data'!$A$5:$J$83,7,0)*1000000),"")</f>
        <v/>
      </c>
      <c r="Y42" s="123" t="str">
        <f>IFERROR((VLOOKUP($A42,'WB projects data'!$A$5:$J$83,8,0)*1000000),"")</f>
        <v/>
      </c>
      <c r="Z42" s="123" t="str">
        <f>IFERROR((VLOOKUP($A42,'WB projects data'!$A$5:$J$83,9,0)*1000000),"")</f>
        <v/>
      </c>
      <c r="AA42" s="123" t="str">
        <f>IFERROR((VLOOKUP($A42,'WB projects data'!$A$5:$J$83,10,0)*1000000),"")</f>
        <v/>
      </c>
      <c r="AB42" s="55" t="s">
        <v>541</v>
      </c>
      <c r="AC42" s="110"/>
      <c r="AD42" s="110" t="str">
        <f>IFERROR(VLOOKUP(A42,'ADB Projects'!$A$4:$W$21,5,FALSE),"")</f>
        <v/>
      </c>
      <c r="AE42" s="132" t="str">
        <f>IF(AC42="Approved",(VLOOKUP($A42,'ADB Projects'!$A$5:$D$21,4,0)*1000000),"")</f>
        <v/>
      </c>
      <c r="AF42" s="585" t="str">
        <f>IF(AC42="Approved",(PRODUCT(VLOOKUP($A42,'ADB Projects'!$A$4:$W$21,6,FALSE),1000000)),"")</f>
        <v/>
      </c>
      <c r="AG42" s="585" t="str">
        <f>IF(AC42="Approved",(PRODUCT(VLOOKUP($A42,'ADB Projects'!$A$4:$W$21,7,FALSE),1000000)),"")</f>
        <v/>
      </c>
      <c r="AH42" s="585" t="str">
        <f>IF(AC42="Approved",(PRODUCT(VLOOKUP($A42,'ADB Projects'!$A$4:$W$21,8,FALSE),1000000)),"")</f>
        <v/>
      </c>
      <c r="AI42" s="55"/>
      <c r="AJ42" s="55"/>
      <c r="AK42" s="244"/>
      <c r="AL42" s="55"/>
      <c r="AM42" s="55"/>
      <c r="AN42" s="55"/>
      <c r="AO42" s="55"/>
      <c r="AP42" s="55"/>
      <c r="AQ42" s="602" t="str">
        <f t="shared" si="25"/>
        <v/>
      </c>
      <c r="AR42" s="602" t="str">
        <f>IFERROR(VLOOKUP($A42,'IDB C19 Vaccine Projects'!$O$4:$Q$12,2,FALSE),"")</f>
        <v/>
      </c>
      <c r="AS42" s="602" t="str">
        <f>IFERROR(VLOOKUP($A42,'IDB C19 Vaccine Projects'!$O$4:$Q$12,3,FALSE),"")</f>
        <v/>
      </c>
      <c r="AT42" s="55"/>
      <c r="AU42" s="88"/>
      <c r="AV42" s="635"/>
      <c r="AW42" s="55"/>
      <c r="AX42" s="88" t="str">
        <f>INDEX(USAID!$C$3:$C$151,MATCH('Matrix Allocations'!A42,USAID!$A$3:$A$151,0))</f>
        <v/>
      </c>
      <c r="AY42" s="110"/>
      <c r="AZ42" s="88">
        <f>IFERROR(INDEX('[4]Vx All regions allocations'!O$10:O$144,MATCH(A42,'[4]Vx All regions allocations'!A$10:A$144,0)),"")</f>
        <v>75000</v>
      </c>
      <c r="BA42" s="88">
        <v>0</v>
      </c>
      <c r="BB42" s="88">
        <v>50000.030000000006</v>
      </c>
      <c r="BC42" s="88" t="str">
        <f>IFERROR(INDEX(DFAT!$K$4:$K$21,MATCH('Matrix Allocations'!A42,DFAT!$B$4:$B$21,0)),"")</f>
        <v/>
      </c>
      <c r="BD42" s="88"/>
      <c r="BE42" s="826" t="str">
        <f>IFERROR(IF(INDEX('GAVI CCE'!$E$3:$E$95,MATCH('Matrix Allocations'!A42,'GAVI CCE'!$A$3:$A$95,0))="Yes",INDEX('GAVI CCE'!$E$3:$E$95,MATCH('Matrix Allocations'!A42,'GAVI CCE'!$A$3:$A$95,0)),""),"")</f>
        <v/>
      </c>
      <c r="BF42" s="88" t="str">
        <f>IFERROR(IF(BE42="Yes",INDEX('GAVI CCE'!$F$3:$F$95,MATCH('Matrix Allocations'!A42,'GAVI CCE'!$A$3:$A$95,0)),""),"")</f>
        <v/>
      </c>
      <c r="BG42" s="609" t="str">
        <f>IFERROR(IF(E42='CDS early access ceilings'!$A$94,(VLOOKUP(A42,'CDS early access ceilings'!$A$2:$D$92,4,FALSE)),""),"")</f>
        <v>UNICEF</v>
      </c>
      <c r="BH42" s="639" t="str">
        <f>IFERROR(INDEX(Table14[Status (clean)],MATCH('Matrix Allocations'!A42,Table14[ISO Code],0)),"")</f>
        <v>Disbursed</v>
      </c>
      <c r="BI42" s="641">
        <f>IFERROR(INDEX(Table14[Amount disbursed (USD)],MATCH('Matrix Allocations'!A42,Table14[ISO Code],0)),"")</f>
        <v>230000</v>
      </c>
      <c r="BJ42" s="641" t="str">
        <f>IFERROR(INDEX('CDS NBW'!$I$2:$I$39,MATCH(A42,'CDS NBW'!$A$2:$A$39,0)),"")</f>
        <v>Disbursed</v>
      </c>
      <c r="BK42" s="641">
        <f>IFERROR(INDEX('CDS NBW'!$J$2:$J$39,MATCH(A42,'CDS NBW'!$A$2:$A$39,0)),"")</f>
        <v>200000</v>
      </c>
      <c r="BL42" s="609"/>
      <c r="BM42" s="609"/>
      <c r="BN42" s="609"/>
      <c r="BO42" s="609"/>
      <c r="BP42" s="609">
        <f>IFERROR(INDEX('UNICEF-BMZ'!$O$1:$O$199,MATCH('Matrix Allocations'!A42,'UNICEF-BMZ'!$B$1:$B$199,0)),"")</f>
        <v>0</v>
      </c>
      <c r="BQ42" s="609" t="str">
        <f>IFERROR(VLOOKUP(A42,'BMGF_clean data'!$A$4:$C$30,3,FALSE),"")</f>
        <v/>
      </c>
      <c r="BR42" s="609"/>
      <c r="BS42" s="609"/>
      <c r="BT42" s="609"/>
      <c r="BU42" s="609"/>
      <c r="BV42" s="609"/>
      <c r="BW42" s="87">
        <f>INDEX(USAID!$D$3:$D$151,MATCH('Matrix Allocations'!A42,USAID!$A$3:$A$151,0))</f>
        <v>0</v>
      </c>
      <c r="BX42" s="87" t="str">
        <f>IFERROR(INDEX(DFAT!$L$4:$L$21,MATCH('Matrix Allocations'!A42,DFAT!$B$4:$B$21,0)),"")</f>
        <v/>
      </c>
      <c r="BY42" s="87">
        <f>IFERROR(INDEX(Table14[Funds Channelled through UNICEF],MATCH('Matrix Allocations'!A42,Table14[ISO Code],0)),"")</f>
        <v>0</v>
      </c>
      <c r="BZ42" s="87">
        <f t="shared" si="23"/>
        <v>230000</v>
      </c>
      <c r="CA42">
        <f t="shared" si="19"/>
        <v>71625</v>
      </c>
      <c r="CB42" s="782">
        <f t="shared" si="10"/>
        <v>21487.5</v>
      </c>
      <c r="CC42" s="791">
        <f t="shared" si="11"/>
        <v>555000.03</v>
      </c>
      <c r="CD42" s="788">
        <f t="shared" si="12"/>
        <v>25.828971727748691</v>
      </c>
      <c r="CE42" s="788">
        <f t="shared" si="13"/>
        <v>19.371728795811521</v>
      </c>
      <c r="CF42" s="828">
        <f t="shared" si="14"/>
        <v>11.069559311892297</v>
      </c>
      <c r="CG42" s="828">
        <f t="shared" si="15"/>
        <v>7.7486915183246081</v>
      </c>
      <c r="CH42" s="88">
        <f t="shared" si="20"/>
        <v>0</v>
      </c>
      <c r="CI42" s="88">
        <f t="shared" si="16"/>
        <v>0</v>
      </c>
      <c r="CJ42" s="742">
        <f t="shared" si="21"/>
        <v>0</v>
      </c>
      <c r="CK42" s="848">
        <f t="shared" si="17"/>
        <v>75000</v>
      </c>
      <c r="CL42" s="88">
        <f t="shared" si="18"/>
        <v>680000.03</v>
      </c>
    </row>
    <row r="43" spans="1:90" ht="16" customHeight="1">
      <c r="A43" s="147" t="s">
        <v>591</v>
      </c>
      <c r="B43" s="147" t="s">
        <v>196</v>
      </c>
      <c r="C43" s="55" t="s">
        <v>130</v>
      </c>
      <c r="D43" s="55" t="s">
        <v>152</v>
      </c>
      <c r="E43" s="55" t="s">
        <v>146</v>
      </c>
      <c r="F43" s="56"/>
      <c r="G43" s="56" t="str">
        <f t="shared" si="26"/>
        <v>Yes</v>
      </c>
      <c r="H43" s="56" t="str">
        <f t="shared" si="26"/>
        <v>Yes</v>
      </c>
      <c r="I43" s="56" t="str">
        <f t="shared" si="27"/>
        <v>No</v>
      </c>
      <c r="J43" s="56" t="str">
        <f t="shared" si="28"/>
        <v>No</v>
      </c>
      <c r="K43" s="56" t="str">
        <f t="shared" si="29"/>
        <v>Yes</v>
      </c>
      <c r="L43" s="56" t="s">
        <v>541</v>
      </c>
      <c r="M43" s="55" t="s">
        <v>544</v>
      </c>
      <c r="N43" s="134" t="s">
        <v>544</v>
      </c>
      <c r="O43" s="55" t="s">
        <v>544</v>
      </c>
      <c r="P43" s="55"/>
      <c r="Q43" s="55"/>
      <c r="R43" s="55"/>
      <c r="S43" s="956">
        <v>2173208011.4858823</v>
      </c>
      <c r="T43" s="55" t="s">
        <v>395</v>
      </c>
      <c r="U43" s="64" t="str">
        <f>IFERROR(IF(VLOOKUP(A43,'WB projects data'!$A$5:$C$83,3,0)="Approved",(VLOOKUP(A43,'WB projects data'!$A$5:$C$83,3,0)),""),"")</f>
        <v/>
      </c>
      <c r="V43" s="123" t="str">
        <f t="shared" si="24"/>
        <v/>
      </c>
      <c r="W43" s="123" t="str">
        <f>IFERROR((VLOOKUP($A43,'WB projects data'!$A$5:$J$83,6,0)*1000000),"")</f>
        <v/>
      </c>
      <c r="X43" s="123" t="str">
        <f>IFERROR((VLOOKUP($A43,'WB projects data'!$A$5:$J$83,7,0)*1000000),"")</f>
        <v/>
      </c>
      <c r="Y43" s="123" t="str">
        <f>IFERROR((VLOOKUP($A43,'WB projects data'!$A$5:$J$83,8,0)*1000000),"")</f>
        <v/>
      </c>
      <c r="Z43" s="123" t="str">
        <f>IFERROR((VLOOKUP($A43,'WB projects data'!$A$5:$J$83,9,0)*1000000),"")</f>
        <v/>
      </c>
      <c r="AA43" s="123" t="str">
        <f>IFERROR((VLOOKUP($A43,'WB projects data'!$A$5:$J$83,10,0)*1000000),"")</f>
        <v/>
      </c>
      <c r="AB43" s="55" t="s">
        <v>541</v>
      </c>
      <c r="AC43" s="110"/>
      <c r="AD43" s="110" t="str">
        <f>IFERROR(VLOOKUP(A43,'ADB Projects'!$A$4:$W$21,5,FALSE),"")</f>
        <v/>
      </c>
      <c r="AE43" s="132" t="str">
        <f>IF(AC43="Approved",(VLOOKUP($A43,'ADB Projects'!$A$5:$D$21,4,0)*1000000),"")</f>
        <v/>
      </c>
      <c r="AF43" s="585" t="str">
        <f>IF(AC43="Approved",(PRODUCT(VLOOKUP($A43,'ADB Projects'!$A$4:$W$21,6,FALSE),1000000)),"")</f>
        <v/>
      </c>
      <c r="AG43" s="585" t="str">
        <f>IF(AC43="Approved",(PRODUCT(VLOOKUP($A43,'ADB Projects'!$A$4:$W$21,7,FALSE),1000000)),"")</f>
        <v/>
      </c>
      <c r="AH43" s="585" t="str">
        <f>IF(AC43="Approved",(PRODUCT(VLOOKUP($A43,'ADB Projects'!$A$4:$W$21,8,FALSE),1000000)),"")</f>
        <v/>
      </c>
      <c r="AI43" s="55" t="s">
        <v>541</v>
      </c>
      <c r="AJ43" s="55"/>
      <c r="AK43" s="244"/>
      <c r="AL43" s="55"/>
      <c r="AM43" s="55"/>
      <c r="AN43" s="55"/>
      <c r="AO43" s="55" t="s">
        <v>541</v>
      </c>
      <c r="AP43" s="55" t="s">
        <v>552</v>
      </c>
      <c r="AQ43" s="602">
        <f t="shared" si="25"/>
        <v>23249585</v>
      </c>
      <c r="AR43" s="602">
        <f>IFERROR(VLOOKUP($A43,'IDB C19 Vaccine Projects'!$O$4:$Q$12,2,FALSE),"")</f>
        <v>22889280</v>
      </c>
      <c r="AS43" s="602">
        <f>IFERROR(VLOOKUP($A43,'IDB C19 Vaccine Projects'!$O$4:$Q$12,3,FALSE),"")</f>
        <v>360305</v>
      </c>
      <c r="AT43" s="55"/>
      <c r="AU43" s="88"/>
      <c r="AV43" s="635"/>
      <c r="AW43" s="55"/>
      <c r="AX43" s="88">
        <f>INDEX(USAID!$C$3:$C$151,MATCH('Matrix Allocations'!A43,USAID!$A$3:$A$151,0))</f>
        <v>241451</v>
      </c>
      <c r="AY43" s="110"/>
      <c r="AZ43" s="88">
        <f>IFERROR(INDEX('[4]Vx All regions allocations'!O$10:O$144,MATCH(A43,'[4]Vx All regions allocations'!A$10:A$144,0)),"")</f>
        <v>200000</v>
      </c>
      <c r="BA43" s="88">
        <v>0</v>
      </c>
      <c r="BB43" s="88">
        <v>0</v>
      </c>
      <c r="BC43" s="88" t="str">
        <f>IFERROR(INDEX(DFAT!$K$4:$K$21,MATCH('Matrix Allocations'!A43,DFAT!$B$4:$B$21,0)),"")</f>
        <v/>
      </c>
      <c r="BD43" s="88"/>
      <c r="BE43" s="826" t="str">
        <f>IFERROR(IF(INDEX('GAVI CCE'!$E$3:$E$95,MATCH('Matrix Allocations'!A43,'GAVI CCE'!$A$3:$A$95,0))="Yes",INDEX('GAVI CCE'!$E$3:$E$95,MATCH('Matrix Allocations'!A43,'GAVI CCE'!$A$3:$A$95,0)),""),"")</f>
        <v/>
      </c>
      <c r="BF43" s="88" t="str">
        <f>IFERROR(IF(BE43="Yes",INDEX('GAVI CCE'!$F$3:$F$95,MATCH('Matrix Allocations'!A43,'GAVI CCE'!$A$3:$A$95,0)),""),"")</f>
        <v/>
      </c>
      <c r="BG43" s="609" t="str">
        <f>IFERROR(IF(E43='CDS early access ceilings'!$A$94,(VLOOKUP(A43,'CDS early access ceilings'!$A$2:$D$92,4,FALSE)),""),"")</f>
        <v/>
      </c>
      <c r="BH43" s="639" t="str">
        <f>IFERROR(INDEX(Table14[Status (clean)],MATCH('Matrix Allocations'!A43,Table14[ISO Code],0)),"")</f>
        <v/>
      </c>
      <c r="BI43" s="641" t="str">
        <f>IFERROR(INDEX(Table14[Amount disbursed (USD)],MATCH('Matrix Allocations'!A43,Table14[ISO Code],0)),"")</f>
        <v/>
      </c>
      <c r="BJ43" s="641" t="str">
        <f>IFERROR(INDEX('CDS NBW'!$I$2:$I$39,MATCH(A43,'CDS NBW'!$A$2:$A$39,0)),"")</f>
        <v/>
      </c>
      <c r="BK43" s="641" t="str">
        <f>IFERROR(INDEX('CDS NBW'!$J$2:$J$39,MATCH(A43,'CDS NBW'!$A$2:$A$39,0)),"")</f>
        <v/>
      </c>
      <c r="BL43" s="609"/>
      <c r="BM43" s="609"/>
      <c r="BN43" s="609"/>
      <c r="BO43" s="609"/>
      <c r="BP43" s="609">
        <f>IFERROR(INDEX('UNICEF-BMZ'!$O$1:$O$199,MATCH('Matrix Allocations'!A43,'UNICEF-BMZ'!$B$1:$B$199,0)),"")</f>
        <v>0</v>
      </c>
      <c r="BQ43" s="609" t="str">
        <f>IFERROR(VLOOKUP(A43,'BMGF_clean data'!$A$4:$C$30,3,FALSE),"")</f>
        <v/>
      </c>
      <c r="BR43" s="609"/>
      <c r="BS43" s="609"/>
      <c r="BT43" s="609"/>
      <c r="BU43" s="609"/>
      <c r="BV43" s="609"/>
      <c r="BW43" s="87">
        <f>INDEX(USAID!$D$3:$D$151,MATCH('Matrix Allocations'!A43,USAID!$A$3:$A$151,0))</f>
        <v>0</v>
      </c>
      <c r="BX43" s="87" t="str">
        <f>IFERROR(INDEX(DFAT!$L$4:$L$21,MATCH('Matrix Allocations'!A43,DFAT!$B$4:$B$21,0)),"")</f>
        <v/>
      </c>
      <c r="BY43" s="87" t="str">
        <f>IFERROR(INDEX(Table14[Funds Channelled through UNICEF],MATCH('Matrix Allocations'!A43,Table14[ISO Code],0)),"")</f>
        <v/>
      </c>
      <c r="BZ43" s="87">
        <f t="shared" si="23"/>
        <v>0</v>
      </c>
      <c r="CA43">
        <f t="shared" si="19"/>
        <v>10953714</v>
      </c>
      <c r="CB43" s="782">
        <f t="shared" si="10"/>
        <v>3286114.1999999997</v>
      </c>
      <c r="CC43" s="791">
        <f t="shared" si="11"/>
        <v>801756</v>
      </c>
      <c r="CD43" s="788">
        <f t="shared" si="12"/>
        <v>0.24398299973871879</v>
      </c>
      <c r="CE43" s="788">
        <f t="shared" si="13"/>
        <v>0.18298724980403905</v>
      </c>
      <c r="CF43" s="828">
        <f t="shared" si="14"/>
        <v>0.10456414274516518</v>
      </c>
      <c r="CG43" s="828">
        <f t="shared" si="15"/>
        <v>7.3194899921615625E-2</v>
      </c>
      <c r="CH43" s="88">
        <f t="shared" si="20"/>
        <v>360305</v>
      </c>
      <c r="CI43" s="88">
        <f t="shared" si="16"/>
        <v>241451</v>
      </c>
      <c r="CJ43" s="742">
        <f t="shared" si="21"/>
        <v>0</v>
      </c>
      <c r="CK43" s="848">
        <f t="shared" si="17"/>
        <v>200000</v>
      </c>
      <c r="CL43" s="88">
        <f t="shared" si="18"/>
        <v>0</v>
      </c>
    </row>
    <row r="44" spans="1:90" ht="16" customHeight="1">
      <c r="A44" s="55" t="s">
        <v>592</v>
      </c>
      <c r="B44" s="55" t="s">
        <v>197</v>
      </c>
      <c r="C44" s="55" t="s">
        <v>130</v>
      </c>
      <c r="D44" s="55" t="s">
        <v>152</v>
      </c>
      <c r="E44" s="55" t="s">
        <v>146</v>
      </c>
      <c r="F44" s="56"/>
      <c r="G44" s="56" t="str">
        <f t="shared" si="26"/>
        <v>No</v>
      </c>
      <c r="H44" s="56" t="str">
        <f t="shared" si="26"/>
        <v>No</v>
      </c>
      <c r="I44" s="56" t="str">
        <f t="shared" si="27"/>
        <v>No</v>
      </c>
      <c r="J44" s="56" t="str">
        <f t="shared" si="28"/>
        <v>Yes</v>
      </c>
      <c r="K44" s="56" t="str">
        <f t="shared" si="29"/>
        <v>No</v>
      </c>
      <c r="L44" s="56" t="s">
        <v>541</v>
      </c>
      <c r="M44" s="55" t="s">
        <v>544</v>
      </c>
      <c r="N44" s="134" t="s">
        <v>544</v>
      </c>
      <c r="O44" s="55" t="s">
        <v>544</v>
      </c>
      <c r="P44" s="55" t="s">
        <v>546</v>
      </c>
      <c r="Q44" s="55"/>
      <c r="R44" s="55"/>
      <c r="S44" s="956">
        <v>4585736158.8323269</v>
      </c>
      <c r="T44" s="55" t="s">
        <v>394</v>
      </c>
      <c r="U44" s="64" t="str">
        <f>IFERROR(IF(VLOOKUP(A44,'WB projects data'!$A$5:$C$83,3,0)="Approved",(VLOOKUP(A44,'WB projects data'!$A$5:$C$83,3,0)),""),"")</f>
        <v>Approved</v>
      </c>
      <c r="V44" s="123">
        <f t="shared" si="24"/>
        <v>150000000</v>
      </c>
      <c r="W44" s="123">
        <f>IFERROR((VLOOKUP($A44,'WB projects data'!$A$5:$J$83,6,0)*1000000),"")</f>
        <v>150000000</v>
      </c>
      <c r="X44" s="123">
        <f>IFERROR((VLOOKUP($A44,'WB projects data'!$A$5:$J$83,7,0)*1000000),"")</f>
        <v>0</v>
      </c>
      <c r="Y44" s="123">
        <f>IFERROR((VLOOKUP($A44,'WB projects data'!$A$5:$J$83,8,0)*1000000),"")</f>
        <v>92200000</v>
      </c>
      <c r="Z44" s="123">
        <f>IFERROR((VLOOKUP($A44,'WB projects data'!$A$5:$J$83,9,0)*1000000),"")</f>
        <v>30100000</v>
      </c>
      <c r="AA44" s="123">
        <f>IFERROR((VLOOKUP($A44,'WB projects data'!$A$5:$J$83,10,0)*1000000),"")</f>
        <v>27700000</v>
      </c>
      <c r="AB44" s="55" t="s">
        <v>541</v>
      </c>
      <c r="AC44" s="110"/>
      <c r="AD44" s="110" t="str">
        <f>IFERROR(VLOOKUP(A44,'ADB Projects'!$A$4:$W$21,5,FALSE),"")</f>
        <v/>
      </c>
      <c r="AE44" s="132" t="str">
        <f>IF(AC44="Approved",(VLOOKUP($A44,'ADB Projects'!$A$5:$D$21,4,0)*1000000),"")</f>
        <v/>
      </c>
      <c r="AF44" s="585" t="str">
        <f>IF(AC44="Approved",(PRODUCT(VLOOKUP($A44,'ADB Projects'!$A$4:$W$21,6,FALSE),1000000)),"")</f>
        <v/>
      </c>
      <c r="AG44" s="585" t="str">
        <f>IF(AC44="Approved",(PRODUCT(VLOOKUP($A44,'ADB Projects'!$A$4:$W$21,7,FALSE),1000000)),"")</f>
        <v/>
      </c>
      <c r="AH44" s="585" t="str">
        <f>IF(AC44="Approved",(PRODUCT(VLOOKUP($A44,'ADB Projects'!$A$4:$W$21,8,FALSE),1000000)),"")</f>
        <v/>
      </c>
      <c r="AI44" s="55" t="s">
        <v>541</v>
      </c>
      <c r="AJ44" s="55"/>
      <c r="AK44" s="244"/>
      <c r="AL44" s="55"/>
      <c r="AM44" s="55"/>
      <c r="AN44" s="55"/>
      <c r="AO44" s="55" t="s">
        <v>541</v>
      </c>
      <c r="AP44" s="55" t="s">
        <v>396</v>
      </c>
      <c r="AQ44" s="602">
        <f t="shared" si="25"/>
        <v>143241534</v>
      </c>
      <c r="AR44" s="602">
        <f>IFERROR(VLOOKUP($A44,'IDB C19 Vaccine Projects'!$O$4:$Q$12,2,FALSE),"")</f>
        <v>142567587</v>
      </c>
      <c r="AS44" s="602">
        <f>IFERROR(VLOOKUP($A44,'IDB C19 Vaccine Projects'!$O$4:$Q$12,3,FALSE),"")</f>
        <v>673947</v>
      </c>
      <c r="AT44" s="55"/>
      <c r="AU44" s="88"/>
      <c r="AV44" s="635"/>
      <c r="AW44" s="55"/>
      <c r="AX44" s="88">
        <f>INDEX(USAID!$C$3:$C$151,MATCH('Matrix Allocations'!A44,USAID!$A$3:$A$151,0))</f>
        <v>3320000</v>
      </c>
      <c r="AY44" s="110"/>
      <c r="AZ44" s="88">
        <f>IFERROR(INDEX('[4]Vx All regions allocations'!O$10:O$144,MATCH(A44,'[4]Vx All regions allocations'!A$10:A$144,0)),"")</f>
        <v>0</v>
      </c>
      <c r="BA44" s="88">
        <v>0</v>
      </c>
      <c r="BB44" s="88">
        <v>0</v>
      </c>
      <c r="BC44" s="88" t="str">
        <f>IFERROR(INDEX(DFAT!$K$4:$K$21,MATCH('Matrix Allocations'!A44,DFAT!$B$4:$B$21,0)),"")</f>
        <v/>
      </c>
      <c r="BD44" s="88"/>
      <c r="BE44" s="826" t="str">
        <f>IFERROR(IF(INDEX('GAVI CCE'!$E$3:$E$95,MATCH('Matrix Allocations'!A44,'GAVI CCE'!$A$3:$A$95,0))="Yes",INDEX('GAVI CCE'!$E$3:$E$95,MATCH('Matrix Allocations'!A44,'GAVI CCE'!$A$3:$A$95,0)),""),"")</f>
        <v/>
      </c>
      <c r="BF44" s="88" t="str">
        <f>IFERROR(IF(BE44="Yes",INDEX('GAVI CCE'!$F$3:$F$95,MATCH('Matrix Allocations'!A44,'GAVI CCE'!$A$3:$A$95,0)),""),"")</f>
        <v/>
      </c>
      <c r="BG44" s="609" t="str">
        <f>IFERROR(IF(E44='CDS early access ceilings'!$A$94,(VLOOKUP(A44,'CDS early access ceilings'!$A$2:$D$92,4,FALSE)),""),"")</f>
        <v/>
      </c>
      <c r="BH44" s="639" t="str">
        <f>IFERROR(INDEX(Table14[Status (clean)],MATCH('Matrix Allocations'!A44,Table14[ISO Code],0)),"")</f>
        <v/>
      </c>
      <c r="BI44" s="641" t="str">
        <f>IFERROR(INDEX(Table14[Amount disbursed (USD)],MATCH('Matrix Allocations'!A44,Table14[ISO Code],0)),"")</f>
        <v/>
      </c>
      <c r="BJ44" s="641" t="str">
        <f>IFERROR(INDEX('CDS NBW'!$I$2:$I$39,MATCH(A44,'CDS NBW'!$A$2:$A$39,0)),"")</f>
        <v/>
      </c>
      <c r="BK44" s="641" t="str">
        <f>IFERROR(INDEX('CDS NBW'!$J$2:$J$39,MATCH(A44,'CDS NBW'!$A$2:$A$39,0)),"")</f>
        <v/>
      </c>
      <c r="BL44" s="609"/>
      <c r="BM44" s="609"/>
      <c r="BN44" s="609"/>
      <c r="BO44" s="609"/>
      <c r="BP44" s="609">
        <f>IFERROR(INDEX('UNICEF-BMZ'!$O$1:$O$199,MATCH('Matrix Allocations'!A44,'UNICEF-BMZ'!$B$1:$B$199,0)),"")</f>
        <v>0</v>
      </c>
      <c r="BQ44" s="609" t="str">
        <f>IFERROR(VLOOKUP(A44,'BMGF_clean data'!$A$4:$C$30,3,FALSE),"")</f>
        <v/>
      </c>
      <c r="BR44" s="609"/>
      <c r="BS44" s="609"/>
      <c r="BT44" s="609"/>
      <c r="BU44" s="609"/>
      <c r="BV44" s="609"/>
      <c r="BW44" s="87">
        <f>INDEX(USAID!$D$3:$D$151,MATCH('Matrix Allocations'!A44,USAID!$A$3:$A$151,0))</f>
        <v>0</v>
      </c>
      <c r="BX44" s="87" t="str">
        <f>IFERROR(INDEX(DFAT!$L$4:$L$21,MATCH('Matrix Allocations'!A44,DFAT!$B$4:$B$21,0)),"")</f>
        <v/>
      </c>
      <c r="BY44" s="87" t="str">
        <f>IFERROR(INDEX(Table14[Funds Channelled through UNICEF],MATCH('Matrix Allocations'!A44,Table14[ISO Code],0)),"")</f>
        <v/>
      </c>
      <c r="BZ44" s="87">
        <f t="shared" si="23"/>
        <v>0</v>
      </c>
      <c r="CA44">
        <f t="shared" si="19"/>
        <v>17888474</v>
      </c>
      <c r="CB44" s="782">
        <f t="shared" si="10"/>
        <v>5366542.2</v>
      </c>
      <c r="CC44" s="791">
        <f t="shared" si="11"/>
        <v>34093947</v>
      </c>
      <c r="CD44" s="788">
        <f t="shared" si="12"/>
        <v>6.3530567224459729</v>
      </c>
      <c r="CE44" s="788">
        <f t="shared" si="13"/>
        <v>4.7647925418344794</v>
      </c>
      <c r="CF44" s="828">
        <f t="shared" si="14"/>
        <v>2.7227385953339884</v>
      </c>
      <c r="CG44" s="828">
        <f t="shared" si="15"/>
        <v>1.9059170167337918</v>
      </c>
      <c r="CH44" s="88">
        <f t="shared" si="20"/>
        <v>30773947</v>
      </c>
      <c r="CI44" s="88">
        <f t="shared" si="16"/>
        <v>3320000</v>
      </c>
      <c r="CJ44" s="742">
        <f t="shared" si="21"/>
        <v>0</v>
      </c>
      <c r="CK44" s="848">
        <f t="shared" si="17"/>
        <v>0</v>
      </c>
      <c r="CL44" s="88">
        <f t="shared" si="18"/>
        <v>0</v>
      </c>
    </row>
    <row r="45" spans="1:90" ht="16" customHeight="1">
      <c r="A45" s="55" t="s">
        <v>593</v>
      </c>
      <c r="B45" s="55" t="s">
        <v>198</v>
      </c>
      <c r="C45" s="55" t="s">
        <v>131</v>
      </c>
      <c r="D45" s="55" t="s">
        <v>150</v>
      </c>
      <c r="E45" s="55" t="s">
        <v>145</v>
      </c>
      <c r="F45" s="56"/>
      <c r="G45" s="56" t="str">
        <f t="shared" si="26"/>
        <v>No</v>
      </c>
      <c r="H45" s="56" t="str">
        <f t="shared" si="26"/>
        <v>No</v>
      </c>
      <c r="I45" s="56" t="str">
        <f t="shared" si="27"/>
        <v>No</v>
      </c>
      <c r="J45" s="56" t="str">
        <f t="shared" si="28"/>
        <v>Yes</v>
      </c>
      <c r="K45" s="56" t="str">
        <f t="shared" si="29"/>
        <v>No</v>
      </c>
      <c r="L45" s="56" t="s">
        <v>541</v>
      </c>
      <c r="M45" s="55" t="s">
        <v>541</v>
      </c>
      <c r="N45" s="134" t="s">
        <v>544</v>
      </c>
      <c r="O45" s="55" t="s">
        <v>544</v>
      </c>
      <c r="P45" s="55" t="s">
        <v>546</v>
      </c>
      <c r="Q45" s="55" t="s">
        <v>541</v>
      </c>
      <c r="R45" s="55"/>
      <c r="S45" s="956">
        <v>3550291584.8645592</v>
      </c>
      <c r="T45" s="55" t="s">
        <v>394</v>
      </c>
      <c r="U45" s="64" t="str">
        <f>IFERROR(IF(VLOOKUP(A45,'WB projects data'!$A$5:$C$83,3,0)="Approved",(VLOOKUP(A45,'WB projects data'!$A$5:$C$83,3,0)),""),"")</f>
        <v/>
      </c>
      <c r="V45" s="123">
        <f t="shared" si="24"/>
        <v>0</v>
      </c>
      <c r="W45" s="123">
        <f>IFERROR((VLOOKUP($A45,'WB projects data'!$A$5:$J$83,6,0)*1000000),"")</f>
        <v>0</v>
      </c>
      <c r="X45" s="123">
        <f>IFERROR((VLOOKUP($A45,'WB projects data'!$A$5:$J$83,7,0)*1000000),"")</f>
        <v>0</v>
      </c>
      <c r="Y45" s="123">
        <f>IFERROR((VLOOKUP($A45,'WB projects data'!$A$5:$J$83,8,0)*1000000),"")</f>
        <v>0</v>
      </c>
      <c r="Z45" s="123">
        <f>IFERROR((VLOOKUP($A45,'WB projects data'!$A$5:$J$83,9,0)*1000000),"")</f>
        <v>0</v>
      </c>
      <c r="AA45" s="123">
        <f>IFERROR((VLOOKUP($A45,'WB projects data'!$A$5:$J$83,10,0)*1000000),"")</f>
        <v>0</v>
      </c>
      <c r="AB45" s="55" t="s">
        <v>541</v>
      </c>
      <c r="AC45" s="110"/>
      <c r="AD45" s="110" t="str">
        <f>IFERROR(VLOOKUP(A45,'ADB Projects'!$A$4:$W$21,5,FALSE),"")</f>
        <v/>
      </c>
      <c r="AE45" s="132" t="str">
        <f>IF(AC45="Approved",(VLOOKUP($A45,'ADB Projects'!$A$5:$D$21,4,0)*1000000),"")</f>
        <v/>
      </c>
      <c r="AF45" s="585" t="str">
        <f>IF(AC45="Approved",(PRODUCT(VLOOKUP($A45,'ADB Projects'!$A$4:$W$21,6,FALSE),1000000)),"")</f>
        <v/>
      </c>
      <c r="AG45" s="585" t="str">
        <f>IF(AC45="Approved",(PRODUCT(VLOOKUP($A45,'ADB Projects'!$A$4:$W$21,7,FALSE),1000000)),"")</f>
        <v/>
      </c>
      <c r="AH45" s="585" t="str">
        <f>IF(AC45="Approved",(PRODUCT(VLOOKUP($A45,'ADB Projects'!$A$4:$W$21,8,FALSE),1000000)),"")</f>
        <v/>
      </c>
      <c r="AI45" s="55"/>
      <c r="AJ45" s="55"/>
      <c r="AK45" s="244"/>
      <c r="AL45" s="55"/>
      <c r="AM45" s="55"/>
      <c r="AN45" s="55"/>
      <c r="AO45" s="55"/>
      <c r="AP45" s="55"/>
      <c r="AQ45" s="602" t="str">
        <f t="shared" si="25"/>
        <v/>
      </c>
      <c r="AR45" s="602" t="str">
        <f>IFERROR(VLOOKUP($A45,'IDB C19 Vaccine Projects'!$O$4:$Q$12,2,FALSE),"")</f>
        <v/>
      </c>
      <c r="AS45" s="602" t="str">
        <f>IFERROR(VLOOKUP($A45,'IDB C19 Vaccine Projects'!$O$4:$Q$12,3,FALSE),"")</f>
        <v/>
      </c>
      <c r="AT45" s="55"/>
      <c r="AU45" s="88"/>
      <c r="AV45" s="635"/>
      <c r="AW45" s="55" t="s">
        <v>541</v>
      </c>
      <c r="AX45" s="88">
        <f>INDEX(USAID!$C$3:$C$151,MATCH('Matrix Allocations'!A45,USAID!$A$3:$A$151,0))</f>
        <v>5400000</v>
      </c>
      <c r="AY45" s="110">
        <v>1546200</v>
      </c>
      <c r="AZ45" s="88">
        <f>IFERROR(INDEX('[4]Vx All regions allocations'!O$10:O$144,MATCH(A45,'[4]Vx All regions allocations'!A$10:A$144,0)),"")</f>
        <v>1458302</v>
      </c>
      <c r="BA45" s="88">
        <v>70820.370370370365</v>
      </c>
      <c r="BB45" s="88">
        <v>45000</v>
      </c>
      <c r="BC45" s="88" t="str">
        <f>IFERROR(INDEX(DFAT!$K$4:$K$21,MATCH('Matrix Allocations'!A45,DFAT!$B$4:$B$21,0)),"")</f>
        <v/>
      </c>
      <c r="BD45" s="88"/>
      <c r="BE45" s="826" t="str">
        <f>IFERROR(IF(INDEX('GAVI CCE'!$E$3:$E$95,MATCH('Matrix Allocations'!A45,'GAVI CCE'!$A$3:$A$95,0))="Yes",INDEX('GAVI CCE'!$E$3:$E$95,MATCH('Matrix Allocations'!A45,'GAVI CCE'!$A$3:$A$95,0)),""),"")</f>
        <v>Yes</v>
      </c>
      <c r="BF45" s="88">
        <f>IFERROR(IF(BE45="Yes",INDEX('GAVI CCE'!$F$3:$F$95,MATCH('Matrix Allocations'!A45,'GAVI CCE'!$A$3:$A$95,0)),""),"")</f>
        <v>1466837</v>
      </c>
      <c r="BG45" s="609" t="str">
        <f>IFERROR(IF(E45='CDS early access ceilings'!$A$94,(VLOOKUP(A45,'CDS early access ceilings'!$A$2:$D$92,4,FALSE)),""),"")</f>
        <v>UNICEF</v>
      </c>
      <c r="BH45" s="639" t="str">
        <f>IFERROR(INDEX(Table14[Status (clean)],MATCH('Matrix Allocations'!A45,Table14[ISO Code],0)),"")</f>
        <v>Disbursed</v>
      </c>
      <c r="BI45" s="641">
        <f>IFERROR(INDEX(Table14[Amount disbursed (USD)],MATCH('Matrix Allocations'!A45,Table14[ISO Code],0)),"")</f>
        <v>4499931</v>
      </c>
      <c r="BJ45" s="641" t="str">
        <f>IFERROR(INDEX('CDS NBW'!$I$2:$I$39,MATCH(A45,'CDS NBW'!$A$2:$A$39,0)),"")</f>
        <v>Disbursed</v>
      </c>
      <c r="BK45" s="641">
        <f>IFERROR(INDEX('CDS NBW'!$J$2:$J$39,MATCH(A45,'CDS NBW'!$A$2:$A$39,0)),"")</f>
        <v>3628370</v>
      </c>
      <c r="BL45" s="609"/>
      <c r="BM45" s="609"/>
      <c r="BN45" s="609"/>
      <c r="BO45" s="609">
        <v>92593</v>
      </c>
      <c r="BP45" s="609">
        <f>IFERROR(INDEX('UNICEF-BMZ'!$O$1:$O$199,MATCH('Matrix Allocations'!A45,'UNICEF-BMZ'!$B$1:$B$199,0)),"")</f>
        <v>70000</v>
      </c>
      <c r="BQ45" s="609" t="str">
        <f>IFERROR(VLOOKUP(A45,'BMGF_clean data'!$A$4:$C$30,3,FALSE),"")</f>
        <v/>
      </c>
      <c r="BR45" s="609"/>
      <c r="BS45" s="609"/>
      <c r="BT45" s="609"/>
      <c r="BU45" s="609"/>
      <c r="BV45" s="609"/>
      <c r="BW45" s="87">
        <f>INDEX(USAID!$D$3:$D$151,MATCH('Matrix Allocations'!A45,USAID!$A$3:$A$151,0))</f>
        <v>0</v>
      </c>
      <c r="BX45" s="87" t="str">
        <f>IFERROR(INDEX(DFAT!$L$4:$L$21,MATCH('Matrix Allocations'!A45,DFAT!$B$4:$B$21,0)),"")</f>
        <v/>
      </c>
      <c r="BY45" s="87">
        <f>IFERROR(INDEX(Table14[Funds Channelled through UNICEF],MATCH('Matrix Allocations'!A45,Table14[ISO Code],0)),"")</f>
        <v>0</v>
      </c>
      <c r="BZ45" s="87">
        <f t="shared" si="23"/>
        <v>4499931</v>
      </c>
      <c r="CA45">
        <f t="shared" ref="CA45:CA76" si="30">INDEX(tpop,MATCH(A45,popiso,0))</f>
        <v>104258327</v>
      </c>
      <c r="CB45" s="782">
        <f t="shared" si="10"/>
        <v>31277498.099999998</v>
      </c>
      <c r="CC45" s="791">
        <f t="shared" si="11"/>
        <v>18278053.370370369</v>
      </c>
      <c r="CD45" s="788">
        <f t="shared" si="12"/>
        <v>0.58438348591476286</v>
      </c>
      <c r="CE45" s="788">
        <f t="shared" si="13"/>
        <v>0.43828761443607206</v>
      </c>
      <c r="CF45" s="828">
        <f t="shared" si="14"/>
        <v>0.25045006539204123</v>
      </c>
      <c r="CG45" s="828">
        <f t="shared" si="15"/>
        <v>0.17531504577442883</v>
      </c>
      <c r="CH45" s="88">
        <f t="shared" ref="CH45:CH76" si="31">SUM(Z45,AG45,AS45)</f>
        <v>0</v>
      </c>
      <c r="CI45" s="88">
        <f t="shared" si="16"/>
        <v>6946200</v>
      </c>
      <c r="CJ45" s="742">
        <f t="shared" ref="CJ45:CJ76" si="32">SUM(AV45,BQ45,BO45)</f>
        <v>92593</v>
      </c>
      <c r="CK45" s="848">
        <f t="shared" si="17"/>
        <v>3097095</v>
      </c>
      <c r="CL45" s="88">
        <f t="shared" si="18"/>
        <v>13409328.370370369</v>
      </c>
    </row>
    <row r="46" spans="1:90" ht="16" customHeight="1">
      <c r="A46" s="55" t="s">
        <v>594</v>
      </c>
      <c r="B46" s="55" t="s">
        <v>199</v>
      </c>
      <c r="C46" s="55" t="s">
        <v>130</v>
      </c>
      <c r="D46" s="55" t="s">
        <v>150</v>
      </c>
      <c r="E46" s="55" t="s">
        <v>145</v>
      </c>
      <c r="F46" s="56"/>
      <c r="G46" s="56" t="str">
        <f t="shared" si="26"/>
        <v>Yes</v>
      </c>
      <c r="H46" s="56" t="str">
        <f t="shared" si="26"/>
        <v>Yes</v>
      </c>
      <c r="I46" s="56" t="str">
        <f t="shared" si="27"/>
        <v>No</v>
      </c>
      <c r="J46" s="56" t="str">
        <f t="shared" si="28"/>
        <v>No</v>
      </c>
      <c r="K46" s="56" t="str">
        <f t="shared" si="29"/>
        <v>Yes</v>
      </c>
      <c r="L46" s="56" t="s">
        <v>541</v>
      </c>
      <c r="M46" s="55" t="s">
        <v>544</v>
      </c>
      <c r="N46" s="134" t="s">
        <v>544</v>
      </c>
      <c r="O46" s="55" t="s">
        <v>544</v>
      </c>
      <c r="P46" s="55" t="s">
        <v>546</v>
      </c>
      <c r="Q46" s="55"/>
      <c r="R46" s="55"/>
      <c r="S46" s="956">
        <v>1182840319.0410969</v>
      </c>
      <c r="T46" s="55" t="s">
        <v>395</v>
      </c>
      <c r="U46" s="64" t="str">
        <f>IFERROR(IF(VLOOKUP(A46,'WB projects data'!$A$5:$C$83,3,0)="Approved",(VLOOKUP(A46,'WB projects data'!$A$5:$C$83,3,0)),""),"")</f>
        <v>Approved</v>
      </c>
      <c r="V46" s="123">
        <f t="shared" si="24"/>
        <v>50000000</v>
      </c>
      <c r="W46" s="123">
        <f>IFERROR((VLOOKUP($A46,'WB projects data'!$A$5:$J$83,6,0)*1000000),"")</f>
        <v>50000000</v>
      </c>
      <c r="X46" s="123">
        <f>IFERROR((VLOOKUP($A46,'WB projects data'!$A$5:$J$83,7,0)*1000000),"")</f>
        <v>0</v>
      </c>
      <c r="Y46" s="123">
        <f>IFERROR((VLOOKUP($A46,'WB projects data'!$A$5:$J$83,8,0)*1000000),"")</f>
        <v>10000000</v>
      </c>
      <c r="Z46" s="123">
        <f>IFERROR((VLOOKUP($A46,'WB projects data'!$A$5:$J$83,9,0)*1000000),"")</f>
        <v>26000000</v>
      </c>
      <c r="AA46" s="123">
        <f>IFERROR((VLOOKUP($A46,'WB projects data'!$A$5:$J$83,10,0)*1000000),"")</f>
        <v>14000000</v>
      </c>
      <c r="AB46" s="55"/>
      <c r="AC46" s="110"/>
      <c r="AD46" s="110" t="str">
        <f>IFERROR(VLOOKUP(A46,'ADB Projects'!$A$4:$W$21,5,FALSE),"")</f>
        <v/>
      </c>
      <c r="AE46" s="132" t="str">
        <f>IF(AC46="Approved",(VLOOKUP($A46,'ADB Projects'!$A$5:$D$21,4,0)*1000000),"")</f>
        <v/>
      </c>
      <c r="AF46" s="585" t="str">
        <f>IF(AC46="Approved",(PRODUCT(VLOOKUP($A46,'ADB Projects'!$A$4:$W$21,6,FALSE),1000000)),"")</f>
        <v/>
      </c>
      <c r="AG46" s="585" t="str">
        <f>IF(AC46="Approved",(PRODUCT(VLOOKUP($A46,'ADB Projects'!$A$4:$W$21,7,FALSE),1000000)),"")</f>
        <v/>
      </c>
      <c r="AH46" s="585" t="str">
        <f>IF(AC46="Approved",(PRODUCT(VLOOKUP($A46,'ADB Projects'!$A$4:$W$21,8,FALSE),1000000)),"")</f>
        <v/>
      </c>
      <c r="AI46" s="55"/>
      <c r="AJ46" s="55"/>
      <c r="AK46" s="244"/>
      <c r="AL46" s="55"/>
      <c r="AM46" s="55"/>
      <c r="AN46" s="55"/>
      <c r="AO46" s="55" t="s">
        <v>541</v>
      </c>
      <c r="AP46" s="55" t="s">
        <v>552</v>
      </c>
      <c r="AQ46" s="602">
        <f t="shared" si="25"/>
        <v>40000000</v>
      </c>
      <c r="AR46" s="602">
        <f>IFERROR(VLOOKUP($A46,'IDB C19 Vaccine Projects'!$O$4:$Q$12,2,FALSE),"")</f>
        <v>20000000</v>
      </c>
      <c r="AS46" s="602">
        <f>IFERROR(VLOOKUP($A46,'IDB C19 Vaccine Projects'!$O$4:$Q$12,3,FALSE),"")</f>
        <v>20000000</v>
      </c>
      <c r="AT46" s="55"/>
      <c r="AU46" s="88"/>
      <c r="AV46" s="55"/>
      <c r="AW46" s="55"/>
      <c r="AX46" s="88">
        <f>INDEX(USAID!$C$3:$C$151,MATCH('Matrix Allocations'!A46,USAID!$A$3:$A$151,0))</f>
        <v>2800000</v>
      </c>
      <c r="AY46" s="110"/>
      <c r="AZ46" s="88">
        <f>IFERROR(INDEX('[4]Vx All regions allocations'!O$10:O$144,MATCH(A46,'[4]Vx All regions allocations'!A$10:A$144,0)),"")</f>
        <v>300000</v>
      </c>
      <c r="BA46" s="88">
        <v>0</v>
      </c>
      <c r="BB46" s="88">
        <v>30000.000000000007</v>
      </c>
      <c r="BC46" s="88" t="str">
        <f>IFERROR(INDEX(DFAT!$K$4:$K$21,MATCH('Matrix Allocations'!A46,DFAT!$B$4:$B$21,0)),"")</f>
        <v/>
      </c>
      <c r="BD46" s="88"/>
      <c r="BE46" s="826" t="str">
        <f>IFERROR(IF(INDEX('GAVI CCE'!$E$3:$E$95,MATCH('Matrix Allocations'!A46,'GAVI CCE'!$A$3:$A$95,0))="Yes",INDEX('GAVI CCE'!$E$3:$E$95,MATCH('Matrix Allocations'!A46,'GAVI CCE'!$A$3:$A$95,0)),""),"")</f>
        <v>Yes</v>
      </c>
      <c r="BF46" s="88">
        <f>IFERROR(IF(BE46="Yes",INDEX('GAVI CCE'!$F$3:$F$95,MATCH('Matrix Allocations'!A46,'GAVI CCE'!$A$3:$A$95,0)),""),"")</f>
        <v>158796</v>
      </c>
      <c r="BG46" s="609" t="str">
        <f>IFERROR(IF(E46='CDS early access ceilings'!$A$94,(VLOOKUP(A46,'CDS early access ceilings'!$A$2:$D$92,4,FALSE)),""),"")</f>
        <v>UNICEF</v>
      </c>
      <c r="BH46" s="639" t="str">
        <f>IFERROR(INDEX(Table14[Status (clean)],MATCH('Matrix Allocations'!A46,Table14[ISO Code],0)),"")</f>
        <v>Disbursed</v>
      </c>
      <c r="BI46" s="641">
        <f>IFERROR(INDEX(Table14[Amount disbursed (USD)],MATCH('Matrix Allocations'!A46,Table14[ISO Code],0)),"")</f>
        <v>279812</v>
      </c>
      <c r="BJ46" s="641" t="str">
        <f>IFERROR(INDEX('CDS NBW'!$I$2:$I$39,MATCH(A46,'CDS NBW'!$A$2:$A$39,0)),"")</f>
        <v>Disbursed</v>
      </c>
      <c r="BK46" s="641">
        <f>IFERROR(INDEX('CDS NBW'!$J$2:$J$39,MATCH(A46,'CDS NBW'!$A$2:$A$39,0)),"")</f>
        <v>1191606</v>
      </c>
      <c r="BL46" s="609"/>
      <c r="BM46" s="609">
        <v>40000</v>
      </c>
      <c r="BN46" s="609"/>
      <c r="BO46" s="609"/>
      <c r="BP46" s="609">
        <f>IFERROR(INDEX('UNICEF-BMZ'!$O$1:$O$199,MATCH('Matrix Allocations'!A46,'UNICEF-BMZ'!$B$1:$B$199,0)),"")</f>
        <v>135000</v>
      </c>
      <c r="BQ46" s="609" t="str">
        <f>IFERROR(VLOOKUP(A46,'BMGF_clean data'!$A$4:$C$30,3,FALSE),"")</f>
        <v/>
      </c>
      <c r="BR46" s="609"/>
      <c r="BS46" s="609"/>
      <c r="BT46" s="609"/>
      <c r="BU46" s="609"/>
      <c r="BV46" s="609"/>
      <c r="BW46" s="87">
        <f>INDEX(USAID!$D$3:$D$151,MATCH('Matrix Allocations'!A46,USAID!$A$3:$A$151,0))</f>
        <v>0</v>
      </c>
      <c r="BX46" s="87" t="str">
        <f>IFERROR(INDEX(DFAT!$L$4:$L$21,MATCH('Matrix Allocations'!A46,DFAT!$B$4:$B$21,0)),"")</f>
        <v/>
      </c>
      <c r="BY46" s="87">
        <f>IFERROR(INDEX(Table14[Funds Channelled through UNICEF],MATCH('Matrix Allocations'!A46,Table14[ISO Code],0)),"")</f>
        <v>0</v>
      </c>
      <c r="BZ46" s="87">
        <f t="shared" si="23"/>
        <v>279812</v>
      </c>
      <c r="CA46">
        <f t="shared" si="30"/>
        <v>6518500</v>
      </c>
      <c r="CB46" s="782">
        <f t="shared" si="10"/>
        <v>1955550</v>
      </c>
      <c r="CC46" s="791">
        <f t="shared" si="11"/>
        <v>50935214</v>
      </c>
      <c r="CD46" s="788">
        <f t="shared" si="12"/>
        <v>26.046490245710924</v>
      </c>
      <c r="CE46" s="788">
        <f t="shared" si="13"/>
        <v>19.534867684283196</v>
      </c>
      <c r="CF46" s="828">
        <f t="shared" si="14"/>
        <v>11.16278153387611</v>
      </c>
      <c r="CG46" s="828">
        <f t="shared" si="15"/>
        <v>7.8139470737132779</v>
      </c>
      <c r="CH46" s="88">
        <f t="shared" si="31"/>
        <v>46000000</v>
      </c>
      <c r="CI46" s="88">
        <f t="shared" si="16"/>
        <v>2840000</v>
      </c>
      <c r="CJ46" s="742">
        <f t="shared" si="32"/>
        <v>0</v>
      </c>
      <c r="CK46" s="848">
        <f t="shared" si="17"/>
        <v>340000</v>
      </c>
      <c r="CL46" s="88">
        <f t="shared" si="18"/>
        <v>2986820</v>
      </c>
    </row>
    <row r="47" spans="1:90" ht="16" customHeight="1">
      <c r="A47" s="147" t="s">
        <v>595</v>
      </c>
      <c r="B47" s="147" t="s">
        <v>200</v>
      </c>
      <c r="C47" s="55" t="s">
        <v>130</v>
      </c>
      <c r="D47" s="55" t="s">
        <v>152</v>
      </c>
      <c r="E47" s="55" t="s">
        <v>146</v>
      </c>
      <c r="F47" s="56"/>
      <c r="G47" s="56" t="str">
        <f t="shared" si="26"/>
        <v>Yes</v>
      </c>
      <c r="H47" s="56" t="str">
        <f t="shared" si="26"/>
        <v>Yes</v>
      </c>
      <c r="I47" s="56" t="str">
        <f t="shared" si="27"/>
        <v>No</v>
      </c>
      <c r="J47" s="56" t="str">
        <f t="shared" si="28"/>
        <v>No</v>
      </c>
      <c r="K47" s="56" t="str">
        <f t="shared" si="29"/>
        <v>Yes</v>
      </c>
      <c r="L47" s="56" t="s">
        <v>541</v>
      </c>
      <c r="M47" s="55" t="s">
        <v>544</v>
      </c>
      <c r="N47" s="134" t="s">
        <v>544</v>
      </c>
      <c r="O47" s="55" t="s">
        <v>544</v>
      </c>
      <c r="P47" s="55"/>
      <c r="Q47" s="55"/>
      <c r="R47" s="55"/>
      <c r="S47" s="956">
        <v>81728347.604567245</v>
      </c>
      <c r="T47" s="55" t="s">
        <v>395</v>
      </c>
      <c r="U47" s="64" t="str">
        <f>IFERROR(IF(VLOOKUP(A47,'WB projects data'!$A$5:$C$83,3,0)="Approved",(VLOOKUP(A47,'WB projects data'!$A$5:$C$83,3,0)),""),"")</f>
        <v/>
      </c>
      <c r="V47" s="123" t="str">
        <f t="shared" si="24"/>
        <v/>
      </c>
      <c r="W47" s="123" t="str">
        <f>IFERROR((VLOOKUP($A47,'WB projects data'!$A$5:$J$83,6,0)*1000000),"")</f>
        <v/>
      </c>
      <c r="X47" s="123" t="str">
        <f>IFERROR((VLOOKUP($A47,'WB projects data'!$A$5:$J$83,7,0)*1000000),"")</f>
        <v/>
      </c>
      <c r="Y47" s="123" t="str">
        <f>IFERROR((VLOOKUP($A47,'WB projects data'!$A$5:$J$83,8,0)*1000000),"")</f>
        <v/>
      </c>
      <c r="Z47" s="123" t="str">
        <f>IFERROR((VLOOKUP($A47,'WB projects data'!$A$5:$J$83,9,0)*1000000),"")</f>
        <v/>
      </c>
      <c r="AA47" s="123" t="str">
        <f>IFERROR((VLOOKUP($A47,'WB projects data'!$A$5:$J$83,10,0)*1000000),"")</f>
        <v/>
      </c>
      <c r="AB47" s="55" t="s">
        <v>541</v>
      </c>
      <c r="AC47" s="110"/>
      <c r="AD47" s="110" t="str">
        <f>IFERROR(VLOOKUP(A47,'ADB Projects'!$A$4:$W$21,5,FALSE),"")</f>
        <v/>
      </c>
      <c r="AE47" s="132" t="str">
        <f>IF(AC47="Approved",(VLOOKUP($A47,'ADB Projects'!$A$5:$D$21,4,0)*1000000),"")</f>
        <v/>
      </c>
      <c r="AF47" s="585" t="str">
        <f>IF(AC47="Approved",(PRODUCT(VLOOKUP($A47,'ADB Projects'!$A$4:$W$21,6,FALSE),1000000)),"")</f>
        <v/>
      </c>
      <c r="AG47" s="585" t="str">
        <f>IF(AC47="Approved",(PRODUCT(VLOOKUP($A47,'ADB Projects'!$A$4:$W$21,7,FALSE),1000000)),"")</f>
        <v/>
      </c>
      <c r="AH47" s="585" t="str">
        <f>IF(AC47="Approved",(PRODUCT(VLOOKUP($A47,'ADB Projects'!$A$4:$W$21,8,FALSE),1000000)),"")</f>
        <v/>
      </c>
      <c r="AI47" s="55"/>
      <c r="AJ47" s="55"/>
      <c r="AK47" s="244"/>
      <c r="AL47" s="55"/>
      <c r="AM47" s="55"/>
      <c r="AN47" s="55"/>
      <c r="AO47" s="55"/>
      <c r="AP47" s="55"/>
      <c r="AQ47" s="602" t="str">
        <f t="shared" si="25"/>
        <v/>
      </c>
      <c r="AR47" s="602" t="str">
        <f>IFERROR(VLOOKUP($A47,'IDB C19 Vaccine Projects'!$O$4:$Q$12,2,FALSE),"")</f>
        <v/>
      </c>
      <c r="AS47" s="602" t="str">
        <f>IFERROR(VLOOKUP($A47,'IDB C19 Vaccine Projects'!$O$4:$Q$12,3,FALSE),"")</f>
        <v/>
      </c>
      <c r="AT47" s="55"/>
      <c r="AU47" s="88"/>
      <c r="AV47" s="55"/>
      <c r="AW47" s="55"/>
      <c r="AX47" s="88" t="str">
        <f>INDEX(USAID!$C$3:$C$151,MATCH('Matrix Allocations'!A47,USAID!$A$3:$A$151,0))</f>
        <v/>
      </c>
      <c r="AY47" s="110"/>
      <c r="AZ47" s="88" t="str">
        <f>IFERROR(INDEX('[4]Vx All regions allocations'!O$10:O$144,MATCH(A47,'[4]Vx All regions allocations'!A$10:A$144,0)),"")</f>
        <v/>
      </c>
      <c r="BA47" s="88">
        <v>0</v>
      </c>
      <c r="BB47" s="88">
        <v>0</v>
      </c>
      <c r="BC47" s="88" t="str">
        <f>IFERROR(INDEX(DFAT!$K$4:$K$21,MATCH('Matrix Allocations'!A47,DFAT!$B$4:$B$21,0)),"")</f>
        <v/>
      </c>
      <c r="BD47" s="88"/>
      <c r="BE47" s="826" t="str">
        <f>IFERROR(IF(INDEX('GAVI CCE'!$E$3:$E$95,MATCH('Matrix Allocations'!A47,'GAVI CCE'!$A$3:$A$95,0))="Yes",INDEX('GAVI CCE'!$E$3:$E$95,MATCH('Matrix Allocations'!A47,'GAVI CCE'!$A$3:$A$95,0)),""),"")</f>
        <v/>
      </c>
      <c r="BF47" s="88" t="str">
        <f>IFERROR(IF(BE47="Yes",INDEX('GAVI CCE'!$F$3:$F$95,MATCH('Matrix Allocations'!A47,'GAVI CCE'!$A$3:$A$95,0)),""),"")</f>
        <v/>
      </c>
      <c r="BG47" s="609" t="str">
        <f>IFERROR(IF(E47='CDS early access ceilings'!$A$94,(VLOOKUP(A47,'CDS early access ceilings'!$A$2:$D$92,4,FALSE)),""),"")</f>
        <v/>
      </c>
      <c r="BH47" s="639" t="str">
        <f>IFERROR(INDEX(Table14[Status (clean)],MATCH('Matrix Allocations'!A47,Table14[ISO Code],0)),"")</f>
        <v/>
      </c>
      <c r="BI47" s="641" t="str">
        <f>IFERROR(INDEX(Table14[Amount disbursed (USD)],MATCH('Matrix Allocations'!A47,Table14[ISO Code],0)),"")</f>
        <v/>
      </c>
      <c r="BJ47" s="641" t="str">
        <f>IFERROR(INDEX('CDS NBW'!$I$2:$I$39,MATCH(A47,'CDS NBW'!$A$2:$A$39,0)),"")</f>
        <v/>
      </c>
      <c r="BK47" s="641" t="str">
        <f>IFERROR(INDEX('CDS NBW'!$J$2:$J$39,MATCH(A47,'CDS NBW'!$A$2:$A$39,0)),"")</f>
        <v/>
      </c>
      <c r="BL47" s="609"/>
      <c r="BM47" s="609"/>
      <c r="BN47" s="609"/>
      <c r="BO47" s="609"/>
      <c r="BP47" s="609">
        <f>IFERROR(INDEX('UNICEF-BMZ'!$O$1:$O$199,MATCH('Matrix Allocations'!A47,'UNICEF-BMZ'!$B$1:$B$199,0)),"")</f>
        <v>0</v>
      </c>
      <c r="BQ47" s="609" t="str">
        <f>IFERROR(VLOOKUP(A47,'BMGF_clean data'!$A$4:$C$30,3,FALSE),"")</f>
        <v/>
      </c>
      <c r="BR47" s="609"/>
      <c r="BS47" s="609"/>
      <c r="BT47" s="609"/>
      <c r="BU47" s="609"/>
      <c r="BV47" s="609"/>
      <c r="BW47" s="87">
        <f>INDEX(USAID!$D$3:$D$151,MATCH('Matrix Allocations'!A47,USAID!$A$3:$A$151,0))</f>
        <v>0</v>
      </c>
      <c r="BX47" s="87" t="str">
        <f>IFERROR(INDEX(DFAT!$L$4:$L$21,MATCH('Matrix Allocations'!A47,DFAT!$B$4:$B$21,0)),"")</f>
        <v/>
      </c>
      <c r="BY47" s="87" t="str">
        <f>IFERROR(INDEX(Table14[Funds Channelled through UNICEF],MATCH('Matrix Allocations'!A47,Table14[ISO Code],0)),"")</f>
        <v/>
      </c>
      <c r="BZ47" s="87">
        <f t="shared" si="23"/>
        <v>0</v>
      </c>
      <c r="CA47">
        <f t="shared" si="30"/>
        <v>1449891</v>
      </c>
      <c r="CB47" s="782">
        <f t="shared" si="10"/>
        <v>434967.3</v>
      </c>
      <c r="CC47" s="791">
        <f t="shared" si="11"/>
        <v>0</v>
      </c>
      <c r="CD47" s="788">
        <f t="shared" si="12"/>
        <v>0</v>
      </c>
      <c r="CE47" s="788">
        <f t="shared" si="13"/>
        <v>0</v>
      </c>
      <c r="CF47" s="828">
        <f t="shared" si="14"/>
        <v>0</v>
      </c>
      <c r="CG47" s="828">
        <f t="shared" si="15"/>
        <v>0</v>
      </c>
      <c r="CH47" s="88">
        <f t="shared" si="31"/>
        <v>0</v>
      </c>
      <c r="CI47" s="88">
        <f t="shared" si="16"/>
        <v>0</v>
      </c>
      <c r="CJ47" s="742">
        <f t="shared" si="32"/>
        <v>0</v>
      </c>
      <c r="CK47" s="848">
        <f t="shared" si="17"/>
        <v>0</v>
      </c>
      <c r="CL47" s="88">
        <f t="shared" si="18"/>
        <v>0</v>
      </c>
    </row>
    <row r="48" spans="1:90" ht="16" customHeight="1">
      <c r="A48" s="55" t="s">
        <v>596</v>
      </c>
      <c r="B48" s="55" t="s">
        <v>201</v>
      </c>
      <c r="C48" s="55" t="s">
        <v>128</v>
      </c>
      <c r="D48" s="55" t="s">
        <v>148</v>
      </c>
      <c r="E48" s="55" t="s">
        <v>145</v>
      </c>
      <c r="F48" s="56">
        <v>2</v>
      </c>
      <c r="G48" s="56" t="str">
        <f t="shared" si="26"/>
        <v>No</v>
      </c>
      <c r="H48" s="56" t="str">
        <f t="shared" si="26"/>
        <v>No</v>
      </c>
      <c r="I48" s="56" t="str">
        <f t="shared" si="27"/>
        <v>No</v>
      </c>
      <c r="J48" s="56" t="str">
        <f t="shared" si="28"/>
        <v>Yes</v>
      </c>
      <c r="K48" s="56" t="str">
        <f t="shared" si="29"/>
        <v>No</v>
      </c>
      <c r="L48" s="56" t="s">
        <v>541</v>
      </c>
      <c r="M48" s="55" t="s">
        <v>541</v>
      </c>
      <c r="N48" s="134" t="s">
        <v>544</v>
      </c>
      <c r="O48" s="55" t="s">
        <v>544</v>
      </c>
      <c r="P48" s="55" t="s">
        <v>546</v>
      </c>
      <c r="Q48" s="55"/>
      <c r="R48" s="55"/>
      <c r="S48" s="956">
        <v>12787914.977715338</v>
      </c>
      <c r="T48" s="55" t="s">
        <v>394</v>
      </c>
      <c r="U48" s="64" t="str">
        <f>IFERROR(IF(VLOOKUP(A48,'WB projects data'!$A$5:$C$83,3,0)="Approved",(VLOOKUP(A48,'WB projects data'!$A$5:$C$83,3,0)),""),"")</f>
        <v/>
      </c>
      <c r="V48" s="123" t="str">
        <f t="shared" si="24"/>
        <v/>
      </c>
      <c r="W48" s="123" t="str">
        <f>IFERROR((VLOOKUP($A48,'WB projects data'!$A$5:$J$83,6,0)*1000000),"")</f>
        <v/>
      </c>
      <c r="X48" s="123" t="str">
        <f>IFERROR((VLOOKUP($A48,'WB projects data'!$A$5:$J$83,7,0)*1000000),"")</f>
        <v/>
      </c>
      <c r="Y48" s="123" t="str">
        <f>IFERROR((VLOOKUP($A48,'WB projects data'!$A$5:$J$83,8,0)*1000000),"")</f>
        <v/>
      </c>
      <c r="Z48" s="123" t="str">
        <f>IFERROR((VLOOKUP($A48,'WB projects data'!$A$5:$J$83,9,0)*1000000),"")</f>
        <v/>
      </c>
      <c r="AA48" s="123" t="str">
        <f>IFERROR((VLOOKUP($A48,'WB projects data'!$A$5:$J$83,10,0)*1000000),"")</f>
        <v/>
      </c>
      <c r="AB48" s="55" t="s">
        <v>541</v>
      </c>
      <c r="AC48" s="110"/>
      <c r="AD48" s="110" t="str">
        <f>IFERROR(VLOOKUP(A48,'ADB Projects'!$A$4:$W$21,5,FALSE),"")</f>
        <v/>
      </c>
      <c r="AE48" s="132" t="str">
        <f>IF(AC48="Approved",(VLOOKUP($A48,'ADB Projects'!$A$5:$D$21,4,0)*1000000),"")</f>
        <v/>
      </c>
      <c r="AF48" s="585" t="str">
        <f>IF(AC48="Approved",(PRODUCT(VLOOKUP($A48,'ADB Projects'!$A$4:$W$21,6,FALSE),1000000)),"")</f>
        <v/>
      </c>
      <c r="AG48" s="585" t="str">
        <f>IF(AC48="Approved",(PRODUCT(VLOOKUP($A48,'ADB Projects'!$A$4:$W$21,7,FALSE),1000000)),"")</f>
        <v/>
      </c>
      <c r="AH48" s="585" t="str">
        <f>IF(AC48="Approved",(PRODUCT(VLOOKUP($A48,'ADB Projects'!$A$4:$W$21,8,FALSE),1000000)),"")</f>
        <v/>
      </c>
      <c r="AI48" s="55"/>
      <c r="AJ48" s="55"/>
      <c r="AK48" s="244"/>
      <c r="AL48" s="55"/>
      <c r="AM48" s="55"/>
      <c r="AN48" s="55"/>
      <c r="AO48" s="55"/>
      <c r="AP48" s="55"/>
      <c r="AQ48" s="602" t="str">
        <f t="shared" si="25"/>
        <v/>
      </c>
      <c r="AR48" s="602" t="str">
        <f>IFERROR(VLOOKUP($A48,'IDB C19 Vaccine Projects'!$O$4:$Q$12,2,FALSE),"")</f>
        <v/>
      </c>
      <c r="AS48" s="602" t="str">
        <f>IFERROR(VLOOKUP($A48,'IDB C19 Vaccine Projects'!$O$4:$Q$12,3,FALSE),"")</f>
        <v/>
      </c>
      <c r="AT48" s="55"/>
      <c r="AU48" s="88"/>
      <c r="AV48" s="635"/>
      <c r="AW48" s="55"/>
      <c r="AX48" s="88" t="str">
        <f>INDEX(USAID!$C$3:$C$151,MATCH('Matrix Allocations'!A48,USAID!$A$3:$A$151,0))</f>
        <v/>
      </c>
      <c r="AY48" s="110"/>
      <c r="AZ48" s="88">
        <f>IFERROR(INDEX('[4]Vx All regions allocations'!O$10:O$144,MATCH(A48,'[4]Vx All regions allocations'!A$10:A$144,0)),"")</f>
        <v>0</v>
      </c>
      <c r="BA48" s="88">
        <v>174129.62962962961</v>
      </c>
      <c r="BB48" s="88">
        <v>183655</v>
      </c>
      <c r="BC48" s="88" t="str">
        <f>IFERROR(INDEX(DFAT!$K$4:$K$21,MATCH('Matrix Allocations'!A48,DFAT!$B$4:$B$21,0)),"")</f>
        <v/>
      </c>
      <c r="BD48" s="88"/>
      <c r="BE48" s="826" t="str">
        <f>IFERROR(IF(INDEX('GAVI CCE'!$E$3:$E$95,MATCH('Matrix Allocations'!A48,'GAVI CCE'!$A$3:$A$95,0))="Yes",INDEX('GAVI CCE'!$E$3:$E$95,MATCH('Matrix Allocations'!A48,'GAVI CCE'!$A$3:$A$95,0)),""),"")</f>
        <v/>
      </c>
      <c r="BF48" s="88" t="str">
        <f>IFERROR(IF(BE48="Yes",INDEX('GAVI CCE'!$F$3:$F$95,MATCH('Matrix Allocations'!A48,'GAVI CCE'!$A$3:$A$95,0)),""),"")</f>
        <v/>
      </c>
      <c r="BG48" s="609" t="str">
        <f>IFERROR(IF(E48='CDS early access ceilings'!$A$94,(VLOOKUP(A48,'CDS early access ceilings'!$A$2:$D$92,4,FALSE)),""),"")</f>
        <v>GAVI</v>
      </c>
      <c r="BH48" s="639" t="str">
        <f>IFERROR(INDEX(Table14[Status (clean)],MATCH('Matrix Allocations'!A48,Table14[ISO Code],0)),"")</f>
        <v/>
      </c>
      <c r="BI48" s="641" t="str">
        <f>IFERROR(INDEX(Table14[Amount disbursed (USD)],MATCH('Matrix Allocations'!A48,Table14[ISO Code],0)),"")</f>
        <v/>
      </c>
      <c r="BJ48" s="641" t="str">
        <f>IFERROR(INDEX('CDS NBW'!$I$2:$I$39,MATCH(A48,'CDS NBW'!$A$2:$A$39,0)),"")</f>
        <v/>
      </c>
      <c r="BK48" s="641" t="str">
        <f>IFERROR(INDEX('CDS NBW'!$J$2:$J$39,MATCH(A48,'CDS NBW'!$A$2:$A$39,0)),"")</f>
        <v/>
      </c>
      <c r="BL48" s="609"/>
      <c r="BM48" s="609"/>
      <c r="BN48" s="609"/>
      <c r="BO48" s="609"/>
      <c r="BP48" s="609" t="str">
        <f>IFERROR(INDEX('UNICEF-BMZ'!$O$1:$O$199,MATCH('Matrix Allocations'!A48,'UNICEF-BMZ'!$B$1:$B$199,0)),"")</f>
        <v/>
      </c>
      <c r="BQ48" s="609" t="str">
        <f>IFERROR(VLOOKUP(A48,'BMGF_clean data'!$A$4:$C$30,3,FALSE),"")</f>
        <v/>
      </c>
      <c r="BR48" s="609"/>
      <c r="BS48" s="609"/>
      <c r="BT48" s="609"/>
      <c r="BU48" s="609"/>
      <c r="BV48" s="609"/>
      <c r="BW48" s="87">
        <f>INDEX(USAID!$D$3:$D$151,MATCH('Matrix Allocations'!A48,USAID!$A$3:$A$151,0))</f>
        <v>0</v>
      </c>
      <c r="BX48" s="87" t="str">
        <f>IFERROR(INDEX(DFAT!$L$4:$L$21,MATCH('Matrix Allocations'!A48,DFAT!$B$4:$B$21,0)),"")</f>
        <v/>
      </c>
      <c r="BY48" s="87" t="str">
        <f>IFERROR(INDEX(Table14[Funds Channelled through UNICEF],MATCH('Matrix Allocations'!A48,Table14[ISO Code],0)),"")</f>
        <v/>
      </c>
      <c r="BZ48" s="87">
        <f t="shared" si="23"/>
        <v>0</v>
      </c>
      <c r="CA48">
        <f t="shared" si="30"/>
        <v>3601462</v>
      </c>
      <c r="CB48" s="782">
        <f t="shared" si="10"/>
        <v>1080438.5999999999</v>
      </c>
      <c r="CC48" s="791">
        <f t="shared" si="11"/>
        <v>357784.62962962961</v>
      </c>
      <c r="CD48" s="788">
        <f t="shared" si="12"/>
        <v>0.3311475817595092</v>
      </c>
      <c r="CE48" s="788">
        <f t="shared" si="13"/>
        <v>0.24836068631963185</v>
      </c>
      <c r="CF48" s="828">
        <f t="shared" si="14"/>
        <v>0.14192039218264679</v>
      </c>
      <c r="CG48" s="828">
        <f t="shared" si="15"/>
        <v>9.9344274527852744E-2</v>
      </c>
      <c r="CH48" s="88">
        <f t="shared" si="31"/>
        <v>0</v>
      </c>
      <c r="CI48" s="88">
        <f t="shared" si="16"/>
        <v>0</v>
      </c>
      <c r="CJ48" s="742">
        <f t="shared" si="32"/>
        <v>0</v>
      </c>
      <c r="CK48" s="848">
        <f t="shared" si="17"/>
        <v>0</v>
      </c>
      <c r="CL48" s="88">
        <f t="shared" si="18"/>
        <v>357784.62962962961</v>
      </c>
    </row>
    <row r="49" spans="1:90" ht="16" customHeight="1">
      <c r="A49" s="55" t="s">
        <v>597</v>
      </c>
      <c r="B49" s="55" t="s">
        <v>202</v>
      </c>
      <c r="C49" s="55" t="s">
        <v>128</v>
      </c>
      <c r="D49" s="55" t="s">
        <v>150</v>
      </c>
      <c r="E49" s="55" t="s">
        <v>145</v>
      </c>
      <c r="F49" s="56">
        <v>2</v>
      </c>
      <c r="G49" s="56" t="str">
        <f t="shared" si="26"/>
        <v>Yes</v>
      </c>
      <c r="H49" s="56" t="str">
        <f t="shared" si="26"/>
        <v>Yes</v>
      </c>
      <c r="I49" s="56" t="str">
        <f t="shared" si="27"/>
        <v>No</v>
      </c>
      <c r="J49" s="56" t="str">
        <f t="shared" si="28"/>
        <v>No</v>
      </c>
      <c r="K49" s="56" t="str">
        <f t="shared" si="29"/>
        <v>Yes</v>
      </c>
      <c r="L49" s="56" t="s">
        <v>541</v>
      </c>
      <c r="M49" s="55" t="s">
        <v>544</v>
      </c>
      <c r="N49" s="134" t="s">
        <v>544</v>
      </c>
      <c r="O49" s="55" t="s">
        <v>544</v>
      </c>
      <c r="P49" s="55" t="s">
        <v>546</v>
      </c>
      <c r="Q49" s="55" t="s">
        <v>541</v>
      </c>
      <c r="R49" s="55"/>
      <c r="S49" s="956">
        <v>101271737.65410839</v>
      </c>
      <c r="T49" s="55" t="s">
        <v>395</v>
      </c>
      <c r="U49" s="64" t="str">
        <f>IFERROR(IF(VLOOKUP(A49,'WB projects data'!$A$5:$C$83,3,0)="Approved",(VLOOKUP(A49,'WB projects data'!$A$5:$C$83,3,0)),""),"")</f>
        <v>Approved</v>
      </c>
      <c r="V49" s="123">
        <f t="shared" si="24"/>
        <v>8000000</v>
      </c>
      <c r="W49" s="123">
        <f>IFERROR((VLOOKUP($A49,'WB projects data'!$A$5:$J$83,6,0)*1000000),"")</f>
        <v>5000000</v>
      </c>
      <c r="X49" s="123">
        <f>IFERROR((VLOOKUP($A49,'WB projects data'!$A$5:$J$83,7,0)*1000000),"")</f>
        <v>3000000</v>
      </c>
      <c r="Y49" s="123">
        <f>IFERROR((VLOOKUP($A49,'WB projects data'!$A$5:$J$83,8,0)*1000000),"")</f>
        <v>800000</v>
      </c>
      <c r="Z49" s="123">
        <f>IFERROR((VLOOKUP($A49,'WB projects data'!$A$5:$J$83,9,0)*1000000),"")</f>
        <v>3700000</v>
      </c>
      <c r="AA49" s="123">
        <f>IFERROR((VLOOKUP($A49,'WB projects data'!$A$5:$J$83,10,0)*1000000),"")</f>
        <v>3500000</v>
      </c>
      <c r="AB49" s="55"/>
      <c r="AC49" s="110"/>
      <c r="AD49" s="110" t="str">
        <f>IFERROR(VLOOKUP(A49,'ADB Projects'!$A$4:$W$21,5,FALSE),"")</f>
        <v/>
      </c>
      <c r="AE49" s="132" t="str">
        <f>IF(AC49="Approved",(VLOOKUP($A49,'ADB Projects'!$A$5:$D$21,4,0)*1000000),"")</f>
        <v/>
      </c>
      <c r="AF49" s="585" t="str">
        <f>IF(AC49="Approved",(PRODUCT(VLOOKUP($A49,'ADB Projects'!$A$4:$W$21,6,FALSE),1000000)),"")</f>
        <v/>
      </c>
      <c r="AG49" s="585" t="str">
        <f>IF(AC49="Approved",(PRODUCT(VLOOKUP($A49,'ADB Projects'!$A$4:$W$21,7,FALSE),1000000)),"")</f>
        <v/>
      </c>
      <c r="AH49" s="585" t="str">
        <f>IF(AC49="Approved",(PRODUCT(VLOOKUP($A49,'ADB Projects'!$A$4:$W$21,8,FALSE),1000000)),"")</f>
        <v/>
      </c>
      <c r="AI49" s="148"/>
      <c r="AJ49" s="55"/>
      <c r="AK49" s="244"/>
      <c r="AL49" s="148" t="s">
        <v>541</v>
      </c>
      <c r="AM49" s="148"/>
      <c r="AN49" s="148"/>
      <c r="AO49" s="148"/>
      <c r="AP49" s="148"/>
      <c r="AQ49" s="602" t="str">
        <f t="shared" si="25"/>
        <v/>
      </c>
      <c r="AR49" s="602" t="str">
        <f>IFERROR(VLOOKUP($A49,'IDB C19 Vaccine Projects'!$O$4:$Q$12,2,FALSE),"")</f>
        <v/>
      </c>
      <c r="AS49" s="602" t="str">
        <f>IFERROR(VLOOKUP($A49,'IDB C19 Vaccine Projects'!$O$4:$Q$12,3,FALSE),"")</f>
        <v/>
      </c>
      <c r="AT49" s="55"/>
      <c r="AU49" s="88"/>
      <c r="AV49" s="635">
        <v>401732</v>
      </c>
      <c r="AW49" s="55" t="s">
        <v>541</v>
      </c>
      <c r="AX49" s="88">
        <f>INDEX(USAID!$C$3:$C$151,MATCH('Matrix Allocations'!A49,USAID!$A$3:$A$151,0))</f>
        <v>2650000</v>
      </c>
      <c r="AY49" s="110">
        <v>109293</v>
      </c>
      <c r="AZ49" s="88">
        <f>IFERROR(INDEX('[4]Vx All regions allocations'!O$10:O$144,MATCH(A49,'[4]Vx All regions allocations'!A$10:A$144,0)),"")</f>
        <v>766500</v>
      </c>
      <c r="BA49" s="88">
        <v>26100</v>
      </c>
      <c r="BB49" s="88">
        <v>25000</v>
      </c>
      <c r="BC49" s="88" t="str">
        <f>IFERROR(INDEX(DFAT!$K$4:$K$21,MATCH('Matrix Allocations'!A49,DFAT!$B$4:$B$21,0)),"")</f>
        <v/>
      </c>
      <c r="BD49" s="88"/>
      <c r="BE49" s="826" t="str">
        <f>IFERROR(IF(INDEX('GAVI CCE'!$E$3:$E$95,MATCH('Matrix Allocations'!A49,'GAVI CCE'!$A$3:$A$95,0))="Yes",INDEX('GAVI CCE'!$E$3:$E$95,MATCH('Matrix Allocations'!A49,'GAVI CCE'!$A$3:$A$95,0)),""),"")</f>
        <v>Yes</v>
      </c>
      <c r="BF49" s="88">
        <f>IFERROR(IF(BE49="Yes",INDEX('GAVI CCE'!$F$3:$F$95,MATCH('Matrix Allocations'!A49,'GAVI CCE'!$A$3:$A$95,0)),""),"")</f>
        <v>50213</v>
      </c>
      <c r="BG49" s="609" t="str">
        <f>IFERROR(IF(E49='CDS early access ceilings'!$A$94,(VLOOKUP(A49,'CDS early access ceilings'!$A$2:$D$92,4,FALSE)),""),"")</f>
        <v>UNICEF</v>
      </c>
      <c r="BH49" s="639" t="str">
        <f>IFERROR(INDEX(Table14[Status (clean)],MATCH('Matrix Allocations'!A49,Table14[ISO Code],0)),"")</f>
        <v>Disbursed</v>
      </c>
      <c r="BI49" s="641">
        <f>IFERROR(INDEX(Table14[Amount disbursed (USD)],MATCH('Matrix Allocations'!A49,Table14[ISO Code],0)),"")</f>
        <v>230000</v>
      </c>
      <c r="BJ49" s="641" t="str">
        <f>IFERROR(INDEX('CDS NBW'!$I$2:$I$39,MATCH(A49,'CDS NBW'!$A$2:$A$39,0)),"")</f>
        <v>Disbursed</v>
      </c>
      <c r="BK49" s="641">
        <f>IFERROR(INDEX('CDS NBW'!$J$2:$J$39,MATCH(A49,'CDS NBW'!$A$2:$A$39,0)),"")</f>
        <v>230000</v>
      </c>
      <c r="BL49" s="609"/>
      <c r="BM49" s="609"/>
      <c r="BN49" s="609"/>
      <c r="BO49" s="609"/>
      <c r="BP49" s="609">
        <f>IFERROR(INDEX('UNICEF-BMZ'!$O$1:$O$199,MATCH('Matrix Allocations'!A49,'UNICEF-BMZ'!$B$1:$B$199,0)),"")</f>
        <v>40000</v>
      </c>
      <c r="BQ49" s="609" t="str">
        <f>IFERROR(VLOOKUP(A49,'BMGF_clean data'!$A$4:$C$30,3,FALSE),"")</f>
        <v/>
      </c>
      <c r="BR49" s="609"/>
      <c r="BS49" s="609">
        <v>783159</v>
      </c>
      <c r="BT49" s="609"/>
      <c r="BU49" s="609"/>
      <c r="BV49" s="609"/>
      <c r="BW49" s="87">
        <f>INDEX(USAID!$D$3:$D$151,MATCH('Matrix Allocations'!A49,USAID!$A$3:$A$151,0))</f>
        <v>0</v>
      </c>
      <c r="BX49" s="87" t="str">
        <f>IFERROR(INDEX(DFAT!$L$4:$L$21,MATCH('Matrix Allocations'!A49,DFAT!$B$4:$B$21,0)),"")</f>
        <v/>
      </c>
      <c r="BY49" s="87">
        <f>IFERROR(INDEX(Table14[Funds Channelled through UNICEF],MATCH('Matrix Allocations'!A49,Table14[ISO Code],0)),"")</f>
        <v>0</v>
      </c>
      <c r="BZ49" s="87">
        <f t="shared" si="23"/>
        <v>230000</v>
      </c>
      <c r="CA49">
        <f t="shared" si="30"/>
        <v>1172369</v>
      </c>
      <c r="CB49" s="782">
        <f t="shared" si="10"/>
        <v>351710.7</v>
      </c>
      <c r="CC49" s="791">
        <f t="shared" si="11"/>
        <v>9011997</v>
      </c>
      <c r="CD49" s="788">
        <f t="shared" si="12"/>
        <v>25.623323373443004</v>
      </c>
      <c r="CE49" s="788">
        <f t="shared" si="13"/>
        <v>19.21749253008225</v>
      </c>
      <c r="CF49" s="828">
        <f t="shared" si="14"/>
        <v>10.981424302904145</v>
      </c>
      <c r="CG49" s="828">
        <f t="shared" si="15"/>
        <v>7.6869970120329008</v>
      </c>
      <c r="CH49" s="88">
        <f t="shared" si="31"/>
        <v>3700000</v>
      </c>
      <c r="CI49" s="88">
        <f t="shared" si="16"/>
        <v>3542452</v>
      </c>
      <c r="CJ49" s="742">
        <f t="shared" si="32"/>
        <v>401732</v>
      </c>
      <c r="CK49" s="848">
        <f t="shared" si="17"/>
        <v>2060684</v>
      </c>
      <c r="CL49" s="88">
        <f t="shared" si="18"/>
        <v>831313</v>
      </c>
    </row>
    <row r="50" spans="1:90" ht="16" customHeight="1">
      <c r="A50" s="55" t="s">
        <v>598</v>
      </c>
      <c r="B50" s="55" t="s">
        <v>203</v>
      </c>
      <c r="C50" s="55" t="s">
        <v>128</v>
      </c>
      <c r="D50" s="55" t="s">
        <v>148</v>
      </c>
      <c r="E50" s="55" t="s">
        <v>145</v>
      </c>
      <c r="F50" s="56">
        <v>3</v>
      </c>
      <c r="G50" s="56" t="str">
        <f t="shared" si="26"/>
        <v>No</v>
      </c>
      <c r="H50" s="56" t="str">
        <f t="shared" si="26"/>
        <v>No</v>
      </c>
      <c r="I50" s="56" t="str">
        <f t="shared" si="27"/>
        <v>No</v>
      </c>
      <c r="J50" s="56" t="str">
        <f t="shared" si="28"/>
        <v>Yes</v>
      </c>
      <c r="K50" s="56" t="str">
        <f t="shared" si="29"/>
        <v>No</v>
      </c>
      <c r="L50" s="56" t="s">
        <v>541</v>
      </c>
      <c r="M50" s="55" t="s">
        <v>541</v>
      </c>
      <c r="N50" s="134" t="s">
        <v>541</v>
      </c>
      <c r="O50" s="55" t="s">
        <v>541</v>
      </c>
      <c r="P50" s="55" t="s">
        <v>542</v>
      </c>
      <c r="Q50" s="55" t="s">
        <v>541</v>
      </c>
      <c r="R50" s="55"/>
      <c r="S50" s="956">
        <v>618344226.71759331</v>
      </c>
      <c r="T50" s="55" t="s">
        <v>394</v>
      </c>
      <c r="U50" s="64" t="str">
        <f>IFERROR(IF(VLOOKUP(A50,'WB projects data'!$A$5:$C$83,3,0)="Approved",(VLOOKUP(A50,'WB projects data'!$A$5:$C$83,3,0)),""),"")</f>
        <v>Approved</v>
      </c>
      <c r="V50" s="123">
        <f t="shared" si="24"/>
        <v>413000000</v>
      </c>
      <c r="W50" s="123">
        <f>IFERROR((VLOOKUP($A50,'WB projects data'!$A$5:$J$83,6,0)*1000000),"")</f>
        <v>0</v>
      </c>
      <c r="X50" s="123">
        <f>IFERROR((VLOOKUP($A50,'WB projects data'!$A$5:$J$83,7,0)*1000000),"")</f>
        <v>413000000</v>
      </c>
      <c r="Y50" s="123">
        <f>IFERROR((VLOOKUP($A50,'WB projects data'!$A$5:$J$83,8,0)*1000000),"")</f>
        <v>197200000</v>
      </c>
      <c r="Z50" s="123">
        <f>IFERROR((VLOOKUP($A50,'WB projects data'!$A$5:$J$83,9,0)*1000000),"")</f>
        <v>167200000</v>
      </c>
      <c r="AA50" s="123">
        <f>IFERROR((VLOOKUP($A50,'WB projects data'!$A$5:$J$83,10,0)*1000000),"")</f>
        <v>48600000</v>
      </c>
      <c r="AB50" s="55" t="s">
        <v>541</v>
      </c>
      <c r="AC50" s="110"/>
      <c r="AD50" s="110" t="str">
        <f>IFERROR(VLOOKUP(A50,'ADB Projects'!$A$4:$W$21,5,FALSE),"")</f>
        <v/>
      </c>
      <c r="AE50" s="132" t="str">
        <f>IF(AC50="Approved",(VLOOKUP($A50,'ADB Projects'!$A$5:$D$21,4,0)*1000000),"")</f>
        <v/>
      </c>
      <c r="AF50" s="585" t="str">
        <f>IF(AC50="Approved",(PRODUCT(VLOOKUP($A50,'ADB Projects'!$A$4:$W$21,6,FALSE),1000000)),"")</f>
        <v/>
      </c>
      <c r="AG50" s="585" t="str">
        <f>IF(AC50="Approved",(PRODUCT(VLOOKUP($A50,'ADB Projects'!$A$4:$W$21,7,FALSE),1000000)),"")</f>
        <v/>
      </c>
      <c r="AH50" s="585" t="str">
        <f>IF(AC50="Approved",(PRODUCT(VLOOKUP($A50,'ADB Projects'!$A$4:$W$21,8,FALSE),1000000)),"")</f>
        <v/>
      </c>
      <c r="AI50" s="55"/>
      <c r="AJ50" s="55"/>
      <c r="AK50" s="244"/>
      <c r="AL50" s="55"/>
      <c r="AM50" s="55"/>
      <c r="AN50" s="55"/>
      <c r="AO50" s="55"/>
      <c r="AP50" s="55"/>
      <c r="AQ50" s="602" t="str">
        <f t="shared" si="25"/>
        <v/>
      </c>
      <c r="AR50" s="602" t="str">
        <f>IFERROR(VLOOKUP($A50,'IDB C19 Vaccine Projects'!$O$4:$Q$12,2,FALSE),"")</f>
        <v/>
      </c>
      <c r="AS50" s="602" t="str">
        <f>IFERROR(VLOOKUP($A50,'IDB C19 Vaccine Projects'!$O$4:$Q$12,3,FALSE),"")</f>
        <v/>
      </c>
      <c r="AT50" s="55"/>
      <c r="AU50" s="88"/>
      <c r="AV50" s="635">
        <v>1101933</v>
      </c>
      <c r="AW50" s="55" t="s">
        <v>541</v>
      </c>
      <c r="AX50" s="88">
        <f>INDEX(USAID!$C$3:$C$151,MATCH('Matrix Allocations'!A50,USAID!$A$3:$A$151,0))</f>
        <v>6900000</v>
      </c>
      <c r="AY50" s="110">
        <v>1343285</v>
      </c>
      <c r="AZ50" s="88">
        <f>IFERROR(INDEX('[4]Vx All regions allocations'!O$10:O$144,MATCH(A50,'[4]Vx All regions allocations'!A$10:A$144,0)),"")</f>
        <v>2775000</v>
      </c>
      <c r="BA50" s="88">
        <v>268302.77777777775</v>
      </c>
      <c r="BB50" s="88">
        <v>534413</v>
      </c>
      <c r="BC50" s="88" t="str">
        <f>IFERROR(INDEX(DFAT!$K$4:$K$21,MATCH('Matrix Allocations'!A50,DFAT!$B$4:$B$21,0)),"")</f>
        <v/>
      </c>
      <c r="BD50" s="88"/>
      <c r="BE50" s="826" t="str">
        <f>IFERROR(IF(INDEX('GAVI CCE'!$E$3:$E$95,MATCH('Matrix Allocations'!A50,'GAVI CCE'!$A$3:$A$95,0))="Yes",INDEX('GAVI CCE'!$E$3:$E$95,MATCH('Matrix Allocations'!A50,'GAVI CCE'!$A$3:$A$95,0)),""),"")</f>
        <v>Yes</v>
      </c>
      <c r="BF50" s="88">
        <f>IFERROR(IF(BE50="Yes",INDEX('GAVI CCE'!$F$3:$F$95,MATCH('Matrix Allocations'!A50,'GAVI CCE'!$A$3:$A$95,0)),""),"")</f>
        <v>2119570</v>
      </c>
      <c r="BG50" s="609" t="str">
        <f>IFERROR(IF(E50='CDS early access ceilings'!$A$94,(VLOOKUP(A50,'CDS early access ceilings'!$A$2:$D$92,4,FALSE)),""),"")</f>
        <v>GAVI</v>
      </c>
      <c r="BH50" s="639" t="str">
        <f>IFERROR(INDEX(Table14[Status (clean)],MATCH('Matrix Allocations'!A50,Table14[ISO Code],0)),"")</f>
        <v>Disbursed</v>
      </c>
      <c r="BI50" s="641">
        <f>IFERROR(INDEX(Table14[Amount disbursed (USD)],MATCH('Matrix Allocations'!A50,Table14[ISO Code],0)),"")</f>
        <v>14685613</v>
      </c>
      <c r="BJ50" s="641" t="str">
        <f>IFERROR(INDEX('CDS NBW'!$I$2:$I$39,MATCH(A50,'CDS NBW'!$A$2:$A$39,0)),"")</f>
        <v/>
      </c>
      <c r="BK50" s="641" t="str">
        <f>IFERROR(INDEX('CDS NBW'!$J$2:$J$39,MATCH(A50,'CDS NBW'!$A$2:$A$39,0)),"")</f>
        <v/>
      </c>
      <c r="BL50" s="609"/>
      <c r="BM50" s="609"/>
      <c r="BN50" s="609"/>
      <c r="BO50" s="609">
        <f>31950+422065</f>
        <v>454015</v>
      </c>
      <c r="BP50" s="609">
        <f>IFERROR(INDEX('UNICEF-BMZ'!$O$1:$O$199,MATCH('Matrix Allocations'!A50,'UNICEF-BMZ'!$B$1:$B$199,0)),"")</f>
        <v>842209</v>
      </c>
      <c r="BQ50" s="609">
        <f>IFERROR(VLOOKUP(A50,'BMGF_clean data'!$A$4:$C$30,3,FALSE),"")</f>
        <v>3158000</v>
      </c>
      <c r="BR50" s="609"/>
      <c r="BS50" s="609">
        <v>2791137</v>
      </c>
      <c r="BT50" s="609"/>
      <c r="BU50" s="609"/>
      <c r="BV50" s="609"/>
      <c r="BW50" s="87">
        <f>INDEX(USAID!$D$3:$D$151,MATCH('Matrix Allocations'!A50,USAID!$A$3:$A$151,0))</f>
        <v>0</v>
      </c>
      <c r="BX50" s="87" t="str">
        <f>IFERROR(INDEX(DFAT!$L$4:$L$21,MATCH('Matrix Allocations'!A50,DFAT!$B$4:$B$21,0)),"")</f>
        <v/>
      </c>
      <c r="BY50" s="87">
        <f>IFERROR(INDEX(Table14[Funds Channelled through UNICEF],MATCH('Matrix Allocations'!A50,Table14[ISO Code],0)),"")</f>
        <v>0</v>
      </c>
      <c r="BZ50" s="87">
        <f t="shared" si="23"/>
        <v>0</v>
      </c>
      <c r="CA50">
        <f t="shared" si="30"/>
        <v>117876226</v>
      </c>
      <c r="CB50" s="782">
        <f>CA50*0.3</f>
        <v>35362867.799999997</v>
      </c>
      <c r="CC50" s="791">
        <f t="shared" si="11"/>
        <v>204173477.77777779</v>
      </c>
      <c r="CD50" s="788">
        <f t="shared" si="12"/>
        <v>5.7736685534813388</v>
      </c>
      <c r="CE50" s="788">
        <f t="shared" si="13"/>
        <v>4.330251415111003</v>
      </c>
      <c r="CF50" s="828">
        <f t="shared" si="14"/>
        <v>2.4744293800634312</v>
      </c>
      <c r="CG50" s="828">
        <f t="shared" si="15"/>
        <v>1.7321005660444015</v>
      </c>
      <c r="CH50" s="88">
        <f t="shared" si="31"/>
        <v>167200000</v>
      </c>
      <c r="CI50" s="88">
        <f t="shared" si="16"/>
        <v>11034422</v>
      </c>
      <c r="CJ50" s="742">
        <f t="shared" si="32"/>
        <v>4713948</v>
      </c>
      <c r="CK50" s="848">
        <f t="shared" si="17"/>
        <v>8465370</v>
      </c>
      <c r="CL50" s="88">
        <f t="shared" si="18"/>
        <v>18450107.777777776</v>
      </c>
    </row>
    <row r="51" spans="1:90" ht="16" customHeight="1">
      <c r="A51" s="55" t="s">
        <v>599</v>
      </c>
      <c r="B51" s="55" t="s">
        <v>204</v>
      </c>
      <c r="C51" s="55" t="s">
        <v>126</v>
      </c>
      <c r="D51" s="55" t="s">
        <v>152</v>
      </c>
      <c r="E51" s="55" t="s">
        <v>145</v>
      </c>
      <c r="F51" s="56"/>
      <c r="G51" s="56" t="str">
        <f t="shared" si="26"/>
        <v>No</v>
      </c>
      <c r="H51" s="56" t="str">
        <f t="shared" si="26"/>
        <v>No</v>
      </c>
      <c r="I51" s="56" t="str">
        <f t="shared" si="27"/>
        <v>No</v>
      </c>
      <c r="J51" s="56" t="str">
        <f t="shared" si="28"/>
        <v>Yes</v>
      </c>
      <c r="K51" s="56" t="str">
        <f t="shared" si="29"/>
        <v>No</v>
      </c>
      <c r="L51" s="56" t="s">
        <v>541</v>
      </c>
      <c r="M51" s="55" t="s">
        <v>544</v>
      </c>
      <c r="N51" s="134" t="s">
        <v>541</v>
      </c>
      <c r="O51" s="55" t="s">
        <v>541</v>
      </c>
      <c r="P51" s="55" t="s">
        <v>548</v>
      </c>
      <c r="Q51" s="55"/>
      <c r="R51" s="55"/>
      <c r="S51" s="956">
        <v>129483872.95906857</v>
      </c>
      <c r="T51" s="55" t="s">
        <v>394</v>
      </c>
      <c r="U51" s="64" t="str">
        <f>IFERROR(IF(VLOOKUP(A51,'WB projects data'!$A$5:$C$83,3,0)="Approved",(VLOOKUP(A51,'WB projects data'!$A$5:$C$83,3,0)),""),"")</f>
        <v/>
      </c>
      <c r="V51" s="123" t="str">
        <f t="shared" si="24"/>
        <v/>
      </c>
      <c r="W51" s="123" t="str">
        <f>IFERROR((VLOOKUP($A51,'WB projects data'!$A$5:$J$83,6,0)*1000000),"")</f>
        <v/>
      </c>
      <c r="X51" s="123" t="str">
        <f>IFERROR((VLOOKUP($A51,'WB projects data'!$A$5:$J$83,7,0)*1000000),"")</f>
        <v/>
      </c>
      <c r="Y51" s="123" t="str">
        <f>IFERROR((VLOOKUP($A51,'WB projects data'!$A$5:$J$83,8,0)*1000000),"")</f>
        <v/>
      </c>
      <c r="Z51" s="123" t="str">
        <f>IFERROR((VLOOKUP($A51,'WB projects data'!$A$5:$J$83,9,0)*1000000),"")</f>
        <v/>
      </c>
      <c r="AA51" s="123" t="str">
        <f>IFERROR((VLOOKUP($A51,'WB projects data'!$A$5:$J$83,10,0)*1000000),"")</f>
        <v/>
      </c>
      <c r="AB51" s="55" t="s">
        <v>541</v>
      </c>
      <c r="AC51" s="110"/>
      <c r="AD51" s="110" t="str">
        <f>IFERROR(VLOOKUP(A51,'ADB Projects'!$A$4:$W$21,5,FALSE),"")</f>
        <v/>
      </c>
      <c r="AE51" s="132" t="str">
        <f>IF(AC51="Approved",(VLOOKUP($A51,'ADB Projects'!$A$5:$D$21,4,0)*1000000),"")</f>
        <v/>
      </c>
      <c r="AF51" s="585" t="str">
        <f>IF(AC51="Approved",(PRODUCT(VLOOKUP($A51,'ADB Projects'!$A$4:$W$21,6,FALSE),1000000)),"")</f>
        <v/>
      </c>
      <c r="AG51" s="585" t="str">
        <f>IF(AC51="Approved",(PRODUCT(VLOOKUP($A51,'ADB Projects'!$A$4:$W$21,7,FALSE),1000000)),"")</f>
        <v/>
      </c>
      <c r="AH51" s="585" t="str">
        <f>IF(AC51="Approved",(PRODUCT(VLOOKUP($A51,'ADB Projects'!$A$4:$W$21,8,FALSE),1000000)),"")</f>
        <v/>
      </c>
      <c r="AI51" s="55" t="s">
        <v>541</v>
      </c>
      <c r="AJ51" s="55"/>
      <c r="AK51" s="244"/>
      <c r="AL51" s="55"/>
      <c r="AM51" s="55"/>
      <c r="AN51" s="55"/>
      <c r="AO51" s="55"/>
      <c r="AP51" s="55"/>
      <c r="AQ51" s="602" t="str">
        <f t="shared" si="25"/>
        <v/>
      </c>
      <c r="AR51" s="602" t="str">
        <f>IFERROR(VLOOKUP($A51,'IDB C19 Vaccine Projects'!$O$4:$Q$12,2,FALSE),"")</f>
        <v/>
      </c>
      <c r="AS51" s="602" t="str">
        <f>IFERROR(VLOOKUP($A51,'IDB C19 Vaccine Projects'!$O$4:$Q$12,3,FALSE),"")</f>
        <v/>
      </c>
      <c r="AT51" s="55"/>
      <c r="AU51" s="88"/>
      <c r="AV51" s="55"/>
      <c r="AW51" s="55"/>
      <c r="AX51" s="88">
        <f>INDEX(USAID!$C$3:$C$151,MATCH('Matrix Allocations'!A51,USAID!$A$3:$A$151,0))</f>
        <v>1500000</v>
      </c>
      <c r="AY51" s="110">
        <v>639730</v>
      </c>
      <c r="AZ51" s="88">
        <f>IFERROR(INDEX('[4]Vx All regions allocations'!O$10:O$144,MATCH(A51,'[4]Vx All regions allocations'!A$10:A$144,0)),"")</f>
        <v>400000</v>
      </c>
      <c r="BA51" s="88">
        <v>46750</v>
      </c>
      <c r="BB51" s="88">
        <v>25000</v>
      </c>
      <c r="BC51" s="88">
        <f>IFERROR(INDEX(DFAT!$K$4:$K$21,MATCH('Matrix Allocations'!A51,DFAT!$B$4:$B$21,0)),"")</f>
        <v>6148491</v>
      </c>
      <c r="BD51" s="88">
        <v>1000000</v>
      </c>
      <c r="BE51" s="826" t="str">
        <f>IFERROR(IF(INDEX('GAVI CCE'!$E$3:$E$95,MATCH('Matrix Allocations'!A51,'GAVI CCE'!$A$3:$A$95,0))="Yes",INDEX('GAVI CCE'!$E$3:$E$95,MATCH('Matrix Allocations'!A51,'GAVI CCE'!$A$3:$A$95,0)),""),"")</f>
        <v/>
      </c>
      <c r="BF51" s="88" t="str">
        <f>IFERROR(IF(BE51="Yes",INDEX('GAVI CCE'!$F$3:$F$95,MATCH('Matrix Allocations'!A51,'GAVI CCE'!$A$3:$A$95,0)),""),"")</f>
        <v/>
      </c>
      <c r="BG51" s="609" t="str">
        <f>IFERROR(IF(E51='CDS early access ceilings'!$A$94,(VLOOKUP(A51,'CDS early access ceilings'!$A$2:$D$92,4,FALSE)),""),"")</f>
        <v>UNICEF</v>
      </c>
      <c r="BH51" s="639" t="str">
        <f>IFERROR(INDEX(Table14[Status (clean)],MATCH('Matrix Allocations'!A51,Table14[ISO Code],0)),"")</f>
        <v>Disbursed</v>
      </c>
      <c r="BI51" s="641">
        <f>IFERROR(INDEX(Table14[Amount disbursed (USD)],MATCH('Matrix Allocations'!A51,Table14[ISO Code],0)),"")</f>
        <v>230000</v>
      </c>
      <c r="BJ51" s="641" t="str">
        <f>IFERROR(INDEX('CDS NBW'!$I$2:$I$39,MATCH(A51,'CDS NBW'!$A$2:$A$39,0)),"")</f>
        <v>Disbursed</v>
      </c>
      <c r="BK51" s="641">
        <f>IFERROR(INDEX('CDS NBW'!$J$2:$J$39,MATCH(A51,'CDS NBW'!$A$2:$A$39,0)),"")</f>
        <v>230000</v>
      </c>
      <c r="BL51" s="609"/>
      <c r="BM51" s="609"/>
      <c r="BN51" s="609"/>
      <c r="BO51" s="609">
        <v>226328</v>
      </c>
      <c r="BP51" s="609">
        <f>IFERROR(INDEX('UNICEF-BMZ'!$O$1:$O$199,MATCH('Matrix Allocations'!A51,'UNICEF-BMZ'!$B$1:$B$199,0)),"")</f>
        <v>0</v>
      </c>
      <c r="BQ51" s="609" t="str">
        <f>IFERROR(VLOOKUP(A51,'BMGF_clean data'!$A$4:$C$30,3,FALSE),"")</f>
        <v/>
      </c>
      <c r="BR51" s="609"/>
      <c r="BS51" s="609"/>
      <c r="BT51" s="609"/>
      <c r="BU51" s="609"/>
      <c r="BV51" s="609"/>
      <c r="BW51" s="87">
        <f>INDEX(USAID!$D$3:$D$151,MATCH('Matrix Allocations'!A51,USAID!$A$3:$A$151,0))</f>
        <v>1500000</v>
      </c>
      <c r="BX51" s="87">
        <f>IFERROR(INDEX(DFAT!$L$4:$L$21,MATCH('Matrix Allocations'!A51,DFAT!$B$4:$B$21,0)),"")</f>
        <v>3904500</v>
      </c>
      <c r="BY51" s="87">
        <f>IFERROR(INDEX(Table14[Funds Channelled through UNICEF],MATCH('Matrix Allocations'!A51,Table14[ISO Code],0)),"")</f>
        <v>0</v>
      </c>
      <c r="BZ51" s="87">
        <f t="shared" si="23"/>
        <v>230000</v>
      </c>
      <c r="CA51">
        <f t="shared" si="30"/>
        <v>902899</v>
      </c>
      <c r="CB51" s="782">
        <f t="shared" si="10"/>
        <v>270869.7</v>
      </c>
      <c r="CC51" s="791">
        <f t="shared" si="11"/>
        <v>10446299</v>
      </c>
      <c r="CD51" s="788">
        <f t="shared" si="12"/>
        <v>38.565771660691468</v>
      </c>
      <c r="CE51" s="788">
        <f t="shared" si="13"/>
        <v>28.924328745518601</v>
      </c>
      <c r="CF51" s="828">
        <f t="shared" si="14"/>
        <v>16.528187854582061</v>
      </c>
      <c r="CG51" s="828">
        <f t="shared" si="15"/>
        <v>11.569731498207441</v>
      </c>
      <c r="CH51" s="88">
        <f t="shared" si="31"/>
        <v>0</v>
      </c>
      <c r="CI51" s="88">
        <f t="shared" si="16"/>
        <v>9288221</v>
      </c>
      <c r="CJ51" s="742">
        <f t="shared" si="32"/>
        <v>226328</v>
      </c>
      <c r="CK51" s="848">
        <f t="shared" si="17"/>
        <v>7670558</v>
      </c>
      <c r="CL51" s="88">
        <f t="shared" si="18"/>
        <v>761750</v>
      </c>
    </row>
    <row r="52" spans="1:90" ht="16" customHeight="1">
      <c r="A52" s="55" t="s">
        <v>600</v>
      </c>
      <c r="B52" s="55" t="s">
        <v>205</v>
      </c>
      <c r="C52" s="55" t="s">
        <v>129</v>
      </c>
      <c r="D52" s="55" t="s">
        <v>152</v>
      </c>
      <c r="E52" s="55" t="s">
        <v>146</v>
      </c>
      <c r="F52" s="56"/>
      <c r="G52" s="56" t="str">
        <f t="shared" si="26"/>
        <v>No</v>
      </c>
      <c r="H52" s="56" t="str">
        <f t="shared" si="26"/>
        <v>No</v>
      </c>
      <c r="I52" s="56" t="str">
        <f t="shared" si="27"/>
        <v>No</v>
      </c>
      <c r="J52" s="56" t="str">
        <f t="shared" si="28"/>
        <v>Yes</v>
      </c>
      <c r="K52" s="56" t="str">
        <f t="shared" si="29"/>
        <v>No</v>
      </c>
      <c r="L52" s="56" t="s">
        <v>541</v>
      </c>
      <c r="M52" s="55" t="s">
        <v>544</v>
      </c>
      <c r="N52" s="134" t="s">
        <v>544</v>
      </c>
      <c r="O52" s="55" t="s">
        <v>544</v>
      </c>
      <c r="P52" s="55" t="s">
        <v>546</v>
      </c>
      <c r="Q52" s="55"/>
      <c r="R52" s="55"/>
      <c r="S52" s="956">
        <v>271184658.35014349</v>
      </c>
      <c r="T52" s="55" t="s">
        <v>394</v>
      </c>
      <c r="U52" s="64" t="str">
        <f>IFERROR(IF(VLOOKUP(A52,'WB projects data'!$A$5:$C$83,3,0)="Approved",(VLOOKUP(A52,'WB projects data'!$A$5:$C$83,3,0)),""),"")</f>
        <v>Approved</v>
      </c>
      <c r="V52" s="123">
        <f t="shared" si="24"/>
        <v>12000000</v>
      </c>
      <c r="W52" s="123">
        <f>IFERROR((VLOOKUP($A52,'WB projects data'!$A$5:$J$83,6,0)*1000000),"")</f>
        <v>12000000</v>
      </c>
      <c r="X52" s="123">
        <f>IFERROR((VLOOKUP($A52,'WB projects data'!$A$5:$J$83,7,0)*1000000),"")</f>
        <v>0</v>
      </c>
      <c r="Y52" s="123">
        <f>IFERROR((VLOOKUP($A52,'WB projects data'!$A$5:$J$83,8,0)*1000000),"")</f>
        <v>8100000</v>
      </c>
      <c r="Z52" s="123">
        <f>IFERROR((VLOOKUP($A52,'WB projects data'!$A$5:$J$83,9,0)*1000000),"")</f>
        <v>2900000</v>
      </c>
      <c r="AA52" s="123">
        <f>IFERROR((VLOOKUP($A52,'WB projects data'!$A$5:$J$83,10,0)*1000000),"")</f>
        <v>1000000</v>
      </c>
      <c r="AB52" s="55" t="s">
        <v>541</v>
      </c>
      <c r="AC52" s="110"/>
      <c r="AD52" s="110" t="str">
        <f>IFERROR(VLOOKUP(A52,'ADB Projects'!$A$4:$W$21,5,FALSE),"")</f>
        <v/>
      </c>
      <c r="AE52" s="132" t="str">
        <f>IF(AC52="Approved",(VLOOKUP($A52,'ADB Projects'!$A$5:$D$21,4,0)*1000000),"")</f>
        <v/>
      </c>
      <c r="AF52" s="585" t="str">
        <f>IF(AC52="Approved",(PRODUCT(VLOOKUP($A52,'ADB Projects'!$A$4:$W$21,6,FALSE),1000000)),"")</f>
        <v/>
      </c>
      <c r="AG52" s="585" t="str">
        <f>IF(AC52="Approved",(PRODUCT(VLOOKUP($A52,'ADB Projects'!$A$4:$W$21,7,FALSE),1000000)),"")</f>
        <v/>
      </c>
      <c r="AH52" s="585" t="str">
        <f>IF(AC52="Approved",(PRODUCT(VLOOKUP($A52,'ADB Projects'!$A$4:$W$21,8,FALSE),1000000)),"")</f>
        <v/>
      </c>
      <c r="AI52" s="55"/>
      <c r="AJ52" s="55"/>
      <c r="AK52" s="244"/>
      <c r="AL52" s="55"/>
      <c r="AM52" s="55"/>
      <c r="AN52" s="55"/>
      <c r="AO52" s="55"/>
      <c r="AP52" s="55"/>
      <c r="AQ52" s="602" t="str">
        <f t="shared" si="25"/>
        <v/>
      </c>
      <c r="AR52" s="602" t="str">
        <f>IFERROR(VLOOKUP($A52,'IDB C19 Vaccine Projects'!$O$4:$Q$12,2,FALSE),"")</f>
        <v/>
      </c>
      <c r="AS52" s="602" t="str">
        <f>IFERROR(VLOOKUP($A52,'IDB C19 Vaccine Projects'!$O$4:$Q$12,3,FALSE),"")</f>
        <v/>
      </c>
      <c r="AT52" s="55"/>
      <c r="AU52" s="88"/>
      <c r="AV52" s="55"/>
      <c r="AW52" s="55"/>
      <c r="AX52" s="88">
        <f>INDEX(USAID!$C$3:$C$151,MATCH('Matrix Allocations'!A52,USAID!$A$3:$A$151,0))</f>
        <v>300000</v>
      </c>
      <c r="AY52" s="110"/>
      <c r="AZ52" s="88" t="str">
        <f>IFERROR(INDEX('[4]Vx All regions allocations'!O$10:O$144,MATCH(A52,'[4]Vx All regions allocations'!A$10:A$144,0)),"")</f>
        <v/>
      </c>
      <c r="BA52" s="88">
        <v>0</v>
      </c>
      <c r="BB52" s="88">
        <v>0</v>
      </c>
      <c r="BC52" s="88" t="str">
        <f>IFERROR(INDEX(DFAT!$K$4:$K$21,MATCH('Matrix Allocations'!A52,DFAT!$B$4:$B$21,0)),"")</f>
        <v/>
      </c>
      <c r="BD52" s="88"/>
      <c r="BE52" s="826" t="str">
        <f>IFERROR(IF(INDEX('GAVI CCE'!$E$3:$E$95,MATCH('Matrix Allocations'!A52,'GAVI CCE'!$A$3:$A$95,0))="Yes",INDEX('GAVI CCE'!$E$3:$E$95,MATCH('Matrix Allocations'!A52,'GAVI CCE'!$A$3:$A$95,0)),""),"")</f>
        <v/>
      </c>
      <c r="BF52" s="88" t="str">
        <f>IFERROR(IF(BE52="Yes",INDEX('GAVI CCE'!$F$3:$F$95,MATCH('Matrix Allocations'!A52,'GAVI CCE'!$A$3:$A$95,0)),""),"")</f>
        <v/>
      </c>
      <c r="BG52" s="609" t="str">
        <f>IFERROR(IF(E52='CDS early access ceilings'!$A$94,(VLOOKUP(A52,'CDS early access ceilings'!$A$2:$D$92,4,FALSE)),""),"")</f>
        <v/>
      </c>
      <c r="BH52" s="639" t="str">
        <f>IFERROR(INDEX(Table14[Status (clean)],MATCH('Matrix Allocations'!A52,Table14[ISO Code],0)),"")</f>
        <v/>
      </c>
      <c r="BI52" s="641" t="str">
        <f>IFERROR(INDEX(Table14[Amount disbursed (USD)],MATCH('Matrix Allocations'!A52,Table14[ISO Code],0)),"")</f>
        <v/>
      </c>
      <c r="BJ52" s="641" t="str">
        <f>IFERROR(INDEX('CDS NBW'!$I$2:$I$39,MATCH(A52,'CDS NBW'!$A$2:$A$39,0)),"")</f>
        <v/>
      </c>
      <c r="BK52" s="641" t="str">
        <f>IFERROR(INDEX('CDS NBW'!$J$2:$J$39,MATCH(A52,'CDS NBW'!$A$2:$A$39,0)),"")</f>
        <v/>
      </c>
      <c r="BL52" s="609"/>
      <c r="BM52" s="609"/>
      <c r="BN52" s="609"/>
      <c r="BO52" s="609"/>
      <c r="BP52" s="609">
        <f>IFERROR(INDEX('UNICEF-BMZ'!$O$1:$O$199,MATCH('Matrix Allocations'!A52,'UNICEF-BMZ'!$B$1:$B$199,0)),"")</f>
        <v>0</v>
      </c>
      <c r="BQ52" s="609" t="str">
        <f>IFERROR(VLOOKUP(A52,'BMGF_clean data'!$A$4:$C$30,3,FALSE),"")</f>
        <v/>
      </c>
      <c r="BR52" s="609"/>
      <c r="BS52" s="609"/>
      <c r="BT52" s="609"/>
      <c r="BU52" s="609"/>
      <c r="BV52" s="609"/>
      <c r="BW52" s="87">
        <f>INDEX(USAID!$D$3:$D$151,MATCH('Matrix Allocations'!A52,USAID!$A$3:$A$151,0))</f>
        <v>0</v>
      </c>
      <c r="BX52" s="87" t="str">
        <f>IFERROR(INDEX(DFAT!$L$4:$L$21,MATCH('Matrix Allocations'!A52,DFAT!$B$4:$B$21,0)),"")</f>
        <v/>
      </c>
      <c r="BY52" s="87" t="str">
        <f>IFERROR(INDEX(Table14[Funds Channelled through UNICEF],MATCH('Matrix Allocations'!A52,Table14[ISO Code],0)),"")</f>
        <v/>
      </c>
      <c r="BZ52" s="87">
        <f t="shared" si="23"/>
        <v>0</v>
      </c>
      <c r="CA52">
        <f t="shared" si="30"/>
        <v>2278829</v>
      </c>
      <c r="CB52" s="782">
        <f t="shared" si="10"/>
        <v>683648.7</v>
      </c>
      <c r="CC52" s="791">
        <f t="shared" si="11"/>
        <v>3200000</v>
      </c>
      <c r="CD52" s="788">
        <f t="shared" si="12"/>
        <v>4.6807665984006119</v>
      </c>
      <c r="CE52" s="788">
        <f t="shared" si="13"/>
        <v>3.5105749488004583</v>
      </c>
      <c r="CF52" s="828">
        <f t="shared" si="14"/>
        <v>2.0060428278859765</v>
      </c>
      <c r="CG52" s="828">
        <f t="shared" si="15"/>
        <v>1.4042299795201834</v>
      </c>
      <c r="CH52" s="88">
        <f t="shared" si="31"/>
        <v>2900000</v>
      </c>
      <c r="CI52" s="88">
        <f t="shared" si="16"/>
        <v>300000</v>
      </c>
      <c r="CJ52" s="742">
        <f t="shared" si="32"/>
        <v>0</v>
      </c>
      <c r="CK52" s="848">
        <f t="shared" si="17"/>
        <v>0</v>
      </c>
      <c r="CL52" s="88">
        <f t="shared" si="18"/>
        <v>0</v>
      </c>
    </row>
    <row r="53" spans="1:90" ht="16" customHeight="1">
      <c r="A53" s="55" t="s">
        <v>601</v>
      </c>
      <c r="B53" s="55" t="s">
        <v>206</v>
      </c>
      <c r="C53" s="55" t="s">
        <v>129</v>
      </c>
      <c r="D53" s="55" t="s">
        <v>148</v>
      </c>
      <c r="E53" s="55" t="s">
        <v>145</v>
      </c>
      <c r="F53" s="56"/>
      <c r="G53" s="56" t="str">
        <f t="shared" si="26"/>
        <v>No</v>
      </c>
      <c r="H53" s="56" t="str">
        <f t="shared" si="26"/>
        <v>No</v>
      </c>
      <c r="I53" s="56" t="str">
        <f t="shared" si="27"/>
        <v>Yes</v>
      </c>
      <c r="J53" s="56" t="str">
        <f t="shared" si="28"/>
        <v>Yes</v>
      </c>
      <c r="K53" s="56" t="str">
        <f t="shared" si="29"/>
        <v>No</v>
      </c>
      <c r="L53" s="56" t="s">
        <v>541</v>
      </c>
      <c r="M53" s="55" t="s">
        <v>541</v>
      </c>
      <c r="N53" s="134" t="s">
        <v>541</v>
      </c>
      <c r="O53" s="55" t="s">
        <v>541</v>
      </c>
      <c r="P53" s="55" t="s">
        <v>542</v>
      </c>
      <c r="Q53" s="55"/>
      <c r="R53" s="55"/>
      <c r="S53" s="956">
        <v>15455265.086884515</v>
      </c>
      <c r="T53" s="55" t="s">
        <v>396</v>
      </c>
      <c r="U53" s="64" t="str">
        <f>IFERROR(IF(VLOOKUP(A53,'WB projects data'!$A$5:$C$83,3,0)="Approved",(VLOOKUP(A53,'WB projects data'!$A$5:$C$83,3,0)),""),"")</f>
        <v>Approved</v>
      </c>
      <c r="V53" s="123">
        <f t="shared" si="24"/>
        <v>8000000</v>
      </c>
      <c r="W53" s="123">
        <f>IFERROR((VLOOKUP($A53,'WB projects data'!$A$5:$J$83,6,0)*1000000),"")</f>
        <v>0</v>
      </c>
      <c r="X53" s="123">
        <f>IFERROR((VLOOKUP($A53,'WB projects data'!$A$5:$J$83,7,0)*1000000),"")</f>
        <v>8000000</v>
      </c>
      <c r="Y53" s="123">
        <f>IFERROR((VLOOKUP($A53,'WB projects data'!$A$5:$J$83,8,0)*1000000),"")</f>
        <v>6400000</v>
      </c>
      <c r="Z53" s="123">
        <f>IFERROR((VLOOKUP($A53,'WB projects data'!$A$5:$J$83,9,0)*1000000),"")</f>
        <v>1600000</v>
      </c>
      <c r="AA53" s="123">
        <f>IFERROR((VLOOKUP($A53,'WB projects data'!$A$5:$J$83,10,0)*1000000),"")</f>
        <v>0</v>
      </c>
      <c r="AB53" s="55" t="s">
        <v>541</v>
      </c>
      <c r="AC53" s="110"/>
      <c r="AD53" s="110" t="str">
        <f>IFERROR(VLOOKUP(A53,'ADB Projects'!$A$4:$W$21,5,FALSE),"")</f>
        <v/>
      </c>
      <c r="AE53" s="132" t="str">
        <f>IF(AC53="Approved",(VLOOKUP($A53,'ADB Projects'!$A$5:$D$21,4,0)*1000000),"")</f>
        <v/>
      </c>
      <c r="AF53" s="585" t="str">
        <f>IF(AC53="Approved",(PRODUCT(VLOOKUP($A53,'ADB Projects'!$A$4:$W$21,6,FALSE),1000000)),"")</f>
        <v/>
      </c>
      <c r="AG53" s="585" t="str">
        <f>IF(AC53="Approved",(PRODUCT(VLOOKUP($A53,'ADB Projects'!$A$4:$W$21,7,FALSE),1000000)),"")</f>
        <v/>
      </c>
      <c r="AH53" s="585" t="str">
        <f>IF(AC53="Approved",(PRODUCT(VLOOKUP($A53,'ADB Projects'!$A$4:$W$21,8,FALSE),1000000)),"")</f>
        <v/>
      </c>
      <c r="AI53" s="55" t="s">
        <v>541</v>
      </c>
      <c r="AJ53" s="55"/>
      <c r="AK53" s="244"/>
      <c r="AL53" s="55"/>
      <c r="AM53" s="55"/>
      <c r="AN53" s="55"/>
      <c r="AO53" s="55"/>
      <c r="AP53" s="55"/>
      <c r="AQ53" s="602" t="str">
        <f t="shared" si="25"/>
        <v/>
      </c>
      <c r="AR53" s="602" t="str">
        <f>IFERROR(VLOOKUP($A53,'IDB C19 Vaccine Projects'!$O$4:$Q$12,2,FALSE),"")</f>
        <v/>
      </c>
      <c r="AS53" s="602" t="str">
        <f>IFERROR(VLOOKUP($A53,'IDB C19 Vaccine Projects'!$O$4:$Q$12,3,FALSE),"")</f>
        <v/>
      </c>
      <c r="AT53" s="55"/>
      <c r="AU53" s="88"/>
      <c r="AV53" s="55"/>
      <c r="AW53" s="55"/>
      <c r="AX53" s="88">
        <f>INDEX(USAID!$C$3:$C$151,MATCH('Matrix Allocations'!A53,USAID!$A$3:$A$151,0))</f>
        <v>1085000</v>
      </c>
      <c r="AY53" s="110"/>
      <c r="AZ53" s="88">
        <f>IFERROR(INDEX('[4]Vx All regions allocations'!O$10:O$144,MATCH(A53,'[4]Vx All regions allocations'!A$10:A$144,0)),"")</f>
        <v>552287</v>
      </c>
      <c r="BA53" s="88">
        <v>104000</v>
      </c>
      <c r="BB53" s="88">
        <v>86135</v>
      </c>
      <c r="BC53" s="88" t="str">
        <f>IFERROR(INDEX(DFAT!$K$4:$K$21,MATCH('Matrix Allocations'!A53,DFAT!$B$4:$B$21,0)),"")</f>
        <v/>
      </c>
      <c r="BD53" s="88"/>
      <c r="BE53" s="826" t="str">
        <f>IFERROR(IF(INDEX('GAVI CCE'!$E$3:$E$95,MATCH('Matrix Allocations'!A53,'GAVI CCE'!$A$3:$A$95,0))="Yes",INDEX('GAVI CCE'!$E$3:$E$95,MATCH('Matrix Allocations'!A53,'GAVI CCE'!$A$3:$A$95,0)),""),"")</f>
        <v>Yes</v>
      </c>
      <c r="BF53" s="88">
        <f>IFERROR(IF(BE53="Yes",INDEX('GAVI CCE'!$F$3:$F$95,MATCH('Matrix Allocations'!A53,'GAVI CCE'!$A$3:$A$95,0)),""),"")</f>
        <v>98207</v>
      </c>
      <c r="BG53" s="609" t="str">
        <f>IFERROR(IF(E53='CDS early access ceilings'!$A$94,(VLOOKUP(A53,'CDS early access ceilings'!$A$2:$D$92,4,FALSE)),""),"")</f>
        <v>GAVI</v>
      </c>
      <c r="BH53" s="639" t="str">
        <f>IFERROR(INDEX(Table14[Status (clean)],MATCH('Matrix Allocations'!A53,Table14[ISO Code],0)),"")</f>
        <v>Disbursed</v>
      </c>
      <c r="BI53" s="641">
        <f>IFERROR(INDEX(Table14[Amount disbursed (USD)],MATCH('Matrix Allocations'!A53,Table14[ISO Code],0)),"")</f>
        <v>977007</v>
      </c>
      <c r="BJ53" s="641" t="str">
        <f>IFERROR(INDEX('CDS NBW'!$I$2:$I$39,MATCH(A53,'CDS NBW'!$A$2:$A$39,0)),"")</f>
        <v/>
      </c>
      <c r="BK53" s="641" t="str">
        <f>IFERROR(INDEX('CDS NBW'!$J$2:$J$39,MATCH(A53,'CDS NBW'!$A$2:$A$39,0)),"")</f>
        <v/>
      </c>
      <c r="BL53" s="609"/>
      <c r="BM53" s="609"/>
      <c r="BN53" s="609"/>
      <c r="BO53" s="609"/>
      <c r="BP53" s="609">
        <f>IFERROR(INDEX('UNICEF-BMZ'!$O$1:$O$199,MATCH('Matrix Allocations'!A53,'UNICEF-BMZ'!$B$1:$B$199,0)),"")</f>
        <v>0</v>
      </c>
      <c r="BQ53" s="609" t="str">
        <f>IFERROR(VLOOKUP(A53,'BMGF_clean data'!$A$4:$C$30,3,FALSE),"")</f>
        <v/>
      </c>
      <c r="BR53" s="609"/>
      <c r="BS53" s="609"/>
      <c r="BT53" s="609"/>
      <c r="BU53" s="609"/>
      <c r="BV53" s="609"/>
      <c r="BW53" s="87">
        <f>INDEX(USAID!$D$3:$D$151,MATCH('Matrix Allocations'!A53,USAID!$A$3:$A$151,0))</f>
        <v>1085000</v>
      </c>
      <c r="BX53" s="87" t="str">
        <f>IFERROR(INDEX(DFAT!$L$4:$L$21,MATCH('Matrix Allocations'!A53,DFAT!$B$4:$B$21,0)),"")</f>
        <v/>
      </c>
      <c r="BY53" s="87">
        <f>IFERROR(INDEX(Table14[Funds Channelled through UNICEF],MATCH('Matrix Allocations'!A53,Table14[ISO Code],0)),"")</f>
        <v>0</v>
      </c>
      <c r="BZ53" s="87">
        <f t="shared" si="23"/>
        <v>0</v>
      </c>
      <c r="CA53">
        <f t="shared" si="30"/>
        <v>2486937</v>
      </c>
      <c r="CB53" s="782">
        <f t="shared" si="10"/>
        <v>746081.1</v>
      </c>
      <c r="CC53" s="791">
        <f t="shared" si="11"/>
        <v>4502636</v>
      </c>
      <c r="CD53" s="788">
        <f t="shared" si="12"/>
        <v>6.0350490047261616</v>
      </c>
      <c r="CE53" s="788">
        <f t="shared" si="13"/>
        <v>4.5262867535446212</v>
      </c>
      <c r="CF53" s="828">
        <f t="shared" si="14"/>
        <v>2.5864495734540696</v>
      </c>
      <c r="CG53" s="828">
        <f t="shared" si="15"/>
        <v>1.8105147014178486</v>
      </c>
      <c r="CH53" s="88">
        <f t="shared" si="31"/>
        <v>1600000</v>
      </c>
      <c r="CI53" s="88">
        <f t="shared" si="16"/>
        <v>1085000</v>
      </c>
      <c r="CJ53" s="742">
        <f t="shared" si="32"/>
        <v>0</v>
      </c>
      <c r="CK53" s="848">
        <f t="shared" si="17"/>
        <v>1637287</v>
      </c>
      <c r="CL53" s="88">
        <f t="shared" si="18"/>
        <v>1265349</v>
      </c>
    </row>
    <row r="54" spans="1:90" ht="16" customHeight="1">
      <c r="A54" s="55" t="s">
        <v>602</v>
      </c>
      <c r="B54" s="55" t="s">
        <v>207</v>
      </c>
      <c r="C54" s="55" t="s">
        <v>127</v>
      </c>
      <c r="D54" s="55" t="s">
        <v>152</v>
      </c>
      <c r="E54" s="55" t="s">
        <v>146</v>
      </c>
      <c r="F54" s="56"/>
      <c r="G54" s="56" t="str">
        <f t="shared" si="26"/>
        <v>Yes</v>
      </c>
      <c r="H54" s="56" t="str">
        <f t="shared" si="26"/>
        <v>Yes</v>
      </c>
      <c r="I54" s="56" t="str">
        <f t="shared" si="27"/>
        <v>No</v>
      </c>
      <c r="J54" s="56" t="str">
        <f t="shared" si="28"/>
        <v>No</v>
      </c>
      <c r="K54" s="56" t="str">
        <f t="shared" si="29"/>
        <v>Yes</v>
      </c>
      <c r="L54" s="56" t="s">
        <v>541</v>
      </c>
      <c r="M54" s="55" t="s">
        <v>544</v>
      </c>
      <c r="N54" s="134" t="s">
        <v>544</v>
      </c>
      <c r="O54" s="55" t="s">
        <v>544</v>
      </c>
      <c r="P54" s="55" t="s">
        <v>546</v>
      </c>
      <c r="Q54" s="55"/>
      <c r="R54" s="55"/>
      <c r="S54" s="956">
        <v>494021502.525527</v>
      </c>
      <c r="T54" s="55" t="s">
        <v>395</v>
      </c>
      <c r="U54" s="64" t="str">
        <f>IFERROR(IF(VLOOKUP(A54,'WB projects data'!$A$5:$C$83,3,0)="Approved",(VLOOKUP(A54,'WB projects data'!$A$5:$C$83,3,0)),""),"")</f>
        <v>Approved</v>
      </c>
      <c r="V54" s="123">
        <f t="shared" si="24"/>
        <v>34500000</v>
      </c>
      <c r="W54" s="123">
        <f>IFERROR((VLOOKUP($A54,'WB projects data'!$A$5:$J$83,6,0)*1000000),"")</f>
        <v>34500000</v>
      </c>
      <c r="X54" s="123">
        <f>IFERROR((VLOOKUP($A54,'WB projects data'!$A$5:$J$83,7,0)*1000000),"")</f>
        <v>0</v>
      </c>
      <c r="Y54" s="123">
        <f>IFERROR((VLOOKUP($A54,'WB projects data'!$A$5:$J$83,8,0)*1000000),"")</f>
        <v>32900000</v>
      </c>
      <c r="Z54" s="123">
        <f>IFERROR((VLOOKUP($A54,'WB projects data'!$A$5:$J$83,9,0)*1000000),"")</f>
        <v>1100000</v>
      </c>
      <c r="AA54" s="123">
        <f>IFERROR((VLOOKUP($A54,'WB projects data'!$A$5:$J$83,10,0)*1000000),"")</f>
        <v>500000</v>
      </c>
      <c r="AB54" s="55" t="s">
        <v>541</v>
      </c>
      <c r="AC54" s="110"/>
      <c r="AD54" s="110" t="str">
        <f>IFERROR(VLOOKUP(A54,'ADB Projects'!$A$4:$W$21,5,FALSE),"")</f>
        <v/>
      </c>
      <c r="AE54" s="132" t="str">
        <f>IF(AC54="Approved",(VLOOKUP($A54,'ADB Projects'!$A$5:$D$21,4,0)*1000000),"")</f>
        <v/>
      </c>
      <c r="AF54" s="585" t="str">
        <f>IF(AC54="Approved",(PRODUCT(VLOOKUP($A54,'ADB Projects'!$A$4:$W$21,6,FALSE),1000000)),"")</f>
        <v/>
      </c>
      <c r="AG54" s="585" t="str">
        <f>IF(AC54="Approved",(PRODUCT(VLOOKUP($A54,'ADB Projects'!$A$4:$W$21,7,FALSE),1000000)),"")</f>
        <v/>
      </c>
      <c r="AH54" s="585" t="str">
        <f>IF(AC54="Approved",(PRODUCT(VLOOKUP($A54,'ADB Projects'!$A$4:$W$21,8,FALSE),1000000)),"")</f>
        <v/>
      </c>
      <c r="AI54" s="55"/>
      <c r="AJ54" s="55"/>
      <c r="AK54" s="244"/>
      <c r="AL54" s="55"/>
      <c r="AM54" s="55"/>
      <c r="AN54" s="55"/>
      <c r="AO54" s="55"/>
      <c r="AP54" s="55"/>
      <c r="AQ54" s="602" t="str">
        <f t="shared" si="25"/>
        <v/>
      </c>
      <c r="AR54" s="602" t="str">
        <f>IFERROR(VLOOKUP($A54,'IDB C19 Vaccine Projects'!$O$4:$Q$12,2,FALSE),"")</f>
        <v/>
      </c>
      <c r="AS54" s="602" t="str">
        <f>IFERROR(VLOOKUP($A54,'IDB C19 Vaccine Projects'!$O$4:$Q$12,3,FALSE),"")</f>
        <v/>
      </c>
      <c r="AT54" s="55"/>
      <c r="AU54" s="88"/>
      <c r="AV54" s="55"/>
      <c r="AW54" s="55"/>
      <c r="AX54" s="88">
        <f>INDEX(USAID!$C$3:$C$151,MATCH('Matrix Allocations'!A54,USAID!$A$3:$A$151,0))</f>
        <v>4400000</v>
      </c>
      <c r="AY54" s="110"/>
      <c r="AZ54" s="88">
        <f>IFERROR(INDEX('[4]Vx All regions allocations'!O$10:O$144,MATCH(A54,'[4]Vx All regions allocations'!A$10:A$144,0)),"")</f>
        <v>200000</v>
      </c>
      <c r="BA54" s="88">
        <v>0</v>
      </c>
      <c r="BB54" s="88">
        <v>0</v>
      </c>
      <c r="BC54" s="88" t="str">
        <f>IFERROR(INDEX(DFAT!$K$4:$K$21,MATCH('Matrix Allocations'!A54,DFAT!$B$4:$B$21,0)),"")</f>
        <v/>
      </c>
      <c r="BD54" s="88"/>
      <c r="BE54" s="826" t="str">
        <f>IFERROR(IF(INDEX('GAVI CCE'!$E$3:$E$95,MATCH('Matrix Allocations'!A54,'GAVI CCE'!$A$3:$A$95,0))="Yes",INDEX('GAVI CCE'!$E$3:$E$95,MATCH('Matrix Allocations'!A54,'GAVI CCE'!$A$3:$A$95,0)),""),"")</f>
        <v/>
      </c>
      <c r="BF54" s="88" t="str">
        <f>IFERROR(IF(BE54="Yes",INDEX('GAVI CCE'!$F$3:$F$95,MATCH('Matrix Allocations'!A54,'GAVI CCE'!$A$3:$A$95,0)),""),"")</f>
        <v/>
      </c>
      <c r="BG54" s="609" t="str">
        <f>IFERROR(IF(E54='CDS early access ceilings'!$A$94,(VLOOKUP(A54,'CDS early access ceilings'!$A$2:$D$92,4,FALSE)),""),"")</f>
        <v/>
      </c>
      <c r="BH54" s="639" t="str">
        <f>IFERROR(INDEX(Table14[Status (clean)],MATCH('Matrix Allocations'!A54,Table14[ISO Code],0)),"")</f>
        <v/>
      </c>
      <c r="BI54" s="641" t="str">
        <f>IFERROR(INDEX(Table14[Amount disbursed (USD)],MATCH('Matrix Allocations'!A54,Table14[ISO Code],0)),"")</f>
        <v/>
      </c>
      <c r="BJ54" s="641" t="str">
        <f>IFERROR(INDEX('CDS NBW'!$I$2:$I$39,MATCH(A54,'CDS NBW'!$A$2:$A$39,0)),"")</f>
        <v/>
      </c>
      <c r="BK54" s="641" t="str">
        <f>IFERROR(INDEX('CDS NBW'!$J$2:$J$39,MATCH(A54,'CDS NBW'!$A$2:$A$39,0)),"")</f>
        <v/>
      </c>
      <c r="BL54" s="609"/>
      <c r="BM54" s="609"/>
      <c r="BN54" s="609"/>
      <c r="BO54" s="609"/>
      <c r="BP54" s="609">
        <f>IFERROR(INDEX('UNICEF-BMZ'!$O$1:$O$199,MATCH('Matrix Allocations'!A54,'UNICEF-BMZ'!$B$1:$B$199,0)),"")</f>
        <v>0</v>
      </c>
      <c r="BQ54" s="609" t="str">
        <f>IFERROR(VLOOKUP(A54,'BMGF_clean data'!$A$4:$C$30,3,FALSE),"")</f>
        <v/>
      </c>
      <c r="BR54" s="609"/>
      <c r="BS54" s="609"/>
      <c r="BT54" s="609"/>
      <c r="BU54" s="609"/>
      <c r="BV54" s="609"/>
      <c r="BW54" s="87">
        <f>INDEX(USAID!$D$3:$D$151,MATCH('Matrix Allocations'!A54,USAID!$A$3:$A$151,0))</f>
        <v>1000000</v>
      </c>
      <c r="BX54" s="87" t="str">
        <f>IFERROR(INDEX(DFAT!$L$4:$L$21,MATCH('Matrix Allocations'!A54,DFAT!$B$4:$B$21,0)),"")</f>
        <v/>
      </c>
      <c r="BY54" s="87" t="str">
        <f>IFERROR(INDEX(Table14[Funds Channelled through UNICEF],MATCH('Matrix Allocations'!A54,Table14[ISO Code],0)),"")</f>
        <v/>
      </c>
      <c r="BZ54" s="87">
        <f t="shared" si="23"/>
        <v>0</v>
      </c>
      <c r="CA54">
        <f t="shared" si="30"/>
        <v>3979773</v>
      </c>
      <c r="CB54" s="782">
        <f t="shared" si="10"/>
        <v>1193931.8999999999</v>
      </c>
      <c r="CC54" s="791">
        <f t="shared" si="11"/>
        <v>5700000</v>
      </c>
      <c r="CD54" s="788">
        <f t="shared" si="12"/>
        <v>4.7741416407418216</v>
      </c>
      <c r="CE54" s="788">
        <f t="shared" si="13"/>
        <v>3.5806062305563655</v>
      </c>
      <c r="CF54" s="828">
        <f t="shared" si="14"/>
        <v>2.0460607031750664</v>
      </c>
      <c r="CG54" s="828">
        <f t="shared" si="15"/>
        <v>1.4322424922225463</v>
      </c>
      <c r="CH54" s="88">
        <f t="shared" si="31"/>
        <v>1100000</v>
      </c>
      <c r="CI54" s="88">
        <f t="shared" si="16"/>
        <v>4400000</v>
      </c>
      <c r="CJ54" s="742">
        <f t="shared" si="32"/>
        <v>0</v>
      </c>
      <c r="CK54" s="848">
        <f t="shared" si="17"/>
        <v>1200000</v>
      </c>
      <c r="CL54" s="88">
        <f t="shared" si="18"/>
        <v>0</v>
      </c>
    </row>
    <row r="55" spans="1:90" ht="16" customHeight="1">
      <c r="A55" s="55" t="s">
        <v>603</v>
      </c>
      <c r="B55" s="55" t="s">
        <v>208</v>
      </c>
      <c r="C55" s="55" t="s">
        <v>129</v>
      </c>
      <c r="D55" s="55" t="s">
        <v>150</v>
      </c>
      <c r="E55" s="55" t="s">
        <v>145</v>
      </c>
      <c r="F55" s="56"/>
      <c r="G55" s="56" t="str">
        <f t="shared" si="26"/>
        <v>Yes</v>
      </c>
      <c r="H55" s="56" t="str">
        <f t="shared" si="26"/>
        <v>Yes</v>
      </c>
      <c r="I55" s="56" t="str">
        <f t="shared" si="27"/>
        <v>No</v>
      </c>
      <c r="J55" s="56" t="str">
        <f t="shared" si="28"/>
        <v>No</v>
      </c>
      <c r="K55" s="56" t="str">
        <f t="shared" si="29"/>
        <v>Yes</v>
      </c>
      <c r="L55" s="56" t="s">
        <v>541</v>
      </c>
      <c r="M55" s="55" t="s">
        <v>541</v>
      </c>
      <c r="N55" s="134" t="s">
        <v>541</v>
      </c>
      <c r="O55" s="55" t="s">
        <v>544</v>
      </c>
      <c r="P55" s="55" t="s">
        <v>542</v>
      </c>
      <c r="Q55" s="55" t="s">
        <v>541</v>
      </c>
      <c r="R55" s="55"/>
      <c r="S55" s="956">
        <v>902005621.73836684</v>
      </c>
      <c r="T55" s="55" t="s">
        <v>395</v>
      </c>
      <c r="U55" s="64" t="str">
        <f>IFERROR(IF(VLOOKUP(A55,'WB projects data'!$A$5:$C$83,3,0)="Approved",(VLOOKUP(A55,'WB projects data'!$A$5:$C$83,3,0)),""),"")</f>
        <v>Approved</v>
      </c>
      <c r="V55" s="123">
        <f t="shared" si="24"/>
        <v>200000000</v>
      </c>
      <c r="W55" s="123">
        <f>IFERROR((VLOOKUP($A55,'WB projects data'!$A$5:$J$83,6,0)*1000000),"")</f>
        <v>200000000</v>
      </c>
      <c r="X55" s="123">
        <f>IFERROR((VLOOKUP($A55,'WB projects data'!$A$5:$J$83,7,0)*1000000),"")</f>
        <v>0</v>
      </c>
      <c r="Y55" s="123">
        <f>IFERROR((VLOOKUP($A55,'WB projects data'!$A$5:$J$83,8,0)*1000000),"")</f>
        <v>137200000</v>
      </c>
      <c r="Z55" s="123">
        <f>IFERROR((VLOOKUP($A55,'WB projects data'!$A$5:$J$83,9,0)*1000000),"")</f>
        <v>7000000</v>
      </c>
      <c r="AA55" s="123">
        <f>IFERROR((VLOOKUP($A55,'WB projects data'!$A$5:$J$83,10,0)*1000000),"")</f>
        <v>55800000</v>
      </c>
      <c r="AB55" s="55" t="s">
        <v>541</v>
      </c>
      <c r="AC55" s="110"/>
      <c r="AD55" s="110" t="str">
        <f>IFERROR(VLOOKUP(A55,'ADB Projects'!$A$4:$W$21,5,FALSE),"")</f>
        <v/>
      </c>
      <c r="AE55" s="132" t="str">
        <f>IF(AC55="Approved",(VLOOKUP($A55,'ADB Projects'!$A$5:$D$21,4,0)*1000000),"")</f>
        <v/>
      </c>
      <c r="AF55" s="585" t="str">
        <f>IF(AC55="Approved",(PRODUCT(VLOOKUP($A55,'ADB Projects'!$A$4:$W$21,6,FALSE),1000000)),"")</f>
        <v/>
      </c>
      <c r="AG55" s="585" t="str">
        <f>IF(AC55="Approved",(PRODUCT(VLOOKUP($A55,'ADB Projects'!$A$4:$W$21,7,FALSE),1000000)),"")</f>
        <v/>
      </c>
      <c r="AH55" s="585" t="str">
        <f>IF(AC55="Approved",(PRODUCT(VLOOKUP($A55,'ADB Projects'!$A$4:$W$21,8,FALSE),1000000)),"")</f>
        <v/>
      </c>
      <c r="AI55" s="55" t="s">
        <v>541</v>
      </c>
      <c r="AJ55" s="55"/>
      <c r="AK55" s="244"/>
      <c r="AL55" s="55"/>
      <c r="AM55" s="55"/>
      <c r="AN55" s="55"/>
      <c r="AO55" s="55"/>
      <c r="AP55" s="55"/>
      <c r="AQ55" s="602" t="str">
        <f t="shared" si="25"/>
        <v/>
      </c>
      <c r="AR55" s="602" t="str">
        <f>IFERROR(VLOOKUP($A55,'IDB C19 Vaccine Projects'!$O$4:$Q$12,2,FALSE),"")</f>
        <v/>
      </c>
      <c r="AS55" s="602" t="str">
        <f>IFERROR(VLOOKUP($A55,'IDB C19 Vaccine Projects'!$O$4:$Q$12,3,FALSE),"")</f>
        <v/>
      </c>
      <c r="AT55" s="55"/>
      <c r="AU55" s="88"/>
      <c r="AV55" s="635">
        <v>608549</v>
      </c>
      <c r="AW55" s="55"/>
      <c r="AX55" s="88">
        <f>INDEX(USAID!$C$3:$C$151,MATCH('Matrix Allocations'!A55,USAID!$A$3:$A$151,0))</f>
        <v>2950000</v>
      </c>
      <c r="AY55" s="110">
        <v>925925</v>
      </c>
      <c r="AZ55" s="88">
        <f>IFERROR(INDEX('[4]Vx All regions allocations'!O$10:O$144,MATCH(A55,'[4]Vx All regions allocations'!A$10:A$144,0)),"")</f>
        <v>0</v>
      </c>
      <c r="BA55" s="88">
        <v>193425</v>
      </c>
      <c r="BB55" s="88">
        <v>204263</v>
      </c>
      <c r="BC55" s="88" t="str">
        <f>IFERROR(INDEX(DFAT!$K$4:$K$21,MATCH('Matrix Allocations'!A55,DFAT!$B$4:$B$21,0)),"")</f>
        <v/>
      </c>
      <c r="BD55" s="88"/>
      <c r="BE55" s="826" t="str">
        <f>IFERROR(IF(INDEX('GAVI CCE'!$E$3:$E$95,MATCH('Matrix Allocations'!A55,'GAVI CCE'!$A$3:$A$95,0))="Yes",INDEX('GAVI CCE'!$E$3:$E$95,MATCH('Matrix Allocations'!A55,'GAVI CCE'!$A$3:$A$95,0)),""),"")</f>
        <v>Yes</v>
      </c>
      <c r="BF55" s="88">
        <f>IFERROR(IF(BE55="Yes",INDEX('GAVI CCE'!$F$3:$F$95,MATCH('Matrix Allocations'!A55,'GAVI CCE'!$A$3:$A$95,0)),""),"")</f>
        <v>793746</v>
      </c>
      <c r="BG55" s="609" t="str">
        <f>IFERROR(IF(E55='CDS early access ceilings'!$A$94,(VLOOKUP(A55,'CDS early access ceilings'!$A$2:$D$92,4,FALSE)),""),"")</f>
        <v>GAVI</v>
      </c>
      <c r="BH55" s="639" t="str">
        <f>IFERROR(INDEX(Table14[Status (clean)],MATCH('Matrix Allocations'!A55,Table14[ISO Code],0)),"")</f>
        <v>Disbursed</v>
      </c>
      <c r="BI55" s="641">
        <f>IFERROR(INDEX(Table14[Amount disbursed (USD)],MATCH('Matrix Allocations'!A55,Table14[ISO Code],0)),"")</f>
        <v>2108935</v>
      </c>
      <c r="BJ55" s="641" t="str">
        <f>IFERROR(INDEX('CDS NBW'!$I$2:$I$39,MATCH(A55,'CDS NBW'!$A$2:$A$39,0)),"")</f>
        <v>Submitted</v>
      </c>
      <c r="BK55" s="641" t="str">
        <f>IFERROR(INDEX('CDS NBW'!$J$2:$J$39,MATCH(A55,'CDS NBW'!$A$2:$A$39,0)),"")</f>
        <v/>
      </c>
      <c r="BL55" s="609"/>
      <c r="BM55" s="609"/>
      <c r="BN55" s="609"/>
      <c r="BO55" s="609">
        <v>142909</v>
      </c>
      <c r="BP55" s="609">
        <f>IFERROR(INDEX('UNICEF-BMZ'!$O$1:$O$199,MATCH('Matrix Allocations'!A55,'UNICEF-BMZ'!$B$1:$B$199,0)),"")</f>
        <v>890000</v>
      </c>
      <c r="BQ55" s="609">
        <f>IFERROR(VLOOKUP(A55,'BMGF_clean data'!$A$4:$C$30,3,FALSE),"")</f>
        <v>223000</v>
      </c>
      <c r="BR55" s="609"/>
      <c r="BS55" s="609"/>
      <c r="BT55" s="609"/>
      <c r="BU55" s="609"/>
      <c r="BV55" s="609"/>
      <c r="BW55" s="87">
        <f>INDEX(USAID!$D$3:$D$151,MATCH('Matrix Allocations'!A55,USAID!$A$3:$A$151,0))</f>
        <v>0</v>
      </c>
      <c r="BX55" s="87" t="str">
        <f>IFERROR(INDEX(DFAT!$L$4:$L$21,MATCH('Matrix Allocations'!A55,DFAT!$B$4:$B$21,0)),"")</f>
        <v/>
      </c>
      <c r="BY55" s="87">
        <f>IFERROR(INDEX(Table14[Funds Channelled through UNICEF],MATCH('Matrix Allocations'!A55,Table14[ISO Code],0)),"")</f>
        <v>80488</v>
      </c>
      <c r="BZ55" s="87">
        <f t="shared" si="23"/>
        <v>80488</v>
      </c>
      <c r="CA55">
        <f t="shared" si="30"/>
        <v>31732128</v>
      </c>
      <c r="CB55" s="782">
        <f t="shared" si="10"/>
        <v>9519638.4000000004</v>
      </c>
      <c r="CC55" s="791">
        <f t="shared" si="11"/>
        <v>16040752</v>
      </c>
      <c r="CD55" s="788">
        <f t="shared" si="12"/>
        <v>1.685016943500711</v>
      </c>
      <c r="CE55" s="788">
        <f t="shared" si="13"/>
        <v>1.2637627076255333</v>
      </c>
      <c r="CF55" s="828">
        <f t="shared" si="14"/>
        <v>0.72215011864316203</v>
      </c>
      <c r="CG55" s="828">
        <f t="shared" si="15"/>
        <v>0.50550508305021336</v>
      </c>
      <c r="CH55" s="88">
        <f t="shared" si="31"/>
        <v>7000000</v>
      </c>
      <c r="CI55" s="88">
        <f t="shared" si="16"/>
        <v>3875925</v>
      </c>
      <c r="CJ55" s="742">
        <f t="shared" si="32"/>
        <v>974458</v>
      </c>
      <c r="CK55" s="848">
        <f t="shared" si="17"/>
        <v>1757871</v>
      </c>
      <c r="CL55" s="88">
        <f t="shared" si="18"/>
        <v>4190369</v>
      </c>
    </row>
    <row r="56" spans="1:90" ht="16" customHeight="1">
      <c r="A56" s="55" t="s">
        <v>604</v>
      </c>
      <c r="B56" s="55" t="s">
        <v>209</v>
      </c>
      <c r="C56" s="55" t="s">
        <v>130</v>
      </c>
      <c r="D56" s="55" t="s">
        <v>152</v>
      </c>
      <c r="E56" s="55" t="s">
        <v>145</v>
      </c>
      <c r="F56" s="56"/>
      <c r="G56" s="56" t="str">
        <f t="shared" si="26"/>
        <v>No</v>
      </c>
      <c r="H56" s="56" t="str">
        <f t="shared" si="26"/>
        <v>No</v>
      </c>
      <c r="I56" s="56" t="str">
        <f t="shared" si="27"/>
        <v>Yes</v>
      </c>
      <c r="J56" s="56" t="str">
        <f t="shared" si="28"/>
        <v>Yes</v>
      </c>
      <c r="K56" s="56" t="str">
        <f t="shared" si="29"/>
        <v>No</v>
      </c>
      <c r="L56" s="56" t="s">
        <v>541</v>
      </c>
      <c r="M56" s="55" t="s">
        <v>544</v>
      </c>
      <c r="N56" s="134" t="s">
        <v>541</v>
      </c>
      <c r="O56" s="55" t="s">
        <v>541</v>
      </c>
      <c r="P56" s="55" t="s">
        <v>583</v>
      </c>
      <c r="Q56" s="55"/>
      <c r="R56" s="55"/>
      <c r="S56" s="956">
        <v>20201670.142996579</v>
      </c>
      <c r="T56" s="55" t="s">
        <v>396</v>
      </c>
      <c r="U56" s="64" t="str">
        <f>IFERROR(IF(VLOOKUP(A56,'WB projects data'!$A$5:$C$83,3,0)="Approved",(VLOOKUP(A56,'WB projects data'!$A$5:$C$83,3,0)),""),"")</f>
        <v/>
      </c>
      <c r="V56" s="123" t="str">
        <f t="shared" si="24"/>
        <v/>
      </c>
      <c r="W56" s="123" t="str">
        <f>IFERROR((VLOOKUP($A56,'WB projects data'!$A$5:$J$83,6,0)*1000000),"")</f>
        <v/>
      </c>
      <c r="X56" s="123" t="str">
        <f>IFERROR((VLOOKUP($A56,'WB projects data'!$A$5:$J$83,7,0)*1000000),"")</f>
        <v/>
      </c>
      <c r="Y56" s="123" t="str">
        <f>IFERROR((VLOOKUP($A56,'WB projects data'!$A$5:$J$83,8,0)*1000000),"")</f>
        <v/>
      </c>
      <c r="Z56" s="123" t="str">
        <f>IFERROR((VLOOKUP($A56,'WB projects data'!$A$5:$J$83,9,0)*1000000),"")</f>
        <v/>
      </c>
      <c r="AA56" s="123" t="str">
        <f>IFERROR((VLOOKUP($A56,'WB projects data'!$A$5:$J$83,10,0)*1000000),"")</f>
        <v/>
      </c>
      <c r="AB56" s="55" t="s">
        <v>541</v>
      </c>
      <c r="AC56" s="110"/>
      <c r="AD56" s="110" t="str">
        <f>IFERROR(VLOOKUP(A56,'ADB Projects'!$A$4:$W$21,5,FALSE),"")</f>
        <v/>
      </c>
      <c r="AE56" s="132" t="str">
        <f>IF(AC56="Approved",(VLOOKUP($A56,'ADB Projects'!$A$5:$D$21,4,0)*1000000),"")</f>
        <v/>
      </c>
      <c r="AF56" s="585" t="str">
        <f>IF(AC56="Approved",(PRODUCT(VLOOKUP($A56,'ADB Projects'!$A$4:$W$21,6,FALSE),1000000)),"")</f>
        <v/>
      </c>
      <c r="AG56" s="585" t="str">
        <f>IF(AC56="Approved",(PRODUCT(VLOOKUP($A56,'ADB Projects'!$A$4:$W$21,7,FALSE),1000000)),"")</f>
        <v/>
      </c>
      <c r="AH56" s="585" t="str">
        <f>IF(AC56="Approved",(PRODUCT(VLOOKUP($A56,'ADB Projects'!$A$4:$W$21,8,FALSE),1000000)),"")</f>
        <v/>
      </c>
      <c r="AI56" s="55"/>
      <c r="AJ56" s="55"/>
      <c r="AK56" s="244"/>
      <c r="AL56" s="55"/>
      <c r="AM56" s="55"/>
      <c r="AN56" s="55"/>
      <c r="AO56" s="55"/>
      <c r="AP56" s="55"/>
      <c r="AQ56" s="602" t="str">
        <f t="shared" si="25"/>
        <v/>
      </c>
      <c r="AR56" s="602" t="str">
        <f>IFERROR(VLOOKUP($A56,'IDB C19 Vaccine Projects'!$O$4:$Q$12,2,FALSE),"")</f>
        <v/>
      </c>
      <c r="AS56" s="602" t="str">
        <f>IFERROR(VLOOKUP($A56,'IDB C19 Vaccine Projects'!$O$4:$Q$12,3,FALSE),"")</f>
        <v/>
      </c>
      <c r="AT56" s="55"/>
      <c r="AU56" s="88"/>
      <c r="AV56" s="55"/>
      <c r="AW56" s="55"/>
      <c r="AX56" s="88" t="str">
        <f>INDEX(USAID!$C$3:$C$151,MATCH('Matrix Allocations'!A56,USAID!$A$3:$A$151,0))</f>
        <v/>
      </c>
      <c r="AY56" s="110"/>
      <c r="AZ56" s="88">
        <f>IFERROR(INDEX('[4]Vx All regions allocations'!O$10:O$144,MATCH(A56,'[4]Vx All regions allocations'!A$10:A$144,0)),"")</f>
        <v>75000</v>
      </c>
      <c r="BA56" s="88">
        <v>0</v>
      </c>
      <c r="BB56" s="88">
        <v>50000</v>
      </c>
      <c r="BC56" s="88" t="str">
        <f>IFERROR(INDEX(DFAT!$K$4:$K$21,MATCH('Matrix Allocations'!A56,DFAT!$B$4:$B$21,0)),"")</f>
        <v/>
      </c>
      <c r="BD56" s="88"/>
      <c r="BE56" s="826" t="str">
        <f>IFERROR(IF(INDEX('GAVI CCE'!$E$3:$E$95,MATCH('Matrix Allocations'!A56,'GAVI CCE'!$A$3:$A$95,0))="Yes",INDEX('GAVI CCE'!$E$3:$E$95,MATCH('Matrix Allocations'!A56,'GAVI CCE'!$A$3:$A$95,0)),""),"")</f>
        <v/>
      </c>
      <c r="BF56" s="88" t="str">
        <f>IFERROR(IF(BE56="Yes",INDEX('GAVI CCE'!$F$3:$F$95,MATCH('Matrix Allocations'!A56,'GAVI CCE'!$A$3:$A$95,0)),""),"")</f>
        <v/>
      </c>
      <c r="BG56" s="609" t="str">
        <f>IFERROR(IF(E56='CDS early access ceilings'!$A$94,(VLOOKUP(A56,'CDS early access ceilings'!$A$2:$D$92,4,FALSE)),""),"")</f>
        <v>UNICEF</v>
      </c>
      <c r="BH56" s="639" t="str">
        <f>IFERROR(INDEX(Table14[Status (clean)],MATCH('Matrix Allocations'!A56,Table14[ISO Code],0)),"")</f>
        <v>Disbursed</v>
      </c>
      <c r="BI56" s="641">
        <f>IFERROR(INDEX(Table14[Amount disbursed (USD)],MATCH('Matrix Allocations'!A56,Table14[ISO Code],0)),"")</f>
        <v>230000</v>
      </c>
      <c r="BJ56" s="641" t="str">
        <f>IFERROR(INDEX('CDS NBW'!$I$2:$I$39,MATCH(A56,'CDS NBW'!$A$2:$A$39,0)),"")</f>
        <v>Disbursed</v>
      </c>
      <c r="BK56" s="641">
        <f>IFERROR(INDEX('CDS NBW'!$J$2:$J$39,MATCH(A56,'CDS NBW'!$A$2:$A$39,0)),"")</f>
        <v>200000</v>
      </c>
      <c r="BL56" s="609"/>
      <c r="BM56" s="609"/>
      <c r="BN56" s="609"/>
      <c r="BO56" s="609"/>
      <c r="BP56" s="609">
        <f>IFERROR(INDEX('UNICEF-BMZ'!$O$1:$O$199,MATCH('Matrix Allocations'!A56,'UNICEF-BMZ'!$B$1:$B$199,0)),"")</f>
        <v>0</v>
      </c>
      <c r="BQ56" s="609" t="str">
        <f>IFERROR(VLOOKUP(A56,'BMGF_clean data'!$A$4:$C$30,3,FALSE),"")</f>
        <v/>
      </c>
      <c r="BR56" s="609"/>
      <c r="BS56" s="609"/>
      <c r="BT56" s="609"/>
      <c r="BU56" s="609"/>
      <c r="BV56" s="609"/>
      <c r="BW56" s="87">
        <f>INDEX(USAID!$D$3:$D$151,MATCH('Matrix Allocations'!A56,USAID!$A$3:$A$151,0))</f>
        <v>0</v>
      </c>
      <c r="BX56" s="87" t="str">
        <f>IFERROR(INDEX(DFAT!$L$4:$L$21,MATCH('Matrix Allocations'!A56,DFAT!$B$4:$B$21,0)),"")</f>
        <v/>
      </c>
      <c r="BY56" s="87">
        <f>IFERROR(INDEX(Table14[Funds Channelled through UNICEF],MATCH('Matrix Allocations'!A56,Table14[ISO Code],0)),"")</f>
        <v>0</v>
      </c>
      <c r="BZ56" s="87">
        <f t="shared" si="23"/>
        <v>230000</v>
      </c>
      <c r="CA56">
        <f t="shared" si="30"/>
        <v>113015</v>
      </c>
      <c r="CB56" s="782">
        <f t="shared" si="10"/>
        <v>33904.5</v>
      </c>
      <c r="CC56" s="791">
        <f t="shared" si="11"/>
        <v>555000</v>
      </c>
      <c r="CD56" s="788">
        <f t="shared" si="12"/>
        <v>16.369508472326682</v>
      </c>
      <c r="CE56" s="788">
        <f t="shared" si="13"/>
        <v>12.277131354245011</v>
      </c>
      <c r="CF56" s="828">
        <f t="shared" si="14"/>
        <v>7.0155036309971495</v>
      </c>
      <c r="CG56" s="828">
        <f t="shared" si="15"/>
        <v>4.9108525416980049</v>
      </c>
      <c r="CH56" s="88">
        <f t="shared" si="31"/>
        <v>0</v>
      </c>
      <c r="CI56" s="88">
        <f t="shared" si="16"/>
        <v>0</v>
      </c>
      <c r="CJ56" s="742">
        <f t="shared" si="32"/>
        <v>0</v>
      </c>
      <c r="CK56" s="848">
        <f t="shared" si="17"/>
        <v>75000</v>
      </c>
      <c r="CL56" s="88">
        <f t="shared" si="18"/>
        <v>680000</v>
      </c>
    </row>
    <row r="57" spans="1:90" ht="16" customHeight="1">
      <c r="A57" s="147" t="s">
        <v>605</v>
      </c>
      <c r="B57" s="147" t="s">
        <v>210</v>
      </c>
      <c r="C57" s="55" t="s">
        <v>130</v>
      </c>
      <c r="D57" s="55" t="s">
        <v>152</v>
      </c>
      <c r="E57" s="55" t="s">
        <v>146</v>
      </c>
      <c r="F57" s="56"/>
      <c r="G57" s="56" t="str">
        <f t="shared" si="26"/>
        <v>No</v>
      </c>
      <c r="H57" s="56" t="str">
        <f t="shared" si="26"/>
        <v>No</v>
      </c>
      <c r="I57" s="56" t="str">
        <f t="shared" si="27"/>
        <v>No</v>
      </c>
      <c r="J57" s="56" t="str">
        <f t="shared" si="28"/>
        <v>Yes</v>
      </c>
      <c r="K57" s="56" t="str">
        <f t="shared" si="29"/>
        <v>No</v>
      </c>
      <c r="L57" s="56" t="s">
        <v>541</v>
      </c>
      <c r="M57" s="55" t="s">
        <v>541</v>
      </c>
      <c r="N57" s="134" t="s">
        <v>544</v>
      </c>
      <c r="O57" s="55" t="s">
        <v>544</v>
      </c>
      <c r="P57" s="55"/>
      <c r="Q57" s="55"/>
      <c r="R57" s="55"/>
      <c r="S57" s="956">
        <v>1612434649.6948864</v>
      </c>
      <c r="T57" s="55" t="s">
        <v>394</v>
      </c>
      <c r="U57" s="64" t="str">
        <f>IFERROR(IF(VLOOKUP(A57,'WB projects data'!$A$5:$C$83,3,0)="Approved",(VLOOKUP(A57,'WB projects data'!$A$5:$C$83,3,0)),""),"")</f>
        <v/>
      </c>
      <c r="V57" s="123" t="str">
        <f t="shared" si="24"/>
        <v/>
      </c>
      <c r="W57" s="123" t="str">
        <f>IFERROR((VLOOKUP($A57,'WB projects data'!$A$5:$J$83,6,0)*1000000),"")</f>
        <v/>
      </c>
      <c r="X57" s="123" t="str">
        <f>IFERROR((VLOOKUP($A57,'WB projects data'!$A$5:$J$83,7,0)*1000000),"")</f>
        <v/>
      </c>
      <c r="Y57" s="123" t="str">
        <f>IFERROR((VLOOKUP($A57,'WB projects data'!$A$5:$J$83,8,0)*1000000),"")</f>
        <v/>
      </c>
      <c r="Z57" s="123" t="str">
        <f>IFERROR((VLOOKUP($A57,'WB projects data'!$A$5:$J$83,9,0)*1000000),"")</f>
        <v/>
      </c>
      <c r="AA57" s="123" t="str">
        <f>IFERROR((VLOOKUP($A57,'WB projects data'!$A$5:$J$83,10,0)*1000000),"")</f>
        <v/>
      </c>
      <c r="AB57" s="55"/>
      <c r="AC57" s="110"/>
      <c r="AD57" s="110" t="str">
        <f>IFERROR(VLOOKUP(A57,'ADB Projects'!$A$4:$W$21,5,FALSE),"")</f>
        <v/>
      </c>
      <c r="AE57" s="132" t="str">
        <f>IF(AC57="Approved",(VLOOKUP($A57,'ADB Projects'!$A$5:$D$21,4,0)*1000000),"")</f>
        <v/>
      </c>
      <c r="AF57" s="585" t="str">
        <f>IF(AC57="Approved",(PRODUCT(VLOOKUP($A57,'ADB Projects'!$A$4:$W$21,6,FALSE),1000000)),"")</f>
        <v/>
      </c>
      <c r="AG57" s="585" t="str">
        <f>IF(AC57="Approved",(PRODUCT(VLOOKUP($A57,'ADB Projects'!$A$4:$W$21,7,FALSE),1000000)),"")</f>
        <v/>
      </c>
      <c r="AH57" s="585" t="str">
        <f>IF(AC57="Approved",(PRODUCT(VLOOKUP($A57,'ADB Projects'!$A$4:$W$21,8,FALSE),1000000)),"")</f>
        <v/>
      </c>
      <c r="AI57" s="55" t="s">
        <v>541</v>
      </c>
      <c r="AJ57" s="55"/>
      <c r="AK57" s="244"/>
      <c r="AL57" s="55" t="s">
        <v>541</v>
      </c>
      <c r="AM57" s="55"/>
      <c r="AN57" s="55"/>
      <c r="AO57" s="55" t="s">
        <v>541</v>
      </c>
      <c r="AP57" s="55"/>
      <c r="AQ57" s="602" t="str">
        <f t="shared" si="25"/>
        <v/>
      </c>
      <c r="AR57" s="602" t="str">
        <f>IFERROR(VLOOKUP($A57,'IDB C19 Vaccine Projects'!$O$4:$Q$12,2,FALSE),"")</f>
        <v/>
      </c>
      <c r="AS57" s="602" t="str">
        <f>IFERROR(VLOOKUP($A57,'IDB C19 Vaccine Projects'!$O$4:$Q$12,3,FALSE),"")</f>
        <v/>
      </c>
      <c r="AT57" s="55"/>
      <c r="AU57" s="88"/>
      <c r="AV57" s="55"/>
      <c r="AW57" s="55" t="s">
        <v>541</v>
      </c>
      <c r="AX57" s="88">
        <f>INDEX(USAID!$C$3:$C$151,MATCH('Matrix Allocations'!A57,USAID!$A$3:$A$151,0))</f>
        <v>5395000</v>
      </c>
      <c r="AY57" s="110">
        <v>1388889</v>
      </c>
      <c r="AZ57" s="88">
        <f>IFERROR(INDEX('[4]Vx All regions allocations'!O$10:O$144,MATCH(A57,'[4]Vx All regions allocations'!A$10:A$144,0)),"")</f>
        <v>0</v>
      </c>
      <c r="BA57" s="88">
        <v>0</v>
      </c>
      <c r="BB57" s="88">
        <v>0</v>
      </c>
      <c r="BC57" s="88" t="str">
        <f>IFERROR(INDEX(DFAT!$K$4:$K$21,MATCH('Matrix Allocations'!A57,DFAT!$B$4:$B$21,0)),"")</f>
        <v/>
      </c>
      <c r="BD57" s="88"/>
      <c r="BE57" s="826" t="str">
        <f>IFERROR(IF(INDEX('GAVI CCE'!$E$3:$E$95,MATCH('Matrix Allocations'!A57,'GAVI CCE'!$A$3:$A$95,0))="Yes",INDEX('GAVI CCE'!$E$3:$E$95,MATCH('Matrix Allocations'!A57,'GAVI CCE'!$A$3:$A$95,0)),""),"")</f>
        <v/>
      </c>
      <c r="BF57" s="88" t="str">
        <f>IFERROR(IF(BE57="Yes",INDEX('GAVI CCE'!$F$3:$F$95,MATCH('Matrix Allocations'!A57,'GAVI CCE'!$A$3:$A$95,0)),""),"")</f>
        <v/>
      </c>
      <c r="BG57" s="609" t="str">
        <f>IFERROR(IF(E57='CDS early access ceilings'!$A$94,(VLOOKUP(A57,'CDS early access ceilings'!$A$2:$D$92,4,FALSE)),""),"")</f>
        <v/>
      </c>
      <c r="BH57" s="639" t="str">
        <f>IFERROR(INDEX(Table14[Status (clean)],MATCH('Matrix Allocations'!A57,Table14[ISO Code],0)),"")</f>
        <v/>
      </c>
      <c r="BI57" s="641" t="str">
        <f>IFERROR(INDEX(Table14[Amount disbursed (USD)],MATCH('Matrix Allocations'!A57,Table14[ISO Code],0)),"")</f>
        <v/>
      </c>
      <c r="BJ57" s="641" t="str">
        <f>IFERROR(INDEX('CDS NBW'!$I$2:$I$39,MATCH(A57,'CDS NBW'!$A$2:$A$39,0)),"")</f>
        <v/>
      </c>
      <c r="BK57" s="641" t="str">
        <f>IFERROR(INDEX('CDS NBW'!$J$2:$J$39,MATCH(A57,'CDS NBW'!$A$2:$A$39,0)),"")</f>
        <v/>
      </c>
      <c r="BL57" s="609"/>
      <c r="BM57" s="609"/>
      <c r="BN57" s="609"/>
      <c r="BO57" s="609"/>
      <c r="BP57" s="609" t="str">
        <f>IFERROR(INDEX('UNICEF-BMZ'!$O$1:$O$199,MATCH('Matrix Allocations'!A57,'UNICEF-BMZ'!$B$1:$B$199,0)),"")</f>
        <v/>
      </c>
      <c r="BQ57" s="609" t="str">
        <f>IFERROR(VLOOKUP(A57,'BMGF_clean data'!$A$4:$C$30,3,FALSE),"")</f>
        <v/>
      </c>
      <c r="BR57" s="609"/>
      <c r="BS57" s="609"/>
      <c r="BT57" s="609"/>
      <c r="BU57" s="609"/>
      <c r="BV57" s="609"/>
      <c r="BW57" s="87">
        <f>INDEX(USAID!$D$3:$D$151,MATCH('Matrix Allocations'!A57,USAID!$A$3:$A$151,0))</f>
        <v>0</v>
      </c>
      <c r="BX57" s="87" t="str">
        <f>IFERROR(INDEX(DFAT!$L$4:$L$21,MATCH('Matrix Allocations'!A57,DFAT!$B$4:$B$21,0)),"")</f>
        <v/>
      </c>
      <c r="BY57" s="87" t="str">
        <f>IFERROR(INDEX(Table14[Funds Channelled through UNICEF],MATCH('Matrix Allocations'!A57,Table14[ISO Code],0)),"")</f>
        <v/>
      </c>
      <c r="BZ57" s="87">
        <f t="shared" si="23"/>
        <v>0</v>
      </c>
      <c r="CA57">
        <f t="shared" si="30"/>
        <v>18249868</v>
      </c>
      <c r="CB57" s="782">
        <f t="shared" si="10"/>
        <v>5474960.3999999994</v>
      </c>
      <c r="CC57" s="791">
        <f t="shared" si="11"/>
        <v>6783889</v>
      </c>
      <c r="CD57" s="788">
        <f t="shared" si="12"/>
        <v>1.2390754460982039</v>
      </c>
      <c r="CE57" s="788">
        <f>CC57/(0.4*CA57)</f>
        <v>0.92930658457365278</v>
      </c>
      <c r="CF57" s="828">
        <f t="shared" si="14"/>
        <v>0.53103233404208738</v>
      </c>
      <c r="CG57" s="828">
        <f t="shared" si="15"/>
        <v>0.37172263382946114</v>
      </c>
      <c r="CH57" s="88">
        <f t="shared" si="31"/>
        <v>0</v>
      </c>
      <c r="CI57" s="88">
        <f t="shared" si="16"/>
        <v>6783889</v>
      </c>
      <c r="CJ57" s="742">
        <f t="shared" si="32"/>
        <v>0</v>
      </c>
      <c r="CK57" s="848">
        <f t="shared" si="17"/>
        <v>1388889</v>
      </c>
      <c r="CL57" s="88">
        <f t="shared" si="18"/>
        <v>0</v>
      </c>
    </row>
    <row r="58" spans="1:90" ht="16" customHeight="1">
      <c r="A58" s="55" t="s">
        <v>606</v>
      </c>
      <c r="B58" s="55" t="s">
        <v>211</v>
      </c>
      <c r="C58" s="55" t="s">
        <v>129</v>
      </c>
      <c r="D58" s="55" t="s">
        <v>148</v>
      </c>
      <c r="E58" s="55" t="s">
        <v>145</v>
      </c>
      <c r="F58" s="56"/>
      <c r="G58" s="56" t="str">
        <f t="shared" si="26"/>
        <v>Yes</v>
      </c>
      <c r="H58" s="56" t="str">
        <f t="shared" si="26"/>
        <v>Yes</v>
      </c>
      <c r="I58" s="56" t="str">
        <f t="shared" si="27"/>
        <v>No</v>
      </c>
      <c r="J58" s="56" t="str">
        <f t="shared" si="28"/>
        <v>No</v>
      </c>
      <c r="K58" s="56" t="str">
        <f t="shared" si="29"/>
        <v>Yes</v>
      </c>
      <c r="L58" s="56" t="s">
        <v>541</v>
      </c>
      <c r="M58" s="55" t="s">
        <v>541</v>
      </c>
      <c r="N58" s="134" t="s">
        <v>541</v>
      </c>
      <c r="O58" s="55" t="s">
        <v>541</v>
      </c>
      <c r="P58" s="55" t="s">
        <v>562</v>
      </c>
      <c r="Q58" s="55"/>
      <c r="R58" s="55"/>
      <c r="S58" s="956">
        <v>78203134.118229344</v>
      </c>
      <c r="T58" s="55" t="s">
        <v>395</v>
      </c>
      <c r="U58" s="64" t="str">
        <f>IFERROR(IF(VLOOKUP(A58,'WB projects data'!$A$5:$C$83,3,0)="Approved",(VLOOKUP(A58,'WB projects data'!$A$5:$C$83,3,0)),""),"")</f>
        <v>Approved</v>
      </c>
      <c r="V58" s="123">
        <f t="shared" si="24"/>
        <v>28200000</v>
      </c>
      <c r="W58" s="123">
        <f>IFERROR((VLOOKUP($A58,'WB projects data'!$A$5:$J$83,6,0)*1000000),"")</f>
        <v>14100000</v>
      </c>
      <c r="X58" s="123">
        <f>IFERROR((VLOOKUP($A58,'WB projects data'!$A$5:$J$83,7,0)*1000000),"")</f>
        <v>14100000</v>
      </c>
      <c r="Y58" s="123">
        <f>IFERROR((VLOOKUP($A58,'WB projects data'!$A$5:$J$83,8,0)*1000000),"")</f>
        <v>17600000</v>
      </c>
      <c r="Z58" s="123">
        <f>IFERROR((VLOOKUP($A58,'WB projects data'!$A$5:$J$83,9,0)*1000000),"")</f>
        <v>10600000</v>
      </c>
      <c r="AA58" s="123">
        <f>IFERROR((VLOOKUP($A58,'WB projects data'!$A$5:$J$83,10,0)*1000000),"")</f>
        <v>0</v>
      </c>
      <c r="AB58" s="55" t="s">
        <v>541</v>
      </c>
      <c r="AC58" s="110"/>
      <c r="AD58" s="110" t="str">
        <f>IFERROR(VLOOKUP(A58,'ADB Projects'!$A$4:$W$21,5,FALSE),"")</f>
        <v/>
      </c>
      <c r="AE58" s="132" t="str">
        <f>IF(AC58="Approved",(VLOOKUP($A58,'ADB Projects'!$A$5:$D$21,4,0)*1000000),"")</f>
        <v/>
      </c>
      <c r="AF58" s="585" t="str">
        <f>IF(AC58="Approved",(PRODUCT(VLOOKUP($A58,'ADB Projects'!$A$4:$W$21,6,FALSE),1000000)),"")</f>
        <v/>
      </c>
      <c r="AG58" s="585" t="str">
        <f>IF(AC58="Approved",(PRODUCT(VLOOKUP($A58,'ADB Projects'!$A$4:$W$21,7,FALSE),1000000)),"")</f>
        <v/>
      </c>
      <c r="AH58" s="585" t="str">
        <f>IF(AC58="Approved",(PRODUCT(VLOOKUP($A58,'ADB Projects'!$A$4:$W$21,8,FALSE),1000000)),"")</f>
        <v/>
      </c>
      <c r="AI58" s="55"/>
      <c r="AJ58" s="55"/>
      <c r="AK58" s="244"/>
      <c r="AL58" s="55"/>
      <c r="AM58" s="55"/>
      <c r="AN58" s="55"/>
      <c r="AO58" s="55"/>
      <c r="AP58" s="55"/>
      <c r="AQ58" s="602" t="str">
        <f t="shared" si="25"/>
        <v/>
      </c>
      <c r="AR58" s="602" t="str">
        <f>IFERROR(VLOOKUP($A58,'IDB C19 Vaccine Projects'!$O$4:$Q$12,2,FALSE),"")</f>
        <v/>
      </c>
      <c r="AS58" s="602" t="str">
        <f>IFERROR(VLOOKUP($A58,'IDB C19 Vaccine Projects'!$O$4:$Q$12,3,FALSE),"")</f>
        <v/>
      </c>
      <c r="AT58" s="55" t="s">
        <v>541</v>
      </c>
      <c r="AU58" s="88"/>
      <c r="AV58" s="55"/>
      <c r="AW58" s="55"/>
      <c r="AX58" s="88">
        <f>INDEX(USAID!$C$3:$C$151,MATCH('Matrix Allocations'!A58,USAID!$A$3:$A$151,0))</f>
        <v>2900000</v>
      </c>
      <c r="AY58" s="110">
        <v>926346</v>
      </c>
      <c r="AZ58" s="88">
        <f>IFERROR(INDEX('[4]Vx All regions allocations'!O$10:O$144,MATCH(A58,'[4]Vx All regions allocations'!A$10:A$144,0)),"")</f>
        <v>378110</v>
      </c>
      <c r="BA58" s="88">
        <v>252699.99999999997</v>
      </c>
      <c r="BB58" s="88">
        <v>440787</v>
      </c>
      <c r="BC58" s="88" t="str">
        <f>IFERROR(INDEX(DFAT!$K$4:$K$21,MATCH('Matrix Allocations'!A58,DFAT!$B$4:$B$21,0)),"")</f>
        <v/>
      </c>
      <c r="BD58" s="88"/>
      <c r="BE58" s="826" t="str">
        <f>IFERROR(IF(INDEX('GAVI CCE'!$E$3:$E$95,MATCH('Matrix Allocations'!A58,'GAVI CCE'!$A$3:$A$95,0))="Yes",INDEX('GAVI CCE'!$E$3:$E$95,MATCH('Matrix Allocations'!A58,'GAVI CCE'!$A$3:$A$95,0)),""),"")</f>
        <v>Yes</v>
      </c>
      <c r="BF58" s="88">
        <f>IFERROR(IF(BE58="Yes",INDEX('GAVI CCE'!$F$3:$F$95,MATCH('Matrix Allocations'!A58,'GAVI CCE'!$A$3:$A$95,0)),""),"")</f>
        <v>390259</v>
      </c>
      <c r="BG58" s="609" t="str">
        <f>IFERROR(IF(E58='CDS early access ceilings'!$A$94,(VLOOKUP(A58,'CDS early access ceilings'!$A$2:$D$92,4,FALSE)),""),"")</f>
        <v>GAVI</v>
      </c>
      <c r="BH58" s="639" t="str">
        <f>IFERROR(INDEX(Table14[Status (clean)],MATCH('Matrix Allocations'!A58,Table14[ISO Code],0)),"")</f>
        <v>Disbursed</v>
      </c>
      <c r="BI58" s="641">
        <f>IFERROR(INDEX(Table14[Amount disbursed (USD)],MATCH('Matrix Allocations'!A58,Table14[ISO Code],0)),"")</f>
        <v>2304800</v>
      </c>
      <c r="BJ58" s="641" t="str">
        <f>IFERROR(INDEX('CDS NBW'!$I$2:$I$39,MATCH(A58,'CDS NBW'!$A$2:$A$39,0)),"")</f>
        <v/>
      </c>
      <c r="BK58" s="641" t="str">
        <f>IFERROR(INDEX('CDS NBW'!$J$2:$J$39,MATCH(A58,'CDS NBW'!$A$2:$A$39,0)),"")</f>
        <v/>
      </c>
      <c r="BL58" s="609"/>
      <c r="BM58" s="609"/>
      <c r="BN58" s="609"/>
      <c r="BO58" s="609">
        <v>378110</v>
      </c>
      <c r="BP58" s="609">
        <f>IFERROR(INDEX('UNICEF-BMZ'!$O$1:$O$199,MATCH('Matrix Allocations'!A58,'UNICEF-BMZ'!$B$1:$B$199,0)),"")</f>
        <v>225000</v>
      </c>
      <c r="BQ58" s="609" t="str">
        <f>IFERROR(VLOOKUP(A58,'BMGF_clean data'!$A$4:$C$30,3,FALSE),"")</f>
        <v/>
      </c>
      <c r="BR58" s="609"/>
      <c r="BS58" s="609"/>
      <c r="BT58" s="609"/>
      <c r="BU58" s="609"/>
      <c r="BV58" s="609"/>
      <c r="BW58" s="87">
        <f>INDEX(USAID!$D$3:$D$151,MATCH('Matrix Allocations'!A58,USAID!$A$3:$A$151,0))</f>
        <v>0</v>
      </c>
      <c r="BX58" s="87" t="str">
        <f>IFERROR(INDEX(DFAT!$L$4:$L$21,MATCH('Matrix Allocations'!A58,DFAT!$B$4:$B$21,0)),"")</f>
        <v/>
      </c>
      <c r="BY58" s="87">
        <f>IFERROR(INDEX(Table14[Funds Channelled through UNICEF],MATCH('Matrix Allocations'!A58,Table14[ISO Code],0)),"")</f>
        <v>0</v>
      </c>
      <c r="BZ58" s="87">
        <f t="shared" si="23"/>
        <v>0</v>
      </c>
      <c r="CA58">
        <f t="shared" si="30"/>
        <v>13497237</v>
      </c>
      <c r="CB58" s="782">
        <f t="shared" si="10"/>
        <v>4049171.0999999996</v>
      </c>
      <c r="CC58" s="791">
        <f t="shared" si="11"/>
        <v>18796112</v>
      </c>
      <c r="CD58" s="788">
        <f t="shared" si="12"/>
        <v>4.6419653642198524</v>
      </c>
      <c r="CE58" s="788">
        <f>CC58/(0.4*CA58)</f>
        <v>3.4814740231648886</v>
      </c>
      <c r="CF58" s="828">
        <f t="shared" si="14"/>
        <v>1.9894137275227941</v>
      </c>
      <c r="CG58" s="828">
        <f t="shared" si="15"/>
        <v>1.3925896092659558</v>
      </c>
      <c r="CH58" s="88">
        <f t="shared" si="31"/>
        <v>10600000</v>
      </c>
      <c r="CI58" s="88">
        <f t="shared" si="16"/>
        <v>3826346</v>
      </c>
      <c r="CJ58" s="742">
        <f t="shared" si="32"/>
        <v>378110</v>
      </c>
      <c r="CK58" s="848">
        <f t="shared" si="17"/>
        <v>1682566</v>
      </c>
      <c r="CL58" s="88">
        <f t="shared" si="18"/>
        <v>3613546</v>
      </c>
    </row>
    <row r="59" spans="1:90" ht="16" customHeight="1">
      <c r="A59" s="55" t="s">
        <v>607</v>
      </c>
      <c r="B59" s="55" t="s">
        <v>212</v>
      </c>
      <c r="C59" s="55" t="s">
        <v>129</v>
      </c>
      <c r="D59" s="55" t="s">
        <v>148</v>
      </c>
      <c r="E59" s="55" t="s">
        <v>145</v>
      </c>
      <c r="F59" s="56">
        <v>2</v>
      </c>
      <c r="G59" s="56" t="str">
        <f t="shared" si="26"/>
        <v>Yes</v>
      </c>
      <c r="H59" s="56" t="str">
        <f t="shared" si="26"/>
        <v>Yes</v>
      </c>
      <c r="I59" s="56" t="str">
        <f t="shared" si="27"/>
        <v>No</v>
      </c>
      <c r="J59" s="56" t="str">
        <f t="shared" si="28"/>
        <v>No</v>
      </c>
      <c r="K59" s="56" t="str">
        <f t="shared" si="29"/>
        <v>Yes</v>
      </c>
      <c r="L59" s="56" t="s">
        <v>541</v>
      </c>
      <c r="M59" s="55" t="s">
        <v>541</v>
      </c>
      <c r="N59" s="134" t="s">
        <v>541</v>
      </c>
      <c r="O59" s="55" t="s">
        <v>541</v>
      </c>
      <c r="P59" s="55" t="s">
        <v>542</v>
      </c>
      <c r="Q59" s="55"/>
      <c r="R59" s="55"/>
      <c r="S59" s="956">
        <v>9151637.7411015611</v>
      </c>
      <c r="T59" s="55" t="s">
        <v>395</v>
      </c>
      <c r="U59" s="64" t="str">
        <f>IFERROR(IF(VLOOKUP(A59,'WB projects data'!$A$5:$C$83,3,0)="Approved",(VLOOKUP(A59,'WB projects data'!$A$5:$C$83,3,0)),""),"")</f>
        <v>Approved</v>
      </c>
      <c r="V59" s="123">
        <f t="shared" si="24"/>
        <v>7200000</v>
      </c>
      <c r="W59" s="123">
        <f>IFERROR((VLOOKUP($A59,'WB projects data'!$A$5:$J$83,6,0)*1000000),"")</f>
        <v>0</v>
      </c>
      <c r="X59" s="123">
        <f>IFERROR((VLOOKUP($A59,'WB projects data'!$A$5:$J$83,7,0)*1000000),"")</f>
        <v>7200000</v>
      </c>
      <c r="Y59" s="123">
        <f>IFERROR((VLOOKUP($A59,'WB projects data'!$A$5:$J$83,8,0)*1000000),"")</f>
        <v>4800000.0000000009</v>
      </c>
      <c r="Z59" s="123">
        <f>IFERROR((VLOOKUP($A59,'WB projects data'!$A$5:$J$83,9,0)*1000000),"")</f>
        <v>2100000</v>
      </c>
      <c r="AA59" s="123">
        <f>IFERROR((VLOOKUP($A59,'WB projects data'!$A$5:$J$83,10,0)*1000000),"")</f>
        <v>300000</v>
      </c>
      <c r="AB59" s="55" t="s">
        <v>541</v>
      </c>
      <c r="AC59" s="110"/>
      <c r="AD59" s="110" t="str">
        <f>IFERROR(VLOOKUP(A59,'ADB Projects'!$A$4:$W$21,5,FALSE),"")</f>
        <v/>
      </c>
      <c r="AE59" s="132" t="str">
        <f>IF(AC59="Approved",(VLOOKUP($A59,'ADB Projects'!$A$5:$D$21,4,0)*1000000),"")</f>
        <v/>
      </c>
      <c r="AF59" s="585" t="str">
        <f>IF(AC59="Approved",(PRODUCT(VLOOKUP($A59,'ADB Projects'!$A$4:$W$21,6,FALSE),1000000)),"")</f>
        <v/>
      </c>
      <c r="AG59" s="585" t="str">
        <f>IF(AC59="Approved",(PRODUCT(VLOOKUP($A59,'ADB Projects'!$A$4:$W$21,7,FALSE),1000000)),"")</f>
        <v/>
      </c>
      <c r="AH59" s="585" t="str">
        <f>IF(AC59="Approved",(PRODUCT(VLOOKUP($A59,'ADB Projects'!$A$4:$W$21,8,FALSE),1000000)),"")</f>
        <v/>
      </c>
      <c r="AI59" s="55"/>
      <c r="AJ59" s="55"/>
      <c r="AK59" s="244"/>
      <c r="AL59" s="55"/>
      <c r="AM59" s="55"/>
      <c r="AN59" s="55"/>
      <c r="AO59" s="55"/>
      <c r="AP59" s="55"/>
      <c r="AQ59" s="602" t="str">
        <f t="shared" si="25"/>
        <v/>
      </c>
      <c r="AR59" s="602" t="str">
        <f>IFERROR(VLOOKUP($A59,'IDB C19 Vaccine Projects'!$O$4:$Q$12,2,FALSE),"")</f>
        <v/>
      </c>
      <c r="AS59" s="602" t="str">
        <f>IFERROR(VLOOKUP($A59,'IDB C19 Vaccine Projects'!$O$4:$Q$12,3,FALSE),"")</f>
        <v/>
      </c>
      <c r="AT59" s="55" t="s">
        <v>541</v>
      </c>
      <c r="AU59" s="88"/>
      <c r="AV59" s="55"/>
      <c r="AW59" s="55"/>
      <c r="AX59" s="88">
        <f>INDEX(USAID!$C$3:$C$151,MATCH('Matrix Allocations'!A59,USAID!$A$3:$A$151,0))</f>
        <v>200000</v>
      </c>
      <c r="AY59" s="110"/>
      <c r="AZ59" s="88">
        <f>IFERROR(INDEX('[4]Vx All regions allocations'!O$10:O$144,MATCH(A59,'[4]Vx All regions allocations'!A$10:A$144,0)),"")</f>
        <v>225847</v>
      </c>
      <c r="BA59" s="88">
        <v>173660.18518518517</v>
      </c>
      <c r="BB59" s="88">
        <v>180992</v>
      </c>
      <c r="BC59" s="88" t="str">
        <f>IFERROR(INDEX(DFAT!$K$4:$K$21,MATCH('Matrix Allocations'!A59,DFAT!$B$4:$B$21,0)),"")</f>
        <v/>
      </c>
      <c r="BD59" s="88"/>
      <c r="BE59" s="826" t="str">
        <f>IFERROR(IF(INDEX('GAVI CCE'!$E$3:$E$95,MATCH('Matrix Allocations'!A59,'GAVI CCE'!$A$3:$A$95,0))="Yes",INDEX('GAVI CCE'!$E$3:$E$95,MATCH('Matrix Allocations'!A59,'GAVI CCE'!$A$3:$A$95,0)),""),"")</f>
        <v>Yes</v>
      </c>
      <c r="BF59" s="88">
        <f>IFERROR(IF(BE59="Yes",INDEX('GAVI CCE'!$F$3:$F$95,MATCH('Matrix Allocations'!A59,'GAVI CCE'!$A$3:$A$95,0)),""),"")</f>
        <v>105973</v>
      </c>
      <c r="BG59" s="609" t="str">
        <f>IFERROR(IF(E59='CDS early access ceilings'!$A$94,(VLOOKUP(A59,'CDS early access ceilings'!$A$2:$D$92,4,FALSE)),""),"")</f>
        <v>GAVI</v>
      </c>
      <c r="BH59" s="639" t="str">
        <f>IFERROR(INDEX(Table14[Status (clean)],MATCH('Matrix Allocations'!A59,Table14[ISO Code],0)),"")</f>
        <v>Disbursed</v>
      </c>
      <c r="BI59" s="641">
        <f>IFERROR(INDEX(Table14[Amount disbursed (USD)],MATCH('Matrix Allocations'!A59,Table14[ISO Code],0)),"")</f>
        <v>978460</v>
      </c>
      <c r="BJ59" s="641" t="str">
        <f>IFERROR(INDEX('CDS NBW'!$I$2:$I$39,MATCH(A59,'CDS NBW'!$A$2:$A$39,0)),"")</f>
        <v/>
      </c>
      <c r="BK59" s="641" t="str">
        <f>IFERROR(INDEX('CDS NBW'!$J$2:$J$39,MATCH(A59,'CDS NBW'!$A$2:$A$39,0)),"")</f>
        <v/>
      </c>
      <c r="BL59" s="609"/>
      <c r="BM59" s="609"/>
      <c r="BN59" s="609"/>
      <c r="BO59" s="609">
        <v>225847</v>
      </c>
      <c r="BP59" s="609">
        <f>IFERROR(INDEX('UNICEF-BMZ'!$O$1:$O$199,MATCH('Matrix Allocations'!A59,'UNICEF-BMZ'!$B$1:$B$199,0)),"")</f>
        <v>45600</v>
      </c>
      <c r="BQ59" s="609" t="str">
        <f>IFERROR(VLOOKUP(A59,'BMGF_clean data'!$A$4:$C$30,3,FALSE),"")</f>
        <v/>
      </c>
      <c r="BR59" s="609"/>
      <c r="BS59" s="609"/>
      <c r="BT59" s="609"/>
      <c r="BU59" s="609"/>
      <c r="BV59" s="609"/>
      <c r="BW59" s="87">
        <f>INDEX(USAID!$D$3:$D$151,MATCH('Matrix Allocations'!A59,USAID!$A$3:$A$151,0))</f>
        <v>200000</v>
      </c>
      <c r="BX59" s="87" t="str">
        <f>IFERROR(INDEX(DFAT!$L$4:$L$21,MATCH('Matrix Allocations'!A59,DFAT!$B$4:$B$21,0)),"")</f>
        <v/>
      </c>
      <c r="BY59" s="87">
        <f>IFERROR(INDEX(Table14[Funds Channelled through UNICEF],MATCH('Matrix Allocations'!A59,Table14[ISO Code],0)),"")</f>
        <v>978460</v>
      </c>
      <c r="BZ59" s="87">
        <f t="shared" si="23"/>
        <v>978460</v>
      </c>
      <c r="CA59">
        <f t="shared" si="30"/>
        <v>2015490</v>
      </c>
      <c r="CB59" s="782">
        <f t="shared" si="10"/>
        <v>604647</v>
      </c>
      <c r="CC59" s="791">
        <f t="shared" si="11"/>
        <v>4236379.1851851847</v>
      </c>
      <c r="CD59" s="788">
        <f t="shared" si="12"/>
        <v>7.0063676577989877</v>
      </c>
      <c r="CE59" s="788">
        <f t="shared" si="13"/>
        <v>5.2547757433492412</v>
      </c>
      <c r="CF59" s="828">
        <f t="shared" si="14"/>
        <v>3.0027289961995662</v>
      </c>
      <c r="CG59" s="828">
        <f t="shared" si="15"/>
        <v>2.1019102973396966</v>
      </c>
      <c r="CH59" s="88">
        <f t="shared" si="31"/>
        <v>2100000</v>
      </c>
      <c r="CI59" s="88">
        <f t="shared" si="16"/>
        <v>200000</v>
      </c>
      <c r="CJ59" s="742">
        <f t="shared" si="32"/>
        <v>225847</v>
      </c>
      <c r="CK59" s="848">
        <f t="shared" si="17"/>
        <v>1630154</v>
      </c>
      <c r="CL59" s="88">
        <f t="shared" si="18"/>
        <v>1484685.1851851852</v>
      </c>
    </row>
    <row r="60" spans="1:90" ht="16" customHeight="1">
      <c r="A60" s="55" t="s">
        <v>608</v>
      </c>
      <c r="B60" s="55" t="s">
        <v>213</v>
      </c>
      <c r="C60" s="55" t="s">
        <v>130</v>
      </c>
      <c r="D60" s="55" t="s">
        <v>152</v>
      </c>
      <c r="E60" s="55" t="s">
        <v>145</v>
      </c>
      <c r="F60" s="56"/>
      <c r="G60" s="56" t="str">
        <f t="shared" si="26"/>
        <v>No</v>
      </c>
      <c r="H60" s="56" t="str">
        <f t="shared" si="26"/>
        <v>No</v>
      </c>
      <c r="I60" s="56" t="str">
        <f t="shared" si="27"/>
        <v>Yes</v>
      </c>
      <c r="J60" s="56" t="str">
        <f t="shared" si="28"/>
        <v>Yes</v>
      </c>
      <c r="K60" s="56" t="str">
        <f t="shared" si="29"/>
        <v>No</v>
      </c>
      <c r="L60" s="56" t="s">
        <v>541</v>
      </c>
      <c r="M60" s="55" t="s">
        <v>544</v>
      </c>
      <c r="N60" s="134" t="s">
        <v>541</v>
      </c>
      <c r="O60" s="55" t="s">
        <v>544</v>
      </c>
      <c r="P60" s="55" t="s">
        <v>562</v>
      </c>
      <c r="Q60" s="55"/>
      <c r="R60" s="55"/>
      <c r="S60" s="956">
        <v>142455920.02856269</v>
      </c>
      <c r="T60" s="55" t="s">
        <v>396</v>
      </c>
      <c r="U60" s="64" t="str">
        <f>IFERROR(IF(VLOOKUP(A60,'WB projects data'!$A$5:$C$83,3,0)="Approved",(VLOOKUP(A60,'WB projects data'!$A$5:$C$83,3,0)),""),"")</f>
        <v>Approved</v>
      </c>
      <c r="V60" s="123">
        <f t="shared" si="24"/>
        <v>5000000</v>
      </c>
      <c r="W60" s="123">
        <f>IFERROR((VLOOKUP($A60,'WB projects data'!$A$5:$J$83,6,0)*1000000),"")</f>
        <v>5000000</v>
      </c>
      <c r="X60" s="123">
        <f>IFERROR((VLOOKUP($A60,'WB projects data'!$A$5:$J$83,7,0)*1000000),"")</f>
        <v>0</v>
      </c>
      <c r="Y60" s="123">
        <f>IFERROR((VLOOKUP($A60,'WB projects data'!$A$5:$J$83,8,0)*1000000),"")</f>
        <v>3300000</v>
      </c>
      <c r="Z60" s="123">
        <f>IFERROR((VLOOKUP($A60,'WB projects data'!$A$5:$J$83,9,0)*1000000),"")</f>
        <v>200000</v>
      </c>
      <c r="AA60" s="123">
        <f>IFERROR((VLOOKUP($A60,'WB projects data'!$A$5:$J$83,10,0)*1000000),"")</f>
        <v>1500000</v>
      </c>
      <c r="AB60" s="55"/>
      <c r="AC60" s="110"/>
      <c r="AD60" s="110" t="str">
        <f>IFERROR(VLOOKUP(A60,'ADB Projects'!$A$4:$W$21,5,FALSE),"")</f>
        <v/>
      </c>
      <c r="AE60" s="132" t="str">
        <f>IF(AC60="Approved",(VLOOKUP($A60,'ADB Projects'!$A$5:$D$21,4,0)*1000000),"")</f>
        <v/>
      </c>
      <c r="AF60" s="585" t="str">
        <f>IF(AC60="Approved",(PRODUCT(VLOOKUP($A60,'ADB Projects'!$A$4:$W$21,6,FALSE),1000000)),"")</f>
        <v/>
      </c>
      <c r="AG60" s="585" t="str">
        <f>IF(AC60="Approved",(PRODUCT(VLOOKUP($A60,'ADB Projects'!$A$4:$W$21,7,FALSE),1000000)),"")</f>
        <v/>
      </c>
      <c r="AH60" s="585" t="str">
        <f>IF(AC60="Approved",(PRODUCT(VLOOKUP($A60,'ADB Projects'!$A$4:$W$21,8,FALSE),1000000)),"")</f>
        <v/>
      </c>
      <c r="AI60" s="55"/>
      <c r="AJ60" s="55"/>
      <c r="AK60" s="244"/>
      <c r="AL60" s="55"/>
      <c r="AM60" s="55"/>
      <c r="AN60" s="55"/>
      <c r="AO60" s="55" t="s">
        <v>541</v>
      </c>
      <c r="AP60" s="55"/>
      <c r="AQ60" s="602" t="str">
        <f t="shared" si="25"/>
        <v/>
      </c>
      <c r="AR60" s="602" t="str">
        <f>IFERROR(VLOOKUP($A60,'IDB C19 Vaccine Projects'!$O$4:$Q$12,2,FALSE),"")</f>
        <v/>
      </c>
      <c r="AS60" s="602" t="str">
        <f>IFERROR(VLOOKUP($A60,'IDB C19 Vaccine Projects'!$O$4:$Q$12,3,FALSE),"")</f>
        <v/>
      </c>
      <c r="AT60" s="55"/>
      <c r="AU60" s="88"/>
      <c r="AV60" s="55"/>
      <c r="AW60" s="55"/>
      <c r="AX60" s="88">
        <f>INDEX(USAID!$C$3:$C$151,MATCH('Matrix Allocations'!A60,USAID!$A$3:$A$151,0))</f>
        <v>705800</v>
      </c>
      <c r="AY60" s="110"/>
      <c r="AZ60" s="88">
        <f>IFERROR(INDEX('[4]Vx All regions allocations'!O$10:O$144,MATCH(A60,'[4]Vx All regions allocations'!A$10:A$144,0)),"")</f>
        <v>100000</v>
      </c>
      <c r="BA60" s="88">
        <v>0</v>
      </c>
      <c r="BB60" s="88">
        <v>44999.999999999964</v>
      </c>
      <c r="BC60" s="88" t="str">
        <f>IFERROR(INDEX(DFAT!$K$4:$K$21,MATCH('Matrix Allocations'!A60,DFAT!$B$4:$B$21,0)),"")</f>
        <v/>
      </c>
      <c r="BD60" s="88"/>
      <c r="BE60" s="826" t="str">
        <f>IFERROR(IF(INDEX('GAVI CCE'!$E$3:$E$95,MATCH('Matrix Allocations'!A60,'GAVI CCE'!$A$3:$A$95,0))="Yes",INDEX('GAVI CCE'!$E$3:$E$95,MATCH('Matrix Allocations'!A60,'GAVI CCE'!$A$3:$A$95,0)),""),"")</f>
        <v>Yes</v>
      </c>
      <c r="BF60" s="88">
        <f>IFERROR(IF(BE60="Yes",INDEX('GAVI CCE'!$F$3:$F$95,MATCH('Matrix Allocations'!A60,'GAVI CCE'!$A$3:$A$95,0)),""),"")</f>
        <v>62549</v>
      </c>
      <c r="BG60" s="609" t="str">
        <f>IFERROR(IF(E60='CDS early access ceilings'!$A$94,(VLOOKUP(A60,'CDS early access ceilings'!$A$2:$D$92,4,FALSE)),""),"")</f>
        <v>UNICEF</v>
      </c>
      <c r="BH60" s="639" t="str">
        <f>IFERROR(INDEX(Table14[Status (clean)],MATCH('Matrix Allocations'!A60,Table14[ISO Code],0)),"")</f>
        <v>Disbursed</v>
      </c>
      <c r="BI60" s="641">
        <f>IFERROR(INDEX(Table14[Amount disbursed (USD)],MATCH('Matrix Allocations'!A60,Table14[ISO Code],0)),"")</f>
        <v>230000</v>
      </c>
      <c r="BJ60" s="641" t="str">
        <f>IFERROR(INDEX('CDS NBW'!$I$2:$I$39,MATCH(A60,'CDS NBW'!$A$2:$A$39,0)),"")</f>
        <v>Disbursed</v>
      </c>
      <c r="BK60" s="641">
        <f>IFERROR(INDEX('CDS NBW'!$J$2:$J$39,MATCH(A60,'CDS NBW'!$A$2:$A$39,0)),"")</f>
        <v>600000</v>
      </c>
      <c r="BL60" s="609"/>
      <c r="BM60" s="609"/>
      <c r="BN60" s="609"/>
      <c r="BO60" s="609"/>
      <c r="BP60" s="609">
        <f>IFERROR(INDEX('UNICEF-BMZ'!$O$1:$O$199,MATCH('Matrix Allocations'!A60,'UNICEF-BMZ'!$B$1:$B$199,0)),"")</f>
        <v>215000</v>
      </c>
      <c r="BQ60" s="609" t="str">
        <f>IFERROR(VLOOKUP(A60,'BMGF_clean data'!$A$4:$C$30,3,FALSE),"")</f>
        <v/>
      </c>
      <c r="BR60" s="609"/>
      <c r="BS60" s="609"/>
      <c r="BT60" s="609"/>
      <c r="BU60" s="609"/>
      <c r="BV60" s="609"/>
      <c r="BW60" s="87">
        <f>INDEX(USAID!$D$3:$D$151,MATCH('Matrix Allocations'!A60,USAID!$A$3:$A$151,0))</f>
        <v>705800</v>
      </c>
      <c r="BX60" s="87" t="str">
        <f>IFERROR(INDEX(DFAT!$L$4:$L$21,MATCH('Matrix Allocations'!A60,DFAT!$B$4:$B$21,0)),"")</f>
        <v/>
      </c>
      <c r="BY60" s="87">
        <f>IFERROR(INDEX(Table14[Funds Channelled through UNICEF],MATCH('Matrix Allocations'!A60,Table14[ISO Code],0)),"")</f>
        <v>0</v>
      </c>
      <c r="BZ60" s="87">
        <f t="shared" si="23"/>
        <v>230000</v>
      </c>
      <c r="CA60">
        <f t="shared" si="30"/>
        <v>790329</v>
      </c>
      <c r="CB60" s="782">
        <f t="shared" si="10"/>
        <v>237098.69999999998</v>
      </c>
      <c r="CC60" s="791">
        <f t="shared" si="11"/>
        <v>2158349</v>
      </c>
      <c r="CD60" s="788">
        <f t="shared" si="12"/>
        <v>9.1031667402647098</v>
      </c>
      <c r="CE60" s="788">
        <f t="shared" si="13"/>
        <v>6.8273750551985302</v>
      </c>
      <c r="CF60" s="828">
        <f t="shared" si="14"/>
        <v>3.9013571743991613</v>
      </c>
      <c r="CG60" s="828">
        <f t="shared" si="15"/>
        <v>2.7309500220794125</v>
      </c>
      <c r="CH60" s="88">
        <f t="shared" si="31"/>
        <v>200000</v>
      </c>
      <c r="CI60" s="88">
        <f t="shared" si="16"/>
        <v>705800</v>
      </c>
      <c r="CJ60" s="742">
        <f t="shared" si="32"/>
        <v>0</v>
      </c>
      <c r="CK60" s="848">
        <f t="shared" si="17"/>
        <v>805800</v>
      </c>
      <c r="CL60" s="88">
        <f t="shared" si="18"/>
        <v>1752549</v>
      </c>
    </row>
    <row r="61" spans="1:90" s="758" customFormat="1" ht="16" customHeight="1">
      <c r="A61" s="746" t="s">
        <v>609</v>
      </c>
      <c r="B61" s="746" t="s">
        <v>214</v>
      </c>
      <c r="C61" s="746" t="s">
        <v>130</v>
      </c>
      <c r="D61" s="746" t="s">
        <v>150</v>
      </c>
      <c r="E61" s="746" t="s">
        <v>145</v>
      </c>
      <c r="F61" s="747">
        <v>1</v>
      </c>
      <c r="G61" s="747" t="str">
        <f t="shared" ref="G61:H80" si="33">IF($T61="IBRD","Yes","No")</f>
        <v>Yes</v>
      </c>
      <c r="H61" s="747" t="str">
        <f t="shared" si="33"/>
        <v>Yes</v>
      </c>
      <c r="I61" s="747" t="str">
        <f t="shared" si="27"/>
        <v>No</v>
      </c>
      <c r="J61" s="747" t="str">
        <f t="shared" si="28"/>
        <v>No</v>
      </c>
      <c r="K61" s="747" t="str">
        <f t="shared" si="29"/>
        <v>Yes</v>
      </c>
      <c r="L61" s="747" t="s">
        <v>541</v>
      </c>
      <c r="M61" s="746" t="s">
        <v>541</v>
      </c>
      <c r="N61" s="748" t="s">
        <v>541</v>
      </c>
      <c r="O61" s="746" t="s">
        <v>544</v>
      </c>
      <c r="P61" s="746" t="s">
        <v>542</v>
      </c>
      <c r="Q61" s="746" t="s">
        <v>541</v>
      </c>
      <c r="R61" s="746"/>
      <c r="S61" s="956">
        <v>85611818.171245083</v>
      </c>
      <c r="T61" s="746" t="s">
        <v>395</v>
      </c>
      <c r="U61" s="749" t="str">
        <f>IFERROR(IF(VLOOKUP(A61,'WB projects data'!$A$5:$C$83,3,0)="Approved",(VLOOKUP(A61,'WB projects data'!$A$5:$C$83,3,0)),""),"")</f>
        <v/>
      </c>
      <c r="V61" s="123" t="str">
        <f t="shared" si="24"/>
        <v/>
      </c>
      <c r="W61" s="750" t="str">
        <f>IFERROR((VLOOKUP($A61,'WB projects data'!$A$5:$J$83,6,0)*1000000),"")</f>
        <v/>
      </c>
      <c r="X61" s="750" t="str">
        <f>IFERROR((VLOOKUP($A61,'WB projects data'!$A$5:$J$83,7,0)*1000000),"")</f>
        <v/>
      </c>
      <c r="Y61" s="750" t="str">
        <f>IFERROR((VLOOKUP($A61,'WB projects data'!$A$5:$J$83,8,0)*1000000),"")</f>
        <v/>
      </c>
      <c r="Z61" s="750" t="str">
        <f>IFERROR((VLOOKUP($A61,'WB projects data'!$A$5:$J$83,9,0)*1000000),"")</f>
        <v/>
      </c>
      <c r="AA61" s="750" t="str">
        <f>IFERROR((VLOOKUP($A61,'WB projects data'!$A$5:$J$83,10,0)*1000000),"")</f>
        <v/>
      </c>
      <c r="AB61" s="746"/>
      <c r="AC61" s="751"/>
      <c r="AD61" s="751" t="str">
        <f>IFERROR(VLOOKUP(A61,'ADB Projects'!$A$4:$W$21,5,FALSE),"")</f>
        <v/>
      </c>
      <c r="AE61" s="752" t="str">
        <f>IF(AC61="Approved",(VLOOKUP($A61,'ADB Projects'!$A$5:$D$21,4,0)*1000000),"")</f>
        <v/>
      </c>
      <c r="AF61" s="753" t="str">
        <f>IF(AC61="Approved",(PRODUCT(VLOOKUP($A61,'ADB Projects'!$A$4:$W$21,6,FALSE),1000000)),"")</f>
        <v/>
      </c>
      <c r="AG61" s="753" t="str">
        <f>IF(AC61="Approved",(PRODUCT(VLOOKUP($A61,'ADB Projects'!$A$4:$W$21,7,FALSE),1000000)),"")</f>
        <v/>
      </c>
      <c r="AH61" s="753" t="str">
        <f>IF(AC61="Approved",(PRODUCT(VLOOKUP($A61,'ADB Projects'!$A$4:$W$21,8,FALSE),1000000)),"")</f>
        <v/>
      </c>
      <c r="AI61" s="746"/>
      <c r="AJ61" s="746"/>
      <c r="AK61" s="754"/>
      <c r="AL61" s="746"/>
      <c r="AM61" s="746"/>
      <c r="AN61" s="746"/>
      <c r="AO61" s="746" t="s">
        <v>541</v>
      </c>
      <c r="AP61" s="746"/>
      <c r="AQ61" s="755" t="str">
        <f t="shared" si="25"/>
        <v/>
      </c>
      <c r="AR61" s="755" t="str">
        <f>IFERROR(VLOOKUP($A61,'IDB C19 Vaccine Projects'!$O$4:$Q$12,2,FALSE),"")</f>
        <v/>
      </c>
      <c r="AS61" s="755" t="str">
        <f>IFERROR(VLOOKUP($A61,'IDB C19 Vaccine Projects'!$O$4:$Q$12,3,FALSE),"")</f>
        <v/>
      </c>
      <c r="AT61" s="746"/>
      <c r="AU61" s="756"/>
      <c r="AV61" s="746"/>
      <c r="AW61" s="746" t="s">
        <v>541</v>
      </c>
      <c r="AX61" s="88">
        <f>INDEX(USAID!$C$3:$C$151,MATCH('Matrix Allocations'!A61,USAID!$A$3:$A$151,0))</f>
        <v>2650000</v>
      </c>
      <c r="AY61" s="751">
        <v>1851852</v>
      </c>
      <c r="AZ61" s="88">
        <f>IFERROR(INDEX('[4]Vx All regions allocations'!O$10:O$144,MATCH(A61,'[4]Vx All regions allocations'!A$10:A$144,0)),"")</f>
        <v>1500000</v>
      </c>
      <c r="BA61" s="88">
        <v>315255.55555555556</v>
      </c>
      <c r="BB61" s="756">
        <v>403390</v>
      </c>
      <c r="BC61" s="88" t="str">
        <f>IFERROR(INDEX(DFAT!$K$4:$K$21,MATCH('Matrix Allocations'!A61,DFAT!$B$4:$B$21,0)),"")</f>
        <v/>
      </c>
      <c r="BD61" s="756"/>
      <c r="BE61" s="826" t="str">
        <f>IFERROR(IF(INDEX('GAVI CCE'!$E$3:$E$95,MATCH('Matrix Allocations'!A61,'GAVI CCE'!$A$3:$A$95,0))="Yes",INDEX('GAVI CCE'!$E$3:$E$95,MATCH('Matrix Allocations'!A61,'GAVI CCE'!$A$3:$A$95,0)),""),"")</f>
        <v>Yes</v>
      </c>
      <c r="BF61" s="88">
        <f>IFERROR(IF(BE61="Yes",INDEX('GAVI CCE'!$F$3:$F$95,MATCH('Matrix Allocations'!A61,'GAVI CCE'!$A$3:$A$95,0)),""),"")</f>
        <v>365688</v>
      </c>
      <c r="BG61" s="609" t="str">
        <f>IFERROR(IF(E61='CDS early access ceilings'!$A$94,(VLOOKUP(A61,'CDS early access ceilings'!$A$2:$D$92,4,FALSE)),""),"")</f>
        <v>GAVI</v>
      </c>
      <c r="BH61" s="639" t="str">
        <f>IFERROR(INDEX(Table14[Status (clean)],MATCH('Matrix Allocations'!A61,Table14[ISO Code],0)),"")</f>
        <v>Disbursed</v>
      </c>
      <c r="BI61" s="641">
        <f>IFERROR(INDEX(Table14[Amount disbursed (USD)],MATCH('Matrix Allocations'!A61,Table14[ISO Code],0)),"")</f>
        <v>2138482</v>
      </c>
      <c r="BJ61" s="641" t="str">
        <f>IFERROR(INDEX('CDS NBW'!$I$2:$I$39,MATCH(A61,'CDS NBW'!$A$2:$A$39,0)),"")</f>
        <v/>
      </c>
      <c r="BK61" s="641" t="str">
        <f>IFERROR(INDEX('CDS NBW'!$J$2:$J$39,MATCH(A61,'CDS NBW'!$A$2:$A$39,0)),"")</f>
        <v/>
      </c>
      <c r="BL61" s="757">
        <v>49489.62</v>
      </c>
      <c r="BM61" s="757"/>
      <c r="BN61" s="757"/>
      <c r="BO61" s="757"/>
      <c r="BP61" s="609">
        <f>IFERROR(INDEX('UNICEF-BMZ'!$O$1:$O$199,MATCH('Matrix Allocations'!A61,'UNICEF-BMZ'!$B$1:$B$199,0)),"")</f>
        <v>1160000</v>
      </c>
      <c r="BQ61" s="757">
        <f>IFERROR(VLOOKUP(A61,'BMGF_clean data'!$A$4:$C$30,3,FALSE),"")</f>
        <v>99000</v>
      </c>
      <c r="BR61" s="757"/>
      <c r="BS61" s="757"/>
      <c r="BT61" s="757">
        <v>4969926</v>
      </c>
      <c r="BU61" s="757"/>
      <c r="BV61" s="757"/>
      <c r="BW61" s="87">
        <f>INDEX(USAID!$D$3:$D$151,MATCH('Matrix Allocations'!A61,USAID!$A$3:$A$151,0))</f>
        <v>0</v>
      </c>
      <c r="BX61" s="87" t="str">
        <f>IFERROR(INDEX(DFAT!$L$4:$L$21,MATCH('Matrix Allocations'!A61,DFAT!$B$4:$B$21,0)),"")</f>
        <v/>
      </c>
      <c r="BY61" s="87">
        <f>IFERROR(INDEX(Table14[Funds Channelled through UNICEF],MATCH('Matrix Allocations'!A61,Table14[ISO Code],0)),"")</f>
        <v>1686667</v>
      </c>
      <c r="BZ61" s="87">
        <f t="shared" si="23"/>
        <v>1686667</v>
      </c>
      <c r="CA61">
        <f t="shared" si="30"/>
        <v>11541683</v>
      </c>
      <c r="CB61" s="782">
        <f t="shared" si="10"/>
        <v>3462504.9</v>
      </c>
      <c r="CC61" s="791">
        <f t="shared" si="11"/>
        <v>15503083.175555555</v>
      </c>
      <c r="CD61" s="788">
        <f t="shared" si="12"/>
        <v>4.4774184075683348</v>
      </c>
      <c r="CE61" s="788">
        <f t="shared" si="13"/>
        <v>3.3580638056762506</v>
      </c>
      <c r="CF61" s="828">
        <f t="shared" si="14"/>
        <v>1.9188936032435719</v>
      </c>
      <c r="CG61" s="828">
        <f t="shared" si="15"/>
        <v>1.3432255222705003</v>
      </c>
      <c r="CH61" s="88">
        <f t="shared" si="31"/>
        <v>0</v>
      </c>
      <c r="CI61" s="88">
        <f t="shared" si="16"/>
        <v>9521267.620000001</v>
      </c>
      <c r="CJ61" s="742">
        <f t="shared" si="32"/>
        <v>99000</v>
      </c>
      <c r="CK61" s="848">
        <f t="shared" si="17"/>
        <v>10057934.620000001</v>
      </c>
      <c r="CL61" s="88">
        <f t="shared" si="18"/>
        <v>4382815.555555556</v>
      </c>
    </row>
    <row r="62" spans="1:90" ht="16" customHeight="1">
      <c r="A62" s="55" t="s">
        <v>610</v>
      </c>
      <c r="B62" s="55" t="s">
        <v>215</v>
      </c>
      <c r="C62" s="55" t="s">
        <v>130</v>
      </c>
      <c r="D62" s="55" t="s">
        <v>150</v>
      </c>
      <c r="E62" s="55" t="s">
        <v>145</v>
      </c>
      <c r="F62" s="56"/>
      <c r="G62" s="56" t="str">
        <f t="shared" si="33"/>
        <v>Yes</v>
      </c>
      <c r="H62" s="56" t="str">
        <f t="shared" si="33"/>
        <v>Yes</v>
      </c>
      <c r="I62" s="56" t="str">
        <f t="shared" si="27"/>
        <v>No</v>
      </c>
      <c r="J62" s="56" t="str">
        <f t="shared" si="28"/>
        <v>No</v>
      </c>
      <c r="K62" s="56" t="str">
        <f t="shared" si="29"/>
        <v>Yes</v>
      </c>
      <c r="L62" s="56" t="s">
        <v>541</v>
      </c>
      <c r="M62" s="55" t="s">
        <v>541</v>
      </c>
      <c r="N62" s="134" t="s">
        <v>541</v>
      </c>
      <c r="O62" s="55" t="s">
        <v>544</v>
      </c>
      <c r="P62" s="55" t="s">
        <v>558</v>
      </c>
      <c r="Q62" s="55"/>
      <c r="R62" s="55"/>
      <c r="S62" s="956">
        <v>680289736.30082119</v>
      </c>
      <c r="T62" s="55" t="s">
        <v>395</v>
      </c>
      <c r="U62" s="64" t="str">
        <f>IFERROR(IF(VLOOKUP(A62,'WB projects data'!$A$5:$C$83,3,0)="Approved",(VLOOKUP(A62,'WB projects data'!$A$5:$C$83,3,0)),""),"")</f>
        <v>Approved</v>
      </c>
      <c r="V62" s="123">
        <f t="shared" si="24"/>
        <v>20000000</v>
      </c>
      <c r="W62" s="123">
        <f>IFERROR((VLOOKUP($A62,'WB projects data'!$A$5:$J$83,6,0)*1000000),"")</f>
        <v>20000000</v>
      </c>
      <c r="X62" s="123">
        <f>IFERROR((VLOOKUP($A62,'WB projects data'!$A$5:$J$83,7,0)*1000000),"")</f>
        <v>0</v>
      </c>
      <c r="Y62" s="123">
        <f>IFERROR((VLOOKUP($A62,'WB projects data'!$A$5:$J$83,8,0)*1000000),"")</f>
        <v>5750000</v>
      </c>
      <c r="Z62" s="123">
        <f>IFERROR((VLOOKUP($A62,'WB projects data'!$A$5:$J$83,9,0)*1000000),"")</f>
        <v>13800000</v>
      </c>
      <c r="AA62" s="123">
        <f>IFERROR((VLOOKUP($A62,'WB projects data'!$A$5:$J$83,10,0)*1000000),"")</f>
        <v>500000</v>
      </c>
      <c r="AB62" s="55"/>
      <c r="AC62" s="110"/>
      <c r="AD62" s="110" t="str">
        <f>IFERROR(VLOOKUP(A62,'ADB Projects'!$A$4:$W$21,5,FALSE),"")</f>
        <v/>
      </c>
      <c r="AE62" s="132" t="str">
        <f>IF(AC62="Approved",(VLOOKUP($A62,'ADB Projects'!$A$5:$D$21,4,0)*1000000),"")</f>
        <v/>
      </c>
      <c r="AF62" s="585" t="str">
        <f>IF(AC62="Approved",(PRODUCT(VLOOKUP($A62,'ADB Projects'!$A$4:$W$21,6,FALSE),1000000)),"")</f>
        <v/>
      </c>
      <c r="AG62" s="585" t="str">
        <f>IF(AC62="Approved",(PRODUCT(VLOOKUP($A62,'ADB Projects'!$A$4:$W$21,7,FALSE),1000000)),"")</f>
        <v/>
      </c>
      <c r="AH62" s="585" t="str">
        <f>IF(AC62="Approved",(PRODUCT(VLOOKUP($A62,'ADB Projects'!$A$4:$W$21,8,FALSE),1000000)),"")</f>
        <v/>
      </c>
      <c r="AI62" s="55"/>
      <c r="AJ62" s="55"/>
      <c r="AK62" s="244"/>
      <c r="AL62" s="55"/>
      <c r="AM62" s="55"/>
      <c r="AN62" s="55"/>
      <c r="AO62" s="55" t="s">
        <v>541</v>
      </c>
      <c r="AP62" s="55" t="s">
        <v>552</v>
      </c>
      <c r="AQ62" s="602">
        <f t="shared" si="25"/>
        <v>29300000</v>
      </c>
      <c r="AR62" s="602">
        <f>IFERROR(VLOOKUP($A62,'IDB C19 Vaccine Projects'!$O$4:$Q$12,2,FALSE),"")</f>
        <v>13500000</v>
      </c>
      <c r="AS62" s="602">
        <f>IFERROR(VLOOKUP($A62,'IDB C19 Vaccine Projects'!$O$4:$Q$12,3,FALSE),"")</f>
        <v>15800000</v>
      </c>
      <c r="AT62" s="55"/>
      <c r="AU62" s="88"/>
      <c r="AV62" s="55"/>
      <c r="AW62" s="55"/>
      <c r="AX62" s="88">
        <f>INDEX(USAID!$C$3:$C$151,MATCH('Matrix Allocations'!A62,USAID!$A$3:$A$151,0))</f>
        <v>4652400</v>
      </c>
      <c r="AY62" s="110"/>
      <c r="AZ62" s="88">
        <f>IFERROR(INDEX('[4]Vx All regions allocations'!O$10:O$144,MATCH(A62,'[4]Vx All regions allocations'!A$10:A$144,0)),"")</f>
        <v>300000</v>
      </c>
      <c r="BA62" s="88">
        <v>24259.259259259259</v>
      </c>
      <c r="BB62" s="88">
        <v>232501.58</v>
      </c>
      <c r="BC62" s="88" t="str">
        <f>IFERROR(INDEX(DFAT!$K$4:$K$21,MATCH('Matrix Allocations'!A62,DFAT!$B$4:$B$21,0)),"")</f>
        <v/>
      </c>
      <c r="BD62" s="88"/>
      <c r="BE62" s="826" t="str">
        <f>IFERROR(IF(INDEX('GAVI CCE'!$E$3:$E$95,MATCH('Matrix Allocations'!A62,'GAVI CCE'!$A$3:$A$95,0))="Yes",INDEX('GAVI CCE'!$E$3:$E$95,MATCH('Matrix Allocations'!A62,'GAVI CCE'!$A$3:$A$95,0)),""),"")</f>
        <v>Yes</v>
      </c>
      <c r="BF62" s="88">
        <f>IFERROR(IF(BE62="Yes",INDEX('GAVI CCE'!$F$3:$F$95,MATCH('Matrix Allocations'!A62,'GAVI CCE'!$A$3:$A$95,0)),""),"")</f>
        <v>219032</v>
      </c>
      <c r="BG62" s="609" t="str">
        <f>IFERROR(IF(E62='CDS early access ceilings'!$A$94,(VLOOKUP(A62,'CDS early access ceilings'!$A$2:$D$92,4,FALSE)),""),"")</f>
        <v>UNICEF</v>
      </c>
      <c r="BH62" s="639" t="str">
        <f>IFERROR(INDEX(Table14[Status (clean)],MATCH('Matrix Allocations'!A62,Table14[ISO Code],0)),"")</f>
        <v>Disbursed</v>
      </c>
      <c r="BI62" s="641">
        <f>IFERROR(INDEX(Table14[Amount disbursed (USD)],MATCH('Matrix Allocations'!A62,Table14[ISO Code],0)),"")</f>
        <v>369382</v>
      </c>
      <c r="BJ62" s="641" t="str">
        <f>IFERROR(INDEX('CDS NBW'!$I$2:$I$39,MATCH(A62,'CDS NBW'!$A$2:$A$39,0)),"")</f>
        <v>Disbursed</v>
      </c>
      <c r="BK62" s="641">
        <f>IFERROR(INDEX('CDS NBW'!$J$2:$J$39,MATCH(A62,'CDS NBW'!$A$2:$A$39,0)),"")</f>
        <v>1035145</v>
      </c>
      <c r="BL62" s="609"/>
      <c r="BM62" s="609"/>
      <c r="BN62" s="609"/>
      <c r="BO62" s="609"/>
      <c r="BP62" s="609">
        <f>IFERROR(INDEX('UNICEF-BMZ'!$O$1:$O$199,MATCH('Matrix Allocations'!A62,'UNICEF-BMZ'!$B$1:$B$199,0)),"")</f>
        <v>130000</v>
      </c>
      <c r="BQ62" s="609" t="str">
        <f>IFERROR(VLOOKUP(A62,'BMGF_clean data'!$A$4:$C$30,3,FALSE),"")</f>
        <v/>
      </c>
      <c r="BR62" s="609"/>
      <c r="BS62" s="609"/>
      <c r="BT62" s="609"/>
      <c r="BU62" s="609"/>
      <c r="BV62" s="609"/>
      <c r="BW62" s="87">
        <f>INDEX(USAID!$D$3:$D$151,MATCH('Matrix Allocations'!A62,USAID!$A$3:$A$151,0))</f>
        <v>0</v>
      </c>
      <c r="BX62" s="87" t="str">
        <f>IFERROR(INDEX(DFAT!$L$4:$L$21,MATCH('Matrix Allocations'!A62,DFAT!$B$4:$B$21,0)),"")</f>
        <v/>
      </c>
      <c r="BY62" s="87">
        <f>IFERROR(INDEX(Table14[Funds Channelled through UNICEF],MATCH('Matrix Allocations'!A62,Table14[ISO Code],0)),"")</f>
        <v>0</v>
      </c>
      <c r="BZ62" s="87">
        <f t="shared" si="23"/>
        <v>369382</v>
      </c>
      <c r="CA62">
        <f t="shared" si="30"/>
        <v>10062994</v>
      </c>
      <c r="CB62" s="782">
        <f t="shared" si="10"/>
        <v>3018898.1999999997</v>
      </c>
      <c r="CC62" s="791">
        <f t="shared" si="11"/>
        <v>36562719.839259259</v>
      </c>
      <c r="CD62" s="788">
        <f t="shared" si="12"/>
        <v>12.111279485760488</v>
      </c>
      <c r="CE62" s="788">
        <f t="shared" si="13"/>
        <v>9.0834596143203648</v>
      </c>
      <c r="CF62" s="828">
        <f t="shared" si="14"/>
        <v>5.1905483510402091</v>
      </c>
      <c r="CG62" s="828">
        <f t="shared" si="15"/>
        <v>3.633383845728146</v>
      </c>
      <c r="CH62" s="88">
        <f t="shared" si="31"/>
        <v>29600000</v>
      </c>
      <c r="CI62" s="88">
        <f t="shared" si="16"/>
        <v>4652400</v>
      </c>
      <c r="CJ62" s="742">
        <f t="shared" si="32"/>
        <v>0</v>
      </c>
      <c r="CK62" s="848">
        <f t="shared" si="17"/>
        <v>300000</v>
      </c>
      <c r="CL62" s="88">
        <f t="shared" si="18"/>
        <v>3045464.8392592594</v>
      </c>
    </row>
    <row r="63" spans="1:90" ht="16" customHeight="1">
      <c r="A63" s="55" t="s">
        <v>611</v>
      </c>
      <c r="B63" s="55" t="s">
        <v>216</v>
      </c>
      <c r="C63" s="55" t="s">
        <v>132</v>
      </c>
      <c r="D63" s="55" t="s">
        <v>150</v>
      </c>
      <c r="E63" s="55" t="s">
        <v>145</v>
      </c>
      <c r="F63" s="56"/>
      <c r="G63" s="56" t="str">
        <f t="shared" si="33"/>
        <v>No</v>
      </c>
      <c r="H63" s="56" t="str">
        <f t="shared" si="33"/>
        <v>No</v>
      </c>
      <c r="I63" s="56" t="str">
        <f t="shared" si="27"/>
        <v>No</v>
      </c>
      <c r="J63" s="56" t="str">
        <f t="shared" si="28"/>
        <v>Yes</v>
      </c>
      <c r="K63" s="56" t="str">
        <f t="shared" si="29"/>
        <v>No</v>
      </c>
      <c r="L63" s="56" t="s">
        <v>541</v>
      </c>
      <c r="M63" s="55" t="s">
        <v>541</v>
      </c>
      <c r="N63" s="134" t="s">
        <v>544</v>
      </c>
      <c r="O63" s="55" t="s">
        <v>544</v>
      </c>
      <c r="P63" s="55" t="s">
        <v>546</v>
      </c>
      <c r="Q63" s="55"/>
      <c r="R63" s="55"/>
      <c r="S63" s="956">
        <v>26554332750.47023</v>
      </c>
      <c r="T63" s="55" t="s">
        <v>394</v>
      </c>
      <c r="U63" s="64" t="str">
        <f>IFERROR(IF(VLOOKUP(A63,'WB projects data'!$A$5:$C$83,3,0)="Approved",(VLOOKUP(A63,'WB projects data'!$A$5:$C$83,3,0)),""),"")</f>
        <v/>
      </c>
      <c r="V63" s="123" t="str">
        <f t="shared" si="24"/>
        <v/>
      </c>
      <c r="W63" s="123" t="str">
        <f>IFERROR((VLOOKUP($A63,'WB projects data'!$A$5:$J$83,6,0)*1000000),"")</f>
        <v/>
      </c>
      <c r="X63" s="123" t="str">
        <f>IFERROR((VLOOKUP($A63,'WB projects data'!$A$5:$J$83,7,0)*1000000),"")</f>
        <v/>
      </c>
      <c r="Y63" s="123" t="str">
        <f>IFERROR((VLOOKUP($A63,'WB projects data'!$A$5:$J$83,8,0)*1000000),"")</f>
        <v/>
      </c>
      <c r="Z63" s="123" t="str">
        <f>IFERROR((VLOOKUP($A63,'WB projects data'!$A$5:$J$83,9,0)*1000000),"")</f>
        <v/>
      </c>
      <c r="AA63" s="123" t="str">
        <f>IFERROR((VLOOKUP($A63,'WB projects data'!$A$5:$J$83,10,0)*1000000),"")</f>
        <v/>
      </c>
      <c r="AB63" s="55"/>
      <c r="AC63" s="110" t="str">
        <f>VLOOKUP($A63,'ADB Projects'!$A$5:$D$21,3,0)</f>
        <v>Approved</v>
      </c>
      <c r="AD63" s="110" t="str">
        <f>IFERROR(VLOOKUP(A63,'ADB Projects'!$A$4:$W$21,5,FALSE),"")</f>
        <v>Grant</v>
      </c>
      <c r="AE63" s="132">
        <f>IF(AC63="Approved",(VLOOKUP($A63,'ADB Projects'!$A$5:$D$21,4,0)*1000000),"")</f>
        <v>7000000</v>
      </c>
      <c r="AF63" s="585">
        <f>IF(AC63="Approved",(PRODUCT(VLOOKUP($A63,'ADB Projects'!$A$4:$W$21,6,FALSE),1000000)),"")</f>
        <v>0</v>
      </c>
      <c r="AG63" s="585">
        <f>IF(AC63="Approved",(PRODUCT(VLOOKUP($A63,'ADB Projects'!$A$4:$W$21,7,FALSE),1000000)),"")</f>
        <v>7000000</v>
      </c>
      <c r="AH63" s="585">
        <f>IF(AC63="Approved",(PRODUCT(VLOOKUP($A63,'ADB Projects'!$A$4:$W$21,8,FALSE),1000000)),"")</f>
        <v>0</v>
      </c>
      <c r="AI63" s="55"/>
      <c r="AJ63" s="55"/>
      <c r="AK63" s="244"/>
      <c r="AL63" s="55" t="s">
        <v>541</v>
      </c>
      <c r="AM63" s="55"/>
      <c r="AN63" s="55"/>
      <c r="AO63" s="55"/>
      <c r="AP63" s="55"/>
      <c r="AQ63" s="602" t="str">
        <f t="shared" si="25"/>
        <v/>
      </c>
      <c r="AR63" s="602" t="str">
        <f>IFERROR(VLOOKUP($A63,'IDB C19 Vaccine Projects'!$O$4:$Q$12,2,FALSE),"")</f>
        <v/>
      </c>
      <c r="AS63" s="602" t="str">
        <f>IFERROR(VLOOKUP($A63,'IDB C19 Vaccine Projects'!$O$4:$Q$12,3,FALSE),"")</f>
        <v/>
      </c>
      <c r="AT63" s="55"/>
      <c r="AU63" s="88"/>
      <c r="AV63" s="55"/>
      <c r="AW63" s="55"/>
      <c r="AX63" s="88">
        <f>INDEX(USAID!$C$3:$C$151,MATCH('Matrix Allocations'!A63,USAID!$A$3:$A$151,0))</f>
        <v>36840139</v>
      </c>
      <c r="AY63" s="110"/>
      <c r="AZ63" s="88">
        <f>IFERROR(INDEX('[4]Vx All regions allocations'!O$10:O$144,MATCH(A63,'[4]Vx All regions allocations'!A$10:A$144,0)),"")</f>
        <v>12694456</v>
      </c>
      <c r="BA63" s="88">
        <v>5971660.1851851847</v>
      </c>
      <c r="BB63" s="88">
        <v>10181364</v>
      </c>
      <c r="BC63" s="88" t="str">
        <f>IFERROR(INDEX(DFAT!$K$4:$K$21,MATCH('Matrix Allocations'!A63,DFAT!$B$4:$B$21,0)),"")</f>
        <v/>
      </c>
      <c r="BD63" s="88"/>
      <c r="BE63" s="826" t="str">
        <f>IFERROR(IF(INDEX('GAVI CCE'!$E$3:$E$95,MATCH('Matrix Allocations'!A63,'GAVI CCE'!$A$3:$A$95,0))="Yes",INDEX('GAVI CCE'!$E$3:$E$95,MATCH('Matrix Allocations'!A63,'GAVI CCE'!$A$3:$A$95,0)),""),"")</f>
        <v>Yes</v>
      </c>
      <c r="BF63" s="88">
        <f>IFERROR(IF(BE63="Yes",INDEX('GAVI CCE'!$F$3:$F$95,MATCH('Matrix Allocations'!A63,'GAVI CCE'!$A$3:$A$95,0)),""),"")</f>
        <v>8716494</v>
      </c>
      <c r="BG63" s="609" t="str">
        <f>IFERROR(IF(E63='CDS early access ceilings'!$A$94,(VLOOKUP(A63,'CDS early access ceilings'!$A$2:$D$92,4,FALSE)),""),"")</f>
        <v>GAVI</v>
      </c>
      <c r="BH63" s="639" t="str">
        <f>IFERROR(INDEX(Table14[Status (clean)],MATCH('Matrix Allocations'!A63,Table14[ISO Code],0)),"")</f>
        <v>Disbursed</v>
      </c>
      <c r="BI63" s="641">
        <f>IFERROR(INDEX(Table14[Amount disbursed (USD)],MATCH('Matrix Allocations'!A63,Table14[ISO Code],0)),"")</f>
        <v>10867000</v>
      </c>
      <c r="BJ63" s="641" t="str">
        <f>IFERROR(INDEX('CDS NBW'!$I$2:$I$39,MATCH(A63,'CDS NBW'!$A$2:$A$39,0)),"")</f>
        <v/>
      </c>
      <c r="BK63" s="641" t="str">
        <f>IFERROR(INDEX('CDS NBW'!$J$2:$J$39,MATCH(A63,'CDS NBW'!$A$2:$A$39,0)),"")</f>
        <v/>
      </c>
      <c r="BL63" s="609"/>
      <c r="BM63" s="609"/>
      <c r="BN63" s="609"/>
      <c r="BO63" s="609">
        <v>24758715</v>
      </c>
      <c r="BP63" s="609">
        <f>IFERROR(INDEX('UNICEF-BMZ'!$O$1:$O$199,MATCH('Matrix Allocations'!A63,'UNICEF-BMZ'!$B$1:$B$199,0)),"")</f>
        <v>0</v>
      </c>
      <c r="BQ63" s="609">
        <f>IFERROR(VLOOKUP(A63,'BMGF_clean data'!$A$4:$C$30,3,FALSE),"")</f>
        <v>81000</v>
      </c>
      <c r="BR63" s="609"/>
      <c r="BS63" s="609"/>
      <c r="BT63" s="609">
        <v>1200000</v>
      </c>
      <c r="BU63" s="609"/>
      <c r="BV63" s="609"/>
      <c r="BW63" s="87">
        <f>INDEX(USAID!$D$3:$D$151,MATCH('Matrix Allocations'!A63,USAID!$A$3:$A$151,0))</f>
        <v>2000000</v>
      </c>
      <c r="BX63" s="87" t="str">
        <f>IFERROR(INDEX(DFAT!$L$4:$L$21,MATCH('Matrix Allocations'!A63,DFAT!$B$4:$B$21,0)),"")</f>
        <v/>
      </c>
      <c r="BY63" s="87">
        <f>IFERROR(INDEX(Table14[Funds Channelled through UNICEF],MATCH('Matrix Allocations'!A63,Table14[ISO Code],0)),"")</f>
        <v>3100000</v>
      </c>
      <c r="BZ63" s="87">
        <f t="shared" si="23"/>
        <v>3100000</v>
      </c>
      <c r="CA63">
        <f t="shared" si="30"/>
        <v>1393409033</v>
      </c>
      <c r="CB63" s="782">
        <f t="shared" si="10"/>
        <v>418022709.89999998</v>
      </c>
      <c r="CC63" s="791">
        <f t="shared" si="11"/>
        <v>118310828.18518519</v>
      </c>
      <c r="CD63" s="788">
        <f t="shared" si="12"/>
        <v>0.2830248821014717</v>
      </c>
      <c r="CE63" s="788">
        <f t="shared" si="13"/>
        <v>0.21226866157610375</v>
      </c>
      <c r="CF63" s="828">
        <f t="shared" si="14"/>
        <v>0.12129637804348788</v>
      </c>
      <c r="CG63" s="828">
        <f t="shared" si="15"/>
        <v>8.4907464630441506E-2</v>
      </c>
      <c r="CH63" s="88">
        <f t="shared" si="31"/>
        <v>7000000</v>
      </c>
      <c r="CI63" s="88">
        <f t="shared" si="16"/>
        <v>38040139</v>
      </c>
      <c r="CJ63" s="742">
        <f t="shared" si="32"/>
        <v>24839715</v>
      </c>
      <c r="CK63" s="848">
        <f t="shared" si="17"/>
        <v>43753171</v>
      </c>
      <c r="CL63" s="88">
        <f t="shared" si="18"/>
        <v>35736518.185185187</v>
      </c>
    </row>
    <row r="64" spans="1:90" ht="16" customHeight="1">
      <c r="A64" s="55" t="s">
        <v>612</v>
      </c>
      <c r="B64" s="55" t="s">
        <v>217</v>
      </c>
      <c r="C64" s="55" t="s">
        <v>126</v>
      </c>
      <c r="D64" s="55" t="s">
        <v>150</v>
      </c>
      <c r="E64" s="55" t="s">
        <v>145</v>
      </c>
      <c r="F64" s="56"/>
      <c r="G64" s="56" t="str">
        <f t="shared" si="33"/>
        <v>Yes</v>
      </c>
      <c r="H64" s="56" t="str">
        <f t="shared" si="33"/>
        <v>Yes</v>
      </c>
      <c r="I64" s="56" t="str">
        <f t="shared" si="27"/>
        <v>No</v>
      </c>
      <c r="J64" s="56" t="str">
        <f t="shared" si="28"/>
        <v>No</v>
      </c>
      <c r="K64" s="56" t="str">
        <f t="shared" si="29"/>
        <v>Yes</v>
      </c>
      <c r="L64" s="56" t="s">
        <v>541</v>
      </c>
      <c r="M64" s="55" t="s">
        <v>541</v>
      </c>
      <c r="N64" s="134" t="s">
        <v>544</v>
      </c>
      <c r="O64" s="55" t="s">
        <v>544</v>
      </c>
      <c r="P64" s="55" t="s">
        <v>546</v>
      </c>
      <c r="Q64" s="55"/>
      <c r="R64" s="55"/>
      <c r="S64" s="956">
        <v>14745961064.890842</v>
      </c>
      <c r="T64" s="55" t="s">
        <v>395</v>
      </c>
      <c r="U64" s="64" t="str">
        <f>IFERROR(IF(VLOOKUP(A64,'WB projects data'!$A$5:$C$83,3,0)="Approved",(VLOOKUP(A64,'WB projects data'!$A$5:$C$83,3,0)),""),"")</f>
        <v>Approved</v>
      </c>
      <c r="V64" s="123">
        <f t="shared" si="24"/>
        <v>509900000</v>
      </c>
      <c r="W64" s="123">
        <f>IFERROR((VLOOKUP($A64,'WB projects data'!$A$5:$J$83,6,0)*1000000),"")</f>
        <v>509900000</v>
      </c>
      <c r="X64" s="123">
        <f>IFERROR((VLOOKUP($A64,'WB projects data'!$A$5:$J$83,7,0)*1000000),"")</f>
        <v>0</v>
      </c>
      <c r="Y64" s="123">
        <f>IFERROR((VLOOKUP($A64,'WB projects data'!$A$5:$J$83,8,0)*1000000),"")</f>
        <v>0</v>
      </c>
      <c r="Z64" s="123">
        <f>IFERROR((VLOOKUP($A64,'WB projects data'!$A$5:$J$83,9,0)*1000000),"")</f>
        <v>258300000</v>
      </c>
      <c r="AA64" s="123">
        <f>IFERROR((VLOOKUP($A64,'WB projects data'!$A$5:$J$83,10,0)*1000000),"")</f>
        <v>251600000</v>
      </c>
      <c r="AB64" s="55"/>
      <c r="AC64" s="110" t="str">
        <f>VLOOKUP($A64,'ADB Projects'!$A$5:$D$21,3,0)</f>
        <v>Approved</v>
      </c>
      <c r="AD64" s="110" t="str">
        <f>IFERROR(VLOOKUP(A64,'ADB Projects'!$A$4:$W$21,5,FALSE),"")</f>
        <v>Loan</v>
      </c>
      <c r="AE64" s="132">
        <f>IF(AC64="Approved",(VLOOKUP($A64,'ADB Projects'!$A$5:$D$21,4,0)*1000000),"")</f>
        <v>450000000</v>
      </c>
      <c r="AF64" s="585">
        <f>IF(AC64="Approved",(PRODUCT(VLOOKUP($A64,'ADB Projects'!$A$4:$W$21,6,FALSE),1000000)),"")</f>
        <v>445270000</v>
      </c>
      <c r="AG64" s="585">
        <f>IF(AC64="Approved",(PRODUCT(VLOOKUP($A64,'ADB Projects'!$A$4:$W$21,7,FALSE),1000000)),"")</f>
        <v>0</v>
      </c>
      <c r="AH64" s="585">
        <f>IF(AC64="Approved",(PRODUCT(VLOOKUP($A64,'ADB Projects'!$A$4:$W$21,8,FALSE),1000000)),"")</f>
        <v>4730000.0000000186</v>
      </c>
      <c r="AI64" s="55" t="s">
        <v>541</v>
      </c>
      <c r="AJ64" s="55" t="str">
        <f>IF(VLOOKUP($B64,'IsDB Projects'!$B$5:$C$14,2,0)&gt;0,"Requested","")</f>
        <v>Requested</v>
      </c>
      <c r="AK64" s="244">
        <f>VLOOKUP($B64,'IsDB Projects'!$B$5:$D$14,3,0)</f>
        <v>100000000</v>
      </c>
      <c r="AL64" s="55"/>
      <c r="AM64" s="55"/>
      <c r="AN64" s="55"/>
      <c r="AO64" s="55"/>
      <c r="AP64" s="55"/>
      <c r="AQ64" s="602" t="str">
        <f t="shared" si="25"/>
        <v/>
      </c>
      <c r="AR64" s="602" t="str">
        <f>IFERROR(VLOOKUP($A64,'IDB C19 Vaccine Projects'!$O$4:$Q$12,2,FALSE),"")</f>
        <v/>
      </c>
      <c r="AS64" s="602" t="str">
        <f>IFERROR(VLOOKUP($A64,'IDB C19 Vaccine Projects'!$O$4:$Q$12,3,FALSE),"")</f>
        <v/>
      </c>
      <c r="AT64" s="55"/>
      <c r="AU64" s="88"/>
      <c r="AV64" s="55"/>
      <c r="AW64" s="55"/>
      <c r="AX64" s="88">
        <f>INDEX(USAID!$C$3:$C$151,MATCH('Matrix Allocations'!A64,USAID!$A$3:$A$151,0))</f>
        <v>13950000</v>
      </c>
      <c r="AY64" s="110">
        <v>3751813</v>
      </c>
      <c r="AZ64" s="88">
        <f>IFERROR(INDEX('[4]Vx All regions allocations'!O$10:O$144,MATCH(A64,'[4]Vx All regions allocations'!A$10:A$144,0)),"")</f>
        <v>0</v>
      </c>
      <c r="BA64" s="88">
        <v>100000</v>
      </c>
      <c r="BB64" s="88">
        <v>115000</v>
      </c>
      <c r="BC64" s="88">
        <f>IFERROR(INDEX(DFAT!$K$4:$K$21,MATCH('Matrix Allocations'!A64,DFAT!$B$4:$B$21,0)),"")</f>
        <v>2711076</v>
      </c>
      <c r="BD64" s="88">
        <v>3230725</v>
      </c>
      <c r="BE64" s="826" t="str">
        <f>IFERROR(IF(INDEX('GAVI CCE'!$E$3:$E$95,MATCH('Matrix Allocations'!A64,'GAVI CCE'!$A$3:$A$95,0))="Yes",INDEX('GAVI CCE'!$E$3:$E$95,MATCH('Matrix Allocations'!A64,'GAVI CCE'!$A$3:$A$95,0)),""),"")</f>
        <v>Yes</v>
      </c>
      <c r="BF64" s="88">
        <f>IFERROR(IF(BE64="Yes",INDEX('GAVI CCE'!$F$3:$F$95,MATCH('Matrix Allocations'!A64,'GAVI CCE'!$A$3:$A$95,0)),""),"")</f>
        <v>1734565</v>
      </c>
      <c r="BG64" s="609" t="str">
        <f>IFERROR(IF(E64='CDS early access ceilings'!$A$94,(VLOOKUP(A64,'CDS early access ceilings'!$A$2:$D$92,4,FALSE)),""),"")</f>
        <v>GAVI</v>
      </c>
      <c r="BH64" s="639" t="str">
        <f>IFERROR(INDEX(Table14[Status (clean)],MATCH('Matrix Allocations'!A64,Table14[ISO Code],0)),"")</f>
        <v>Disbursed</v>
      </c>
      <c r="BI64" s="641">
        <f>IFERROR(INDEX(Table14[Amount disbursed (USD)],MATCH('Matrix Allocations'!A64,Table14[ISO Code],0)),"")</f>
        <v>0</v>
      </c>
      <c r="BJ64" s="641" t="str">
        <f>IFERROR(INDEX('CDS NBW'!$I$2:$I$39,MATCH(A64,'CDS NBW'!$A$2:$A$39,0)),"")</f>
        <v/>
      </c>
      <c r="BK64" s="641" t="str">
        <f>IFERROR(INDEX('CDS NBW'!$J$2:$J$39,MATCH(A64,'CDS NBW'!$A$2:$A$39,0)),"")</f>
        <v/>
      </c>
      <c r="BL64" s="609"/>
      <c r="BM64" s="609"/>
      <c r="BN64" s="609"/>
      <c r="BO64" s="609">
        <v>93593</v>
      </c>
      <c r="BP64" s="609">
        <f>IFERROR(INDEX('UNICEF-BMZ'!$O$1:$O$199,MATCH('Matrix Allocations'!A64,'UNICEF-BMZ'!$B$1:$B$199,0)),"")</f>
        <v>165200</v>
      </c>
      <c r="BQ64" s="609" t="str">
        <f>IFERROR(VLOOKUP(A64,'BMGF_clean data'!$A$4:$C$30,3,FALSE),"")</f>
        <v/>
      </c>
      <c r="BR64" s="609"/>
      <c r="BS64" s="609"/>
      <c r="BT64" s="609"/>
      <c r="BU64" s="609"/>
      <c r="BV64" s="609"/>
      <c r="BW64" s="87">
        <f>INDEX(USAID!$D$3:$D$151,MATCH('Matrix Allocations'!A64,USAID!$A$3:$A$151,0))</f>
        <v>4700000</v>
      </c>
      <c r="BX64" s="87">
        <f>IFERROR(INDEX(DFAT!$L$4:$L$21,MATCH('Matrix Allocations'!A64,DFAT!$B$4:$B$21,0)),"")</f>
        <v>774593</v>
      </c>
      <c r="BY64" s="87">
        <f>IFERROR(INDEX(Table14[Funds Channelled through UNICEF],MATCH('Matrix Allocations'!A64,Table14[ISO Code],0)),"")</f>
        <v>0</v>
      </c>
      <c r="BZ64" s="87">
        <f t="shared" si="23"/>
        <v>0</v>
      </c>
      <c r="CA64">
        <f t="shared" si="30"/>
        <v>276361788</v>
      </c>
      <c r="CB64" s="782">
        <f t="shared" si="10"/>
        <v>82908536.399999991</v>
      </c>
      <c r="CC64" s="791">
        <f t="shared" si="11"/>
        <v>284151972</v>
      </c>
      <c r="CD64" s="788">
        <f t="shared" si="12"/>
        <v>3.4272945143921274</v>
      </c>
      <c r="CE64" s="788">
        <f t="shared" si="13"/>
        <v>2.5704708857940952</v>
      </c>
      <c r="CF64" s="828">
        <f t="shared" si="14"/>
        <v>1.4688405061680545</v>
      </c>
      <c r="CG64" s="828">
        <f t="shared" si="15"/>
        <v>1.0281883543176382</v>
      </c>
      <c r="CH64" s="88">
        <f t="shared" si="31"/>
        <v>258300000</v>
      </c>
      <c r="CI64" s="88">
        <f t="shared" si="16"/>
        <v>23643614</v>
      </c>
      <c r="CJ64" s="742">
        <f t="shared" si="32"/>
        <v>93593</v>
      </c>
      <c r="CK64" s="848">
        <f t="shared" si="17"/>
        <v>12550724</v>
      </c>
      <c r="CL64" s="88">
        <f t="shared" si="18"/>
        <v>2114765</v>
      </c>
    </row>
    <row r="65" spans="1:90" ht="16" customHeight="1">
      <c r="A65" s="55" t="s">
        <v>613</v>
      </c>
      <c r="B65" s="55" t="s">
        <v>149</v>
      </c>
      <c r="C65" s="55" t="s">
        <v>131</v>
      </c>
      <c r="D65" s="55" t="s">
        <v>150</v>
      </c>
      <c r="E65" s="55" t="s">
        <v>146</v>
      </c>
      <c r="F65" s="56"/>
      <c r="G65" s="56" t="str">
        <f t="shared" si="33"/>
        <v>No</v>
      </c>
      <c r="H65" s="56" t="str">
        <f t="shared" si="33"/>
        <v>No</v>
      </c>
      <c r="I65" s="56" t="str">
        <f t="shared" si="27"/>
        <v>No</v>
      </c>
      <c r="J65" s="56" t="str">
        <f t="shared" si="28"/>
        <v>Yes</v>
      </c>
      <c r="K65" s="56" t="str">
        <f t="shared" si="29"/>
        <v>No</v>
      </c>
      <c r="L65" s="56" t="s">
        <v>541</v>
      </c>
      <c r="M65" s="55" t="s">
        <v>544</v>
      </c>
      <c r="N65" s="134" t="s">
        <v>544</v>
      </c>
      <c r="O65" s="55" t="s">
        <v>544</v>
      </c>
      <c r="P65" s="55" t="s">
        <v>546</v>
      </c>
      <c r="Q65" s="55"/>
      <c r="R65" s="55"/>
      <c r="S65" s="956">
        <v>18194076299.786381</v>
      </c>
      <c r="T65" s="55" t="s">
        <v>394</v>
      </c>
      <c r="U65" s="64" t="str">
        <f>IFERROR(IF(VLOOKUP(A65,'WB projects data'!$A$5:$C$83,3,0)="Approved",(VLOOKUP(A65,'WB projects data'!$A$5:$C$83,3,0)),""),"")</f>
        <v/>
      </c>
      <c r="V65" s="123" t="str">
        <f t="shared" si="24"/>
        <v/>
      </c>
      <c r="W65" s="123" t="str">
        <f>IFERROR((VLOOKUP($A65,'WB projects data'!$A$5:$J$83,6,0)*1000000),"")</f>
        <v/>
      </c>
      <c r="X65" s="123" t="str">
        <f>IFERROR((VLOOKUP($A65,'WB projects data'!$A$5:$J$83,7,0)*1000000),"")</f>
        <v/>
      </c>
      <c r="Y65" s="123" t="str">
        <f>IFERROR((VLOOKUP($A65,'WB projects data'!$A$5:$J$83,8,0)*1000000),"")</f>
        <v/>
      </c>
      <c r="Z65" s="123" t="str">
        <f>IFERROR((VLOOKUP($A65,'WB projects data'!$A$5:$J$83,9,0)*1000000),"")</f>
        <v/>
      </c>
      <c r="AA65" s="123" t="str">
        <f>IFERROR((VLOOKUP($A65,'WB projects data'!$A$5:$J$83,10,0)*1000000),"")</f>
        <v/>
      </c>
      <c r="AB65" s="55"/>
      <c r="AC65" s="110"/>
      <c r="AD65" s="110" t="str">
        <f>IFERROR(VLOOKUP(A65,'ADB Projects'!$A$4:$W$21,5,FALSE),"")</f>
        <v/>
      </c>
      <c r="AE65" s="132" t="str">
        <f>IF(AC65="Approved",(VLOOKUP($A65,'ADB Projects'!$A$5:$D$21,4,0)*1000000),"")</f>
        <v/>
      </c>
      <c r="AF65" s="585" t="str">
        <f>IF(AC65="Approved",(PRODUCT(VLOOKUP($A65,'ADB Projects'!$A$4:$W$21,6,FALSE),1000000)),"")</f>
        <v/>
      </c>
      <c r="AG65" s="585" t="str">
        <f>IF(AC65="Approved",(PRODUCT(VLOOKUP($A65,'ADB Projects'!$A$4:$W$21,7,FALSE),1000000)),"")</f>
        <v/>
      </c>
      <c r="AH65" s="585" t="str">
        <f>IF(AC65="Approved",(PRODUCT(VLOOKUP($A65,'ADB Projects'!$A$4:$W$21,8,FALSE),1000000)),"")</f>
        <v/>
      </c>
      <c r="AI65" s="55"/>
      <c r="AJ65" s="55"/>
      <c r="AK65" s="244"/>
      <c r="AL65" s="55" t="s">
        <v>541</v>
      </c>
      <c r="AM65" s="55"/>
      <c r="AN65" s="55"/>
      <c r="AO65" s="55"/>
      <c r="AP65" s="55"/>
      <c r="AQ65" s="602" t="str">
        <f t="shared" si="25"/>
        <v/>
      </c>
      <c r="AR65" s="602" t="str">
        <f>IFERROR(VLOOKUP($A65,'IDB C19 Vaccine Projects'!$O$4:$Q$12,2,FALSE),"")</f>
        <v/>
      </c>
      <c r="AS65" s="602" t="str">
        <f>IFERROR(VLOOKUP($A65,'IDB C19 Vaccine Projects'!$O$4:$Q$12,3,FALSE),"")</f>
        <v/>
      </c>
      <c r="AT65" s="55"/>
      <c r="AU65" s="88"/>
      <c r="AV65" s="55"/>
      <c r="AW65" s="55"/>
      <c r="AX65" s="88" t="str">
        <f>INDEX(USAID!$C$3:$C$151,MATCH('Matrix Allocations'!A65,USAID!$A$3:$A$151,0))</f>
        <v/>
      </c>
      <c r="AY65" s="110"/>
      <c r="AZ65" s="88">
        <f>IFERROR(INDEX('[4]Vx All regions allocations'!O$10:O$144,MATCH(A65,'[4]Vx All regions allocations'!A$10:A$144,0)),"")</f>
        <v>2428858</v>
      </c>
      <c r="BA65" s="88">
        <v>0</v>
      </c>
      <c r="BB65" s="88">
        <v>0</v>
      </c>
      <c r="BC65" s="88" t="str">
        <f>IFERROR(INDEX(DFAT!$K$4:$K$21,MATCH('Matrix Allocations'!A65,DFAT!$B$4:$B$21,0)),"")</f>
        <v/>
      </c>
      <c r="BD65" s="88"/>
      <c r="BE65" s="826" t="str">
        <f>IFERROR(IF(INDEX('GAVI CCE'!$E$3:$E$95,MATCH('Matrix Allocations'!A65,'GAVI CCE'!$A$3:$A$95,0))="Yes",INDEX('GAVI CCE'!$E$3:$E$95,MATCH('Matrix Allocations'!A65,'GAVI CCE'!$A$3:$A$95,0)),""),"")</f>
        <v/>
      </c>
      <c r="BF65" s="88" t="str">
        <f>IFERROR(IF(BE65="Yes",INDEX('GAVI CCE'!$F$3:$F$95,MATCH('Matrix Allocations'!A65,'GAVI CCE'!$A$3:$A$95,0)),""),"")</f>
        <v/>
      </c>
      <c r="BG65" s="609" t="str">
        <f>IFERROR(IF(E65='CDS early access ceilings'!$A$94,(VLOOKUP(A65,'CDS early access ceilings'!$A$2:$D$92,4,FALSE)),""),"")</f>
        <v/>
      </c>
      <c r="BH65" s="639" t="str">
        <f>IFERROR(INDEX(Table14[Status (clean)],MATCH('Matrix Allocations'!A65,Table14[ISO Code],0)),"")</f>
        <v/>
      </c>
      <c r="BI65" s="641" t="str">
        <f>IFERROR(INDEX(Table14[Amount disbursed (USD)],MATCH('Matrix Allocations'!A65,Table14[ISO Code],0)),"")</f>
        <v/>
      </c>
      <c r="BJ65" s="641" t="str">
        <f>IFERROR(INDEX('CDS NBW'!$I$2:$I$39,MATCH(A65,'CDS NBW'!$A$2:$A$39,0)),"")</f>
        <v/>
      </c>
      <c r="BK65" s="641" t="str">
        <f>IFERROR(INDEX('CDS NBW'!$J$2:$J$39,MATCH(A65,'CDS NBW'!$A$2:$A$39,0)),"")</f>
        <v/>
      </c>
      <c r="BL65" s="609"/>
      <c r="BM65" s="609"/>
      <c r="BN65" s="609"/>
      <c r="BO65" s="609"/>
      <c r="BP65" s="609">
        <f>IFERROR(INDEX('UNICEF-BMZ'!$O$1:$O$199,MATCH('Matrix Allocations'!A65,'UNICEF-BMZ'!$B$1:$B$199,0)),"")</f>
        <v>0</v>
      </c>
      <c r="BQ65" s="609" t="str">
        <f>IFERROR(VLOOKUP(A65,'BMGF_clean data'!$A$4:$C$30,3,FALSE),"")</f>
        <v/>
      </c>
      <c r="BR65" s="609"/>
      <c r="BS65" s="609"/>
      <c r="BT65" s="609"/>
      <c r="BU65" s="609"/>
      <c r="BV65" s="609"/>
      <c r="BW65" s="87">
        <f>INDEX(USAID!$D$3:$D$151,MATCH('Matrix Allocations'!A65,USAID!$A$3:$A$151,0))</f>
        <v>0</v>
      </c>
      <c r="BX65" s="87" t="str">
        <f>IFERROR(INDEX(DFAT!$L$4:$L$21,MATCH('Matrix Allocations'!A65,DFAT!$B$4:$B$21,0)),"")</f>
        <v/>
      </c>
      <c r="BY65" s="87" t="str">
        <f>IFERROR(INDEX(Table14[Funds Channelled through UNICEF],MATCH('Matrix Allocations'!A65,Table14[ISO Code],0)),"")</f>
        <v/>
      </c>
      <c r="BZ65" s="87">
        <f t="shared" si="23"/>
        <v>0</v>
      </c>
      <c r="CA65">
        <f t="shared" si="30"/>
        <v>85028760</v>
      </c>
      <c r="CB65" s="782">
        <f t="shared" si="10"/>
        <v>25508628</v>
      </c>
      <c r="CC65" s="791">
        <f t="shared" si="11"/>
        <v>2428858</v>
      </c>
      <c r="CD65" s="788">
        <f t="shared" si="12"/>
        <v>9.521711634196868E-2</v>
      </c>
      <c r="CE65" s="788">
        <f t="shared" si="13"/>
        <v>7.1412837256476513E-2</v>
      </c>
      <c r="CF65" s="828">
        <f t="shared" si="14"/>
        <v>4.0807335575129444E-2</v>
      </c>
      <c r="CG65" s="828">
        <f t="shared" si="15"/>
        <v>2.8565134902590605E-2</v>
      </c>
      <c r="CH65" s="88">
        <f t="shared" si="31"/>
        <v>0</v>
      </c>
      <c r="CI65" s="88">
        <f t="shared" si="16"/>
        <v>0</v>
      </c>
      <c r="CJ65" s="742">
        <f t="shared" si="32"/>
        <v>0</v>
      </c>
      <c r="CK65" s="848">
        <f t="shared" si="17"/>
        <v>2428858</v>
      </c>
      <c r="CL65" s="88">
        <f t="shared" si="18"/>
        <v>0</v>
      </c>
    </row>
    <row r="66" spans="1:90" ht="16" customHeight="1">
      <c r="A66" s="55" t="s">
        <v>614</v>
      </c>
      <c r="B66" s="55" t="s">
        <v>218</v>
      </c>
      <c r="C66" s="55" t="s">
        <v>131</v>
      </c>
      <c r="D66" s="55" t="s">
        <v>152</v>
      </c>
      <c r="E66" s="55" t="s">
        <v>146</v>
      </c>
      <c r="F66" s="56"/>
      <c r="G66" s="56" t="str">
        <f t="shared" si="33"/>
        <v>Yes</v>
      </c>
      <c r="H66" s="56" t="str">
        <f t="shared" si="33"/>
        <v>Yes</v>
      </c>
      <c r="I66" s="56" t="str">
        <f t="shared" si="27"/>
        <v>No</v>
      </c>
      <c r="J66" s="56" t="str">
        <f t="shared" si="28"/>
        <v>No</v>
      </c>
      <c r="K66" s="56" t="str">
        <f t="shared" si="29"/>
        <v>Yes</v>
      </c>
      <c r="L66" s="56" t="s">
        <v>541</v>
      </c>
      <c r="M66" s="55" t="s">
        <v>544</v>
      </c>
      <c r="N66" s="134" t="s">
        <v>544</v>
      </c>
      <c r="O66" s="55" t="s">
        <v>544</v>
      </c>
      <c r="P66" s="55" t="s">
        <v>546</v>
      </c>
      <c r="Q66" s="55"/>
      <c r="R66" s="55"/>
      <c r="S66" s="956">
        <v>4428819387.769825</v>
      </c>
      <c r="T66" s="55" t="s">
        <v>395</v>
      </c>
      <c r="U66" s="64" t="str">
        <f>IFERROR(IF(VLOOKUP(A66,'WB projects data'!$A$5:$C$83,3,0)="Approved",(VLOOKUP(A66,'WB projects data'!$A$5:$C$83,3,0)),""),"")</f>
        <v>Approved</v>
      </c>
      <c r="V66" s="123">
        <f t="shared" si="24"/>
        <v>100000000</v>
      </c>
      <c r="W66" s="123">
        <f>IFERROR((VLOOKUP($A66,'WB projects data'!$A$5:$J$83,6,0)*1000000),"")</f>
        <v>98000000</v>
      </c>
      <c r="X66" s="123">
        <f>IFERROR((VLOOKUP($A66,'WB projects data'!$A$5:$J$83,7,0)*1000000),"")</f>
        <v>2000000</v>
      </c>
      <c r="Y66" s="123">
        <f>IFERROR((VLOOKUP($A66,'WB projects data'!$A$5:$J$83,8,0)*1000000),"")</f>
        <v>72000000</v>
      </c>
      <c r="Z66" s="123">
        <f>IFERROR((VLOOKUP($A66,'WB projects data'!$A$5:$J$83,9,0)*1000000),"")</f>
        <v>25000000</v>
      </c>
      <c r="AA66" s="123">
        <f>IFERROR((VLOOKUP($A66,'WB projects data'!$A$5:$J$83,10,0)*1000000),"")</f>
        <v>3000000</v>
      </c>
      <c r="AB66" s="55"/>
      <c r="AC66" s="110"/>
      <c r="AD66" s="110" t="str">
        <f>IFERROR(VLOOKUP(A66,'ADB Projects'!$A$4:$W$21,5,FALSE),"")</f>
        <v/>
      </c>
      <c r="AE66" s="132" t="str">
        <f>IF(AC66="Approved",(VLOOKUP($A66,'ADB Projects'!$A$5:$D$21,4,0)*1000000),"")</f>
        <v/>
      </c>
      <c r="AF66" s="585" t="str">
        <f>IF(AC66="Approved",(PRODUCT(VLOOKUP($A66,'ADB Projects'!$A$4:$W$21,6,FALSE),1000000)),"")</f>
        <v/>
      </c>
      <c r="AG66" s="585" t="str">
        <f>IF(AC66="Approved",(PRODUCT(VLOOKUP($A66,'ADB Projects'!$A$4:$W$21,7,FALSE),1000000)),"")</f>
        <v/>
      </c>
      <c r="AH66" s="585" t="str">
        <f>IF(AC66="Approved",(PRODUCT(VLOOKUP($A66,'ADB Projects'!$A$4:$W$21,8,FALSE),1000000)),"")</f>
        <v/>
      </c>
      <c r="AI66" s="55" t="s">
        <v>541</v>
      </c>
      <c r="AJ66" s="55"/>
      <c r="AK66" s="244"/>
      <c r="AL66" s="55" t="s">
        <v>541</v>
      </c>
      <c r="AM66" s="55"/>
      <c r="AN66" s="55"/>
      <c r="AO66" s="55"/>
      <c r="AP66" s="55"/>
      <c r="AQ66" s="602" t="str">
        <f t="shared" si="25"/>
        <v/>
      </c>
      <c r="AR66" s="602" t="str">
        <f>IFERROR(VLOOKUP($A66,'IDB C19 Vaccine Projects'!$O$4:$Q$12,2,FALSE),"")</f>
        <v/>
      </c>
      <c r="AS66" s="602" t="str">
        <f>IFERROR(VLOOKUP($A66,'IDB C19 Vaccine Projects'!$O$4:$Q$12,3,FALSE),"")</f>
        <v/>
      </c>
      <c r="AT66" s="55"/>
      <c r="AU66" s="88"/>
      <c r="AV66" s="55"/>
      <c r="AW66" s="55"/>
      <c r="AX66" s="88">
        <f>INDEX(USAID!$C$3:$C$151,MATCH('Matrix Allocations'!A66,USAID!$A$3:$A$151,0))</f>
        <v>1534768</v>
      </c>
      <c r="AY66" s="110"/>
      <c r="AZ66" s="88">
        <f>IFERROR(INDEX('[4]Vx All regions allocations'!O$10:O$144,MATCH(A66,'[4]Vx All regions allocations'!A$10:A$144,0)),"")</f>
        <v>5799334</v>
      </c>
      <c r="BA66" s="88">
        <v>0</v>
      </c>
      <c r="BB66" s="88">
        <v>0</v>
      </c>
      <c r="BC66" s="88" t="str">
        <f>IFERROR(INDEX(DFAT!$K$4:$K$21,MATCH('Matrix Allocations'!A66,DFAT!$B$4:$B$21,0)),"")</f>
        <v/>
      </c>
      <c r="BD66" s="88"/>
      <c r="BE66" s="826" t="str">
        <f>IFERROR(IF(INDEX('GAVI CCE'!$E$3:$E$95,MATCH('Matrix Allocations'!A66,'GAVI CCE'!$A$3:$A$95,0))="Yes",INDEX('GAVI CCE'!$E$3:$E$95,MATCH('Matrix Allocations'!A66,'GAVI CCE'!$A$3:$A$95,0)),""),"")</f>
        <v/>
      </c>
      <c r="BF66" s="88" t="str">
        <f>IFERROR(IF(BE66="Yes",INDEX('GAVI CCE'!$F$3:$F$95,MATCH('Matrix Allocations'!A66,'GAVI CCE'!$A$3:$A$95,0)),""),"")</f>
        <v/>
      </c>
      <c r="BG66" s="609" t="str">
        <f>IFERROR(IF(E66='CDS early access ceilings'!$A$94,(VLOOKUP(A66,'CDS early access ceilings'!$A$2:$D$92,4,FALSE)),""),"")</f>
        <v/>
      </c>
      <c r="BH66" s="639" t="str">
        <f>IFERROR(INDEX(Table14[Status (clean)],MATCH('Matrix Allocations'!A66,Table14[ISO Code],0)),"")</f>
        <v/>
      </c>
      <c r="BI66" s="641" t="str">
        <f>IFERROR(INDEX(Table14[Amount disbursed (USD)],MATCH('Matrix Allocations'!A66,Table14[ISO Code],0)),"")</f>
        <v/>
      </c>
      <c r="BJ66" s="641" t="str">
        <f>IFERROR(INDEX('CDS NBW'!$I$2:$I$39,MATCH(A66,'CDS NBW'!$A$2:$A$39,0)),"")</f>
        <v/>
      </c>
      <c r="BK66" s="641" t="str">
        <f>IFERROR(INDEX('CDS NBW'!$J$2:$J$39,MATCH(A66,'CDS NBW'!$A$2:$A$39,0)),"")</f>
        <v/>
      </c>
      <c r="BL66" s="609"/>
      <c r="BM66" s="609"/>
      <c r="BN66" s="609"/>
      <c r="BO66" s="609"/>
      <c r="BP66" s="609">
        <f>IFERROR(INDEX('UNICEF-BMZ'!$O$1:$O$199,MATCH('Matrix Allocations'!A66,'UNICEF-BMZ'!$B$1:$B$199,0)),"")</f>
        <v>0</v>
      </c>
      <c r="BQ66" s="609" t="str">
        <f>IFERROR(VLOOKUP(A66,'BMGF_clean data'!$A$4:$C$30,3,FALSE),"")</f>
        <v/>
      </c>
      <c r="BR66" s="609"/>
      <c r="BS66" s="609"/>
      <c r="BT66" s="609"/>
      <c r="BU66" s="609"/>
      <c r="BV66" s="609"/>
      <c r="BW66" s="87">
        <f>INDEX(USAID!$D$3:$D$151,MATCH('Matrix Allocations'!A66,USAID!$A$3:$A$151,0))</f>
        <v>1290000</v>
      </c>
      <c r="BX66" s="87" t="str">
        <f>IFERROR(INDEX(DFAT!$L$4:$L$21,MATCH('Matrix Allocations'!A66,DFAT!$B$4:$B$21,0)),"")</f>
        <v/>
      </c>
      <c r="BY66" s="87" t="str">
        <f>IFERROR(INDEX(Table14[Funds Channelled through UNICEF],MATCH('Matrix Allocations'!A66,Table14[ISO Code],0)),"")</f>
        <v/>
      </c>
      <c r="BZ66" s="87">
        <f t="shared" si="23"/>
        <v>0</v>
      </c>
      <c r="CA66">
        <f t="shared" si="30"/>
        <v>41179351</v>
      </c>
      <c r="CB66" s="782">
        <f t="shared" si="10"/>
        <v>12353805.299999999</v>
      </c>
      <c r="CC66" s="791">
        <f t="shared" si="11"/>
        <v>32334102</v>
      </c>
      <c r="CD66" s="788">
        <f t="shared" si="12"/>
        <v>2.617339452484329</v>
      </c>
      <c r="CE66" s="788">
        <f t="shared" si="13"/>
        <v>1.9630045893632466</v>
      </c>
      <c r="CF66" s="828">
        <f t="shared" si="14"/>
        <v>1.1217169082075695</v>
      </c>
      <c r="CG66" s="828">
        <f t="shared" si="15"/>
        <v>0.78520183574529867</v>
      </c>
      <c r="CH66" s="88">
        <f t="shared" si="31"/>
        <v>25000000</v>
      </c>
      <c r="CI66" s="88">
        <f t="shared" si="16"/>
        <v>1534768</v>
      </c>
      <c r="CJ66" s="742">
        <f t="shared" si="32"/>
        <v>0</v>
      </c>
      <c r="CK66" s="848">
        <f t="shared" si="17"/>
        <v>7089334</v>
      </c>
      <c r="CL66" s="88">
        <f t="shared" si="18"/>
        <v>0</v>
      </c>
    </row>
    <row r="67" spans="1:90" ht="16" customHeight="1">
      <c r="A67" s="147" t="s">
        <v>615</v>
      </c>
      <c r="B67" s="147" t="s">
        <v>219</v>
      </c>
      <c r="C67" s="55" t="s">
        <v>130</v>
      </c>
      <c r="D67" s="55" t="s">
        <v>152</v>
      </c>
      <c r="E67" s="55" t="s">
        <v>146</v>
      </c>
      <c r="F67" s="56"/>
      <c r="G67" s="56" t="str">
        <f t="shared" si="33"/>
        <v>Yes</v>
      </c>
      <c r="H67" s="56" t="str">
        <f t="shared" si="33"/>
        <v>Yes</v>
      </c>
      <c r="I67" s="56" t="str">
        <f t="shared" si="27"/>
        <v>No</v>
      </c>
      <c r="J67" s="56" t="str">
        <f t="shared" si="28"/>
        <v>No</v>
      </c>
      <c r="K67" s="56" t="str">
        <f t="shared" si="29"/>
        <v>Yes</v>
      </c>
      <c r="L67" s="56" t="s">
        <v>541</v>
      </c>
      <c r="M67" s="55" t="s">
        <v>544</v>
      </c>
      <c r="N67" s="134" t="s">
        <v>544</v>
      </c>
      <c r="O67" s="55" t="s">
        <v>544</v>
      </c>
      <c r="P67" s="55"/>
      <c r="Q67" s="55"/>
      <c r="R67" s="55"/>
      <c r="S67" s="956">
        <v>611739560.62679195</v>
      </c>
      <c r="T67" s="55" t="s">
        <v>395</v>
      </c>
      <c r="U67" s="64" t="str">
        <f>IFERROR(IF(VLOOKUP(A67,'WB projects data'!$A$5:$C$83,3,0)="Approved",(VLOOKUP(A67,'WB projects data'!$A$5:$C$83,3,0)),""),"")</f>
        <v/>
      </c>
      <c r="V67" s="123" t="str">
        <f t="shared" si="24"/>
        <v/>
      </c>
      <c r="W67" s="123" t="str">
        <f>IFERROR((VLOOKUP($A67,'WB projects data'!$A$5:$J$83,6,0)*1000000),"")</f>
        <v/>
      </c>
      <c r="X67" s="123" t="str">
        <f>IFERROR((VLOOKUP($A67,'WB projects data'!$A$5:$J$83,7,0)*1000000),"")</f>
        <v/>
      </c>
      <c r="Y67" s="123" t="str">
        <f>IFERROR((VLOOKUP($A67,'WB projects data'!$A$5:$J$83,8,0)*1000000),"")</f>
        <v/>
      </c>
      <c r="Z67" s="123" t="str">
        <f>IFERROR((VLOOKUP($A67,'WB projects data'!$A$5:$J$83,9,0)*1000000),"")</f>
        <v/>
      </c>
      <c r="AA67" s="123" t="str">
        <f>IFERROR((VLOOKUP($A67,'WB projects data'!$A$5:$J$83,10,0)*1000000),"")</f>
        <v/>
      </c>
      <c r="AB67" s="55"/>
      <c r="AC67" s="110"/>
      <c r="AD67" s="110" t="str">
        <f>IFERROR(VLOOKUP(A67,'ADB Projects'!$A$4:$W$21,5,FALSE),"")</f>
        <v/>
      </c>
      <c r="AE67" s="132" t="str">
        <f>IF(AC67="Approved",(VLOOKUP($A67,'ADB Projects'!$A$5:$D$21,4,0)*1000000),"")</f>
        <v/>
      </c>
      <c r="AF67" s="585" t="str">
        <f>IF(AC67="Approved",(PRODUCT(VLOOKUP($A67,'ADB Projects'!$A$4:$W$21,6,FALSE),1000000)),"")</f>
        <v/>
      </c>
      <c r="AG67" s="585" t="str">
        <f>IF(AC67="Approved",(PRODUCT(VLOOKUP($A67,'ADB Projects'!$A$4:$W$21,7,FALSE),1000000)),"")</f>
        <v/>
      </c>
      <c r="AH67" s="585" t="str">
        <f>IF(AC67="Approved",(PRODUCT(VLOOKUP($A67,'ADB Projects'!$A$4:$W$21,8,FALSE),1000000)),"")</f>
        <v/>
      </c>
      <c r="AI67" s="55"/>
      <c r="AJ67" s="55"/>
      <c r="AK67" s="244"/>
      <c r="AL67" s="55"/>
      <c r="AM67" s="55"/>
      <c r="AN67" s="55"/>
      <c r="AO67" s="55" t="s">
        <v>541</v>
      </c>
      <c r="AP67" s="55"/>
      <c r="AQ67" s="602" t="str">
        <f t="shared" si="25"/>
        <v/>
      </c>
      <c r="AR67" s="602" t="str">
        <f>IFERROR(VLOOKUP($A67,'IDB C19 Vaccine Projects'!$O$4:$Q$12,2,FALSE),"")</f>
        <v/>
      </c>
      <c r="AS67" s="602" t="str">
        <f>IFERROR(VLOOKUP($A67,'IDB C19 Vaccine Projects'!$O$4:$Q$12,3,FALSE),"")</f>
        <v/>
      </c>
      <c r="AT67" s="55"/>
      <c r="AU67" s="88"/>
      <c r="AV67" s="55"/>
      <c r="AW67" s="55" t="s">
        <v>541</v>
      </c>
      <c r="AX67" s="88">
        <f>INDEX(USAID!$C$3:$C$151,MATCH('Matrix Allocations'!A67,USAID!$A$3:$A$151,0))</f>
        <v>3450000</v>
      </c>
      <c r="AY67" s="110">
        <v>1129630</v>
      </c>
      <c r="AZ67" s="88">
        <f>IFERROR(INDEX('[4]Vx All regions allocations'!O$10:O$144,MATCH(A67,'[4]Vx All regions allocations'!A$10:A$144,0)),"")</f>
        <v>0</v>
      </c>
      <c r="BA67" s="88">
        <v>0</v>
      </c>
      <c r="BB67" s="88">
        <v>0</v>
      </c>
      <c r="BC67" s="88" t="str">
        <f>IFERROR(INDEX(DFAT!$K$4:$K$21,MATCH('Matrix Allocations'!A67,DFAT!$B$4:$B$21,0)),"")</f>
        <v/>
      </c>
      <c r="BD67" s="88"/>
      <c r="BE67" s="826" t="str">
        <f>IFERROR(IF(INDEX('GAVI CCE'!$E$3:$E$95,MATCH('Matrix Allocations'!A67,'GAVI CCE'!$A$3:$A$95,0))="Yes",INDEX('GAVI CCE'!$E$3:$E$95,MATCH('Matrix Allocations'!A67,'GAVI CCE'!$A$3:$A$95,0)),""),"")</f>
        <v/>
      </c>
      <c r="BF67" s="88" t="str">
        <f>IFERROR(IF(BE67="Yes",INDEX('GAVI CCE'!$F$3:$F$95,MATCH('Matrix Allocations'!A67,'GAVI CCE'!$A$3:$A$95,0)),""),"")</f>
        <v/>
      </c>
      <c r="BG67" s="609" t="str">
        <f>IFERROR(IF(E67='CDS early access ceilings'!$A$94,(VLOOKUP(A67,'CDS early access ceilings'!$A$2:$D$92,4,FALSE)),""),"")</f>
        <v/>
      </c>
      <c r="BH67" s="639" t="str">
        <f>IFERROR(INDEX(Table14[Status (clean)],MATCH('Matrix Allocations'!A67,Table14[ISO Code],0)),"")</f>
        <v/>
      </c>
      <c r="BI67" s="641" t="str">
        <f>IFERROR(INDEX(Table14[Amount disbursed (USD)],MATCH('Matrix Allocations'!A67,Table14[ISO Code],0)),"")</f>
        <v/>
      </c>
      <c r="BJ67" s="641" t="str">
        <f>IFERROR(INDEX('CDS NBW'!$I$2:$I$39,MATCH(A67,'CDS NBW'!$A$2:$A$39,0)),"")</f>
        <v/>
      </c>
      <c r="BK67" s="641" t="str">
        <f>IFERROR(INDEX('CDS NBW'!$J$2:$J$39,MATCH(A67,'CDS NBW'!$A$2:$A$39,0)),"")</f>
        <v/>
      </c>
      <c r="BL67" s="609"/>
      <c r="BM67" s="609"/>
      <c r="BN67" s="609"/>
      <c r="BO67" s="609"/>
      <c r="BP67" s="609">
        <f>IFERROR(INDEX('UNICEF-BMZ'!$O$1:$O$199,MATCH('Matrix Allocations'!A67,'UNICEF-BMZ'!$B$1:$B$199,0)),"")</f>
        <v>0</v>
      </c>
      <c r="BQ67" s="609" t="str">
        <f>IFERROR(VLOOKUP(A67,'BMGF_clean data'!$A$4:$C$30,3,FALSE),"")</f>
        <v/>
      </c>
      <c r="BR67" s="609"/>
      <c r="BS67" s="609"/>
      <c r="BT67" s="609"/>
      <c r="BU67" s="609"/>
      <c r="BV67" s="609"/>
      <c r="BW67" s="87">
        <f>INDEX(USAID!$D$3:$D$151,MATCH('Matrix Allocations'!A67,USAID!$A$3:$A$151,0))</f>
        <v>0</v>
      </c>
      <c r="BX67" s="87" t="str">
        <f>IFERROR(INDEX(DFAT!$L$4:$L$21,MATCH('Matrix Allocations'!A67,DFAT!$B$4:$B$21,0)),"")</f>
        <v/>
      </c>
      <c r="BY67" s="87" t="str">
        <f>IFERROR(INDEX(Table14[Funds Channelled through UNICEF],MATCH('Matrix Allocations'!A67,Table14[ISO Code],0)),"")</f>
        <v/>
      </c>
      <c r="BZ67" s="87">
        <f t="shared" si="23"/>
        <v>0</v>
      </c>
      <c r="CA67">
        <f t="shared" si="30"/>
        <v>2973462</v>
      </c>
      <c r="CB67" s="782">
        <f t="shared" si="10"/>
        <v>892038.6</v>
      </c>
      <c r="CC67" s="791">
        <f t="shared" si="11"/>
        <v>4579630</v>
      </c>
      <c r="CD67" s="788">
        <f t="shared" si="12"/>
        <v>5.1338921880734762</v>
      </c>
      <c r="CE67" s="788">
        <f t="shared" si="13"/>
        <v>3.8504191410551067</v>
      </c>
      <c r="CF67" s="828">
        <f t="shared" si="14"/>
        <v>2.200239509174347</v>
      </c>
      <c r="CG67" s="828">
        <f t="shared" si="15"/>
        <v>1.5401676564220428</v>
      </c>
      <c r="CH67" s="88">
        <f t="shared" si="31"/>
        <v>0</v>
      </c>
      <c r="CI67" s="88">
        <f t="shared" si="16"/>
        <v>4579630</v>
      </c>
      <c r="CJ67" s="742">
        <f t="shared" si="32"/>
        <v>0</v>
      </c>
      <c r="CK67" s="848">
        <f t="shared" si="17"/>
        <v>1129630</v>
      </c>
      <c r="CL67" s="88">
        <f t="shared" si="18"/>
        <v>0</v>
      </c>
    </row>
    <row r="68" spans="1:90" ht="16" customHeight="1">
      <c r="A68" s="55" t="s">
        <v>616</v>
      </c>
      <c r="B68" s="55" t="s">
        <v>220</v>
      </c>
      <c r="C68" s="55" t="s">
        <v>131</v>
      </c>
      <c r="D68" s="55" t="s">
        <v>152</v>
      </c>
      <c r="E68" s="55" t="s">
        <v>146</v>
      </c>
      <c r="F68" s="56"/>
      <c r="G68" s="56" t="str">
        <f t="shared" si="33"/>
        <v>No</v>
      </c>
      <c r="H68" s="56" t="str">
        <f t="shared" si="33"/>
        <v>No</v>
      </c>
      <c r="I68" s="56" t="str">
        <f t="shared" si="27"/>
        <v>No</v>
      </c>
      <c r="J68" s="56" t="str">
        <f t="shared" si="28"/>
        <v>Yes</v>
      </c>
      <c r="K68" s="56" t="str">
        <f t="shared" si="29"/>
        <v>No</v>
      </c>
      <c r="L68" s="56" t="s">
        <v>541</v>
      </c>
      <c r="M68" s="55" t="s">
        <v>544</v>
      </c>
      <c r="N68" s="134" t="s">
        <v>544</v>
      </c>
      <c r="O68" s="55" t="s">
        <v>544</v>
      </c>
      <c r="P68" s="55" t="s">
        <v>546</v>
      </c>
      <c r="Q68" s="55"/>
      <c r="R68" s="55"/>
      <c r="S68" s="956">
        <v>1617913383.0481031</v>
      </c>
      <c r="T68" s="55" t="s">
        <v>394</v>
      </c>
      <c r="U68" s="64" t="str">
        <f>IFERROR(IF(VLOOKUP(A68,'WB projects data'!$A$5:$C$83,3,0)="Approved",(VLOOKUP(A68,'WB projects data'!$A$5:$C$83,3,0)),""),"")</f>
        <v>Approved</v>
      </c>
      <c r="V68" s="123">
        <f t="shared" si="24"/>
        <v>63800000</v>
      </c>
      <c r="W68" s="123">
        <f>IFERROR((VLOOKUP($A68,'WB projects data'!$A$5:$J$83,6,0)*1000000),"")</f>
        <v>50000000</v>
      </c>
      <c r="X68" s="123">
        <f>IFERROR((VLOOKUP($A68,'WB projects data'!$A$5:$J$83,7,0)*1000000),"")</f>
        <v>13800000</v>
      </c>
      <c r="Y68" s="123">
        <f>IFERROR((VLOOKUP($A68,'WB projects data'!$A$5:$J$83,8,0)*1000000),"")</f>
        <v>60300000</v>
      </c>
      <c r="Z68" s="123">
        <f>IFERROR((VLOOKUP($A68,'WB projects data'!$A$5:$J$83,9,0)*1000000),"")</f>
        <v>1300000</v>
      </c>
      <c r="AA68" s="123">
        <f>IFERROR((VLOOKUP($A68,'WB projects data'!$A$5:$J$83,10,0)*1000000),"")</f>
        <v>2300000</v>
      </c>
      <c r="AB68" s="55"/>
      <c r="AC68" s="110"/>
      <c r="AD68" s="110" t="str">
        <f>IFERROR(VLOOKUP(A68,'ADB Projects'!$A$4:$W$21,5,FALSE),"")</f>
        <v/>
      </c>
      <c r="AE68" s="132" t="str">
        <f>IF(AC68="Approved",(VLOOKUP($A68,'ADB Projects'!$A$5:$D$21,4,0)*1000000),"")</f>
        <v/>
      </c>
      <c r="AF68" s="585" t="str">
        <f>IF(AC68="Approved",(PRODUCT(VLOOKUP($A68,'ADB Projects'!$A$4:$W$21,6,FALSE),1000000)),"")</f>
        <v/>
      </c>
      <c r="AG68" s="585" t="str">
        <f>IF(AC68="Approved",(PRODUCT(VLOOKUP($A68,'ADB Projects'!$A$4:$W$21,7,FALSE),1000000)),"")</f>
        <v/>
      </c>
      <c r="AH68" s="585" t="str">
        <f>IF(AC68="Approved",(PRODUCT(VLOOKUP($A68,'ADB Projects'!$A$4:$W$21,8,FALSE),1000000)),"")</f>
        <v/>
      </c>
      <c r="AI68" s="55"/>
      <c r="AJ68" s="55"/>
      <c r="AK68" s="244"/>
      <c r="AL68" s="55" t="s">
        <v>541</v>
      </c>
      <c r="AM68" s="55"/>
      <c r="AN68" s="55"/>
      <c r="AO68" s="55"/>
      <c r="AP68" s="55"/>
      <c r="AQ68" s="602" t="str">
        <f t="shared" si="25"/>
        <v/>
      </c>
      <c r="AR68" s="602" t="str">
        <f>IFERROR(VLOOKUP($A68,'IDB C19 Vaccine Projects'!$O$4:$Q$12,2,FALSE),"")</f>
        <v/>
      </c>
      <c r="AS68" s="602" t="str">
        <f>IFERROR(VLOOKUP($A68,'IDB C19 Vaccine Projects'!$O$4:$Q$12,3,FALSE),"")</f>
        <v/>
      </c>
      <c r="AT68" s="55"/>
      <c r="AU68" s="88"/>
      <c r="AV68" s="55"/>
      <c r="AW68" s="55"/>
      <c r="AX68" s="88">
        <f>INDEX(USAID!$C$3:$C$151,MATCH('Matrix Allocations'!A68,USAID!$A$3:$A$151,0))</f>
        <v>2979126</v>
      </c>
      <c r="AY68" s="110"/>
      <c r="AZ68" s="88">
        <f>IFERROR(INDEX('[4]Vx All regions allocations'!O$10:O$144,MATCH(A68,'[4]Vx All regions allocations'!A$10:A$144,0)),"")</f>
        <v>1423400</v>
      </c>
      <c r="BA68" s="88">
        <v>0</v>
      </c>
      <c r="BB68" s="88">
        <v>0</v>
      </c>
      <c r="BC68" s="88" t="str">
        <f>IFERROR(INDEX(DFAT!$K$4:$K$21,MATCH('Matrix Allocations'!A68,DFAT!$B$4:$B$21,0)),"")</f>
        <v/>
      </c>
      <c r="BD68" s="88"/>
      <c r="BE68" s="826" t="str">
        <f>IFERROR(IF(INDEX('GAVI CCE'!$E$3:$E$95,MATCH('Matrix Allocations'!A68,'GAVI CCE'!$A$3:$A$95,0))="Yes",INDEX('GAVI CCE'!$E$3:$E$95,MATCH('Matrix Allocations'!A68,'GAVI CCE'!$A$3:$A$95,0)),""),"")</f>
        <v/>
      </c>
      <c r="BF68" s="88" t="str">
        <f>IFERROR(IF(BE68="Yes",INDEX('GAVI CCE'!$F$3:$F$95,MATCH('Matrix Allocations'!A68,'GAVI CCE'!$A$3:$A$95,0)),""),"")</f>
        <v/>
      </c>
      <c r="BG68" s="609" t="str">
        <f>IFERROR(IF(E68='CDS early access ceilings'!$A$94,(VLOOKUP(A68,'CDS early access ceilings'!$A$2:$D$92,4,FALSE)),""),"")</f>
        <v/>
      </c>
      <c r="BH68" s="639" t="str">
        <f>IFERROR(INDEX(Table14[Status (clean)],MATCH('Matrix Allocations'!A68,Table14[ISO Code],0)),"")</f>
        <v/>
      </c>
      <c r="BI68" s="641" t="str">
        <f>IFERROR(INDEX(Table14[Amount disbursed (USD)],MATCH('Matrix Allocations'!A68,Table14[ISO Code],0)),"")</f>
        <v/>
      </c>
      <c r="BJ68" s="641" t="str">
        <f>IFERROR(INDEX('CDS NBW'!$I$2:$I$39,MATCH(A68,'CDS NBW'!$A$2:$A$39,0)),"")</f>
        <v/>
      </c>
      <c r="BK68" s="641" t="str">
        <f>IFERROR(INDEX('CDS NBW'!$J$2:$J$39,MATCH(A68,'CDS NBW'!$A$2:$A$39,0)),"")</f>
        <v/>
      </c>
      <c r="BL68" s="609"/>
      <c r="BM68" s="609"/>
      <c r="BN68" s="609"/>
      <c r="BO68" s="609"/>
      <c r="BP68" s="609">
        <f>IFERROR(INDEX('UNICEF-BMZ'!$O$1:$O$199,MATCH('Matrix Allocations'!A68,'UNICEF-BMZ'!$B$1:$B$199,0)),"")</f>
        <v>0</v>
      </c>
      <c r="BQ68" s="609" t="str">
        <f>IFERROR(VLOOKUP(A68,'BMGF_clean data'!$A$4:$C$30,3,FALSE),"")</f>
        <v/>
      </c>
      <c r="BR68" s="609"/>
      <c r="BS68" s="609"/>
      <c r="BT68" s="609"/>
      <c r="BU68" s="609"/>
      <c r="BV68" s="609"/>
      <c r="BW68" s="87">
        <f>INDEX(USAID!$D$3:$D$151,MATCH('Matrix Allocations'!A68,USAID!$A$3:$A$151,0))</f>
        <v>0</v>
      </c>
      <c r="BX68" s="87" t="str">
        <f>IFERROR(INDEX(DFAT!$L$4:$L$21,MATCH('Matrix Allocations'!A68,DFAT!$B$4:$B$21,0)),"")</f>
        <v/>
      </c>
      <c r="BY68" s="87" t="str">
        <f>IFERROR(INDEX(Table14[Funds Channelled through UNICEF],MATCH('Matrix Allocations'!A68,Table14[ISO Code],0)),"")</f>
        <v/>
      </c>
      <c r="BZ68" s="87">
        <f t="shared" ref="BZ68:BZ99" si="34">SUM(IF(BG68="UNICEF",BI68,0),BY68)</f>
        <v>0</v>
      </c>
      <c r="CA68">
        <f t="shared" si="30"/>
        <v>10269022</v>
      </c>
      <c r="CB68" s="782">
        <f t="shared" si="10"/>
        <v>3080706.6</v>
      </c>
      <c r="CC68" s="791">
        <f t="shared" si="11"/>
        <v>5702526</v>
      </c>
      <c r="CD68" s="788">
        <f t="shared" si="12"/>
        <v>1.8510448219898643</v>
      </c>
      <c r="CE68" s="788">
        <f t="shared" si="13"/>
        <v>1.3882836164923982</v>
      </c>
      <c r="CF68" s="828">
        <f t="shared" si="14"/>
        <v>0.79330492370994188</v>
      </c>
      <c r="CG68" s="828">
        <f t="shared" si="15"/>
        <v>0.55531344659695925</v>
      </c>
      <c r="CH68" s="88">
        <f t="shared" si="31"/>
        <v>1300000</v>
      </c>
      <c r="CI68" s="88">
        <f t="shared" si="16"/>
        <v>2979126</v>
      </c>
      <c r="CJ68" s="742">
        <f t="shared" si="32"/>
        <v>0</v>
      </c>
      <c r="CK68" s="848">
        <f t="shared" si="17"/>
        <v>1423400</v>
      </c>
      <c r="CL68" s="88">
        <f t="shared" si="18"/>
        <v>0</v>
      </c>
    </row>
    <row r="69" spans="1:90" ht="16" customHeight="1">
      <c r="A69" s="147" t="s">
        <v>617</v>
      </c>
      <c r="B69" s="147" t="s">
        <v>221</v>
      </c>
      <c r="C69" s="55" t="s">
        <v>127</v>
      </c>
      <c r="D69" s="55" t="s">
        <v>152</v>
      </c>
      <c r="E69" s="55" t="s">
        <v>146</v>
      </c>
      <c r="F69" s="56"/>
      <c r="G69" s="56" t="str">
        <f t="shared" si="33"/>
        <v>No</v>
      </c>
      <c r="H69" s="56" t="str">
        <f t="shared" si="33"/>
        <v>No</v>
      </c>
      <c r="I69" s="56" t="str">
        <f t="shared" si="27"/>
        <v>No</v>
      </c>
      <c r="J69" s="56" t="str">
        <f t="shared" si="28"/>
        <v>Yes</v>
      </c>
      <c r="K69" s="56" t="str">
        <f t="shared" si="29"/>
        <v>No</v>
      </c>
      <c r="L69" s="56" t="s">
        <v>541</v>
      </c>
      <c r="M69" s="55" t="s">
        <v>544</v>
      </c>
      <c r="N69" s="134" t="s">
        <v>544</v>
      </c>
      <c r="O69" s="55" t="s">
        <v>544</v>
      </c>
      <c r="P69" s="55"/>
      <c r="Q69" s="55"/>
      <c r="R69" s="55"/>
      <c r="S69" s="956">
        <v>3074419112.4562683</v>
      </c>
      <c r="T69" s="55" t="s">
        <v>394</v>
      </c>
      <c r="U69" s="64" t="str">
        <f>IFERROR(IF(VLOOKUP(A69,'WB projects data'!$A$5:$C$83,3,0)="Approved",(VLOOKUP(A69,'WB projects data'!$A$5:$C$83,3,0)),""),"")</f>
        <v/>
      </c>
      <c r="V69" s="123" t="str">
        <f t="shared" ref="V69:V100" si="35">IFERROR(INDEX(wbf,MATCH(A69,wbiso,0))*1000000,"")</f>
        <v/>
      </c>
      <c r="W69" s="123" t="str">
        <f>IFERROR((VLOOKUP($A69,'WB projects data'!$A$5:$J$83,6,0)*1000000),"")</f>
        <v/>
      </c>
      <c r="X69" s="123" t="str">
        <f>IFERROR((VLOOKUP($A69,'WB projects data'!$A$5:$J$83,7,0)*1000000),"")</f>
        <v/>
      </c>
      <c r="Y69" s="123" t="str">
        <f>IFERROR((VLOOKUP($A69,'WB projects data'!$A$5:$J$83,8,0)*1000000),"")</f>
        <v/>
      </c>
      <c r="Z69" s="123" t="str">
        <f>IFERROR((VLOOKUP($A69,'WB projects data'!$A$5:$J$83,9,0)*1000000),"")</f>
        <v/>
      </c>
      <c r="AA69" s="123" t="str">
        <f>IFERROR((VLOOKUP($A69,'WB projects data'!$A$5:$J$83,10,0)*1000000),"")</f>
        <v/>
      </c>
      <c r="AB69" s="55"/>
      <c r="AC69" s="110"/>
      <c r="AD69" s="110" t="str">
        <f>IFERROR(VLOOKUP(A69,'ADB Projects'!$A$4:$W$21,5,FALSE),"")</f>
        <v/>
      </c>
      <c r="AE69" s="132" t="str">
        <f>IF(AC69="Approved",(VLOOKUP($A69,'ADB Projects'!$A$5:$D$21,4,0)*1000000),"")</f>
        <v/>
      </c>
      <c r="AF69" s="585" t="str">
        <f>IF(AC69="Approved",(PRODUCT(VLOOKUP($A69,'ADB Projects'!$A$4:$W$21,6,FALSE),1000000)),"")</f>
        <v/>
      </c>
      <c r="AG69" s="585" t="str">
        <f>IF(AC69="Approved",(PRODUCT(VLOOKUP($A69,'ADB Projects'!$A$4:$W$21,7,FALSE),1000000)),"")</f>
        <v/>
      </c>
      <c r="AH69" s="585" t="str">
        <f>IF(AC69="Approved",(PRODUCT(VLOOKUP($A69,'ADB Projects'!$A$4:$W$21,8,FALSE),1000000)),"")</f>
        <v/>
      </c>
      <c r="AI69" s="55" t="s">
        <v>541</v>
      </c>
      <c r="AJ69" s="55"/>
      <c r="AK69" s="244"/>
      <c r="AL69" s="55" t="s">
        <v>541</v>
      </c>
      <c r="AM69" s="55"/>
      <c r="AN69" s="55"/>
      <c r="AO69" s="55"/>
      <c r="AP69" s="55"/>
      <c r="AQ69" s="602" t="str">
        <f t="shared" ref="AQ69:AQ100" si="36">IF(OR(AR69="", AS69=""), "",(SUM(AR69:AS69)))</f>
        <v/>
      </c>
      <c r="AR69" s="602" t="str">
        <f>IFERROR(VLOOKUP($A69,'IDB C19 Vaccine Projects'!$O$4:$Q$12,2,FALSE),"")</f>
        <v/>
      </c>
      <c r="AS69" s="602" t="str">
        <f>IFERROR(VLOOKUP($A69,'IDB C19 Vaccine Projects'!$O$4:$Q$12,3,FALSE),"")</f>
        <v/>
      </c>
      <c r="AT69" s="55"/>
      <c r="AU69" s="88"/>
      <c r="AV69" s="55"/>
      <c r="AW69" s="55"/>
      <c r="AX69" s="88">
        <f>INDEX(USAID!$C$3:$C$151,MATCH('Matrix Allocations'!A69,USAID!$A$3:$A$151,0))</f>
        <v>2450000</v>
      </c>
      <c r="AY69" s="110"/>
      <c r="AZ69" s="88">
        <f>IFERROR(INDEX('[4]Vx All regions allocations'!O$10:O$144,MATCH(A69,'[4]Vx All regions allocations'!A$10:A$144,0)),"")</f>
        <v>50000</v>
      </c>
      <c r="BA69" s="88">
        <v>0</v>
      </c>
      <c r="BB69" s="88">
        <v>0</v>
      </c>
      <c r="BC69" s="88" t="str">
        <f>IFERROR(INDEX(DFAT!$K$4:$K$21,MATCH('Matrix Allocations'!A69,DFAT!$B$4:$B$21,0)),"")</f>
        <v/>
      </c>
      <c r="BD69" s="88"/>
      <c r="BE69" s="826" t="str">
        <f>IFERROR(IF(INDEX('GAVI CCE'!$E$3:$E$95,MATCH('Matrix Allocations'!A69,'GAVI CCE'!$A$3:$A$95,0))="Yes",INDEX('GAVI CCE'!$E$3:$E$95,MATCH('Matrix Allocations'!A69,'GAVI CCE'!$A$3:$A$95,0)),""),"")</f>
        <v/>
      </c>
      <c r="BF69" s="88" t="str">
        <f>IFERROR(IF(BE69="Yes",INDEX('GAVI CCE'!$F$3:$F$95,MATCH('Matrix Allocations'!A69,'GAVI CCE'!$A$3:$A$95,0)),""),"")</f>
        <v/>
      </c>
      <c r="BG69" s="609" t="str">
        <f>IFERROR(IF(E69='CDS early access ceilings'!$A$94,(VLOOKUP(A69,'CDS early access ceilings'!$A$2:$D$92,4,FALSE)),""),"")</f>
        <v/>
      </c>
      <c r="BH69" s="639" t="str">
        <f>IFERROR(INDEX(Table14[Status (clean)],MATCH('Matrix Allocations'!A69,Table14[ISO Code],0)),"")</f>
        <v/>
      </c>
      <c r="BI69" s="641" t="str">
        <f>IFERROR(INDEX(Table14[Amount disbursed (USD)],MATCH('Matrix Allocations'!A69,Table14[ISO Code],0)),"")</f>
        <v/>
      </c>
      <c r="BJ69" s="641" t="str">
        <f>IFERROR(INDEX('CDS NBW'!$I$2:$I$39,MATCH(A69,'CDS NBW'!$A$2:$A$39,0)),"")</f>
        <v/>
      </c>
      <c r="BK69" s="641" t="str">
        <f>IFERROR(INDEX('CDS NBW'!$J$2:$J$39,MATCH(A69,'CDS NBW'!$A$2:$A$39,0)),"")</f>
        <v/>
      </c>
      <c r="BL69" s="609"/>
      <c r="BM69" s="609"/>
      <c r="BN69" s="609"/>
      <c r="BO69" s="609"/>
      <c r="BP69" s="609">
        <f>IFERROR(INDEX('UNICEF-BMZ'!$O$1:$O$199,MATCH('Matrix Allocations'!A69,'UNICEF-BMZ'!$B$1:$B$199,0)),"")</f>
        <v>0</v>
      </c>
      <c r="BQ69" s="609" t="str">
        <f>IFERROR(VLOOKUP(A69,'BMGF_clean data'!$A$4:$C$30,3,FALSE),"")</f>
        <v/>
      </c>
      <c r="BR69" s="609"/>
      <c r="BS69" s="609"/>
      <c r="BT69" s="609"/>
      <c r="BU69" s="609"/>
      <c r="BV69" s="609"/>
      <c r="BW69" s="87">
        <f>INDEX(USAID!$D$3:$D$151,MATCH('Matrix Allocations'!A69,USAID!$A$3:$A$151,0))</f>
        <v>700000</v>
      </c>
      <c r="BX69" s="87" t="str">
        <f>IFERROR(INDEX(DFAT!$L$4:$L$21,MATCH('Matrix Allocations'!A69,DFAT!$B$4:$B$21,0)),"")</f>
        <v/>
      </c>
      <c r="BY69" s="87" t="str">
        <f>IFERROR(INDEX(Table14[Funds Channelled through UNICEF],MATCH('Matrix Allocations'!A69,Table14[ISO Code],0)),"")</f>
        <v/>
      </c>
      <c r="BZ69" s="87">
        <f t="shared" si="34"/>
        <v>0</v>
      </c>
      <c r="CA69">
        <f t="shared" si="30"/>
        <v>18994958</v>
      </c>
      <c r="CB69" s="782">
        <f t="shared" si="10"/>
        <v>5698487.3999999994</v>
      </c>
      <c r="CC69" s="791">
        <f t="shared" ref="CC69:CC132" si="37">SUM(BR69,BQ69,BP69,BO69,BN69,BM69,BL69,BF69,BD69,BC69,BB69,BA69,AZ69,AY69,AX69,AW69,AV69,AU69,AS69,AG69,Z69,BS69,BT69,BV69,BU69,IF(OR(BH69="Disbursed",BH69="Approved"),BI69,0),IF(OR(BJ69="Disbursed",BJ69="Approved"),BK69,0))</f>
        <v>2500000</v>
      </c>
      <c r="CD69" s="788">
        <f t="shared" si="12"/>
        <v>0.43871291178076488</v>
      </c>
      <c r="CE69" s="788">
        <f t="shared" si="13"/>
        <v>0.3290346838355736</v>
      </c>
      <c r="CF69" s="828">
        <f t="shared" si="14"/>
        <v>0.18801981933461351</v>
      </c>
      <c r="CG69" s="828">
        <f t="shared" ref="CG69:CG132" si="38">CC69/CA69</f>
        <v>0.13161387353422946</v>
      </c>
      <c r="CH69" s="88">
        <f t="shared" si="31"/>
        <v>0</v>
      </c>
      <c r="CI69" s="88">
        <f t="shared" ref="CI69:CI132" si="39">SUM(AW69,AX69,AY69,BC69,BD69,BL69,BM69,BN69,BR69,BS69,BT69,BV69)</f>
        <v>2450000</v>
      </c>
      <c r="CJ69" s="742">
        <f t="shared" si="32"/>
        <v>0</v>
      </c>
      <c r="CK69" s="848">
        <f t="shared" ref="CK69:CK132" si="40">SUM(AV69,AW69,AY69,BD69,BL69,BM69,BN69,BO69,BR69,BS69,BW69,BX69,AZ69,BT69,BY69,BV69)</f>
        <v>750000</v>
      </c>
      <c r="CL69" s="88">
        <f t="shared" ref="CL69:CL132" si="41">SUM(AU69,BA69,BB69,BF69,BK69,BP69,BU69,IF(OR(BH69="Disbursed",BH69="Approved"),BI69,0),IF(OR(BJ69="Disbursed",BJ69="Approved"),BK69,0))</f>
        <v>0</v>
      </c>
    </row>
    <row r="70" spans="1:90" ht="16" customHeight="1">
      <c r="A70" s="55" t="s">
        <v>618</v>
      </c>
      <c r="B70" s="55" t="s">
        <v>222</v>
      </c>
      <c r="C70" s="55" t="s">
        <v>128</v>
      </c>
      <c r="D70" s="55" t="s">
        <v>150</v>
      </c>
      <c r="E70" s="55" t="s">
        <v>145</v>
      </c>
      <c r="F70" s="56"/>
      <c r="G70" s="56" t="str">
        <f t="shared" si="33"/>
        <v>No</v>
      </c>
      <c r="H70" s="56" t="str">
        <f t="shared" si="33"/>
        <v>No</v>
      </c>
      <c r="I70" s="56" t="str">
        <f t="shared" si="27"/>
        <v>No</v>
      </c>
      <c r="J70" s="56" t="str">
        <f t="shared" si="28"/>
        <v>Yes</v>
      </c>
      <c r="K70" s="56" t="str">
        <f t="shared" si="29"/>
        <v>No</v>
      </c>
      <c r="L70" s="56" t="s">
        <v>541</v>
      </c>
      <c r="M70" s="55" t="s">
        <v>541</v>
      </c>
      <c r="N70" s="134" t="s">
        <v>541</v>
      </c>
      <c r="O70" s="55" t="s">
        <v>541</v>
      </c>
      <c r="P70" s="55" t="s">
        <v>542</v>
      </c>
      <c r="Q70" s="55"/>
      <c r="R70" s="55"/>
      <c r="S70" s="956">
        <v>1914014279.8929913</v>
      </c>
      <c r="T70" s="55" t="s">
        <v>394</v>
      </c>
      <c r="U70" s="64" t="str">
        <f>IFERROR(IF(VLOOKUP(A70,'WB projects data'!$A$5:$C$83,3,0)="Approved",(VLOOKUP(A70,'WB projects data'!$A$5:$C$83,3,0)),""),"")</f>
        <v>Approved</v>
      </c>
      <c r="V70" s="123">
        <f t="shared" si="35"/>
        <v>130000000</v>
      </c>
      <c r="W70" s="123">
        <f>IFERROR((VLOOKUP($A70,'WB projects data'!$A$5:$J$83,6,0)*1000000),"")</f>
        <v>130000000</v>
      </c>
      <c r="X70" s="123">
        <f>IFERROR((VLOOKUP($A70,'WB projects data'!$A$5:$J$83,7,0)*1000000),"")</f>
        <v>0</v>
      </c>
      <c r="Y70" s="123">
        <f>IFERROR((VLOOKUP($A70,'WB projects data'!$A$5:$J$83,8,0)*1000000),"")</f>
        <v>108400000</v>
      </c>
      <c r="Z70" s="123">
        <f>IFERROR((VLOOKUP($A70,'WB projects data'!$A$5:$J$83,9,0)*1000000),"")</f>
        <v>18700000</v>
      </c>
      <c r="AA70" s="123">
        <f>IFERROR((VLOOKUP($A70,'WB projects data'!$A$5:$J$83,10,0)*1000000),"")</f>
        <v>3000000</v>
      </c>
      <c r="AB70" s="55"/>
      <c r="AC70" s="110"/>
      <c r="AD70" s="110" t="str">
        <f>IFERROR(VLOOKUP(A70,'ADB Projects'!$A$4:$W$21,5,FALSE),"")</f>
        <v/>
      </c>
      <c r="AE70" s="132" t="str">
        <f>IF(AC70="Approved",(VLOOKUP($A70,'ADB Projects'!$A$5:$D$21,4,0)*1000000),"")</f>
        <v/>
      </c>
      <c r="AF70" s="585" t="str">
        <f>IF(AC70="Approved",(PRODUCT(VLOOKUP($A70,'ADB Projects'!$A$4:$W$21,6,FALSE),1000000)),"")</f>
        <v/>
      </c>
      <c r="AG70" s="585" t="str">
        <f>IF(AC70="Approved",(PRODUCT(VLOOKUP($A70,'ADB Projects'!$A$4:$W$21,7,FALSE),1000000)),"")</f>
        <v/>
      </c>
      <c r="AH70" s="585" t="str">
        <f>IF(AC70="Approved",(PRODUCT(VLOOKUP($A70,'ADB Projects'!$A$4:$W$21,8,FALSE),1000000)),"")</f>
        <v/>
      </c>
      <c r="AI70" s="55" t="s">
        <v>541</v>
      </c>
      <c r="AJ70" s="55"/>
      <c r="AK70" s="244"/>
      <c r="AL70" s="55" t="s">
        <v>541</v>
      </c>
      <c r="AM70" s="55"/>
      <c r="AN70" s="55"/>
      <c r="AO70" s="55"/>
      <c r="AP70" s="55"/>
      <c r="AQ70" s="602" t="str">
        <f t="shared" si="36"/>
        <v/>
      </c>
      <c r="AR70" s="602" t="str">
        <f>IFERROR(VLOOKUP($A70,'IDB C19 Vaccine Projects'!$O$4:$Q$12,2,FALSE),"")</f>
        <v/>
      </c>
      <c r="AS70" s="602" t="str">
        <f>IFERROR(VLOOKUP($A70,'IDB C19 Vaccine Projects'!$O$4:$Q$12,3,FALSE),"")</f>
        <v/>
      </c>
      <c r="AT70" s="55"/>
      <c r="AU70" s="88"/>
      <c r="AV70" s="55"/>
      <c r="AW70" s="55" t="s">
        <v>541</v>
      </c>
      <c r="AX70" s="88">
        <f>INDEX(USAID!$C$3:$C$151,MATCH('Matrix Allocations'!A70,USAID!$A$3:$A$151,0))</f>
        <v>3850000</v>
      </c>
      <c r="AY70" s="110">
        <v>1337969</v>
      </c>
      <c r="AZ70" s="88">
        <f>IFERROR(INDEX('[4]Vx All regions allocations'!O$10:O$144,MATCH(A70,'[4]Vx All regions allocations'!A$10:A$144,0)),"")</f>
        <v>500000</v>
      </c>
      <c r="BA70" s="88">
        <v>279000</v>
      </c>
      <c r="BB70" s="88">
        <v>196345</v>
      </c>
      <c r="BC70" s="88" t="str">
        <f>IFERROR(INDEX(DFAT!$K$4:$K$21,MATCH('Matrix Allocations'!A70,DFAT!$B$4:$B$21,0)),"")</f>
        <v/>
      </c>
      <c r="BD70" s="88"/>
      <c r="BE70" s="826" t="str">
        <f>IFERROR(IF(INDEX('GAVI CCE'!$E$3:$E$95,MATCH('Matrix Allocations'!A70,'GAVI CCE'!$A$3:$A$95,0))="Yes",INDEX('GAVI CCE'!$E$3:$E$95,MATCH('Matrix Allocations'!A70,'GAVI CCE'!$A$3:$A$95,0)),""),"")</f>
        <v>Yes</v>
      </c>
      <c r="BF70" s="88">
        <f>IFERROR(IF(BE70="Yes",INDEX('GAVI CCE'!$F$3:$F$95,MATCH('Matrix Allocations'!A70,'GAVI CCE'!$A$3:$A$95,0)),""),"")</f>
        <v>1181227</v>
      </c>
      <c r="BG70" s="609" t="str">
        <f>IFERROR(IF(E70='CDS early access ceilings'!$A$94,(VLOOKUP(A70,'CDS early access ceilings'!$A$2:$D$92,4,FALSE)),""),"")</f>
        <v>GAVI</v>
      </c>
      <c r="BH70" s="639" t="str">
        <f>IFERROR(INDEX(Table14[Status (clean)],MATCH('Matrix Allocations'!A70,Table14[ISO Code],0)),"")</f>
        <v>Disbursed</v>
      </c>
      <c r="BI70" s="641">
        <f>IFERROR(INDEX(Table14[Amount disbursed (USD)],MATCH('Matrix Allocations'!A70,Table14[ISO Code],0)),"")</f>
        <v>3006517</v>
      </c>
      <c r="BJ70" s="641" t="str">
        <f>IFERROR(INDEX('CDS NBW'!$I$2:$I$39,MATCH(A70,'CDS NBW'!$A$2:$A$39,0)),"")</f>
        <v>Disbursed</v>
      </c>
      <c r="BK70" s="641" t="str">
        <f>IFERROR(INDEX('CDS NBW'!$J$2:$J$39,MATCH(A70,'CDS NBW'!$A$2:$A$39,0)),"")</f>
        <v/>
      </c>
      <c r="BL70" s="609"/>
      <c r="BM70" s="609"/>
      <c r="BN70" s="609"/>
      <c r="BO70" s="609">
        <f>92593+2306517</f>
        <v>2399110</v>
      </c>
      <c r="BP70" s="609">
        <f>IFERROR(INDEX('UNICEF-BMZ'!$O$1:$O$199,MATCH('Matrix Allocations'!A70,'UNICEF-BMZ'!$B$1:$B$199,0)),"")</f>
        <v>1015000</v>
      </c>
      <c r="BQ70" s="609">
        <f>IFERROR(VLOOKUP(A70,'BMGF_clean data'!$A$4:$C$30,3,FALSE),"")</f>
        <v>2702000</v>
      </c>
      <c r="BR70" s="609"/>
      <c r="BS70" s="609"/>
      <c r="BT70" s="609"/>
      <c r="BU70" s="609"/>
      <c r="BV70" s="609"/>
      <c r="BW70" s="87">
        <f>INDEX(USAID!$D$3:$D$151,MATCH('Matrix Allocations'!A70,USAID!$A$3:$A$151,0))</f>
        <v>0</v>
      </c>
      <c r="BX70" s="87" t="str">
        <f>IFERROR(INDEX(DFAT!$L$4:$L$21,MATCH('Matrix Allocations'!A70,DFAT!$B$4:$B$21,0)),"")</f>
        <v/>
      </c>
      <c r="BY70" s="87">
        <f>IFERROR(INDEX(Table14[Funds Channelled through UNICEF],MATCH('Matrix Allocations'!A70,Table14[ISO Code],0)),"")</f>
        <v>2306517</v>
      </c>
      <c r="BZ70" s="87">
        <f t="shared" si="34"/>
        <v>2306517</v>
      </c>
      <c r="CA70">
        <f t="shared" si="30"/>
        <v>54985702</v>
      </c>
      <c r="CB70" s="782">
        <f t="shared" ref="CB70:CB133" si="42">CA70*0.3</f>
        <v>16495710.6</v>
      </c>
      <c r="CC70" s="791">
        <f t="shared" si="37"/>
        <v>35167168</v>
      </c>
      <c r="CD70" s="788">
        <f t="shared" ref="CD70:CD133" si="43">CC70/CB70</f>
        <v>2.1318977310380314</v>
      </c>
      <c r="CE70" s="788">
        <f t="shared" ref="CE70:CE133" si="44">CC70/(0.4*CA70)</f>
        <v>1.5989232982785233</v>
      </c>
      <c r="CF70" s="828">
        <f t="shared" ref="CF70:CF133" si="45">CC70/(0.7*CA70)</f>
        <v>0.91367045615915621</v>
      </c>
      <c r="CG70" s="828">
        <f t="shared" si="38"/>
        <v>0.63956931931140937</v>
      </c>
      <c r="CH70" s="88">
        <f t="shared" si="31"/>
        <v>18700000</v>
      </c>
      <c r="CI70" s="88">
        <f t="shared" si="39"/>
        <v>5187969</v>
      </c>
      <c r="CJ70" s="742">
        <f t="shared" si="32"/>
        <v>5101110</v>
      </c>
      <c r="CK70" s="848">
        <f t="shared" si="40"/>
        <v>6543596</v>
      </c>
      <c r="CL70" s="88">
        <f t="shared" si="41"/>
        <v>5678089</v>
      </c>
    </row>
    <row r="71" spans="1:90" ht="16" customHeight="1">
      <c r="A71" s="55" t="s">
        <v>619</v>
      </c>
      <c r="B71" s="55" t="s">
        <v>223</v>
      </c>
      <c r="C71" s="55" t="s">
        <v>126</v>
      </c>
      <c r="D71" s="55" t="s">
        <v>150</v>
      </c>
      <c r="E71" s="55" t="s">
        <v>145</v>
      </c>
      <c r="F71" s="56"/>
      <c r="G71" s="56" t="str">
        <f t="shared" si="33"/>
        <v>No</v>
      </c>
      <c r="H71" s="56" t="str">
        <f t="shared" si="33"/>
        <v>No</v>
      </c>
      <c r="I71" s="56" t="str">
        <f t="shared" si="27"/>
        <v>Yes</v>
      </c>
      <c r="J71" s="56" t="str">
        <f t="shared" si="28"/>
        <v>Yes</v>
      </c>
      <c r="K71" s="56" t="str">
        <f t="shared" si="29"/>
        <v>No</v>
      </c>
      <c r="L71" s="56" t="s">
        <v>541</v>
      </c>
      <c r="M71" s="55" t="s">
        <v>544</v>
      </c>
      <c r="N71" s="134" t="s">
        <v>541</v>
      </c>
      <c r="O71" s="55" t="s">
        <v>544</v>
      </c>
      <c r="P71" s="55" t="s">
        <v>542</v>
      </c>
      <c r="Q71" s="55"/>
      <c r="R71" s="55"/>
      <c r="S71" s="956">
        <v>17422005.762907442</v>
      </c>
      <c r="T71" s="55" t="s">
        <v>396</v>
      </c>
      <c r="U71" s="64" t="str">
        <f>IFERROR(IF(VLOOKUP(A71,'WB projects data'!$A$5:$C$83,3,0)="Approved",(VLOOKUP(A71,'WB projects data'!$A$5:$C$83,3,0)),""),"")</f>
        <v/>
      </c>
      <c r="V71" s="123" t="str">
        <f t="shared" si="35"/>
        <v/>
      </c>
      <c r="W71" s="123" t="str">
        <f>IFERROR((VLOOKUP($A71,'WB projects data'!$A$5:$J$83,6,0)*1000000),"")</f>
        <v/>
      </c>
      <c r="X71" s="123" t="str">
        <f>IFERROR((VLOOKUP($A71,'WB projects data'!$A$5:$J$83,7,0)*1000000),"")</f>
        <v/>
      </c>
      <c r="Y71" s="123" t="str">
        <f>IFERROR((VLOOKUP($A71,'WB projects data'!$A$5:$J$83,8,0)*1000000),"")</f>
        <v/>
      </c>
      <c r="Z71" s="123" t="str">
        <f>IFERROR((VLOOKUP($A71,'WB projects data'!$A$5:$J$83,9,0)*1000000),"")</f>
        <v/>
      </c>
      <c r="AA71" s="123" t="str">
        <f>IFERROR((VLOOKUP($A71,'WB projects data'!$A$5:$J$83,10,0)*1000000),"")</f>
        <v/>
      </c>
      <c r="AB71" s="55"/>
      <c r="AC71" s="110"/>
      <c r="AD71" s="110" t="str">
        <f>IFERROR(VLOOKUP(A71,'ADB Projects'!$A$4:$W$21,5,FALSE),"")</f>
        <v/>
      </c>
      <c r="AE71" s="132" t="str">
        <f>IF(AC71="Approved",(VLOOKUP($A71,'ADB Projects'!$A$5:$D$21,4,0)*1000000),"")</f>
        <v/>
      </c>
      <c r="AF71" s="585" t="str">
        <f>IF(AC71="Approved",(PRODUCT(VLOOKUP($A71,'ADB Projects'!$A$4:$W$21,6,FALSE),1000000)),"")</f>
        <v/>
      </c>
      <c r="AG71" s="585" t="str">
        <f>IF(AC71="Approved",(PRODUCT(VLOOKUP($A71,'ADB Projects'!$A$4:$W$21,7,FALSE),1000000)),"")</f>
        <v/>
      </c>
      <c r="AH71" s="585" t="str">
        <f>IF(AC71="Approved",(PRODUCT(VLOOKUP($A71,'ADB Projects'!$A$4:$W$21,8,FALSE),1000000)),"")</f>
        <v/>
      </c>
      <c r="AI71" s="55"/>
      <c r="AJ71" s="55"/>
      <c r="AK71" s="244"/>
      <c r="AL71" s="55"/>
      <c r="AM71" s="55"/>
      <c r="AN71" s="55"/>
      <c r="AO71" s="55"/>
      <c r="AP71" s="55"/>
      <c r="AQ71" s="602" t="str">
        <f t="shared" si="36"/>
        <v/>
      </c>
      <c r="AR71" s="602" t="str">
        <f>IFERROR(VLOOKUP($A71,'IDB C19 Vaccine Projects'!$O$4:$Q$12,2,FALSE),"")</f>
        <v/>
      </c>
      <c r="AS71" s="602" t="str">
        <f>IFERROR(VLOOKUP($A71,'IDB C19 Vaccine Projects'!$O$4:$Q$12,3,FALSE),"")</f>
        <v/>
      </c>
      <c r="AT71" s="55"/>
      <c r="AU71" s="88"/>
      <c r="AV71" s="55"/>
      <c r="AW71" s="55"/>
      <c r="AX71" s="88" t="str">
        <f>INDEX(USAID!$C$3:$C$151,MATCH('Matrix Allocations'!A71,USAID!$A$3:$A$151,0))</f>
        <v/>
      </c>
      <c r="AY71" s="110"/>
      <c r="AZ71" s="88">
        <f>IFERROR(INDEX('[4]Vx All regions allocations'!O$10:O$144,MATCH(A71,'[4]Vx All regions allocations'!A$10:A$144,0)),"")</f>
        <v>0</v>
      </c>
      <c r="BA71" s="88">
        <v>46450</v>
      </c>
      <c r="BB71" s="88">
        <v>0</v>
      </c>
      <c r="BC71" s="88">
        <f>IFERROR(INDEX(DFAT!$K$4:$K$21,MATCH('Matrix Allocations'!A71,DFAT!$B$4:$B$21,0)),"")</f>
        <v>0</v>
      </c>
      <c r="BD71" s="88">
        <v>4750</v>
      </c>
      <c r="BE71" s="826" t="str">
        <f>IFERROR(IF(INDEX('GAVI CCE'!$E$3:$E$95,MATCH('Matrix Allocations'!A71,'GAVI CCE'!$A$3:$A$95,0))="Yes",INDEX('GAVI CCE'!$E$3:$E$95,MATCH('Matrix Allocations'!A71,'GAVI CCE'!$A$3:$A$95,0)),""),"")</f>
        <v/>
      </c>
      <c r="BF71" s="88" t="str">
        <f>IFERROR(IF(BE71="Yes",INDEX('GAVI CCE'!$F$3:$F$95,MATCH('Matrix Allocations'!A71,'GAVI CCE'!$A$3:$A$95,0)),""),"")</f>
        <v/>
      </c>
      <c r="BG71" s="609" t="str">
        <f>IFERROR(IF(E71='CDS early access ceilings'!$A$94,(VLOOKUP(A71,'CDS early access ceilings'!$A$2:$D$92,4,FALSE)),""),"")</f>
        <v>UNICEF</v>
      </c>
      <c r="BH71" s="639" t="str">
        <f>IFERROR(INDEX(Table14[Status (clean)],MATCH('Matrix Allocations'!A71,Table14[ISO Code],0)),"")</f>
        <v/>
      </c>
      <c r="BI71" s="641" t="str">
        <f>IFERROR(INDEX(Table14[Amount disbursed (USD)],MATCH('Matrix Allocations'!A71,Table14[ISO Code],0)),"")</f>
        <v/>
      </c>
      <c r="BJ71" s="641" t="str">
        <f>IFERROR(INDEX('CDS NBW'!$I$2:$I$39,MATCH(A71,'CDS NBW'!$A$2:$A$39,0)),"")</f>
        <v/>
      </c>
      <c r="BK71" s="641" t="str">
        <f>IFERROR(INDEX('CDS NBW'!$J$2:$J$39,MATCH(A71,'CDS NBW'!$A$2:$A$39,0)),"")</f>
        <v/>
      </c>
      <c r="BL71" s="609"/>
      <c r="BM71" s="609"/>
      <c r="BN71" s="609"/>
      <c r="BO71" s="609"/>
      <c r="BP71" s="609" t="str">
        <f>IFERROR(INDEX('UNICEF-BMZ'!$O$1:$O$199,MATCH('Matrix Allocations'!A71,'UNICEF-BMZ'!$B$1:$B$199,0)),"")</f>
        <v/>
      </c>
      <c r="BQ71" s="609">
        <f>IFERROR(VLOOKUP(A71,'BMGF_clean data'!$A$4:$C$30,3,FALSE),"")</f>
        <v>99000</v>
      </c>
      <c r="BR71" s="609"/>
      <c r="BS71" s="609"/>
      <c r="BT71" s="609"/>
      <c r="BU71" s="609"/>
      <c r="BV71" s="609"/>
      <c r="BW71" s="87">
        <f>INDEX(USAID!$D$3:$D$151,MATCH('Matrix Allocations'!A71,USAID!$A$3:$A$151,0))</f>
        <v>0</v>
      </c>
      <c r="BX71" s="87">
        <f>IFERROR(INDEX(DFAT!$L$4:$L$21,MATCH('Matrix Allocations'!A71,DFAT!$B$4:$B$21,0)),"")</f>
        <v>0</v>
      </c>
      <c r="BY71" s="87" t="str">
        <f>IFERROR(INDEX(Table14[Funds Channelled through UNICEF],MATCH('Matrix Allocations'!A71,Table14[ISO Code],0)),"")</f>
        <v/>
      </c>
      <c r="BZ71" s="87">
        <f t="shared" si="34"/>
        <v>0</v>
      </c>
      <c r="CA71">
        <f t="shared" si="30"/>
        <v>121388</v>
      </c>
      <c r="CB71" s="782">
        <f t="shared" si="42"/>
        <v>36416.400000000001</v>
      </c>
      <c r="CC71" s="791">
        <f t="shared" si="37"/>
        <v>150200</v>
      </c>
      <c r="CD71" s="788">
        <f t="shared" si="43"/>
        <v>4.1245153282586964</v>
      </c>
      <c r="CE71" s="788">
        <f t="shared" si="44"/>
        <v>3.0933864961940221</v>
      </c>
      <c r="CF71" s="828">
        <f t="shared" si="45"/>
        <v>1.7676494263965845</v>
      </c>
      <c r="CG71" s="828">
        <f t="shared" si="38"/>
        <v>1.2373545984776091</v>
      </c>
      <c r="CH71" s="88">
        <f t="shared" si="31"/>
        <v>0</v>
      </c>
      <c r="CI71" s="88">
        <f t="shared" si="39"/>
        <v>4750</v>
      </c>
      <c r="CJ71" s="742">
        <f t="shared" si="32"/>
        <v>99000</v>
      </c>
      <c r="CK71" s="848">
        <f t="shared" si="40"/>
        <v>4750</v>
      </c>
      <c r="CL71" s="88">
        <f t="shared" si="41"/>
        <v>46450</v>
      </c>
    </row>
    <row r="72" spans="1:90" ht="16" customHeight="1">
      <c r="A72" s="55" t="s">
        <v>620</v>
      </c>
      <c r="B72" s="55" t="s">
        <v>224</v>
      </c>
      <c r="C72" s="55" t="s">
        <v>126</v>
      </c>
      <c r="D72" s="55" t="s">
        <v>148</v>
      </c>
      <c r="E72" s="55" t="s">
        <v>145</v>
      </c>
      <c r="F72" s="56"/>
      <c r="G72" s="56" t="str">
        <f t="shared" si="33"/>
        <v>No</v>
      </c>
      <c r="H72" s="56" t="str">
        <f t="shared" si="33"/>
        <v>No</v>
      </c>
      <c r="I72" s="56" t="str">
        <f t="shared" si="27"/>
        <v>No</v>
      </c>
      <c r="J72" s="56" t="str">
        <f t="shared" si="28"/>
        <v>No</v>
      </c>
      <c r="K72" s="56" t="str">
        <f t="shared" si="29"/>
        <v>No</v>
      </c>
      <c r="L72" s="56" t="s">
        <v>541</v>
      </c>
      <c r="M72" s="55" t="s">
        <v>544</v>
      </c>
      <c r="N72" s="134" t="s">
        <v>544</v>
      </c>
      <c r="O72" s="55" t="s">
        <v>544</v>
      </c>
      <c r="P72" s="55" t="s">
        <v>546</v>
      </c>
      <c r="Q72" s="55"/>
      <c r="R72" s="55"/>
      <c r="S72" s="956" t="s">
        <v>575</v>
      </c>
      <c r="T72" s="55"/>
      <c r="U72" s="64" t="str">
        <f>IFERROR(IF(VLOOKUP(A72,'WB projects data'!$A$5:$C$83,3,0)="Approved",(VLOOKUP(A72,'WB projects data'!$A$5:$C$83,3,0)),""),"")</f>
        <v/>
      </c>
      <c r="V72" s="123" t="str">
        <f t="shared" si="35"/>
        <v/>
      </c>
      <c r="W72" s="123" t="str">
        <f>IFERROR((VLOOKUP($A72,'WB projects data'!$A$5:$J$83,6,0)*1000000),"")</f>
        <v/>
      </c>
      <c r="X72" s="123" t="str">
        <f>IFERROR((VLOOKUP($A72,'WB projects data'!$A$5:$J$83,7,0)*1000000),"")</f>
        <v/>
      </c>
      <c r="Y72" s="123" t="str">
        <f>IFERROR((VLOOKUP($A72,'WB projects data'!$A$5:$J$83,8,0)*1000000),"")</f>
        <v/>
      </c>
      <c r="Z72" s="123" t="str">
        <f>IFERROR((VLOOKUP($A72,'WB projects data'!$A$5:$J$83,9,0)*1000000),"")</f>
        <v/>
      </c>
      <c r="AA72" s="123" t="str">
        <f>IFERROR((VLOOKUP($A72,'WB projects data'!$A$5:$J$83,10,0)*1000000),"")</f>
        <v/>
      </c>
      <c r="AB72" s="55"/>
      <c r="AC72" s="110"/>
      <c r="AD72" s="110" t="str">
        <f>IFERROR(VLOOKUP(A72,'ADB Projects'!$A$4:$W$21,5,FALSE),"")</f>
        <v/>
      </c>
      <c r="AE72" s="132" t="str">
        <f>IF(AC72="Approved",(VLOOKUP($A72,'ADB Projects'!$A$5:$D$21,4,0)*1000000),"")</f>
        <v/>
      </c>
      <c r="AF72" s="585" t="str">
        <f>IF(AC72="Approved",(PRODUCT(VLOOKUP($A72,'ADB Projects'!$A$4:$W$21,6,FALSE),1000000)),"")</f>
        <v/>
      </c>
      <c r="AG72" s="585" t="str">
        <f>IF(AC72="Approved",(PRODUCT(VLOOKUP($A72,'ADB Projects'!$A$4:$W$21,7,FALSE),1000000)),"")</f>
        <v/>
      </c>
      <c r="AH72" s="585" t="str">
        <f>IF(AC72="Approved",(PRODUCT(VLOOKUP($A72,'ADB Projects'!$A$4:$W$21,8,FALSE),1000000)),"")</f>
        <v/>
      </c>
      <c r="AI72" s="55"/>
      <c r="AJ72" s="55"/>
      <c r="AK72" s="244"/>
      <c r="AL72" s="55"/>
      <c r="AM72" s="55"/>
      <c r="AN72" s="55"/>
      <c r="AO72" s="55"/>
      <c r="AP72" s="55"/>
      <c r="AQ72" s="602" t="str">
        <f t="shared" si="36"/>
        <v/>
      </c>
      <c r="AR72" s="602" t="str">
        <f>IFERROR(VLOOKUP($A72,'IDB C19 Vaccine Projects'!$O$4:$Q$12,2,FALSE),"")</f>
        <v/>
      </c>
      <c r="AS72" s="602" t="str">
        <f>IFERROR(VLOOKUP($A72,'IDB C19 Vaccine Projects'!$O$4:$Q$12,3,FALSE),"")</f>
        <v/>
      </c>
      <c r="AT72" s="55"/>
      <c r="AU72" s="88"/>
      <c r="AV72" s="55"/>
      <c r="AW72" s="55"/>
      <c r="AX72" s="88" t="str">
        <f>INDEX(USAID!$C$3:$C$151,MATCH('Matrix Allocations'!A72,USAID!$A$3:$A$151,0))</f>
        <v/>
      </c>
      <c r="AY72" s="110"/>
      <c r="AZ72" s="88">
        <f>IFERROR(INDEX('[4]Vx All regions allocations'!O$10:O$144,MATCH(A72,'[4]Vx All regions allocations'!A$10:A$144,0)),"")</f>
        <v>0</v>
      </c>
      <c r="BA72" s="88">
        <v>0</v>
      </c>
      <c r="BB72" s="88">
        <v>0</v>
      </c>
      <c r="BC72" s="88" t="str">
        <f>IFERROR(INDEX(DFAT!$K$4:$K$21,MATCH('Matrix Allocations'!A72,DFAT!$B$4:$B$21,0)),"")</f>
        <v/>
      </c>
      <c r="BD72" s="88"/>
      <c r="BE72" s="826" t="str">
        <f>IFERROR(IF(INDEX('GAVI CCE'!$E$3:$E$95,MATCH('Matrix Allocations'!A72,'GAVI CCE'!$A$3:$A$95,0))="Yes",INDEX('GAVI CCE'!$E$3:$E$95,MATCH('Matrix Allocations'!A72,'GAVI CCE'!$A$3:$A$95,0)),""),"")</f>
        <v>Yes</v>
      </c>
      <c r="BF72" s="88" t="str">
        <f>IFERROR(IF(BE72="Yes",INDEX('GAVI CCE'!$F$3:$F$95,MATCH('Matrix Allocations'!A72,'GAVI CCE'!$A$3:$A$95,0)),""),"")</f>
        <v xml:space="preserve"> $-   </v>
      </c>
      <c r="BG72" s="609" t="str">
        <f>IFERROR(IF(E72='CDS early access ceilings'!$A$94,(VLOOKUP(A72,'CDS early access ceilings'!$A$2:$D$92,4,FALSE)),""),"")</f>
        <v>GAVI</v>
      </c>
      <c r="BH72" s="639" t="str">
        <f>IFERROR(INDEX(Table14[Status (clean)],MATCH('Matrix Allocations'!A72,Table14[ISO Code],0)),"")</f>
        <v/>
      </c>
      <c r="BI72" s="641" t="str">
        <f>IFERROR(INDEX(Table14[Amount disbursed (USD)],MATCH('Matrix Allocations'!A72,Table14[ISO Code],0)),"")</f>
        <v/>
      </c>
      <c r="BJ72" s="641" t="str">
        <f>IFERROR(INDEX('CDS NBW'!$I$2:$I$39,MATCH(A72,'CDS NBW'!$A$2:$A$39,0)),"")</f>
        <v/>
      </c>
      <c r="BK72" s="641" t="str">
        <f>IFERROR(INDEX('CDS NBW'!$J$2:$J$39,MATCH(A72,'CDS NBW'!$A$2:$A$39,0)),"")</f>
        <v/>
      </c>
      <c r="BL72" s="609"/>
      <c r="BM72" s="609"/>
      <c r="BN72" s="609"/>
      <c r="BO72" s="609"/>
      <c r="BP72" s="609">
        <f>IFERROR(INDEX('UNICEF-BMZ'!$O$1:$O$199,MATCH('Matrix Allocations'!A72,'UNICEF-BMZ'!$B$1:$B$199,0)),"")</f>
        <v>0</v>
      </c>
      <c r="BQ72" s="609" t="str">
        <f>IFERROR(VLOOKUP(A72,'BMGF_clean data'!$A$4:$C$30,3,FALSE),"")</f>
        <v/>
      </c>
      <c r="BR72" s="609"/>
      <c r="BS72" s="609"/>
      <c r="BT72" s="609"/>
      <c r="BU72" s="609"/>
      <c r="BV72" s="609"/>
      <c r="BW72" s="87">
        <f>INDEX(USAID!$D$3:$D$151,MATCH('Matrix Allocations'!A72,USAID!$A$3:$A$151,0))</f>
        <v>0</v>
      </c>
      <c r="BX72" s="87" t="str">
        <f>IFERROR(INDEX(DFAT!$L$4:$L$21,MATCH('Matrix Allocations'!A72,DFAT!$B$4:$B$21,0)),"")</f>
        <v/>
      </c>
      <c r="BY72" s="87" t="str">
        <f>IFERROR(INDEX(Table14[Funds Channelled through UNICEF],MATCH('Matrix Allocations'!A72,Table14[ISO Code],0)),"")</f>
        <v/>
      </c>
      <c r="BZ72" s="87">
        <f t="shared" si="34"/>
        <v>0</v>
      </c>
      <c r="CA72">
        <f t="shared" si="30"/>
        <v>25887045</v>
      </c>
      <c r="CB72" s="782">
        <f t="shared" si="42"/>
        <v>7766113.5</v>
      </c>
      <c r="CC72" s="791">
        <f t="shared" si="37"/>
        <v>0</v>
      </c>
      <c r="CD72" s="788">
        <f t="shared" si="43"/>
        <v>0</v>
      </c>
      <c r="CE72" s="788">
        <f t="shared" si="44"/>
        <v>0</v>
      </c>
      <c r="CF72" s="828">
        <f t="shared" si="45"/>
        <v>0</v>
      </c>
      <c r="CG72" s="828">
        <f t="shared" si="38"/>
        <v>0</v>
      </c>
      <c r="CH72" s="88">
        <f t="shared" si="31"/>
        <v>0</v>
      </c>
      <c r="CI72" s="88">
        <f t="shared" si="39"/>
        <v>0</v>
      </c>
      <c r="CJ72" s="742">
        <f t="shared" si="32"/>
        <v>0</v>
      </c>
      <c r="CK72" s="848">
        <f t="shared" si="40"/>
        <v>0</v>
      </c>
      <c r="CL72" s="88">
        <f t="shared" si="41"/>
        <v>0</v>
      </c>
    </row>
    <row r="73" spans="1:90" ht="16" customHeight="1">
      <c r="A73" s="55" t="s">
        <v>621</v>
      </c>
      <c r="B73" s="55" t="s">
        <v>225</v>
      </c>
      <c r="C73" s="55" t="s">
        <v>127</v>
      </c>
      <c r="D73" s="55" t="s">
        <v>152</v>
      </c>
      <c r="E73" s="55" t="s">
        <v>145</v>
      </c>
      <c r="F73" s="56"/>
      <c r="G73" s="56" t="str">
        <f t="shared" si="33"/>
        <v>No</v>
      </c>
      <c r="H73" s="56" t="str">
        <f t="shared" si="33"/>
        <v>No</v>
      </c>
      <c r="I73" s="56" t="str">
        <f t="shared" ref="I73:I104" si="46">IF($T73="Blend","Yes","No")</f>
        <v>No</v>
      </c>
      <c r="J73" s="56" t="str">
        <f t="shared" ref="J73:J104" si="47">IF(OR(T73="IDA",T73="Blend"),"Yes","No")</f>
        <v>Yes</v>
      </c>
      <c r="K73" s="56" t="str">
        <f t="shared" ref="K73:K104" si="48">IF($T73="IBRD","Yes","No")</f>
        <v>No</v>
      </c>
      <c r="L73" s="56" t="s">
        <v>541</v>
      </c>
      <c r="M73" s="55" t="s">
        <v>544</v>
      </c>
      <c r="N73" s="134" t="s">
        <v>541</v>
      </c>
      <c r="O73" s="55" t="s">
        <v>544</v>
      </c>
      <c r="P73" s="55" t="s">
        <v>548</v>
      </c>
      <c r="Q73" s="55" t="s">
        <v>541</v>
      </c>
      <c r="R73" s="55"/>
      <c r="S73" s="956" t="s">
        <v>575</v>
      </c>
      <c r="T73" s="55" t="s">
        <v>394</v>
      </c>
      <c r="U73" s="64" t="str">
        <f>IFERROR(IF(VLOOKUP(A73,'WB projects data'!$A$5:$C$83,3,0)="Approved",(VLOOKUP(A73,'WB projects data'!$A$5:$C$83,3,0)),""),"")</f>
        <v>Approved</v>
      </c>
      <c r="V73" s="123">
        <f t="shared" si="35"/>
        <v>18200000</v>
      </c>
      <c r="W73" s="123">
        <f>IFERROR((VLOOKUP($A73,'WB projects data'!$A$5:$J$83,6,0)*1000000),"")</f>
        <v>18200000</v>
      </c>
      <c r="X73" s="123">
        <f>IFERROR((VLOOKUP($A73,'WB projects data'!$A$5:$J$83,7,0)*1000000),"")</f>
        <v>0</v>
      </c>
      <c r="Y73" s="123">
        <f>IFERROR((VLOOKUP($A73,'WB projects data'!$A$5:$J$83,8,0)*1000000),"")</f>
        <v>2500000</v>
      </c>
      <c r="Z73" s="123">
        <f>IFERROR((VLOOKUP($A73,'WB projects data'!$A$5:$J$83,9,0)*1000000),"")</f>
        <v>2000000</v>
      </c>
      <c r="AA73" s="123">
        <f>IFERROR((VLOOKUP($A73,'WB projects data'!$A$5:$J$83,10,0)*1000000),"")</f>
        <v>13700000</v>
      </c>
      <c r="AB73" s="55"/>
      <c r="AC73" s="110"/>
      <c r="AD73" s="110" t="str">
        <f>IFERROR(VLOOKUP(A73,'ADB Projects'!$A$4:$W$21,5,FALSE),"")</f>
        <v/>
      </c>
      <c r="AE73" s="132" t="str">
        <f>IF(AC73="Approved",(VLOOKUP($A73,'ADB Projects'!$A$5:$D$21,4,0)*1000000),"")</f>
        <v/>
      </c>
      <c r="AF73" s="585" t="str">
        <f>IF(AC73="Approved",(PRODUCT(VLOOKUP($A73,'ADB Projects'!$A$4:$W$21,6,FALSE),1000000)),"")</f>
        <v/>
      </c>
      <c r="AG73" s="585" t="str">
        <f>IF(AC73="Approved",(PRODUCT(VLOOKUP($A73,'ADB Projects'!$A$4:$W$21,7,FALSE),1000000)),"")</f>
        <v/>
      </c>
      <c r="AH73" s="585" t="str">
        <f>IF(AC73="Approved",(PRODUCT(VLOOKUP($A73,'ADB Projects'!$A$4:$W$21,8,FALSE),1000000)),"")</f>
        <v/>
      </c>
      <c r="AI73" s="55"/>
      <c r="AJ73" s="55"/>
      <c r="AK73" s="244"/>
      <c r="AL73" s="55"/>
      <c r="AM73" s="55"/>
      <c r="AN73" s="55"/>
      <c r="AO73" s="55"/>
      <c r="AP73" s="55"/>
      <c r="AQ73" s="602" t="str">
        <f t="shared" si="36"/>
        <v/>
      </c>
      <c r="AR73" s="602" t="str">
        <f>IFERROR(VLOOKUP($A73,'IDB C19 Vaccine Projects'!$O$4:$Q$12,2,FALSE),"")</f>
        <v/>
      </c>
      <c r="AS73" s="602" t="str">
        <f>IFERROR(VLOOKUP($A73,'IDB C19 Vaccine Projects'!$O$4:$Q$12,3,FALSE),"")</f>
        <v/>
      </c>
      <c r="AT73" s="55"/>
      <c r="AU73" s="88"/>
      <c r="AV73" s="55"/>
      <c r="AW73" s="55"/>
      <c r="AX73" s="88">
        <f>INDEX(USAID!$C$3:$C$151,MATCH('Matrix Allocations'!A73,USAID!$A$3:$A$151,0))</f>
        <v>2500000</v>
      </c>
      <c r="AY73" s="110"/>
      <c r="AZ73" s="88">
        <f>IFERROR(INDEX('[4]Vx All regions allocations'!O$10:O$144,MATCH(A73,'[4]Vx All regions allocations'!A$10:A$144,0)),"")</f>
        <v>619000</v>
      </c>
      <c r="BA73" s="88">
        <v>101700</v>
      </c>
      <c r="BB73" s="88">
        <v>27000</v>
      </c>
      <c r="BC73" s="88" t="str">
        <f>IFERROR(INDEX(DFAT!$K$4:$K$21,MATCH('Matrix Allocations'!A73,DFAT!$B$4:$B$21,0)),"")</f>
        <v/>
      </c>
      <c r="BD73" s="88"/>
      <c r="BE73" s="826" t="str">
        <f>IFERROR(IF(INDEX('GAVI CCE'!$E$3:$E$95,MATCH('Matrix Allocations'!A73,'GAVI CCE'!$A$3:$A$95,0))="Yes",INDEX('GAVI CCE'!$E$3:$E$95,MATCH('Matrix Allocations'!A73,'GAVI CCE'!$A$3:$A$95,0)),""),"")</f>
        <v>Yes</v>
      </c>
      <c r="BF73" s="88">
        <f>IFERROR(IF(BE73="Yes",INDEX('GAVI CCE'!$F$3:$F$95,MATCH('Matrix Allocations'!A73,'GAVI CCE'!$A$3:$A$95,0)),""),"")</f>
        <v>60336</v>
      </c>
      <c r="BG73" s="609" t="str">
        <f>IFERROR(IF(E73='CDS early access ceilings'!$A$94,(VLOOKUP(A73,'CDS early access ceilings'!$A$2:$D$92,4,FALSE)),""),"")</f>
        <v>UNICEF</v>
      </c>
      <c r="BH73" s="639" t="str">
        <f>IFERROR(INDEX(Table14[Status (clean)],MATCH('Matrix Allocations'!A73,Table14[ISO Code],0)),"")</f>
        <v>Disbursed</v>
      </c>
      <c r="BI73" s="641">
        <f>IFERROR(INDEX(Table14[Amount disbursed (USD)],MATCH('Matrix Allocations'!A73,Table14[ISO Code],0)),"")</f>
        <v>230000</v>
      </c>
      <c r="BJ73" s="641" t="str">
        <f>IFERROR(INDEX('CDS NBW'!$I$2:$I$39,MATCH(A73,'CDS NBW'!$A$2:$A$39,0)),"")</f>
        <v>Disbursed</v>
      </c>
      <c r="BK73" s="641">
        <f>IFERROR(INDEX('CDS NBW'!$J$2:$J$39,MATCH(A73,'CDS NBW'!$A$2:$A$39,0)),"")</f>
        <v>230000</v>
      </c>
      <c r="BL73" s="609"/>
      <c r="BM73" s="609"/>
      <c r="BN73" s="609"/>
      <c r="BO73" s="609"/>
      <c r="BP73" s="609">
        <f>IFERROR(INDEX('UNICEF-BMZ'!$O$1:$O$199,MATCH('Matrix Allocations'!A73,'UNICEF-BMZ'!$B$1:$B$199,0)),"")</f>
        <v>0</v>
      </c>
      <c r="BQ73" s="609" t="str">
        <f>IFERROR(VLOOKUP(A73,'BMGF_clean data'!$A$4:$C$30,3,FALSE),"")</f>
        <v/>
      </c>
      <c r="BR73" s="609"/>
      <c r="BS73" s="609"/>
      <c r="BT73" s="609"/>
      <c r="BU73" s="609"/>
      <c r="BV73" s="609"/>
      <c r="BW73" s="87">
        <f>INDEX(USAID!$D$3:$D$151,MATCH('Matrix Allocations'!A73,USAID!$A$3:$A$151,0))</f>
        <v>0</v>
      </c>
      <c r="BX73" s="87" t="str">
        <f>IFERROR(INDEX(DFAT!$L$4:$L$21,MATCH('Matrix Allocations'!A73,DFAT!$B$4:$B$21,0)),"")</f>
        <v/>
      </c>
      <c r="BY73" s="87">
        <f>IFERROR(INDEX(Table14[Funds Channelled through UNICEF],MATCH('Matrix Allocations'!A73,Table14[ISO Code],0)),"")</f>
        <v>0</v>
      </c>
      <c r="BZ73" s="87">
        <f t="shared" si="34"/>
        <v>230000</v>
      </c>
      <c r="CA73">
        <f t="shared" si="30"/>
        <v>1794000</v>
      </c>
      <c r="CB73" s="782">
        <f t="shared" si="42"/>
        <v>538200</v>
      </c>
      <c r="CC73" s="791">
        <f t="shared" si="37"/>
        <v>5768036</v>
      </c>
      <c r="CD73" s="788">
        <f t="shared" si="43"/>
        <v>10.717272389446302</v>
      </c>
      <c r="CE73" s="788">
        <f t="shared" si="44"/>
        <v>8.0379542920847271</v>
      </c>
      <c r="CF73" s="828">
        <f t="shared" si="45"/>
        <v>4.59311673833413</v>
      </c>
      <c r="CG73" s="828">
        <f t="shared" si="38"/>
        <v>3.2151817168338908</v>
      </c>
      <c r="CH73" s="88">
        <f t="shared" si="31"/>
        <v>2000000</v>
      </c>
      <c r="CI73" s="88">
        <f t="shared" si="39"/>
        <v>2500000</v>
      </c>
      <c r="CJ73" s="742">
        <f t="shared" si="32"/>
        <v>0</v>
      </c>
      <c r="CK73" s="848">
        <f t="shared" si="40"/>
        <v>619000</v>
      </c>
      <c r="CL73" s="88">
        <f t="shared" si="41"/>
        <v>879036</v>
      </c>
    </row>
    <row r="74" spans="1:90" ht="16" customHeight="1">
      <c r="A74" s="55" t="s">
        <v>622</v>
      </c>
      <c r="B74" s="55" t="s">
        <v>226</v>
      </c>
      <c r="C74" s="55" t="s">
        <v>127</v>
      </c>
      <c r="D74" s="55" t="s">
        <v>150</v>
      </c>
      <c r="E74" s="55" t="s">
        <v>145</v>
      </c>
      <c r="F74" s="56">
        <v>2</v>
      </c>
      <c r="G74" s="56" t="str">
        <f t="shared" si="33"/>
        <v>No</v>
      </c>
      <c r="H74" s="56" t="str">
        <f t="shared" si="33"/>
        <v>No</v>
      </c>
      <c r="I74" s="56" t="str">
        <f t="shared" si="46"/>
        <v>No</v>
      </c>
      <c r="J74" s="56" t="str">
        <f t="shared" si="47"/>
        <v>Yes</v>
      </c>
      <c r="K74" s="56" t="str">
        <f t="shared" si="48"/>
        <v>No</v>
      </c>
      <c r="L74" s="56" t="s">
        <v>541</v>
      </c>
      <c r="M74" s="55" t="s">
        <v>541</v>
      </c>
      <c r="N74" s="134" t="s">
        <v>541</v>
      </c>
      <c r="O74" s="55" t="s">
        <v>544</v>
      </c>
      <c r="P74" s="55" t="s">
        <v>562</v>
      </c>
      <c r="Q74" s="55" t="s">
        <v>541</v>
      </c>
      <c r="R74" s="55"/>
      <c r="S74" s="956">
        <v>231506834.84347546</v>
      </c>
      <c r="T74" s="55" t="s">
        <v>394</v>
      </c>
      <c r="U74" s="64" t="str">
        <f>IFERROR(IF(VLOOKUP(A74,'WB projects data'!$A$5:$C$83,3,0)="Approved",(VLOOKUP(A74,'WB projects data'!$A$5:$C$83,3,0)),""),"")</f>
        <v>Approved</v>
      </c>
      <c r="V74" s="123">
        <f t="shared" si="35"/>
        <v>20000000</v>
      </c>
      <c r="W74" s="123">
        <f>IFERROR((VLOOKUP($A74,'WB projects data'!$A$5:$J$83,6,0)*1000000),"")</f>
        <v>10000000</v>
      </c>
      <c r="X74" s="123">
        <f>IFERROR((VLOOKUP($A74,'WB projects data'!$A$5:$J$83,7,0)*1000000),"")</f>
        <v>10000000</v>
      </c>
      <c r="Y74" s="123">
        <f>IFERROR((VLOOKUP($A74,'WB projects data'!$A$5:$J$83,8,0)*1000000),"")</f>
        <v>16500000</v>
      </c>
      <c r="Z74" s="123">
        <f>IFERROR((VLOOKUP($A74,'WB projects data'!$A$5:$J$83,9,0)*1000000),"")</f>
        <v>3000000</v>
      </c>
      <c r="AA74" s="123">
        <f>IFERROR((VLOOKUP($A74,'WB projects data'!$A$5:$J$83,10,0)*1000000),"")</f>
        <v>500000</v>
      </c>
      <c r="AB74" s="55"/>
      <c r="AC74" s="110"/>
      <c r="AD74" s="110" t="str">
        <f>IFERROR(VLOOKUP(A74,'ADB Projects'!$A$4:$W$21,5,FALSE),"")</f>
        <v/>
      </c>
      <c r="AE74" s="132" t="str">
        <f>IF(AC74="Approved",(VLOOKUP($A74,'ADB Projects'!$A$5:$D$21,4,0)*1000000),"")</f>
        <v/>
      </c>
      <c r="AF74" s="585" t="str">
        <f>IF(AC74="Approved",(PRODUCT(VLOOKUP($A74,'ADB Projects'!$A$4:$W$21,6,FALSE),1000000)),"")</f>
        <v/>
      </c>
      <c r="AG74" s="585" t="str">
        <f>IF(AC74="Approved",(PRODUCT(VLOOKUP($A74,'ADB Projects'!$A$4:$W$21,7,FALSE),1000000)),"")</f>
        <v/>
      </c>
      <c r="AH74" s="585" t="str">
        <f>IF(AC74="Approved",(PRODUCT(VLOOKUP($A74,'ADB Projects'!$A$4:$W$21,8,FALSE),1000000)),"")</f>
        <v/>
      </c>
      <c r="AI74" s="55" t="s">
        <v>541</v>
      </c>
      <c r="AJ74" s="55" t="str">
        <f>IF(VLOOKUP($B74,'IsDB Projects'!$B$5:$C$14,2,0)&gt;0,"Requested","")</f>
        <v>Requested</v>
      </c>
      <c r="AK74" s="244">
        <f>VLOOKUP($B74,'IsDB Projects'!$B$5:$D$14,3,0)</f>
        <v>23000000</v>
      </c>
      <c r="AL74" s="55" t="s">
        <v>541</v>
      </c>
      <c r="AM74" s="55"/>
      <c r="AN74" s="55"/>
      <c r="AO74" s="55"/>
      <c r="AP74" s="55"/>
      <c r="AQ74" s="602" t="str">
        <f t="shared" si="36"/>
        <v/>
      </c>
      <c r="AR74" s="602" t="str">
        <f>IFERROR(VLOOKUP($A74,'IDB C19 Vaccine Projects'!$O$4:$Q$12,2,FALSE),"")</f>
        <v/>
      </c>
      <c r="AS74" s="602" t="str">
        <f>IFERROR(VLOOKUP($A74,'IDB C19 Vaccine Projects'!$O$4:$Q$12,3,FALSE),"")</f>
        <v/>
      </c>
      <c r="AT74" s="55"/>
      <c r="AU74" s="88"/>
      <c r="AV74" s="55"/>
      <c r="AW74" s="55"/>
      <c r="AX74" s="88">
        <f>INDEX(USAID!$C$3:$C$151,MATCH('Matrix Allocations'!A74,USAID!$A$3:$A$151,0))</f>
        <v>3000000</v>
      </c>
      <c r="AY74" s="110"/>
      <c r="AZ74" s="88">
        <f>IFERROR(INDEX('[4]Vx All regions allocations'!O$10:O$144,MATCH(A74,'[4]Vx All regions allocations'!A$10:A$144,0)),"")</f>
        <v>1220000</v>
      </c>
      <c r="BA74" s="88">
        <v>80800</v>
      </c>
      <c r="BB74" s="88">
        <v>161891</v>
      </c>
      <c r="BC74" s="88" t="str">
        <f>IFERROR(INDEX(DFAT!$K$4:$K$21,MATCH('Matrix Allocations'!A74,DFAT!$B$4:$B$21,0)),"")</f>
        <v/>
      </c>
      <c r="BD74" s="88"/>
      <c r="BE74" s="826" t="str">
        <f>IFERROR(IF(INDEX('GAVI CCE'!$E$3:$E$95,MATCH('Matrix Allocations'!A74,'GAVI CCE'!$A$3:$A$95,0))="Yes",INDEX('GAVI CCE'!$E$3:$E$95,MATCH('Matrix Allocations'!A74,'GAVI CCE'!$A$3:$A$95,0)),""),"")</f>
        <v>Yes</v>
      </c>
      <c r="BF74" s="88">
        <f>IFERROR(IF(BE74="Yes",INDEX('GAVI CCE'!$F$3:$F$95,MATCH('Matrix Allocations'!A74,'GAVI CCE'!$A$3:$A$95,0)),""),"")</f>
        <v>211426</v>
      </c>
      <c r="BG74" s="609" t="str">
        <f>IFERROR(IF(E74='CDS early access ceilings'!$A$94,(VLOOKUP(A74,'CDS early access ceilings'!$A$2:$D$92,4,FALSE)),""),"")</f>
        <v>GAVI</v>
      </c>
      <c r="BH74" s="639" t="str">
        <f>IFERROR(INDEX(Table14[Status (clean)],MATCH('Matrix Allocations'!A74,Table14[ISO Code],0)),"")</f>
        <v>Disbursed</v>
      </c>
      <c r="BI74" s="641">
        <f>IFERROR(INDEX(Table14[Amount disbursed (USD)],MATCH('Matrix Allocations'!A74,Table14[ISO Code],0)),"")</f>
        <v>978461</v>
      </c>
      <c r="BJ74" s="641" t="str">
        <f>IFERROR(INDEX('CDS NBW'!$I$2:$I$39,MATCH(A74,'CDS NBW'!$A$2:$A$39,0)),"")</f>
        <v/>
      </c>
      <c r="BK74" s="641" t="str">
        <f>IFERROR(INDEX('CDS NBW'!$J$2:$J$39,MATCH(A74,'CDS NBW'!$A$2:$A$39,0)),"")</f>
        <v/>
      </c>
      <c r="BL74" s="609"/>
      <c r="BM74" s="609"/>
      <c r="BN74" s="609"/>
      <c r="BO74" s="609"/>
      <c r="BP74" s="609">
        <f>IFERROR(INDEX('UNICEF-BMZ'!$O$1:$O$199,MATCH('Matrix Allocations'!A74,'UNICEF-BMZ'!$B$1:$B$199,0)),"")</f>
        <v>276200</v>
      </c>
      <c r="BQ74" s="609" t="str">
        <f>IFERROR(VLOOKUP(A74,'BMGF_clean data'!$A$4:$C$30,3,FALSE),"")</f>
        <v/>
      </c>
      <c r="BR74" s="609"/>
      <c r="BS74" s="609"/>
      <c r="BT74" s="609"/>
      <c r="BU74" s="609"/>
      <c r="BV74" s="609"/>
      <c r="BW74" s="87">
        <f>INDEX(USAID!$D$3:$D$151,MATCH('Matrix Allocations'!A74,USAID!$A$3:$A$151,0))</f>
        <v>0</v>
      </c>
      <c r="BX74" s="87" t="str">
        <f>IFERROR(INDEX(DFAT!$L$4:$L$21,MATCH('Matrix Allocations'!A74,DFAT!$B$4:$B$21,0)),"")</f>
        <v/>
      </c>
      <c r="BY74" s="87">
        <f>IFERROR(INDEX(Table14[Funds Channelled through UNICEF],MATCH('Matrix Allocations'!A74,Table14[ISO Code],0)),"")</f>
        <v>438418</v>
      </c>
      <c r="BZ74" s="87">
        <f t="shared" si="34"/>
        <v>438418</v>
      </c>
      <c r="CA74">
        <f t="shared" si="30"/>
        <v>6628347</v>
      </c>
      <c r="CB74" s="782">
        <f t="shared" si="42"/>
        <v>1988504.0999999999</v>
      </c>
      <c r="CC74" s="791">
        <f t="shared" si="37"/>
        <v>8928778</v>
      </c>
      <c r="CD74" s="788">
        <f t="shared" si="43"/>
        <v>4.4901984361007861</v>
      </c>
      <c r="CE74" s="788">
        <f t="shared" si="44"/>
        <v>3.3676488270755889</v>
      </c>
      <c r="CF74" s="828">
        <f t="shared" si="45"/>
        <v>1.9243707583289082</v>
      </c>
      <c r="CG74" s="828">
        <f t="shared" si="38"/>
        <v>1.3470595308302356</v>
      </c>
      <c r="CH74" s="88">
        <f t="shared" si="31"/>
        <v>3000000</v>
      </c>
      <c r="CI74" s="88">
        <f t="shared" si="39"/>
        <v>3000000</v>
      </c>
      <c r="CJ74" s="742">
        <f t="shared" si="32"/>
        <v>0</v>
      </c>
      <c r="CK74" s="848">
        <f t="shared" si="40"/>
        <v>1658418</v>
      </c>
      <c r="CL74" s="88">
        <f t="shared" si="41"/>
        <v>1708778</v>
      </c>
    </row>
    <row r="75" spans="1:90" ht="16" customHeight="1">
      <c r="A75" s="55" t="s">
        <v>623</v>
      </c>
      <c r="B75" s="55" t="s">
        <v>227</v>
      </c>
      <c r="C75" s="55" t="s">
        <v>126</v>
      </c>
      <c r="D75" s="55" t="s">
        <v>150</v>
      </c>
      <c r="E75" s="55" t="s">
        <v>145</v>
      </c>
      <c r="F75" s="56"/>
      <c r="G75" s="56" t="str">
        <f t="shared" si="33"/>
        <v>No</v>
      </c>
      <c r="H75" s="56" t="str">
        <f t="shared" si="33"/>
        <v>No</v>
      </c>
      <c r="I75" s="56" t="str">
        <f t="shared" si="46"/>
        <v>No</v>
      </c>
      <c r="J75" s="56" t="str">
        <f t="shared" si="47"/>
        <v>Yes</v>
      </c>
      <c r="K75" s="56" t="str">
        <f t="shared" si="48"/>
        <v>No</v>
      </c>
      <c r="L75" s="56" t="s">
        <v>541</v>
      </c>
      <c r="M75" s="55" t="s">
        <v>541</v>
      </c>
      <c r="N75" s="134" t="s">
        <v>541</v>
      </c>
      <c r="O75" s="55" t="s">
        <v>544</v>
      </c>
      <c r="P75" s="55" t="s">
        <v>542</v>
      </c>
      <c r="Q75" s="55" t="s">
        <v>541</v>
      </c>
      <c r="R75" s="55"/>
      <c r="S75" s="956">
        <v>156059428.62944782</v>
      </c>
      <c r="T75" s="55" t="s">
        <v>394</v>
      </c>
      <c r="U75" s="64" t="str">
        <f>IFERROR(IF(VLOOKUP(A75,'WB projects data'!$A$5:$C$83,3,0)="Approved",(VLOOKUP(A75,'WB projects data'!$A$5:$C$83,3,0)),""),"")</f>
        <v>Approved</v>
      </c>
      <c r="V75" s="123">
        <f t="shared" si="35"/>
        <v>15000000</v>
      </c>
      <c r="W75" s="123">
        <f>IFERROR((VLOOKUP($A75,'WB projects data'!$A$5:$J$83,6,0)*1000000),"")</f>
        <v>10000000</v>
      </c>
      <c r="X75" s="123">
        <f>IFERROR((VLOOKUP($A75,'WB projects data'!$A$5:$J$83,7,0)*1000000),"")</f>
        <v>5000000</v>
      </c>
      <c r="Y75" s="123">
        <f>IFERROR((VLOOKUP($A75,'WB projects data'!$A$5:$J$83,8,0)*1000000),"")</f>
        <v>9000000</v>
      </c>
      <c r="Z75" s="123">
        <f>IFERROR((VLOOKUP($A75,'WB projects data'!$A$5:$J$83,9,0)*1000000),"")</f>
        <v>5600000</v>
      </c>
      <c r="AA75" s="123">
        <f>IFERROR((VLOOKUP($A75,'WB projects data'!$A$5:$J$83,10,0)*1000000),"")</f>
        <v>400000</v>
      </c>
      <c r="AB75" s="55"/>
      <c r="AC75" s="110"/>
      <c r="AD75" s="110" t="str">
        <f>IFERROR(VLOOKUP(A75,'ADB Projects'!$A$4:$W$21,5,FALSE),"")</f>
        <v/>
      </c>
      <c r="AE75" s="132" t="str">
        <f>IF(AC75="Approved",(VLOOKUP($A75,'ADB Projects'!$A$5:$D$21,4,0)*1000000),"")</f>
        <v/>
      </c>
      <c r="AF75" s="585" t="str">
        <f>IF(AC75="Approved",(PRODUCT(VLOOKUP($A75,'ADB Projects'!$A$4:$W$21,6,FALSE),1000000)),"")</f>
        <v/>
      </c>
      <c r="AG75" s="585" t="str">
        <f>IF(AC75="Approved",(PRODUCT(VLOOKUP($A75,'ADB Projects'!$A$4:$W$21,7,FALSE),1000000)),"")</f>
        <v/>
      </c>
      <c r="AH75" s="585" t="str">
        <f>IF(AC75="Approved",(PRODUCT(VLOOKUP($A75,'ADB Projects'!$A$4:$W$21,8,FALSE),1000000)),"")</f>
        <v/>
      </c>
      <c r="AI75" s="55"/>
      <c r="AJ75" s="55"/>
      <c r="AK75" s="244"/>
      <c r="AL75" s="55"/>
      <c r="AM75" s="55"/>
      <c r="AN75" s="55"/>
      <c r="AO75" s="55"/>
      <c r="AP75" s="55"/>
      <c r="AQ75" s="602" t="str">
        <f t="shared" si="36"/>
        <v/>
      </c>
      <c r="AR75" s="602" t="str">
        <f>IFERROR(VLOOKUP($A75,'IDB C19 Vaccine Projects'!$O$4:$Q$12,2,FALSE),"")</f>
        <v/>
      </c>
      <c r="AS75" s="602" t="str">
        <f>IFERROR(VLOOKUP($A75,'IDB C19 Vaccine Projects'!$O$4:$Q$12,3,FALSE),"")</f>
        <v/>
      </c>
      <c r="AT75" s="55" t="s">
        <v>541</v>
      </c>
      <c r="AU75" s="88">
        <v>66000</v>
      </c>
      <c r="AV75" s="55"/>
      <c r="AW75" s="55"/>
      <c r="AX75" s="88">
        <f>INDEX(USAID!$C$3:$C$151,MATCH('Matrix Allocations'!A75,USAID!$A$3:$A$151,0))</f>
        <v>2900000</v>
      </c>
      <c r="AY75" s="110">
        <v>1077479</v>
      </c>
      <c r="AZ75" s="88">
        <f>IFERROR(INDEX('[4]Vx All regions allocations'!O$10:O$144,MATCH(A75,'[4]Vx All regions allocations'!A$10:A$144,0)),"")</f>
        <v>850000</v>
      </c>
      <c r="BA75" s="88">
        <v>66358.333333333328</v>
      </c>
      <c r="BB75" s="88">
        <v>177570</v>
      </c>
      <c r="BC75" s="88">
        <f>IFERROR(INDEX(DFAT!$K$4:$K$21,MATCH('Matrix Allocations'!A75,DFAT!$B$4:$B$21,0)),"")</f>
        <v>2956038</v>
      </c>
      <c r="BD75" s="88"/>
      <c r="BE75" s="826" t="str">
        <f>IFERROR(IF(INDEX('GAVI CCE'!$E$3:$E$95,MATCH('Matrix Allocations'!A75,'GAVI CCE'!$A$3:$A$95,0))="Yes",INDEX('GAVI CCE'!$E$3:$E$95,MATCH('Matrix Allocations'!A75,'GAVI CCE'!$A$3:$A$95,0)),""),"")</f>
        <v>Yes</v>
      </c>
      <c r="BF75" s="88">
        <f>IFERROR(IF(BE75="Yes",INDEX('GAVI CCE'!$F$3:$F$95,MATCH('Matrix Allocations'!A75,'GAVI CCE'!$A$3:$A$95,0)),""),"")</f>
        <v>134999</v>
      </c>
      <c r="BG75" s="609" t="str">
        <f>IFERROR(IF(E75='CDS early access ceilings'!$A$94,(VLOOKUP(A75,'CDS early access ceilings'!$A$2:$D$92,4,FALSE)),""),"")</f>
        <v>GAVI</v>
      </c>
      <c r="BH75" s="639" t="str">
        <f>IFERROR(INDEX(Table14[Status (clean)],MATCH('Matrix Allocations'!A75,Table14[ISO Code],0)),"")</f>
        <v>Disbursed</v>
      </c>
      <c r="BI75" s="641">
        <f>IFERROR(INDEX(Table14[Amount disbursed (USD)],MATCH('Matrix Allocations'!A75,Table14[ISO Code],0)),"")</f>
        <v>1112744</v>
      </c>
      <c r="BJ75" s="641" t="str">
        <f>IFERROR(INDEX('CDS NBW'!$I$2:$I$39,MATCH(A75,'CDS NBW'!$A$2:$A$39,0)),"")</f>
        <v/>
      </c>
      <c r="BK75" s="641" t="str">
        <f>IFERROR(INDEX('CDS NBW'!$J$2:$J$39,MATCH(A75,'CDS NBW'!$A$2:$A$39,0)),"")</f>
        <v/>
      </c>
      <c r="BL75" s="609"/>
      <c r="BM75" s="609"/>
      <c r="BN75" s="609"/>
      <c r="BO75" s="609"/>
      <c r="BP75" s="609">
        <f>IFERROR(INDEX('UNICEF-BMZ'!$O$1:$O$199,MATCH('Matrix Allocations'!A75,'UNICEF-BMZ'!$B$1:$B$199,0)),"")</f>
        <v>0</v>
      </c>
      <c r="BQ75" s="609">
        <f>IFERROR(VLOOKUP(A75,'BMGF_clean data'!$A$4:$C$30,3,FALSE),"")</f>
        <v>248000</v>
      </c>
      <c r="BR75" s="609"/>
      <c r="BS75" s="609"/>
      <c r="BT75" s="609"/>
      <c r="BU75" s="609"/>
      <c r="BV75" s="609"/>
      <c r="BW75" s="87">
        <f>INDEX(USAID!$D$3:$D$151,MATCH('Matrix Allocations'!A75,USAID!$A$3:$A$151,0))</f>
        <v>1900000</v>
      </c>
      <c r="BX75" s="87">
        <f>IFERROR(INDEX(DFAT!$L$4:$L$21,MATCH('Matrix Allocations'!A75,DFAT!$B$4:$B$21,0)),"")</f>
        <v>2661863</v>
      </c>
      <c r="BY75" s="87">
        <f>IFERROR(INDEX(Table14[Funds Channelled through UNICEF],MATCH('Matrix Allocations'!A75,Table14[ISO Code],0)),"")</f>
        <v>48600</v>
      </c>
      <c r="BZ75" s="87">
        <f t="shared" si="34"/>
        <v>48600</v>
      </c>
      <c r="CA75">
        <f t="shared" si="30"/>
        <v>7379358</v>
      </c>
      <c r="CB75" s="782">
        <f t="shared" si="42"/>
        <v>2213807.4</v>
      </c>
      <c r="CC75" s="791">
        <f t="shared" si="37"/>
        <v>15189188.333333334</v>
      </c>
      <c r="CD75" s="788">
        <f t="shared" si="43"/>
        <v>6.8611155303452929</v>
      </c>
      <c r="CE75" s="788">
        <f t="shared" si="44"/>
        <v>5.1458366477589692</v>
      </c>
      <c r="CF75" s="828">
        <f t="shared" si="45"/>
        <v>2.9404780844336971</v>
      </c>
      <c r="CG75" s="828">
        <f t="shared" si="38"/>
        <v>2.058334659103588</v>
      </c>
      <c r="CH75" s="88">
        <f t="shared" si="31"/>
        <v>5600000</v>
      </c>
      <c r="CI75" s="88">
        <f t="shared" si="39"/>
        <v>6933517</v>
      </c>
      <c r="CJ75" s="742">
        <f t="shared" si="32"/>
        <v>248000</v>
      </c>
      <c r="CK75" s="848">
        <f t="shared" si="40"/>
        <v>6537942</v>
      </c>
      <c r="CL75" s="88">
        <f t="shared" si="41"/>
        <v>1557671.3333333333</v>
      </c>
    </row>
    <row r="76" spans="1:90" ht="16" customHeight="1">
      <c r="A76" s="55" t="s">
        <v>624</v>
      </c>
      <c r="B76" s="55" t="s">
        <v>228</v>
      </c>
      <c r="C76" s="55" t="s">
        <v>131</v>
      </c>
      <c r="D76" s="55" t="s">
        <v>152</v>
      </c>
      <c r="E76" s="55" t="s">
        <v>146</v>
      </c>
      <c r="F76" s="56"/>
      <c r="G76" s="56" t="str">
        <f t="shared" si="33"/>
        <v>No</v>
      </c>
      <c r="H76" s="56" t="str">
        <f t="shared" si="33"/>
        <v>No</v>
      </c>
      <c r="I76" s="56" t="str">
        <f t="shared" si="46"/>
        <v>No</v>
      </c>
      <c r="J76" s="56" t="str">
        <f t="shared" si="47"/>
        <v>Yes</v>
      </c>
      <c r="K76" s="56" t="str">
        <f t="shared" si="48"/>
        <v>No</v>
      </c>
      <c r="L76" s="56" t="s">
        <v>541</v>
      </c>
      <c r="M76" s="55" t="s">
        <v>544</v>
      </c>
      <c r="N76" s="134" t="s">
        <v>544</v>
      </c>
      <c r="O76" s="55" t="s">
        <v>544</v>
      </c>
      <c r="P76" s="55" t="s">
        <v>546</v>
      </c>
      <c r="Q76" s="55"/>
      <c r="R76" s="55"/>
      <c r="S76" s="956">
        <v>2355391507.1635861</v>
      </c>
      <c r="T76" s="55" t="s">
        <v>394</v>
      </c>
      <c r="U76" s="64" t="str">
        <f>IFERROR(IF(VLOOKUP(A76,'WB projects data'!$A$5:$C$83,3,0)="Approved",(VLOOKUP(A76,'WB projects data'!$A$5:$C$83,3,0)),""),"")</f>
        <v>Approved</v>
      </c>
      <c r="V76" s="123">
        <f t="shared" si="35"/>
        <v>37000000</v>
      </c>
      <c r="W76" s="123">
        <f>IFERROR((VLOOKUP($A76,'WB projects data'!$A$5:$J$83,6,0)*1000000),"")</f>
        <v>34000000</v>
      </c>
      <c r="X76" s="123">
        <f>IFERROR((VLOOKUP($A76,'WB projects data'!$A$5:$J$83,7,0)*1000000),"")</f>
        <v>3000000</v>
      </c>
      <c r="Y76" s="123">
        <f>IFERROR((VLOOKUP($A76,'WB projects data'!$A$5:$J$83,8,0)*1000000),"")</f>
        <v>25000000</v>
      </c>
      <c r="Z76" s="123">
        <f>IFERROR((VLOOKUP($A76,'WB projects data'!$A$5:$J$83,9,0)*1000000),"")</f>
        <v>9000000</v>
      </c>
      <c r="AA76" s="123">
        <f>IFERROR((VLOOKUP($A76,'WB projects data'!$A$5:$J$83,10,0)*1000000),"")</f>
        <v>0</v>
      </c>
      <c r="AB76" s="55"/>
      <c r="AC76" s="110"/>
      <c r="AD76" s="110" t="str">
        <f>IFERROR(VLOOKUP(A76,'ADB Projects'!$A$4:$W$21,5,FALSE),"")</f>
        <v/>
      </c>
      <c r="AE76" s="132" t="str">
        <f>IF(AC76="Approved",(VLOOKUP($A76,'ADB Projects'!$A$5:$D$21,4,0)*1000000),"")</f>
        <v/>
      </c>
      <c r="AF76" s="585" t="str">
        <f>IF(AC76="Approved",(PRODUCT(VLOOKUP($A76,'ADB Projects'!$A$4:$W$21,6,FALSE),1000000)),"")</f>
        <v/>
      </c>
      <c r="AG76" s="585" t="str">
        <f>IF(AC76="Approved",(PRODUCT(VLOOKUP($A76,'ADB Projects'!$A$4:$W$21,7,FALSE),1000000)),"")</f>
        <v/>
      </c>
      <c r="AH76" s="585" t="str">
        <f>IF(AC76="Approved",(PRODUCT(VLOOKUP($A76,'ADB Projects'!$A$4:$W$21,8,FALSE),1000000)),"")</f>
        <v/>
      </c>
      <c r="AI76" s="55"/>
      <c r="AJ76" s="55"/>
      <c r="AK76" s="244"/>
      <c r="AL76" s="55"/>
      <c r="AM76" s="55"/>
      <c r="AN76" s="55"/>
      <c r="AO76" s="55"/>
      <c r="AP76" s="55"/>
      <c r="AQ76" s="602" t="str">
        <f t="shared" si="36"/>
        <v/>
      </c>
      <c r="AR76" s="602" t="str">
        <f>IFERROR(VLOOKUP($A76,'IDB C19 Vaccine Projects'!$O$4:$Q$12,2,FALSE),"")</f>
        <v/>
      </c>
      <c r="AS76" s="602" t="str">
        <f>IFERROR(VLOOKUP($A76,'IDB C19 Vaccine Projects'!$O$4:$Q$12,3,FALSE),"")</f>
        <v/>
      </c>
      <c r="AT76" s="55"/>
      <c r="AU76" s="88"/>
      <c r="AV76" s="55"/>
      <c r="AW76" s="55"/>
      <c r="AX76" s="88">
        <f>INDEX(USAID!$C$3:$C$151,MATCH('Matrix Allocations'!A76,USAID!$A$3:$A$151,0))</f>
        <v>3150000</v>
      </c>
      <c r="AY76" s="110"/>
      <c r="AZ76" s="88">
        <f>IFERROR(INDEX('[4]Vx All regions allocations'!O$10:O$144,MATCH(A76,'[4]Vx All regions allocations'!A$10:A$144,0)),"")</f>
        <v>8535626</v>
      </c>
      <c r="BA76" s="88">
        <v>0</v>
      </c>
      <c r="BB76" s="88">
        <v>0</v>
      </c>
      <c r="BC76" s="88" t="str">
        <f>IFERROR(INDEX(DFAT!$K$4:$K$21,MATCH('Matrix Allocations'!A76,DFAT!$B$4:$B$21,0)),"")</f>
        <v/>
      </c>
      <c r="BD76" s="88"/>
      <c r="BE76" s="826" t="str">
        <f>IFERROR(IF(INDEX('GAVI CCE'!$E$3:$E$95,MATCH('Matrix Allocations'!A76,'GAVI CCE'!$A$3:$A$95,0))="Yes",INDEX('GAVI CCE'!$E$3:$E$95,MATCH('Matrix Allocations'!A76,'GAVI CCE'!$A$3:$A$95,0)),""),"")</f>
        <v/>
      </c>
      <c r="BF76" s="88" t="str">
        <f>IFERROR(IF(BE76="Yes",INDEX('GAVI CCE'!$F$3:$F$95,MATCH('Matrix Allocations'!A76,'GAVI CCE'!$A$3:$A$95,0)),""),"")</f>
        <v/>
      </c>
      <c r="BG76" s="609" t="str">
        <f>IFERROR(IF(E76='CDS early access ceilings'!$A$94,(VLOOKUP(A76,'CDS early access ceilings'!$A$2:$D$92,4,FALSE)),""),"")</f>
        <v/>
      </c>
      <c r="BH76" s="639" t="str">
        <f>IFERROR(INDEX(Table14[Status (clean)],MATCH('Matrix Allocations'!A76,Table14[ISO Code],0)),"")</f>
        <v/>
      </c>
      <c r="BI76" s="641" t="str">
        <f>IFERROR(INDEX(Table14[Amount disbursed (USD)],MATCH('Matrix Allocations'!A76,Table14[ISO Code],0)),"")</f>
        <v/>
      </c>
      <c r="BJ76" s="641" t="str">
        <f>IFERROR(INDEX('CDS NBW'!$I$2:$I$39,MATCH(A76,'CDS NBW'!$A$2:$A$39,0)),"")</f>
        <v/>
      </c>
      <c r="BK76" s="641" t="str">
        <f>IFERROR(INDEX('CDS NBW'!$J$2:$J$39,MATCH(A76,'CDS NBW'!$A$2:$A$39,0)),"")</f>
        <v/>
      </c>
      <c r="BL76" s="609">
        <v>394444</v>
      </c>
      <c r="BM76" s="609"/>
      <c r="BN76" s="609"/>
      <c r="BO76" s="609">
        <v>14058</v>
      </c>
      <c r="BP76" s="609">
        <f>IFERROR(INDEX('UNICEF-BMZ'!$O$1:$O$199,MATCH('Matrix Allocations'!A76,'UNICEF-BMZ'!$B$1:$B$199,0)),"")</f>
        <v>0</v>
      </c>
      <c r="BQ76" s="609" t="str">
        <f>IFERROR(VLOOKUP(A76,'BMGF_clean data'!$A$4:$C$30,3,FALSE),"")</f>
        <v/>
      </c>
      <c r="BR76" s="609"/>
      <c r="BS76" s="609"/>
      <c r="BT76" s="609"/>
      <c r="BU76" s="609"/>
      <c r="BV76" s="609"/>
      <c r="BW76" s="87">
        <f>INDEX(USAID!$D$3:$D$151,MATCH('Matrix Allocations'!A76,USAID!$A$3:$A$151,0))</f>
        <v>0</v>
      </c>
      <c r="BX76" s="87" t="str">
        <f>IFERROR(INDEX(DFAT!$L$4:$L$21,MATCH('Matrix Allocations'!A76,DFAT!$B$4:$B$21,0)),"")</f>
        <v/>
      </c>
      <c r="BY76" s="87" t="str">
        <f>IFERROR(INDEX(Table14[Funds Channelled through UNICEF],MATCH('Matrix Allocations'!A76,Table14[ISO Code],0)),"")</f>
        <v/>
      </c>
      <c r="BZ76" s="87">
        <f t="shared" si="34"/>
        <v>0</v>
      </c>
      <c r="CA76">
        <f t="shared" si="30"/>
        <v>6769151</v>
      </c>
      <c r="CB76" s="782">
        <f t="shared" si="42"/>
        <v>2030745.2999999998</v>
      </c>
      <c r="CC76" s="791">
        <f t="shared" si="37"/>
        <v>21094128</v>
      </c>
      <c r="CD76" s="788">
        <f t="shared" si="43"/>
        <v>10.387382405858579</v>
      </c>
      <c r="CE76" s="788">
        <f t="shared" si="44"/>
        <v>7.7905368043939323</v>
      </c>
      <c r="CF76" s="828">
        <f t="shared" si="45"/>
        <v>4.4517353167965341</v>
      </c>
      <c r="CG76" s="828">
        <f t="shared" si="38"/>
        <v>3.1162147217575735</v>
      </c>
      <c r="CH76" s="88">
        <f t="shared" si="31"/>
        <v>9000000</v>
      </c>
      <c r="CI76" s="88">
        <f t="shared" si="39"/>
        <v>3544444</v>
      </c>
      <c r="CJ76" s="742">
        <f t="shared" si="32"/>
        <v>14058</v>
      </c>
      <c r="CK76" s="848">
        <f t="shared" si="40"/>
        <v>8944128</v>
      </c>
      <c r="CL76" s="88">
        <f t="shared" si="41"/>
        <v>0</v>
      </c>
    </row>
    <row r="77" spans="1:90" ht="16" customHeight="1">
      <c r="A77" s="55" t="s">
        <v>625</v>
      </c>
      <c r="B77" s="55" t="s">
        <v>229</v>
      </c>
      <c r="C77" s="55" t="s">
        <v>128</v>
      </c>
      <c r="D77" s="55" t="s">
        <v>150</v>
      </c>
      <c r="E77" s="55" t="s">
        <v>145</v>
      </c>
      <c r="F77" s="56"/>
      <c r="G77" s="56" t="str">
        <f t="shared" si="33"/>
        <v>Yes</v>
      </c>
      <c r="H77" s="56" t="str">
        <f t="shared" si="33"/>
        <v>Yes</v>
      </c>
      <c r="I77" s="56" t="str">
        <f t="shared" si="46"/>
        <v>No</v>
      </c>
      <c r="J77" s="56" t="str">
        <f t="shared" si="47"/>
        <v>No</v>
      </c>
      <c r="K77" s="56" t="str">
        <f t="shared" si="48"/>
        <v>Yes</v>
      </c>
      <c r="L77" s="56" t="s">
        <v>541</v>
      </c>
      <c r="M77" s="55" t="s">
        <v>541</v>
      </c>
      <c r="N77" s="134" t="s">
        <v>541</v>
      </c>
      <c r="O77" s="55" t="s">
        <v>541</v>
      </c>
      <c r="P77" s="55" t="s">
        <v>562</v>
      </c>
      <c r="Q77" s="55" t="s">
        <v>541</v>
      </c>
      <c r="R77" s="55"/>
      <c r="S77" s="956">
        <v>152760919.7684873</v>
      </c>
      <c r="T77" s="55" t="s">
        <v>395</v>
      </c>
      <c r="U77" s="64" t="str">
        <f>IFERROR(IF(VLOOKUP(A77,'WB projects data'!$A$5:$C$83,3,0)="Approved",(VLOOKUP(A77,'WB projects data'!$A$5:$C$83,3,0)),""),"")</f>
        <v>Approved</v>
      </c>
      <c r="V77" s="123">
        <f t="shared" si="35"/>
        <v>25500000</v>
      </c>
      <c r="W77" s="123">
        <f>IFERROR((VLOOKUP($A77,'WB projects data'!$A$5:$J$83,6,0)*1000000),"")</f>
        <v>25500000</v>
      </c>
      <c r="X77" s="123">
        <f>IFERROR((VLOOKUP($A77,'WB projects data'!$A$5:$J$83,7,0)*1000000),"")</f>
        <v>0</v>
      </c>
      <c r="Y77" s="123">
        <f>IFERROR((VLOOKUP($A77,'WB projects data'!$A$5:$J$83,8,0)*1000000),"")</f>
        <v>14000000</v>
      </c>
      <c r="Z77" s="123">
        <f>IFERROR((VLOOKUP($A77,'WB projects data'!$A$5:$J$83,9,0)*1000000),"")</f>
        <v>5500000</v>
      </c>
      <c r="AA77" s="123">
        <f>IFERROR((VLOOKUP($A77,'WB projects data'!$A$5:$J$83,10,0)*1000000),"")</f>
        <v>6000000</v>
      </c>
      <c r="AB77" s="55"/>
      <c r="AC77" s="110"/>
      <c r="AD77" s="110" t="str">
        <f>IFERROR(VLOOKUP(A77,'ADB Projects'!$A$4:$W$21,5,FALSE),"")</f>
        <v/>
      </c>
      <c r="AE77" s="132" t="str">
        <f>IF(AC77="Approved",(VLOOKUP($A77,'ADB Projects'!$A$5:$D$21,4,0)*1000000),"")</f>
        <v/>
      </c>
      <c r="AF77" s="585" t="str">
        <f>IF(AC77="Approved",(PRODUCT(VLOOKUP($A77,'ADB Projects'!$A$4:$W$21,6,FALSE),1000000)),"")</f>
        <v/>
      </c>
      <c r="AG77" s="585" t="str">
        <f>IF(AC77="Approved",(PRODUCT(VLOOKUP($A77,'ADB Projects'!$A$4:$W$21,7,FALSE),1000000)),"")</f>
        <v/>
      </c>
      <c r="AH77" s="585" t="str">
        <f>IF(AC77="Approved",(PRODUCT(VLOOKUP($A77,'ADB Projects'!$A$4:$W$21,8,FALSE),1000000)),"")</f>
        <v/>
      </c>
      <c r="AI77" s="55"/>
      <c r="AJ77" s="55"/>
      <c r="AK77" s="244"/>
      <c r="AL77" s="55"/>
      <c r="AM77" s="55"/>
      <c r="AN77" s="55"/>
      <c r="AO77" s="55"/>
      <c r="AP77" s="55"/>
      <c r="AQ77" s="602" t="str">
        <f t="shared" si="36"/>
        <v/>
      </c>
      <c r="AR77" s="602" t="str">
        <f>IFERROR(VLOOKUP($A77,'IDB C19 Vaccine Projects'!$O$4:$Q$12,2,FALSE),"")</f>
        <v/>
      </c>
      <c r="AS77" s="602" t="str">
        <f>IFERROR(VLOOKUP($A77,'IDB C19 Vaccine Projects'!$O$4:$Q$12,3,FALSE),"")</f>
        <v/>
      </c>
      <c r="AT77" s="55"/>
      <c r="AU77" s="88"/>
      <c r="AV77" s="55"/>
      <c r="AW77" s="55"/>
      <c r="AX77" s="88">
        <f>INDEX(USAID!$C$3:$C$151,MATCH('Matrix Allocations'!A77,USAID!$A$3:$A$151,0))</f>
        <v>1860000</v>
      </c>
      <c r="AY77" s="110"/>
      <c r="AZ77" s="88">
        <f>IFERROR(INDEX('[4]Vx All regions allocations'!O$10:O$144,MATCH(A77,'[4]Vx All regions allocations'!A$10:A$144,0)),"")</f>
        <v>720000</v>
      </c>
      <c r="BA77" s="88">
        <v>119799.99999999999</v>
      </c>
      <c r="BB77" s="88">
        <v>117165</v>
      </c>
      <c r="BC77" s="88" t="str">
        <f>IFERROR(INDEX(DFAT!$K$4:$K$21,MATCH('Matrix Allocations'!A77,DFAT!$B$4:$B$21,0)),"")</f>
        <v/>
      </c>
      <c r="BD77" s="88"/>
      <c r="BE77" s="826" t="str">
        <f>IFERROR(IF(INDEX('GAVI CCE'!$E$3:$E$95,MATCH('Matrix Allocations'!A77,'GAVI CCE'!$A$3:$A$95,0))="Yes",INDEX('GAVI CCE'!$E$3:$E$95,MATCH('Matrix Allocations'!A77,'GAVI CCE'!$A$3:$A$95,0)),""),"")</f>
        <v>Yes</v>
      </c>
      <c r="BF77" s="88">
        <f>IFERROR(IF(BE77="Yes",INDEX('GAVI CCE'!$F$3:$F$95,MATCH('Matrix Allocations'!A77,'GAVI CCE'!$A$3:$A$95,0)),""),"")</f>
        <v>86879</v>
      </c>
      <c r="BG77" s="609" t="str">
        <f>IFERROR(IF(E77='CDS early access ceilings'!$A$94,(VLOOKUP(A77,'CDS early access ceilings'!$A$2:$D$92,4,FALSE)),""),"")</f>
        <v>GAVI</v>
      </c>
      <c r="BH77" s="639" t="str">
        <f>IFERROR(INDEX(Table14[Status (clean)],MATCH('Matrix Allocations'!A77,Table14[ISO Code],0)),"")</f>
        <v>Disbursed</v>
      </c>
      <c r="BI77" s="641">
        <f>IFERROR(INDEX(Table14[Amount disbursed (USD)],MATCH('Matrix Allocations'!A77,Table14[ISO Code],0)),"")</f>
        <v>390226</v>
      </c>
      <c r="BJ77" s="641" t="str">
        <f>IFERROR(INDEX('CDS NBW'!$I$2:$I$39,MATCH(A77,'CDS NBW'!$A$2:$A$39,0)),"")</f>
        <v/>
      </c>
      <c r="BK77" s="641" t="str">
        <f>IFERROR(INDEX('CDS NBW'!$J$2:$J$39,MATCH(A77,'CDS NBW'!$A$2:$A$39,0)),"")</f>
        <v/>
      </c>
      <c r="BL77" s="609"/>
      <c r="BM77" s="609"/>
      <c r="BN77" s="609"/>
      <c r="BO77" s="609"/>
      <c r="BP77" s="609">
        <f>IFERROR(INDEX('UNICEF-BMZ'!$O$1:$O$199,MATCH('Matrix Allocations'!A77,'UNICEF-BMZ'!$B$1:$B$199,0)),"")</f>
        <v>45600</v>
      </c>
      <c r="BQ77" s="609" t="str">
        <f>IFERROR(VLOOKUP(A77,'BMGF_clean data'!$A$4:$C$30,3,FALSE),"")</f>
        <v/>
      </c>
      <c r="BR77" s="609"/>
      <c r="BS77" s="609">
        <v>679123</v>
      </c>
      <c r="BT77" s="609"/>
      <c r="BU77" s="609"/>
      <c r="BV77" s="609"/>
      <c r="BW77" s="87">
        <f>INDEX(USAID!$D$3:$D$151,MATCH('Matrix Allocations'!A77,USAID!$A$3:$A$151,0))</f>
        <v>0</v>
      </c>
      <c r="BX77" s="87" t="str">
        <f>IFERROR(INDEX(DFAT!$L$4:$L$21,MATCH('Matrix Allocations'!A77,DFAT!$B$4:$B$21,0)),"")</f>
        <v/>
      </c>
      <c r="BY77" s="87">
        <f>IFERROR(INDEX(Table14[Funds Channelled through UNICEF],MATCH('Matrix Allocations'!A77,Table14[ISO Code],0)),"")</f>
        <v>390226</v>
      </c>
      <c r="BZ77" s="87">
        <f t="shared" si="34"/>
        <v>390226</v>
      </c>
      <c r="CA77">
        <f t="shared" ref="CA77:CA108" si="49">INDEX(tpop,MATCH(A77,popiso,0))</f>
        <v>2159067</v>
      </c>
      <c r="CB77" s="782">
        <f t="shared" si="42"/>
        <v>647720.1</v>
      </c>
      <c r="CC77" s="791">
        <f t="shared" si="37"/>
        <v>9518793</v>
      </c>
      <c r="CD77" s="788">
        <f t="shared" si="43"/>
        <v>14.695843158178974</v>
      </c>
      <c r="CE77" s="788">
        <f t="shared" si="44"/>
        <v>11.021882368634229</v>
      </c>
      <c r="CF77" s="828">
        <f t="shared" si="45"/>
        <v>6.2982184963624173</v>
      </c>
      <c r="CG77" s="828">
        <f t="shared" si="38"/>
        <v>4.4087529474536922</v>
      </c>
      <c r="CH77" s="88">
        <f t="shared" ref="CH77:CH108" si="50">SUM(Z77,AG77,AS77)</f>
        <v>5500000</v>
      </c>
      <c r="CI77" s="88">
        <f t="shared" si="39"/>
        <v>2539123</v>
      </c>
      <c r="CJ77" s="742">
        <f t="shared" ref="CJ77:CJ108" si="51">SUM(AV77,BQ77,BO77)</f>
        <v>0</v>
      </c>
      <c r="CK77" s="848">
        <f t="shared" si="40"/>
        <v>1789349</v>
      </c>
      <c r="CL77" s="88">
        <f t="shared" si="41"/>
        <v>759670</v>
      </c>
    </row>
    <row r="78" spans="1:90" ht="16" customHeight="1">
      <c r="A78" s="55" t="s">
        <v>626</v>
      </c>
      <c r="B78" s="55" t="s">
        <v>230</v>
      </c>
      <c r="C78" s="55" t="s">
        <v>129</v>
      </c>
      <c r="D78" s="55" t="s">
        <v>148</v>
      </c>
      <c r="E78" s="55" t="s">
        <v>145</v>
      </c>
      <c r="F78" s="56"/>
      <c r="G78" s="56" t="str">
        <f t="shared" si="33"/>
        <v>Yes</v>
      </c>
      <c r="H78" s="56" t="str">
        <f t="shared" si="33"/>
        <v>Yes</v>
      </c>
      <c r="I78" s="56" t="str">
        <f t="shared" si="46"/>
        <v>No</v>
      </c>
      <c r="J78" s="56" t="str">
        <f t="shared" si="47"/>
        <v>No</v>
      </c>
      <c r="K78" s="56" t="str">
        <f t="shared" si="48"/>
        <v>Yes</v>
      </c>
      <c r="L78" s="56" t="s">
        <v>541</v>
      </c>
      <c r="M78" s="55" t="s">
        <v>541</v>
      </c>
      <c r="N78" s="134" t="s">
        <v>541</v>
      </c>
      <c r="O78" s="55" t="s">
        <v>544</v>
      </c>
      <c r="P78" s="55" t="s">
        <v>542</v>
      </c>
      <c r="Q78" s="55"/>
      <c r="R78" s="55"/>
      <c r="S78" s="956">
        <v>55072006.864440605</v>
      </c>
      <c r="T78" s="55" t="s">
        <v>395</v>
      </c>
      <c r="U78" s="64" t="str">
        <f>IFERROR(IF(VLOOKUP(A78,'WB projects data'!$A$5:$C$83,3,0)="Approved",(VLOOKUP(A78,'WB projects data'!$A$5:$C$83,3,0)),""),"")</f>
        <v>Approved</v>
      </c>
      <c r="V78" s="123">
        <f t="shared" si="35"/>
        <v>8000000</v>
      </c>
      <c r="W78" s="123">
        <f>IFERROR((VLOOKUP($A78,'WB projects data'!$A$5:$J$83,6,0)*1000000),"")</f>
        <v>0</v>
      </c>
      <c r="X78" s="123">
        <f>IFERROR((VLOOKUP($A78,'WB projects data'!$A$5:$J$83,7,0)*1000000),"")</f>
        <v>8000000</v>
      </c>
      <c r="Y78" s="123">
        <f>IFERROR((VLOOKUP($A78,'WB projects data'!$A$5:$J$83,8,0)*1000000),"")</f>
        <v>4500000</v>
      </c>
      <c r="Z78" s="123">
        <f>IFERROR((VLOOKUP($A78,'WB projects data'!$A$5:$J$83,9,0)*1000000),"")</f>
        <v>1700000</v>
      </c>
      <c r="AA78" s="123">
        <f>IFERROR((VLOOKUP($A78,'WB projects data'!$A$5:$J$83,10,0)*1000000),"")</f>
        <v>1800000</v>
      </c>
      <c r="AB78" s="55"/>
      <c r="AC78" s="110"/>
      <c r="AD78" s="110" t="str">
        <f>IFERROR(VLOOKUP(A78,'ADB Projects'!$A$4:$W$21,5,FALSE),"")</f>
        <v/>
      </c>
      <c r="AE78" s="132" t="str">
        <f>IF(AC78="Approved",(VLOOKUP($A78,'ADB Projects'!$A$5:$D$21,4,0)*1000000),"")</f>
        <v/>
      </c>
      <c r="AF78" s="585" t="str">
        <f>IF(AC78="Approved",(PRODUCT(VLOOKUP($A78,'ADB Projects'!$A$4:$W$21,6,FALSE),1000000)),"")</f>
        <v/>
      </c>
      <c r="AG78" s="585" t="str">
        <f>IF(AC78="Approved",(PRODUCT(VLOOKUP($A78,'ADB Projects'!$A$4:$W$21,7,FALSE),1000000)),"")</f>
        <v/>
      </c>
      <c r="AH78" s="585" t="str">
        <f>IF(AC78="Approved",(PRODUCT(VLOOKUP($A78,'ADB Projects'!$A$4:$W$21,8,FALSE),1000000)),"")</f>
        <v/>
      </c>
      <c r="AI78" s="55"/>
      <c r="AJ78" s="55"/>
      <c r="AK78" s="244"/>
      <c r="AL78" s="55"/>
      <c r="AM78" s="55"/>
      <c r="AN78" s="55"/>
      <c r="AO78" s="55"/>
      <c r="AP78" s="55"/>
      <c r="AQ78" s="602" t="str">
        <f t="shared" si="36"/>
        <v/>
      </c>
      <c r="AR78" s="602" t="str">
        <f>IFERROR(VLOOKUP($A78,'IDB C19 Vaccine Projects'!$O$4:$Q$12,2,FALSE),"")</f>
        <v/>
      </c>
      <c r="AS78" s="602" t="str">
        <f>IFERROR(VLOOKUP($A78,'IDB C19 Vaccine Projects'!$O$4:$Q$12,3,FALSE),"")</f>
        <v/>
      </c>
      <c r="AT78" s="55"/>
      <c r="AU78" s="88"/>
      <c r="AV78" s="55"/>
      <c r="AW78" s="55"/>
      <c r="AX78" s="88">
        <f>INDEX(USAID!$C$3:$C$151,MATCH('Matrix Allocations'!A78,USAID!$A$3:$A$151,0))</f>
        <v>1900000</v>
      </c>
      <c r="AY78" s="110">
        <v>897224</v>
      </c>
      <c r="AZ78" s="88">
        <f>IFERROR(INDEX('[4]Vx All regions allocations'!O$10:O$144,MATCH(A78,'[4]Vx All regions allocations'!A$10:A$144,0)),"")</f>
        <v>586872</v>
      </c>
      <c r="BA78" s="88">
        <v>127347.22222222222</v>
      </c>
      <c r="BB78" s="88">
        <v>147123.23000000001</v>
      </c>
      <c r="BC78" s="88" t="str">
        <f>IFERROR(INDEX(DFAT!$K$4:$K$21,MATCH('Matrix Allocations'!A78,DFAT!$B$4:$B$21,0)),"")</f>
        <v/>
      </c>
      <c r="BD78" s="88"/>
      <c r="BE78" s="826" t="str">
        <f>IFERROR(IF(INDEX('GAVI CCE'!$E$3:$E$95,MATCH('Matrix Allocations'!A78,'GAVI CCE'!$A$3:$A$95,0))="Yes",INDEX('GAVI CCE'!$E$3:$E$95,MATCH('Matrix Allocations'!A78,'GAVI CCE'!$A$3:$A$95,0)),""),"")</f>
        <v>Yes</v>
      </c>
      <c r="BF78" s="88">
        <f>IFERROR(IF(BE78="Yes",INDEX('GAVI CCE'!$F$3:$F$95,MATCH('Matrix Allocations'!A78,'GAVI CCE'!$A$3:$A$95,0)),""),"")</f>
        <v>162026</v>
      </c>
      <c r="BG78" s="609" t="str">
        <f>IFERROR(IF(E78='CDS early access ceilings'!$A$94,(VLOOKUP(A78,'CDS early access ceilings'!$A$2:$D$92,4,FALSE)),""),"")</f>
        <v>GAVI</v>
      </c>
      <c r="BH78" s="639" t="str">
        <f>IFERROR(INDEX(Table14[Status (clean)],MATCH('Matrix Allocations'!A78,Table14[ISO Code],0)),"")</f>
        <v>Disbursed</v>
      </c>
      <c r="BI78" s="641">
        <f>IFERROR(INDEX(Table14[Amount disbursed (USD)],MATCH('Matrix Allocations'!A78,Table14[ISO Code],0)),"")</f>
        <v>977644</v>
      </c>
      <c r="BJ78" s="641" t="str">
        <f>IFERROR(INDEX('CDS NBW'!$I$2:$I$39,MATCH(A78,'CDS NBW'!$A$2:$A$39,0)),"")</f>
        <v/>
      </c>
      <c r="BK78" s="641" t="str">
        <f>IFERROR(INDEX('CDS NBW'!$J$2:$J$39,MATCH(A78,'CDS NBW'!$A$2:$A$39,0)),"")</f>
        <v/>
      </c>
      <c r="BL78" s="609"/>
      <c r="BM78" s="609"/>
      <c r="BN78" s="609"/>
      <c r="BO78" s="609"/>
      <c r="BP78" s="609">
        <f>IFERROR(INDEX('UNICEF-BMZ'!$O$1:$O$199,MATCH('Matrix Allocations'!A78,'UNICEF-BMZ'!$B$1:$B$199,0)),"")</f>
        <v>220600</v>
      </c>
      <c r="BQ78" s="609" t="str">
        <f>IFERROR(VLOOKUP(A78,'BMGF_clean data'!$A$4:$C$30,3,FALSE),"")</f>
        <v/>
      </c>
      <c r="BR78" s="609"/>
      <c r="BS78" s="609"/>
      <c r="BT78" s="609"/>
      <c r="BU78" s="609"/>
      <c r="BV78" s="609"/>
      <c r="BW78" s="87">
        <f>INDEX(USAID!$D$3:$D$151,MATCH('Matrix Allocations'!A78,USAID!$A$3:$A$151,0))</f>
        <v>500000</v>
      </c>
      <c r="BX78" s="87" t="str">
        <f>IFERROR(INDEX(DFAT!$L$4:$L$21,MATCH('Matrix Allocations'!A78,DFAT!$B$4:$B$21,0)),"")</f>
        <v/>
      </c>
      <c r="BY78" s="87">
        <f>IFERROR(INDEX(Table14[Funds Channelled through UNICEF],MATCH('Matrix Allocations'!A78,Table14[ISO Code],0)),"")</f>
        <v>0</v>
      </c>
      <c r="BZ78" s="87">
        <f t="shared" si="34"/>
        <v>0</v>
      </c>
      <c r="CA78">
        <f t="shared" si="49"/>
        <v>5180208</v>
      </c>
      <c r="CB78" s="782">
        <f t="shared" si="42"/>
        <v>1554062.4</v>
      </c>
      <c r="CC78" s="791">
        <f t="shared" si="37"/>
        <v>6718836.4522222225</v>
      </c>
      <c r="CD78" s="788">
        <f t="shared" si="43"/>
        <v>4.3234019767946403</v>
      </c>
      <c r="CE78" s="788">
        <f t="shared" si="44"/>
        <v>3.2425514825959798</v>
      </c>
      <c r="CF78" s="828">
        <f t="shared" si="45"/>
        <v>1.8528865614834173</v>
      </c>
      <c r="CG78" s="828">
        <f t="shared" si="38"/>
        <v>1.297020593038392</v>
      </c>
      <c r="CH78" s="88">
        <f t="shared" si="50"/>
        <v>1700000</v>
      </c>
      <c r="CI78" s="88">
        <f t="shared" si="39"/>
        <v>2797224</v>
      </c>
      <c r="CJ78" s="742">
        <f t="shared" si="51"/>
        <v>0</v>
      </c>
      <c r="CK78" s="848">
        <f t="shared" si="40"/>
        <v>1984096</v>
      </c>
      <c r="CL78" s="88">
        <f t="shared" si="41"/>
        <v>1634740.4522222222</v>
      </c>
    </row>
    <row r="79" spans="1:90" ht="16" customHeight="1">
      <c r="A79" s="55" t="s">
        <v>627</v>
      </c>
      <c r="B79" s="55" t="s">
        <v>231</v>
      </c>
      <c r="C79" s="55" t="s">
        <v>131</v>
      </c>
      <c r="D79" s="55" t="s">
        <v>152</v>
      </c>
      <c r="E79" s="55" t="s">
        <v>146</v>
      </c>
      <c r="F79" s="56"/>
      <c r="G79" s="56" t="str">
        <f t="shared" si="33"/>
        <v>No</v>
      </c>
      <c r="H79" s="56" t="str">
        <f t="shared" si="33"/>
        <v>No</v>
      </c>
      <c r="I79" s="56" t="str">
        <f t="shared" si="46"/>
        <v>No</v>
      </c>
      <c r="J79" s="56" t="str">
        <f t="shared" si="47"/>
        <v>Yes</v>
      </c>
      <c r="K79" s="56" t="str">
        <f t="shared" si="48"/>
        <v>No</v>
      </c>
      <c r="L79" s="56" t="s">
        <v>541</v>
      </c>
      <c r="M79" s="55" t="s">
        <v>544</v>
      </c>
      <c r="N79" s="134" t="s">
        <v>544</v>
      </c>
      <c r="O79" s="55" t="s">
        <v>544</v>
      </c>
      <c r="P79" s="55" t="s">
        <v>546</v>
      </c>
      <c r="Q79" s="55"/>
      <c r="R79" s="55"/>
      <c r="S79" s="956" t="s">
        <v>575</v>
      </c>
      <c r="T79" s="55" t="s">
        <v>394</v>
      </c>
      <c r="U79" s="64" t="str">
        <f>IFERROR(IF(VLOOKUP(A79,'WB projects data'!$A$5:$C$83,3,0)="Approved",(VLOOKUP(A79,'WB projects data'!$A$5:$C$83,3,0)),""),"")</f>
        <v/>
      </c>
      <c r="V79" s="123" t="str">
        <f t="shared" si="35"/>
        <v/>
      </c>
      <c r="W79" s="123" t="str">
        <f>IFERROR((VLOOKUP($A79,'WB projects data'!$A$5:$J$83,6,0)*1000000),"")</f>
        <v/>
      </c>
      <c r="X79" s="123" t="str">
        <f>IFERROR((VLOOKUP($A79,'WB projects data'!$A$5:$J$83,7,0)*1000000),"")</f>
        <v/>
      </c>
      <c r="Y79" s="123" t="str">
        <f>IFERROR((VLOOKUP($A79,'WB projects data'!$A$5:$J$83,8,0)*1000000),"")</f>
        <v/>
      </c>
      <c r="Z79" s="123" t="str">
        <f>IFERROR((VLOOKUP($A79,'WB projects data'!$A$5:$J$83,9,0)*1000000),"")</f>
        <v/>
      </c>
      <c r="AA79" s="123" t="str">
        <f>IFERROR((VLOOKUP($A79,'WB projects data'!$A$5:$J$83,10,0)*1000000),"")</f>
        <v/>
      </c>
      <c r="AB79" s="55"/>
      <c r="AC79" s="110"/>
      <c r="AD79" s="110" t="str">
        <f>IFERROR(VLOOKUP(A79,'ADB Projects'!$A$4:$W$21,5,FALSE),"")</f>
        <v/>
      </c>
      <c r="AE79" s="132" t="str">
        <f>IF(AC79="Approved",(VLOOKUP($A79,'ADB Projects'!$A$5:$D$21,4,0)*1000000),"")</f>
        <v/>
      </c>
      <c r="AF79" s="585" t="str">
        <f>IF(AC79="Approved",(PRODUCT(VLOOKUP($A79,'ADB Projects'!$A$4:$W$21,6,FALSE),1000000)),"")</f>
        <v/>
      </c>
      <c r="AG79" s="585" t="str">
        <f>IF(AC79="Approved",(PRODUCT(VLOOKUP($A79,'ADB Projects'!$A$4:$W$21,7,FALSE),1000000)),"")</f>
        <v/>
      </c>
      <c r="AH79" s="585" t="str">
        <f>IF(AC79="Approved",(PRODUCT(VLOOKUP($A79,'ADB Projects'!$A$4:$W$21,8,FALSE),1000000)),"")</f>
        <v/>
      </c>
      <c r="AI79" s="55"/>
      <c r="AJ79" s="55"/>
      <c r="AK79" s="244"/>
      <c r="AL79" s="55"/>
      <c r="AM79" s="55"/>
      <c r="AN79" s="55"/>
      <c r="AO79" s="55"/>
      <c r="AP79" s="55"/>
      <c r="AQ79" s="602" t="str">
        <f t="shared" si="36"/>
        <v/>
      </c>
      <c r="AR79" s="602" t="str">
        <f>IFERROR(VLOOKUP($A79,'IDB C19 Vaccine Projects'!$O$4:$Q$12,2,FALSE),"")</f>
        <v/>
      </c>
      <c r="AS79" s="602" t="str">
        <f>IFERROR(VLOOKUP($A79,'IDB C19 Vaccine Projects'!$O$4:$Q$12,3,FALSE),"")</f>
        <v/>
      </c>
      <c r="AT79" s="55"/>
      <c r="AU79" s="88"/>
      <c r="AV79" s="55"/>
      <c r="AW79" s="55"/>
      <c r="AX79" s="88">
        <f>INDEX(USAID!$C$3:$C$151,MATCH('Matrix Allocations'!A79,USAID!$A$3:$A$151,0))</f>
        <v>1716264</v>
      </c>
      <c r="AY79" s="110">
        <v>833333</v>
      </c>
      <c r="AZ79" s="88">
        <f>IFERROR(INDEX('[4]Vx All regions allocations'!O$10:O$144,MATCH(A79,'[4]Vx All regions allocations'!A$10:A$144,0)),"")</f>
        <v>1000000</v>
      </c>
      <c r="BA79" s="88">
        <v>0</v>
      </c>
      <c r="BB79" s="88">
        <v>0</v>
      </c>
      <c r="BC79" s="88" t="str">
        <f>IFERROR(INDEX(DFAT!$K$4:$K$21,MATCH('Matrix Allocations'!A79,DFAT!$B$4:$B$21,0)),"")</f>
        <v/>
      </c>
      <c r="BD79" s="88"/>
      <c r="BE79" s="826" t="str">
        <f>IFERROR(IF(INDEX('GAVI CCE'!$E$3:$E$95,MATCH('Matrix Allocations'!A79,'GAVI CCE'!$A$3:$A$95,0))="Yes",INDEX('GAVI CCE'!$E$3:$E$95,MATCH('Matrix Allocations'!A79,'GAVI CCE'!$A$3:$A$95,0)),""),"")</f>
        <v/>
      </c>
      <c r="BF79" s="88" t="str">
        <f>IFERROR(IF(BE79="Yes",INDEX('GAVI CCE'!$F$3:$F$95,MATCH('Matrix Allocations'!A79,'GAVI CCE'!$A$3:$A$95,0)),""),"")</f>
        <v/>
      </c>
      <c r="BG79" s="609" t="str">
        <f>IFERROR(IF(E79='CDS early access ceilings'!$A$94,(VLOOKUP(A79,'CDS early access ceilings'!$A$2:$D$92,4,FALSE)),""),"")</f>
        <v/>
      </c>
      <c r="BH79" s="639" t="str">
        <f>IFERROR(INDEX(Table14[Status (clean)],MATCH('Matrix Allocations'!A79,Table14[ISO Code],0)),"")</f>
        <v/>
      </c>
      <c r="BI79" s="641" t="str">
        <f>IFERROR(INDEX(Table14[Amount disbursed (USD)],MATCH('Matrix Allocations'!A79,Table14[ISO Code],0)),"")</f>
        <v/>
      </c>
      <c r="BJ79" s="641" t="str">
        <f>IFERROR(INDEX('CDS NBW'!$I$2:$I$39,MATCH(A79,'CDS NBW'!$A$2:$A$39,0)),"")</f>
        <v/>
      </c>
      <c r="BK79" s="641" t="str">
        <f>IFERROR(INDEX('CDS NBW'!$J$2:$J$39,MATCH(A79,'CDS NBW'!$A$2:$A$39,0)),"")</f>
        <v/>
      </c>
      <c r="BL79" s="609"/>
      <c r="BM79" s="609"/>
      <c r="BN79" s="609"/>
      <c r="BO79" s="609"/>
      <c r="BP79" s="609">
        <f>IFERROR(INDEX('UNICEF-BMZ'!$O$1:$O$199,MATCH('Matrix Allocations'!A79,'UNICEF-BMZ'!$B$1:$B$199,0)),"")</f>
        <v>0</v>
      </c>
      <c r="BQ79" s="609" t="str">
        <f>IFERROR(VLOOKUP(A79,'BMGF_clean data'!$A$4:$C$30,3,FALSE),"")</f>
        <v/>
      </c>
      <c r="BR79" s="609"/>
      <c r="BS79" s="609">
        <v>1789976</v>
      </c>
      <c r="BT79" s="609"/>
      <c r="BU79" s="609"/>
      <c r="BV79" s="609"/>
      <c r="BW79" s="87">
        <f>INDEX(USAID!$D$3:$D$151,MATCH('Matrix Allocations'!A79,USAID!$A$3:$A$151,0))</f>
        <v>1716264</v>
      </c>
      <c r="BX79" s="87" t="str">
        <f>IFERROR(INDEX(DFAT!$L$4:$L$21,MATCH('Matrix Allocations'!A79,DFAT!$B$4:$B$21,0)),"")</f>
        <v/>
      </c>
      <c r="BY79" s="87" t="str">
        <f>IFERROR(INDEX(Table14[Funds Channelled through UNICEF],MATCH('Matrix Allocations'!A79,Table14[ISO Code],0)),"")</f>
        <v/>
      </c>
      <c r="BZ79" s="87">
        <f t="shared" si="34"/>
        <v>0</v>
      </c>
      <c r="CA79">
        <f t="shared" si="49"/>
        <v>6958538</v>
      </c>
      <c r="CB79" s="782">
        <f t="shared" si="42"/>
        <v>2087561.4</v>
      </c>
      <c r="CC79" s="791">
        <f t="shared" si="37"/>
        <v>5339573</v>
      </c>
      <c r="CD79" s="788">
        <f t="shared" si="43"/>
        <v>2.5578040483024838</v>
      </c>
      <c r="CE79" s="788">
        <f t="shared" si="44"/>
        <v>1.9183530362268624</v>
      </c>
      <c r="CF79" s="828">
        <f t="shared" si="45"/>
        <v>1.0962017349867788</v>
      </c>
      <c r="CG79" s="828">
        <f t="shared" si="38"/>
        <v>0.76734121449074499</v>
      </c>
      <c r="CH79" s="88">
        <f t="shared" si="50"/>
        <v>0</v>
      </c>
      <c r="CI79" s="88">
        <f t="shared" si="39"/>
        <v>4339573</v>
      </c>
      <c r="CJ79" s="742">
        <f t="shared" si="51"/>
        <v>0</v>
      </c>
      <c r="CK79" s="848">
        <f t="shared" si="40"/>
        <v>5339573</v>
      </c>
      <c r="CL79" s="88">
        <f t="shared" si="41"/>
        <v>0</v>
      </c>
    </row>
    <row r="80" spans="1:90" ht="16" customHeight="1">
      <c r="A80" s="55" t="s">
        <v>628</v>
      </c>
      <c r="B80" s="55" t="s">
        <v>232</v>
      </c>
      <c r="C80" s="55" t="s">
        <v>128</v>
      </c>
      <c r="D80" s="55" t="s">
        <v>148</v>
      </c>
      <c r="E80" s="55" t="s">
        <v>145</v>
      </c>
      <c r="F80" s="56">
        <v>2</v>
      </c>
      <c r="G80" s="56" t="str">
        <f t="shared" si="33"/>
        <v>No</v>
      </c>
      <c r="H80" s="56" t="str">
        <f t="shared" si="33"/>
        <v>No</v>
      </c>
      <c r="I80" s="56" t="str">
        <f t="shared" si="46"/>
        <v>Yes</v>
      </c>
      <c r="J80" s="56" t="str">
        <f t="shared" si="47"/>
        <v>Yes</v>
      </c>
      <c r="K80" s="56" t="str">
        <f t="shared" si="48"/>
        <v>No</v>
      </c>
      <c r="L80" s="56" t="s">
        <v>541</v>
      </c>
      <c r="M80" s="55" t="s">
        <v>544</v>
      </c>
      <c r="N80" s="134" t="s">
        <v>541</v>
      </c>
      <c r="O80" s="55" t="s">
        <v>541</v>
      </c>
      <c r="P80" s="55" t="s">
        <v>562</v>
      </c>
      <c r="Q80" s="55" t="s">
        <v>541</v>
      </c>
      <c r="R80" s="55"/>
      <c r="S80" s="956">
        <v>206914157.05429548</v>
      </c>
      <c r="T80" s="55" t="s">
        <v>396</v>
      </c>
      <c r="U80" s="64" t="str">
        <f>IFERROR(IF(VLOOKUP(A80,'WB projects data'!$A$5:$C$83,3,0)="Approved",(VLOOKUP(A80,'WB projects data'!$A$5:$C$83,3,0)),""),"")</f>
        <v>Approved</v>
      </c>
      <c r="V80" s="123">
        <f t="shared" si="35"/>
        <v>141000000</v>
      </c>
      <c r="W80" s="123">
        <f>IFERROR((VLOOKUP($A80,'WB projects data'!$A$5:$J$83,6,0)*1000000),"")</f>
        <v>0</v>
      </c>
      <c r="X80" s="123">
        <f>IFERROR((VLOOKUP($A80,'WB projects data'!$A$5:$J$83,7,0)*1000000),"")</f>
        <v>141000000</v>
      </c>
      <c r="Y80" s="123">
        <f>IFERROR((VLOOKUP($A80,'WB projects data'!$A$5:$J$83,8,0)*1000000),"")</f>
        <v>80000000</v>
      </c>
      <c r="Z80" s="123">
        <f>IFERROR((VLOOKUP($A80,'WB projects data'!$A$5:$J$83,9,0)*1000000),"")</f>
        <v>58500000</v>
      </c>
      <c r="AA80" s="123">
        <f>IFERROR((VLOOKUP($A80,'WB projects data'!$A$5:$J$83,10,0)*1000000),"")</f>
        <v>2500000</v>
      </c>
      <c r="AB80" s="55"/>
      <c r="AC80" s="110"/>
      <c r="AD80" s="110" t="str">
        <f>IFERROR(VLOOKUP(A80,'ADB Projects'!$A$4:$W$21,5,FALSE),"")</f>
        <v/>
      </c>
      <c r="AE80" s="132" t="str">
        <f>IF(AC80="Approved",(VLOOKUP($A80,'ADB Projects'!$A$5:$D$21,4,0)*1000000),"")</f>
        <v/>
      </c>
      <c r="AF80" s="585" t="str">
        <f>IF(AC80="Approved",(PRODUCT(VLOOKUP($A80,'ADB Projects'!$A$4:$W$21,6,FALSE),1000000)),"")</f>
        <v/>
      </c>
      <c r="AG80" s="585" t="str">
        <f>IF(AC80="Approved",(PRODUCT(VLOOKUP($A80,'ADB Projects'!$A$4:$W$21,7,FALSE),1000000)),"")</f>
        <v/>
      </c>
      <c r="AH80" s="585" t="str">
        <f>IF(AC80="Approved",(PRODUCT(VLOOKUP($A80,'ADB Projects'!$A$4:$W$21,8,FALSE),1000000)),"")</f>
        <v/>
      </c>
      <c r="AI80" s="55"/>
      <c r="AJ80" s="55"/>
      <c r="AK80" s="244"/>
      <c r="AL80" s="55" t="s">
        <v>541</v>
      </c>
      <c r="AM80" s="55"/>
      <c r="AN80" s="55"/>
      <c r="AO80" s="55"/>
      <c r="AP80" s="55"/>
      <c r="AQ80" s="602" t="str">
        <f t="shared" si="36"/>
        <v/>
      </c>
      <c r="AR80" s="602" t="str">
        <f>IFERROR(VLOOKUP($A80,'IDB C19 Vaccine Projects'!$O$4:$Q$12,2,FALSE),"")</f>
        <v/>
      </c>
      <c r="AS80" s="602" t="str">
        <f>IFERROR(VLOOKUP($A80,'IDB C19 Vaccine Projects'!$O$4:$Q$12,3,FALSE),"")</f>
        <v/>
      </c>
      <c r="AT80" s="55" t="s">
        <v>541</v>
      </c>
      <c r="AU80" s="88">
        <v>533106</v>
      </c>
      <c r="AV80" s="55"/>
      <c r="AW80" s="55"/>
      <c r="AX80" s="88">
        <f>INDEX(USAID!$C$3:$C$151,MATCH('Matrix Allocations'!A80,USAID!$A$3:$A$151,0))</f>
        <v>2650000</v>
      </c>
      <c r="AY80" s="110"/>
      <c r="AZ80" s="88">
        <f>IFERROR(INDEX('[4]Vx All regions allocations'!O$10:O$144,MATCH(A80,'[4]Vx All regions allocations'!A$10:A$144,0)),"")</f>
        <v>1100000</v>
      </c>
      <c r="BA80" s="88">
        <v>504961.99999999994</v>
      </c>
      <c r="BB80" s="88">
        <v>487213.8</v>
      </c>
      <c r="BC80" s="88" t="str">
        <f>IFERROR(INDEX(DFAT!$K$4:$K$21,MATCH('Matrix Allocations'!A80,DFAT!$B$4:$B$21,0)),"")</f>
        <v/>
      </c>
      <c r="BD80" s="88"/>
      <c r="BE80" s="826" t="str">
        <f>IFERROR(IF(INDEX('GAVI CCE'!$E$3:$E$95,MATCH('Matrix Allocations'!A80,'GAVI CCE'!$A$3:$A$95,0))="Yes",INDEX('GAVI CCE'!$E$3:$E$95,MATCH('Matrix Allocations'!A80,'GAVI CCE'!$A$3:$A$95,0)),""),"")</f>
        <v>Yes</v>
      </c>
      <c r="BF80" s="88">
        <f>IFERROR(IF(BE80="Yes",INDEX('GAVI CCE'!$F$3:$F$95,MATCH('Matrix Allocations'!A80,'GAVI CCE'!$A$3:$A$95,0)),""),"")</f>
        <v>694958</v>
      </c>
      <c r="BG80" s="609" t="str">
        <f>IFERROR(IF(E80='CDS early access ceilings'!$A$94,(VLOOKUP(A80,'CDS early access ceilings'!$A$2:$D$92,4,FALSE)),""),"")</f>
        <v>GAVI</v>
      </c>
      <c r="BH80" s="639" t="str">
        <f>IFERROR(INDEX(Table14[Status (clean)],MATCH('Matrix Allocations'!A80,Table14[ISO Code],0)),"")</f>
        <v>Disbursed</v>
      </c>
      <c r="BI80" s="641">
        <f>IFERROR(INDEX(Table14[Amount disbursed (USD)],MATCH('Matrix Allocations'!A80,Table14[ISO Code],0)),"")</f>
        <v>4064028</v>
      </c>
      <c r="BJ80" s="641" t="str">
        <f>IFERROR(INDEX('CDS NBW'!$I$2:$I$39,MATCH(A80,'CDS NBW'!$A$2:$A$39,0)),"")</f>
        <v/>
      </c>
      <c r="BK80" s="641" t="str">
        <f>IFERROR(INDEX('CDS NBW'!$J$2:$J$39,MATCH(A80,'CDS NBW'!$A$2:$A$39,0)),"")</f>
        <v/>
      </c>
      <c r="BL80" s="609"/>
      <c r="BM80" s="609"/>
      <c r="BN80" s="609"/>
      <c r="BO80" s="609"/>
      <c r="BP80" s="609">
        <f>IFERROR(INDEX('UNICEF-BMZ'!$O$1:$O$199,MATCH('Matrix Allocations'!A80,'UNICEF-BMZ'!$B$1:$B$199,0)),"")</f>
        <v>688600</v>
      </c>
      <c r="BQ80" s="609" t="str">
        <f>IFERROR(VLOOKUP(A80,'BMGF_clean data'!$A$4:$C$30,3,FALSE),"")</f>
        <v/>
      </c>
      <c r="BR80" s="609"/>
      <c r="BS80" s="609">
        <v>1064350</v>
      </c>
      <c r="BT80" s="609"/>
      <c r="BU80" s="609"/>
      <c r="BV80" s="609"/>
      <c r="BW80" s="87">
        <f>INDEX(USAID!$D$3:$D$151,MATCH('Matrix Allocations'!A80,USAID!$A$3:$A$151,0))</f>
        <v>0</v>
      </c>
      <c r="BX80" s="87" t="str">
        <f>IFERROR(INDEX(DFAT!$L$4:$L$21,MATCH('Matrix Allocations'!A80,DFAT!$B$4:$B$21,0)),"")</f>
        <v/>
      </c>
      <c r="BY80" s="87">
        <f>IFERROR(INDEX(Table14[Funds Channelled through UNICEF],MATCH('Matrix Allocations'!A80,Table14[ISO Code],0)),"")</f>
        <v>0</v>
      </c>
      <c r="BZ80" s="87">
        <f t="shared" si="34"/>
        <v>0</v>
      </c>
      <c r="CA80">
        <f t="shared" si="49"/>
        <v>28427333</v>
      </c>
      <c r="CB80" s="782">
        <f t="shared" si="42"/>
        <v>8528199.9000000004</v>
      </c>
      <c r="CC80" s="791">
        <f t="shared" si="37"/>
        <v>70287217.799999997</v>
      </c>
      <c r="CD80" s="788">
        <f t="shared" si="43"/>
        <v>8.2417413550543053</v>
      </c>
      <c r="CE80" s="788">
        <f t="shared" si="44"/>
        <v>6.181306016290729</v>
      </c>
      <c r="CF80" s="828">
        <f t="shared" si="45"/>
        <v>3.5321748664518458</v>
      </c>
      <c r="CG80" s="828">
        <f t="shared" si="38"/>
        <v>2.4725224065162918</v>
      </c>
      <c r="CH80" s="88">
        <f t="shared" si="50"/>
        <v>58500000</v>
      </c>
      <c r="CI80" s="88">
        <f t="shared" si="39"/>
        <v>3714350</v>
      </c>
      <c r="CJ80" s="742">
        <f t="shared" si="51"/>
        <v>0</v>
      </c>
      <c r="CK80" s="848">
        <f t="shared" si="40"/>
        <v>2164350</v>
      </c>
      <c r="CL80" s="88">
        <f t="shared" si="41"/>
        <v>6972867.7999999998</v>
      </c>
    </row>
    <row r="81" spans="1:90" ht="16" customHeight="1">
      <c r="A81" s="55" t="s">
        <v>629</v>
      </c>
      <c r="B81" s="55" t="s">
        <v>233</v>
      </c>
      <c r="C81" s="55" t="s">
        <v>128</v>
      </c>
      <c r="D81" s="55" t="s">
        <v>148</v>
      </c>
      <c r="E81" s="55" t="s">
        <v>145</v>
      </c>
      <c r="F81" s="56">
        <v>2</v>
      </c>
      <c r="G81" s="56" t="str">
        <f t="shared" ref="G81:H100" si="52">IF($T81="IBRD","Yes","No")</f>
        <v>Yes</v>
      </c>
      <c r="H81" s="56" t="str">
        <f t="shared" si="52"/>
        <v>Yes</v>
      </c>
      <c r="I81" s="56" t="str">
        <f t="shared" si="46"/>
        <v>No</v>
      </c>
      <c r="J81" s="56" t="str">
        <f t="shared" si="47"/>
        <v>No</v>
      </c>
      <c r="K81" s="56" t="str">
        <f t="shared" si="48"/>
        <v>Yes</v>
      </c>
      <c r="L81" s="56" t="s">
        <v>541</v>
      </c>
      <c r="M81" s="55" t="s">
        <v>544</v>
      </c>
      <c r="N81" s="134" t="s">
        <v>541</v>
      </c>
      <c r="O81" s="55" t="s">
        <v>541</v>
      </c>
      <c r="P81" s="55" t="s">
        <v>542</v>
      </c>
      <c r="Q81" s="55" t="s">
        <v>541</v>
      </c>
      <c r="R81" s="55"/>
      <c r="S81" s="956">
        <v>185999915.02066413</v>
      </c>
      <c r="T81" s="55" t="s">
        <v>395</v>
      </c>
      <c r="U81" s="64" t="str">
        <f>IFERROR(IF(VLOOKUP(A81,'WB projects data'!$A$5:$C$83,3,0)="Approved",(VLOOKUP(A81,'WB projects data'!$A$5:$C$83,3,0)),""),"")</f>
        <v>Approved</v>
      </c>
      <c r="V81" s="123">
        <f t="shared" si="35"/>
        <v>30000000</v>
      </c>
      <c r="W81" s="123">
        <f>IFERROR((VLOOKUP($A81,'WB projects data'!$A$5:$J$83,6,0)*1000000),"")</f>
        <v>30000000</v>
      </c>
      <c r="X81" s="123">
        <f>IFERROR((VLOOKUP($A81,'WB projects data'!$A$5:$J$83,7,0)*1000000),"")</f>
        <v>0</v>
      </c>
      <c r="Y81" s="123">
        <f>IFERROR((VLOOKUP($A81,'WB projects data'!$A$5:$J$83,8,0)*1000000),"")</f>
        <v>21300000</v>
      </c>
      <c r="Z81" s="123">
        <f>IFERROR((VLOOKUP($A81,'WB projects data'!$A$5:$J$83,9,0)*1000000),"")</f>
        <v>4700000</v>
      </c>
      <c r="AA81" s="123">
        <f>IFERROR((VLOOKUP($A81,'WB projects data'!$A$5:$J$83,10,0)*1000000),"")</f>
        <v>4000000</v>
      </c>
      <c r="AB81" s="55"/>
      <c r="AC81" s="110"/>
      <c r="AD81" s="110" t="str">
        <f>IFERROR(VLOOKUP(A81,'ADB Projects'!$A$4:$W$21,5,FALSE),"")</f>
        <v/>
      </c>
      <c r="AE81" s="132" t="str">
        <f>IF(AC81="Approved",(VLOOKUP($A81,'ADB Projects'!$A$5:$D$21,4,0)*1000000),"")</f>
        <v/>
      </c>
      <c r="AF81" s="585" t="str">
        <f>IF(AC81="Approved",(PRODUCT(VLOOKUP($A81,'ADB Projects'!$A$4:$W$21,6,FALSE),1000000)),"")</f>
        <v/>
      </c>
      <c r="AG81" s="585" t="str">
        <f>IF(AC81="Approved",(PRODUCT(VLOOKUP($A81,'ADB Projects'!$A$4:$W$21,7,FALSE),1000000)),"")</f>
        <v/>
      </c>
      <c r="AH81" s="585" t="str">
        <f>IF(AC81="Approved",(PRODUCT(VLOOKUP($A81,'ADB Projects'!$A$4:$W$21,8,FALSE),1000000)),"")</f>
        <v/>
      </c>
      <c r="AI81" s="55"/>
      <c r="AJ81" s="55"/>
      <c r="AK81" s="244"/>
      <c r="AL81" s="55"/>
      <c r="AM81" s="55"/>
      <c r="AN81" s="55"/>
      <c r="AO81" s="55"/>
      <c r="AP81" s="55"/>
      <c r="AQ81" s="602" t="str">
        <f t="shared" si="36"/>
        <v/>
      </c>
      <c r="AR81" s="602" t="str">
        <f>IFERROR(VLOOKUP($A81,'IDB C19 Vaccine Projects'!$O$4:$Q$12,2,FALSE),"")</f>
        <v/>
      </c>
      <c r="AS81" s="602" t="str">
        <f>IFERROR(VLOOKUP($A81,'IDB C19 Vaccine Projects'!$O$4:$Q$12,3,FALSE),"")</f>
        <v/>
      </c>
      <c r="AT81" s="55"/>
      <c r="AU81" s="88"/>
      <c r="AV81" s="55"/>
      <c r="AW81" s="55" t="s">
        <v>541</v>
      </c>
      <c r="AX81" s="88" t="str">
        <f>INDEX(USAID!$C$3:$C$151,MATCH('Matrix Allocations'!A81,USAID!$A$3:$A$151,0))</f>
        <v/>
      </c>
      <c r="AY81" s="110">
        <v>621248</v>
      </c>
      <c r="AZ81" s="88">
        <f>IFERROR(INDEX('[4]Vx All regions allocations'!O$10:O$144,MATCH(A81,'[4]Vx All regions allocations'!A$10:A$144,0)),"")</f>
        <v>1066214</v>
      </c>
      <c r="BA81" s="88">
        <v>135565</v>
      </c>
      <c r="BB81" s="88">
        <v>121579</v>
      </c>
      <c r="BC81" s="88" t="str">
        <f>IFERROR(INDEX(DFAT!$K$4:$K$21,MATCH('Matrix Allocations'!A81,DFAT!$B$4:$B$21,0)),"")</f>
        <v/>
      </c>
      <c r="BD81" s="88"/>
      <c r="BE81" s="826" t="str">
        <f>IFERROR(IF(INDEX('GAVI CCE'!$E$3:$E$95,MATCH('Matrix Allocations'!A81,'GAVI CCE'!$A$3:$A$95,0))="Yes",INDEX('GAVI CCE'!$E$3:$E$95,MATCH('Matrix Allocations'!A81,'GAVI CCE'!$A$3:$A$95,0)),""),"")</f>
        <v>Yes</v>
      </c>
      <c r="BF81" s="88">
        <f>IFERROR(IF(BE81="Yes",INDEX('GAVI CCE'!$F$3:$F$95,MATCH('Matrix Allocations'!A81,'GAVI CCE'!$A$3:$A$95,0)),""),"")</f>
        <v>386999</v>
      </c>
      <c r="BG81" s="609" t="str">
        <f>IFERROR(IF(E81='CDS early access ceilings'!$A$94,(VLOOKUP(A81,'CDS early access ceilings'!$A$2:$D$92,4,FALSE)),""),"")</f>
        <v>GAVI</v>
      </c>
      <c r="BH81" s="639" t="str">
        <f>IFERROR(INDEX(Table14[Status (clean)],MATCH('Matrix Allocations'!A81,Table14[ISO Code],0)),"")</f>
        <v>Disbursed</v>
      </c>
      <c r="BI81" s="641">
        <f>IFERROR(INDEX(Table14[Amount disbursed (USD)],MATCH('Matrix Allocations'!A81,Table14[ISO Code],0)),"")</f>
        <v>1451414</v>
      </c>
      <c r="BJ81" s="641" t="str">
        <f>IFERROR(INDEX('CDS NBW'!$I$2:$I$39,MATCH(A81,'CDS NBW'!$A$2:$A$39,0)),"")</f>
        <v>Disbursed</v>
      </c>
      <c r="BK81" s="641" t="str">
        <f>IFERROR(INDEX('CDS NBW'!$J$2:$J$39,MATCH(A81,'CDS NBW'!$A$2:$A$39,0)),"")</f>
        <v/>
      </c>
      <c r="BL81" s="609"/>
      <c r="BM81" s="609"/>
      <c r="BN81" s="609"/>
      <c r="BO81" s="609">
        <v>665180</v>
      </c>
      <c r="BP81" s="609">
        <f>IFERROR(INDEX('UNICEF-BMZ'!$O$1:$O$199,MATCH('Matrix Allocations'!A81,'UNICEF-BMZ'!$B$1:$B$199,0)),"")</f>
        <v>686179</v>
      </c>
      <c r="BQ81" s="609" t="str">
        <f>IFERROR(VLOOKUP(A81,'BMGF_clean data'!$A$4:$C$30,3,FALSE),"")</f>
        <v/>
      </c>
      <c r="BR81" s="609"/>
      <c r="BS81" s="609"/>
      <c r="BT81" s="609"/>
      <c r="BU81" s="609"/>
      <c r="BV81" s="609"/>
      <c r="BW81" s="87">
        <f>INDEX(USAID!$D$3:$D$151,MATCH('Matrix Allocations'!A81,USAID!$A$3:$A$151,0))</f>
        <v>0</v>
      </c>
      <c r="BX81" s="87" t="str">
        <f>IFERROR(INDEX(DFAT!$L$4:$L$21,MATCH('Matrix Allocations'!A81,DFAT!$B$4:$B$21,0)),"")</f>
        <v/>
      </c>
      <c r="BY81" s="87">
        <f>IFERROR(INDEX(Table14[Funds Channelled through UNICEF],MATCH('Matrix Allocations'!A81,Table14[ISO Code],0)),"")</f>
        <v>1131560</v>
      </c>
      <c r="BZ81" s="87">
        <f t="shared" si="34"/>
        <v>1131560</v>
      </c>
      <c r="CA81">
        <f t="shared" si="49"/>
        <v>19647681</v>
      </c>
      <c r="CB81" s="782">
        <f t="shared" si="42"/>
        <v>5894304.2999999998</v>
      </c>
      <c r="CC81" s="791">
        <f t="shared" si="37"/>
        <v>9834378</v>
      </c>
      <c r="CD81" s="788">
        <f t="shared" si="43"/>
        <v>1.6684544094542253</v>
      </c>
      <c r="CE81" s="788">
        <f t="shared" si="44"/>
        <v>1.2513408070906689</v>
      </c>
      <c r="CF81" s="828">
        <f t="shared" si="45"/>
        <v>0.71505188976609657</v>
      </c>
      <c r="CG81" s="828">
        <f t="shared" si="38"/>
        <v>0.50053632283626759</v>
      </c>
      <c r="CH81" s="88">
        <f t="shared" si="50"/>
        <v>4700000</v>
      </c>
      <c r="CI81" s="88">
        <f t="shared" si="39"/>
        <v>621248</v>
      </c>
      <c r="CJ81" s="742">
        <f t="shared" si="51"/>
        <v>665180</v>
      </c>
      <c r="CK81" s="848">
        <f t="shared" si="40"/>
        <v>3484202</v>
      </c>
      <c r="CL81" s="88">
        <f t="shared" si="41"/>
        <v>2781736</v>
      </c>
    </row>
    <row r="82" spans="1:90" ht="16" customHeight="1">
      <c r="A82" s="147" t="s">
        <v>630</v>
      </c>
      <c r="B82" s="147" t="s">
        <v>234</v>
      </c>
      <c r="C82" s="55" t="s">
        <v>126</v>
      </c>
      <c r="D82" s="55" t="s">
        <v>152</v>
      </c>
      <c r="E82" s="55" t="s">
        <v>146</v>
      </c>
      <c r="F82" s="56"/>
      <c r="G82" s="56" t="str">
        <f t="shared" si="52"/>
        <v>No</v>
      </c>
      <c r="H82" s="56" t="str">
        <f t="shared" si="52"/>
        <v>No</v>
      </c>
      <c r="I82" s="56" t="str">
        <f t="shared" si="46"/>
        <v>No</v>
      </c>
      <c r="J82" s="56" t="str">
        <f t="shared" si="47"/>
        <v>Yes</v>
      </c>
      <c r="K82" s="56" t="str">
        <f t="shared" si="48"/>
        <v>No</v>
      </c>
      <c r="L82" s="56" t="s">
        <v>541</v>
      </c>
      <c r="M82" s="55" t="s">
        <v>544</v>
      </c>
      <c r="N82" s="134" t="s">
        <v>544</v>
      </c>
      <c r="O82" s="55" t="s">
        <v>544</v>
      </c>
      <c r="P82" s="55"/>
      <c r="Q82" s="55"/>
      <c r="R82" s="55"/>
      <c r="S82" s="956">
        <v>6893755763.2501726</v>
      </c>
      <c r="T82" s="55" t="s">
        <v>394</v>
      </c>
      <c r="U82" s="64" t="str">
        <f>IFERROR(IF(VLOOKUP(A82,'WB projects data'!$A$5:$C$83,3,0)="Approved",(VLOOKUP(A82,'WB projects data'!$A$5:$C$83,3,0)),""),"")</f>
        <v/>
      </c>
      <c r="V82" s="123" t="str">
        <f t="shared" si="35"/>
        <v/>
      </c>
      <c r="W82" s="123" t="str">
        <f>IFERROR((VLOOKUP($A82,'WB projects data'!$A$5:$J$83,6,0)*1000000),"")</f>
        <v/>
      </c>
      <c r="X82" s="123" t="str">
        <f>IFERROR((VLOOKUP($A82,'WB projects data'!$A$5:$J$83,7,0)*1000000),"")</f>
        <v/>
      </c>
      <c r="Y82" s="123" t="str">
        <f>IFERROR((VLOOKUP($A82,'WB projects data'!$A$5:$J$83,8,0)*1000000),"")</f>
        <v/>
      </c>
      <c r="Z82" s="123" t="str">
        <f>IFERROR((VLOOKUP($A82,'WB projects data'!$A$5:$J$83,9,0)*1000000),"")</f>
        <v/>
      </c>
      <c r="AA82" s="123" t="str">
        <f>IFERROR((VLOOKUP($A82,'WB projects data'!$A$5:$J$83,10,0)*1000000),"")</f>
        <v/>
      </c>
      <c r="AB82" s="55"/>
      <c r="AC82" s="110"/>
      <c r="AD82" s="110" t="str">
        <f>IFERROR(VLOOKUP(A82,'ADB Projects'!$A$4:$W$21,5,FALSE),"")</f>
        <v/>
      </c>
      <c r="AE82" s="132" t="str">
        <f>IF(AC82="Approved",(VLOOKUP($A82,'ADB Projects'!$A$5:$D$21,4,0)*1000000),"")</f>
        <v/>
      </c>
      <c r="AF82" s="585" t="str">
        <f>IF(AC82="Approved",(PRODUCT(VLOOKUP($A82,'ADB Projects'!$A$4:$W$21,6,FALSE),1000000)),"")</f>
        <v/>
      </c>
      <c r="AG82" s="585" t="str">
        <f>IF(AC82="Approved",(PRODUCT(VLOOKUP($A82,'ADB Projects'!$A$4:$W$21,7,FALSE),1000000)),"")</f>
        <v/>
      </c>
      <c r="AH82" s="585" t="str">
        <f>IF(AC82="Approved",(PRODUCT(VLOOKUP($A82,'ADB Projects'!$A$4:$W$21,8,FALSE),1000000)),"")</f>
        <v/>
      </c>
      <c r="AI82" s="55"/>
      <c r="AJ82" s="55"/>
      <c r="AK82" s="244"/>
      <c r="AL82" s="55" t="s">
        <v>541</v>
      </c>
      <c r="AM82" s="55"/>
      <c r="AN82" s="55"/>
      <c r="AO82" s="55"/>
      <c r="AP82" s="55"/>
      <c r="AQ82" s="602" t="str">
        <f t="shared" si="36"/>
        <v/>
      </c>
      <c r="AR82" s="602" t="str">
        <f>IFERROR(VLOOKUP($A82,'IDB C19 Vaccine Projects'!$O$4:$Q$12,2,FALSE),"")</f>
        <v/>
      </c>
      <c r="AS82" s="602" t="str">
        <f>IFERROR(VLOOKUP($A82,'IDB C19 Vaccine Projects'!$O$4:$Q$12,3,FALSE),"")</f>
        <v/>
      </c>
      <c r="AT82" s="55"/>
      <c r="AU82" s="88"/>
      <c r="AV82" s="55"/>
      <c r="AW82" s="55"/>
      <c r="AX82" s="88">
        <f>INDEX(USAID!$C$3:$C$151,MATCH('Matrix Allocations'!A82,USAID!$A$3:$A$151,0))</f>
        <v>218600</v>
      </c>
      <c r="AY82" s="110">
        <v>1969467</v>
      </c>
      <c r="AZ82" s="88" t="str">
        <f>IFERROR(INDEX('[4]Vx All regions allocations'!O$10:O$144,MATCH(A82,'[4]Vx All regions allocations'!A$10:A$144,0)),"")</f>
        <v/>
      </c>
      <c r="BA82" s="88">
        <v>0</v>
      </c>
      <c r="BB82" s="88">
        <v>0</v>
      </c>
      <c r="BC82" s="88">
        <f>IFERROR(INDEX(DFAT!$K$4:$K$21,MATCH('Matrix Allocations'!A82,DFAT!$B$4:$B$21,0)),"")</f>
        <v>139957</v>
      </c>
      <c r="BD82" s="88"/>
      <c r="BE82" s="826" t="str">
        <f>IFERROR(IF(INDEX('GAVI CCE'!$E$3:$E$95,MATCH('Matrix Allocations'!A82,'GAVI CCE'!$A$3:$A$95,0))="Yes",INDEX('GAVI CCE'!$E$3:$E$95,MATCH('Matrix Allocations'!A82,'GAVI CCE'!$A$3:$A$95,0)),""),"")</f>
        <v/>
      </c>
      <c r="BF82" s="88" t="str">
        <f>IFERROR(IF(BE82="Yes",INDEX('GAVI CCE'!$F$3:$F$95,MATCH('Matrix Allocations'!A82,'GAVI CCE'!$A$3:$A$95,0)),""),"")</f>
        <v/>
      </c>
      <c r="BG82" s="609" t="str">
        <f>IFERROR(IF(E82='CDS early access ceilings'!$A$94,(VLOOKUP(A82,'CDS early access ceilings'!$A$2:$D$92,4,FALSE)),""),"")</f>
        <v/>
      </c>
      <c r="BH82" s="639" t="str">
        <f>IFERROR(INDEX(Table14[Status (clean)],MATCH('Matrix Allocations'!A82,Table14[ISO Code],0)),"")</f>
        <v/>
      </c>
      <c r="BI82" s="641" t="str">
        <f>IFERROR(INDEX(Table14[Amount disbursed (USD)],MATCH('Matrix Allocations'!A82,Table14[ISO Code],0)),"")</f>
        <v/>
      </c>
      <c r="BJ82" s="641" t="str">
        <f>IFERROR(INDEX('CDS NBW'!$I$2:$I$39,MATCH(A82,'CDS NBW'!$A$2:$A$39,0)),"")</f>
        <v/>
      </c>
      <c r="BK82" s="641" t="str">
        <f>IFERROR(INDEX('CDS NBW'!$J$2:$J$39,MATCH(A82,'CDS NBW'!$A$2:$A$39,0)),"")</f>
        <v/>
      </c>
      <c r="BL82" s="609"/>
      <c r="BM82" s="609"/>
      <c r="BN82" s="609"/>
      <c r="BO82" s="609">
        <v>272222</v>
      </c>
      <c r="BP82" s="609">
        <f>IFERROR(INDEX('UNICEF-BMZ'!$O$1:$O$199,MATCH('Matrix Allocations'!A82,'UNICEF-BMZ'!$B$1:$B$199,0)),"")</f>
        <v>0</v>
      </c>
      <c r="BQ82" s="609" t="str">
        <f>IFERROR(VLOOKUP(A82,'BMGF_clean data'!$A$4:$C$30,3,FALSE),"")</f>
        <v/>
      </c>
      <c r="BR82" s="609"/>
      <c r="BS82" s="609"/>
      <c r="BT82" s="609"/>
      <c r="BU82" s="609"/>
      <c r="BV82" s="609"/>
      <c r="BW82" s="87">
        <f>INDEX(USAID!$D$3:$D$151,MATCH('Matrix Allocations'!A82,USAID!$A$3:$A$151,0))</f>
        <v>0</v>
      </c>
      <c r="BX82" s="87">
        <f>IFERROR(INDEX(DFAT!$L$4:$L$21,MATCH('Matrix Allocations'!A82,DFAT!$B$4:$B$21,0)),"")</f>
        <v>128581</v>
      </c>
      <c r="BY82" s="87" t="str">
        <f>IFERROR(INDEX(Table14[Funds Channelled through UNICEF],MATCH('Matrix Allocations'!A82,Table14[ISO Code],0)),"")</f>
        <v/>
      </c>
      <c r="BZ82" s="87">
        <f t="shared" si="34"/>
        <v>0</v>
      </c>
      <c r="CA82">
        <f t="shared" si="49"/>
        <v>32776195</v>
      </c>
      <c r="CB82" s="782">
        <f t="shared" si="42"/>
        <v>9832858.5</v>
      </c>
      <c r="CC82" s="791">
        <f t="shared" si="37"/>
        <v>2600246</v>
      </c>
      <c r="CD82" s="788">
        <f t="shared" si="43"/>
        <v>0.26444456614523643</v>
      </c>
      <c r="CE82" s="788">
        <f t="shared" si="44"/>
        <v>0.19833342460892731</v>
      </c>
      <c r="CF82" s="828">
        <f t="shared" si="45"/>
        <v>0.11333338549081561</v>
      </c>
      <c r="CG82" s="828">
        <f t="shared" si="38"/>
        <v>7.9333369843570922E-2</v>
      </c>
      <c r="CH82" s="88">
        <f t="shared" si="50"/>
        <v>0</v>
      </c>
      <c r="CI82" s="88">
        <f t="shared" si="39"/>
        <v>2328024</v>
      </c>
      <c r="CJ82" s="742">
        <f t="shared" si="51"/>
        <v>272222</v>
      </c>
      <c r="CK82" s="848">
        <f t="shared" si="40"/>
        <v>2370270</v>
      </c>
      <c r="CL82" s="88">
        <f t="shared" si="41"/>
        <v>0</v>
      </c>
    </row>
    <row r="83" spans="1:90" ht="16" customHeight="1">
      <c r="A83" s="55" t="s">
        <v>631</v>
      </c>
      <c r="B83" s="55" t="s">
        <v>235</v>
      </c>
      <c r="C83" s="55" t="s">
        <v>132</v>
      </c>
      <c r="D83" s="55" t="s">
        <v>152</v>
      </c>
      <c r="E83" s="55" t="s">
        <v>145</v>
      </c>
      <c r="F83" s="56"/>
      <c r="G83" s="56" t="str">
        <f t="shared" si="52"/>
        <v>Yes</v>
      </c>
      <c r="H83" s="56" t="str">
        <f t="shared" si="52"/>
        <v>Yes</v>
      </c>
      <c r="I83" s="56" t="str">
        <f t="shared" si="46"/>
        <v>No</v>
      </c>
      <c r="J83" s="56" t="str">
        <f t="shared" si="47"/>
        <v>No</v>
      </c>
      <c r="K83" s="56" t="str">
        <f t="shared" si="48"/>
        <v>Yes</v>
      </c>
      <c r="L83" s="56" t="s">
        <v>541</v>
      </c>
      <c r="M83" s="55" t="s">
        <v>544</v>
      </c>
      <c r="N83" s="134" t="s">
        <v>541</v>
      </c>
      <c r="O83" s="55" t="s">
        <v>541</v>
      </c>
      <c r="P83" s="55" t="s">
        <v>542</v>
      </c>
      <c r="Q83" s="55"/>
      <c r="R83" s="55"/>
      <c r="S83" s="956">
        <v>354560231.58276606</v>
      </c>
      <c r="T83" s="55" t="s">
        <v>395</v>
      </c>
      <c r="U83" s="64" t="str">
        <f>IFERROR(IF(VLOOKUP(A83,'WB projects data'!$A$5:$C$83,3,0)="Approved",(VLOOKUP(A83,'WB projects data'!$A$5:$C$83,3,0)),""),"")</f>
        <v/>
      </c>
      <c r="V83" s="123" t="str">
        <f t="shared" si="35"/>
        <v/>
      </c>
      <c r="W83" s="123" t="str">
        <f>IFERROR((VLOOKUP($A83,'WB projects data'!$A$5:$J$83,6,0)*1000000),"")</f>
        <v/>
      </c>
      <c r="X83" s="123" t="str">
        <f>IFERROR((VLOOKUP($A83,'WB projects data'!$A$5:$J$83,7,0)*1000000),"")</f>
        <v/>
      </c>
      <c r="Y83" s="123" t="str">
        <f>IFERROR((VLOOKUP($A83,'WB projects data'!$A$5:$J$83,8,0)*1000000),"")</f>
        <v/>
      </c>
      <c r="Z83" s="123" t="str">
        <f>IFERROR((VLOOKUP($A83,'WB projects data'!$A$5:$J$83,9,0)*1000000),"")</f>
        <v/>
      </c>
      <c r="AA83" s="123" t="str">
        <f>IFERROR((VLOOKUP($A83,'WB projects data'!$A$5:$J$83,10,0)*1000000),"")</f>
        <v/>
      </c>
      <c r="AB83" s="55"/>
      <c r="AC83" s="110" t="str">
        <f>VLOOKUP($A83,'ADB Projects'!$A$5:$D$21,3,0)</f>
        <v>Under Preparation</v>
      </c>
      <c r="AD83" s="110">
        <f>IFERROR(VLOOKUP(A83,'ADB Projects'!$A$4:$W$21,5,FALSE),"")</f>
        <v>0</v>
      </c>
      <c r="AE83" s="132" t="str">
        <f>IF(AC83="Approved",(VLOOKUP($A83,'ADB Projects'!$A$5:$D$21,4,0)*1000000),"")</f>
        <v/>
      </c>
      <c r="AF83" s="585" t="str">
        <f>IF(AC83="Approved",(PRODUCT(VLOOKUP($A83,'ADB Projects'!$A$4:$W$21,6,FALSE),1000000)),"")</f>
        <v/>
      </c>
      <c r="AG83" s="585" t="str">
        <f>IF(AC83="Approved",(PRODUCT(VLOOKUP($A83,'ADB Projects'!$A$4:$W$21,7,FALSE),1000000)),"")</f>
        <v/>
      </c>
      <c r="AH83" s="585" t="str">
        <f>IF(AC83="Approved",(PRODUCT(VLOOKUP($A83,'ADB Projects'!$A$4:$W$21,8,FALSE),1000000)),"")</f>
        <v/>
      </c>
      <c r="AI83" s="55"/>
      <c r="AJ83" s="55" t="str">
        <f>IF(VLOOKUP($B83,'IsDB Projects'!$B$5:$C$14,2,0)&gt;0,"Requested","")</f>
        <v>Requested</v>
      </c>
      <c r="AK83" s="244">
        <f>VLOOKUP($B83,'IsDB Projects'!$B$5:$D$14,3,0)</f>
        <v>8000000</v>
      </c>
      <c r="AL83" s="55"/>
      <c r="AM83" s="55"/>
      <c r="AN83" s="55"/>
      <c r="AO83" s="55"/>
      <c r="AP83" s="55"/>
      <c r="AQ83" s="602" t="str">
        <f t="shared" si="36"/>
        <v/>
      </c>
      <c r="AR83" s="602" t="str">
        <f>IFERROR(VLOOKUP($A83,'IDB C19 Vaccine Projects'!$O$4:$Q$12,2,FALSE),"")</f>
        <v/>
      </c>
      <c r="AS83" s="602" t="str">
        <f>IFERROR(VLOOKUP($A83,'IDB C19 Vaccine Projects'!$O$4:$Q$12,3,FALSE),"")</f>
        <v/>
      </c>
      <c r="AT83" s="55"/>
      <c r="AU83" s="88"/>
      <c r="AV83" s="55"/>
      <c r="AW83" s="55"/>
      <c r="AX83" s="88">
        <f>INDEX(USAID!$C$3:$C$151,MATCH('Matrix Allocations'!A83,USAID!$A$3:$A$151,0))</f>
        <v>1000000</v>
      </c>
      <c r="AY83" s="110">
        <v>956222</v>
      </c>
      <c r="AZ83" s="88">
        <f>IFERROR(INDEX('[4]Vx All regions allocations'!O$10:O$144,MATCH(A83,'[4]Vx All regions allocations'!A$10:A$144,0)),"")</f>
        <v>77341</v>
      </c>
      <c r="BA83" s="88">
        <v>115708.33333333333</v>
      </c>
      <c r="BB83" s="88">
        <v>490000.00000000006</v>
      </c>
      <c r="BC83" s="88" t="str">
        <f>IFERROR(INDEX(DFAT!$K$4:$K$21,MATCH('Matrix Allocations'!A83,DFAT!$B$4:$B$21,0)),"")</f>
        <v/>
      </c>
      <c r="BD83" s="88"/>
      <c r="BE83" s="826" t="str">
        <f>IFERROR(IF(INDEX('GAVI CCE'!$E$3:$E$95,MATCH('Matrix Allocations'!A83,'GAVI CCE'!$A$3:$A$95,0))="Yes",INDEX('GAVI CCE'!$E$3:$E$95,MATCH('Matrix Allocations'!A83,'GAVI CCE'!$A$3:$A$95,0)),""),"")</f>
        <v>Yes</v>
      </c>
      <c r="BF83" s="88">
        <f>IFERROR(IF(BE83="Yes",INDEX('GAVI CCE'!$F$3:$F$95,MATCH('Matrix Allocations'!A83,'GAVI CCE'!$A$3:$A$95,0)),""),"")</f>
        <v>60026</v>
      </c>
      <c r="BG83" s="609" t="str">
        <f>IFERROR(IF(E83='CDS early access ceilings'!$A$94,(VLOOKUP(A83,'CDS early access ceilings'!$A$2:$D$92,4,FALSE)),""),"")</f>
        <v>UNICEF</v>
      </c>
      <c r="BH83" s="639" t="str">
        <f>IFERROR(INDEX(Table14[Status (clean)],MATCH('Matrix Allocations'!A83,Table14[ISO Code],0)),"")</f>
        <v>Disbursed</v>
      </c>
      <c r="BI83" s="641">
        <f>IFERROR(INDEX(Table14[Amount disbursed (USD)],MATCH('Matrix Allocations'!A83,Table14[ISO Code],0)),"")</f>
        <v>230000</v>
      </c>
      <c r="BJ83" s="641" t="str">
        <f>IFERROR(INDEX('CDS NBW'!$I$2:$I$39,MATCH(A83,'CDS NBW'!$A$2:$A$39,0)),"")</f>
        <v>Disbursed</v>
      </c>
      <c r="BK83" s="641">
        <f>IFERROR(INDEX('CDS NBW'!$J$2:$J$39,MATCH(A83,'CDS NBW'!$A$2:$A$39,0)),"")</f>
        <v>230000</v>
      </c>
      <c r="BL83" s="609"/>
      <c r="BM83" s="609"/>
      <c r="BN83" s="609"/>
      <c r="BO83" s="609"/>
      <c r="BP83" s="609">
        <f>IFERROR(INDEX('UNICEF-BMZ'!$O$1:$O$199,MATCH('Matrix Allocations'!A83,'UNICEF-BMZ'!$B$1:$B$199,0)),"")</f>
        <v>0</v>
      </c>
      <c r="BQ83" s="609" t="str">
        <f>IFERROR(VLOOKUP(A83,'BMGF_clean data'!$A$4:$C$30,3,FALSE),"")</f>
        <v/>
      </c>
      <c r="BR83" s="609"/>
      <c r="BS83" s="609"/>
      <c r="BT83" s="609"/>
      <c r="BU83" s="609"/>
      <c r="BV83" s="609"/>
      <c r="BW83" s="87">
        <f>INDEX(USAID!$D$3:$D$151,MATCH('Matrix Allocations'!A83,USAID!$A$3:$A$151,0))</f>
        <v>0</v>
      </c>
      <c r="BX83" s="87" t="str">
        <f>IFERROR(INDEX(DFAT!$L$4:$L$21,MATCH('Matrix Allocations'!A83,DFAT!$B$4:$B$21,0)),"")</f>
        <v/>
      </c>
      <c r="BY83" s="87">
        <f>IFERROR(INDEX(Table14[Funds Channelled through UNICEF],MATCH('Matrix Allocations'!A83,Table14[ISO Code],0)),"")</f>
        <v>0</v>
      </c>
      <c r="BZ83" s="87">
        <f t="shared" si="34"/>
        <v>230000</v>
      </c>
      <c r="CA83">
        <f t="shared" si="49"/>
        <v>543620</v>
      </c>
      <c r="CB83" s="782">
        <f t="shared" si="42"/>
        <v>163086</v>
      </c>
      <c r="CC83" s="791">
        <f t="shared" si="37"/>
        <v>3159297.3333333335</v>
      </c>
      <c r="CD83" s="788">
        <f t="shared" si="43"/>
        <v>19.37197143429438</v>
      </c>
      <c r="CE83" s="788">
        <f t="shared" si="44"/>
        <v>14.528978575720785</v>
      </c>
      <c r="CF83" s="828">
        <f t="shared" si="45"/>
        <v>8.3022734718404489</v>
      </c>
      <c r="CG83" s="828">
        <f t="shared" si="38"/>
        <v>5.8115914302883143</v>
      </c>
      <c r="CH83" s="88">
        <f t="shared" si="50"/>
        <v>0</v>
      </c>
      <c r="CI83" s="88">
        <f t="shared" si="39"/>
        <v>1956222</v>
      </c>
      <c r="CJ83" s="742">
        <f t="shared" si="51"/>
        <v>0</v>
      </c>
      <c r="CK83" s="848">
        <f t="shared" si="40"/>
        <v>1033563</v>
      </c>
      <c r="CL83" s="88">
        <f t="shared" si="41"/>
        <v>1355734.3333333335</v>
      </c>
    </row>
    <row r="84" spans="1:90" ht="16" customHeight="1">
      <c r="A84" s="55" t="s">
        <v>632</v>
      </c>
      <c r="B84" s="55" t="s">
        <v>236</v>
      </c>
      <c r="C84" s="55" t="s">
        <v>129</v>
      </c>
      <c r="D84" s="55" t="s">
        <v>148</v>
      </c>
      <c r="E84" s="55" t="s">
        <v>145</v>
      </c>
      <c r="F84" s="56">
        <v>1</v>
      </c>
      <c r="G84" s="56" t="str">
        <f t="shared" si="52"/>
        <v>No</v>
      </c>
      <c r="H84" s="56" t="str">
        <f t="shared" si="52"/>
        <v>No</v>
      </c>
      <c r="I84" s="56" t="str">
        <f t="shared" si="46"/>
        <v>Yes</v>
      </c>
      <c r="J84" s="56" t="str">
        <f t="shared" si="47"/>
        <v>Yes</v>
      </c>
      <c r="K84" s="56" t="str">
        <f t="shared" si="48"/>
        <v>No</v>
      </c>
      <c r="L84" s="56" t="s">
        <v>541</v>
      </c>
      <c r="M84" s="55" t="s">
        <v>544</v>
      </c>
      <c r="N84" s="134" t="s">
        <v>541</v>
      </c>
      <c r="O84" s="55" t="s">
        <v>541</v>
      </c>
      <c r="P84" s="55" t="s">
        <v>562</v>
      </c>
      <c r="Q84" s="55"/>
      <c r="R84" s="55"/>
      <c r="S84" s="956">
        <v>188169167.56540567</v>
      </c>
      <c r="T84" s="55" t="s">
        <v>396</v>
      </c>
      <c r="U84" s="64" t="str">
        <f>IFERROR(IF(VLOOKUP(A84,'WB projects data'!$A$5:$C$83,3,0)="Approved",(VLOOKUP(A84,'WB projects data'!$A$5:$C$83,3,0)),""),"")</f>
        <v>Approved</v>
      </c>
      <c r="V84" s="123">
        <f t="shared" si="35"/>
        <v>52500000</v>
      </c>
      <c r="W84" s="123">
        <f>IFERROR((VLOOKUP($A84,'WB projects data'!$A$5:$J$83,6,0)*1000000),"")</f>
        <v>26300000</v>
      </c>
      <c r="X84" s="123">
        <f>IFERROR((VLOOKUP($A84,'WB projects data'!$A$5:$J$83,7,0)*1000000),"")</f>
        <v>26300000</v>
      </c>
      <c r="Y84" s="123">
        <f>IFERROR((VLOOKUP($A84,'WB projects data'!$A$5:$J$83,8,0)*1000000),"")</f>
        <v>44500000</v>
      </c>
      <c r="Z84" s="123">
        <f>IFERROR((VLOOKUP($A84,'WB projects data'!$A$5:$J$83,9,0)*1000000),"")</f>
        <v>8000000</v>
      </c>
      <c r="AA84" s="123">
        <f>IFERROR((VLOOKUP($A84,'WB projects data'!$A$5:$J$83,10,0)*1000000),"")</f>
        <v>0</v>
      </c>
      <c r="AB84" s="55"/>
      <c r="AC84" s="110"/>
      <c r="AD84" s="110" t="str">
        <f>IFERROR(VLOOKUP(A84,'ADB Projects'!$A$4:$W$21,5,FALSE),"")</f>
        <v/>
      </c>
      <c r="AE84" s="132" t="str">
        <f>IF(AC84="Approved",(VLOOKUP($A84,'ADB Projects'!$A$5:$D$21,4,0)*1000000),"")</f>
        <v/>
      </c>
      <c r="AF84" s="585" t="str">
        <f>IF(AC84="Approved",(PRODUCT(VLOOKUP($A84,'ADB Projects'!$A$4:$W$21,6,FALSE),1000000)),"")</f>
        <v/>
      </c>
      <c r="AG84" s="585" t="str">
        <f>IF(AC84="Approved",(PRODUCT(VLOOKUP($A84,'ADB Projects'!$A$4:$W$21,7,FALSE),1000000)),"")</f>
        <v/>
      </c>
      <c r="AH84" s="585" t="str">
        <f>IF(AC84="Approved",(PRODUCT(VLOOKUP($A84,'ADB Projects'!$A$4:$W$21,8,FALSE),1000000)),"")</f>
        <v/>
      </c>
      <c r="AI84" s="55"/>
      <c r="AJ84" s="55"/>
      <c r="AK84" s="244"/>
      <c r="AL84" s="55"/>
      <c r="AM84" s="55"/>
      <c r="AN84" s="55"/>
      <c r="AO84" s="55"/>
      <c r="AP84" s="55"/>
      <c r="AQ84" s="602" t="str">
        <f t="shared" si="36"/>
        <v/>
      </c>
      <c r="AR84" s="602" t="str">
        <f>IFERROR(VLOOKUP($A84,'IDB C19 Vaccine Projects'!$O$4:$Q$12,2,FALSE),"")</f>
        <v/>
      </c>
      <c r="AS84" s="602" t="str">
        <f>IFERROR(VLOOKUP($A84,'IDB C19 Vaccine Projects'!$O$4:$Q$12,3,FALSE),"")</f>
        <v/>
      </c>
      <c r="AT84" s="55" t="s">
        <v>541</v>
      </c>
      <c r="AU84" s="88">
        <v>700000</v>
      </c>
      <c r="AV84" s="55"/>
      <c r="AW84" s="55" t="s">
        <v>541</v>
      </c>
      <c r="AX84" s="88">
        <f>INDEX(USAID!$C$3:$C$151,MATCH('Matrix Allocations'!A84,USAID!$A$3:$A$151,0))</f>
        <v>3100000</v>
      </c>
      <c r="AY84" s="110">
        <v>925390</v>
      </c>
      <c r="AZ84" s="88">
        <f>IFERROR(INDEX('[4]Vx All regions allocations'!O$10:O$144,MATCH(A84,'[4]Vx All regions allocations'!A$10:A$144,0)),"")</f>
        <v>1802789</v>
      </c>
      <c r="BA84" s="88">
        <v>396300</v>
      </c>
      <c r="BB84" s="88">
        <v>487920</v>
      </c>
      <c r="BC84" s="88" t="str">
        <f>IFERROR(INDEX(DFAT!$K$4:$K$21,MATCH('Matrix Allocations'!A84,DFAT!$B$4:$B$21,0)),"")</f>
        <v/>
      </c>
      <c r="BD84" s="88"/>
      <c r="BE84" s="826" t="str">
        <f>IFERROR(IF(INDEX('GAVI CCE'!$E$3:$E$95,MATCH('Matrix Allocations'!A84,'GAVI CCE'!$A$3:$A$95,0))="Yes",INDEX('GAVI CCE'!$E$3:$E$95,MATCH('Matrix Allocations'!A84,'GAVI CCE'!$A$3:$A$95,0)),""),"")</f>
        <v>Yes</v>
      </c>
      <c r="BF84" s="88">
        <f>IFERROR(IF(BE84="Yes",INDEX('GAVI CCE'!$F$3:$F$95,MATCH('Matrix Allocations'!A84,'GAVI CCE'!$A$3:$A$95,0)),""),"")</f>
        <v>530000</v>
      </c>
      <c r="BG84" s="609" t="str">
        <f>IFERROR(IF(E84='CDS early access ceilings'!$A$94,(VLOOKUP(A84,'CDS early access ceilings'!$A$2:$D$92,4,FALSE)),""),"")</f>
        <v>GAVI</v>
      </c>
      <c r="BH84" s="639" t="str">
        <f>IFERROR(INDEX(Table14[Status (clean)],MATCH('Matrix Allocations'!A84,Table14[ISO Code],0)),"")</f>
        <v>Disbursed</v>
      </c>
      <c r="BI84" s="641">
        <f>IFERROR(INDEX(Table14[Amount disbursed (USD)],MATCH('Matrix Allocations'!A84,Table14[ISO Code],0)),"")</f>
        <v>124207</v>
      </c>
      <c r="BJ84" s="641" t="str">
        <f>IFERROR(INDEX('CDS NBW'!$I$2:$I$39,MATCH(A84,'CDS NBW'!$A$2:$A$39,0)),"")</f>
        <v/>
      </c>
      <c r="BK84" s="641" t="str">
        <f>IFERROR(INDEX('CDS NBW'!$J$2:$J$39,MATCH(A84,'CDS NBW'!$A$2:$A$39,0)),"")</f>
        <v/>
      </c>
      <c r="BL84" s="609"/>
      <c r="BM84" s="609"/>
      <c r="BN84" s="609"/>
      <c r="BO84" s="609"/>
      <c r="BP84" s="609">
        <f>IFERROR(INDEX('UNICEF-BMZ'!$O$1:$O$199,MATCH('Matrix Allocations'!A84,'UNICEF-BMZ'!$B$1:$B$199,0)),"")</f>
        <v>1350000</v>
      </c>
      <c r="BQ84" s="609" t="str">
        <f>IFERROR(VLOOKUP(A84,'BMGF_clean data'!$A$4:$C$30,3,FALSE),"")</f>
        <v/>
      </c>
      <c r="BR84" s="609"/>
      <c r="BS84" s="609">
        <v>1110635</v>
      </c>
      <c r="BT84" s="609"/>
      <c r="BU84" s="609"/>
      <c r="BV84" s="609"/>
      <c r="BW84" s="87">
        <f>INDEX(USAID!$D$3:$D$151,MATCH('Matrix Allocations'!A84,USAID!$A$3:$A$151,0))</f>
        <v>0</v>
      </c>
      <c r="BX84" s="87" t="str">
        <f>IFERROR(INDEX(DFAT!$L$4:$L$21,MATCH('Matrix Allocations'!A84,DFAT!$B$4:$B$21,0)),"")</f>
        <v/>
      </c>
      <c r="BY84" s="87">
        <f>IFERROR(INDEX(Table14[Funds Channelled through UNICEF],MATCH('Matrix Allocations'!A84,Table14[ISO Code],0)),"")</f>
        <v>3501223</v>
      </c>
      <c r="BZ84" s="87">
        <f t="shared" si="34"/>
        <v>3501223</v>
      </c>
      <c r="CA84">
        <f t="shared" si="49"/>
        <v>20855724</v>
      </c>
      <c r="CB84" s="782">
        <f t="shared" si="42"/>
        <v>6256717.2000000002</v>
      </c>
      <c r="CC84" s="791">
        <f t="shared" si="37"/>
        <v>18527241</v>
      </c>
      <c r="CD84" s="788">
        <f t="shared" si="43"/>
        <v>2.9611760301392556</v>
      </c>
      <c r="CE84" s="788">
        <f t="shared" si="44"/>
        <v>2.2208820226044419</v>
      </c>
      <c r="CF84" s="828">
        <f t="shared" si="45"/>
        <v>1.2690754414882526</v>
      </c>
      <c r="CG84" s="828">
        <f t="shared" si="38"/>
        <v>0.88835280904177671</v>
      </c>
      <c r="CH84" s="88">
        <f t="shared" si="50"/>
        <v>8000000</v>
      </c>
      <c r="CI84" s="88">
        <f t="shared" si="39"/>
        <v>5136025</v>
      </c>
      <c r="CJ84" s="742">
        <f t="shared" si="51"/>
        <v>0</v>
      </c>
      <c r="CK84" s="848">
        <f t="shared" si="40"/>
        <v>7340037</v>
      </c>
      <c r="CL84" s="88">
        <f t="shared" si="41"/>
        <v>3588427</v>
      </c>
    </row>
    <row r="85" spans="1:90" ht="16" customHeight="1">
      <c r="A85" s="147" t="s">
        <v>633</v>
      </c>
      <c r="B85" s="147" t="s">
        <v>237</v>
      </c>
      <c r="C85" s="55" t="s">
        <v>126</v>
      </c>
      <c r="D85" s="55" t="s">
        <v>152</v>
      </c>
      <c r="E85" s="55" t="s">
        <v>145</v>
      </c>
      <c r="F85" s="56"/>
      <c r="G85" s="56" t="str">
        <f t="shared" si="52"/>
        <v>No</v>
      </c>
      <c r="H85" s="56" t="str">
        <f t="shared" si="52"/>
        <v>No</v>
      </c>
      <c r="I85" s="56" t="str">
        <f t="shared" si="46"/>
        <v>No</v>
      </c>
      <c r="J85" s="56" t="str">
        <f t="shared" si="47"/>
        <v>Yes</v>
      </c>
      <c r="K85" s="56" t="str">
        <f t="shared" si="48"/>
        <v>No</v>
      </c>
      <c r="L85" s="56" t="s">
        <v>541</v>
      </c>
      <c r="M85" s="55" t="s">
        <v>544</v>
      </c>
      <c r="N85" s="134" t="s">
        <v>544</v>
      </c>
      <c r="O85" s="55" t="s">
        <v>544</v>
      </c>
      <c r="P85" s="55"/>
      <c r="Q85" s="55"/>
      <c r="R85" s="55"/>
      <c r="S85" s="956">
        <v>16312106.556340856</v>
      </c>
      <c r="T85" s="55" t="s">
        <v>394</v>
      </c>
      <c r="U85" s="64" t="str">
        <f>IFERROR(IF(VLOOKUP(A85,'WB projects data'!$A$5:$C$83,3,0)="Approved",(VLOOKUP(A85,'WB projects data'!$A$5:$C$83,3,0)),""),"")</f>
        <v/>
      </c>
      <c r="V85" s="123" t="str">
        <f t="shared" si="35"/>
        <v/>
      </c>
      <c r="W85" s="123" t="str">
        <f>IFERROR((VLOOKUP($A85,'WB projects data'!$A$5:$J$83,6,0)*1000000),"")</f>
        <v/>
      </c>
      <c r="X85" s="123" t="str">
        <f>IFERROR((VLOOKUP($A85,'WB projects data'!$A$5:$J$83,7,0)*1000000),"")</f>
        <v/>
      </c>
      <c r="Y85" s="123" t="str">
        <f>IFERROR((VLOOKUP($A85,'WB projects data'!$A$5:$J$83,8,0)*1000000),"")</f>
        <v/>
      </c>
      <c r="Z85" s="123" t="str">
        <f>IFERROR((VLOOKUP($A85,'WB projects data'!$A$5:$J$83,9,0)*1000000),"")</f>
        <v/>
      </c>
      <c r="AA85" s="123" t="str">
        <f>IFERROR((VLOOKUP($A85,'WB projects data'!$A$5:$J$83,10,0)*1000000),"")</f>
        <v/>
      </c>
      <c r="AB85" s="55"/>
      <c r="AC85" s="110"/>
      <c r="AD85" s="110" t="str">
        <f>IFERROR(VLOOKUP(A85,'ADB Projects'!$A$4:$W$21,5,FALSE),"")</f>
        <v/>
      </c>
      <c r="AE85" s="132" t="str">
        <f>IF(AC85="Approved",(VLOOKUP($A85,'ADB Projects'!$A$5:$D$21,4,0)*1000000),"")</f>
        <v/>
      </c>
      <c r="AF85" s="585" t="str">
        <f>IF(AC85="Approved",(PRODUCT(VLOOKUP($A85,'ADB Projects'!$A$4:$W$21,6,FALSE),1000000)),"")</f>
        <v/>
      </c>
      <c r="AG85" s="585" t="str">
        <f>IF(AC85="Approved",(PRODUCT(VLOOKUP($A85,'ADB Projects'!$A$4:$W$21,7,FALSE),1000000)),"")</f>
        <v/>
      </c>
      <c r="AH85" s="585" t="str">
        <f>IF(AC85="Approved",(PRODUCT(VLOOKUP($A85,'ADB Projects'!$A$4:$W$21,8,FALSE),1000000)),"")</f>
        <v/>
      </c>
      <c r="AI85" s="55"/>
      <c r="AJ85" s="55"/>
      <c r="AK85" s="244"/>
      <c r="AL85" s="55" t="s">
        <v>541</v>
      </c>
      <c r="AM85" s="55"/>
      <c r="AN85" s="55"/>
      <c r="AO85" s="55"/>
      <c r="AP85" s="55"/>
      <c r="AQ85" s="602" t="str">
        <f t="shared" si="36"/>
        <v/>
      </c>
      <c r="AR85" s="602" t="str">
        <f>IFERROR(VLOOKUP($A85,'IDB C19 Vaccine Projects'!$O$4:$Q$12,2,FALSE),"")</f>
        <v/>
      </c>
      <c r="AS85" s="602" t="str">
        <f>IFERROR(VLOOKUP($A85,'IDB C19 Vaccine Projects'!$O$4:$Q$12,3,FALSE),"")</f>
        <v/>
      </c>
      <c r="AT85" s="55"/>
      <c r="AU85" s="88"/>
      <c r="AV85" s="55"/>
      <c r="AW85" s="55"/>
      <c r="AX85" s="88" t="str">
        <f>INDEX(USAID!$C$3:$C$151,MATCH('Matrix Allocations'!A85,USAID!$A$3:$A$151,0))</f>
        <v/>
      </c>
      <c r="AY85" s="110"/>
      <c r="AZ85" s="88" t="str">
        <f>IFERROR(INDEX('[4]Vx All regions allocations'!O$10:O$144,MATCH(A85,'[4]Vx All regions allocations'!A$10:A$144,0)),"")</f>
        <v/>
      </c>
      <c r="BA85" s="88">
        <v>63999.999999999993</v>
      </c>
      <c r="BB85" s="88">
        <v>65000</v>
      </c>
      <c r="BC85" s="88" t="str">
        <f>IFERROR(INDEX(DFAT!$K$4:$K$21,MATCH('Matrix Allocations'!A85,DFAT!$B$4:$B$21,0)),"")</f>
        <v/>
      </c>
      <c r="BD85" s="88"/>
      <c r="BE85" s="826" t="str">
        <f>IFERROR(IF(INDEX('GAVI CCE'!$E$3:$E$95,MATCH('Matrix Allocations'!A85,'GAVI CCE'!$A$3:$A$95,0))="Yes",INDEX('GAVI CCE'!$E$3:$E$95,MATCH('Matrix Allocations'!A85,'GAVI CCE'!$A$3:$A$95,0)),""),"")</f>
        <v/>
      </c>
      <c r="BF85" s="88" t="str">
        <f>IFERROR(IF(BE85="Yes",INDEX('GAVI CCE'!$F$3:$F$95,MATCH('Matrix Allocations'!A85,'GAVI CCE'!$A$3:$A$95,0)),""),"")</f>
        <v/>
      </c>
      <c r="BG85" s="609" t="str">
        <f>IFERROR(IF(E85='CDS early access ceilings'!$A$94,(VLOOKUP(A85,'CDS early access ceilings'!$A$2:$D$92,4,FALSE)),""),"")</f>
        <v/>
      </c>
      <c r="BH85" s="639" t="str">
        <f>IFERROR(INDEX(Table14[Status (clean)],MATCH('Matrix Allocations'!A85,Table14[ISO Code],0)),"")</f>
        <v/>
      </c>
      <c r="BI85" s="641" t="str">
        <f>IFERROR(INDEX(Table14[Amount disbursed (USD)],MATCH('Matrix Allocations'!A85,Table14[ISO Code],0)),"")</f>
        <v/>
      </c>
      <c r="BJ85" s="641" t="str">
        <f>IFERROR(INDEX('CDS NBW'!$I$2:$I$39,MATCH(A85,'CDS NBW'!$A$2:$A$39,0)),"")</f>
        <v/>
      </c>
      <c r="BK85" s="641" t="str">
        <f>IFERROR(INDEX('CDS NBW'!$J$2:$J$39,MATCH(A85,'CDS NBW'!$A$2:$A$39,0)),"")</f>
        <v/>
      </c>
      <c r="BL85" s="609"/>
      <c r="BM85" s="609"/>
      <c r="BN85" s="609"/>
      <c r="BO85" s="609"/>
      <c r="BP85" s="609" t="str">
        <f>IFERROR(INDEX('UNICEF-BMZ'!$O$1:$O$199,MATCH('Matrix Allocations'!A85,'UNICEF-BMZ'!$B$1:$B$199,0)),"")</f>
        <v/>
      </c>
      <c r="BQ85" s="609" t="str">
        <f>IFERROR(VLOOKUP(A85,'BMGF_clean data'!$A$4:$C$30,3,FALSE),"")</f>
        <v/>
      </c>
      <c r="BR85" s="609"/>
      <c r="BS85" s="609"/>
      <c r="BT85" s="609"/>
      <c r="BU85" s="609"/>
      <c r="BV85" s="609"/>
      <c r="BW85" s="87">
        <f>INDEX(USAID!$D$3:$D$151,MATCH('Matrix Allocations'!A85,USAID!$A$3:$A$151,0))</f>
        <v>0</v>
      </c>
      <c r="BX85" s="87" t="str">
        <f>IFERROR(INDEX(DFAT!$L$4:$L$21,MATCH('Matrix Allocations'!A85,DFAT!$B$4:$B$21,0)),"")</f>
        <v/>
      </c>
      <c r="BY85" s="87" t="str">
        <f>IFERROR(INDEX(Table14[Funds Channelled through UNICEF],MATCH('Matrix Allocations'!A85,Table14[ISO Code],0)),"")</f>
        <v/>
      </c>
      <c r="BZ85" s="87">
        <f t="shared" si="34"/>
        <v>0</v>
      </c>
      <c r="CA85">
        <f t="shared" si="49"/>
        <v>58413</v>
      </c>
      <c r="CB85" s="782">
        <f t="shared" si="42"/>
        <v>17523.899999999998</v>
      </c>
      <c r="CC85" s="791">
        <f t="shared" si="37"/>
        <v>129000</v>
      </c>
      <c r="CD85" s="788">
        <f t="shared" si="43"/>
        <v>7.361375036378889</v>
      </c>
      <c r="CE85" s="788">
        <f t="shared" si="44"/>
        <v>5.5210312772841661</v>
      </c>
      <c r="CF85" s="828">
        <f t="shared" si="45"/>
        <v>3.1548750155909522</v>
      </c>
      <c r="CG85" s="828">
        <f t="shared" si="38"/>
        <v>2.2084125109136665</v>
      </c>
      <c r="CH85" s="88">
        <f t="shared" si="50"/>
        <v>0</v>
      </c>
      <c r="CI85" s="88">
        <f t="shared" si="39"/>
        <v>0</v>
      </c>
      <c r="CJ85" s="742">
        <f t="shared" si="51"/>
        <v>0</v>
      </c>
      <c r="CK85" s="848">
        <f t="shared" si="40"/>
        <v>0</v>
      </c>
      <c r="CL85" s="88">
        <f t="shared" si="41"/>
        <v>129000</v>
      </c>
    </row>
    <row r="86" spans="1:90" ht="16" customHeight="1">
      <c r="A86" s="55" t="s">
        <v>634</v>
      </c>
      <c r="B86" s="55" t="s">
        <v>238</v>
      </c>
      <c r="C86" s="55" t="s">
        <v>129</v>
      </c>
      <c r="D86" s="55" t="s">
        <v>150</v>
      </c>
      <c r="E86" s="55" t="s">
        <v>145</v>
      </c>
      <c r="F86" s="56">
        <v>2</v>
      </c>
      <c r="G86" s="56" t="str">
        <f t="shared" si="52"/>
        <v>No</v>
      </c>
      <c r="H86" s="56" t="str">
        <f t="shared" si="52"/>
        <v>No</v>
      </c>
      <c r="I86" s="56" t="str">
        <f t="shared" si="46"/>
        <v>No</v>
      </c>
      <c r="J86" s="56" t="str">
        <f t="shared" si="47"/>
        <v>Yes</v>
      </c>
      <c r="K86" s="56" t="str">
        <f t="shared" si="48"/>
        <v>No</v>
      </c>
      <c r="L86" s="56" t="s">
        <v>541</v>
      </c>
      <c r="M86" s="55" t="s">
        <v>544</v>
      </c>
      <c r="N86" s="134" t="s">
        <v>541</v>
      </c>
      <c r="O86" s="55" t="s">
        <v>541</v>
      </c>
      <c r="P86" s="55" t="s">
        <v>542</v>
      </c>
      <c r="Q86" s="55"/>
      <c r="R86" s="55"/>
      <c r="S86" s="956">
        <v>86083833.534053758</v>
      </c>
      <c r="T86" s="55" t="s">
        <v>394</v>
      </c>
      <c r="U86" s="64" t="str">
        <f>IFERROR(IF(VLOOKUP(A86,'WB projects data'!$A$5:$C$83,3,0)="Approved",(VLOOKUP(A86,'WB projects data'!$A$5:$C$83,3,0)),""),"")</f>
        <v>Approved</v>
      </c>
      <c r="V86" s="123">
        <f t="shared" si="35"/>
        <v>35000000</v>
      </c>
      <c r="W86" s="123">
        <f>IFERROR((VLOOKUP($A86,'WB projects data'!$A$5:$J$83,6,0)*1000000),"")</f>
        <v>0</v>
      </c>
      <c r="X86" s="123">
        <f>IFERROR((VLOOKUP($A86,'WB projects data'!$A$5:$J$83,7,0)*1000000),"")</f>
        <v>35000000</v>
      </c>
      <c r="Y86" s="123">
        <f>IFERROR((VLOOKUP($A86,'WB projects data'!$A$5:$J$83,8,0)*1000000),"")</f>
        <v>11200000</v>
      </c>
      <c r="Z86" s="123">
        <f>IFERROR((VLOOKUP($A86,'WB projects data'!$A$5:$J$83,9,0)*1000000),"")</f>
        <v>16399999.999999998</v>
      </c>
      <c r="AA86" s="123">
        <f>IFERROR((VLOOKUP($A86,'WB projects data'!$A$5:$J$83,10,0)*1000000),"")</f>
        <v>6900000</v>
      </c>
      <c r="AB86" s="55"/>
      <c r="AC86" s="110"/>
      <c r="AD86" s="110" t="str">
        <f>IFERROR(VLOOKUP(A86,'ADB Projects'!$A$4:$W$21,5,FALSE),"")</f>
        <v/>
      </c>
      <c r="AE86" s="132" t="str">
        <f>IF(AC86="Approved",(VLOOKUP($A86,'ADB Projects'!$A$5:$D$21,4,0)*1000000),"")</f>
        <v/>
      </c>
      <c r="AF86" s="585" t="str">
        <f>IF(AC86="Approved",(PRODUCT(VLOOKUP($A86,'ADB Projects'!$A$4:$W$21,6,FALSE),1000000)),"")</f>
        <v/>
      </c>
      <c r="AG86" s="585" t="str">
        <f>IF(AC86="Approved",(PRODUCT(VLOOKUP($A86,'ADB Projects'!$A$4:$W$21,7,FALSE),1000000)),"")</f>
        <v/>
      </c>
      <c r="AH86" s="585" t="str">
        <f>IF(AC86="Approved",(PRODUCT(VLOOKUP($A86,'ADB Projects'!$A$4:$W$21,8,FALSE),1000000)),"")</f>
        <v/>
      </c>
      <c r="AI86" s="55"/>
      <c r="AJ86" s="55"/>
      <c r="AK86" s="244"/>
      <c r="AL86" s="55" t="s">
        <v>541</v>
      </c>
      <c r="AM86" s="55"/>
      <c r="AN86" s="55"/>
      <c r="AO86" s="55"/>
      <c r="AP86" s="55"/>
      <c r="AQ86" s="602" t="str">
        <f t="shared" si="36"/>
        <v/>
      </c>
      <c r="AR86" s="602" t="str">
        <f>IFERROR(VLOOKUP($A86,'IDB C19 Vaccine Projects'!$O$4:$Q$12,2,FALSE),"")</f>
        <v/>
      </c>
      <c r="AS86" s="602" t="str">
        <f>IFERROR(VLOOKUP($A86,'IDB C19 Vaccine Projects'!$O$4:$Q$12,3,FALSE),"")</f>
        <v/>
      </c>
      <c r="AT86" s="55"/>
      <c r="AU86" s="88"/>
      <c r="AV86" s="55"/>
      <c r="AW86" s="55" t="s">
        <v>541</v>
      </c>
      <c r="AX86" s="88">
        <f>INDEX(USAID!$C$3:$C$151,MATCH('Matrix Allocations'!A86,USAID!$A$3:$A$151,0))</f>
        <v>862839</v>
      </c>
      <c r="AY86" s="110">
        <v>826642</v>
      </c>
      <c r="AZ86" s="88">
        <f>IFERROR(INDEX('[4]Vx All regions allocations'!O$10:O$144,MATCH(A86,'[4]Vx All regions allocations'!A$10:A$144,0)),"")</f>
        <v>535076</v>
      </c>
      <c r="BA86" s="88">
        <v>135300</v>
      </c>
      <c r="BB86" s="88">
        <v>194913.52</v>
      </c>
      <c r="BC86" s="88" t="str">
        <f>IFERROR(INDEX(DFAT!$K$4:$K$21,MATCH('Matrix Allocations'!A86,DFAT!$B$4:$B$21,0)),"")</f>
        <v/>
      </c>
      <c r="BD86" s="88"/>
      <c r="BE86" s="826" t="str">
        <f>IFERROR(IF(INDEX('GAVI CCE'!$E$3:$E$95,MATCH('Matrix Allocations'!A86,'GAVI CCE'!$A$3:$A$95,0))="Yes",INDEX('GAVI CCE'!$E$3:$E$95,MATCH('Matrix Allocations'!A86,'GAVI CCE'!$A$3:$A$95,0)),""),"")</f>
        <v>Yes</v>
      </c>
      <c r="BF86" s="88">
        <f>IFERROR(IF(BE86="Yes",INDEX('GAVI CCE'!$F$3:$F$95,MATCH('Matrix Allocations'!A86,'GAVI CCE'!$A$3:$A$95,0)),""),"")</f>
        <v>180361</v>
      </c>
      <c r="BG86" s="609" t="str">
        <f>IFERROR(IF(E86='CDS early access ceilings'!$A$94,(VLOOKUP(A86,'CDS early access ceilings'!$A$2:$D$92,4,FALSE)),""),"")</f>
        <v>GAVI</v>
      </c>
      <c r="BH86" s="639" t="str">
        <f>IFERROR(INDEX(Table14[Status (clean)],MATCH('Matrix Allocations'!A86,Table14[ISO Code],0)),"")</f>
        <v>Disbursed</v>
      </c>
      <c r="BI86" s="641">
        <f>IFERROR(INDEX(Table14[Amount disbursed (USD)],MATCH('Matrix Allocations'!A86,Table14[ISO Code],0)),"")</f>
        <v>978364</v>
      </c>
      <c r="BJ86" s="641" t="str">
        <f>IFERROR(INDEX('CDS NBW'!$I$2:$I$39,MATCH(A86,'CDS NBW'!$A$2:$A$39,0)),"")</f>
        <v>Submitted</v>
      </c>
      <c r="BK86" s="641" t="str">
        <f>IFERROR(INDEX('CDS NBW'!$J$2:$J$39,MATCH(A86,'CDS NBW'!$A$2:$A$39,0)),"")</f>
        <v/>
      </c>
      <c r="BL86" s="609"/>
      <c r="BM86" s="609"/>
      <c r="BN86" s="609"/>
      <c r="BO86" s="609"/>
      <c r="BP86" s="609">
        <f>IFERROR(INDEX('UNICEF-BMZ'!$O$1:$O$199,MATCH('Matrix Allocations'!A86,'UNICEF-BMZ'!$B$1:$B$199,0)),"")</f>
        <v>175000</v>
      </c>
      <c r="BQ86" s="609" t="str">
        <f>IFERROR(VLOOKUP(A86,'BMGF_clean data'!$A$4:$C$30,3,FALSE),"")</f>
        <v/>
      </c>
      <c r="BR86" s="609"/>
      <c r="BS86" s="609"/>
      <c r="BT86" s="609"/>
      <c r="BU86" s="609"/>
      <c r="BV86" s="609"/>
      <c r="BW86" s="87">
        <f>INDEX(USAID!$D$3:$D$151,MATCH('Matrix Allocations'!A86,USAID!$A$3:$A$151,0))</f>
        <v>862839</v>
      </c>
      <c r="BX86" s="87" t="str">
        <f>IFERROR(INDEX(DFAT!$L$4:$L$21,MATCH('Matrix Allocations'!A86,DFAT!$B$4:$B$21,0)),"")</f>
        <v/>
      </c>
      <c r="BY86" s="87">
        <f>IFERROR(INDEX(Table14[Funds Channelled through UNICEF],MATCH('Matrix Allocations'!A86,Table14[ISO Code],0)),"")</f>
        <v>0</v>
      </c>
      <c r="BZ86" s="87">
        <f t="shared" si="34"/>
        <v>0</v>
      </c>
      <c r="CA86">
        <f t="shared" si="49"/>
        <v>4775110</v>
      </c>
      <c r="CB86" s="782">
        <f t="shared" si="42"/>
        <v>1432533</v>
      </c>
      <c r="CC86" s="791">
        <f t="shared" si="37"/>
        <v>20288495.52</v>
      </c>
      <c r="CD86" s="788">
        <f t="shared" si="43"/>
        <v>14.162672357286009</v>
      </c>
      <c r="CE86" s="788">
        <f t="shared" si="44"/>
        <v>10.622004267964508</v>
      </c>
      <c r="CF86" s="828">
        <f t="shared" si="45"/>
        <v>6.0697167245511467</v>
      </c>
      <c r="CG86" s="828">
        <f t="shared" si="38"/>
        <v>4.2488017071858026</v>
      </c>
      <c r="CH86" s="88">
        <f t="shared" si="50"/>
        <v>16399999.999999998</v>
      </c>
      <c r="CI86" s="88">
        <f t="shared" si="39"/>
        <v>1689481</v>
      </c>
      <c r="CJ86" s="742">
        <f t="shared" si="51"/>
        <v>0</v>
      </c>
      <c r="CK86" s="848">
        <f t="shared" si="40"/>
        <v>2224557</v>
      </c>
      <c r="CL86" s="88">
        <f t="shared" si="41"/>
        <v>1663938.52</v>
      </c>
    </row>
    <row r="87" spans="1:90" ht="16" customHeight="1">
      <c r="A87" s="55" t="s">
        <v>635</v>
      </c>
      <c r="B87" s="55" t="s">
        <v>239</v>
      </c>
      <c r="C87" s="55" t="s">
        <v>128</v>
      </c>
      <c r="D87" s="55" t="s">
        <v>152</v>
      </c>
      <c r="E87" s="55" t="s">
        <v>146</v>
      </c>
      <c r="F87" s="56"/>
      <c r="G87" s="56" t="str">
        <f t="shared" si="52"/>
        <v>Yes</v>
      </c>
      <c r="H87" s="56" t="str">
        <f t="shared" si="52"/>
        <v>Yes</v>
      </c>
      <c r="I87" s="56" t="str">
        <f t="shared" si="46"/>
        <v>No</v>
      </c>
      <c r="J87" s="56" t="str">
        <f t="shared" si="47"/>
        <v>No</v>
      </c>
      <c r="K87" s="56" t="str">
        <f t="shared" si="48"/>
        <v>Yes</v>
      </c>
      <c r="L87" s="56" t="s">
        <v>541</v>
      </c>
      <c r="M87" s="55" t="s">
        <v>544</v>
      </c>
      <c r="N87" s="134" t="s">
        <v>544</v>
      </c>
      <c r="O87" s="55" t="s">
        <v>544</v>
      </c>
      <c r="P87" s="55" t="s">
        <v>546</v>
      </c>
      <c r="Q87" s="55"/>
      <c r="R87" s="55"/>
      <c r="S87" s="956">
        <v>357220835.93762809</v>
      </c>
      <c r="T87" s="55" t="s">
        <v>395</v>
      </c>
      <c r="U87" s="64" t="str">
        <f>IFERROR(IF(VLOOKUP(A87,'WB projects data'!$A$5:$C$83,3,0)="Approved",(VLOOKUP(A87,'WB projects data'!$A$5:$C$83,3,0)),""),"")</f>
        <v/>
      </c>
      <c r="V87" s="123">
        <f t="shared" si="35"/>
        <v>0</v>
      </c>
      <c r="W87" s="123">
        <f>IFERROR((VLOOKUP($A87,'WB projects data'!$A$5:$J$83,6,0)*1000000),"")</f>
        <v>0</v>
      </c>
      <c r="X87" s="123">
        <f>IFERROR((VLOOKUP($A87,'WB projects data'!$A$5:$J$83,7,0)*1000000),"")</f>
        <v>0</v>
      </c>
      <c r="Y87" s="123">
        <f>IFERROR((VLOOKUP($A87,'WB projects data'!$A$5:$J$83,8,0)*1000000),"")</f>
        <v>0</v>
      </c>
      <c r="Z87" s="123">
        <f>IFERROR((VLOOKUP($A87,'WB projects data'!$A$5:$J$83,9,0)*1000000),"")</f>
        <v>0</v>
      </c>
      <c r="AA87" s="123">
        <f>IFERROR((VLOOKUP($A87,'WB projects data'!$A$5:$J$83,10,0)*1000000),"")</f>
        <v>0</v>
      </c>
      <c r="AB87" s="55"/>
      <c r="AC87" s="110"/>
      <c r="AD87" s="110" t="str">
        <f>IFERROR(VLOOKUP(A87,'ADB Projects'!$A$4:$W$21,5,FALSE),"")</f>
        <v/>
      </c>
      <c r="AE87" s="132" t="str">
        <f>IF(AC87="Approved",(VLOOKUP($A87,'ADB Projects'!$A$5:$D$21,4,0)*1000000),"")</f>
        <v/>
      </c>
      <c r="AF87" s="585" t="str">
        <f>IF(AC87="Approved",(PRODUCT(VLOOKUP($A87,'ADB Projects'!$A$4:$W$21,6,FALSE),1000000)),"")</f>
        <v/>
      </c>
      <c r="AG87" s="585" t="str">
        <f>IF(AC87="Approved",(PRODUCT(VLOOKUP($A87,'ADB Projects'!$A$4:$W$21,7,FALSE),1000000)),"")</f>
        <v/>
      </c>
      <c r="AH87" s="585" t="str">
        <f>IF(AC87="Approved",(PRODUCT(VLOOKUP($A87,'ADB Projects'!$A$4:$W$21,8,FALSE),1000000)),"")</f>
        <v/>
      </c>
      <c r="AI87" s="55"/>
      <c r="AJ87" s="55"/>
      <c r="AK87" s="244"/>
      <c r="AL87" s="55"/>
      <c r="AM87" s="55"/>
      <c r="AN87" s="55"/>
      <c r="AO87" s="55"/>
      <c r="AP87" s="55"/>
      <c r="AQ87" s="602" t="str">
        <f t="shared" si="36"/>
        <v/>
      </c>
      <c r="AR87" s="602" t="str">
        <f>IFERROR(VLOOKUP($A87,'IDB C19 Vaccine Projects'!$O$4:$Q$12,2,FALSE),"")</f>
        <v/>
      </c>
      <c r="AS87" s="602" t="str">
        <f>IFERROR(VLOOKUP($A87,'IDB C19 Vaccine Projects'!$O$4:$Q$12,3,FALSE),"")</f>
        <v/>
      </c>
      <c r="AT87" s="55"/>
      <c r="AU87" s="88"/>
      <c r="AV87" s="55"/>
      <c r="AW87" s="55"/>
      <c r="AX87" s="88">
        <f>INDEX(USAID!$C$3:$C$151,MATCH('Matrix Allocations'!A87,USAID!$A$3:$A$151,0))</f>
        <v>250000</v>
      </c>
      <c r="AY87" s="110"/>
      <c r="AZ87" s="88" t="str">
        <f>IFERROR(INDEX('[4]Vx All regions allocations'!O$10:O$144,MATCH(A87,'[4]Vx All regions allocations'!A$10:A$144,0)),"")</f>
        <v/>
      </c>
      <c r="BA87" s="88">
        <v>0</v>
      </c>
      <c r="BB87" s="88">
        <v>0</v>
      </c>
      <c r="BC87" s="88" t="str">
        <f>IFERROR(INDEX(DFAT!$K$4:$K$21,MATCH('Matrix Allocations'!A87,DFAT!$B$4:$B$21,0)),"")</f>
        <v/>
      </c>
      <c r="BD87" s="88"/>
      <c r="BE87" s="826" t="str">
        <f>IFERROR(IF(INDEX('GAVI CCE'!$E$3:$E$95,MATCH('Matrix Allocations'!A87,'GAVI CCE'!$A$3:$A$95,0))="Yes",INDEX('GAVI CCE'!$E$3:$E$95,MATCH('Matrix Allocations'!A87,'GAVI CCE'!$A$3:$A$95,0)),""),"")</f>
        <v/>
      </c>
      <c r="BF87" s="88" t="str">
        <f>IFERROR(IF(BE87="Yes",INDEX('GAVI CCE'!$F$3:$F$95,MATCH('Matrix Allocations'!A87,'GAVI CCE'!$A$3:$A$95,0)),""),"")</f>
        <v/>
      </c>
      <c r="BG87" s="609" t="str">
        <f>IFERROR(IF(E87='CDS early access ceilings'!$A$94,(VLOOKUP(A87,'CDS early access ceilings'!$A$2:$D$92,4,FALSE)),""),"")</f>
        <v/>
      </c>
      <c r="BH87" s="639" t="str">
        <f>IFERROR(INDEX(Table14[Status (clean)],MATCH('Matrix Allocations'!A87,Table14[ISO Code],0)),"")</f>
        <v/>
      </c>
      <c r="BI87" s="641" t="str">
        <f>IFERROR(INDEX(Table14[Amount disbursed (USD)],MATCH('Matrix Allocations'!A87,Table14[ISO Code],0)),"")</f>
        <v/>
      </c>
      <c r="BJ87" s="641" t="str">
        <f>IFERROR(INDEX('CDS NBW'!$I$2:$I$39,MATCH(A87,'CDS NBW'!$A$2:$A$39,0)),"")</f>
        <v/>
      </c>
      <c r="BK87" s="641" t="str">
        <f>IFERROR(INDEX('CDS NBW'!$J$2:$J$39,MATCH(A87,'CDS NBW'!$A$2:$A$39,0)),"")</f>
        <v/>
      </c>
      <c r="BL87" s="609"/>
      <c r="BM87" s="609"/>
      <c r="BN87" s="609"/>
      <c r="BO87" s="609"/>
      <c r="BP87" s="609" t="str">
        <f>IFERROR(INDEX('UNICEF-BMZ'!$O$1:$O$199,MATCH('Matrix Allocations'!A87,'UNICEF-BMZ'!$B$1:$B$199,0)),"")</f>
        <v/>
      </c>
      <c r="BQ87" s="609" t="str">
        <f>IFERROR(VLOOKUP(A87,'BMGF_clean data'!$A$4:$C$30,3,FALSE),"")</f>
        <v/>
      </c>
      <c r="BR87" s="609"/>
      <c r="BS87" s="609"/>
      <c r="BT87" s="609"/>
      <c r="BU87" s="609"/>
      <c r="BV87" s="609"/>
      <c r="BW87" s="87">
        <f>INDEX(USAID!$D$3:$D$151,MATCH('Matrix Allocations'!A87,USAID!$A$3:$A$151,0))</f>
        <v>0</v>
      </c>
      <c r="BX87" s="87" t="str">
        <f>IFERROR(INDEX(DFAT!$L$4:$L$21,MATCH('Matrix Allocations'!A87,DFAT!$B$4:$B$21,0)),"")</f>
        <v/>
      </c>
      <c r="BY87" s="87" t="str">
        <f>IFERROR(INDEX(Table14[Funds Channelled through UNICEF],MATCH('Matrix Allocations'!A87,Table14[ISO Code],0)),"")</f>
        <v/>
      </c>
      <c r="BZ87" s="87">
        <f t="shared" si="34"/>
        <v>0</v>
      </c>
      <c r="CA87">
        <f t="shared" si="49"/>
        <v>1273428</v>
      </c>
      <c r="CB87" s="782">
        <f t="shared" si="42"/>
        <v>382028.39999999997</v>
      </c>
      <c r="CC87" s="791">
        <f t="shared" si="37"/>
        <v>250000</v>
      </c>
      <c r="CD87" s="788">
        <f t="shared" si="43"/>
        <v>0.65440160993266472</v>
      </c>
      <c r="CE87" s="788">
        <f t="shared" si="44"/>
        <v>0.49080120744949851</v>
      </c>
      <c r="CF87" s="828">
        <f t="shared" si="45"/>
        <v>0.28045783282828485</v>
      </c>
      <c r="CG87" s="828">
        <f t="shared" si="38"/>
        <v>0.1963204829797994</v>
      </c>
      <c r="CH87" s="88">
        <f t="shared" si="50"/>
        <v>0</v>
      </c>
      <c r="CI87" s="88">
        <f t="shared" si="39"/>
        <v>250000</v>
      </c>
      <c r="CJ87" s="742">
        <f t="shared" si="51"/>
        <v>0</v>
      </c>
      <c r="CK87" s="848">
        <f t="shared" si="40"/>
        <v>0</v>
      </c>
      <c r="CL87" s="88">
        <f t="shared" si="41"/>
        <v>0</v>
      </c>
    </row>
    <row r="88" spans="1:90" ht="16" customHeight="1">
      <c r="A88" s="147" t="s">
        <v>636</v>
      </c>
      <c r="B88" s="147" t="s">
        <v>240</v>
      </c>
      <c r="C88" s="55" t="s">
        <v>130</v>
      </c>
      <c r="D88" s="55" t="s">
        <v>152</v>
      </c>
      <c r="E88" s="55" t="s">
        <v>146</v>
      </c>
      <c r="F88" s="56"/>
      <c r="G88" s="56" t="str">
        <f t="shared" si="52"/>
        <v>Yes</v>
      </c>
      <c r="H88" s="56" t="str">
        <f t="shared" si="52"/>
        <v>Yes</v>
      </c>
      <c r="I88" s="56" t="str">
        <f t="shared" si="46"/>
        <v>No</v>
      </c>
      <c r="J88" s="56" t="str">
        <f t="shared" si="47"/>
        <v>No</v>
      </c>
      <c r="K88" s="56" t="str">
        <f t="shared" si="48"/>
        <v>Yes</v>
      </c>
      <c r="L88" s="56" t="s">
        <v>541</v>
      </c>
      <c r="M88" s="55" t="s">
        <v>544</v>
      </c>
      <c r="N88" s="134" t="s">
        <v>544</v>
      </c>
      <c r="O88" s="55" t="s">
        <v>544</v>
      </c>
      <c r="P88" s="55"/>
      <c r="Q88" s="55"/>
      <c r="R88" s="55"/>
      <c r="S88" s="956">
        <v>32831598153.796387</v>
      </c>
      <c r="T88" s="55" t="s">
        <v>395</v>
      </c>
      <c r="U88" s="64" t="str">
        <f>IFERROR(IF(VLOOKUP(A88,'WB projects data'!$A$5:$C$83,3,0)="Approved",(VLOOKUP(A88,'WB projects data'!$A$5:$C$83,3,0)),""),"")</f>
        <v/>
      </c>
      <c r="V88" s="123" t="str">
        <f t="shared" si="35"/>
        <v/>
      </c>
      <c r="W88" s="123" t="str">
        <f>IFERROR((VLOOKUP($A88,'WB projects data'!$A$5:$J$83,6,0)*1000000),"")</f>
        <v/>
      </c>
      <c r="X88" s="123" t="str">
        <f>IFERROR((VLOOKUP($A88,'WB projects data'!$A$5:$J$83,7,0)*1000000),"")</f>
        <v/>
      </c>
      <c r="Y88" s="123" t="str">
        <f>IFERROR((VLOOKUP($A88,'WB projects data'!$A$5:$J$83,8,0)*1000000),"")</f>
        <v/>
      </c>
      <c r="Z88" s="123" t="str">
        <f>IFERROR((VLOOKUP($A88,'WB projects data'!$A$5:$J$83,9,0)*1000000),"")</f>
        <v/>
      </c>
      <c r="AA88" s="123" t="str">
        <f>IFERROR((VLOOKUP($A88,'WB projects data'!$A$5:$J$83,10,0)*1000000),"")</f>
        <v/>
      </c>
      <c r="AB88" s="55"/>
      <c r="AC88" s="110"/>
      <c r="AD88" s="110" t="str">
        <f>IFERROR(VLOOKUP(A88,'ADB Projects'!$A$4:$W$21,5,FALSE),"")</f>
        <v/>
      </c>
      <c r="AE88" s="132" t="str">
        <f>IF(AC88="Approved",(VLOOKUP($A88,'ADB Projects'!$A$5:$D$21,4,0)*1000000),"")</f>
        <v/>
      </c>
      <c r="AF88" s="585" t="str">
        <f>IF(AC88="Approved",(PRODUCT(VLOOKUP($A88,'ADB Projects'!$A$4:$W$21,6,FALSE),1000000)),"")</f>
        <v/>
      </c>
      <c r="AG88" s="585" t="str">
        <f>IF(AC88="Approved",(PRODUCT(VLOOKUP($A88,'ADB Projects'!$A$4:$W$21,7,FALSE),1000000)),"")</f>
        <v/>
      </c>
      <c r="AH88" s="585" t="str">
        <f>IF(AC88="Approved",(PRODUCT(VLOOKUP($A88,'ADB Projects'!$A$4:$W$21,8,FALSE),1000000)),"")</f>
        <v/>
      </c>
      <c r="AI88" s="55" t="s">
        <v>541</v>
      </c>
      <c r="AJ88" s="55"/>
      <c r="AK88" s="244"/>
      <c r="AL88" s="55"/>
      <c r="AM88" s="55"/>
      <c r="AN88" s="55"/>
      <c r="AO88" s="55" t="s">
        <v>541</v>
      </c>
      <c r="AP88" s="55"/>
      <c r="AQ88" s="602" t="str">
        <f t="shared" si="36"/>
        <v/>
      </c>
      <c r="AR88" s="602" t="str">
        <f>IFERROR(VLOOKUP($A88,'IDB C19 Vaccine Projects'!$O$4:$Q$12,2,FALSE),"")</f>
        <v/>
      </c>
      <c r="AS88" s="602" t="str">
        <f>IFERROR(VLOOKUP($A88,'IDB C19 Vaccine Projects'!$O$4:$Q$12,3,FALSE),"")</f>
        <v/>
      </c>
      <c r="AT88" s="55"/>
      <c r="AU88" s="88"/>
      <c r="AV88" s="55"/>
      <c r="AW88" s="55"/>
      <c r="AX88" s="88" t="str">
        <f>INDEX(USAID!$C$3:$C$151,MATCH('Matrix Allocations'!A88,USAID!$A$3:$A$151,0))</f>
        <v/>
      </c>
      <c r="AY88" s="110"/>
      <c r="AZ88" s="88">
        <f>IFERROR(INDEX('[4]Vx All regions allocations'!O$10:O$144,MATCH(A88,'[4]Vx All regions allocations'!A$10:A$144,0)),"")</f>
        <v>0</v>
      </c>
      <c r="BA88" s="88">
        <v>0</v>
      </c>
      <c r="BB88" s="88">
        <v>0</v>
      </c>
      <c r="BC88" s="88" t="str">
        <f>IFERROR(INDEX(DFAT!$K$4:$K$21,MATCH('Matrix Allocations'!A88,DFAT!$B$4:$B$21,0)),"")</f>
        <v/>
      </c>
      <c r="BD88" s="88"/>
      <c r="BE88" s="826" t="str">
        <f>IFERROR(IF(INDEX('GAVI CCE'!$E$3:$E$95,MATCH('Matrix Allocations'!A88,'GAVI CCE'!$A$3:$A$95,0))="Yes",INDEX('GAVI CCE'!$E$3:$E$95,MATCH('Matrix Allocations'!A88,'GAVI CCE'!$A$3:$A$95,0)),""),"")</f>
        <v/>
      </c>
      <c r="BF88" s="88" t="str">
        <f>IFERROR(IF(BE88="Yes",INDEX('GAVI CCE'!$F$3:$F$95,MATCH('Matrix Allocations'!A88,'GAVI CCE'!$A$3:$A$95,0)),""),"")</f>
        <v/>
      </c>
      <c r="BG88" s="609" t="str">
        <f>IFERROR(IF(E88='CDS early access ceilings'!$A$94,(VLOOKUP(A88,'CDS early access ceilings'!$A$2:$D$92,4,FALSE)),""),"")</f>
        <v/>
      </c>
      <c r="BH88" s="639" t="str">
        <f>IFERROR(INDEX(Table14[Status (clean)],MATCH('Matrix Allocations'!A88,Table14[ISO Code],0)),"")</f>
        <v/>
      </c>
      <c r="BI88" s="641" t="str">
        <f>IFERROR(INDEX(Table14[Amount disbursed (USD)],MATCH('Matrix Allocations'!A88,Table14[ISO Code],0)),"")</f>
        <v/>
      </c>
      <c r="BJ88" s="641" t="str">
        <f>IFERROR(INDEX('CDS NBW'!$I$2:$I$39,MATCH(A88,'CDS NBW'!$A$2:$A$39,0)),"")</f>
        <v/>
      </c>
      <c r="BK88" s="641" t="str">
        <f>IFERROR(INDEX('CDS NBW'!$J$2:$J$39,MATCH(A88,'CDS NBW'!$A$2:$A$39,0)),"")</f>
        <v/>
      </c>
      <c r="BL88" s="609"/>
      <c r="BM88" s="609"/>
      <c r="BN88" s="609"/>
      <c r="BO88" s="609"/>
      <c r="BP88" s="609">
        <f>IFERROR(INDEX('UNICEF-BMZ'!$O$1:$O$199,MATCH('Matrix Allocations'!A88,'UNICEF-BMZ'!$B$1:$B$199,0)),"")</f>
        <v>0</v>
      </c>
      <c r="BQ88" s="609" t="str">
        <f>IFERROR(VLOOKUP(A88,'BMGF_clean data'!$A$4:$C$30,3,FALSE),"")</f>
        <v/>
      </c>
      <c r="BR88" s="609"/>
      <c r="BS88" s="609"/>
      <c r="BT88" s="609"/>
      <c r="BU88" s="609"/>
      <c r="BV88" s="609"/>
      <c r="BW88" s="87">
        <f>INDEX(USAID!$D$3:$D$151,MATCH('Matrix Allocations'!A88,USAID!$A$3:$A$151,0))</f>
        <v>0</v>
      </c>
      <c r="BX88" s="87" t="str">
        <f>IFERROR(INDEX(DFAT!$L$4:$L$21,MATCH('Matrix Allocations'!A88,DFAT!$B$4:$B$21,0)),"")</f>
        <v/>
      </c>
      <c r="BY88" s="87" t="str">
        <f>IFERROR(INDEX(Table14[Funds Channelled through UNICEF],MATCH('Matrix Allocations'!A88,Table14[ISO Code],0)),"")</f>
        <v/>
      </c>
      <c r="BZ88" s="87">
        <f t="shared" si="34"/>
        <v>0</v>
      </c>
      <c r="CA88">
        <f t="shared" si="49"/>
        <v>130262220</v>
      </c>
      <c r="CB88" s="782">
        <f t="shared" si="42"/>
        <v>39078666</v>
      </c>
      <c r="CC88" s="791">
        <f t="shared" si="37"/>
        <v>0</v>
      </c>
      <c r="CD88" s="788">
        <f t="shared" si="43"/>
        <v>0</v>
      </c>
      <c r="CE88" s="788">
        <f t="shared" si="44"/>
        <v>0</v>
      </c>
      <c r="CF88" s="828">
        <f t="shared" si="45"/>
        <v>0</v>
      </c>
      <c r="CG88" s="828">
        <f t="shared" si="38"/>
        <v>0</v>
      </c>
      <c r="CH88" s="88">
        <f t="shared" si="50"/>
        <v>0</v>
      </c>
      <c r="CI88" s="88">
        <f t="shared" si="39"/>
        <v>0</v>
      </c>
      <c r="CJ88" s="742">
        <f t="shared" si="51"/>
        <v>0</v>
      </c>
      <c r="CK88" s="848">
        <f t="shared" si="40"/>
        <v>0</v>
      </c>
      <c r="CL88" s="88">
        <f t="shared" si="41"/>
        <v>0</v>
      </c>
    </row>
    <row r="89" spans="1:90" ht="16" customHeight="1">
      <c r="A89" s="55" t="s">
        <v>637</v>
      </c>
      <c r="B89" s="55" t="s">
        <v>241</v>
      </c>
      <c r="C89" s="55" t="s">
        <v>126</v>
      </c>
      <c r="D89" s="55" t="s">
        <v>150</v>
      </c>
      <c r="E89" s="55" t="s">
        <v>145</v>
      </c>
      <c r="F89" s="56"/>
      <c r="G89" s="56" t="str">
        <f t="shared" si="52"/>
        <v>No</v>
      </c>
      <c r="H89" s="56" t="str">
        <f t="shared" si="52"/>
        <v>No</v>
      </c>
      <c r="I89" s="56" t="str">
        <f t="shared" si="46"/>
        <v>No</v>
      </c>
      <c r="J89" s="56" t="str">
        <f t="shared" si="47"/>
        <v>Yes</v>
      </c>
      <c r="K89" s="56" t="str">
        <f t="shared" si="48"/>
        <v>No</v>
      </c>
      <c r="L89" s="56" t="s">
        <v>541</v>
      </c>
      <c r="M89" s="55" t="s">
        <v>544</v>
      </c>
      <c r="N89" s="134" t="s">
        <v>541</v>
      </c>
      <c r="O89" s="55" t="s">
        <v>544</v>
      </c>
      <c r="P89" s="55" t="s">
        <v>542</v>
      </c>
      <c r="Q89" s="55"/>
      <c r="R89" s="55"/>
      <c r="S89" s="956">
        <v>12329056.093798399</v>
      </c>
      <c r="T89" s="55" t="s">
        <v>394</v>
      </c>
      <c r="U89" s="64" t="str">
        <f>IFERROR(IF(VLOOKUP(A89,'WB projects data'!$A$5:$C$83,3,0)="Approved",(VLOOKUP(A89,'WB projects data'!$A$5:$C$83,3,0)),""),"")</f>
        <v/>
      </c>
      <c r="V89" s="123" t="str">
        <f t="shared" si="35"/>
        <v/>
      </c>
      <c r="W89" s="123" t="str">
        <f>IFERROR((VLOOKUP($A89,'WB projects data'!$A$5:$J$83,6,0)*1000000),"")</f>
        <v/>
      </c>
      <c r="X89" s="123" t="str">
        <f>IFERROR((VLOOKUP($A89,'WB projects data'!$A$5:$J$83,7,0)*1000000),"")</f>
        <v/>
      </c>
      <c r="Y89" s="123" t="str">
        <f>IFERROR((VLOOKUP($A89,'WB projects data'!$A$5:$J$83,8,0)*1000000),"")</f>
        <v/>
      </c>
      <c r="Z89" s="123" t="str">
        <f>IFERROR((VLOOKUP($A89,'WB projects data'!$A$5:$J$83,9,0)*1000000),"")</f>
        <v/>
      </c>
      <c r="AA89" s="123" t="str">
        <f>IFERROR((VLOOKUP($A89,'WB projects data'!$A$5:$J$83,10,0)*1000000),"")</f>
        <v/>
      </c>
      <c r="AB89" s="55" t="s">
        <v>541</v>
      </c>
      <c r="AC89" s="110"/>
      <c r="AD89" s="110" t="str">
        <f>IFERROR(VLOOKUP(A89,'ADB Projects'!$A$4:$W$21,5,FALSE),"")</f>
        <v/>
      </c>
      <c r="AE89" s="132" t="str">
        <f>IF(AC89="Approved",(VLOOKUP($A89,'ADB Projects'!$A$5:$D$21,4,0)*1000000),"")</f>
        <v/>
      </c>
      <c r="AF89" s="585" t="str">
        <f>IF(AC89="Approved",(PRODUCT(VLOOKUP($A89,'ADB Projects'!$A$4:$W$21,6,FALSE),1000000)),"")</f>
        <v/>
      </c>
      <c r="AG89" s="585" t="str">
        <f>IF(AC89="Approved",(PRODUCT(VLOOKUP($A89,'ADB Projects'!$A$4:$W$21,7,FALSE),1000000)),"")</f>
        <v/>
      </c>
      <c r="AH89" s="585" t="str">
        <f>IF(AC89="Approved",(PRODUCT(VLOOKUP($A89,'ADB Projects'!$A$4:$W$21,8,FALSE),1000000)),"")</f>
        <v/>
      </c>
      <c r="AI89" s="55"/>
      <c r="AJ89" s="55"/>
      <c r="AK89" s="244"/>
      <c r="AL89" s="55"/>
      <c r="AM89" s="55"/>
      <c r="AN89" s="55"/>
      <c r="AO89" s="55"/>
      <c r="AP89" s="55"/>
      <c r="AQ89" s="602" t="str">
        <f t="shared" si="36"/>
        <v/>
      </c>
      <c r="AR89" s="602" t="str">
        <f>IFERROR(VLOOKUP($A89,'IDB C19 Vaccine Projects'!$O$4:$Q$12,2,FALSE),"")</f>
        <v/>
      </c>
      <c r="AS89" s="602" t="str">
        <f>IFERROR(VLOOKUP($A89,'IDB C19 Vaccine Projects'!$O$4:$Q$12,3,FALSE),"")</f>
        <v/>
      </c>
      <c r="AT89" s="55"/>
      <c r="AU89" s="88"/>
      <c r="AV89" s="55"/>
      <c r="AW89" s="55"/>
      <c r="AX89" s="88" t="str">
        <f>INDEX(USAID!$C$3:$C$151,MATCH('Matrix Allocations'!A89,USAID!$A$3:$A$151,0))</f>
        <v/>
      </c>
      <c r="AY89" s="110">
        <v>136826</v>
      </c>
      <c r="AZ89" s="88">
        <f>IFERROR(INDEX('[4]Vx All regions allocations'!O$10:O$144,MATCH(A89,'[4]Vx All regions allocations'!A$10:A$144,0)),"")</f>
        <v>0</v>
      </c>
      <c r="BA89" s="88">
        <v>72000</v>
      </c>
      <c r="BB89" s="88">
        <v>180000</v>
      </c>
      <c r="BC89" s="88" t="str">
        <f>IFERROR(INDEX(DFAT!$K$4:$K$21,MATCH('Matrix Allocations'!A89,DFAT!$B$4:$B$21,0)),"")</f>
        <v/>
      </c>
      <c r="BD89" s="88"/>
      <c r="BE89" s="826" t="str">
        <f>IFERROR(IF(INDEX('GAVI CCE'!$E$3:$E$95,MATCH('Matrix Allocations'!A89,'GAVI CCE'!$A$3:$A$95,0))="Yes",INDEX('GAVI CCE'!$E$3:$E$95,MATCH('Matrix Allocations'!A89,'GAVI CCE'!$A$3:$A$95,0)),""),"")</f>
        <v/>
      </c>
      <c r="BF89" s="88" t="str">
        <f>IFERROR(IF(BE89="Yes",INDEX('GAVI CCE'!$F$3:$F$95,MATCH('Matrix Allocations'!A89,'GAVI CCE'!$A$3:$A$95,0)),""),"")</f>
        <v/>
      </c>
      <c r="BG89" s="609" t="str">
        <f>IFERROR(IF(E89='CDS early access ceilings'!$A$94,(VLOOKUP(A89,'CDS early access ceilings'!$A$2:$D$92,4,FALSE)),""),"")</f>
        <v>UNICEF</v>
      </c>
      <c r="BH89" s="639" t="str">
        <f>IFERROR(INDEX(Table14[Status (clean)],MATCH('Matrix Allocations'!A89,Table14[ISO Code],0)),"")</f>
        <v/>
      </c>
      <c r="BI89" s="641" t="str">
        <f>IFERROR(INDEX(Table14[Amount disbursed (USD)],MATCH('Matrix Allocations'!A89,Table14[ISO Code],0)),"")</f>
        <v/>
      </c>
      <c r="BJ89" s="641" t="str">
        <f>IFERROR(INDEX('CDS NBW'!$I$2:$I$39,MATCH(A89,'CDS NBW'!$A$2:$A$39,0)),"")</f>
        <v>Disbursed</v>
      </c>
      <c r="BK89" s="641">
        <f>IFERROR(INDEX('CDS NBW'!$J$2:$J$39,MATCH(A89,'CDS NBW'!$A$2:$A$39,0)),"")</f>
        <v>230000</v>
      </c>
      <c r="BL89" s="609"/>
      <c r="BM89" s="609"/>
      <c r="BN89" s="609"/>
      <c r="BO89" s="609"/>
      <c r="BP89" s="609" t="str">
        <f>IFERROR(INDEX('UNICEF-BMZ'!$O$1:$O$199,MATCH('Matrix Allocations'!A89,'UNICEF-BMZ'!$B$1:$B$199,0)),"")</f>
        <v/>
      </c>
      <c r="BQ89" s="609" t="str">
        <f>IFERROR(VLOOKUP(A89,'BMGF_clean data'!$A$4:$C$30,3,FALSE),"")</f>
        <v/>
      </c>
      <c r="BR89" s="609">
        <v>1730708</v>
      </c>
      <c r="BS89" s="609"/>
      <c r="BT89" s="609"/>
      <c r="BU89" s="609"/>
      <c r="BV89" s="609"/>
      <c r="BW89" s="87">
        <f>INDEX(USAID!$D$3:$D$151,MATCH('Matrix Allocations'!A89,USAID!$A$3:$A$151,0))</f>
        <v>0</v>
      </c>
      <c r="BX89" s="87" t="str">
        <f>IFERROR(INDEX(DFAT!$L$4:$L$21,MATCH('Matrix Allocations'!A89,DFAT!$B$4:$B$21,0)),"")</f>
        <v/>
      </c>
      <c r="BY89" s="87" t="str">
        <f>IFERROR(INDEX(Table14[Funds Channelled through UNICEF],MATCH('Matrix Allocations'!A89,Table14[ISO Code],0)),"")</f>
        <v/>
      </c>
      <c r="BZ89" s="87">
        <f t="shared" si="34"/>
        <v>0</v>
      </c>
      <c r="CA89">
        <f t="shared" si="49"/>
        <v>116255</v>
      </c>
      <c r="CB89" s="782">
        <f t="shared" si="42"/>
        <v>34876.5</v>
      </c>
      <c r="CC89" s="791">
        <f t="shared" si="37"/>
        <v>2349534</v>
      </c>
      <c r="CD89" s="788">
        <f t="shared" si="43"/>
        <v>67.367253021375419</v>
      </c>
      <c r="CE89" s="788">
        <f t="shared" si="44"/>
        <v>50.525439766031568</v>
      </c>
      <c r="CF89" s="828">
        <f t="shared" si="45"/>
        <v>28.871679866303754</v>
      </c>
      <c r="CG89" s="828">
        <f t="shared" si="38"/>
        <v>20.210175906412626</v>
      </c>
      <c r="CH89" s="88">
        <f t="shared" si="50"/>
        <v>0</v>
      </c>
      <c r="CI89" s="88">
        <f t="shared" si="39"/>
        <v>1867534</v>
      </c>
      <c r="CJ89" s="742">
        <f t="shared" si="51"/>
        <v>0</v>
      </c>
      <c r="CK89" s="848">
        <f t="shared" si="40"/>
        <v>1867534</v>
      </c>
      <c r="CL89" s="88">
        <f t="shared" si="41"/>
        <v>712000</v>
      </c>
    </row>
    <row r="90" spans="1:90" ht="16" customHeight="1">
      <c r="A90" s="55" t="s">
        <v>638</v>
      </c>
      <c r="B90" s="55" t="s">
        <v>242</v>
      </c>
      <c r="C90" s="55" t="s">
        <v>127</v>
      </c>
      <c r="D90" s="55" t="s">
        <v>152</v>
      </c>
      <c r="E90" s="55" t="s">
        <v>145</v>
      </c>
      <c r="F90" s="56"/>
      <c r="G90" s="56" t="str">
        <f t="shared" si="52"/>
        <v>Yes</v>
      </c>
      <c r="H90" s="56" t="str">
        <f t="shared" si="52"/>
        <v>Yes</v>
      </c>
      <c r="I90" s="56" t="str">
        <f t="shared" si="46"/>
        <v>No</v>
      </c>
      <c r="J90" s="56" t="str">
        <f t="shared" si="47"/>
        <v>No</v>
      </c>
      <c r="K90" s="56" t="str">
        <f t="shared" si="48"/>
        <v>Yes</v>
      </c>
      <c r="L90" s="56" t="s">
        <v>541</v>
      </c>
      <c r="M90" s="55" t="s">
        <v>544</v>
      </c>
      <c r="N90" s="134" t="s">
        <v>541</v>
      </c>
      <c r="O90" s="55" t="s">
        <v>544</v>
      </c>
      <c r="P90" s="55" t="s">
        <v>558</v>
      </c>
      <c r="Q90" s="55"/>
      <c r="R90" s="55"/>
      <c r="S90" s="956">
        <v>426639742.85328001</v>
      </c>
      <c r="T90" s="55" t="s">
        <v>395</v>
      </c>
      <c r="U90" s="64" t="str">
        <f>IFERROR(IF(VLOOKUP(A90,'WB projects data'!$A$5:$C$83,3,0)="Approved",(VLOOKUP(A90,'WB projects data'!$A$5:$C$83,3,0)),""),"")</f>
        <v>Approved</v>
      </c>
      <c r="V90" s="123">
        <f t="shared" si="35"/>
        <v>30000000</v>
      </c>
      <c r="W90" s="123">
        <f>IFERROR((VLOOKUP($A90,'WB projects data'!$A$5:$J$83,6,0)*1000000),"")</f>
        <v>30000000</v>
      </c>
      <c r="X90" s="123">
        <f>IFERROR((VLOOKUP($A90,'WB projects data'!$A$5:$J$83,7,0)*1000000),"")</f>
        <v>0</v>
      </c>
      <c r="Y90" s="123">
        <f>IFERROR((VLOOKUP($A90,'WB projects data'!$A$5:$J$83,8,0)*1000000),"")</f>
        <v>20100000</v>
      </c>
      <c r="Z90" s="123">
        <f>IFERROR((VLOOKUP($A90,'WB projects data'!$A$5:$J$83,9,0)*1000000),"")</f>
        <v>9800000</v>
      </c>
      <c r="AA90" s="123">
        <f>IFERROR((VLOOKUP($A90,'WB projects data'!$A$5:$J$83,10,0)*1000000),"")</f>
        <v>0</v>
      </c>
      <c r="AB90" s="55"/>
      <c r="AC90" s="110"/>
      <c r="AD90" s="110" t="str">
        <f>IFERROR(VLOOKUP(A90,'ADB Projects'!$A$4:$W$21,5,FALSE),"")</f>
        <v/>
      </c>
      <c r="AE90" s="132" t="str">
        <f>IF(AC90="Approved",(VLOOKUP($A90,'ADB Projects'!$A$5:$D$21,4,0)*1000000),"")</f>
        <v/>
      </c>
      <c r="AF90" s="585" t="str">
        <f>IF(AC90="Approved",(PRODUCT(VLOOKUP($A90,'ADB Projects'!$A$4:$W$21,6,FALSE),1000000)),"")</f>
        <v/>
      </c>
      <c r="AG90" s="585" t="str">
        <f>IF(AC90="Approved",(PRODUCT(VLOOKUP($A90,'ADB Projects'!$A$4:$W$21,7,FALSE),1000000)),"")</f>
        <v/>
      </c>
      <c r="AH90" s="585" t="str">
        <f>IF(AC90="Approved",(PRODUCT(VLOOKUP($A90,'ADB Projects'!$A$4:$W$21,8,FALSE),1000000)),"")</f>
        <v/>
      </c>
      <c r="AI90" s="55"/>
      <c r="AJ90" s="55"/>
      <c r="AK90" s="244"/>
      <c r="AL90" s="55"/>
      <c r="AM90" s="55"/>
      <c r="AN90" s="55"/>
      <c r="AO90" s="55"/>
      <c r="AP90" s="55"/>
      <c r="AQ90" s="602" t="str">
        <f t="shared" si="36"/>
        <v/>
      </c>
      <c r="AR90" s="602" t="str">
        <f>IFERROR(VLOOKUP($A90,'IDB C19 Vaccine Projects'!$O$4:$Q$12,2,FALSE),"")</f>
        <v/>
      </c>
      <c r="AS90" s="602" t="str">
        <f>IFERROR(VLOOKUP($A90,'IDB C19 Vaccine Projects'!$O$4:$Q$12,3,FALSE),"")</f>
        <v/>
      </c>
      <c r="AT90" s="55"/>
      <c r="AU90" s="88"/>
      <c r="AV90" s="55"/>
      <c r="AW90" s="55"/>
      <c r="AX90" s="88">
        <f>INDEX(USAID!$C$3:$C$151,MATCH('Matrix Allocations'!A90,USAID!$A$3:$A$151,0))</f>
        <v>1900000</v>
      </c>
      <c r="AY90" s="110"/>
      <c r="AZ90" s="88">
        <f>IFERROR(INDEX('[4]Vx All regions allocations'!O$10:O$144,MATCH(A90,'[4]Vx All regions allocations'!A$10:A$144,0)),"")</f>
        <v>672500</v>
      </c>
      <c r="BA90" s="88">
        <v>37600</v>
      </c>
      <c r="BB90" s="88">
        <v>94999.950000000012</v>
      </c>
      <c r="BC90" s="88" t="str">
        <f>IFERROR(INDEX(DFAT!$K$4:$K$21,MATCH('Matrix Allocations'!A90,DFAT!$B$4:$B$21,0)),"")</f>
        <v/>
      </c>
      <c r="BD90" s="88"/>
      <c r="BE90" s="826" t="str">
        <f>IFERROR(IF(INDEX('GAVI CCE'!$E$3:$E$95,MATCH('Matrix Allocations'!A90,'GAVI CCE'!$A$3:$A$95,0))="Yes",INDEX('GAVI CCE'!$E$3:$E$95,MATCH('Matrix Allocations'!A90,'GAVI CCE'!$A$3:$A$95,0)),""),"")</f>
        <v>Yes</v>
      </c>
      <c r="BF90" s="88">
        <f>IFERROR(IF(BE90="Yes",INDEX('GAVI CCE'!$F$3:$F$95,MATCH('Matrix Allocations'!A90,'GAVI CCE'!$A$3:$A$95,0)),""),"")</f>
        <v>90649</v>
      </c>
      <c r="BG90" s="609" t="str">
        <f>IFERROR(IF(E90='CDS early access ceilings'!$A$94,(VLOOKUP(A90,'CDS early access ceilings'!$A$2:$D$92,4,FALSE)),""),"")</f>
        <v>UNICEF</v>
      </c>
      <c r="BH90" s="639" t="str">
        <f>IFERROR(INDEX(Table14[Status (clean)],MATCH('Matrix Allocations'!A90,Table14[ISO Code],0)),"")</f>
        <v>Disbursed</v>
      </c>
      <c r="BI90" s="641">
        <f>IFERROR(INDEX(Table14[Amount disbursed (USD)],MATCH('Matrix Allocations'!A90,Table14[ISO Code],0)),"")</f>
        <v>367944</v>
      </c>
      <c r="BJ90" s="641" t="str">
        <f>IFERROR(INDEX('CDS NBW'!$I$2:$I$39,MATCH(A90,'CDS NBW'!$A$2:$A$39,0)),"")</f>
        <v>Disbursed</v>
      </c>
      <c r="BK90" s="641">
        <f>IFERROR(INDEX('CDS NBW'!$J$2:$J$39,MATCH(A90,'CDS NBW'!$A$2:$A$39,0)),"")</f>
        <v>370000.2</v>
      </c>
      <c r="BL90" s="609"/>
      <c r="BM90" s="609"/>
      <c r="BN90" s="609"/>
      <c r="BO90" s="609"/>
      <c r="BP90" s="609">
        <f>IFERROR(INDEX('UNICEF-BMZ'!$O$1:$O$199,MATCH('Matrix Allocations'!A90,'UNICEF-BMZ'!$B$1:$B$199,0)),"")</f>
        <v>0</v>
      </c>
      <c r="BQ90" s="609" t="str">
        <f>IFERROR(VLOOKUP(A90,'BMGF_clean data'!$A$4:$C$30,3,FALSE),"")</f>
        <v/>
      </c>
      <c r="BR90" s="609"/>
      <c r="BS90" s="609"/>
      <c r="BT90" s="609"/>
      <c r="BU90" s="609"/>
      <c r="BV90" s="609"/>
      <c r="BW90" s="87">
        <f>INDEX(USAID!$D$3:$D$151,MATCH('Matrix Allocations'!A90,USAID!$A$3:$A$151,0))</f>
        <v>726000</v>
      </c>
      <c r="BX90" s="87" t="str">
        <f>IFERROR(INDEX(DFAT!$L$4:$L$21,MATCH('Matrix Allocations'!A90,DFAT!$B$4:$B$21,0)),"")</f>
        <v/>
      </c>
      <c r="BY90" s="87">
        <f>IFERROR(INDEX(Table14[Funds Channelled through UNICEF],MATCH('Matrix Allocations'!A90,Table14[ISO Code],0)),"")</f>
        <v>0</v>
      </c>
      <c r="BZ90" s="87">
        <f t="shared" si="34"/>
        <v>367944</v>
      </c>
      <c r="CA90">
        <f t="shared" si="49"/>
        <v>4024025</v>
      </c>
      <c r="CB90" s="782">
        <f t="shared" si="42"/>
        <v>1207207.5</v>
      </c>
      <c r="CC90" s="791">
        <f t="shared" si="37"/>
        <v>13333693.149999999</v>
      </c>
      <c r="CD90" s="788">
        <f t="shared" si="43"/>
        <v>11.045071497650568</v>
      </c>
      <c r="CE90" s="788">
        <f t="shared" si="44"/>
        <v>8.283803623237926</v>
      </c>
      <c r="CF90" s="828">
        <f t="shared" si="45"/>
        <v>4.7336020704216724</v>
      </c>
      <c r="CG90" s="828">
        <f t="shared" si="38"/>
        <v>3.3135214492951706</v>
      </c>
      <c r="CH90" s="88">
        <f t="shared" si="50"/>
        <v>9800000</v>
      </c>
      <c r="CI90" s="88">
        <f t="shared" si="39"/>
        <v>1900000</v>
      </c>
      <c r="CJ90" s="742">
        <f t="shared" si="51"/>
        <v>0</v>
      </c>
      <c r="CK90" s="848">
        <f t="shared" si="40"/>
        <v>1398500</v>
      </c>
      <c r="CL90" s="88">
        <f t="shared" si="41"/>
        <v>1331193.3500000001</v>
      </c>
    </row>
    <row r="91" spans="1:90" ht="16" customHeight="1">
      <c r="A91" s="55" t="s">
        <v>639</v>
      </c>
      <c r="B91" s="55" t="s">
        <v>243</v>
      </c>
      <c r="C91" s="55" t="s">
        <v>126</v>
      </c>
      <c r="D91" s="55" t="s">
        <v>150</v>
      </c>
      <c r="E91" s="55" t="s">
        <v>145</v>
      </c>
      <c r="F91" s="56"/>
      <c r="G91" s="56" t="str">
        <f t="shared" si="52"/>
        <v>Yes</v>
      </c>
      <c r="H91" s="56" t="str">
        <f t="shared" si="52"/>
        <v>Yes</v>
      </c>
      <c r="I91" s="56" t="str">
        <f t="shared" si="46"/>
        <v>No</v>
      </c>
      <c r="J91" s="56" t="str">
        <f t="shared" si="47"/>
        <v>No</v>
      </c>
      <c r="K91" s="56" t="str">
        <f t="shared" si="48"/>
        <v>Yes</v>
      </c>
      <c r="L91" s="56" t="s">
        <v>541</v>
      </c>
      <c r="M91" s="55" t="s">
        <v>544</v>
      </c>
      <c r="N91" s="134" t="s">
        <v>541</v>
      </c>
      <c r="O91" s="55" t="s">
        <v>544</v>
      </c>
      <c r="P91" s="55" t="s">
        <v>548</v>
      </c>
      <c r="Q91" s="55"/>
      <c r="R91" s="55"/>
      <c r="S91" s="956">
        <v>288519671.85870522</v>
      </c>
      <c r="T91" s="55" t="s">
        <v>395</v>
      </c>
      <c r="U91" s="64" t="str">
        <f>IFERROR(IF(VLOOKUP(A91,'WB projects data'!$A$5:$C$83,3,0)="Approved",(VLOOKUP(A91,'WB projects data'!$A$5:$C$83,3,0)),""),"")</f>
        <v>Approved</v>
      </c>
      <c r="V91" s="123">
        <f t="shared" si="35"/>
        <v>50700000</v>
      </c>
      <c r="W91" s="123">
        <f>IFERROR((VLOOKUP($A91,'WB projects data'!$A$5:$J$83,6,0)*1000000),"")</f>
        <v>50700000</v>
      </c>
      <c r="X91" s="123">
        <f>IFERROR((VLOOKUP($A91,'WB projects data'!$A$5:$J$83,7,0)*1000000),"")</f>
        <v>0</v>
      </c>
      <c r="Y91" s="123">
        <f>IFERROR((VLOOKUP($A91,'WB projects data'!$A$5:$J$83,8,0)*1000000),"")</f>
        <v>18700000</v>
      </c>
      <c r="Z91" s="123">
        <f>IFERROR((VLOOKUP($A91,'WB projects data'!$A$5:$J$83,9,0)*1000000),"")</f>
        <v>25500000</v>
      </c>
      <c r="AA91" s="123">
        <f>IFERROR((VLOOKUP($A91,'WB projects data'!$A$5:$J$83,10,0)*1000000),"")</f>
        <v>6500000</v>
      </c>
      <c r="AB91" s="55"/>
      <c r="AC91" s="110" t="str">
        <f>VLOOKUP($A91,'ADB Projects'!$A$5:$D$21,3,0)</f>
        <v>Approved</v>
      </c>
      <c r="AD91" s="110" t="str">
        <f>IFERROR(VLOOKUP(A91,'ADB Projects'!$A$4:$W$21,5,FALSE),"")</f>
        <v>Loan</v>
      </c>
      <c r="AE91" s="132">
        <f>IF(AC91="Approved",(VLOOKUP($A91,'ADB Projects'!$A$5:$D$21,4,0)*1000000),"")</f>
        <v>40000000</v>
      </c>
      <c r="AF91" s="585">
        <f>IF(AC91="Approved",(PRODUCT(VLOOKUP($A91,'ADB Projects'!$A$4:$W$21,6,FALSE),1000000)),"")</f>
        <v>38300000</v>
      </c>
      <c r="AG91" s="585">
        <f>IF(AC91="Approved",(PRODUCT(VLOOKUP($A91,'ADB Projects'!$A$4:$W$21,7,FALSE),1000000)),"")</f>
        <v>0</v>
      </c>
      <c r="AH91" s="585">
        <f>IF(AC91="Approved",(PRODUCT(VLOOKUP($A91,'ADB Projects'!$A$4:$W$21,8,FALSE),1000000)),"")</f>
        <v>1700000</v>
      </c>
      <c r="AI91" s="55" t="s">
        <v>541</v>
      </c>
      <c r="AJ91" s="55"/>
      <c r="AK91" s="244"/>
      <c r="AL91" s="55"/>
      <c r="AM91" s="55"/>
      <c r="AN91" s="55"/>
      <c r="AO91" s="55"/>
      <c r="AP91" s="55"/>
      <c r="AQ91" s="602" t="str">
        <f t="shared" si="36"/>
        <v/>
      </c>
      <c r="AR91" s="602" t="str">
        <f>IFERROR(VLOOKUP($A91,'IDB C19 Vaccine Projects'!$O$4:$Q$12,2,FALSE),"")</f>
        <v/>
      </c>
      <c r="AS91" s="602" t="str">
        <f>IFERROR(VLOOKUP($A91,'IDB C19 Vaccine Projects'!$O$4:$Q$12,3,FALSE),"")</f>
        <v/>
      </c>
      <c r="AT91" s="55"/>
      <c r="AU91" s="327"/>
      <c r="AV91" s="55"/>
      <c r="AW91" s="55"/>
      <c r="AX91" s="88">
        <f>INDEX(USAID!$C$3:$C$151,MATCH('Matrix Allocations'!A91,USAID!$A$3:$A$151,0))</f>
        <v>500000</v>
      </c>
      <c r="AY91" s="759">
        <v>11111111</v>
      </c>
      <c r="AZ91" s="88">
        <f>IFERROR(INDEX('[4]Vx All regions allocations'!O$10:O$144,MATCH(A91,'[4]Vx All regions allocations'!A$10:A$144,0)),"")</f>
        <v>0</v>
      </c>
      <c r="BA91" s="88">
        <v>123999.99999999999</v>
      </c>
      <c r="BB91" s="88">
        <v>25000</v>
      </c>
      <c r="BC91" s="88" t="str">
        <f>IFERROR(INDEX(DFAT!$K$4:$K$21,MATCH('Matrix Allocations'!A91,DFAT!$B$4:$B$21,0)),"")</f>
        <v/>
      </c>
      <c r="BD91" s="88"/>
      <c r="BE91" s="826" t="str">
        <f>IFERROR(IF(INDEX('GAVI CCE'!$E$3:$E$95,MATCH('Matrix Allocations'!A91,'GAVI CCE'!$A$3:$A$95,0))="Yes",INDEX('GAVI CCE'!$E$3:$E$95,MATCH('Matrix Allocations'!A91,'GAVI CCE'!$A$3:$A$95,0)),""),"")</f>
        <v>Yes</v>
      </c>
      <c r="BF91" s="88">
        <f>IFERROR(IF(BE91="Yes",INDEX('GAVI CCE'!$F$3:$F$95,MATCH('Matrix Allocations'!A91,'GAVI CCE'!$A$3:$A$95,0)),""),"")</f>
        <v>71067</v>
      </c>
      <c r="BG91" s="609" t="str">
        <f>IFERROR(IF(E91='CDS early access ceilings'!$A$94,(VLOOKUP(A91,'CDS early access ceilings'!$A$2:$D$92,4,FALSE)),""),"")</f>
        <v>UNICEF</v>
      </c>
      <c r="BH91" s="639" t="str">
        <f>IFERROR(INDEX(Table14[Status (clean)],MATCH('Matrix Allocations'!A91,Table14[ISO Code],0)),"")</f>
        <v>Disbursed</v>
      </c>
      <c r="BI91" s="641">
        <f>IFERROR(INDEX(Table14[Amount disbursed (USD)],MATCH('Matrix Allocations'!A91,Table14[ISO Code],0)),"")</f>
        <v>230000</v>
      </c>
      <c r="BJ91" s="641" t="str">
        <f>IFERROR(INDEX('CDS NBW'!$I$2:$I$39,MATCH(A91,'CDS NBW'!$A$2:$A$39,0)),"")</f>
        <v>Disbursed</v>
      </c>
      <c r="BK91" s="641">
        <f>IFERROR(INDEX('CDS NBW'!$J$2:$J$39,MATCH(A91,'CDS NBW'!$A$2:$A$39,0)),"")</f>
        <v>230000</v>
      </c>
      <c r="BL91" s="609"/>
      <c r="BM91" s="609"/>
      <c r="BN91" s="609"/>
      <c r="BO91" s="609"/>
      <c r="BP91" s="609">
        <f>IFERROR(INDEX('UNICEF-BMZ'!$O$1:$O$199,MATCH('Matrix Allocations'!A91,'UNICEF-BMZ'!$B$1:$B$199,0)),"")</f>
        <v>0</v>
      </c>
      <c r="BQ91" s="609">
        <f>IFERROR(VLOOKUP(A91,'BMGF_clean data'!$A$4:$C$30,3,FALSE),"")</f>
        <v>99000</v>
      </c>
      <c r="BR91" s="609"/>
      <c r="BS91" s="609"/>
      <c r="BT91" s="609"/>
      <c r="BU91" s="609"/>
      <c r="BV91" s="609"/>
      <c r="BW91" s="87">
        <f>INDEX(USAID!$D$3:$D$151,MATCH('Matrix Allocations'!A91,USAID!$A$3:$A$151,0))</f>
        <v>250000</v>
      </c>
      <c r="BX91" s="87" t="str">
        <f>IFERROR(INDEX(DFAT!$L$4:$L$21,MATCH('Matrix Allocations'!A91,DFAT!$B$4:$B$21,0)),"")</f>
        <v/>
      </c>
      <c r="BY91" s="87">
        <f>IFERROR(INDEX(Table14[Funds Channelled through UNICEF],MATCH('Matrix Allocations'!A91,Table14[ISO Code],0)),"")</f>
        <v>0</v>
      </c>
      <c r="BZ91" s="87">
        <f t="shared" si="34"/>
        <v>230000</v>
      </c>
      <c r="CA91">
        <f t="shared" si="49"/>
        <v>3329282</v>
      </c>
      <c r="CB91" s="782">
        <f t="shared" si="42"/>
        <v>998784.6</v>
      </c>
      <c r="CC91" s="791">
        <f t="shared" si="37"/>
        <v>37890178</v>
      </c>
      <c r="CD91" s="788">
        <f t="shared" si="43"/>
        <v>37.936285761714792</v>
      </c>
      <c r="CE91" s="788">
        <f t="shared" si="44"/>
        <v>28.452214321286089</v>
      </c>
      <c r="CF91" s="828">
        <f t="shared" si="45"/>
        <v>16.258408183592053</v>
      </c>
      <c r="CG91" s="828">
        <f t="shared" si="38"/>
        <v>11.380885728514436</v>
      </c>
      <c r="CH91" s="88">
        <f t="shared" si="50"/>
        <v>25500000</v>
      </c>
      <c r="CI91" s="88">
        <f t="shared" si="39"/>
        <v>11611111</v>
      </c>
      <c r="CJ91" s="742">
        <f t="shared" si="51"/>
        <v>99000</v>
      </c>
      <c r="CK91" s="848">
        <f t="shared" si="40"/>
        <v>11361111</v>
      </c>
      <c r="CL91" s="88">
        <f t="shared" si="41"/>
        <v>910067</v>
      </c>
    </row>
    <row r="92" spans="1:90" ht="16" customHeight="1">
      <c r="A92" s="55" t="s">
        <v>640</v>
      </c>
      <c r="B92" s="55" t="s">
        <v>244</v>
      </c>
      <c r="C92" s="55" t="s">
        <v>127</v>
      </c>
      <c r="D92" s="55" t="s">
        <v>152</v>
      </c>
      <c r="E92" s="55" t="s">
        <v>146</v>
      </c>
      <c r="F92" s="56"/>
      <c r="G92" s="56" t="str">
        <f t="shared" si="52"/>
        <v>No</v>
      </c>
      <c r="H92" s="56" t="str">
        <f t="shared" si="52"/>
        <v>No</v>
      </c>
      <c r="I92" s="56" t="str">
        <f t="shared" si="46"/>
        <v>No</v>
      </c>
      <c r="J92" s="56" t="str">
        <f t="shared" si="47"/>
        <v>Yes</v>
      </c>
      <c r="K92" s="56" t="str">
        <f t="shared" si="48"/>
        <v>No</v>
      </c>
      <c r="L92" s="56" t="s">
        <v>541</v>
      </c>
      <c r="M92" s="55" t="s">
        <v>544</v>
      </c>
      <c r="N92" s="134" t="s">
        <v>544</v>
      </c>
      <c r="O92" s="55" t="s">
        <v>544</v>
      </c>
      <c r="P92" s="55" t="s">
        <v>546</v>
      </c>
      <c r="Q92" s="55"/>
      <c r="R92" s="55"/>
      <c r="S92" s="956">
        <v>275606560.78491527</v>
      </c>
      <c r="T92" s="55" t="s">
        <v>394</v>
      </c>
      <c r="U92" s="64" t="str">
        <f>IFERROR(IF(VLOOKUP(A92,'WB projects data'!$A$5:$C$83,3,0)="Approved",(VLOOKUP(A92,'WB projects data'!$A$5:$C$83,3,0)),""),"")</f>
        <v/>
      </c>
      <c r="V92" s="123">
        <f t="shared" si="35"/>
        <v>0</v>
      </c>
      <c r="W92" s="123">
        <f>IFERROR((VLOOKUP($A92,'WB projects data'!$A$5:$J$83,6,0)*1000000),"")</f>
        <v>0</v>
      </c>
      <c r="X92" s="123">
        <f>IFERROR((VLOOKUP($A92,'WB projects data'!$A$5:$J$83,7,0)*1000000),"")</f>
        <v>0</v>
      </c>
      <c r="Y92" s="123">
        <f>IFERROR((VLOOKUP($A92,'WB projects data'!$A$5:$J$83,8,0)*1000000),"")</f>
        <v>0</v>
      </c>
      <c r="Z92" s="123">
        <f>IFERROR((VLOOKUP($A92,'WB projects data'!$A$5:$J$83,9,0)*1000000),"")</f>
        <v>0</v>
      </c>
      <c r="AA92" s="123">
        <f>IFERROR((VLOOKUP($A92,'WB projects data'!$A$5:$J$83,10,0)*1000000),"")</f>
        <v>0</v>
      </c>
      <c r="AB92" s="55"/>
      <c r="AC92" s="110"/>
      <c r="AD92" s="110" t="str">
        <f>IFERROR(VLOOKUP(A92,'ADB Projects'!$A$4:$W$21,5,FALSE),"")</f>
        <v/>
      </c>
      <c r="AE92" s="132" t="str">
        <f>IF(AC92="Approved",(VLOOKUP($A92,'ADB Projects'!$A$5:$D$21,4,0)*1000000),"")</f>
        <v/>
      </c>
      <c r="AF92" s="585" t="str">
        <f>IF(AC92="Approved",(PRODUCT(VLOOKUP($A92,'ADB Projects'!$A$4:$W$21,6,FALSE),1000000)),"")</f>
        <v/>
      </c>
      <c r="AG92" s="585" t="str">
        <f>IF(AC92="Approved",(PRODUCT(VLOOKUP($A92,'ADB Projects'!$A$4:$W$21,7,FALSE),1000000)),"")</f>
        <v/>
      </c>
      <c r="AH92" s="585" t="str">
        <f>IF(AC92="Approved",(PRODUCT(VLOOKUP($A92,'ADB Projects'!$A$4:$W$21,8,FALSE),1000000)),"")</f>
        <v/>
      </c>
      <c r="AI92" s="55"/>
      <c r="AJ92" s="55"/>
      <c r="AK92" s="244"/>
      <c r="AL92" s="55"/>
      <c r="AM92" s="55"/>
      <c r="AN92" s="55"/>
      <c r="AO92" s="55"/>
      <c r="AP92" s="55"/>
      <c r="AQ92" s="602" t="str">
        <f t="shared" si="36"/>
        <v/>
      </c>
      <c r="AR92" s="602" t="str">
        <f>IFERROR(VLOOKUP($A92,'IDB C19 Vaccine Projects'!$O$4:$Q$12,2,FALSE),"")</f>
        <v/>
      </c>
      <c r="AS92" s="602" t="str">
        <f>IFERROR(VLOOKUP($A92,'IDB C19 Vaccine Projects'!$O$4:$Q$12,3,FALSE),"")</f>
        <v/>
      </c>
      <c r="AT92" s="55"/>
      <c r="AU92" s="88"/>
      <c r="AV92" s="55"/>
      <c r="AW92" s="55"/>
      <c r="AX92" s="88">
        <f>INDEX(USAID!$C$3:$C$151,MATCH('Matrix Allocations'!A92,USAID!$A$3:$A$151,0))</f>
        <v>800000</v>
      </c>
      <c r="AY92" s="110"/>
      <c r="AZ92" s="88">
        <f>IFERROR(INDEX('[4]Vx All regions allocations'!O$10:O$144,MATCH(A92,'[4]Vx All regions allocations'!A$10:A$144,0)),"")</f>
        <v>100000</v>
      </c>
      <c r="BA92" s="88">
        <v>0</v>
      </c>
      <c r="BB92" s="88">
        <v>0</v>
      </c>
      <c r="BC92" s="88" t="str">
        <f>IFERROR(INDEX(DFAT!$K$4:$K$21,MATCH('Matrix Allocations'!A92,DFAT!$B$4:$B$21,0)),"")</f>
        <v/>
      </c>
      <c r="BD92" s="88"/>
      <c r="BE92" s="826" t="str">
        <f>IFERROR(IF(INDEX('GAVI CCE'!$E$3:$E$95,MATCH('Matrix Allocations'!A92,'GAVI CCE'!$A$3:$A$95,0))="Yes",INDEX('GAVI CCE'!$E$3:$E$95,MATCH('Matrix Allocations'!A92,'GAVI CCE'!$A$3:$A$95,0)),""),"")</f>
        <v/>
      </c>
      <c r="BF92" s="88" t="str">
        <f>IFERROR(IF(BE92="Yes",INDEX('GAVI CCE'!$F$3:$F$95,MATCH('Matrix Allocations'!A92,'GAVI CCE'!$A$3:$A$95,0)),""),"")</f>
        <v/>
      </c>
      <c r="BG92" s="609" t="str">
        <f>IFERROR(IF(E92='CDS early access ceilings'!$A$94,(VLOOKUP(A92,'CDS early access ceilings'!$A$2:$D$92,4,FALSE)),""),"")</f>
        <v/>
      </c>
      <c r="BH92" s="639" t="str">
        <f>IFERROR(INDEX(Table14[Status (clean)],MATCH('Matrix Allocations'!A92,Table14[ISO Code],0)),"")</f>
        <v/>
      </c>
      <c r="BI92" s="641" t="str">
        <f>IFERROR(INDEX(Table14[Amount disbursed (USD)],MATCH('Matrix Allocations'!A92,Table14[ISO Code],0)),"")</f>
        <v/>
      </c>
      <c r="BJ92" s="641" t="str">
        <f>IFERROR(INDEX('CDS NBW'!$I$2:$I$39,MATCH(A92,'CDS NBW'!$A$2:$A$39,0)),"")</f>
        <v/>
      </c>
      <c r="BK92" s="641" t="str">
        <f>IFERROR(INDEX('CDS NBW'!$J$2:$J$39,MATCH(A92,'CDS NBW'!$A$2:$A$39,0)),"")</f>
        <v/>
      </c>
      <c r="BL92" s="609"/>
      <c r="BM92" s="609"/>
      <c r="BN92" s="609"/>
      <c r="BO92" s="609"/>
      <c r="BP92" s="609">
        <f>IFERROR(INDEX('UNICEF-BMZ'!$O$1:$O$199,MATCH('Matrix Allocations'!A92,'UNICEF-BMZ'!$B$1:$B$199,0)),"")</f>
        <v>0</v>
      </c>
      <c r="BQ92" s="609" t="str">
        <f>IFERROR(VLOOKUP(A92,'BMGF_clean data'!$A$4:$C$30,3,FALSE),"")</f>
        <v/>
      </c>
      <c r="BR92" s="609"/>
      <c r="BS92" s="609"/>
      <c r="BT92" s="609"/>
      <c r="BU92" s="609"/>
      <c r="BV92" s="609"/>
      <c r="BW92" s="87">
        <f>INDEX(USAID!$D$3:$D$151,MATCH('Matrix Allocations'!A92,USAID!$A$3:$A$151,0))</f>
        <v>0</v>
      </c>
      <c r="BX92" s="87" t="str">
        <f>IFERROR(INDEX(DFAT!$L$4:$L$21,MATCH('Matrix Allocations'!A92,DFAT!$B$4:$B$21,0)),"")</f>
        <v/>
      </c>
      <c r="BY92" s="87" t="str">
        <f>IFERROR(INDEX(Table14[Funds Channelled through UNICEF],MATCH('Matrix Allocations'!A92,Table14[ISO Code],0)),"")</f>
        <v/>
      </c>
      <c r="BZ92" s="87">
        <f t="shared" si="34"/>
        <v>0</v>
      </c>
      <c r="CA92">
        <f t="shared" si="49"/>
        <v>628051</v>
      </c>
      <c r="CB92" s="782">
        <f t="shared" si="42"/>
        <v>188415.3</v>
      </c>
      <c r="CC92" s="791">
        <f t="shared" si="37"/>
        <v>900000</v>
      </c>
      <c r="CD92" s="788">
        <f t="shared" si="43"/>
        <v>4.7766821484242525</v>
      </c>
      <c r="CE92" s="788">
        <f t="shared" si="44"/>
        <v>3.5825116113181887</v>
      </c>
      <c r="CF92" s="828">
        <f t="shared" si="45"/>
        <v>2.0471494921818225</v>
      </c>
      <c r="CG92" s="828">
        <f t="shared" si="38"/>
        <v>1.4330046445272757</v>
      </c>
      <c r="CH92" s="88">
        <f t="shared" si="50"/>
        <v>0</v>
      </c>
      <c r="CI92" s="88">
        <f t="shared" si="39"/>
        <v>800000</v>
      </c>
      <c r="CJ92" s="742">
        <f t="shared" si="51"/>
        <v>0</v>
      </c>
      <c r="CK92" s="848">
        <f t="shared" si="40"/>
        <v>100000</v>
      </c>
      <c r="CL92" s="88">
        <f t="shared" si="41"/>
        <v>0</v>
      </c>
    </row>
    <row r="93" spans="1:90" ht="16" customHeight="1">
      <c r="A93" s="55" t="s">
        <v>641</v>
      </c>
      <c r="B93" s="55" t="s">
        <v>245</v>
      </c>
      <c r="C93" s="55" t="s">
        <v>131</v>
      </c>
      <c r="D93" s="55" t="s">
        <v>150</v>
      </c>
      <c r="E93" s="55" t="s">
        <v>145</v>
      </c>
      <c r="F93" s="56"/>
      <c r="G93" s="56" t="str">
        <f t="shared" si="52"/>
        <v>Yes</v>
      </c>
      <c r="H93" s="56" t="str">
        <f t="shared" si="52"/>
        <v>Yes</v>
      </c>
      <c r="I93" s="56" t="str">
        <f t="shared" si="46"/>
        <v>No</v>
      </c>
      <c r="J93" s="56" t="str">
        <f t="shared" si="47"/>
        <v>No</v>
      </c>
      <c r="K93" s="56" t="str">
        <f t="shared" si="48"/>
        <v>Yes</v>
      </c>
      <c r="L93" s="56" t="s">
        <v>541</v>
      </c>
      <c r="M93" s="55" t="s">
        <v>544</v>
      </c>
      <c r="N93" s="134" t="s">
        <v>544</v>
      </c>
      <c r="O93" s="55" t="s">
        <v>544</v>
      </c>
      <c r="P93" s="55" t="s">
        <v>546</v>
      </c>
      <c r="Q93" s="55"/>
      <c r="R93" s="55"/>
      <c r="S93" s="956">
        <v>2530937679.3725696</v>
      </c>
      <c r="T93" s="55" t="s">
        <v>395</v>
      </c>
      <c r="U93" s="64" t="str">
        <f>IFERROR(IF(VLOOKUP(A93,'WB projects data'!$A$5:$C$83,3,0)="Approved",(VLOOKUP(A93,'WB projects data'!$A$5:$C$83,3,0)),""),"")</f>
        <v/>
      </c>
      <c r="V93" s="123" t="str">
        <f t="shared" si="35"/>
        <v/>
      </c>
      <c r="W93" s="123" t="str">
        <f>IFERROR((VLOOKUP($A93,'WB projects data'!$A$5:$J$83,6,0)*1000000),"")</f>
        <v/>
      </c>
      <c r="X93" s="123" t="str">
        <f>IFERROR((VLOOKUP($A93,'WB projects data'!$A$5:$J$83,7,0)*1000000),"")</f>
        <v/>
      </c>
      <c r="Y93" s="123" t="str">
        <f>IFERROR((VLOOKUP($A93,'WB projects data'!$A$5:$J$83,8,0)*1000000),"")</f>
        <v/>
      </c>
      <c r="Z93" s="123" t="str">
        <f>IFERROR((VLOOKUP($A93,'WB projects data'!$A$5:$J$83,9,0)*1000000),"")</f>
        <v/>
      </c>
      <c r="AA93" s="123" t="str">
        <f>IFERROR((VLOOKUP($A93,'WB projects data'!$A$5:$J$83,10,0)*1000000),"")</f>
        <v/>
      </c>
      <c r="AB93" s="55"/>
      <c r="AC93" s="110"/>
      <c r="AD93" s="110" t="str">
        <f>IFERROR(VLOOKUP(A93,'ADB Projects'!$A$4:$W$21,5,FALSE),"")</f>
        <v/>
      </c>
      <c r="AE93" s="132" t="str">
        <f>IF(AC93="Approved",(VLOOKUP($A93,'ADB Projects'!$A$5:$D$21,4,0)*1000000),"")</f>
        <v/>
      </c>
      <c r="AF93" s="585" t="str">
        <f>IF(AC93="Approved",(PRODUCT(VLOOKUP($A93,'ADB Projects'!$A$4:$W$21,6,FALSE),1000000)),"")</f>
        <v/>
      </c>
      <c r="AG93" s="585" t="str">
        <f>IF(AC93="Approved",(PRODUCT(VLOOKUP($A93,'ADB Projects'!$A$4:$W$21,7,FALSE),1000000)),"")</f>
        <v/>
      </c>
      <c r="AH93" s="585" t="str">
        <f>IF(AC93="Approved",(PRODUCT(VLOOKUP($A93,'ADB Projects'!$A$4:$W$21,8,FALSE),1000000)),"")</f>
        <v/>
      </c>
      <c r="AI93" s="55" t="s">
        <v>541</v>
      </c>
      <c r="AJ93" s="55"/>
      <c r="AK93" s="244"/>
      <c r="AL93" s="55"/>
      <c r="AM93" s="55"/>
      <c r="AN93" s="55"/>
      <c r="AO93" s="55"/>
      <c r="AP93" s="55"/>
      <c r="AQ93" s="602" t="str">
        <f t="shared" si="36"/>
        <v/>
      </c>
      <c r="AR93" s="602" t="str">
        <f>IFERROR(VLOOKUP($A93,'IDB C19 Vaccine Projects'!$O$4:$Q$12,2,FALSE),"")</f>
        <v/>
      </c>
      <c r="AS93" s="602" t="str">
        <f>IFERROR(VLOOKUP($A93,'IDB C19 Vaccine Projects'!$O$4:$Q$12,3,FALSE),"")</f>
        <v/>
      </c>
      <c r="AT93" s="55"/>
      <c r="AU93" s="88"/>
      <c r="AV93" s="55"/>
      <c r="AW93" s="55"/>
      <c r="AX93" s="88">
        <f>INDEX(USAID!$C$3:$C$151,MATCH('Matrix Allocations'!A93,USAID!$A$3:$A$151,0))</f>
        <v>3750000</v>
      </c>
      <c r="AY93" s="110"/>
      <c r="AZ93" s="88">
        <f>IFERROR(INDEX('[4]Vx All regions allocations'!O$10:O$144,MATCH(A93,'[4]Vx All regions allocations'!A$10:A$144,0)),"")</f>
        <v>200000</v>
      </c>
      <c r="BA93" s="88">
        <v>20000</v>
      </c>
      <c r="BB93" s="88">
        <v>66000</v>
      </c>
      <c r="BC93" s="88" t="str">
        <f>IFERROR(INDEX(DFAT!$K$4:$K$21,MATCH('Matrix Allocations'!A93,DFAT!$B$4:$B$21,0)),"")</f>
        <v/>
      </c>
      <c r="BD93" s="88"/>
      <c r="BE93" s="826" t="str">
        <f>IFERROR(IF(INDEX('GAVI CCE'!$E$3:$E$95,MATCH('Matrix Allocations'!A93,'GAVI CCE'!$A$3:$A$95,0))="Yes",INDEX('GAVI CCE'!$E$3:$E$95,MATCH('Matrix Allocations'!A93,'GAVI CCE'!$A$3:$A$95,0)),""),"")</f>
        <v>Yes</v>
      </c>
      <c r="BF93" s="88" t="str">
        <f>IFERROR(IF(BE93="Yes",INDEX('GAVI CCE'!$F$3:$F$95,MATCH('Matrix Allocations'!A93,'GAVI CCE'!$A$3:$A$95,0)),""),"")</f>
        <v xml:space="preserve"> $-   </v>
      </c>
      <c r="BG93" s="609" t="str">
        <f>IFERROR(IF(E93='CDS early access ceilings'!$A$94,(VLOOKUP(A93,'CDS early access ceilings'!$A$2:$D$92,4,FALSE)),""),"")</f>
        <v>UNICEF</v>
      </c>
      <c r="BH93" s="639" t="str">
        <f>IFERROR(INDEX(Table14[Status (clean)],MATCH('Matrix Allocations'!A93,Table14[ISO Code],0)),"")</f>
        <v/>
      </c>
      <c r="BI93" s="641" t="str">
        <f>IFERROR(INDEX(Table14[Amount disbursed (USD)],MATCH('Matrix Allocations'!A93,Table14[ISO Code],0)),"")</f>
        <v/>
      </c>
      <c r="BJ93" s="641" t="str">
        <f>IFERROR(INDEX('CDS NBW'!$I$2:$I$39,MATCH(A93,'CDS NBW'!$A$2:$A$39,0)),"")</f>
        <v>Disbursed</v>
      </c>
      <c r="BK93" s="641">
        <f>IFERROR(INDEX('CDS NBW'!$J$2:$J$39,MATCH(A93,'CDS NBW'!$A$2:$A$39,0)),"")</f>
        <v>100000</v>
      </c>
      <c r="BL93" s="609"/>
      <c r="BM93" s="609"/>
      <c r="BN93" s="609"/>
      <c r="BO93" s="609"/>
      <c r="BP93" s="609">
        <f>IFERROR(INDEX('UNICEF-BMZ'!$O$1:$O$199,MATCH('Matrix Allocations'!A93,'UNICEF-BMZ'!$B$1:$B$199,0)),"")</f>
        <v>50000</v>
      </c>
      <c r="BQ93" s="609" t="str">
        <f>IFERROR(VLOOKUP(A93,'BMGF_clean data'!$A$4:$C$30,3,FALSE),"")</f>
        <v/>
      </c>
      <c r="BR93" s="609"/>
      <c r="BS93" s="609"/>
      <c r="BT93" s="609"/>
      <c r="BU93" s="609"/>
      <c r="BV93" s="609"/>
      <c r="BW93" s="87">
        <f>INDEX(USAID!$D$3:$D$151,MATCH('Matrix Allocations'!A93,USAID!$A$3:$A$151,0))</f>
        <v>2500000</v>
      </c>
      <c r="BX93" s="87" t="str">
        <f>IFERROR(INDEX(DFAT!$L$4:$L$21,MATCH('Matrix Allocations'!A93,DFAT!$B$4:$B$21,0)),"")</f>
        <v/>
      </c>
      <c r="BY93" s="87" t="str">
        <f>IFERROR(INDEX(Table14[Funds Channelled through UNICEF],MATCH('Matrix Allocations'!A93,Table14[ISO Code],0)),"")</f>
        <v/>
      </c>
      <c r="BZ93" s="87">
        <f t="shared" si="34"/>
        <v>0</v>
      </c>
      <c r="CA93">
        <f t="shared" si="49"/>
        <v>37344787</v>
      </c>
      <c r="CB93" s="782">
        <f t="shared" si="42"/>
        <v>11203436.1</v>
      </c>
      <c r="CC93" s="791">
        <f t="shared" si="37"/>
        <v>4186000</v>
      </c>
      <c r="CD93" s="788">
        <f t="shared" si="43"/>
        <v>0.37363537066989655</v>
      </c>
      <c r="CE93" s="788">
        <f t="shared" si="44"/>
        <v>0.28022652800242237</v>
      </c>
      <c r="CF93" s="828">
        <f t="shared" si="45"/>
        <v>0.16012944457281281</v>
      </c>
      <c r="CG93" s="828">
        <f t="shared" si="38"/>
        <v>0.11209061120096896</v>
      </c>
      <c r="CH93" s="88">
        <f t="shared" si="50"/>
        <v>0</v>
      </c>
      <c r="CI93" s="88">
        <f t="shared" si="39"/>
        <v>3750000</v>
      </c>
      <c r="CJ93" s="742">
        <f t="shared" si="51"/>
        <v>0</v>
      </c>
      <c r="CK93" s="848">
        <f t="shared" si="40"/>
        <v>2700000</v>
      </c>
      <c r="CL93" s="88">
        <f t="shared" si="41"/>
        <v>336000</v>
      </c>
    </row>
    <row r="94" spans="1:90" ht="16" customHeight="1">
      <c r="A94" s="55" t="s">
        <v>642</v>
      </c>
      <c r="B94" s="55" t="s">
        <v>246</v>
      </c>
      <c r="C94" s="55" t="s">
        <v>128</v>
      </c>
      <c r="D94" s="55" t="s">
        <v>148</v>
      </c>
      <c r="E94" s="55" t="s">
        <v>145</v>
      </c>
      <c r="F94" s="56"/>
      <c r="G94" s="56" t="str">
        <f t="shared" si="52"/>
        <v>Yes</v>
      </c>
      <c r="H94" s="56" t="str">
        <f t="shared" si="52"/>
        <v>Yes</v>
      </c>
      <c r="I94" s="56" t="str">
        <f t="shared" si="46"/>
        <v>No</v>
      </c>
      <c r="J94" s="56" t="str">
        <f t="shared" si="47"/>
        <v>No</v>
      </c>
      <c r="K94" s="56" t="str">
        <f t="shared" si="48"/>
        <v>Yes</v>
      </c>
      <c r="L94" s="56" t="s">
        <v>541</v>
      </c>
      <c r="M94" s="55" t="s">
        <v>544</v>
      </c>
      <c r="N94" s="134" t="s">
        <v>541</v>
      </c>
      <c r="O94" s="55" t="s">
        <v>541</v>
      </c>
      <c r="P94" s="55" t="s">
        <v>583</v>
      </c>
      <c r="Q94" s="55" t="s">
        <v>541</v>
      </c>
      <c r="R94" s="55"/>
      <c r="S94" s="956">
        <v>251432156.86255455</v>
      </c>
      <c r="T94" s="55" t="s">
        <v>395</v>
      </c>
      <c r="U94" s="64" t="str">
        <f>IFERROR(IF(VLOOKUP(A94,'WB projects data'!$A$5:$C$83,3,0)="Approved",(VLOOKUP(A94,'WB projects data'!$A$5:$C$83,3,0)),""),"")</f>
        <v>Approved</v>
      </c>
      <c r="V94" s="123">
        <f t="shared" si="35"/>
        <v>215000000</v>
      </c>
      <c r="W94" s="123">
        <f>IFERROR((VLOOKUP($A94,'WB projects data'!$A$5:$J$83,6,0)*1000000),"")</f>
        <v>0</v>
      </c>
      <c r="X94" s="123">
        <f>IFERROR((VLOOKUP($A94,'WB projects data'!$A$5:$J$83,7,0)*1000000),"")</f>
        <v>215000000</v>
      </c>
      <c r="Y94" s="123">
        <f>IFERROR((VLOOKUP($A94,'WB projects data'!$A$5:$J$83,8,0)*1000000),"")</f>
        <v>70000000</v>
      </c>
      <c r="Z94" s="123">
        <f>IFERROR((VLOOKUP($A94,'WB projects data'!$A$5:$J$83,9,0)*1000000),"")</f>
        <v>25000000</v>
      </c>
      <c r="AA94" s="123">
        <f>IFERROR((VLOOKUP($A94,'WB projects data'!$A$5:$J$83,10,0)*1000000),"")</f>
        <v>20000000</v>
      </c>
      <c r="AB94" s="55"/>
      <c r="AC94" s="110"/>
      <c r="AD94" s="110" t="str">
        <f>IFERROR(VLOOKUP(A94,'ADB Projects'!$A$4:$W$21,5,FALSE),"")</f>
        <v/>
      </c>
      <c r="AE94" s="132" t="str">
        <f>IF(AC94="Approved",(VLOOKUP($A94,'ADB Projects'!$A$5:$D$21,4,0)*1000000),"")</f>
        <v/>
      </c>
      <c r="AF94" s="585" t="str">
        <f>IF(AC94="Approved",(PRODUCT(VLOOKUP($A94,'ADB Projects'!$A$4:$W$21,6,FALSE),1000000)),"")</f>
        <v/>
      </c>
      <c r="AG94" s="585" t="str">
        <f>IF(AC94="Approved",(PRODUCT(VLOOKUP($A94,'ADB Projects'!$A$4:$W$21,7,FALSE),1000000)),"")</f>
        <v/>
      </c>
      <c r="AH94" s="585" t="str">
        <f>IF(AC94="Approved",(PRODUCT(VLOOKUP($A94,'ADB Projects'!$A$4:$W$21,8,FALSE),1000000)),"")</f>
        <v/>
      </c>
      <c r="AI94" s="55"/>
      <c r="AJ94" s="55"/>
      <c r="AK94" s="244"/>
      <c r="AL94" s="55"/>
      <c r="AM94" s="55"/>
      <c r="AN94" s="55"/>
      <c r="AO94" s="55"/>
      <c r="AP94" s="55"/>
      <c r="AQ94" s="602" t="str">
        <f t="shared" si="36"/>
        <v/>
      </c>
      <c r="AR94" s="602" t="str">
        <f>IFERROR(VLOOKUP($A94,'IDB C19 Vaccine Projects'!$O$4:$Q$12,2,FALSE),"")</f>
        <v/>
      </c>
      <c r="AS94" s="602" t="str">
        <f>IFERROR(VLOOKUP($A94,'IDB C19 Vaccine Projects'!$O$4:$Q$12,3,FALSE),"")</f>
        <v/>
      </c>
      <c r="AT94" s="55"/>
      <c r="AU94" s="88">
        <v>741350</v>
      </c>
      <c r="AV94" s="55"/>
      <c r="AW94" s="55"/>
      <c r="AX94" s="88">
        <f>INDEX(USAID!$C$3:$C$151,MATCH('Matrix Allocations'!A94,USAID!$A$3:$A$151,0))</f>
        <v>3450000</v>
      </c>
      <c r="AY94" s="110">
        <v>669732</v>
      </c>
      <c r="AZ94" s="88">
        <f>IFERROR(INDEX('[4]Vx All regions allocations'!O$10:O$144,MATCH(A94,'[4]Vx All regions allocations'!A$10:A$144,0)),"")</f>
        <v>860469</v>
      </c>
      <c r="BA94" s="88">
        <v>229312.96296296295</v>
      </c>
      <c r="BB94" s="88">
        <v>572794.06000000006</v>
      </c>
      <c r="BC94" s="88" t="str">
        <f>IFERROR(INDEX(DFAT!$K$4:$K$21,MATCH('Matrix Allocations'!A94,DFAT!$B$4:$B$21,0)),"")</f>
        <v/>
      </c>
      <c r="BD94" s="88"/>
      <c r="BE94" s="826" t="str">
        <f>IFERROR(IF(INDEX('GAVI CCE'!$E$3:$E$95,MATCH('Matrix Allocations'!A94,'GAVI CCE'!$A$3:$A$95,0))="Yes",INDEX('GAVI CCE'!$E$3:$E$95,MATCH('Matrix Allocations'!A94,'GAVI CCE'!$A$3:$A$95,0)),""),"")</f>
        <v>Yes</v>
      </c>
      <c r="BF94" s="88">
        <f>IFERROR(IF(BE94="Yes",INDEX('GAVI CCE'!$F$3:$F$95,MATCH('Matrix Allocations'!A94,'GAVI CCE'!$A$3:$A$95,0)),""),"")</f>
        <v>322906</v>
      </c>
      <c r="BG94" s="609" t="str">
        <f>IFERROR(IF(E94='CDS early access ceilings'!$A$94,(VLOOKUP(A94,'CDS early access ceilings'!$A$2:$D$92,4,FALSE)),""),"")</f>
        <v>GAVI</v>
      </c>
      <c r="BH94" s="639" t="str">
        <f>IFERROR(INDEX(Table14[Status (clean)],MATCH('Matrix Allocations'!A94,Table14[ISO Code],0)),"")</f>
        <v>Disbursed</v>
      </c>
      <c r="BI94" s="641">
        <f>IFERROR(INDEX(Table14[Amount disbursed (USD)],MATCH('Matrix Allocations'!A94,Table14[ISO Code],0)),"")</f>
        <v>3299996</v>
      </c>
      <c r="BJ94" s="641" t="str">
        <f>IFERROR(INDEX('CDS NBW'!$I$2:$I$39,MATCH(A94,'CDS NBW'!$A$2:$A$39,0)),"")</f>
        <v/>
      </c>
      <c r="BK94" s="641" t="str">
        <f>IFERROR(INDEX('CDS NBW'!$J$2:$J$39,MATCH(A94,'CDS NBW'!$A$2:$A$39,0)),"")</f>
        <v/>
      </c>
      <c r="BL94" s="609"/>
      <c r="BM94" s="609"/>
      <c r="BN94" s="609"/>
      <c r="BO94" s="609"/>
      <c r="BP94" s="609">
        <f>IFERROR(INDEX('UNICEF-BMZ'!$O$1:$O$199,MATCH('Matrix Allocations'!A94,'UNICEF-BMZ'!$B$1:$B$199,0)),"")</f>
        <v>1425000</v>
      </c>
      <c r="BQ94" s="609">
        <f>IFERROR(VLOOKUP(A94,'BMGF_clean data'!$A$4:$C$30,3,FALSE),"")</f>
        <v>1328000</v>
      </c>
      <c r="BR94" s="609"/>
      <c r="BS94" s="609"/>
      <c r="BT94" s="609"/>
      <c r="BU94" s="609"/>
      <c r="BV94" s="609"/>
      <c r="BW94" s="87">
        <f>INDEX(USAID!$D$3:$D$151,MATCH('Matrix Allocations'!A94,USAID!$A$3:$A$151,0))</f>
        <v>0</v>
      </c>
      <c r="BX94" s="87" t="str">
        <f>IFERROR(INDEX(DFAT!$L$4:$L$21,MATCH('Matrix Allocations'!A94,DFAT!$B$4:$B$21,0)),"")</f>
        <v/>
      </c>
      <c r="BY94" s="87">
        <f>IFERROR(INDEX(Table14[Funds Channelled through UNICEF],MATCH('Matrix Allocations'!A94,Table14[ISO Code],0)),"")</f>
        <v>1625597</v>
      </c>
      <c r="BZ94" s="87">
        <f t="shared" si="34"/>
        <v>1625597</v>
      </c>
      <c r="CA94">
        <f t="shared" si="49"/>
        <v>32163045</v>
      </c>
      <c r="CB94" s="782">
        <f t="shared" si="42"/>
        <v>9648913.5</v>
      </c>
      <c r="CC94" s="791">
        <f t="shared" si="37"/>
        <v>37899560.022962965</v>
      </c>
      <c r="CD94" s="788">
        <f t="shared" si="43"/>
        <v>3.9278577865749305</v>
      </c>
      <c r="CE94" s="788">
        <f t="shared" si="44"/>
        <v>2.9458933399311977</v>
      </c>
      <c r="CF94" s="828">
        <f t="shared" si="45"/>
        <v>1.6833676228178274</v>
      </c>
      <c r="CG94" s="828">
        <f t="shared" si="38"/>
        <v>1.178357335972479</v>
      </c>
      <c r="CH94" s="88">
        <f t="shared" si="50"/>
        <v>25000000</v>
      </c>
      <c r="CI94" s="88">
        <f t="shared" si="39"/>
        <v>4119732</v>
      </c>
      <c r="CJ94" s="742">
        <f t="shared" si="51"/>
        <v>1328000</v>
      </c>
      <c r="CK94" s="848">
        <f t="shared" si="40"/>
        <v>3155798</v>
      </c>
      <c r="CL94" s="88">
        <f t="shared" si="41"/>
        <v>6591359.0229629632</v>
      </c>
    </row>
    <row r="95" spans="1:90" ht="16" customHeight="1">
      <c r="A95" s="55" t="s">
        <v>643</v>
      </c>
      <c r="B95" s="55" t="s">
        <v>247</v>
      </c>
      <c r="C95" s="55" t="s">
        <v>126</v>
      </c>
      <c r="D95" s="55" t="s">
        <v>150</v>
      </c>
      <c r="E95" s="55" t="s">
        <v>145</v>
      </c>
      <c r="F95" s="56"/>
      <c r="G95" s="56" t="str">
        <f t="shared" si="52"/>
        <v>Yes</v>
      </c>
      <c r="H95" s="56" t="str">
        <f t="shared" si="52"/>
        <v>Yes</v>
      </c>
      <c r="I95" s="56" t="str">
        <f t="shared" si="46"/>
        <v>No</v>
      </c>
      <c r="J95" s="56" t="str">
        <f t="shared" si="47"/>
        <v>No</v>
      </c>
      <c r="K95" s="56" t="str">
        <f t="shared" si="48"/>
        <v>Yes</v>
      </c>
      <c r="L95" s="56" t="s">
        <v>541</v>
      </c>
      <c r="M95" s="55" t="s">
        <v>544</v>
      </c>
      <c r="N95" s="134" t="s">
        <v>541</v>
      </c>
      <c r="O95" s="55" t="s">
        <v>541</v>
      </c>
      <c r="P95" s="55" t="s">
        <v>558</v>
      </c>
      <c r="Q95" s="55"/>
      <c r="R95" s="55"/>
      <c r="S95" s="956">
        <v>471534500.60109437</v>
      </c>
      <c r="T95" s="55" t="s">
        <v>395</v>
      </c>
      <c r="U95" s="64" t="str">
        <f>IFERROR(IF(VLOOKUP(A95,'WB projects data'!$A$5:$C$83,3,0)="Approved",(VLOOKUP(A95,'WB projects data'!$A$5:$C$83,3,0)),""),"")</f>
        <v/>
      </c>
      <c r="V95" s="123">
        <f t="shared" si="35"/>
        <v>0</v>
      </c>
      <c r="W95" s="123">
        <f>IFERROR((VLOOKUP($A95,'WB projects data'!$A$5:$J$83,6,0)*1000000),"")</f>
        <v>0</v>
      </c>
      <c r="X95" s="123">
        <f>IFERROR((VLOOKUP($A95,'WB projects data'!$A$5:$J$83,7,0)*1000000),"")</f>
        <v>0</v>
      </c>
      <c r="Y95" s="123">
        <f>IFERROR((VLOOKUP($A95,'WB projects data'!$A$5:$J$83,8,0)*1000000),"")</f>
        <v>0</v>
      </c>
      <c r="Z95" s="123">
        <f>IFERROR((VLOOKUP($A95,'WB projects data'!$A$5:$J$83,9,0)*1000000),"")</f>
        <v>0</v>
      </c>
      <c r="AA95" s="123">
        <f>IFERROR((VLOOKUP($A95,'WB projects data'!$A$5:$J$83,10,0)*1000000),"")</f>
        <v>0</v>
      </c>
      <c r="AB95" s="55"/>
      <c r="AC95" s="110"/>
      <c r="AD95" s="110" t="str">
        <f>IFERROR(VLOOKUP(A95,'ADB Projects'!$A$4:$W$21,5,FALSE),"")</f>
        <v/>
      </c>
      <c r="AE95" s="132" t="str">
        <f>IF(AC95="Approved",(VLOOKUP($A95,'ADB Projects'!$A$5:$D$21,4,0)*1000000),"")</f>
        <v/>
      </c>
      <c r="AF95" s="585" t="str">
        <f>IF(AC95="Approved",(PRODUCT(VLOOKUP($A95,'ADB Projects'!$A$4:$W$21,6,FALSE),1000000)),"")</f>
        <v/>
      </c>
      <c r="AG95" s="585" t="str">
        <f>IF(AC95="Approved",(PRODUCT(VLOOKUP($A95,'ADB Projects'!$A$4:$W$21,7,FALSE),1000000)),"")</f>
        <v/>
      </c>
      <c r="AH95" s="585" t="str">
        <f>IF(AC95="Approved",(PRODUCT(VLOOKUP($A95,'ADB Projects'!$A$4:$W$21,8,FALSE),1000000)),"")</f>
        <v/>
      </c>
      <c r="AI95" s="55"/>
      <c r="AJ95" s="55"/>
      <c r="AK95" s="244"/>
      <c r="AL95" s="55"/>
      <c r="AM95" s="55"/>
      <c r="AN95" s="55"/>
      <c r="AO95" s="55"/>
      <c r="AP95" s="55"/>
      <c r="AQ95" s="602" t="str">
        <f t="shared" si="36"/>
        <v/>
      </c>
      <c r="AR95" s="602" t="str">
        <f>IFERROR(VLOOKUP($A95,'IDB C19 Vaccine Projects'!$O$4:$Q$12,2,FALSE),"")</f>
        <v/>
      </c>
      <c r="AS95" s="602" t="str">
        <f>IFERROR(VLOOKUP($A95,'IDB C19 Vaccine Projects'!$O$4:$Q$12,3,FALSE),"")</f>
        <v/>
      </c>
      <c r="AT95" s="55"/>
      <c r="AU95" s="88"/>
      <c r="AV95" s="55"/>
      <c r="AW95" s="55"/>
      <c r="AX95" s="88">
        <f>INDEX(USAID!$C$3:$C$151,MATCH('Matrix Allocations'!A95,USAID!$A$3:$A$151,0))</f>
        <v>2550000</v>
      </c>
      <c r="AY95" s="110">
        <v>1773821</v>
      </c>
      <c r="AZ95" s="88">
        <f>IFERROR(INDEX('[4]Vx All regions allocations'!O$10:O$144,MATCH(A95,'[4]Vx All regions allocations'!A$10:A$144,0)),"")</f>
        <v>1240000</v>
      </c>
      <c r="BA95" s="88">
        <v>505999.99999999994</v>
      </c>
      <c r="BB95" s="88">
        <v>630498</v>
      </c>
      <c r="BC95" s="88">
        <f>IFERROR(INDEX(DFAT!$K$4:$K$21,MATCH('Matrix Allocations'!A95,DFAT!$B$4:$B$21,0)),"")</f>
        <v>0</v>
      </c>
      <c r="BD95" s="88"/>
      <c r="BE95" s="826" t="str">
        <f>IFERROR(IF(INDEX('GAVI CCE'!$E$3:$E$95,MATCH('Matrix Allocations'!A95,'GAVI CCE'!$A$3:$A$95,0))="Yes",INDEX('GAVI CCE'!$E$3:$E$95,MATCH('Matrix Allocations'!A95,'GAVI CCE'!$A$3:$A$95,0)),""),"")</f>
        <v/>
      </c>
      <c r="BF95" s="88" t="str">
        <f>IFERROR(IF(BE95="Yes",INDEX('GAVI CCE'!$F$3:$F$95,MATCH('Matrix Allocations'!A95,'GAVI CCE'!$A$3:$A$95,0)),""),"")</f>
        <v/>
      </c>
      <c r="BG95" s="609" t="str">
        <f>IFERROR(IF(E95='CDS early access ceilings'!$A$94,(VLOOKUP(A95,'CDS early access ceilings'!$A$2:$D$92,4,FALSE)),""),"")</f>
        <v>GAVI</v>
      </c>
      <c r="BH95" s="639" t="str">
        <f>IFERROR(INDEX(Table14[Status (clean)],MATCH('Matrix Allocations'!A95,Table14[ISO Code],0)),"")</f>
        <v>Disbursed</v>
      </c>
      <c r="BI95" s="641">
        <f>IFERROR(INDEX(Table14[Amount disbursed (USD)],MATCH('Matrix Allocations'!A95,Table14[ISO Code],0)),"")</f>
        <v>0</v>
      </c>
      <c r="BJ95" s="641" t="str">
        <f>IFERROR(INDEX('CDS NBW'!$I$2:$I$39,MATCH(A95,'CDS NBW'!$A$2:$A$39,0)),"")</f>
        <v/>
      </c>
      <c r="BK95" s="641" t="str">
        <f>IFERROR(INDEX('CDS NBW'!$J$2:$J$39,MATCH(A95,'CDS NBW'!$A$2:$A$39,0)),"")</f>
        <v/>
      </c>
      <c r="BL95" s="609"/>
      <c r="BM95" s="609"/>
      <c r="BN95" s="609"/>
      <c r="BO95" s="609"/>
      <c r="BP95" s="609">
        <f>IFERROR(INDEX('UNICEF-BMZ'!$O$1:$O$199,MATCH('Matrix Allocations'!A95,'UNICEF-BMZ'!$B$1:$B$199,0)),"")</f>
        <v>295000</v>
      </c>
      <c r="BQ95" s="609" t="str">
        <f>IFERROR(VLOOKUP(A95,'BMGF_clean data'!$A$4:$C$30,3,FALSE),"")</f>
        <v/>
      </c>
      <c r="BR95" s="609"/>
      <c r="BS95" s="609"/>
      <c r="BT95" s="609"/>
      <c r="BU95" s="609"/>
      <c r="BV95" s="609"/>
      <c r="BW95" s="87">
        <f>INDEX(USAID!$D$3:$D$151,MATCH('Matrix Allocations'!A95,USAID!$A$3:$A$151,0))</f>
        <v>783056</v>
      </c>
      <c r="BX95" s="87">
        <f>IFERROR(INDEX(DFAT!$L$4:$L$21,MATCH('Matrix Allocations'!A95,DFAT!$B$4:$B$21,0)),"")</f>
        <v>0</v>
      </c>
      <c r="BY95" s="87">
        <f>IFERROR(INDEX(Table14[Funds Channelled through UNICEF],MATCH('Matrix Allocations'!A95,Table14[ISO Code],0)),"")</f>
        <v>0</v>
      </c>
      <c r="BZ95" s="87">
        <f t="shared" si="34"/>
        <v>0</v>
      </c>
      <c r="CA95">
        <f t="shared" si="49"/>
        <v>54806014</v>
      </c>
      <c r="CB95" s="782">
        <f t="shared" si="42"/>
        <v>16441804.199999999</v>
      </c>
      <c r="CC95" s="791">
        <f t="shared" si="37"/>
        <v>6995319</v>
      </c>
      <c r="CD95" s="788">
        <f t="shared" si="43"/>
        <v>0.42545933006549247</v>
      </c>
      <c r="CE95" s="788">
        <f t="shared" si="44"/>
        <v>0.31909449754911934</v>
      </c>
      <c r="CF95" s="828">
        <f t="shared" si="45"/>
        <v>0.18233971288521106</v>
      </c>
      <c r="CG95" s="828">
        <f t="shared" si="38"/>
        <v>0.12763779901964772</v>
      </c>
      <c r="CH95" s="88">
        <f t="shared" si="50"/>
        <v>0</v>
      </c>
      <c r="CI95" s="88">
        <f t="shared" si="39"/>
        <v>4323821</v>
      </c>
      <c r="CJ95" s="742">
        <f t="shared" si="51"/>
        <v>0</v>
      </c>
      <c r="CK95" s="848">
        <f t="shared" si="40"/>
        <v>3796877</v>
      </c>
      <c r="CL95" s="88">
        <f t="shared" si="41"/>
        <v>1431498</v>
      </c>
    </row>
    <row r="96" spans="1:90" ht="16" customHeight="1">
      <c r="A96" s="147" t="s">
        <v>644</v>
      </c>
      <c r="B96" s="147" t="s">
        <v>248</v>
      </c>
      <c r="C96" s="55" t="s">
        <v>128</v>
      </c>
      <c r="D96" s="55" t="s">
        <v>152</v>
      </c>
      <c r="E96" s="55" t="s">
        <v>146</v>
      </c>
      <c r="F96" s="56"/>
      <c r="G96" s="56" t="str">
        <f t="shared" si="52"/>
        <v>Yes</v>
      </c>
      <c r="H96" s="56" t="str">
        <f t="shared" si="52"/>
        <v>Yes</v>
      </c>
      <c r="I96" s="56" t="str">
        <f t="shared" si="46"/>
        <v>No</v>
      </c>
      <c r="J96" s="56" t="str">
        <f t="shared" si="47"/>
        <v>No</v>
      </c>
      <c r="K96" s="56" t="str">
        <f t="shared" si="48"/>
        <v>Yes</v>
      </c>
      <c r="L96" s="56" t="s">
        <v>541</v>
      </c>
      <c r="M96" s="55" t="s">
        <v>544</v>
      </c>
      <c r="N96" s="134" t="s">
        <v>544</v>
      </c>
      <c r="O96" s="55" t="s">
        <v>544</v>
      </c>
      <c r="P96" s="55"/>
      <c r="Q96" s="55"/>
      <c r="R96" s="55"/>
      <c r="S96" s="956">
        <v>531677611.80447447</v>
      </c>
      <c r="T96" s="55" t="s">
        <v>395</v>
      </c>
      <c r="U96" s="64" t="str">
        <f>IFERROR(IF(VLOOKUP(A96,'WB projects data'!$A$5:$C$83,3,0)="Approved",(VLOOKUP(A96,'WB projects data'!$A$5:$C$83,3,0)),""),"")</f>
        <v/>
      </c>
      <c r="V96" s="123" t="str">
        <f t="shared" si="35"/>
        <v/>
      </c>
      <c r="W96" s="123" t="str">
        <f>IFERROR((VLOOKUP($A96,'WB projects data'!$A$5:$J$83,6,0)*1000000),"")</f>
        <v/>
      </c>
      <c r="X96" s="123" t="str">
        <f>IFERROR((VLOOKUP($A96,'WB projects data'!$A$5:$J$83,7,0)*1000000),"")</f>
        <v/>
      </c>
      <c r="Y96" s="123" t="str">
        <f>IFERROR((VLOOKUP($A96,'WB projects data'!$A$5:$J$83,8,0)*1000000),"")</f>
        <v/>
      </c>
      <c r="Z96" s="123" t="str">
        <f>IFERROR((VLOOKUP($A96,'WB projects data'!$A$5:$J$83,9,0)*1000000),"")</f>
        <v/>
      </c>
      <c r="AA96" s="123" t="str">
        <f>IFERROR((VLOOKUP($A96,'WB projects data'!$A$5:$J$83,10,0)*1000000),"")</f>
        <v/>
      </c>
      <c r="AB96" s="55"/>
      <c r="AC96" s="110"/>
      <c r="AD96" s="110" t="str">
        <f>IFERROR(VLOOKUP(A96,'ADB Projects'!$A$4:$W$21,5,FALSE),"")</f>
        <v/>
      </c>
      <c r="AE96" s="132" t="str">
        <f>IF(AC96="Approved",(VLOOKUP($A96,'ADB Projects'!$A$5:$D$21,4,0)*1000000),"")</f>
        <v/>
      </c>
      <c r="AF96" s="585" t="str">
        <f>IF(AC96="Approved",(PRODUCT(VLOOKUP($A96,'ADB Projects'!$A$4:$W$21,6,FALSE),1000000)),"")</f>
        <v/>
      </c>
      <c r="AG96" s="585" t="str">
        <f>IF(AC96="Approved",(PRODUCT(VLOOKUP($A96,'ADB Projects'!$A$4:$W$21,7,FALSE),1000000)),"")</f>
        <v/>
      </c>
      <c r="AH96" s="585" t="str">
        <f>IF(AC96="Approved",(PRODUCT(VLOOKUP($A96,'ADB Projects'!$A$4:$W$21,8,FALSE),1000000)),"")</f>
        <v/>
      </c>
      <c r="AI96" s="55"/>
      <c r="AJ96" s="55"/>
      <c r="AK96" s="244"/>
      <c r="AL96" s="55"/>
      <c r="AM96" s="55"/>
      <c r="AN96" s="55"/>
      <c r="AO96" s="55"/>
      <c r="AP96" s="55"/>
      <c r="AQ96" s="602" t="str">
        <f t="shared" si="36"/>
        <v/>
      </c>
      <c r="AR96" s="602" t="str">
        <f>IFERROR(VLOOKUP($A96,'IDB C19 Vaccine Projects'!$O$4:$Q$12,2,FALSE),"")</f>
        <v/>
      </c>
      <c r="AS96" s="602" t="str">
        <f>IFERROR(VLOOKUP($A96,'IDB C19 Vaccine Projects'!$O$4:$Q$12,3,FALSE),"")</f>
        <v/>
      </c>
      <c r="AT96" s="55"/>
      <c r="AU96" s="88"/>
      <c r="AV96" s="55"/>
      <c r="AW96" s="55"/>
      <c r="AX96" s="88">
        <f>INDEX(USAID!$C$3:$C$151,MATCH('Matrix Allocations'!A96,USAID!$A$3:$A$151,0))</f>
        <v>3000000</v>
      </c>
      <c r="AY96" s="110"/>
      <c r="AZ96" s="88">
        <f>IFERROR(INDEX('[4]Vx All regions allocations'!O$10:O$144,MATCH(A96,'[4]Vx All regions allocations'!A$10:A$144,0)),"")</f>
        <v>1642000</v>
      </c>
      <c r="BA96" s="88">
        <v>0</v>
      </c>
      <c r="BB96" s="88">
        <v>0</v>
      </c>
      <c r="BC96" s="88" t="str">
        <f>IFERROR(INDEX(DFAT!$K$4:$K$21,MATCH('Matrix Allocations'!A96,DFAT!$B$4:$B$21,0)),"")</f>
        <v/>
      </c>
      <c r="BD96" s="88"/>
      <c r="BE96" s="826" t="str">
        <f>IFERROR(IF(INDEX('GAVI CCE'!$E$3:$E$95,MATCH('Matrix Allocations'!A96,'GAVI CCE'!$A$3:$A$95,0))="Yes",INDEX('GAVI CCE'!$E$3:$E$95,MATCH('Matrix Allocations'!A96,'GAVI CCE'!$A$3:$A$95,0)),""),"")</f>
        <v/>
      </c>
      <c r="BF96" s="88" t="str">
        <f>IFERROR(IF(BE96="Yes",INDEX('GAVI CCE'!$F$3:$F$95,MATCH('Matrix Allocations'!A96,'GAVI CCE'!$A$3:$A$95,0)),""),"")</f>
        <v/>
      </c>
      <c r="BG96" s="609" t="str">
        <f>IFERROR(IF(E96='CDS early access ceilings'!$A$94,(VLOOKUP(A96,'CDS early access ceilings'!$A$2:$D$92,4,FALSE)),""),"")</f>
        <v/>
      </c>
      <c r="BH96" s="639" t="str">
        <f>IFERROR(INDEX(Table14[Status (clean)],MATCH('Matrix Allocations'!A96,Table14[ISO Code],0)),"")</f>
        <v/>
      </c>
      <c r="BI96" s="641" t="str">
        <f>IFERROR(INDEX(Table14[Amount disbursed (USD)],MATCH('Matrix Allocations'!A96,Table14[ISO Code],0)),"")</f>
        <v/>
      </c>
      <c r="BJ96" s="641" t="str">
        <f>IFERROR(INDEX('CDS NBW'!$I$2:$I$39,MATCH(A96,'CDS NBW'!$A$2:$A$39,0)),"")</f>
        <v/>
      </c>
      <c r="BK96" s="641" t="str">
        <f>IFERROR(INDEX('CDS NBW'!$J$2:$J$39,MATCH(A96,'CDS NBW'!$A$2:$A$39,0)),"")</f>
        <v/>
      </c>
      <c r="BL96" s="609"/>
      <c r="BM96" s="609"/>
      <c r="BN96" s="609"/>
      <c r="BO96" s="609"/>
      <c r="BP96" s="609">
        <f>IFERROR(INDEX('UNICEF-BMZ'!$O$1:$O$199,MATCH('Matrix Allocations'!A96,'UNICEF-BMZ'!$B$1:$B$199,0)),"")</f>
        <v>0</v>
      </c>
      <c r="BQ96" s="609" t="str">
        <f>IFERROR(VLOOKUP(A96,'BMGF_clean data'!$A$4:$C$30,3,FALSE),"")</f>
        <v/>
      </c>
      <c r="BR96" s="609"/>
      <c r="BS96" s="609"/>
      <c r="BT96" s="609"/>
      <c r="BU96" s="609"/>
      <c r="BV96" s="609"/>
      <c r="BW96" s="87">
        <f>INDEX(USAID!$D$3:$D$151,MATCH('Matrix Allocations'!A96,USAID!$A$3:$A$151,0))</f>
        <v>0</v>
      </c>
      <c r="BX96" s="87" t="str">
        <f>IFERROR(INDEX(DFAT!$L$4:$L$21,MATCH('Matrix Allocations'!A96,DFAT!$B$4:$B$21,0)),"")</f>
        <v/>
      </c>
      <c r="BY96" s="87" t="str">
        <f>IFERROR(INDEX(Table14[Funds Channelled through UNICEF],MATCH('Matrix Allocations'!A96,Table14[ISO Code],0)),"")</f>
        <v/>
      </c>
      <c r="BZ96" s="87">
        <f t="shared" si="34"/>
        <v>0</v>
      </c>
      <c r="CA96">
        <f t="shared" si="49"/>
        <v>2587344</v>
      </c>
      <c r="CB96" s="782">
        <f t="shared" si="42"/>
        <v>776203.2</v>
      </c>
      <c r="CC96" s="791">
        <f t="shared" si="37"/>
        <v>4642000</v>
      </c>
      <c r="CD96" s="788">
        <f t="shared" si="43"/>
        <v>5.9803927631321283</v>
      </c>
      <c r="CE96" s="788">
        <f t="shared" si="44"/>
        <v>4.4852945723490958</v>
      </c>
      <c r="CF96" s="828">
        <f t="shared" si="45"/>
        <v>2.5630254699137693</v>
      </c>
      <c r="CG96" s="828">
        <f t="shared" si="38"/>
        <v>1.7941178289396384</v>
      </c>
      <c r="CH96" s="88">
        <f t="shared" si="50"/>
        <v>0</v>
      </c>
      <c r="CI96" s="88">
        <f t="shared" si="39"/>
        <v>3000000</v>
      </c>
      <c r="CJ96" s="742">
        <f t="shared" si="51"/>
        <v>0</v>
      </c>
      <c r="CK96" s="848">
        <f t="shared" si="40"/>
        <v>1642000</v>
      </c>
      <c r="CL96" s="88">
        <f t="shared" si="41"/>
        <v>0</v>
      </c>
    </row>
    <row r="97" spans="1:90" ht="16" customHeight="1">
      <c r="A97" s="147" t="s">
        <v>645</v>
      </c>
      <c r="B97" s="147" t="s">
        <v>249</v>
      </c>
      <c r="C97" s="55" t="s">
        <v>126</v>
      </c>
      <c r="D97" s="55" t="s">
        <v>550</v>
      </c>
      <c r="E97" s="55" t="s">
        <v>146</v>
      </c>
      <c r="F97" s="56"/>
      <c r="G97" s="56" t="str">
        <f t="shared" si="52"/>
        <v>Yes</v>
      </c>
      <c r="H97" s="56" t="str">
        <f t="shared" si="52"/>
        <v>Yes</v>
      </c>
      <c r="I97" s="56" t="str">
        <f t="shared" si="46"/>
        <v>No</v>
      </c>
      <c r="J97" s="56" t="str">
        <f t="shared" si="47"/>
        <v>No</v>
      </c>
      <c r="K97" s="56" t="str">
        <f t="shared" si="48"/>
        <v>Yes</v>
      </c>
      <c r="L97" s="56" t="s">
        <v>541</v>
      </c>
      <c r="M97" s="55" t="s">
        <v>544</v>
      </c>
      <c r="N97" s="134" t="s">
        <v>544</v>
      </c>
      <c r="O97" s="55" t="s">
        <v>544</v>
      </c>
      <c r="P97" s="55"/>
      <c r="Q97" s="55"/>
      <c r="R97" s="55"/>
      <c r="S97" s="956">
        <v>8528751.6418357007</v>
      </c>
      <c r="T97" s="55" t="s">
        <v>395</v>
      </c>
      <c r="U97" s="64" t="str">
        <f>IFERROR(IF(VLOOKUP(A97,'WB projects data'!$A$5:$C$83,3,0)="Approved",(VLOOKUP(A97,'WB projects data'!$A$5:$C$83,3,0)),""),"")</f>
        <v/>
      </c>
      <c r="V97" s="123" t="str">
        <f t="shared" si="35"/>
        <v/>
      </c>
      <c r="W97" s="123" t="str">
        <f>IFERROR((VLOOKUP($A97,'WB projects data'!$A$5:$J$83,6,0)*1000000),"")</f>
        <v/>
      </c>
      <c r="X97" s="123" t="str">
        <f>IFERROR((VLOOKUP($A97,'WB projects data'!$A$5:$J$83,7,0)*1000000),"")</f>
        <v/>
      </c>
      <c r="Y97" s="123" t="str">
        <f>IFERROR((VLOOKUP($A97,'WB projects data'!$A$5:$J$83,8,0)*1000000),"")</f>
        <v/>
      </c>
      <c r="Z97" s="123" t="str">
        <f>IFERROR((VLOOKUP($A97,'WB projects data'!$A$5:$J$83,9,0)*1000000),"")</f>
        <v/>
      </c>
      <c r="AA97" s="123" t="str">
        <f>IFERROR((VLOOKUP($A97,'WB projects data'!$A$5:$J$83,10,0)*1000000),"")</f>
        <v/>
      </c>
      <c r="AB97" s="55"/>
      <c r="AC97" s="110"/>
      <c r="AD97" s="110" t="str">
        <f>IFERROR(VLOOKUP(A97,'ADB Projects'!$A$4:$W$21,5,FALSE),"")</f>
        <v/>
      </c>
      <c r="AE97" s="132" t="str">
        <f>IF(AC97="Approved",(VLOOKUP($A97,'ADB Projects'!$A$5:$D$21,4,0)*1000000),"")</f>
        <v/>
      </c>
      <c r="AF97" s="585" t="str">
        <f>IF(AC97="Approved",(PRODUCT(VLOOKUP($A97,'ADB Projects'!$A$4:$W$21,6,FALSE),1000000)),"")</f>
        <v/>
      </c>
      <c r="AG97" s="585" t="str">
        <f>IF(AC97="Approved",(PRODUCT(VLOOKUP($A97,'ADB Projects'!$A$4:$W$21,7,FALSE),1000000)),"")</f>
        <v/>
      </c>
      <c r="AH97" s="585" t="str">
        <f>IF(AC97="Approved",(PRODUCT(VLOOKUP($A97,'ADB Projects'!$A$4:$W$21,8,FALSE),1000000)),"")</f>
        <v/>
      </c>
      <c r="AI97" s="55"/>
      <c r="AJ97" s="55"/>
      <c r="AK97" s="244"/>
      <c r="AL97" s="55" t="s">
        <v>541</v>
      </c>
      <c r="AM97" s="55"/>
      <c r="AN97" s="55"/>
      <c r="AO97" s="55"/>
      <c r="AP97" s="55"/>
      <c r="AQ97" s="602" t="str">
        <f t="shared" si="36"/>
        <v/>
      </c>
      <c r="AR97" s="602" t="str">
        <f>IFERROR(VLOOKUP($A97,'IDB C19 Vaccine Projects'!$O$4:$Q$12,2,FALSE),"")</f>
        <v/>
      </c>
      <c r="AS97" s="602" t="str">
        <f>IFERROR(VLOOKUP($A97,'IDB C19 Vaccine Projects'!$O$4:$Q$12,3,FALSE),"")</f>
        <v/>
      </c>
      <c r="AT97" s="55"/>
      <c r="AU97" s="88"/>
      <c r="AV97" s="55"/>
      <c r="AW97" s="55"/>
      <c r="AX97" s="88" t="str">
        <f>INDEX(USAID!$C$3:$C$151,MATCH('Matrix Allocations'!A97,USAID!$A$3:$A$151,0))</f>
        <v/>
      </c>
      <c r="AY97" s="110"/>
      <c r="AZ97" s="88" t="str">
        <f>IFERROR(INDEX('[4]Vx All regions allocations'!O$10:O$144,MATCH(A97,'[4]Vx All regions allocations'!A$10:A$144,0)),"")</f>
        <v/>
      </c>
      <c r="BA97" s="88">
        <v>0</v>
      </c>
      <c r="BB97" s="88">
        <v>0</v>
      </c>
      <c r="BC97" s="88">
        <f>IFERROR(INDEX(DFAT!$K$4:$K$21,MATCH('Matrix Allocations'!A97,DFAT!$B$4:$B$21,0)),"")</f>
        <v>0</v>
      </c>
      <c r="BD97" s="88"/>
      <c r="BE97" s="826" t="str">
        <f>IFERROR(IF(INDEX('GAVI CCE'!$E$3:$E$95,MATCH('Matrix Allocations'!A97,'GAVI CCE'!$A$3:$A$95,0))="Yes",INDEX('GAVI CCE'!$E$3:$E$95,MATCH('Matrix Allocations'!A97,'GAVI CCE'!$A$3:$A$95,0)),""),"")</f>
        <v/>
      </c>
      <c r="BF97" s="88" t="str">
        <f>IFERROR(IF(BE97="Yes",INDEX('GAVI CCE'!$F$3:$F$95,MATCH('Matrix Allocations'!A97,'GAVI CCE'!$A$3:$A$95,0)),""),"")</f>
        <v/>
      </c>
      <c r="BG97" s="609" t="str">
        <f>IFERROR(IF(E97='CDS early access ceilings'!$A$94,(VLOOKUP(A97,'CDS early access ceilings'!$A$2:$D$92,4,FALSE)),""),"")</f>
        <v/>
      </c>
      <c r="BH97" s="639" t="str">
        <f>IFERROR(INDEX(Table14[Status (clean)],MATCH('Matrix Allocations'!A97,Table14[ISO Code],0)),"")</f>
        <v/>
      </c>
      <c r="BI97" s="641" t="str">
        <f>IFERROR(INDEX(Table14[Amount disbursed (USD)],MATCH('Matrix Allocations'!A97,Table14[ISO Code],0)),"")</f>
        <v/>
      </c>
      <c r="BJ97" s="641" t="str">
        <f>IFERROR(INDEX('CDS NBW'!$I$2:$I$39,MATCH(A97,'CDS NBW'!$A$2:$A$39,0)),"")</f>
        <v/>
      </c>
      <c r="BK97" s="641" t="str">
        <f>IFERROR(INDEX('CDS NBW'!$J$2:$J$39,MATCH(A97,'CDS NBW'!$A$2:$A$39,0)),"")</f>
        <v/>
      </c>
      <c r="BL97" s="609"/>
      <c r="BM97" s="609"/>
      <c r="BN97" s="609"/>
      <c r="BO97" s="609"/>
      <c r="BP97" s="609" t="str">
        <f>IFERROR(INDEX('UNICEF-BMZ'!$O$1:$O$199,MATCH('Matrix Allocations'!A97,'UNICEF-BMZ'!$B$1:$B$199,0)),"")</f>
        <v/>
      </c>
      <c r="BQ97" s="609" t="str">
        <f>IFERROR(VLOOKUP(A97,'BMGF_clean data'!$A$4:$C$30,3,FALSE),"")</f>
        <v/>
      </c>
      <c r="BR97" s="609"/>
      <c r="BS97" s="609"/>
      <c r="BT97" s="609"/>
      <c r="BU97" s="609"/>
      <c r="BV97" s="609"/>
      <c r="BW97" s="87">
        <f>INDEX(USAID!$D$3:$D$151,MATCH('Matrix Allocations'!A97,USAID!$A$3:$A$151,0))</f>
        <v>0</v>
      </c>
      <c r="BX97" s="87">
        <f>IFERROR(INDEX(DFAT!$L$4:$L$21,MATCH('Matrix Allocations'!A97,DFAT!$B$4:$B$21,0)),"")</f>
        <v>0</v>
      </c>
      <c r="BY97" s="87" t="str">
        <f>IFERROR(INDEX(Table14[Funds Channelled through UNICEF],MATCH('Matrix Allocations'!A97,Table14[ISO Code],0)),"")</f>
        <v/>
      </c>
      <c r="BZ97" s="87">
        <f t="shared" si="34"/>
        <v>0</v>
      </c>
      <c r="CA97">
        <f t="shared" si="49"/>
        <v>10834</v>
      </c>
      <c r="CB97" s="782">
        <f t="shared" si="42"/>
        <v>3250.2</v>
      </c>
      <c r="CC97" s="791">
        <f t="shared" si="37"/>
        <v>0</v>
      </c>
      <c r="CD97" s="788">
        <f t="shared" si="43"/>
        <v>0</v>
      </c>
      <c r="CE97" s="788">
        <f t="shared" si="44"/>
        <v>0</v>
      </c>
      <c r="CF97" s="828">
        <f t="shared" si="45"/>
        <v>0</v>
      </c>
      <c r="CG97" s="828">
        <f t="shared" si="38"/>
        <v>0</v>
      </c>
      <c r="CH97" s="88">
        <f t="shared" si="50"/>
        <v>0</v>
      </c>
      <c r="CI97" s="88">
        <f t="shared" si="39"/>
        <v>0</v>
      </c>
      <c r="CJ97" s="742">
        <f t="shared" si="51"/>
        <v>0</v>
      </c>
      <c r="CK97" s="848">
        <f t="shared" si="40"/>
        <v>0</v>
      </c>
      <c r="CL97" s="88">
        <f t="shared" si="41"/>
        <v>0</v>
      </c>
    </row>
    <row r="98" spans="1:90" ht="16" customHeight="1">
      <c r="A98" s="55" t="s">
        <v>646</v>
      </c>
      <c r="B98" s="55" t="s">
        <v>250</v>
      </c>
      <c r="C98" s="55" t="s">
        <v>132</v>
      </c>
      <c r="D98" s="55" t="s">
        <v>150</v>
      </c>
      <c r="E98" s="55" t="s">
        <v>145</v>
      </c>
      <c r="F98" s="56"/>
      <c r="G98" s="56" t="str">
        <f t="shared" si="52"/>
        <v>No</v>
      </c>
      <c r="H98" s="56" t="str">
        <f t="shared" si="52"/>
        <v>No</v>
      </c>
      <c r="I98" s="56" t="str">
        <f t="shared" si="46"/>
        <v>No</v>
      </c>
      <c r="J98" s="56" t="str">
        <f t="shared" si="47"/>
        <v>Yes</v>
      </c>
      <c r="K98" s="56" t="str">
        <f t="shared" si="48"/>
        <v>No</v>
      </c>
      <c r="L98" s="56" t="s">
        <v>541</v>
      </c>
      <c r="M98" s="55" t="s">
        <v>544</v>
      </c>
      <c r="N98" s="134" t="s">
        <v>541</v>
      </c>
      <c r="O98" s="55" t="s">
        <v>541</v>
      </c>
      <c r="P98" s="55" t="s">
        <v>558</v>
      </c>
      <c r="Q98" s="55"/>
      <c r="R98" s="55"/>
      <c r="S98" s="956">
        <v>407084543.19089872</v>
      </c>
      <c r="T98" s="55" t="s">
        <v>394</v>
      </c>
      <c r="U98" s="64" t="str">
        <f>IFERROR(IF(VLOOKUP(A98,'WB projects data'!$A$5:$C$83,3,0)="Approved",(VLOOKUP(A98,'WB projects data'!$A$5:$C$83,3,0)),""),"")</f>
        <v>Approved</v>
      </c>
      <c r="V98" s="123">
        <f t="shared" si="35"/>
        <v>75000000</v>
      </c>
      <c r="W98" s="123">
        <f>IFERROR((VLOOKUP($A98,'WB projects data'!$A$5:$J$83,6,0)*1000000),"")</f>
        <v>75000000</v>
      </c>
      <c r="X98" s="123">
        <f>IFERROR((VLOOKUP($A98,'WB projects data'!$A$5:$J$83,7,0)*1000000),"")</f>
        <v>0</v>
      </c>
      <c r="Y98" s="123">
        <f>IFERROR((VLOOKUP($A98,'WB projects data'!$A$5:$J$83,8,0)*1000000),"")</f>
        <v>62600000</v>
      </c>
      <c r="Z98" s="123">
        <f>IFERROR((VLOOKUP($A98,'WB projects data'!$A$5:$J$83,9,0)*1000000),"")</f>
        <v>10900000</v>
      </c>
      <c r="AA98" s="123">
        <f>IFERROR((VLOOKUP($A98,'WB projects data'!$A$5:$J$83,10,0)*1000000),"")</f>
        <v>1500000</v>
      </c>
      <c r="AB98" s="55"/>
      <c r="AC98" s="110" t="str">
        <f>VLOOKUP($A98,'ADB Projects'!$A$5:$D$21,3,0)</f>
        <v>Approved</v>
      </c>
      <c r="AD98" s="110" t="str">
        <f>IFERROR(VLOOKUP(A98,'ADB Projects'!$A$4:$W$21,5,FALSE),"")</f>
        <v>Loan</v>
      </c>
      <c r="AE98" s="132">
        <f>IF(AC98="Approved",(VLOOKUP($A98,'ADB Projects'!$A$5:$D$21,4,0)*1000000),"")</f>
        <v>165000000</v>
      </c>
      <c r="AF98" s="585">
        <f>IF(AC98="Approved",(PRODUCT(VLOOKUP($A98,'ADB Projects'!$A$4:$W$21,6,FALSE),1000000)),"")</f>
        <v>159000000</v>
      </c>
      <c r="AG98" s="585">
        <f>IF(AC98="Approved",(PRODUCT(VLOOKUP($A98,'ADB Projects'!$A$4:$W$21,7,FALSE),1000000)),"")</f>
        <v>0</v>
      </c>
      <c r="AH98" s="585">
        <f>IF(AC98="Approved",(PRODUCT(VLOOKUP($A98,'ADB Projects'!$A$4:$W$21,8,FALSE),1000000)),"")</f>
        <v>6000000</v>
      </c>
      <c r="AI98" s="55"/>
      <c r="AJ98" s="55"/>
      <c r="AK98" s="244"/>
      <c r="AL98" s="55" t="s">
        <v>541</v>
      </c>
      <c r="AM98" s="55"/>
      <c r="AN98" s="55"/>
      <c r="AO98" s="55"/>
      <c r="AP98" s="55"/>
      <c r="AQ98" s="602" t="str">
        <f t="shared" si="36"/>
        <v/>
      </c>
      <c r="AR98" s="602" t="str">
        <f>IFERROR(VLOOKUP($A98,'IDB C19 Vaccine Projects'!$O$4:$Q$12,2,FALSE),"")</f>
        <v/>
      </c>
      <c r="AS98" s="602" t="str">
        <f>IFERROR(VLOOKUP($A98,'IDB C19 Vaccine Projects'!$O$4:$Q$12,3,FALSE),"")</f>
        <v/>
      </c>
      <c r="AT98" s="55"/>
      <c r="AU98" s="88"/>
      <c r="AV98" s="55"/>
      <c r="AW98" s="55"/>
      <c r="AX98" s="88">
        <f>INDEX(USAID!$C$3:$C$151,MATCH('Matrix Allocations'!A98,USAID!$A$3:$A$151,0))</f>
        <v>4100000</v>
      </c>
      <c r="AY98" s="110">
        <v>1151337</v>
      </c>
      <c r="AZ98" s="88">
        <f>IFERROR(INDEX('[4]Vx All regions allocations'!O$10:O$144,MATCH(A98,'[4]Vx All regions allocations'!A$10:A$144,0)),"")</f>
        <v>1889000</v>
      </c>
      <c r="BA98" s="88">
        <v>346810.18518518517</v>
      </c>
      <c r="BB98" s="88">
        <v>374143</v>
      </c>
      <c r="BC98" s="88" t="str">
        <f>IFERROR(INDEX(DFAT!$K$4:$K$21,MATCH('Matrix Allocations'!A98,DFAT!$B$4:$B$21,0)),"")</f>
        <v/>
      </c>
      <c r="BD98" s="88">
        <v>729927</v>
      </c>
      <c r="BE98" s="826" t="str">
        <f>IFERROR(IF(INDEX('GAVI CCE'!$E$3:$E$95,MATCH('Matrix Allocations'!A98,'GAVI CCE'!$A$3:$A$95,0))="Yes",INDEX('GAVI CCE'!$E$3:$E$95,MATCH('Matrix Allocations'!A98,'GAVI CCE'!$A$3:$A$95,0)),""),"")</f>
        <v>Yes</v>
      </c>
      <c r="BF98" s="88">
        <f>IFERROR(IF(BE98="Yes",INDEX('GAVI CCE'!$F$3:$F$95,MATCH('Matrix Allocations'!A98,'GAVI CCE'!$A$3:$A$95,0)),""),"")</f>
        <v>737464</v>
      </c>
      <c r="BG98" s="609" t="str">
        <f>IFERROR(IF(E98='CDS early access ceilings'!$A$94,(VLOOKUP(A98,'CDS early access ceilings'!$A$2:$D$92,4,FALSE)),""),"")</f>
        <v>GAVI</v>
      </c>
      <c r="BH98" s="639" t="str">
        <f>IFERROR(INDEX(Table14[Status (clean)],MATCH('Matrix Allocations'!A98,Table14[ISO Code],0)),"")</f>
        <v>Disbursed</v>
      </c>
      <c r="BI98" s="641">
        <f>IFERROR(INDEX(Table14[Amount disbursed (USD)],MATCH('Matrix Allocations'!A98,Table14[ISO Code],0)),"")</f>
        <v>2159909</v>
      </c>
      <c r="BJ98" s="641" t="str">
        <f>IFERROR(INDEX('CDS NBW'!$I$2:$I$39,MATCH(A98,'CDS NBW'!$A$2:$A$39,0)),"")</f>
        <v/>
      </c>
      <c r="BK98" s="641" t="str">
        <f>IFERROR(INDEX('CDS NBW'!$J$2:$J$39,MATCH(A98,'CDS NBW'!$A$2:$A$39,0)),"")</f>
        <v/>
      </c>
      <c r="BL98" s="609"/>
      <c r="BM98" s="609"/>
      <c r="BN98" s="609"/>
      <c r="BO98" s="609">
        <v>97920</v>
      </c>
      <c r="BP98" s="609">
        <f>IFERROR(INDEX('UNICEF-BMZ'!$O$1:$O$199,MATCH('Matrix Allocations'!A98,'UNICEF-BMZ'!$B$1:$B$199,0)),"")</f>
        <v>295600</v>
      </c>
      <c r="BQ98" s="609">
        <f>IFERROR(VLOOKUP(A98,'BMGF_clean data'!$A$4:$C$30,3,FALSE),"")</f>
        <v>99000</v>
      </c>
      <c r="BR98" s="609"/>
      <c r="BS98" s="609"/>
      <c r="BT98" s="609">
        <v>175000</v>
      </c>
      <c r="BU98" s="609"/>
      <c r="BV98" s="609"/>
      <c r="BW98" s="87">
        <f>INDEX(USAID!$D$3:$D$151,MATCH('Matrix Allocations'!A98,USAID!$A$3:$A$151,0))</f>
        <v>0</v>
      </c>
      <c r="BX98" s="87" t="str">
        <f>IFERROR(INDEX(DFAT!$L$4:$L$21,MATCH('Matrix Allocations'!A98,DFAT!$B$4:$B$21,0)),"")</f>
        <v/>
      </c>
      <c r="BY98" s="87">
        <f>IFERROR(INDEX(Table14[Funds Channelled through UNICEF],MATCH('Matrix Allocations'!A98,Table14[ISO Code],0)),"")</f>
        <v>1058356</v>
      </c>
      <c r="BZ98" s="87">
        <f t="shared" si="34"/>
        <v>1058356</v>
      </c>
      <c r="CA98">
        <f t="shared" si="49"/>
        <v>29674920</v>
      </c>
      <c r="CB98" s="782">
        <f t="shared" si="42"/>
        <v>8902476</v>
      </c>
      <c r="CC98" s="791">
        <f t="shared" si="37"/>
        <v>23056110.185185187</v>
      </c>
      <c r="CD98" s="788">
        <f t="shared" si="43"/>
        <v>2.5898536749984147</v>
      </c>
      <c r="CE98" s="788">
        <f t="shared" si="44"/>
        <v>1.9423902562488109</v>
      </c>
      <c r="CF98" s="828">
        <f t="shared" si="45"/>
        <v>1.1099372892850348</v>
      </c>
      <c r="CG98" s="828">
        <f t="shared" si="38"/>
        <v>0.7769561024995244</v>
      </c>
      <c r="CH98" s="88">
        <f t="shared" si="50"/>
        <v>10900000</v>
      </c>
      <c r="CI98" s="88">
        <f t="shared" si="39"/>
        <v>6156264</v>
      </c>
      <c r="CJ98" s="742">
        <f t="shared" si="51"/>
        <v>196920</v>
      </c>
      <c r="CK98" s="848">
        <f t="shared" si="40"/>
        <v>5101540</v>
      </c>
      <c r="CL98" s="88">
        <f t="shared" si="41"/>
        <v>3913926.1851851852</v>
      </c>
    </row>
    <row r="99" spans="1:90" ht="16" customHeight="1">
      <c r="A99" s="55" t="s">
        <v>647</v>
      </c>
      <c r="B99" s="55" t="s">
        <v>251</v>
      </c>
      <c r="C99" s="55" t="s">
        <v>130</v>
      </c>
      <c r="D99" s="55" t="s">
        <v>150</v>
      </c>
      <c r="E99" s="55" t="s">
        <v>145</v>
      </c>
      <c r="F99" s="56"/>
      <c r="G99" s="56" t="str">
        <f t="shared" si="52"/>
        <v>Yes</v>
      </c>
      <c r="H99" s="56" t="str">
        <f t="shared" si="52"/>
        <v>Yes</v>
      </c>
      <c r="I99" s="56" t="str">
        <f t="shared" si="46"/>
        <v>No</v>
      </c>
      <c r="J99" s="56" t="str">
        <f t="shared" si="47"/>
        <v>No</v>
      </c>
      <c r="K99" s="56" t="str">
        <f t="shared" si="48"/>
        <v>Yes</v>
      </c>
      <c r="L99" s="56" t="s">
        <v>541</v>
      </c>
      <c r="M99" s="55" t="s">
        <v>544</v>
      </c>
      <c r="N99" s="134" t="s">
        <v>541</v>
      </c>
      <c r="O99" s="55" t="s">
        <v>544</v>
      </c>
      <c r="P99" s="55" t="s">
        <v>562</v>
      </c>
      <c r="Q99" s="55" t="s">
        <v>541</v>
      </c>
      <c r="R99" s="55"/>
      <c r="S99" s="956">
        <v>671998341.93592453</v>
      </c>
      <c r="T99" s="55" t="s">
        <v>395</v>
      </c>
      <c r="U99" s="64" t="str">
        <f>IFERROR(IF(VLOOKUP(A99,'WB projects data'!$A$5:$C$83,3,0)="Approved",(VLOOKUP(A99,'WB projects data'!$A$5:$C$83,3,0)),""),"")</f>
        <v/>
      </c>
      <c r="V99" s="123" t="str">
        <f t="shared" si="35"/>
        <v/>
      </c>
      <c r="W99" s="123" t="str">
        <f>IFERROR((VLOOKUP($A99,'WB projects data'!$A$5:$J$83,6,0)*1000000),"")</f>
        <v/>
      </c>
      <c r="X99" s="123" t="str">
        <f>IFERROR((VLOOKUP($A99,'WB projects data'!$A$5:$J$83,7,0)*1000000),"")</f>
        <v/>
      </c>
      <c r="Y99" s="123" t="str">
        <f>IFERROR((VLOOKUP($A99,'WB projects data'!$A$5:$J$83,8,0)*1000000),"")</f>
        <v/>
      </c>
      <c r="Z99" s="123" t="str">
        <f>IFERROR((VLOOKUP($A99,'WB projects data'!$A$5:$J$83,9,0)*1000000),"")</f>
        <v/>
      </c>
      <c r="AA99" s="123" t="str">
        <f>IFERROR((VLOOKUP($A99,'WB projects data'!$A$5:$J$83,10,0)*1000000),"")</f>
        <v/>
      </c>
      <c r="AB99" s="55"/>
      <c r="AC99" s="110"/>
      <c r="AD99" s="110" t="str">
        <f>IFERROR(VLOOKUP(A99,'ADB Projects'!$A$4:$W$21,5,FALSE),"")</f>
        <v/>
      </c>
      <c r="AE99" s="132" t="str">
        <f>IF(AC99="Approved",(VLOOKUP($A99,'ADB Projects'!$A$5:$D$21,4,0)*1000000),"")</f>
        <v/>
      </c>
      <c r="AF99" s="585" t="str">
        <f>IF(AC99="Approved",(PRODUCT(VLOOKUP($A99,'ADB Projects'!$A$4:$W$21,6,FALSE),1000000)),"")</f>
        <v/>
      </c>
      <c r="AG99" s="585" t="str">
        <f>IF(AC99="Approved",(PRODUCT(VLOOKUP($A99,'ADB Projects'!$A$4:$W$21,7,FALSE),1000000)),"")</f>
        <v/>
      </c>
      <c r="AH99" s="585" t="str">
        <f>IF(AC99="Approved",(PRODUCT(VLOOKUP($A99,'ADB Projects'!$A$4:$W$21,8,FALSE),1000000)),"")</f>
        <v/>
      </c>
      <c r="AI99" s="55" t="s">
        <v>541</v>
      </c>
      <c r="AJ99" s="55"/>
      <c r="AK99" s="244"/>
      <c r="AL99" s="55" t="s">
        <v>541</v>
      </c>
      <c r="AM99" s="55"/>
      <c r="AN99" s="55"/>
      <c r="AO99" s="55" t="s">
        <v>541</v>
      </c>
      <c r="AP99" s="55"/>
      <c r="AQ99" s="602" t="str">
        <f t="shared" si="36"/>
        <v/>
      </c>
      <c r="AR99" s="602" t="str">
        <f>IFERROR(VLOOKUP($A99,'IDB C19 Vaccine Projects'!$O$4:$Q$12,2,FALSE),"")</f>
        <v/>
      </c>
      <c r="AS99" s="602" t="str">
        <f>IFERROR(VLOOKUP($A99,'IDB C19 Vaccine Projects'!$O$4:$Q$12,3,FALSE),"")</f>
        <v/>
      </c>
      <c r="AT99" s="55"/>
      <c r="AU99" s="88"/>
      <c r="AV99" s="55"/>
      <c r="AW99" s="55" t="s">
        <v>541</v>
      </c>
      <c r="AX99" s="88">
        <f>INDEX(USAID!$C$3:$C$151,MATCH('Matrix Allocations'!A99,USAID!$A$3:$A$151,0))</f>
        <v>150000</v>
      </c>
      <c r="AY99" s="110">
        <v>1388889</v>
      </c>
      <c r="AZ99" s="88">
        <f>IFERROR(INDEX('[4]Vx All regions allocations'!O$10:O$144,MATCH(A99,'[4]Vx All regions allocations'!A$10:A$144,0)),"")</f>
        <v>800000</v>
      </c>
      <c r="BA99" s="88">
        <v>46300</v>
      </c>
      <c r="BB99" s="88">
        <v>199223.3</v>
      </c>
      <c r="BC99" s="88" t="str">
        <f>IFERROR(INDEX(DFAT!$K$4:$K$21,MATCH('Matrix Allocations'!A99,DFAT!$B$4:$B$21,0)),"")</f>
        <v/>
      </c>
      <c r="BD99" s="88"/>
      <c r="BE99" s="826" t="str">
        <f>IFERROR(IF(INDEX('GAVI CCE'!$E$3:$E$95,MATCH('Matrix Allocations'!A99,'GAVI CCE'!$A$3:$A$95,0))="Yes",INDEX('GAVI CCE'!$E$3:$E$95,MATCH('Matrix Allocations'!A99,'GAVI CCE'!$A$3:$A$95,0)),""),"")</f>
        <v>Yes</v>
      </c>
      <c r="BF99" s="88">
        <f>IFERROR(IF(BE99="Yes",INDEX('GAVI CCE'!$F$3:$F$95,MATCH('Matrix Allocations'!A99,'GAVI CCE'!$A$3:$A$95,0)),""),"")</f>
        <v>218802</v>
      </c>
      <c r="BG99" s="609" t="str">
        <f>IFERROR(IF(E99='CDS early access ceilings'!$A$94,(VLOOKUP(A99,'CDS early access ceilings'!$A$2:$D$92,4,FALSE)),""),"")</f>
        <v>GAVI</v>
      </c>
      <c r="BH99" s="639" t="str">
        <f>IFERROR(INDEX(Table14[Status (clean)],MATCH('Matrix Allocations'!A99,Table14[ISO Code],0)),"")</f>
        <v>Disbursed</v>
      </c>
      <c r="BI99" s="641">
        <f>IFERROR(INDEX(Table14[Amount disbursed (USD)],MATCH('Matrix Allocations'!A99,Table14[ISO Code],0)),"")</f>
        <v>0</v>
      </c>
      <c r="BJ99" s="641" t="str">
        <f>IFERROR(INDEX('CDS NBW'!$I$2:$I$39,MATCH(A99,'CDS NBW'!$A$2:$A$39,0)),"")</f>
        <v/>
      </c>
      <c r="BK99" s="641" t="str">
        <f>IFERROR(INDEX('CDS NBW'!$J$2:$J$39,MATCH(A99,'CDS NBW'!$A$2:$A$39,0)),"")</f>
        <v/>
      </c>
      <c r="BL99" s="609"/>
      <c r="BM99" s="609"/>
      <c r="BN99" s="609"/>
      <c r="BO99" s="609"/>
      <c r="BP99" s="609">
        <f>IFERROR(INDEX('UNICEF-BMZ'!$O$1:$O$199,MATCH('Matrix Allocations'!A99,'UNICEF-BMZ'!$B$1:$B$199,0)),"")</f>
        <v>390000</v>
      </c>
      <c r="BQ99" s="609" t="str">
        <f>IFERROR(VLOOKUP(A99,'BMGF_clean data'!$A$4:$C$30,3,FALSE),"")</f>
        <v/>
      </c>
      <c r="BR99" s="609"/>
      <c r="BS99" s="609"/>
      <c r="BT99" s="609">
        <v>1278918</v>
      </c>
      <c r="BU99" s="609"/>
      <c r="BV99" s="609"/>
      <c r="BW99" s="87">
        <f>INDEX(USAID!$D$3:$D$151,MATCH('Matrix Allocations'!A99,USAID!$A$3:$A$151,0))</f>
        <v>0</v>
      </c>
      <c r="BX99" s="87" t="str">
        <f>IFERROR(INDEX(DFAT!$L$4:$L$21,MATCH('Matrix Allocations'!A99,DFAT!$B$4:$B$21,0)),"")</f>
        <v/>
      </c>
      <c r="BY99" s="87">
        <f>IFERROR(INDEX(Table14[Funds Channelled through UNICEF],MATCH('Matrix Allocations'!A99,Table14[ISO Code],0)),"")</f>
        <v>0</v>
      </c>
      <c r="BZ99" s="87">
        <f t="shared" si="34"/>
        <v>0</v>
      </c>
      <c r="CA99">
        <f t="shared" si="49"/>
        <v>6702379</v>
      </c>
      <c r="CB99" s="782">
        <f t="shared" si="42"/>
        <v>2010713.7</v>
      </c>
      <c r="CC99" s="791">
        <f t="shared" si="37"/>
        <v>4472132.3</v>
      </c>
      <c r="CD99" s="788">
        <f t="shared" si="43"/>
        <v>2.2241517029500519</v>
      </c>
      <c r="CE99" s="788">
        <f t="shared" si="44"/>
        <v>1.668113777212539</v>
      </c>
      <c r="CF99" s="828">
        <f t="shared" si="45"/>
        <v>0.95320787269287943</v>
      </c>
      <c r="CG99" s="828">
        <f t="shared" si="38"/>
        <v>0.6672455108850156</v>
      </c>
      <c r="CH99" s="88">
        <f t="shared" si="50"/>
        <v>0</v>
      </c>
      <c r="CI99" s="88">
        <f t="shared" si="39"/>
        <v>2817807</v>
      </c>
      <c r="CJ99" s="742">
        <f t="shared" si="51"/>
        <v>0</v>
      </c>
      <c r="CK99" s="848">
        <f t="shared" si="40"/>
        <v>3467807</v>
      </c>
      <c r="CL99" s="88">
        <f t="shared" si="41"/>
        <v>854325.3</v>
      </c>
    </row>
    <row r="100" spans="1:90" ht="16" customHeight="1">
      <c r="A100" s="55" t="s">
        <v>648</v>
      </c>
      <c r="B100" s="55" t="s">
        <v>252</v>
      </c>
      <c r="C100" s="55" t="s">
        <v>129</v>
      </c>
      <c r="D100" s="55" t="s">
        <v>148</v>
      </c>
      <c r="E100" s="55" t="s">
        <v>145</v>
      </c>
      <c r="F100" s="56">
        <v>1</v>
      </c>
      <c r="G100" s="56" t="str">
        <f t="shared" si="52"/>
        <v>No</v>
      </c>
      <c r="H100" s="56" t="str">
        <f t="shared" si="52"/>
        <v>No</v>
      </c>
      <c r="I100" s="56" t="str">
        <f t="shared" si="46"/>
        <v>No</v>
      </c>
      <c r="J100" s="56" t="str">
        <f t="shared" si="47"/>
        <v>Yes</v>
      </c>
      <c r="K100" s="56" t="str">
        <f t="shared" si="48"/>
        <v>No</v>
      </c>
      <c r="L100" s="56" t="s">
        <v>541</v>
      </c>
      <c r="M100" s="55" t="s">
        <v>544</v>
      </c>
      <c r="N100" s="134" t="s">
        <v>541</v>
      </c>
      <c r="O100" s="55" t="s">
        <v>541</v>
      </c>
      <c r="P100" s="55" t="s">
        <v>562</v>
      </c>
      <c r="Q100" s="55"/>
      <c r="R100" s="55"/>
      <c r="S100" s="956">
        <v>226203289.67158964</v>
      </c>
      <c r="T100" s="55" t="s">
        <v>394</v>
      </c>
      <c r="U100" s="64" t="str">
        <f>IFERROR(IF(VLOOKUP(A100,'WB projects data'!$A$5:$C$83,3,0)="Approved",(VLOOKUP(A100,'WB projects data'!$A$5:$C$83,3,0)),""),"")</f>
        <v>Approved</v>
      </c>
      <c r="V100" s="123">
        <f t="shared" si="35"/>
        <v>29200000</v>
      </c>
      <c r="W100" s="123">
        <f>IFERROR((VLOOKUP($A100,'WB projects data'!$A$5:$J$83,6,0)*1000000),"")</f>
        <v>14000000</v>
      </c>
      <c r="X100" s="123">
        <f>IFERROR((VLOOKUP($A100,'WB projects data'!$A$5:$J$83,7,0)*1000000),"")</f>
        <v>15200000</v>
      </c>
      <c r="Y100" s="123">
        <f>IFERROR((VLOOKUP($A100,'WB projects data'!$A$5:$J$83,8,0)*1000000),"")</f>
        <v>19800000</v>
      </c>
      <c r="Z100" s="123">
        <f>IFERROR((VLOOKUP($A100,'WB projects data'!$A$5:$J$83,9,0)*1000000),"")</f>
        <v>9400000</v>
      </c>
      <c r="AA100" s="123">
        <f>IFERROR((VLOOKUP($A100,'WB projects data'!$A$5:$J$83,10,0)*1000000),"")</f>
        <v>0</v>
      </c>
      <c r="AB100" s="55"/>
      <c r="AC100" s="110"/>
      <c r="AD100" s="110" t="str">
        <f>IFERROR(VLOOKUP(A100,'ADB Projects'!$A$4:$W$21,5,FALSE),"")</f>
        <v/>
      </c>
      <c r="AE100" s="132" t="str">
        <f>IF(AC100="Approved",(VLOOKUP($A100,'ADB Projects'!$A$5:$D$21,4,0)*1000000),"")</f>
        <v/>
      </c>
      <c r="AF100" s="585" t="str">
        <f>IF(AC100="Approved",(PRODUCT(VLOOKUP($A100,'ADB Projects'!$A$4:$W$21,6,FALSE),1000000)),"")</f>
        <v/>
      </c>
      <c r="AG100" s="585" t="str">
        <f>IF(AC100="Approved",(PRODUCT(VLOOKUP($A100,'ADB Projects'!$A$4:$W$21,7,FALSE),1000000)),"")</f>
        <v/>
      </c>
      <c r="AH100" s="585" t="str">
        <f>IF(AC100="Approved",(PRODUCT(VLOOKUP($A100,'ADB Projects'!$A$4:$W$21,8,FALSE),1000000)),"")</f>
        <v/>
      </c>
      <c r="AI100" s="55" t="s">
        <v>541</v>
      </c>
      <c r="AJ100" s="55"/>
      <c r="AK100" s="244"/>
      <c r="AL100" s="55" t="s">
        <v>541</v>
      </c>
      <c r="AM100" s="55"/>
      <c r="AN100" s="55"/>
      <c r="AO100" s="55"/>
      <c r="AP100" s="55"/>
      <c r="AQ100" s="602" t="str">
        <f t="shared" si="36"/>
        <v/>
      </c>
      <c r="AR100" s="602" t="str">
        <f>IFERROR(VLOOKUP($A100,'IDB C19 Vaccine Projects'!$O$4:$Q$12,2,FALSE),"")</f>
        <v/>
      </c>
      <c r="AS100" s="602" t="str">
        <f>IFERROR(VLOOKUP($A100,'IDB C19 Vaccine Projects'!$O$4:$Q$12,3,FALSE),"")</f>
        <v/>
      </c>
      <c r="AT100" s="55" t="s">
        <v>541</v>
      </c>
      <c r="AU100" s="88">
        <v>750000</v>
      </c>
      <c r="AV100" s="55"/>
      <c r="AW100" s="55" t="s">
        <v>541</v>
      </c>
      <c r="AX100" s="88">
        <f>INDEX(USAID!$C$3:$C$151,MATCH('Matrix Allocations'!A100,USAID!$A$3:$A$151,0))</f>
        <v>4750000</v>
      </c>
      <c r="AY100" s="110"/>
      <c r="AZ100" s="88">
        <f>IFERROR(INDEX('[4]Vx All regions allocations'!O$10:O$144,MATCH(A100,'[4]Vx All regions allocations'!A$10:A$144,0)),"")</f>
        <v>1345921</v>
      </c>
      <c r="BA100" s="88">
        <v>475174.99999999994</v>
      </c>
      <c r="BB100" s="88">
        <v>478851</v>
      </c>
      <c r="BC100" s="88" t="str">
        <f>IFERROR(INDEX(DFAT!$K$4:$K$21,MATCH('Matrix Allocations'!A100,DFAT!$B$4:$B$21,0)),"")</f>
        <v/>
      </c>
      <c r="BD100" s="88"/>
      <c r="BE100" s="826" t="str">
        <f>IFERROR(IF(INDEX('GAVI CCE'!$E$3:$E$95,MATCH('Matrix Allocations'!A100,'GAVI CCE'!$A$3:$A$95,0))="Yes",INDEX('GAVI CCE'!$E$3:$E$95,MATCH('Matrix Allocations'!A100,'GAVI CCE'!$A$3:$A$95,0)),""),"")</f>
        <v>Yes</v>
      </c>
      <c r="BF100" s="88">
        <f>IFERROR(IF(BE100="Yes",INDEX('GAVI CCE'!$F$3:$F$95,MATCH('Matrix Allocations'!A100,'GAVI CCE'!$A$3:$A$95,0)),""),"")</f>
        <v>639701</v>
      </c>
      <c r="BG100" s="609" t="str">
        <f>IFERROR(IF(E100='CDS early access ceilings'!$A$94,(VLOOKUP(A100,'CDS early access ceilings'!$A$2:$D$92,4,FALSE)),""),"")</f>
        <v>GAVI</v>
      </c>
      <c r="BH100" s="639" t="str">
        <f>IFERROR(INDEX(Table14[Status (clean)],MATCH('Matrix Allocations'!A100,Table14[ISO Code],0)),"")</f>
        <v>Disbursed</v>
      </c>
      <c r="BI100" s="641">
        <f>IFERROR(INDEX(Table14[Amount disbursed (USD)],MATCH('Matrix Allocations'!A100,Table14[ISO Code],0)),"")</f>
        <v>3500000</v>
      </c>
      <c r="BJ100" s="641" t="str">
        <f>IFERROR(INDEX('CDS NBW'!$I$2:$I$39,MATCH(A100,'CDS NBW'!$A$2:$A$39,0)),"")</f>
        <v>Submitted</v>
      </c>
      <c r="BK100" s="641" t="str">
        <f>IFERROR(INDEX('CDS NBW'!$J$2:$J$39,MATCH(A100,'CDS NBW'!$A$2:$A$39,0)),"")</f>
        <v/>
      </c>
      <c r="BL100" s="609"/>
      <c r="BM100" s="609"/>
      <c r="BN100" s="609"/>
      <c r="BO100" s="609"/>
      <c r="BP100" s="609">
        <f>IFERROR(INDEX('UNICEF-BMZ'!$O$1:$O$199,MATCH('Matrix Allocations'!A100,'UNICEF-BMZ'!$B$1:$B$199,0)),"")</f>
        <v>278323.45</v>
      </c>
      <c r="BQ100" s="609" t="str">
        <f>IFERROR(VLOOKUP(A100,'BMGF_clean data'!$A$4:$C$30,3,FALSE),"")</f>
        <v/>
      </c>
      <c r="BR100" s="609"/>
      <c r="BS100" s="609"/>
      <c r="BT100" s="609"/>
      <c r="BU100" s="609"/>
      <c r="BV100" s="609"/>
      <c r="BW100" s="87">
        <f>INDEX(USAID!$D$3:$D$151,MATCH('Matrix Allocations'!A100,USAID!$A$3:$A$151,0))</f>
        <v>500000</v>
      </c>
      <c r="BX100" s="87" t="str">
        <f>IFERROR(INDEX(DFAT!$L$4:$L$21,MATCH('Matrix Allocations'!A100,DFAT!$B$4:$B$21,0)),"")</f>
        <v/>
      </c>
      <c r="BY100" s="87">
        <f>IFERROR(INDEX(Table14[Funds Channelled through UNICEF],MATCH('Matrix Allocations'!A100,Table14[ISO Code],0)),"")</f>
        <v>0</v>
      </c>
      <c r="BZ100" s="87">
        <f t="shared" ref="BZ100:BZ131" si="53">SUM(IF(BG100="UNICEF",BI100,0),BY100)</f>
        <v>0</v>
      </c>
      <c r="CA100">
        <f t="shared" si="49"/>
        <v>25130810</v>
      </c>
      <c r="CB100" s="782">
        <f t="shared" si="42"/>
        <v>7539243</v>
      </c>
      <c r="CC100" s="791">
        <f t="shared" si="37"/>
        <v>21617971.449999999</v>
      </c>
      <c r="CD100" s="788">
        <f t="shared" si="43"/>
        <v>2.8673928470006866</v>
      </c>
      <c r="CE100" s="788">
        <f t="shared" si="44"/>
        <v>2.1505446352505153</v>
      </c>
      <c r="CF100" s="828">
        <f t="shared" si="45"/>
        <v>1.2288826487145801</v>
      </c>
      <c r="CG100" s="828">
        <f t="shared" si="38"/>
        <v>0.86021785410020601</v>
      </c>
      <c r="CH100" s="88">
        <f t="shared" si="50"/>
        <v>9400000</v>
      </c>
      <c r="CI100" s="88">
        <f t="shared" si="39"/>
        <v>4750000</v>
      </c>
      <c r="CJ100" s="742">
        <f t="shared" si="51"/>
        <v>0</v>
      </c>
      <c r="CK100" s="848">
        <f t="shared" si="40"/>
        <v>1845921</v>
      </c>
      <c r="CL100" s="88">
        <f t="shared" si="41"/>
        <v>6122050.4500000002</v>
      </c>
    </row>
    <row r="101" spans="1:90" ht="16" customHeight="1">
      <c r="A101" s="55" t="s">
        <v>649</v>
      </c>
      <c r="B101" s="55" t="s">
        <v>253</v>
      </c>
      <c r="C101" s="55" t="s">
        <v>129</v>
      </c>
      <c r="D101" s="55" t="s">
        <v>150</v>
      </c>
      <c r="E101" s="55" t="s">
        <v>145</v>
      </c>
      <c r="F101" s="56">
        <v>3</v>
      </c>
      <c r="G101" s="56" t="str">
        <f t="shared" ref="G101:H120" si="54">IF($T101="IBRD","Yes","No")</f>
        <v>No</v>
      </c>
      <c r="H101" s="56" t="str">
        <f t="shared" si="54"/>
        <v>No</v>
      </c>
      <c r="I101" s="56" t="str">
        <f t="shared" si="46"/>
        <v>No</v>
      </c>
      <c r="J101" s="56" t="str">
        <f t="shared" si="47"/>
        <v>Yes</v>
      </c>
      <c r="K101" s="56" t="str">
        <f t="shared" si="48"/>
        <v>No</v>
      </c>
      <c r="L101" s="56" t="s">
        <v>541</v>
      </c>
      <c r="M101" s="55" t="s">
        <v>544</v>
      </c>
      <c r="N101" s="134" t="s">
        <v>541</v>
      </c>
      <c r="O101" s="55" t="s">
        <v>544</v>
      </c>
      <c r="P101" s="55" t="s">
        <v>548</v>
      </c>
      <c r="Q101" s="55"/>
      <c r="R101" s="55"/>
      <c r="S101" s="956">
        <v>2438881113.1244688</v>
      </c>
      <c r="T101" s="55" t="s">
        <v>394</v>
      </c>
      <c r="U101" s="64" t="str">
        <f>IFERROR(IF(VLOOKUP(A101,'WB projects data'!$A$5:$C$83,3,0)="Approved",(VLOOKUP(A101,'WB projects data'!$A$5:$C$83,3,0)),""),"")</f>
        <v>Approved</v>
      </c>
      <c r="V101" s="123">
        <f t="shared" ref="V101:V132" si="55">IFERROR(INDEX(wbf,MATCH(A101,wbiso,0))*1000000,"")</f>
        <v>400000000</v>
      </c>
      <c r="W101" s="123">
        <f>IFERROR((VLOOKUP($A101,'WB projects data'!$A$5:$J$83,6,0)*1000000),"")</f>
        <v>400000000</v>
      </c>
      <c r="X101" s="123">
        <f>IFERROR((VLOOKUP($A101,'WB projects data'!$A$5:$J$83,7,0)*1000000),"")</f>
        <v>0</v>
      </c>
      <c r="Y101" s="123">
        <f>IFERROR((VLOOKUP($A101,'WB projects data'!$A$5:$J$83,8,0)*1000000),"")</f>
        <v>357500000</v>
      </c>
      <c r="Z101" s="123">
        <f>IFERROR((VLOOKUP($A101,'WB projects data'!$A$5:$J$83,9,0)*1000000),"")</f>
        <v>76000000</v>
      </c>
      <c r="AA101" s="123">
        <f>IFERROR((VLOOKUP($A101,'WB projects data'!$A$5:$J$83,10,0)*1000000),"")</f>
        <v>80800000</v>
      </c>
      <c r="AB101" s="55"/>
      <c r="AC101" s="110"/>
      <c r="AD101" s="110" t="str">
        <f>IFERROR(VLOOKUP(A101,'ADB Projects'!$A$4:$W$21,5,FALSE),"")</f>
        <v/>
      </c>
      <c r="AE101" s="132" t="str">
        <f>IF(AC101="Approved",(VLOOKUP($A101,'ADB Projects'!$A$5:$D$21,4,0)*1000000),"")</f>
        <v/>
      </c>
      <c r="AF101" s="585" t="str">
        <f>IF(AC101="Approved",(PRODUCT(VLOOKUP($A101,'ADB Projects'!$A$4:$W$21,6,FALSE),1000000)),"")</f>
        <v/>
      </c>
      <c r="AG101" s="585" t="str">
        <f>IF(AC101="Approved",(PRODUCT(VLOOKUP($A101,'ADB Projects'!$A$4:$W$21,7,FALSE),1000000)),"")</f>
        <v/>
      </c>
      <c r="AH101" s="585" t="str">
        <f>IF(AC101="Approved",(PRODUCT(VLOOKUP($A101,'ADB Projects'!$A$4:$W$21,8,FALSE),1000000)),"")</f>
        <v/>
      </c>
      <c r="AI101" s="55" t="s">
        <v>541</v>
      </c>
      <c r="AJ101" s="55"/>
      <c r="AK101" s="244"/>
      <c r="AL101" s="55" t="s">
        <v>541</v>
      </c>
      <c r="AM101" s="55"/>
      <c r="AN101" s="55"/>
      <c r="AO101" s="55"/>
      <c r="AP101" s="55"/>
      <c r="AQ101" s="602" t="str">
        <f t="shared" ref="AQ101:AQ132" si="56">IF(OR(AR101="", AS101=""), "",(SUM(AR101:AS101)))</f>
        <v/>
      </c>
      <c r="AR101" s="602" t="str">
        <f>IFERROR(VLOOKUP($A101,'IDB C19 Vaccine Projects'!$O$4:$Q$12,2,FALSE),"")</f>
        <v/>
      </c>
      <c r="AS101" s="602" t="str">
        <f>IFERROR(VLOOKUP($A101,'IDB C19 Vaccine Projects'!$O$4:$Q$12,3,FALSE),"")</f>
        <v/>
      </c>
      <c r="AT101" s="55"/>
      <c r="AU101" s="88">
        <v>4999000</v>
      </c>
      <c r="AV101" s="55"/>
      <c r="AW101" s="55"/>
      <c r="AX101" s="88">
        <f>INDEX(USAID!$C$3:$C$151,MATCH('Matrix Allocations'!A101,USAID!$A$3:$A$151,0))</f>
        <v>1600863.3</v>
      </c>
      <c r="AY101" s="110">
        <v>2104378</v>
      </c>
      <c r="AZ101" s="88">
        <f>IFERROR(INDEX('[4]Vx All regions allocations'!O$10:O$144,MATCH(A101,'[4]Vx All regions allocations'!A$10:A$144,0)),"")</f>
        <v>5036546</v>
      </c>
      <c r="BA101" s="88">
        <v>190600</v>
      </c>
      <c r="BB101" s="88">
        <v>396163</v>
      </c>
      <c r="BC101" s="88" t="str">
        <f>IFERROR(INDEX(DFAT!$K$4:$K$21,MATCH('Matrix Allocations'!A101,DFAT!$B$4:$B$21,0)),"")</f>
        <v/>
      </c>
      <c r="BD101" s="88"/>
      <c r="BE101" s="826" t="str">
        <f>IFERROR(IF(INDEX('GAVI CCE'!$E$3:$E$95,MATCH('Matrix Allocations'!A101,'GAVI CCE'!$A$3:$A$95,0))="Yes",INDEX('GAVI CCE'!$E$3:$E$95,MATCH('Matrix Allocations'!A101,'GAVI CCE'!$A$3:$A$95,0)),""),"")</f>
        <v>Yes</v>
      </c>
      <c r="BF101" s="88">
        <f>IFERROR(IF(BE101="Yes",INDEX('GAVI CCE'!$F$3:$F$95,MATCH('Matrix Allocations'!A101,'GAVI CCE'!$A$3:$A$95,0)),""),"")</f>
        <v>2554787</v>
      </c>
      <c r="BG101" s="609" t="str">
        <f>IFERROR(IF(E101='CDS early access ceilings'!$A$94,(VLOOKUP(A101,'CDS early access ceilings'!$A$2:$D$92,4,FALSE)),""),"")</f>
        <v>GAVI</v>
      </c>
      <c r="BH101" s="639" t="str">
        <f>IFERROR(INDEX(Table14[Status (clean)],MATCH('Matrix Allocations'!A101,Table14[ISO Code],0)),"")</f>
        <v>Disbursed</v>
      </c>
      <c r="BI101" s="641">
        <f>IFERROR(INDEX(Table14[Amount disbursed (USD)],MATCH('Matrix Allocations'!A101,Table14[ISO Code],0)),"")</f>
        <v>9995381</v>
      </c>
      <c r="BJ101" s="641" t="str">
        <f>IFERROR(INDEX('CDS NBW'!$I$2:$I$39,MATCH(A101,'CDS NBW'!$A$2:$A$39,0)),"")</f>
        <v>Submitted</v>
      </c>
      <c r="BK101" s="641" t="str">
        <f>IFERROR(INDEX('CDS NBW'!$J$2:$J$39,MATCH(A101,'CDS NBW'!$A$2:$A$39,0)),"")</f>
        <v/>
      </c>
      <c r="BL101" s="609"/>
      <c r="BM101" s="609"/>
      <c r="BN101" s="609"/>
      <c r="BO101" s="609">
        <v>42296</v>
      </c>
      <c r="BP101" s="609">
        <f>IFERROR(INDEX('UNICEF-BMZ'!$O$1:$O$199,MATCH('Matrix Allocations'!A101,'UNICEF-BMZ'!$B$1:$B$199,0)),"")</f>
        <v>1459081</v>
      </c>
      <c r="BQ101" s="609">
        <f>IFERROR(VLOOKUP(A101,'BMGF_clean data'!$A$4:$C$30,3,FALSE),"")</f>
        <v>1714000</v>
      </c>
      <c r="BR101" s="609"/>
      <c r="BS101" s="609">
        <v>1693999</v>
      </c>
      <c r="BT101" s="609"/>
      <c r="BU101" s="609"/>
      <c r="BV101" s="609"/>
      <c r="BW101" s="87">
        <f>INDEX(USAID!$D$3:$D$151,MATCH('Matrix Allocations'!A101,USAID!$A$3:$A$151,0))</f>
        <v>0</v>
      </c>
      <c r="BX101" s="87" t="str">
        <f>IFERROR(INDEX(DFAT!$L$4:$L$21,MATCH('Matrix Allocations'!A101,DFAT!$B$4:$B$21,0)),"")</f>
        <v/>
      </c>
      <c r="BY101" s="87">
        <f>IFERROR(INDEX(Table14[Funds Channelled through UNICEF],MATCH('Matrix Allocations'!A101,Table14[ISO Code],0)),"")</f>
        <v>5124130</v>
      </c>
      <c r="BZ101" s="87">
        <f t="shared" si="53"/>
        <v>5124130</v>
      </c>
      <c r="CA101">
        <f t="shared" si="49"/>
        <v>211400704</v>
      </c>
      <c r="CB101" s="782">
        <f t="shared" si="42"/>
        <v>63420211.199999996</v>
      </c>
      <c r="CC101" s="791">
        <f t="shared" si="37"/>
        <v>107787094.3</v>
      </c>
      <c r="CD101" s="788">
        <f t="shared" si="43"/>
        <v>1.6995700938315388</v>
      </c>
      <c r="CE101" s="788">
        <f t="shared" si="44"/>
        <v>1.2746775703736539</v>
      </c>
      <c r="CF101" s="828">
        <f t="shared" si="45"/>
        <v>0.72838718307065953</v>
      </c>
      <c r="CG101" s="828">
        <f t="shared" si="38"/>
        <v>0.50987102814946161</v>
      </c>
      <c r="CH101" s="88">
        <f t="shared" si="50"/>
        <v>76000000</v>
      </c>
      <c r="CI101" s="88">
        <f t="shared" si="39"/>
        <v>5399240.2999999998</v>
      </c>
      <c r="CJ101" s="742">
        <f t="shared" si="51"/>
        <v>1756296</v>
      </c>
      <c r="CK101" s="848">
        <f t="shared" si="40"/>
        <v>14001349</v>
      </c>
      <c r="CL101" s="88">
        <f t="shared" si="41"/>
        <v>19595012</v>
      </c>
    </row>
    <row r="102" spans="1:90" ht="16" customHeight="1">
      <c r="A102" s="147" t="s">
        <v>650</v>
      </c>
      <c r="B102" s="147" t="s">
        <v>254</v>
      </c>
      <c r="C102" s="55" t="s">
        <v>127</v>
      </c>
      <c r="D102" s="55" t="s">
        <v>152</v>
      </c>
      <c r="E102" s="55" t="s">
        <v>146</v>
      </c>
      <c r="F102" s="56"/>
      <c r="G102" s="56" t="str">
        <f t="shared" si="54"/>
        <v>Yes</v>
      </c>
      <c r="H102" s="56" t="str">
        <f t="shared" si="54"/>
        <v>Yes</v>
      </c>
      <c r="I102" s="56" t="str">
        <f t="shared" si="46"/>
        <v>No</v>
      </c>
      <c r="J102" s="56" t="str">
        <f t="shared" si="47"/>
        <v>No</v>
      </c>
      <c r="K102" s="56" t="str">
        <f t="shared" si="48"/>
        <v>Yes</v>
      </c>
      <c r="L102" s="56" t="s">
        <v>541</v>
      </c>
      <c r="M102" s="55" t="s">
        <v>544</v>
      </c>
      <c r="N102" s="134" t="s">
        <v>544</v>
      </c>
      <c r="O102" s="55" t="s">
        <v>544</v>
      </c>
      <c r="P102" s="55"/>
      <c r="Q102" s="55"/>
      <c r="R102" s="55"/>
      <c r="S102" s="956">
        <v>476517795.73174149</v>
      </c>
      <c r="T102" s="55" t="s">
        <v>395</v>
      </c>
      <c r="U102" s="64" t="str">
        <f>IFERROR(IF(VLOOKUP(A102,'WB projects data'!$A$5:$C$83,3,0)="Approved",(VLOOKUP(A102,'WB projects data'!$A$5:$C$83,3,0)),""),"")</f>
        <v>Approved</v>
      </c>
      <c r="V102" s="123">
        <f t="shared" si="55"/>
        <v>11000000</v>
      </c>
      <c r="W102" s="123">
        <f>IFERROR((VLOOKUP($A102,'WB projects data'!$A$5:$J$83,6,0)*1000000),"")</f>
        <v>11000000</v>
      </c>
      <c r="X102" s="123">
        <f>IFERROR((VLOOKUP($A102,'WB projects data'!$A$5:$J$83,7,0)*1000000),"")</f>
        <v>0</v>
      </c>
      <c r="Y102" s="123">
        <f>IFERROR((VLOOKUP($A102,'WB projects data'!$A$5:$J$83,8,0)*1000000),"")</f>
        <v>9000000</v>
      </c>
      <c r="Z102" s="123">
        <f>IFERROR((VLOOKUP($A102,'WB projects data'!$A$5:$J$83,9,0)*1000000),"")</f>
        <v>500000</v>
      </c>
      <c r="AA102" s="123">
        <f>IFERROR((VLOOKUP($A102,'WB projects data'!$A$5:$J$83,10,0)*1000000),"")</f>
        <v>1500000</v>
      </c>
      <c r="AB102" s="55"/>
      <c r="AC102" s="110"/>
      <c r="AD102" s="110" t="str">
        <f>IFERROR(VLOOKUP(A102,'ADB Projects'!$A$4:$W$21,5,FALSE),"")</f>
        <v/>
      </c>
      <c r="AE102" s="132" t="str">
        <f>IF(AC102="Approved",(VLOOKUP($A102,'ADB Projects'!$A$5:$D$21,4,0)*1000000),"")</f>
        <v/>
      </c>
      <c r="AF102" s="585" t="str">
        <f>IF(AC102="Approved",(PRODUCT(VLOOKUP($A102,'ADB Projects'!$A$4:$W$21,6,FALSE),1000000)),"")</f>
        <v/>
      </c>
      <c r="AG102" s="585" t="str">
        <f>IF(AC102="Approved",(PRODUCT(VLOOKUP($A102,'ADB Projects'!$A$4:$W$21,7,FALSE),1000000)),"")</f>
        <v/>
      </c>
      <c r="AH102" s="585" t="str">
        <f>IF(AC102="Approved",(PRODUCT(VLOOKUP($A102,'ADB Projects'!$A$4:$W$21,8,FALSE),1000000)),"")</f>
        <v/>
      </c>
      <c r="AI102" s="55" t="s">
        <v>541</v>
      </c>
      <c r="AJ102" s="55"/>
      <c r="AK102" s="244"/>
      <c r="AL102" s="55" t="s">
        <v>541</v>
      </c>
      <c r="AM102" s="55"/>
      <c r="AN102" s="55"/>
      <c r="AO102" s="55"/>
      <c r="AP102" s="55"/>
      <c r="AQ102" s="602" t="str">
        <f t="shared" si="56"/>
        <v/>
      </c>
      <c r="AR102" s="602" t="str">
        <f>IFERROR(VLOOKUP($A102,'IDB C19 Vaccine Projects'!$O$4:$Q$12,2,FALSE),"")</f>
        <v/>
      </c>
      <c r="AS102" s="602" t="str">
        <f>IFERROR(VLOOKUP($A102,'IDB C19 Vaccine Projects'!$O$4:$Q$12,3,FALSE),"")</f>
        <v/>
      </c>
      <c r="AT102" s="55"/>
      <c r="AU102" s="88"/>
      <c r="AV102" s="55"/>
      <c r="AW102" s="55"/>
      <c r="AX102" s="88">
        <f>INDEX(USAID!$C$3:$C$151,MATCH('Matrix Allocations'!A102,USAID!$A$3:$A$151,0))</f>
        <v>1000000</v>
      </c>
      <c r="AY102" s="110"/>
      <c r="AZ102" s="88">
        <f>IFERROR(INDEX('[4]Vx All regions allocations'!O$10:O$144,MATCH(A102,'[4]Vx All regions allocations'!A$10:A$144,0)),"")</f>
        <v>100000</v>
      </c>
      <c r="BA102" s="88">
        <v>0</v>
      </c>
      <c r="BB102" s="88">
        <v>0</v>
      </c>
      <c r="BC102" s="88" t="str">
        <f>IFERROR(INDEX(DFAT!$K$4:$K$21,MATCH('Matrix Allocations'!A102,DFAT!$B$4:$B$21,0)),"")</f>
        <v/>
      </c>
      <c r="BD102" s="88"/>
      <c r="BE102" s="826" t="str">
        <f>IFERROR(IF(INDEX('GAVI CCE'!$E$3:$E$95,MATCH('Matrix Allocations'!A102,'GAVI CCE'!$A$3:$A$95,0))="Yes",INDEX('GAVI CCE'!$E$3:$E$95,MATCH('Matrix Allocations'!A102,'GAVI CCE'!$A$3:$A$95,0)),""),"")</f>
        <v/>
      </c>
      <c r="BF102" s="88" t="str">
        <f>IFERROR(IF(BE102="Yes",INDEX('GAVI CCE'!$F$3:$F$95,MATCH('Matrix Allocations'!A102,'GAVI CCE'!$A$3:$A$95,0)),""),"")</f>
        <v/>
      </c>
      <c r="BG102" s="609" t="str">
        <f>IFERROR(IF(E102='CDS early access ceilings'!$A$94,(VLOOKUP(A102,'CDS early access ceilings'!$A$2:$D$92,4,FALSE)),""),"")</f>
        <v/>
      </c>
      <c r="BH102" s="639" t="str">
        <f>IFERROR(INDEX(Table14[Status (clean)],MATCH('Matrix Allocations'!A102,Table14[ISO Code],0)),"")</f>
        <v/>
      </c>
      <c r="BI102" s="641" t="str">
        <f>IFERROR(INDEX(Table14[Amount disbursed (USD)],MATCH('Matrix Allocations'!A102,Table14[ISO Code],0)),"")</f>
        <v/>
      </c>
      <c r="BJ102" s="641" t="str">
        <f>IFERROR(INDEX('CDS NBW'!$I$2:$I$39,MATCH(A102,'CDS NBW'!$A$2:$A$39,0)),"")</f>
        <v/>
      </c>
      <c r="BK102" s="641" t="str">
        <f>IFERROR(INDEX('CDS NBW'!$J$2:$J$39,MATCH(A102,'CDS NBW'!$A$2:$A$39,0)),"")</f>
        <v/>
      </c>
      <c r="BL102" s="609"/>
      <c r="BM102" s="609"/>
      <c r="BN102" s="609"/>
      <c r="BO102" s="609"/>
      <c r="BP102" s="609">
        <f>IFERROR(INDEX('UNICEF-BMZ'!$O$1:$O$199,MATCH('Matrix Allocations'!A102,'UNICEF-BMZ'!$B$1:$B$199,0)),"")</f>
        <v>0</v>
      </c>
      <c r="BQ102" s="609" t="str">
        <f>IFERROR(VLOOKUP(A102,'BMGF_clean data'!$A$4:$C$30,3,FALSE),"")</f>
        <v/>
      </c>
      <c r="BR102" s="609"/>
      <c r="BS102" s="609"/>
      <c r="BT102" s="609"/>
      <c r="BU102" s="609"/>
      <c r="BV102" s="609"/>
      <c r="BW102" s="87">
        <f>INDEX(USAID!$D$3:$D$151,MATCH('Matrix Allocations'!A102,USAID!$A$3:$A$151,0))</f>
        <v>0</v>
      </c>
      <c r="BX102" s="87" t="str">
        <f>IFERROR(INDEX(DFAT!$L$4:$L$21,MATCH('Matrix Allocations'!A102,DFAT!$B$4:$B$21,0)),"")</f>
        <v/>
      </c>
      <c r="BY102" s="87" t="str">
        <f>IFERROR(INDEX(Table14[Funds Channelled through UNICEF],MATCH('Matrix Allocations'!A102,Table14[ISO Code],0)),"")</f>
        <v/>
      </c>
      <c r="BZ102" s="87">
        <f t="shared" si="53"/>
        <v>0</v>
      </c>
      <c r="CA102">
        <f t="shared" si="49"/>
        <v>2082662</v>
      </c>
      <c r="CB102" s="782">
        <f t="shared" si="42"/>
        <v>624798.6</v>
      </c>
      <c r="CC102" s="791">
        <f t="shared" si="37"/>
        <v>1600000</v>
      </c>
      <c r="CD102" s="788">
        <f t="shared" si="43"/>
        <v>2.5608252003125487</v>
      </c>
      <c r="CE102" s="788">
        <f t="shared" si="44"/>
        <v>1.9206189002344114</v>
      </c>
      <c r="CF102" s="828">
        <f t="shared" si="45"/>
        <v>1.0974965144196638</v>
      </c>
      <c r="CG102" s="828">
        <f t="shared" si="38"/>
        <v>0.7682475600937646</v>
      </c>
      <c r="CH102" s="88">
        <f t="shared" si="50"/>
        <v>500000</v>
      </c>
      <c r="CI102" s="88">
        <f t="shared" si="39"/>
        <v>1000000</v>
      </c>
      <c r="CJ102" s="742">
        <f t="shared" si="51"/>
        <v>0</v>
      </c>
      <c r="CK102" s="848">
        <f t="shared" si="40"/>
        <v>100000</v>
      </c>
      <c r="CL102" s="88">
        <f t="shared" si="41"/>
        <v>0</v>
      </c>
    </row>
    <row r="103" spans="1:90" ht="16" customHeight="1">
      <c r="A103" s="55" t="s">
        <v>651</v>
      </c>
      <c r="B103" s="55" t="s">
        <v>255</v>
      </c>
      <c r="C103" s="55" t="s">
        <v>132</v>
      </c>
      <c r="D103" s="55" t="s">
        <v>150</v>
      </c>
      <c r="E103" s="55" t="s">
        <v>145</v>
      </c>
      <c r="F103" s="56"/>
      <c r="G103" s="56" t="str">
        <f t="shared" si="54"/>
        <v>No</v>
      </c>
      <c r="H103" s="56" t="str">
        <f t="shared" si="54"/>
        <v>No</v>
      </c>
      <c r="I103" s="56" t="str">
        <f t="shared" si="46"/>
        <v>No</v>
      </c>
      <c r="J103" s="56" t="str">
        <f t="shared" si="47"/>
        <v>Yes</v>
      </c>
      <c r="K103" s="56" t="str">
        <f t="shared" si="48"/>
        <v>No</v>
      </c>
      <c r="L103" s="56" t="s">
        <v>541</v>
      </c>
      <c r="M103" s="55" t="s">
        <v>544</v>
      </c>
      <c r="N103" s="134" t="s">
        <v>541</v>
      </c>
      <c r="O103" s="55" t="s">
        <v>541</v>
      </c>
      <c r="P103" s="55" t="s">
        <v>548</v>
      </c>
      <c r="Q103" s="55"/>
      <c r="R103" s="55"/>
      <c r="S103" s="956">
        <v>3233351297.7679496</v>
      </c>
      <c r="T103" s="55" t="s">
        <v>394</v>
      </c>
      <c r="U103" s="64" t="str">
        <f>IFERROR(IF(VLOOKUP(A103,'WB projects data'!$A$5:$C$83,3,0)="Approved",(VLOOKUP(A103,'WB projects data'!$A$5:$C$83,3,0)),""),"")</f>
        <v>Approved</v>
      </c>
      <c r="V103" s="123">
        <f t="shared" si="55"/>
        <v>153000000</v>
      </c>
      <c r="W103" s="123">
        <f>IFERROR((VLOOKUP($A103,'WB projects data'!$A$5:$J$83,6,0)*1000000),"")</f>
        <v>0</v>
      </c>
      <c r="X103" s="123">
        <f>IFERROR((VLOOKUP($A103,'WB projects data'!$A$5:$J$83,7,0)*1000000),"")</f>
        <v>153000000</v>
      </c>
      <c r="Y103" s="123">
        <f>IFERROR((VLOOKUP($A103,'WB projects data'!$A$5:$J$83,8,0)*1000000),"")</f>
        <v>0</v>
      </c>
      <c r="Z103" s="123">
        <f>IFERROR((VLOOKUP($A103,'WB projects data'!$A$5:$J$83,9,0)*1000000),"")</f>
        <v>0</v>
      </c>
      <c r="AA103" s="123">
        <f>IFERROR((VLOOKUP($A103,'WB projects data'!$A$5:$J$83,10,0)*1000000),"")</f>
        <v>0</v>
      </c>
      <c r="AB103" s="55"/>
      <c r="AC103" s="110" t="str">
        <f>VLOOKUP($A103,'ADB Projects'!$A$5:$D$21,3,0)</f>
        <v>Approved</v>
      </c>
      <c r="AD103" s="110" t="str">
        <f>IFERROR(VLOOKUP(A103,'ADB Projects'!$A$4:$W$21,5,FALSE),"")</f>
        <v>Loan</v>
      </c>
      <c r="AE103" s="132">
        <f>IF(AC103="Approved",(VLOOKUP($A103,'ADB Projects'!$A$5:$D$21,4,0)*1000000),"")</f>
        <v>500000000</v>
      </c>
      <c r="AF103" s="585">
        <f>IF(AC103="Approved",(PRODUCT(VLOOKUP($A103,'ADB Projects'!$A$4:$W$21,6,FALSE),1000000)),"")</f>
        <v>491700000</v>
      </c>
      <c r="AG103" s="585">
        <f>IF(AC103="Approved",(PRODUCT(VLOOKUP($A103,'ADB Projects'!$A$4:$W$21,7,FALSE),1000000)),"")</f>
        <v>0</v>
      </c>
      <c r="AH103" s="585">
        <f>IF(AC103="Approved",(PRODUCT(VLOOKUP($A103,'ADB Projects'!$A$4:$W$21,8,FALSE),1000000)),"")</f>
        <v>8300000.0000000009</v>
      </c>
      <c r="AI103" s="55" t="s">
        <v>541</v>
      </c>
      <c r="AJ103" s="55" t="str">
        <f>IF(VLOOKUP($B103,'IsDB Projects'!$B$5:$C$14,2,0)&gt;0,"Requested","")</f>
        <v>Requested</v>
      </c>
      <c r="AK103" s="244">
        <f>VLOOKUP($B103,'IsDB Projects'!$B$5:$D$14,3,0)</f>
        <v>70000000</v>
      </c>
      <c r="AL103" s="55" t="s">
        <v>541</v>
      </c>
      <c r="AM103" s="55"/>
      <c r="AN103" s="55"/>
      <c r="AO103" s="55"/>
      <c r="AP103" s="55"/>
      <c r="AQ103" s="602" t="str">
        <f t="shared" si="56"/>
        <v/>
      </c>
      <c r="AR103" s="602" t="str">
        <f>IFERROR(VLOOKUP($A103,'IDB C19 Vaccine Projects'!$O$4:$Q$12,2,FALSE),"")</f>
        <v/>
      </c>
      <c r="AS103" s="602" t="str">
        <f>IFERROR(VLOOKUP($A103,'IDB C19 Vaccine Projects'!$O$4:$Q$12,3,FALSE),"")</f>
        <v/>
      </c>
      <c r="AT103" s="55"/>
      <c r="AU103" s="88"/>
      <c r="AV103" s="55"/>
      <c r="AW103" s="55"/>
      <c r="AX103" s="88">
        <f>INDEX(USAID!$C$3:$C$151,MATCH('Matrix Allocations'!A103,USAID!$A$3:$A$151,0))</f>
        <v>2500000</v>
      </c>
      <c r="AY103" s="110">
        <v>6106979</v>
      </c>
      <c r="AZ103" s="88">
        <f>IFERROR(INDEX('[4]Vx All regions allocations'!O$10:O$144,MATCH(A103,'[4]Vx All regions allocations'!A$10:A$144,0)),"")</f>
        <v>3000000</v>
      </c>
      <c r="BA103" s="88">
        <v>262300</v>
      </c>
      <c r="BB103" s="88">
        <v>693360</v>
      </c>
      <c r="BC103" s="88" t="str">
        <f>IFERROR(INDEX(DFAT!$K$4:$K$21,MATCH('Matrix Allocations'!A103,DFAT!$B$4:$B$21,0)),"")</f>
        <v/>
      </c>
      <c r="BD103" s="88"/>
      <c r="BE103" s="826" t="str">
        <f>IFERROR(IF(INDEX('GAVI CCE'!$E$3:$E$95,MATCH('Matrix Allocations'!A103,'GAVI CCE'!$A$3:$A$95,0))="Yes",INDEX('GAVI CCE'!$E$3:$E$95,MATCH('Matrix Allocations'!A103,'GAVI CCE'!$A$3:$A$95,0)),""),"")</f>
        <v>Yes</v>
      </c>
      <c r="BF103" s="88">
        <f>IFERROR(IF(BE103="Yes",INDEX('GAVI CCE'!$F$3:$F$95,MATCH('Matrix Allocations'!A103,'GAVI CCE'!$A$3:$A$95,0)),""),"")</f>
        <v>2538909</v>
      </c>
      <c r="BG103" s="609" t="str">
        <f>IFERROR(IF(E103='CDS early access ceilings'!$A$94,(VLOOKUP(A103,'CDS early access ceilings'!$A$2:$D$92,4,FALSE)),""),"")</f>
        <v>GAVI</v>
      </c>
      <c r="BH103" s="639" t="str">
        <f>IFERROR(INDEX(Table14[Status (clean)],MATCH('Matrix Allocations'!A103,Table14[ISO Code],0)),"")</f>
        <v>Disbursed</v>
      </c>
      <c r="BI103" s="641">
        <f>IFERROR(INDEX(Table14[Amount disbursed (USD)],MATCH('Matrix Allocations'!A103,Table14[ISO Code],0)),"")</f>
        <v>14360986</v>
      </c>
      <c r="BJ103" s="641" t="str">
        <f>IFERROR(INDEX('CDS NBW'!$I$2:$I$39,MATCH(A103,'CDS NBW'!$A$2:$A$39,0)),"")</f>
        <v/>
      </c>
      <c r="BK103" s="641" t="str">
        <f>IFERROR(INDEX('CDS NBW'!$J$2:$J$39,MATCH(A103,'CDS NBW'!$A$2:$A$39,0)),"")</f>
        <v/>
      </c>
      <c r="BL103" s="609"/>
      <c r="BM103" s="609"/>
      <c r="BN103" s="609"/>
      <c r="BO103" s="609">
        <f>150000</f>
        <v>150000</v>
      </c>
      <c r="BP103" s="609">
        <f>IFERROR(INDEX('UNICEF-BMZ'!$O$1:$O$199,MATCH('Matrix Allocations'!A103,'UNICEF-BMZ'!$B$1:$B$199,0)),"")</f>
        <v>870000</v>
      </c>
      <c r="BQ103" s="609">
        <f>IFERROR(VLOOKUP(A103,'BMGF_clean data'!$A$4:$C$30,3,FALSE),"")</f>
        <v>697000</v>
      </c>
      <c r="BR103" s="609"/>
      <c r="BS103" s="609"/>
      <c r="BT103" s="609"/>
      <c r="BU103" s="609"/>
      <c r="BV103" s="609"/>
      <c r="BW103" s="87">
        <f>INDEX(USAID!$D$3:$D$151,MATCH('Matrix Allocations'!A103,USAID!$A$3:$A$151,0))</f>
        <v>950000</v>
      </c>
      <c r="BX103" s="87" t="str">
        <f>IFERROR(INDEX(DFAT!$L$4:$L$21,MATCH('Matrix Allocations'!A103,DFAT!$B$4:$B$21,0)),"")</f>
        <v/>
      </c>
      <c r="BY103" s="87">
        <f>IFERROR(INDEX(Table14[Funds Channelled through UNICEF],MATCH('Matrix Allocations'!A103,Table14[ISO Code],0)),"")</f>
        <v>6705086</v>
      </c>
      <c r="BZ103" s="87">
        <f t="shared" si="53"/>
        <v>6705086</v>
      </c>
      <c r="CA103">
        <f t="shared" si="49"/>
        <v>225199929</v>
      </c>
      <c r="CB103" s="782">
        <f t="shared" si="42"/>
        <v>67559978.700000003</v>
      </c>
      <c r="CC103" s="791">
        <f t="shared" si="37"/>
        <v>31179534</v>
      </c>
      <c r="CD103" s="788">
        <f t="shared" si="43"/>
        <v>0.46150893768709844</v>
      </c>
      <c r="CE103" s="788">
        <f t="shared" si="44"/>
        <v>0.34613170326532383</v>
      </c>
      <c r="CF103" s="828">
        <f t="shared" si="45"/>
        <v>0.19778954472304222</v>
      </c>
      <c r="CG103" s="828">
        <f t="shared" si="38"/>
        <v>0.13845268130612953</v>
      </c>
      <c r="CH103" s="88">
        <f t="shared" si="50"/>
        <v>0</v>
      </c>
      <c r="CI103" s="88">
        <f t="shared" si="39"/>
        <v>8606979</v>
      </c>
      <c r="CJ103" s="742">
        <f t="shared" si="51"/>
        <v>847000</v>
      </c>
      <c r="CK103" s="848">
        <f t="shared" si="40"/>
        <v>16912065</v>
      </c>
      <c r="CL103" s="88">
        <f t="shared" si="41"/>
        <v>18725555</v>
      </c>
    </row>
    <row r="104" spans="1:90" ht="16" customHeight="1">
      <c r="A104" s="147" t="s">
        <v>652</v>
      </c>
      <c r="B104" s="147" t="s">
        <v>256</v>
      </c>
      <c r="C104" s="55" t="s">
        <v>130</v>
      </c>
      <c r="D104" s="55" t="s">
        <v>550</v>
      </c>
      <c r="E104" s="55" t="s">
        <v>146</v>
      </c>
      <c r="F104" s="56"/>
      <c r="G104" s="56" t="str">
        <f t="shared" si="54"/>
        <v>Yes</v>
      </c>
      <c r="H104" s="56" t="str">
        <f t="shared" si="54"/>
        <v>Yes</v>
      </c>
      <c r="I104" s="56" t="str">
        <f t="shared" si="46"/>
        <v>No</v>
      </c>
      <c r="J104" s="56" t="str">
        <f t="shared" si="47"/>
        <v>No</v>
      </c>
      <c r="K104" s="56" t="str">
        <f t="shared" si="48"/>
        <v>Yes</v>
      </c>
      <c r="L104" s="56" t="s">
        <v>541</v>
      </c>
      <c r="M104" s="55" t="s">
        <v>544</v>
      </c>
      <c r="N104" s="134" t="s">
        <v>544</v>
      </c>
      <c r="O104" s="55" t="s">
        <v>544</v>
      </c>
      <c r="P104" s="55"/>
      <c r="Q104" s="55"/>
      <c r="R104" s="55"/>
      <c r="S104" s="956">
        <v>18180646.808608256</v>
      </c>
      <c r="T104" s="55" t="s">
        <v>395</v>
      </c>
      <c r="U104" s="64" t="str">
        <f>IFERROR(IF(VLOOKUP(A104,'WB projects data'!$A$5:$C$83,3,0)="Approved",(VLOOKUP(A104,'WB projects data'!$A$5:$C$83,3,0)),""),"")</f>
        <v/>
      </c>
      <c r="V104" s="123" t="str">
        <f t="shared" si="55"/>
        <v/>
      </c>
      <c r="W104" s="123" t="str">
        <f>IFERROR((VLOOKUP($A104,'WB projects data'!$A$5:$J$83,6,0)*1000000),"")</f>
        <v/>
      </c>
      <c r="X104" s="123" t="str">
        <f>IFERROR((VLOOKUP($A104,'WB projects data'!$A$5:$J$83,7,0)*1000000),"")</f>
        <v/>
      </c>
      <c r="Y104" s="123" t="str">
        <f>IFERROR((VLOOKUP($A104,'WB projects data'!$A$5:$J$83,8,0)*1000000),"")</f>
        <v/>
      </c>
      <c r="Z104" s="123" t="str">
        <f>IFERROR((VLOOKUP($A104,'WB projects data'!$A$5:$J$83,9,0)*1000000),"")</f>
        <v/>
      </c>
      <c r="AA104" s="123" t="str">
        <f>IFERROR((VLOOKUP($A104,'WB projects data'!$A$5:$J$83,10,0)*1000000),"")</f>
        <v/>
      </c>
      <c r="AB104" s="55"/>
      <c r="AC104" s="110"/>
      <c r="AD104" s="110" t="str">
        <f>IFERROR(VLOOKUP(A104,'ADB Projects'!$A$4:$W$21,5,FALSE),"")</f>
        <v/>
      </c>
      <c r="AE104" s="132" t="str">
        <f>IF(AC104="Approved",(VLOOKUP($A104,'ADB Projects'!$A$5:$D$21,4,0)*1000000),"")</f>
        <v/>
      </c>
      <c r="AF104" s="585" t="str">
        <f>IF(AC104="Approved",(PRODUCT(VLOOKUP($A104,'ADB Projects'!$A$4:$W$21,6,FALSE),1000000)),"")</f>
        <v/>
      </c>
      <c r="AG104" s="585" t="str">
        <f>IF(AC104="Approved",(PRODUCT(VLOOKUP($A104,'ADB Projects'!$A$4:$W$21,7,FALSE),1000000)),"")</f>
        <v/>
      </c>
      <c r="AH104" s="585" t="str">
        <f>IF(AC104="Approved",(PRODUCT(VLOOKUP($A104,'ADB Projects'!$A$4:$W$21,8,FALSE),1000000)),"")</f>
        <v/>
      </c>
      <c r="AI104" s="55"/>
      <c r="AJ104" s="55"/>
      <c r="AK104" s="244"/>
      <c r="AL104" s="55"/>
      <c r="AM104" s="55"/>
      <c r="AN104" s="55"/>
      <c r="AO104" s="55"/>
      <c r="AP104" s="55"/>
      <c r="AQ104" s="602" t="str">
        <f t="shared" si="56"/>
        <v/>
      </c>
      <c r="AR104" s="602" t="str">
        <f>IFERROR(VLOOKUP($A104,'IDB C19 Vaccine Projects'!$O$4:$Q$12,2,FALSE),"")</f>
        <v/>
      </c>
      <c r="AS104" s="602" t="str">
        <f>IFERROR(VLOOKUP($A104,'IDB C19 Vaccine Projects'!$O$4:$Q$12,3,FALSE),"")</f>
        <v/>
      </c>
      <c r="AT104" s="55"/>
      <c r="AU104" s="88"/>
      <c r="AV104" s="55"/>
      <c r="AW104" s="55"/>
      <c r="AX104" s="88" t="str">
        <f>INDEX(USAID!$C$3:$C$151,MATCH('Matrix Allocations'!A104,USAID!$A$3:$A$151,0))</f>
        <v/>
      </c>
      <c r="AY104" s="110"/>
      <c r="AZ104" s="88" t="str">
        <f>IFERROR(INDEX('[4]Vx All regions allocations'!O$10:O$144,MATCH(A104,'[4]Vx All regions allocations'!A$10:A$144,0)),"")</f>
        <v/>
      </c>
      <c r="BA104" s="88">
        <v>0</v>
      </c>
      <c r="BB104" s="88">
        <v>0</v>
      </c>
      <c r="BC104" s="88" t="str">
        <f>IFERROR(INDEX(DFAT!$K$4:$K$21,MATCH('Matrix Allocations'!A104,DFAT!$B$4:$B$21,0)),"")</f>
        <v/>
      </c>
      <c r="BD104" s="88"/>
      <c r="BE104" s="826" t="str">
        <f>IFERROR(IF(INDEX('GAVI CCE'!$E$3:$E$95,MATCH('Matrix Allocations'!A104,'GAVI CCE'!$A$3:$A$95,0))="Yes",INDEX('GAVI CCE'!$E$3:$E$95,MATCH('Matrix Allocations'!A104,'GAVI CCE'!$A$3:$A$95,0)),""),"")</f>
        <v/>
      </c>
      <c r="BF104" s="88" t="str">
        <f>IFERROR(IF(BE104="Yes",INDEX('GAVI CCE'!$F$3:$F$95,MATCH('Matrix Allocations'!A104,'GAVI CCE'!$A$3:$A$95,0)),""),"")</f>
        <v/>
      </c>
      <c r="BG104" s="609" t="str">
        <f>IFERROR(IF(E104='CDS early access ceilings'!$A$94,(VLOOKUP(A104,'CDS early access ceilings'!$A$2:$D$92,4,FALSE)),""),"")</f>
        <v/>
      </c>
      <c r="BH104" s="639" t="str">
        <f>IFERROR(INDEX(Table14[Status (clean)],MATCH('Matrix Allocations'!A104,Table14[ISO Code],0)),"")</f>
        <v/>
      </c>
      <c r="BI104" s="641" t="str">
        <f>IFERROR(INDEX(Table14[Amount disbursed (USD)],MATCH('Matrix Allocations'!A104,Table14[ISO Code],0)),"")</f>
        <v/>
      </c>
      <c r="BJ104" s="641" t="str">
        <f>IFERROR(INDEX('CDS NBW'!$I$2:$I$39,MATCH(A104,'CDS NBW'!$A$2:$A$39,0)),"")</f>
        <v/>
      </c>
      <c r="BK104" s="641" t="str">
        <f>IFERROR(INDEX('CDS NBW'!$J$2:$J$39,MATCH(A104,'CDS NBW'!$A$2:$A$39,0)),"")</f>
        <v/>
      </c>
      <c r="BL104" s="609"/>
      <c r="BM104" s="609"/>
      <c r="BN104" s="609"/>
      <c r="BO104" s="609"/>
      <c r="BP104" s="609" t="str">
        <f>IFERROR(INDEX('UNICEF-BMZ'!$O$1:$O$199,MATCH('Matrix Allocations'!A104,'UNICEF-BMZ'!$B$1:$B$199,0)),"")</f>
        <v/>
      </c>
      <c r="BQ104" s="609" t="str">
        <f>IFERROR(VLOOKUP(A104,'BMGF_clean data'!$A$4:$C$30,3,FALSE),"")</f>
        <v/>
      </c>
      <c r="BR104" s="609"/>
      <c r="BS104" s="609"/>
      <c r="BT104" s="609"/>
      <c r="BU104" s="609"/>
      <c r="BV104" s="609"/>
      <c r="BW104" s="87">
        <f>INDEX(USAID!$D$3:$D$151,MATCH('Matrix Allocations'!A104,USAID!$A$3:$A$151,0))</f>
        <v>0</v>
      </c>
      <c r="BX104" s="87" t="str">
        <f>IFERROR(INDEX(DFAT!$L$4:$L$21,MATCH('Matrix Allocations'!A104,DFAT!$B$4:$B$21,0)),"")</f>
        <v/>
      </c>
      <c r="BY104" s="87" t="str">
        <f>IFERROR(INDEX(Table14[Funds Channelled through UNICEF],MATCH('Matrix Allocations'!A104,Table14[ISO Code],0)),"")</f>
        <v/>
      </c>
      <c r="BZ104" s="87">
        <f t="shared" si="53"/>
        <v>0</v>
      </c>
      <c r="CA104">
        <f t="shared" si="49"/>
        <v>18092</v>
      </c>
      <c r="CB104" s="782">
        <f t="shared" si="42"/>
        <v>5427.5999999999995</v>
      </c>
      <c r="CC104" s="791">
        <f t="shared" si="37"/>
        <v>0</v>
      </c>
      <c r="CD104" s="788">
        <f t="shared" si="43"/>
        <v>0</v>
      </c>
      <c r="CE104" s="788">
        <f t="shared" si="44"/>
        <v>0</v>
      </c>
      <c r="CF104" s="828">
        <f t="shared" si="45"/>
        <v>0</v>
      </c>
      <c r="CG104" s="828">
        <f t="shared" si="38"/>
        <v>0</v>
      </c>
      <c r="CH104" s="88">
        <f t="shared" si="50"/>
        <v>0</v>
      </c>
      <c r="CI104" s="88">
        <f t="shared" si="39"/>
        <v>0</v>
      </c>
      <c r="CJ104" s="742">
        <f t="shared" si="51"/>
        <v>0</v>
      </c>
      <c r="CK104" s="848">
        <f t="shared" si="40"/>
        <v>0</v>
      </c>
      <c r="CL104" s="88">
        <f t="shared" si="41"/>
        <v>0</v>
      </c>
    </row>
    <row r="105" spans="1:90" ht="16" customHeight="1">
      <c r="A105" s="55" t="s">
        <v>653</v>
      </c>
      <c r="B105" s="55" t="s">
        <v>257</v>
      </c>
      <c r="C105" s="55" t="s">
        <v>130</v>
      </c>
      <c r="D105" s="55" t="s">
        <v>152</v>
      </c>
      <c r="E105" s="55" t="s">
        <v>146</v>
      </c>
      <c r="F105" s="56"/>
      <c r="G105" s="56" t="str">
        <f t="shared" si="54"/>
        <v>No</v>
      </c>
      <c r="H105" s="56" t="str">
        <f t="shared" si="54"/>
        <v>No</v>
      </c>
      <c r="I105" s="56" t="str">
        <f t="shared" ref="I105:I136" si="57">IF($T105="Blend","Yes","No")</f>
        <v>Yes</v>
      </c>
      <c r="J105" s="56" t="str">
        <f t="shared" ref="J105:J136" si="58">IF(OR(T105="IDA",T105="Blend"),"Yes","No")</f>
        <v>Yes</v>
      </c>
      <c r="K105" s="56" t="str">
        <f t="shared" ref="K105:K136" si="59">IF($T105="IBRD","Yes","No")</f>
        <v>No</v>
      </c>
      <c r="L105" s="56" t="s">
        <v>541</v>
      </c>
      <c r="M105" s="55" t="s">
        <v>544</v>
      </c>
      <c r="N105" s="134" t="s">
        <v>544</v>
      </c>
      <c r="O105" s="55" t="s">
        <v>544</v>
      </c>
      <c r="P105" s="55" t="s">
        <v>546</v>
      </c>
      <c r="Q105" s="55"/>
      <c r="R105" s="55"/>
      <c r="S105" s="956">
        <v>3020530707.3485303</v>
      </c>
      <c r="T105" s="55" t="s">
        <v>396</v>
      </c>
      <c r="U105" s="64" t="str">
        <f>IFERROR(IF(VLOOKUP(A105,'WB projects data'!$A$5:$C$83,3,0)="Approved",(VLOOKUP(A105,'WB projects data'!$A$5:$C$83,3,0)),""),"")</f>
        <v/>
      </c>
      <c r="V105" s="123">
        <f t="shared" si="55"/>
        <v>0</v>
      </c>
      <c r="W105" s="123">
        <f>IFERROR((VLOOKUP($A105,'WB projects data'!$A$5:$J$83,6,0)*1000000),"")</f>
        <v>0</v>
      </c>
      <c r="X105" s="123">
        <f>IFERROR((VLOOKUP($A105,'WB projects data'!$A$5:$J$83,7,0)*1000000),"")</f>
        <v>0</v>
      </c>
      <c r="Y105" s="123">
        <f>IFERROR((VLOOKUP($A105,'WB projects data'!$A$5:$J$83,8,0)*1000000),"")</f>
        <v>0</v>
      </c>
      <c r="Z105" s="123">
        <f>IFERROR((VLOOKUP($A105,'WB projects data'!$A$5:$J$83,9,0)*1000000),"")</f>
        <v>0</v>
      </c>
      <c r="AA105" s="123">
        <f>IFERROR((VLOOKUP($A105,'WB projects data'!$A$5:$J$83,10,0)*1000000),"")</f>
        <v>0</v>
      </c>
      <c r="AB105" s="55"/>
      <c r="AC105" s="110"/>
      <c r="AD105" s="110" t="str">
        <f>IFERROR(VLOOKUP(A105,'ADB Projects'!$A$4:$W$21,5,FALSE),"")</f>
        <v/>
      </c>
      <c r="AE105" s="132" t="str">
        <f>IF(AC105="Approved",(VLOOKUP($A105,'ADB Projects'!$A$5:$D$21,4,0)*1000000),"")</f>
        <v/>
      </c>
      <c r="AF105" s="585" t="str">
        <f>IF(AC105="Approved",(PRODUCT(VLOOKUP($A105,'ADB Projects'!$A$4:$W$21,6,FALSE),1000000)),"")</f>
        <v/>
      </c>
      <c r="AG105" s="585" t="str">
        <f>IF(AC105="Approved",(PRODUCT(VLOOKUP($A105,'ADB Projects'!$A$4:$W$21,7,FALSE),1000000)),"")</f>
        <v/>
      </c>
      <c r="AH105" s="585" t="str">
        <f>IF(AC105="Approved",(PRODUCT(VLOOKUP($A105,'ADB Projects'!$A$4:$W$21,8,FALSE),1000000)),"")</f>
        <v/>
      </c>
      <c r="AI105" s="55" t="s">
        <v>541</v>
      </c>
      <c r="AJ105" s="55"/>
      <c r="AK105" s="244"/>
      <c r="AL105" s="55" t="s">
        <v>541</v>
      </c>
      <c r="AM105" s="55"/>
      <c r="AN105" s="55"/>
      <c r="AO105" s="55" t="s">
        <v>541</v>
      </c>
      <c r="AP105" s="55" t="s">
        <v>552</v>
      </c>
      <c r="AQ105" s="602">
        <f t="shared" si="56"/>
        <v>22400000</v>
      </c>
      <c r="AR105" s="602">
        <f>IFERROR(VLOOKUP($A105,'IDB C19 Vaccine Projects'!$O$4:$Q$12,2,FALSE),"")</f>
        <v>20700000</v>
      </c>
      <c r="AS105" s="602">
        <f>IFERROR(VLOOKUP($A105,'IDB C19 Vaccine Projects'!$O$4:$Q$12,3,FALSE),"")</f>
        <v>1700000</v>
      </c>
      <c r="AT105" s="55"/>
      <c r="AU105" s="88"/>
      <c r="AV105" s="55"/>
      <c r="AW105" s="55"/>
      <c r="AX105" s="88">
        <f>INDEX(USAID!$C$3:$C$151,MATCH('Matrix Allocations'!A105,USAID!$A$3:$A$151,0))</f>
        <v>200000</v>
      </c>
      <c r="AY105" s="110"/>
      <c r="AZ105" s="88">
        <f>IFERROR(INDEX('[4]Vx All regions allocations'!O$10:O$144,MATCH(A105,'[4]Vx All regions allocations'!A$10:A$144,0)),"")</f>
        <v>0</v>
      </c>
      <c r="BA105" s="88">
        <v>0</v>
      </c>
      <c r="BB105" s="88">
        <v>0</v>
      </c>
      <c r="BC105" s="88" t="str">
        <f>IFERROR(INDEX(DFAT!$K$4:$K$21,MATCH('Matrix Allocations'!A105,DFAT!$B$4:$B$21,0)),"")</f>
        <v/>
      </c>
      <c r="BD105" s="88"/>
      <c r="BE105" s="826" t="str">
        <f>IFERROR(IF(INDEX('GAVI CCE'!$E$3:$E$95,MATCH('Matrix Allocations'!A105,'GAVI CCE'!$A$3:$A$95,0))="Yes",INDEX('GAVI CCE'!$E$3:$E$95,MATCH('Matrix Allocations'!A105,'GAVI CCE'!$A$3:$A$95,0)),""),"")</f>
        <v/>
      </c>
      <c r="BF105" s="88" t="str">
        <f>IFERROR(IF(BE105="Yes",INDEX('GAVI CCE'!$F$3:$F$95,MATCH('Matrix Allocations'!A105,'GAVI CCE'!$A$3:$A$95,0)),""),"")</f>
        <v/>
      </c>
      <c r="BG105" s="609" t="str">
        <f>IFERROR(IF(E105='CDS early access ceilings'!$A$94,(VLOOKUP(A105,'CDS early access ceilings'!$A$2:$D$92,4,FALSE)),""),"")</f>
        <v/>
      </c>
      <c r="BH105" s="639" t="str">
        <f>IFERROR(INDEX(Table14[Status (clean)],MATCH('Matrix Allocations'!A105,Table14[ISO Code],0)),"")</f>
        <v/>
      </c>
      <c r="BI105" s="641" t="str">
        <f>IFERROR(INDEX(Table14[Amount disbursed (USD)],MATCH('Matrix Allocations'!A105,Table14[ISO Code],0)),"")</f>
        <v/>
      </c>
      <c r="BJ105" s="641" t="str">
        <f>IFERROR(INDEX('CDS NBW'!$I$2:$I$39,MATCH(A105,'CDS NBW'!$A$2:$A$39,0)),"")</f>
        <v/>
      </c>
      <c r="BK105" s="641" t="str">
        <f>IFERROR(INDEX('CDS NBW'!$J$2:$J$39,MATCH(A105,'CDS NBW'!$A$2:$A$39,0)),"")</f>
        <v/>
      </c>
      <c r="BL105" s="609"/>
      <c r="BM105" s="609"/>
      <c r="BN105" s="609"/>
      <c r="BO105" s="609"/>
      <c r="BP105" s="609">
        <f>IFERROR(INDEX('UNICEF-BMZ'!$O$1:$O$199,MATCH('Matrix Allocations'!A105,'UNICEF-BMZ'!$B$1:$B$199,0)),"")</f>
        <v>0</v>
      </c>
      <c r="BQ105" s="609" t="str">
        <f>IFERROR(VLOOKUP(A105,'BMGF_clean data'!$A$4:$C$30,3,FALSE),"")</f>
        <v/>
      </c>
      <c r="BR105" s="609"/>
      <c r="BS105" s="609"/>
      <c r="BT105" s="609"/>
      <c r="BU105" s="609"/>
      <c r="BV105" s="609"/>
      <c r="BW105" s="87">
        <f>INDEX(USAID!$D$3:$D$151,MATCH('Matrix Allocations'!A105,USAID!$A$3:$A$151,0))</f>
        <v>0</v>
      </c>
      <c r="BX105" s="87" t="str">
        <f>IFERROR(INDEX(DFAT!$L$4:$L$21,MATCH('Matrix Allocations'!A105,DFAT!$B$4:$B$21,0)),"")</f>
        <v/>
      </c>
      <c r="BY105" s="87" t="str">
        <f>IFERROR(INDEX(Table14[Funds Channelled through UNICEF],MATCH('Matrix Allocations'!A105,Table14[ISO Code],0)),"")</f>
        <v/>
      </c>
      <c r="BZ105" s="87">
        <f t="shared" si="53"/>
        <v>0</v>
      </c>
      <c r="CA105">
        <f t="shared" si="49"/>
        <v>4381583</v>
      </c>
      <c r="CB105" s="782">
        <f t="shared" si="42"/>
        <v>1314474.8999999999</v>
      </c>
      <c r="CC105" s="791">
        <f t="shared" si="37"/>
        <v>1900000</v>
      </c>
      <c r="CD105" s="788">
        <f t="shared" si="43"/>
        <v>1.445444108518162</v>
      </c>
      <c r="CE105" s="788">
        <f t="shared" si="44"/>
        <v>1.0840830813886213</v>
      </c>
      <c r="CF105" s="828">
        <f t="shared" si="45"/>
        <v>0.61947604650778376</v>
      </c>
      <c r="CG105" s="828">
        <f t="shared" si="38"/>
        <v>0.43363323255544856</v>
      </c>
      <c r="CH105" s="88">
        <f t="shared" si="50"/>
        <v>1700000</v>
      </c>
      <c r="CI105" s="88">
        <f t="shared" si="39"/>
        <v>200000</v>
      </c>
      <c r="CJ105" s="742">
        <f t="shared" si="51"/>
        <v>0</v>
      </c>
      <c r="CK105" s="848">
        <f t="shared" si="40"/>
        <v>0</v>
      </c>
      <c r="CL105" s="88">
        <f t="shared" si="41"/>
        <v>0</v>
      </c>
    </row>
    <row r="106" spans="1:90" ht="16" customHeight="1">
      <c r="A106" s="55" t="s">
        <v>654</v>
      </c>
      <c r="B106" s="55" t="s">
        <v>258</v>
      </c>
      <c r="C106" s="55" t="s">
        <v>126</v>
      </c>
      <c r="D106" s="55" t="s">
        <v>150</v>
      </c>
      <c r="E106" s="55" t="s">
        <v>145</v>
      </c>
      <c r="F106" s="56">
        <v>1</v>
      </c>
      <c r="G106" s="56" t="str">
        <f t="shared" si="54"/>
        <v>Yes</v>
      </c>
      <c r="H106" s="56" t="str">
        <f t="shared" si="54"/>
        <v>Yes</v>
      </c>
      <c r="I106" s="56" t="str">
        <f t="shared" si="57"/>
        <v>No</v>
      </c>
      <c r="J106" s="56" t="str">
        <f t="shared" si="58"/>
        <v>No</v>
      </c>
      <c r="K106" s="56" t="str">
        <f t="shared" si="59"/>
        <v>Yes</v>
      </c>
      <c r="L106" s="56" t="s">
        <v>541</v>
      </c>
      <c r="M106" s="55" t="s">
        <v>544</v>
      </c>
      <c r="N106" s="134" t="s">
        <v>541</v>
      </c>
      <c r="O106" s="55" t="s">
        <v>541</v>
      </c>
      <c r="P106" s="55" t="s">
        <v>542</v>
      </c>
      <c r="Q106" s="55" t="s">
        <v>541</v>
      </c>
      <c r="R106" s="55"/>
      <c r="S106" s="956">
        <v>384406316.46074712</v>
      </c>
      <c r="T106" s="55" t="s">
        <v>395</v>
      </c>
      <c r="U106" s="64" t="str">
        <f>IFERROR(IF(VLOOKUP(A106,'WB projects data'!$A$5:$C$83,3,0)="Approved",(VLOOKUP(A106,'WB projects data'!$A$5:$C$83,3,0)),""),"")</f>
        <v>Approved</v>
      </c>
      <c r="V106" s="123">
        <f t="shared" si="55"/>
        <v>30000000</v>
      </c>
      <c r="W106" s="123">
        <f>IFERROR((VLOOKUP($A106,'WB projects data'!$A$5:$J$83,6,0)*1000000),"")</f>
        <v>30000000</v>
      </c>
      <c r="X106" s="123">
        <f>IFERROR((VLOOKUP($A106,'WB projects data'!$A$5:$J$83,7,0)*1000000),"")</f>
        <v>0</v>
      </c>
      <c r="Y106" s="123">
        <f>IFERROR((VLOOKUP($A106,'WB projects data'!$A$5:$J$83,8,0)*1000000),"")</f>
        <v>0</v>
      </c>
      <c r="Z106" s="123">
        <f>IFERROR((VLOOKUP($A106,'WB projects data'!$A$5:$J$83,9,0)*1000000),"")</f>
        <v>10000000</v>
      </c>
      <c r="AA106" s="123">
        <f>IFERROR((VLOOKUP($A106,'WB projects data'!$A$5:$J$83,10,0)*1000000),"")</f>
        <v>20000000</v>
      </c>
      <c r="AB106" s="55"/>
      <c r="AC106" s="110"/>
      <c r="AD106" s="110" t="str">
        <f>IFERROR(VLOOKUP(A106,'ADB Projects'!$A$4:$W$21,5,FALSE),"")</f>
        <v/>
      </c>
      <c r="AE106" s="132" t="str">
        <f>IF(AC106="Approved",(VLOOKUP($A106,'ADB Projects'!$A$5:$D$21,4,0)*1000000),"")</f>
        <v/>
      </c>
      <c r="AF106" s="585" t="str">
        <f>IF(AC106="Approved",(PRODUCT(VLOOKUP($A106,'ADB Projects'!$A$4:$W$21,6,FALSE),1000000)),"")</f>
        <v/>
      </c>
      <c r="AG106" s="585" t="str">
        <f>IF(AC106="Approved",(PRODUCT(VLOOKUP($A106,'ADB Projects'!$A$4:$W$21,7,FALSE),1000000)),"")</f>
        <v/>
      </c>
      <c r="AH106" s="585" t="str">
        <f>IF(AC106="Approved",(PRODUCT(VLOOKUP($A106,'ADB Projects'!$A$4:$W$21,8,FALSE),1000000)),"")</f>
        <v/>
      </c>
      <c r="AI106" s="55"/>
      <c r="AJ106" s="55"/>
      <c r="AK106" s="244"/>
      <c r="AL106" s="55"/>
      <c r="AM106" s="55"/>
      <c r="AN106" s="55"/>
      <c r="AO106" s="55"/>
      <c r="AP106" s="55"/>
      <c r="AQ106" s="602" t="str">
        <f t="shared" si="56"/>
        <v/>
      </c>
      <c r="AR106" s="602" t="str">
        <f>IFERROR(VLOOKUP($A106,'IDB C19 Vaccine Projects'!$O$4:$Q$12,2,FALSE),"")</f>
        <v/>
      </c>
      <c r="AS106" s="602" t="str">
        <f>IFERROR(VLOOKUP($A106,'IDB C19 Vaccine Projects'!$O$4:$Q$12,3,FALSE),"")</f>
        <v/>
      </c>
      <c r="AT106" s="55"/>
      <c r="AU106" s="88"/>
      <c r="AV106" s="55"/>
      <c r="AW106" s="55"/>
      <c r="AX106" s="88">
        <f>INDEX(USAID!$C$3:$C$151,MATCH('Matrix Allocations'!A106,USAID!$A$3:$A$151,0))</f>
        <v>4500000</v>
      </c>
      <c r="AY106" s="110">
        <f>2613221+4950496</f>
        <v>7563717</v>
      </c>
      <c r="AZ106" s="88">
        <f>IFERROR(INDEX('[4]Vx All regions allocations'!O$10:O$144,MATCH(A106,'[4]Vx All regions allocations'!A$10:A$144,0)),"")</f>
        <v>400000</v>
      </c>
      <c r="BA106" s="88">
        <v>258399.99999999997</v>
      </c>
      <c r="BB106" s="88">
        <v>464915</v>
      </c>
      <c r="BC106" s="88">
        <f>IFERROR(INDEX(DFAT!$K$4:$K$21,MATCH('Matrix Allocations'!A106,DFAT!$B$4:$B$21,0)),"")</f>
        <v>0</v>
      </c>
      <c r="BD106" s="88">
        <v>2112690</v>
      </c>
      <c r="BE106" s="826" t="str">
        <f>IFERROR(IF(INDEX('GAVI CCE'!$E$3:$E$95,MATCH('Matrix Allocations'!A106,'GAVI CCE'!$A$3:$A$95,0))="Yes",INDEX('GAVI CCE'!$E$3:$E$95,MATCH('Matrix Allocations'!A106,'GAVI CCE'!$A$3:$A$95,0)),""),"")</f>
        <v>Yes</v>
      </c>
      <c r="BF106" s="88">
        <f>IFERROR(IF(BE106="Yes",INDEX('GAVI CCE'!$F$3:$F$95,MATCH('Matrix Allocations'!A106,'GAVI CCE'!$A$3:$A$95,0)),""),"")</f>
        <v>199349</v>
      </c>
      <c r="BG106" s="609" t="str">
        <f>IFERROR(IF(E106='CDS early access ceilings'!$A$94,(VLOOKUP(A106,'CDS early access ceilings'!$A$2:$D$92,4,FALSE)),""),"")</f>
        <v>GAVI</v>
      </c>
      <c r="BH106" s="639" t="str">
        <f>IFERROR(INDEX(Table14[Status (clean)],MATCH('Matrix Allocations'!A106,Table14[ISO Code],0)),"")</f>
        <v>Disbursed</v>
      </c>
      <c r="BI106" s="641">
        <f>IFERROR(INDEX(Table14[Amount disbursed (USD)],MATCH('Matrix Allocations'!A106,Table14[ISO Code],0)),"")</f>
        <v>31079</v>
      </c>
      <c r="BJ106" s="641" t="str">
        <f>IFERROR(INDEX('CDS NBW'!$I$2:$I$39,MATCH(A106,'CDS NBW'!$A$2:$A$39,0)),"")</f>
        <v/>
      </c>
      <c r="BK106" s="641" t="str">
        <f>IFERROR(INDEX('CDS NBW'!$J$2:$J$39,MATCH(A106,'CDS NBW'!$A$2:$A$39,0)),"")</f>
        <v/>
      </c>
      <c r="BL106" s="609"/>
      <c r="BM106" s="609"/>
      <c r="BN106" s="609"/>
      <c r="BO106" s="609">
        <f>154078+986410+3926550</f>
        <v>5067038</v>
      </c>
      <c r="BP106" s="609">
        <f>IFERROR(INDEX('UNICEF-BMZ'!$O$1:$O$199,MATCH('Matrix Allocations'!A106,'UNICEF-BMZ'!$B$1:$B$199,0)),"")</f>
        <v>0</v>
      </c>
      <c r="BQ106" s="609" t="str">
        <f>IFERROR(VLOOKUP(A106,'BMGF_clean data'!$A$4:$C$30,3,FALSE),"")</f>
        <v/>
      </c>
      <c r="BR106" s="609"/>
      <c r="BS106" s="609"/>
      <c r="BT106" s="609"/>
      <c r="BU106" s="609"/>
      <c r="BV106" s="609"/>
      <c r="BW106" s="87">
        <f>INDEX(USAID!$D$3:$D$151,MATCH('Matrix Allocations'!A106,USAID!$A$3:$A$151,0))</f>
        <v>500000</v>
      </c>
      <c r="BX106" s="87">
        <f>IFERROR(INDEX(DFAT!$L$4:$L$21,MATCH('Matrix Allocations'!A106,DFAT!$B$4:$B$21,0)),"")</f>
        <v>0</v>
      </c>
      <c r="BY106" s="87">
        <f>IFERROR(INDEX(Table14[Funds Channelled through UNICEF],MATCH('Matrix Allocations'!A106,Table14[ISO Code],0)),"")</f>
        <v>0</v>
      </c>
      <c r="BZ106" s="87">
        <f t="shared" si="53"/>
        <v>0</v>
      </c>
      <c r="CA106">
        <f t="shared" si="49"/>
        <v>9119005</v>
      </c>
      <c r="CB106" s="782">
        <f t="shared" si="42"/>
        <v>2735701.5</v>
      </c>
      <c r="CC106" s="791">
        <f t="shared" si="37"/>
        <v>30597188</v>
      </c>
      <c r="CD106" s="788">
        <f t="shared" si="43"/>
        <v>11.184402976713651</v>
      </c>
      <c r="CE106" s="788">
        <f t="shared" si="44"/>
        <v>8.3883022325352385</v>
      </c>
      <c r="CF106" s="828">
        <f t="shared" si="45"/>
        <v>4.7933155614487077</v>
      </c>
      <c r="CG106" s="828">
        <f t="shared" si="38"/>
        <v>3.3553208930140954</v>
      </c>
      <c r="CH106" s="88">
        <f t="shared" si="50"/>
        <v>10000000</v>
      </c>
      <c r="CI106" s="88">
        <f t="shared" si="39"/>
        <v>14176407</v>
      </c>
      <c r="CJ106" s="742">
        <f t="shared" si="51"/>
        <v>5067038</v>
      </c>
      <c r="CK106" s="848">
        <f t="shared" si="40"/>
        <v>15643445</v>
      </c>
      <c r="CL106" s="88">
        <f t="shared" si="41"/>
        <v>953743</v>
      </c>
    </row>
    <row r="107" spans="1:90" ht="16" customHeight="1">
      <c r="A107" s="147" t="s">
        <v>655</v>
      </c>
      <c r="B107" s="147" t="s">
        <v>259</v>
      </c>
      <c r="C107" s="55" t="s">
        <v>130</v>
      </c>
      <c r="D107" s="55" t="s">
        <v>152</v>
      </c>
      <c r="E107" s="55" t="s">
        <v>146</v>
      </c>
      <c r="F107" s="56"/>
      <c r="G107" s="56" t="str">
        <f t="shared" si="54"/>
        <v>Yes</v>
      </c>
      <c r="H107" s="56" t="str">
        <f t="shared" si="54"/>
        <v>Yes</v>
      </c>
      <c r="I107" s="56" t="str">
        <f t="shared" si="57"/>
        <v>No</v>
      </c>
      <c r="J107" s="56" t="str">
        <f t="shared" si="58"/>
        <v>No</v>
      </c>
      <c r="K107" s="56" t="str">
        <f t="shared" si="59"/>
        <v>Yes</v>
      </c>
      <c r="L107" s="56" t="s">
        <v>541</v>
      </c>
      <c r="M107" s="55" t="s">
        <v>544</v>
      </c>
      <c r="N107" s="134" t="s">
        <v>544</v>
      </c>
      <c r="O107" s="55" t="s">
        <v>544</v>
      </c>
      <c r="P107" s="55"/>
      <c r="Q107" s="55"/>
      <c r="R107" s="55"/>
      <c r="S107" s="956">
        <v>1218747108.9554784</v>
      </c>
      <c r="T107" s="55" t="s">
        <v>395</v>
      </c>
      <c r="U107" s="64" t="str">
        <f>IFERROR(IF(VLOOKUP(A107,'WB projects data'!$A$5:$C$83,3,0)="Approved",(VLOOKUP(A107,'WB projects data'!$A$5:$C$83,3,0)),""),"")</f>
        <v/>
      </c>
      <c r="V107" s="123" t="str">
        <f t="shared" si="55"/>
        <v/>
      </c>
      <c r="W107" s="123" t="str">
        <f>IFERROR((VLOOKUP($A107,'WB projects data'!$A$5:$J$83,6,0)*1000000),"")</f>
        <v/>
      </c>
      <c r="X107" s="123" t="str">
        <f>IFERROR((VLOOKUP($A107,'WB projects data'!$A$5:$J$83,7,0)*1000000),"")</f>
        <v/>
      </c>
      <c r="Y107" s="123" t="str">
        <f>IFERROR((VLOOKUP($A107,'WB projects data'!$A$5:$J$83,8,0)*1000000),"")</f>
        <v/>
      </c>
      <c r="Z107" s="123" t="str">
        <f>IFERROR((VLOOKUP($A107,'WB projects data'!$A$5:$J$83,9,0)*1000000),"")</f>
        <v/>
      </c>
      <c r="AA107" s="123" t="str">
        <f>IFERROR((VLOOKUP($A107,'WB projects data'!$A$5:$J$83,10,0)*1000000),"")</f>
        <v/>
      </c>
      <c r="AB107" s="55"/>
      <c r="AC107" s="110"/>
      <c r="AD107" s="110" t="str">
        <f>IFERROR(VLOOKUP(A107,'ADB Projects'!$A$4:$W$21,5,FALSE),"")</f>
        <v/>
      </c>
      <c r="AE107" s="132" t="str">
        <f>IF(AC107="Approved",(VLOOKUP($A107,'ADB Projects'!$A$5:$D$21,4,0)*1000000),"")</f>
        <v/>
      </c>
      <c r="AF107" s="585" t="str">
        <f>IF(AC107="Approved",(PRODUCT(VLOOKUP($A107,'ADB Projects'!$A$4:$W$21,6,FALSE),1000000)),"")</f>
        <v/>
      </c>
      <c r="AG107" s="585" t="str">
        <f>IF(AC107="Approved",(PRODUCT(VLOOKUP($A107,'ADB Projects'!$A$4:$W$21,7,FALSE),1000000)),"")</f>
        <v/>
      </c>
      <c r="AH107" s="585" t="str">
        <f>IF(AC107="Approved",(PRODUCT(VLOOKUP($A107,'ADB Projects'!$A$4:$W$21,8,FALSE),1000000)),"")</f>
        <v/>
      </c>
      <c r="AI107" s="55"/>
      <c r="AJ107" s="55"/>
      <c r="AK107" s="244"/>
      <c r="AL107" s="55"/>
      <c r="AM107" s="55"/>
      <c r="AN107" s="55"/>
      <c r="AO107" s="55" t="s">
        <v>541</v>
      </c>
      <c r="AP107" s="55"/>
      <c r="AQ107" s="602" t="str">
        <f t="shared" si="56"/>
        <v/>
      </c>
      <c r="AR107" s="602" t="str">
        <f>IFERROR(VLOOKUP($A107,'IDB C19 Vaccine Projects'!$O$4:$Q$12,2,FALSE),"")</f>
        <v/>
      </c>
      <c r="AS107" s="602" t="str">
        <f>IFERROR(VLOOKUP($A107,'IDB C19 Vaccine Projects'!$O$4:$Q$12,3,FALSE),"")</f>
        <v/>
      </c>
      <c r="AT107" s="55"/>
      <c r="AU107" s="88"/>
      <c r="AV107" s="55"/>
      <c r="AW107" s="55" t="s">
        <v>541</v>
      </c>
      <c r="AX107" s="88">
        <f>INDEX(USAID!$C$3:$C$151,MATCH('Matrix Allocations'!A107,USAID!$A$3:$A$151,0))</f>
        <v>2500000</v>
      </c>
      <c r="AY107" s="110">
        <v>1913888</v>
      </c>
      <c r="AZ107" s="88">
        <f>IFERROR(INDEX('[4]Vx All regions allocations'!O$10:O$144,MATCH(A107,'[4]Vx All regions allocations'!A$10:A$144,0)),"")</f>
        <v>200000</v>
      </c>
      <c r="BA107" s="88">
        <v>0</v>
      </c>
      <c r="BB107" s="88">
        <v>0</v>
      </c>
      <c r="BC107" s="88" t="str">
        <f>IFERROR(INDEX(DFAT!$K$4:$K$21,MATCH('Matrix Allocations'!A107,DFAT!$B$4:$B$21,0)),"")</f>
        <v/>
      </c>
      <c r="BD107" s="88"/>
      <c r="BE107" s="826" t="str">
        <f>IFERROR(IF(INDEX('GAVI CCE'!$E$3:$E$95,MATCH('Matrix Allocations'!A107,'GAVI CCE'!$A$3:$A$95,0))="Yes",INDEX('GAVI CCE'!$E$3:$E$95,MATCH('Matrix Allocations'!A107,'GAVI CCE'!$A$3:$A$95,0)),""),"")</f>
        <v/>
      </c>
      <c r="BF107" s="88" t="str">
        <f>IFERROR(IF(BE107="Yes",INDEX('GAVI CCE'!$F$3:$F$95,MATCH('Matrix Allocations'!A107,'GAVI CCE'!$A$3:$A$95,0)),""),"")</f>
        <v/>
      </c>
      <c r="BG107" s="609" t="str">
        <f>IFERROR(IF(E107='CDS early access ceilings'!$A$94,(VLOOKUP(A107,'CDS early access ceilings'!$A$2:$D$92,4,FALSE)),""),"")</f>
        <v/>
      </c>
      <c r="BH107" s="639" t="str">
        <f>IFERROR(INDEX(Table14[Status (clean)],MATCH('Matrix Allocations'!A107,Table14[ISO Code],0)),"")</f>
        <v/>
      </c>
      <c r="BI107" s="641" t="str">
        <f>IFERROR(INDEX(Table14[Amount disbursed (USD)],MATCH('Matrix Allocations'!A107,Table14[ISO Code],0)),"")</f>
        <v/>
      </c>
      <c r="BJ107" s="641" t="str">
        <f>IFERROR(INDEX('CDS NBW'!$I$2:$I$39,MATCH(A107,'CDS NBW'!$A$2:$A$39,0)),"")</f>
        <v/>
      </c>
      <c r="BK107" s="641" t="str">
        <f>IFERROR(INDEX('CDS NBW'!$J$2:$J$39,MATCH(A107,'CDS NBW'!$A$2:$A$39,0)),"")</f>
        <v/>
      </c>
      <c r="BL107" s="609"/>
      <c r="BM107" s="609"/>
      <c r="BN107" s="609"/>
      <c r="BO107" s="609"/>
      <c r="BP107" s="609">
        <f>IFERROR(INDEX('UNICEF-BMZ'!$O$1:$O$199,MATCH('Matrix Allocations'!A107,'UNICEF-BMZ'!$B$1:$B$199,0)),"")</f>
        <v>0</v>
      </c>
      <c r="BQ107" s="609" t="str">
        <f>IFERROR(VLOOKUP(A107,'BMGF_clean data'!$A$4:$C$30,3,FALSE),"")</f>
        <v/>
      </c>
      <c r="BR107" s="609"/>
      <c r="BS107" s="609"/>
      <c r="BT107" s="609"/>
      <c r="BU107" s="609"/>
      <c r="BV107" s="609"/>
      <c r="BW107" s="87">
        <f>INDEX(USAID!$D$3:$D$151,MATCH('Matrix Allocations'!A107,USAID!$A$3:$A$151,0))</f>
        <v>0</v>
      </c>
      <c r="BX107" s="87" t="str">
        <f>IFERROR(INDEX(DFAT!$L$4:$L$21,MATCH('Matrix Allocations'!A107,DFAT!$B$4:$B$21,0)),"")</f>
        <v/>
      </c>
      <c r="BY107" s="87" t="str">
        <f>IFERROR(INDEX(Table14[Funds Channelled through UNICEF],MATCH('Matrix Allocations'!A107,Table14[ISO Code],0)),"")</f>
        <v/>
      </c>
      <c r="BZ107" s="87">
        <f t="shared" si="53"/>
        <v>0</v>
      </c>
      <c r="CA107">
        <f t="shared" si="49"/>
        <v>7219641</v>
      </c>
      <c r="CB107" s="782">
        <f t="shared" si="42"/>
        <v>2165892.2999999998</v>
      </c>
      <c r="CC107" s="791">
        <f t="shared" si="37"/>
        <v>4613888</v>
      </c>
      <c r="CD107" s="788">
        <f t="shared" si="43"/>
        <v>2.130248119908825</v>
      </c>
      <c r="CE107" s="788">
        <f t="shared" si="44"/>
        <v>1.5976860899316183</v>
      </c>
      <c r="CF107" s="828">
        <f t="shared" si="45"/>
        <v>0.91296347996092497</v>
      </c>
      <c r="CG107" s="828">
        <f t="shared" si="38"/>
        <v>0.63907443597264735</v>
      </c>
      <c r="CH107" s="88">
        <f t="shared" si="50"/>
        <v>0</v>
      </c>
      <c r="CI107" s="88">
        <f t="shared" si="39"/>
        <v>4413888</v>
      </c>
      <c r="CJ107" s="742">
        <f t="shared" si="51"/>
        <v>0</v>
      </c>
      <c r="CK107" s="848">
        <f t="shared" si="40"/>
        <v>2113888</v>
      </c>
      <c r="CL107" s="88">
        <f t="shared" si="41"/>
        <v>0</v>
      </c>
    </row>
    <row r="108" spans="1:90" ht="16" customHeight="1">
      <c r="A108" s="147" t="s">
        <v>656</v>
      </c>
      <c r="B108" s="147" t="s">
        <v>260</v>
      </c>
      <c r="C108" s="55" t="s">
        <v>130</v>
      </c>
      <c r="D108" s="55" t="s">
        <v>152</v>
      </c>
      <c r="E108" s="55" t="s">
        <v>146</v>
      </c>
      <c r="F108" s="56"/>
      <c r="G108" s="56" t="str">
        <f t="shared" si="54"/>
        <v>No</v>
      </c>
      <c r="H108" s="56" t="str">
        <f t="shared" si="54"/>
        <v>No</v>
      </c>
      <c r="I108" s="56" t="str">
        <f t="shared" si="57"/>
        <v>No</v>
      </c>
      <c r="J108" s="56" t="str">
        <f t="shared" si="58"/>
        <v>Yes</v>
      </c>
      <c r="K108" s="56" t="str">
        <f t="shared" si="59"/>
        <v>No</v>
      </c>
      <c r="L108" s="56" t="s">
        <v>541</v>
      </c>
      <c r="M108" s="55" t="s">
        <v>544</v>
      </c>
      <c r="N108" s="134" t="s">
        <v>544</v>
      </c>
      <c r="O108" s="55" t="s">
        <v>544</v>
      </c>
      <c r="P108" s="55"/>
      <c r="Q108" s="55"/>
      <c r="R108" s="55"/>
      <c r="S108" s="956">
        <v>7392665952.5895758</v>
      </c>
      <c r="T108" s="55" t="s">
        <v>394</v>
      </c>
      <c r="U108" s="64" t="str">
        <f>IFERROR(IF(VLOOKUP(A108,'WB projects data'!$A$5:$C$83,3,0)="Approved",(VLOOKUP(A108,'WB projects data'!$A$5:$C$83,3,0)),""),"")</f>
        <v>Approved</v>
      </c>
      <c r="V108" s="123">
        <f t="shared" si="55"/>
        <v>500000000</v>
      </c>
      <c r="W108" s="123">
        <f>IFERROR((VLOOKUP($A108,'WB projects data'!$A$5:$J$83,6,0)*1000000),"")</f>
        <v>500000000</v>
      </c>
      <c r="X108" s="123">
        <f>IFERROR((VLOOKUP($A108,'WB projects data'!$A$5:$J$83,7,0)*1000000),"")</f>
        <v>0</v>
      </c>
      <c r="Y108" s="123">
        <f>IFERROR((VLOOKUP($A108,'WB projects data'!$A$5:$J$83,8,0)*1000000),"")</f>
        <v>0</v>
      </c>
      <c r="Z108" s="123">
        <f>IFERROR((VLOOKUP($A108,'WB projects data'!$A$5:$J$83,9,0)*1000000),"")</f>
        <v>500000000</v>
      </c>
      <c r="AA108" s="123">
        <f>IFERROR((VLOOKUP($A108,'WB projects data'!$A$5:$J$83,10,0)*1000000),"")</f>
        <v>0</v>
      </c>
      <c r="AB108" s="55"/>
      <c r="AC108" s="110"/>
      <c r="AD108" s="110" t="str">
        <f>IFERROR(VLOOKUP(A108,'ADB Projects'!$A$4:$W$21,5,FALSE),"")</f>
        <v/>
      </c>
      <c r="AE108" s="132" t="str">
        <f>IF(AC108="Approved",(VLOOKUP($A108,'ADB Projects'!$A$5:$D$21,4,0)*1000000),"")</f>
        <v/>
      </c>
      <c r="AF108" s="585" t="str">
        <f>IF(AC108="Approved",(PRODUCT(VLOOKUP($A108,'ADB Projects'!$A$4:$W$21,6,FALSE),1000000)),"")</f>
        <v/>
      </c>
      <c r="AG108" s="585" t="str">
        <f>IF(AC108="Approved",(PRODUCT(VLOOKUP($A108,'ADB Projects'!$A$4:$W$21,7,FALSE),1000000)),"")</f>
        <v/>
      </c>
      <c r="AH108" s="585" t="str">
        <f>IF(AC108="Approved",(PRODUCT(VLOOKUP($A108,'ADB Projects'!$A$4:$W$21,8,FALSE),1000000)),"")</f>
        <v/>
      </c>
      <c r="AI108" s="55"/>
      <c r="AJ108" s="55"/>
      <c r="AK108" s="244"/>
      <c r="AL108" s="55"/>
      <c r="AM108" s="55"/>
      <c r="AN108" s="55"/>
      <c r="AO108" s="55" t="s">
        <v>541</v>
      </c>
      <c r="AP108" s="55"/>
      <c r="AQ108" s="602" t="str">
        <f t="shared" si="56"/>
        <v/>
      </c>
      <c r="AR108" s="602" t="str">
        <f>IFERROR(VLOOKUP($A108,'IDB C19 Vaccine Projects'!$O$4:$Q$12,2,FALSE),"")</f>
        <v/>
      </c>
      <c r="AS108" s="602" t="str">
        <f>IFERROR(VLOOKUP($A108,'IDB C19 Vaccine Projects'!$O$4:$Q$12,3,FALSE),"")</f>
        <v/>
      </c>
      <c r="AT108" s="55"/>
      <c r="AU108" s="88"/>
      <c r="AV108" s="55"/>
      <c r="AW108" s="55"/>
      <c r="AX108" s="88">
        <f>INDEX(USAID!$C$3:$C$151,MATCH('Matrix Allocations'!A108,USAID!$A$3:$A$151,0))</f>
        <v>6713840</v>
      </c>
      <c r="AY108" s="110"/>
      <c r="AZ108" s="88">
        <f>IFERROR(INDEX('[4]Vx All regions allocations'!O$10:O$144,MATCH(A108,'[4]Vx All regions allocations'!A$10:A$144,0)),"")</f>
        <v>802143</v>
      </c>
      <c r="BA108" s="88">
        <v>0</v>
      </c>
      <c r="BB108" s="88">
        <v>0</v>
      </c>
      <c r="BC108" s="88" t="str">
        <f>IFERROR(INDEX(DFAT!$K$4:$K$21,MATCH('Matrix Allocations'!A108,DFAT!$B$4:$B$21,0)),"")</f>
        <v/>
      </c>
      <c r="BD108" s="88"/>
      <c r="BE108" s="826" t="str">
        <f>IFERROR(IF(INDEX('GAVI CCE'!$E$3:$E$95,MATCH('Matrix Allocations'!A108,'GAVI CCE'!$A$3:$A$95,0))="Yes",INDEX('GAVI CCE'!$E$3:$E$95,MATCH('Matrix Allocations'!A108,'GAVI CCE'!$A$3:$A$95,0)),""),"")</f>
        <v/>
      </c>
      <c r="BF108" s="88" t="str">
        <f>IFERROR(IF(BE108="Yes",INDEX('GAVI CCE'!$F$3:$F$95,MATCH('Matrix Allocations'!A108,'GAVI CCE'!$A$3:$A$95,0)),""),"")</f>
        <v/>
      </c>
      <c r="BG108" s="609" t="str">
        <f>IFERROR(IF(E108='CDS early access ceilings'!$A$94,(VLOOKUP(A108,'CDS early access ceilings'!$A$2:$D$92,4,FALSE)),""),"")</f>
        <v/>
      </c>
      <c r="BH108" s="639" t="str">
        <f>IFERROR(INDEX(Table14[Status (clean)],MATCH('Matrix Allocations'!A108,Table14[ISO Code],0)),"")</f>
        <v/>
      </c>
      <c r="BI108" s="641" t="str">
        <f>IFERROR(INDEX(Table14[Amount disbursed (USD)],MATCH('Matrix Allocations'!A108,Table14[ISO Code],0)),"")</f>
        <v/>
      </c>
      <c r="BJ108" s="641" t="str">
        <f>IFERROR(INDEX('CDS NBW'!$I$2:$I$39,MATCH(A108,'CDS NBW'!$A$2:$A$39,0)),"")</f>
        <v/>
      </c>
      <c r="BK108" s="641" t="str">
        <f>IFERROR(INDEX('CDS NBW'!$J$2:$J$39,MATCH(A108,'CDS NBW'!$A$2:$A$39,0)),"")</f>
        <v/>
      </c>
      <c r="BL108" s="609"/>
      <c r="BM108" s="609"/>
      <c r="BN108" s="609"/>
      <c r="BO108" s="609">
        <v>425647</v>
      </c>
      <c r="BP108" s="609">
        <f>IFERROR(INDEX('UNICEF-BMZ'!$O$1:$O$199,MATCH('Matrix Allocations'!A108,'UNICEF-BMZ'!$B$1:$B$199,0)),"")</f>
        <v>0</v>
      </c>
      <c r="BQ108" s="609" t="str">
        <f>IFERROR(VLOOKUP(A108,'BMGF_clean data'!$A$4:$C$30,3,FALSE),"")</f>
        <v/>
      </c>
      <c r="BR108" s="609"/>
      <c r="BS108" s="609"/>
      <c r="BT108" s="609"/>
      <c r="BU108" s="609"/>
      <c r="BV108" s="609"/>
      <c r="BW108" s="87">
        <f>INDEX(USAID!$D$3:$D$151,MATCH('Matrix Allocations'!A108,USAID!$A$3:$A$151,0))</f>
        <v>0</v>
      </c>
      <c r="BX108" s="87" t="str">
        <f>IFERROR(INDEX(DFAT!$L$4:$L$21,MATCH('Matrix Allocations'!A108,DFAT!$B$4:$B$21,0)),"")</f>
        <v/>
      </c>
      <c r="BY108" s="87" t="str">
        <f>IFERROR(INDEX(Table14[Funds Channelled through UNICEF],MATCH('Matrix Allocations'!A108,Table14[ISO Code],0)),"")</f>
        <v/>
      </c>
      <c r="BZ108" s="87">
        <f t="shared" si="53"/>
        <v>0</v>
      </c>
      <c r="CA108">
        <f t="shared" si="49"/>
        <v>33359416</v>
      </c>
      <c r="CB108" s="782">
        <f t="shared" si="42"/>
        <v>10007824.799999999</v>
      </c>
      <c r="CC108" s="791">
        <f t="shared" si="37"/>
        <v>507941630</v>
      </c>
      <c r="CD108" s="788">
        <f t="shared" si="43"/>
        <v>50.754448659013299</v>
      </c>
      <c r="CE108" s="788">
        <f t="shared" si="44"/>
        <v>38.065836494259969</v>
      </c>
      <c r="CF108" s="828">
        <f t="shared" si="45"/>
        <v>21.751906568148556</v>
      </c>
      <c r="CG108" s="828">
        <f t="shared" si="38"/>
        <v>15.226334597703989</v>
      </c>
      <c r="CH108" s="88">
        <f t="shared" si="50"/>
        <v>500000000</v>
      </c>
      <c r="CI108" s="88">
        <f t="shared" si="39"/>
        <v>6713840</v>
      </c>
      <c r="CJ108" s="742">
        <f t="shared" si="51"/>
        <v>425647</v>
      </c>
      <c r="CK108" s="848">
        <f t="shared" si="40"/>
        <v>1227790</v>
      </c>
      <c r="CL108" s="88">
        <f t="shared" si="41"/>
        <v>0</v>
      </c>
    </row>
    <row r="109" spans="1:90" ht="16" customHeight="1">
      <c r="A109" s="55" t="s">
        <v>657</v>
      </c>
      <c r="B109" s="55" t="s">
        <v>261</v>
      </c>
      <c r="C109" s="55" t="s">
        <v>126</v>
      </c>
      <c r="D109" s="55" t="s">
        <v>150</v>
      </c>
      <c r="E109" s="55" t="s">
        <v>145</v>
      </c>
      <c r="F109" s="56"/>
      <c r="G109" s="56" t="str">
        <f t="shared" si="54"/>
        <v>No</v>
      </c>
      <c r="H109" s="56" t="str">
        <f t="shared" si="54"/>
        <v>No</v>
      </c>
      <c r="I109" s="56" t="str">
        <f t="shared" si="57"/>
        <v>No</v>
      </c>
      <c r="J109" s="56" t="str">
        <f t="shared" si="58"/>
        <v>Yes</v>
      </c>
      <c r="K109" s="56" t="str">
        <f t="shared" si="59"/>
        <v>No</v>
      </c>
      <c r="L109" s="56" t="s">
        <v>541</v>
      </c>
      <c r="M109" s="55" t="s">
        <v>544</v>
      </c>
      <c r="N109" s="134" t="s">
        <v>544</v>
      </c>
      <c r="O109" s="55" t="s">
        <v>544</v>
      </c>
      <c r="P109" s="55" t="s">
        <v>546</v>
      </c>
      <c r="Q109" s="55"/>
      <c r="R109" s="55"/>
      <c r="S109" s="956">
        <v>4754985988.6004429</v>
      </c>
      <c r="T109" s="55" t="s">
        <v>394</v>
      </c>
      <c r="U109" s="64" t="str">
        <f>IFERROR(IF(VLOOKUP(A109,'WB projects data'!$A$5:$C$83,3,0)="Approved",(VLOOKUP(A109,'WB projects data'!$A$5:$C$83,3,0)),""),"")</f>
        <v>Approved</v>
      </c>
      <c r="V109" s="123">
        <f t="shared" si="55"/>
        <v>825000000</v>
      </c>
      <c r="W109" s="123">
        <f>IFERROR((VLOOKUP($A109,'WB projects data'!$A$5:$J$83,6,0)*1000000),"")</f>
        <v>825000000</v>
      </c>
      <c r="X109" s="123">
        <f>IFERROR((VLOOKUP($A109,'WB projects data'!$A$5:$J$83,7,0)*1000000),"")</f>
        <v>0</v>
      </c>
      <c r="Y109" s="123">
        <f>IFERROR((VLOOKUP($A109,'WB projects data'!$A$5:$J$83,8,0)*1000000),"")</f>
        <v>748000000</v>
      </c>
      <c r="Z109" s="123">
        <f>IFERROR((VLOOKUP($A109,'WB projects data'!$A$5:$J$83,9,0)*1000000),"")</f>
        <v>27000000</v>
      </c>
      <c r="AA109" s="123">
        <f>IFERROR((VLOOKUP($A109,'WB projects data'!$A$5:$J$83,10,0)*1000000),"")</f>
        <v>25000000</v>
      </c>
      <c r="AB109" s="55"/>
      <c r="AC109" s="110" t="str">
        <f>VLOOKUP($A109,'ADB Projects'!$A$5:$D$21,3,0)</f>
        <v>Approved</v>
      </c>
      <c r="AD109" s="110" t="str">
        <f>IFERROR(VLOOKUP(A109,'ADB Projects'!$A$4:$W$21,5,FALSE),"")</f>
        <v>Loan</v>
      </c>
      <c r="AE109" s="132">
        <f>IF(AC109="Approved",(VLOOKUP($A109,'ADB Projects'!$A$5:$D$21,4,0)*1000000),"")</f>
        <v>700000000</v>
      </c>
      <c r="AF109" s="585">
        <f>IF(AC109="Approved",(PRODUCT(VLOOKUP($A109,'ADB Projects'!$A$4:$W$21,6,FALSE),1000000)),"")</f>
        <v>662500000</v>
      </c>
      <c r="AG109" s="585">
        <f>IF(AC109="Approved",(PRODUCT(VLOOKUP($A109,'ADB Projects'!$A$4:$W$21,7,FALSE),1000000)),"")</f>
        <v>0</v>
      </c>
      <c r="AH109" s="585">
        <f>IF(AC109="Approved",(PRODUCT(VLOOKUP($A109,'ADB Projects'!$A$4:$W$21,8,FALSE),1000000)),"")</f>
        <v>37500000</v>
      </c>
      <c r="AI109" s="55"/>
      <c r="AJ109" s="55"/>
      <c r="AK109" s="244"/>
      <c r="AL109" s="55"/>
      <c r="AM109" s="55"/>
      <c r="AN109" s="55"/>
      <c r="AO109" s="55"/>
      <c r="AP109" s="55"/>
      <c r="AQ109" s="602" t="str">
        <f t="shared" si="56"/>
        <v/>
      </c>
      <c r="AR109" s="602" t="str">
        <f>IFERROR(VLOOKUP($A109,'IDB C19 Vaccine Projects'!$O$4:$Q$12,2,FALSE),"")</f>
        <v/>
      </c>
      <c r="AS109" s="602" t="str">
        <f>IFERROR(VLOOKUP($A109,'IDB C19 Vaccine Projects'!$O$4:$Q$12,3,FALSE),"")</f>
        <v/>
      </c>
      <c r="AT109" s="55"/>
      <c r="AU109" s="88"/>
      <c r="AV109" s="55"/>
      <c r="AW109" s="55"/>
      <c r="AX109" s="88">
        <f>INDEX(USAID!$C$3:$C$151,MATCH('Matrix Allocations'!A109,USAID!$A$3:$A$151,0))</f>
        <v>5300000</v>
      </c>
      <c r="AY109" s="110">
        <v>3494059</v>
      </c>
      <c r="AZ109" s="88">
        <f>IFERROR(INDEX('[4]Vx All regions allocations'!O$10:O$144,MATCH(A109,'[4]Vx All regions allocations'!A$10:A$144,0)),"")</f>
        <v>100000</v>
      </c>
      <c r="BA109" s="88">
        <v>70000</v>
      </c>
      <c r="BB109" s="88">
        <v>25000</v>
      </c>
      <c r="BC109" s="88">
        <f>IFERROR(INDEX(DFAT!$K$4:$K$21,MATCH('Matrix Allocations'!A109,DFAT!$B$4:$B$21,0)),"")</f>
        <v>2678432</v>
      </c>
      <c r="BD109" s="88"/>
      <c r="BE109" s="826" t="str">
        <f>IFERROR(IF(INDEX('GAVI CCE'!$E$3:$E$95,MATCH('Matrix Allocations'!A109,'GAVI CCE'!$A$3:$A$95,0))="Yes",INDEX('GAVI CCE'!$E$3:$E$95,MATCH('Matrix Allocations'!A109,'GAVI CCE'!$A$3:$A$95,0)),""),"")</f>
        <v>Yes</v>
      </c>
      <c r="BF109" s="88">
        <f>IFERROR(IF(BE109="Yes",INDEX('GAVI CCE'!$F$3:$F$95,MATCH('Matrix Allocations'!A109,'GAVI CCE'!$A$3:$A$95,0)),""),"")</f>
        <v>1428676</v>
      </c>
      <c r="BG109" s="609" t="str">
        <f>IFERROR(IF(E109='CDS early access ceilings'!$A$94,(VLOOKUP(A109,'CDS early access ceilings'!$A$2:$D$92,4,FALSE)),""),"")</f>
        <v>UNICEF</v>
      </c>
      <c r="BH109" s="639" t="str">
        <f>IFERROR(INDEX(Table14[Status (clean)],MATCH('Matrix Allocations'!A109,Table14[ISO Code],0)),"")</f>
        <v>Disbursed</v>
      </c>
      <c r="BI109" s="641">
        <f>IFERROR(INDEX(Table14[Amount disbursed (USD)],MATCH('Matrix Allocations'!A109,Table14[ISO Code],0)),"")</f>
        <v>4914708</v>
      </c>
      <c r="BJ109" s="641" t="str">
        <f>IFERROR(INDEX('CDS NBW'!$I$2:$I$39,MATCH(A109,'CDS NBW'!$A$2:$A$39,0)),"")</f>
        <v>Disbursed</v>
      </c>
      <c r="BK109" s="641">
        <f>IFERROR(INDEX('CDS NBW'!$J$2:$J$39,MATCH(A109,'CDS NBW'!$A$2:$A$39,0)),"")</f>
        <v>4499999.7</v>
      </c>
      <c r="BL109" s="609"/>
      <c r="BM109" s="609"/>
      <c r="BN109" s="609"/>
      <c r="BO109" s="609">
        <v>2831663</v>
      </c>
      <c r="BP109" s="609">
        <f>IFERROR(INDEX('UNICEF-BMZ'!$O$1:$O$199,MATCH('Matrix Allocations'!A109,'UNICEF-BMZ'!$B$1:$B$199,0)),"")</f>
        <v>45600</v>
      </c>
      <c r="BQ109" s="609">
        <f>IFERROR(VLOOKUP(A109,'BMGF_clean data'!$A$4:$C$30,3,FALSE),"")</f>
        <v>99000</v>
      </c>
      <c r="BR109" s="609"/>
      <c r="BS109" s="609"/>
      <c r="BT109" s="609"/>
      <c r="BU109" s="609"/>
      <c r="BV109" s="609"/>
      <c r="BW109" s="87">
        <f>INDEX(USAID!$D$3:$D$151,MATCH('Matrix Allocations'!A109,USAID!$A$3:$A$151,0))</f>
        <v>1600000</v>
      </c>
      <c r="BX109" s="87">
        <f>IFERROR(INDEX(DFAT!$L$4:$L$21,MATCH('Matrix Allocations'!A109,DFAT!$B$4:$B$21,0)),"")</f>
        <v>0</v>
      </c>
      <c r="BY109" s="87">
        <f>IFERROR(INDEX(Table14[Funds Channelled through UNICEF],MATCH('Matrix Allocations'!A109,Table14[ISO Code],0)),"")</f>
        <v>0</v>
      </c>
      <c r="BZ109" s="87">
        <f t="shared" si="53"/>
        <v>4914708</v>
      </c>
      <c r="CA109">
        <f t="shared" ref="CA109:CA140" si="60">INDEX(tpop,MATCH(A109,popiso,0))</f>
        <v>111046910</v>
      </c>
      <c r="CB109" s="782">
        <f t="shared" si="42"/>
        <v>33314073</v>
      </c>
      <c r="CC109" s="791">
        <f t="shared" si="37"/>
        <v>52487137.700000003</v>
      </c>
      <c r="CD109" s="788">
        <f t="shared" si="43"/>
        <v>1.5755244848025638</v>
      </c>
      <c r="CE109" s="788">
        <f t="shared" si="44"/>
        <v>1.1816433636019228</v>
      </c>
      <c r="CF109" s="828">
        <f t="shared" si="45"/>
        <v>0.6752247792010988</v>
      </c>
      <c r="CG109" s="828">
        <f t="shared" si="38"/>
        <v>0.47265734544076915</v>
      </c>
      <c r="CH109" s="88">
        <f t="shared" ref="CH109:CH140" si="61">SUM(Z109,AG109,AS109)</f>
        <v>27000000</v>
      </c>
      <c r="CI109" s="88">
        <f t="shared" si="39"/>
        <v>11472491</v>
      </c>
      <c r="CJ109" s="742">
        <f t="shared" ref="CJ109:CJ140" si="62">SUM(AV109,BQ109,BO109)</f>
        <v>2930663</v>
      </c>
      <c r="CK109" s="848">
        <f t="shared" si="40"/>
        <v>8025722</v>
      </c>
      <c r="CL109" s="88">
        <f t="shared" si="41"/>
        <v>15483983.399999999</v>
      </c>
    </row>
    <row r="110" spans="1:90" ht="16" customHeight="1">
      <c r="A110" s="147" t="s">
        <v>658</v>
      </c>
      <c r="B110" s="147" t="s">
        <v>262</v>
      </c>
      <c r="C110" s="55" t="s">
        <v>127</v>
      </c>
      <c r="D110" s="55" t="s">
        <v>550</v>
      </c>
      <c r="E110" s="55" t="s">
        <v>146</v>
      </c>
      <c r="F110" s="56"/>
      <c r="G110" s="56" t="str">
        <f t="shared" si="54"/>
        <v>Yes</v>
      </c>
      <c r="H110" s="56" t="str">
        <f t="shared" si="54"/>
        <v>Yes</v>
      </c>
      <c r="I110" s="56" t="str">
        <f t="shared" si="57"/>
        <v>No</v>
      </c>
      <c r="J110" s="56" t="str">
        <f t="shared" si="58"/>
        <v>No</v>
      </c>
      <c r="K110" s="56" t="str">
        <f t="shared" si="59"/>
        <v>Yes</v>
      </c>
      <c r="L110" s="56" t="s">
        <v>541</v>
      </c>
      <c r="M110" s="55" t="s">
        <v>544</v>
      </c>
      <c r="N110" s="134" t="s">
        <v>544</v>
      </c>
      <c r="O110" s="55" t="s">
        <v>544</v>
      </c>
      <c r="P110" s="55"/>
      <c r="Q110" s="55"/>
      <c r="R110" s="55"/>
      <c r="S110" s="956">
        <v>26422210443.037273</v>
      </c>
      <c r="T110" s="55" t="s">
        <v>395</v>
      </c>
      <c r="U110" s="64" t="str">
        <f>IFERROR(IF(VLOOKUP(A110,'WB projects data'!$A$5:$C$83,3,0)="Approved",(VLOOKUP(A110,'WB projects data'!$A$5:$C$83,3,0)),""),"")</f>
        <v/>
      </c>
      <c r="V110" s="123" t="str">
        <f t="shared" si="55"/>
        <v/>
      </c>
      <c r="W110" s="123" t="str">
        <f>IFERROR((VLOOKUP($A110,'WB projects data'!$A$5:$J$83,6,0)*1000000),"")</f>
        <v/>
      </c>
      <c r="X110" s="123" t="str">
        <f>IFERROR((VLOOKUP($A110,'WB projects data'!$A$5:$J$83,7,0)*1000000),"")</f>
        <v/>
      </c>
      <c r="Y110" s="123" t="str">
        <f>IFERROR((VLOOKUP($A110,'WB projects data'!$A$5:$J$83,8,0)*1000000),"")</f>
        <v/>
      </c>
      <c r="Z110" s="123" t="str">
        <f>IFERROR((VLOOKUP($A110,'WB projects data'!$A$5:$J$83,9,0)*1000000),"")</f>
        <v/>
      </c>
      <c r="AA110" s="123" t="str">
        <f>IFERROR((VLOOKUP($A110,'WB projects data'!$A$5:$J$83,10,0)*1000000),"")</f>
        <v/>
      </c>
      <c r="AB110" s="55"/>
      <c r="AC110" s="110"/>
      <c r="AD110" s="110" t="str">
        <f>IFERROR(VLOOKUP(A110,'ADB Projects'!$A$4:$W$21,5,FALSE),"")</f>
        <v/>
      </c>
      <c r="AE110" s="132" t="str">
        <f>IF(AC110="Approved",(VLOOKUP($A110,'ADB Projects'!$A$5:$D$21,4,0)*1000000),"")</f>
        <v/>
      </c>
      <c r="AF110" s="585" t="str">
        <f>IF(AC110="Approved",(PRODUCT(VLOOKUP($A110,'ADB Projects'!$A$4:$W$21,6,FALSE),1000000)),"")</f>
        <v/>
      </c>
      <c r="AG110" s="585" t="str">
        <f>IF(AC110="Approved",(PRODUCT(VLOOKUP($A110,'ADB Projects'!$A$4:$W$21,7,FALSE),1000000)),"")</f>
        <v/>
      </c>
      <c r="AH110" s="585" t="str">
        <f>IF(AC110="Approved",(PRODUCT(VLOOKUP($A110,'ADB Projects'!$A$4:$W$21,8,FALSE),1000000)),"")</f>
        <v/>
      </c>
      <c r="AI110" s="55"/>
      <c r="AJ110" s="55"/>
      <c r="AK110" s="244"/>
      <c r="AL110" s="55"/>
      <c r="AM110" s="55"/>
      <c r="AN110" s="55"/>
      <c r="AO110" s="55"/>
      <c r="AP110" s="55"/>
      <c r="AQ110" s="602" t="str">
        <f t="shared" si="56"/>
        <v/>
      </c>
      <c r="AR110" s="602" t="str">
        <f>IFERROR(VLOOKUP($A110,'IDB C19 Vaccine Projects'!$O$4:$Q$12,2,FALSE),"")</f>
        <v/>
      </c>
      <c r="AS110" s="602" t="str">
        <f>IFERROR(VLOOKUP($A110,'IDB C19 Vaccine Projects'!$O$4:$Q$12,3,FALSE),"")</f>
        <v/>
      </c>
      <c r="AT110" s="55"/>
      <c r="AU110" s="88"/>
      <c r="AV110" s="55"/>
      <c r="AW110" s="55"/>
      <c r="AX110" s="88" t="str">
        <f>INDEX(USAID!$C$3:$C$151,MATCH('Matrix Allocations'!A110,USAID!$A$3:$A$151,0))</f>
        <v/>
      </c>
      <c r="AY110" s="110"/>
      <c r="AZ110" s="88" t="str">
        <f>IFERROR(INDEX('[4]Vx All regions allocations'!O$10:O$144,MATCH(A110,'[4]Vx All regions allocations'!A$10:A$144,0)),"")</f>
        <v/>
      </c>
      <c r="BA110" s="88">
        <v>0</v>
      </c>
      <c r="BB110" s="88">
        <v>0</v>
      </c>
      <c r="BC110" s="88" t="str">
        <f>IFERROR(INDEX(DFAT!$K$4:$K$21,MATCH('Matrix Allocations'!A110,DFAT!$B$4:$B$21,0)),"")</f>
        <v/>
      </c>
      <c r="BD110" s="88"/>
      <c r="BE110" s="826" t="str">
        <f>IFERROR(IF(INDEX('GAVI CCE'!$E$3:$E$95,MATCH('Matrix Allocations'!A110,'GAVI CCE'!$A$3:$A$95,0))="Yes",INDEX('GAVI CCE'!$E$3:$E$95,MATCH('Matrix Allocations'!A110,'GAVI CCE'!$A$3:$A$95,0)),""),"")</f>
        <v/>
      </c>
      <c r="BF110" s="88" t="str">
        <f>IFERROR(IF(BE110="Yes",INDEX('GAVI CCE'!$F$3:$F$95,MATCH('Matrix Allocations'!A110,'GAVI CCE'!$A$3:$A$95,0)),""),"")</f>
        <v/>
      </c>
      <c r="BG110" s="609" t="str">
        <f>IFERROR(IF(E110='CDS early access ceilings'!$A$94,(VLOOKUP(A110,'CDS early access ceilings'!$A$2:$D$92,4,FALSE)),""),"")</f>
        <v/>
      </c>
      <c r="BH110" s="639" t="str">
        <f>IFERROR(INDEX(Table14[Status (clean)],MATCH('Matrix Allocations'!A110,Table14[ISO Code],0)),"")</f>
        <v/>
      </c>
      <c r="BI110" s="641" t="str">
        <f>IFERROR(INDEX(Table14[Amount disbursed (USD)],MATCH('Matrix Allocations'!A110,Table14[ISO Code],0)),"")</f>
        <v/>
      </c>
      <c r="BJ110" s="641" t="str">
        <f>IFERROR(INDEX('CDS NBW'!$I$2:$I$39,MATCH(A110,'CDS NBW'!$A$2:$A$39,0)),"")</f>
        <v/>
      </c>
      <c r="BK110" s="641" t="str">
        <f>IFERROR(INDEX('CDS NBW'!$J$2:$J$39,MATCH(A110,'CDS NBW'!$A$2:$A$39,0)),"")</f>
        <v/>
      </c>
      <c r="BL110" s="609"/>
      <c r="BM110" s="609"/>
      <c r="BN110" s="609"/>
      <c r="BO110" s="609"/>
      <c r="BP110" s="609" t="str">
        <f>IFERROR(INDEX('UNICEF-BMZ'!$O$1:$O$199,MATCH('Matrix Allocations'!A110,'UNICEF-BMZ'!$B$1:$B$199,0)),"")</f>
        <v/>
      </c>
      <c r="BQ110" s="609" t="str">
        <f>IFERROR(VLOOKUP(A110,'BMGF_clean data'!$A$4:$C$30,3,FALSE),"")</f>
        <v/>
      </c>
      <c r="BR110" s="609"/>
      <c r="BS110" s="609"/>
      <c r="BT110" s="609"/>
      <c r="BU110" s="609"/>
      <c r="BV110" s="609"/>
      <c r="BW110" s="87">
        <f>INDEX(USAID!$D$3:$D$151,MATCH('Matrix Allocations'!A110,USAID!$A$3:$A$151,0))</f>
        <v>0</v>
      </c>
      <c r="BX110" s="87" t="str">
        <f>IFERROR(INDEX(DFAT!$L$4:$L$21,MATCH('Matrix Allocations'!A110,DFAT!$B$4:$B$21,0)),"")</f>
        <v/>
      </c>
      <c r="BY110" s="87" t="str">
        <f>IFERROR(INDEX(Table14[Funds Channelled through UNICEF],MATCH('Matrix Allocations'!A110,Table14[ISO Code],0)),"")</f>
        <v/>
      </c>
      <c r="BZ110" s="87">
        <f t="shared" si="53"/>
        <v>0</v>
      </c>
      <c r="CA110">
        <f t="shared" si="60"/>
        <v>37846605</v>
      </c>
      <c r="CB110" s="782">
        <f t="shared" si="42"/>
        <v>11353981.5</v>
      </c>
      <c r="CC110" s="791">
        <f t="shared" si="37"/>
        <v>0</v>
      </c>
      <c r="CD110" s="788">
        <f t="shared" si="43"/>
        <v>0</v>
      </c>
      <c r="CE110" s="788">
        <f t="shared" si="44"/>
        <v>0</v>
      </c>
      <c r="CF110" s="828">
        <f t="shared" si="45"/>
        <v>0</v>
      </c>
      <c r="CG110" s="828">
        <f t="shared" si="38"/>
        <v>0</v>
      </c>
      <c r="CH110" s="88">
        <f t="shared" si="61"/>
        <v>0</v>
      </c>
      <c r="CI110" s="88">
        <f t="shared" si="39"/>
        <v>0</v>
      </c>
      <c r="CJ110" s="742">
        <f t="shared" si="62"/>
        <v>0</v>
      </c>
      <c r="CK110" s="848">
        <f t="shared" si="40"/>
        <v>0</v>
      </c>
      <c r="CL110" s="88">
        <f t="shared" si="41"/>
        <v>0</v>
      </c>
    </row>
    <row r="111" spans="1:90" ht="16" customHeight="1">
      <c r="A111" s="147" t="s">
        <v>659</v>
      </c>
      <c r="B111" s="147" t="s">
        <v>151</v>
      </c>
      <c r="C111" s="55" t="s">
        <v>127</v>
      </c>
      <c r="D111" s="55" t="s">
        <v>152</v>
      </c>
      <c r="E111" s="55" t="s">
        <v>146</v>
      </c>
      <c r="F111" s="56"/>
      <c r="G111" s="56" t="str">
        <f t="shared" si="54"/>
        <v>Yes</v>
      </c>
      <c r="H111" s="56" t="str">
        <f t="shared" si="54"/>
        <v>Yes</v>
      </c>
      <c r="I111" s="56" t="str">
        <f t="shared" si="57"/>
        <v>No</v>
      </c>
      <c r="J111" s="56" t="str">
        <f t="shared" si="58"/>
        <v>No</v>
      </c>
      <c r="K111" s="56" t="str">
        <f t="shared" si="59"/>
        <v>Yes</v>
      </c>
      <c r="L111" s="56" t="s">
        <v>541</v>
      </c>
      <c r="M111" s="55" t="s">
        <v>544</v>
      </c>
      <c r="N111" s="134" t="s">
        <v>544</v>
      </c>
      <c r="O111" s="55" t="s">
        <v>544</v>
      </c>
      <c r="P111" s="55"/>
      <c r="Q111" s="55"/>
      <c r="R111" s="55"/>
      <c r="S111" s="956">
        <v>10696495313.15033</v>
      </c>
      <c r="T111" s="55" t="s">
        <v>395</v>
      </c>
      <c r="U111" s="64" t="str">
        <f>IFERROR(IF(VLOOKUP(A111,'WB projects data'!$A$5:$C$83,3,0)="Approved",(VLOOKUP(A111,'WB projects data'!$A$5:$C$83,3,0)),""),"")</f>
        <v/>
      </c>
      <c r="V111" s="123" t="str">
        <f t="shared" si="55"/>
        <v/>
      </c>
      <c r="W111" s="123" t="str">
        <f>IFERROR((VLOOKUP($A111,'WB projects data'!$A$5:$J$83,6,0)*1000000),"")</f>
        <v/>
      </c>
      <c r="X111" s="123" t="str">
        <f>IFERROR((VLOOKUP($A111,'WB projects data'!$A$5:$J$83,7,0)*1000000),"")</f>
        <v/>
      </c>
      <c r="Y111" s="123" t="str">
        <f>IFERROR((VLOOKUP($A111,'WB projects data'!$A$5:$J$83,8,0)*1000000),"")</f>
        <v/>
      </c>
      <c r="Z111" s="123" t="str">
        <f>IFERROR((VLOOKUP($A111,'WB projects data'!$A$5:$J$83,9,0)*1000000),"")</f>
        <v/>
      </c>
      <c r="AA111" s="123" t="str">
        <f>IFERROR((VLOOKUP($A111,'WB projects data'!$A$5:$J$83,10,0)*1000000),"")</f>
        <v/>
      </c>
      <c r="AB111" s="55"/>
      <c r="AC111" s="110"/>
      <c r="AD111" s="110" t="str">
        <f>IFERROR(VLOOKUP(A111,'ADB Projects'!$A$4:$W$21,5,FALSE),"")</f>
        <v/>
      </c>
      <c r="AE111" s="132" t="str">
        <f>IF(AC111="Approved",(VLOOKUP($A111,'ADB Projects'!$A$5:$D$21,4,0)*1000000),"")</f>
        <v/>
      </c>
      <c r="AF111" s="585" t="str">
        <f>IF(AC111="Approved",(PRODUCT(VLOOKUP($A111,'ADB Projects'!$A$4:$W$21,6,FALSE),1000000)),"")</f>
        <v/>
      </c>
      <c r="AG111" s="585" t="str">
        <f>IF(AC111="Approved",(PRODUCT(VLOOKUP($A111,'ADB Projects'!$A$4:$W$21,7,FALSE),1000000)),"")</f>
        <v/>
      </c>
      <c r="AH111" s="585" t="str">
        <f>IF(AC111="Approved",(PRODUCT(VLOOKUP($A111,'ADB Projects'!$A$4:$W$21,8,FALSE),1000000)),"")</f>
        <v/>
      </c>
      <c r="AI111" s="55"/>
      <c r="AJ111" s="55"/>
      <c r="AK111" s="244"/>
      <c r="AL111" s="55"/>
      <c r="AM111" s="55"/>
      <c r="AN111" s="55"/>
      <c r="AO111" s="55"/>
      <c r="AP111" s="55"/>
      <c r="AQ111" s="602" t="str">
        <f t="shared" si="56"/>
        <v/>
      </c>
      <c r="AR111" s="602" t="str">
        <f>IFERROR(VLOOKUP($A111,'IDB C19 Vaccine Projects'!$O$4:$Q$12,2,FALSE),"")</f>
        <v/>
      </c>
      <c r="AS111" s="602" t="str">
        <f>IFERROR(VLOOKUP($A111,'IDB C19 Vaccine Projects'!$O$4:$Q$12,3,FALSE),"")</f>
        <v/>
      </c>
      <c r="AT111" s="55"/>
      <c r="AU111" s="88"/>
      <c r="AV111" s="55"/>
      <c r="AW111" s="55"/>
      <c r="AX111" s="88">
        <f>INDEX(USAID!$C$3:$C$151,MATCH('Matrix Allocations'!A111,USAID!$A$3:$A$151,0))</f>
        <v>2400000</v>
      </c>
      <c r="AY111" s="110"/>
      <c r="AZ111" s="88">
        <f>IFERROR(INDEX('[4]Vx All regions allocations'!O$10:O$144,MATCH(A111,'[4]Vx All regions allocations'!A$10:A$144,0)),"")</f>
        <v>50000</v>
      </c>
      <c r="BA111" s="88">
        <v>0</v>
      </c>
      <c r="BB111" s="88">
        <v>0</v>
      </c>
      <c r="BC111" s="88" t="str">
        <f>IFERROR(INDEX(DFAT!$K$4:$K$21,MATCH('Matrix Allocations'!A111,DFAT!$B$4:$B$21,0)),"")</f>
        <v/>
      </c>
      <c r="BD111" s="88"/>
      <c r="BE111" s="826" t="str">
        <f>IFERROR(IF(INDEX('GAVI CCE'!$E$3:$E$95,MATCH('Matrix Allocations'!A111,'GAVI CCE'!$A$3:$A$95,0))="Yes",INDEX('GAVI CCE'!$E$3:$E$95,MATCH('Matrix Allocations'!A111,'GAVI CCE'!$A$3:$A$95,0)),""),"")</f>
        <v/>
      </c>
      <c r="BF111" s="88" t="str">
        <f>IFERROR(IF(BE111="Yes",INDEX('GAVI CCE'!$F$3:$F$95,MATCH('Matrix Allocations'!A111,'GAVI CCE'!$A$3:$A$95,0)),""),"")</f>
        <v/>
      </c>
      <c r="BG111" s="609" t="str">
        <f>IFERROR(IF(E111='CDS early access ceilings'!$A$94,(VLOOKUP(A111,'CDS early access ceilings'!$A$2:$D$92,4,FALSE)),""),"")</f>
        <v/>
      </c>
      <c r="BH111" s="639" t="str">
        <f>IFERROR(INDEX(Table14[Status (clean)],MATCH('Matrix Allocations'!A111,Table14[ISO Code],0)),"")</f>
        <v/>
      </c>
      <c r="BI111" s="641" t="str">
        <f>IFERROR(INDEX(Table14[Amount disbursed (USD)],MATCH('Matrix Allocations'!A111,Table14[ISO Code],0)),"")</f>
        <v/>
      </c>
      <c r="BJ111" s="641" t="str">
        <f>IFERROR(INDEX('CDS NBW'!$I$2:$I$39,MATCH(A111,'CDS NBW'!$A$2:$A$39,0)),"")</f>
        <v/>
      </c>
      <c r="BK111" s="641" t="str">
        <f>IFERROR(INDEX('CDS NBW'!$J$2:$J$39,MATCH(A111,'CDS NBW'!$A$2:$A$39,0)),"")</f>
        <v/>
      </c>
      <c r="BL111" s="609"/>
      <c r="BM111" s="609"/>
      <c r="BN111" s="609"/>
      <c r="BO111" s="609"/>
      <c r="BP111" s="609">
        <f>IFERROR(INDEX('UNICEF-BMZ'!$O$1:$O$199,MATCH('Matrix Allocations'!A111,'UNICEF-BMZ'!$B$1:$B$199,0)),"")</f>
        <v>0</v>
      </c>
      <c r="BQ111" s="609" t="str">
        <f>IFERROR(VLOOKUP(A111,'BMGF_clean data'!$A$4:$C$30,3,FALSE),"")</f>
        <v/>
      </c>
      <c r="BR111" s="609"/>
      <c r="BS111" s="609"/>
      <c r="BT111" s="609"/>
      <c r="BU111" s="609"/>
      <c r="BV111" s="609"/>
      <c r="BW111" s="87">
        <f>INDEX(USAID!$D$3:$D$151,MATCH('Matrix Allocations'!A111,USAID!$A$3:$A$151,0))</f>
        <v>1200000</v>
      </c>
      <c r="BX111" s="87" t="str">
        <f>IFERROR(INDEX(DFAT!$L$4:$L$21,MATCH('Matrix Allocations'!A111,DFAT!$B$4:$B$21,0)),"")</f>
        <v/>
      </c>
      <c r="BY111" s="87" t="str">
        <f>IFERROR(INDEX(Table14[Funds Channelled through UNICEF],MATCH('Matrix Allocations'!A111,Table14[ISO Code],0)),"")</f>
        <v/>
      </c>
      <c r="BZ111" s="87">
        <f t="shared" si="53"/>
        <v>0</v>
      </c>
      <c r="CA111">
        <f t="shared" si="60"/>
        <v>19237682</v>
      </c>
      <c r="CB111" s="782">
        <f t="shared" si="42"/>
        <v>5771304.5999999996</v>
      </c>
      <c r="CC111" s="791">
        <f t="shared" si="37"/>
        <v>2450000</v>
      </c>
      <c r="CD111" s="788">
        <f t="shared" si="43"/>
        <v>0.4245140691413169</v>
      </c>
      <c r="CE111" s="788">
        <f t="shared" si="44"/>
        <v>0.3183855518559876</v>
      </c>
      <c r="CF111" s="828">
        <f t="shared" si="45"/>
        <v>0.18193460106056439</v>
      </c>
      <c r="CG111" s="828">
        <f t="shared" si="38"/>
        <v>0.12735422074239505</v>
      </c>
      <c r="CH111" s="88">
        <f t="shared" si="61"/>
        <v>0</v>
      </c>
      <c r="CI111" s="88">
        <f t="shared" si="39"/>
        <v>2400000</v>
      </c>
      <c r="CJ111" s="742">
        <f t="shared" si="62"/>
        <v>0</v>
      </c>
      <c r="CK111" s="848">
        <f t="shared" si="40"/>
        <v>1250000</v>
      </c>
      <c r="CL111" s="88">
        <f t="shared" si="41"/>
        <v>0</v>
      </c>
    </row>
    <row r="112" spans="1:90" ht="16" customHeight="1">
      <c r="A112" s="147" t="s">
        <v>660</v>
      </c>
      <c r="B112" s="147" t="s">
        <v>263</v>
      </c>
      <c r="C112" s="55" t="s">
        <v>127</v>
      </c>
      <c r="D112" s="55" t="s">
        <v>152</v>
      </c>
      <c r="E112" s="55" t="s">
        <v>146</v>
      </c>
      <c r="F112" s="56"/>
      <c r="G112" s="56" t="str">
        <f t="shared" si="54"/>
        <v>Yes</v>
      </c>
      <c r="H112" s="56" t="str">
        <f t="shared" si="54"/>
        <v>Yes</v>
      </c>
      <c r="I112" s="56" t="str">
        <f t="shared" si="57"/>
        <v>No</v>
      </c>
      <c r="J112" s="56" t="str">
        <f t="shared" si="58"/>
        <v>No</v>
      </c>
      <c r="K112" s="56" t="str">
        <f t="shared" si="59"/>
        <v>Yes</v>
      </c>
      <c r="L112" s="56" t="s">
        <v>541</v>
      </c>
      <c r="M112" s="55" t="s">
        <v>544</v>
      </c>
      <c r="N112" s="134" t="s">
        <v>544</v>
      </c>
      <c r="O112" s="55" t="s">
        <v>544</v>
      </c>
      <c r="P112" s="55"/>
      <c r="Q112" s="55"/>
      <c r="R112" s="55"/>
      <c r="S112" s="956">
        <v>52769713433.240509</v>
      </c>
      <c r="T112" s="55" t="s">
        <v>395</v>
      </c>
      <c r="U112" s="64" t="str">
        <f>IFERROR(IF(VLOOKUP(A112,'WB projects data'!$A$5:$C$83,3,0)="Approved",(VLOOKUP(A112,'WB projects data'!$A$5:$C$83,3,0)),""),"")</f>
        <v/>
      </c>
      <c r="V112" s="123" t="str">
        <f t="shared" si="55"/>
        <v/>
      </c>
      <c r="W112" s="123" t="str">
        <f>IFERROR((VLOOKUP($A112,'WB projects data'!$A$5:$J$83,6,0)*1000000),"")</f>
        <v/>
      </c>
      <c r="X112" s="123" t="str">
        <f>IFERROR((VLOOKUP($A112,'WB projects data'!$A$5:$J$83,7,0)*1000000),"")</f>
        <v/>
      </c>
      <c r="Y112" s="123" t="str">
        <f>IFERROR((VLOOKUP($A112,'WB projects data'!$A$5:$J$83,8,0)*1000000),"")</f>
        <v/>
      </c>
      <c r="Z112" s="123" t="str">
        <f>IFERROR((VLOOKUP($A112,'WB projects data'!$A$5:$J$83,9,0)*1000000),"")</f>
        <v/>
      </c>
      <c r="AA112" s="123" t="str">
        <f>IFERROR((VLOOKUP($A112,'WB projects data'!$A$5:$J$83,10,0)*1000000),"")</f>
        <v/>
      </c>
      <c r="AB112" s="55"/>
      <c r="AC112" s="110"/>
      <c r="AD112" s="110" t="str">
        <f>IFERROR(VLOOKUP(A112,'ADB Projects'!$A$4:$W$21,5,FALSE),"")</f>
        <v/>
      </c>
      <c r="AE112" s="132" t="str">
        <f>IF(AC112="Approved",(VLOOKUP($A112,'ADB Projects'!$A$5:$D$21,4,0)*1000000),"")</f>
        <v/>
      </c>
      <c r="AF112" s="585" t="str">
        <f>IF(AC112="Approved",(PRODUCT(VLOOKUP($A112,'ADB Projects'!$A$4:$W$21,6,FALSE),1000000)),"")</f>
        <v/>
      </c>
      <c r="AG112" s="585" t="str">
        <f>IF(AC112="Approved",(PRODUCT(VLOOKUP($A112,'ADB Projects'!$A$4:$W$21,7,FALSE),1000000)),"")</f>
        <v/>
      </c>
      <c r="AH112" s="585" t="str">
        <f>IF(AC112="Approved",(PRODUCT(VLOOKUP($A112,'ADB Projects'!$A$4:$W$21,8,FALSE),1000000)),"")</f>
        <v/>
      </c>
      <c r="AI112" s="55"/>
      <c r="AJ112" s="55"/>
      <c r="AK112" s="244"/>
      <c r="AL112" s="55"/>
      <c r="AM112" s="55"/>
      <c r="AN112" s="55"/>
      <c r="AO112" s="55"/>
      <c r="AP112" s="55"/>
      <c r="AQ112" s="602" t="str">
        <f t="shared" si="56"/>
        <v/>
      </c>
      <c r="AR112" s="602" t="str">
        <f>IFERROR(VLOOKUP($A112,'IDB C19 Vaccine Projects'!$O$4:$Q$12,2,FALSE),"")</f>
        <v/>
      </c>
      <c r="AS112" s="602" t="str">
        <f>IFERROR(VLOOKUP($A112,'IDB C19 Vaccine Projects'!$O$4:$Q$12,3,FALSE),"")</f>
        <v/>
      </c>
      <c r="AT112" s="55"/>
      <c r="AU112" s="88"/>
      <c r="AV112" s="55"/>
      <c r="AW112" s="55"/>
      <c r="AX112" s="88" t="str">
        <f>INDEX(USAID!$C$3:$C$151,MATCH('Matrix Allocations'!A112,USAID!$A$3:$A$151,0))</f>
        <v/>
      </c>
      <c r="AY112" s="110"/>
      <c r="AZ112" s="88" t="str">
        <f>IFERROR(INDEX('[4]Vx All regions allocations'!O$10:O$144,MATCH(A112,'[4]Vx All regions allocations'!A$10:A$144,0)),"")</f>
        <v/>
      </c>
      <c r="BA112" s="88">
        <v>0</v>
      </c>
      <c r="BB112" s="88">
        <v>0</v>
      </c>
      <c r="BC112" s="88" t="str">
        <f>IFERROR(INDEX(DFAT!$K$4:$K$21,MATCH('Matrix Allocations'!A112,DFAT!$B$4:$B$21,0)),"")</f>
        <v/>
      </c>
      <c r="BD112" s="88"/>
      <c r="BE112" s="826" t="str">
        <f>IFERROR(IF(INDEX('GAVI CCE'!$E$3:$E$95,MATCH('Matrix Allocations'!A112,'GAVI CCE'!$A$3:$A$95,0))="Yes",INDEX('GAVI CCE'!$E$3:$E$95,MATCH('Matrix Allocations'!A112,'GAVI CCE'!$A$3:$A$95,0)),""),"")</f>
        <v/>
      </c>
      <c r="BF112" s="88" t="str">
        <f>IFERROR(IF(BE112="Yes",INDEX('GAVI CCE'!$F$3:$F$95,MATCH('Matrix Allocations'!A112,'GAVI CCE'!$A$3:$A$95,0)),""),"")</f>
        <v/>
      </c>
      <c r="BG112" s="609" t="str">
        <f>IFERROR(IF(E112='CDS early access ceilings'!$A$94,(VLOOKUP(A112,'CDS early access ceilings'!$A$2:$D$92,4,FALSE)),""),"")</f>
        <v/>
      </c>
      <c r="BH112" s="639" t="str">
        <f>IFERROR(INDEX(Table14[Status (clean)],MATCH('Matrix Allocations'!A112,Table14[ISO Code],0)),"")</f>
        <v/>
      </c>
      <c r="BI112" s="641" t="str">
        <f>IFERROR(INDEX(Table14[Amount disbursed (USD)],MATCH('Matrix Allocations'!A112,Table14[ISO Code],0)),"")</f>
        <v/>
      </c>
      <c r="BJ112" s="641" t="str">
        <f>IFERROR(INDEX('CDS NBW'!$I$2:$I$39,MATCH(A112,'CDS NBW'!$A$2:$A$39,0)),"")</f>
        <v/>
      </c>
      <c r="BK112" s="641" t="str">
        <f>IFERROR(INDEX('CDS NBW'!$J$2:$J$39,MATCH(A112,'CDS NBW'!$A$2:$A$39,0)),"")</f>
        <v/>
      </c>
      <c r="BL112" s="609"/>
      <c r="BM112" s="609"/>
      <c r="BN112" s="609"/>
      <c r="BO112" s="609"/>
      <c r="BP112" s="609" t="str">
        <f>IFERROR(INDEX('UNICEF-BMZ'!$O$1:$O$199,MATCH('Matrix Allocations'!A112,'UNICEF-BMZ'!$B$1:$B$199,0)),"")</f>
        <v/>
      </c>
      <c r="BQ112" s="609" t="str">
        <f>IFERROR(VLOOKUP(A112,'BMGF_clean data'!$A$4:$C$30,3,FALSE),"")</f>
        <v/>
      </c>
      <c r="BR112" s="609"/>
      <c r="BS112" s="609"/>
      <c r="BT112" s="609"/>
      <c r="BU112" s="609"/>
      <c r="BV112" s="609"/>
      <c r="BW112" s="87">
        <f>INDEX(USAID!$D$3:$D$151,MATCH('Matrix Allocations'!A112,USAID!$A$3:$A$151,0))</f>
        <v>0</v>
      </c>
      <c r="BX112" s="87" t="str">
        <f>IFERROR(INDEX(DFAT!$L$4:$L$21,MATCH('Matrix Allocations'!A112,DFAT!$B$4:$B$21,0)),"")</f>
        <v/>
      </c>
      <c r="BY112" s="87" t="str">
        <f>IFERROR(INDEX(Table14[Funds Channelled through UNICEF],MATCH('Matrix Allocations'!A112,Table14[ISO Code],0)),"")</f>
        <v/>
      </c>
      <c r="BZ112" s="87">
        <f t="shared" si="53"/>
        <v>0</v>
      </c>
      <c r="CA112">
        <f t="shared" si="60"/>
        <v>145934460</v>
      </c>
      <c r="CB112" s="782">
        <f t="shared" si="42"/>
        <v>43780338</v>
      </c>
      <c r="CC112" s="791">
        <f t="shared" si="37"/>
        <v>0</v>
      </c>
      <c r="CD112" s="788">
        <f t="shared" si="43"/>
        <v>0</v>
      </c>
      <c r="CE112" s="788">
        <f t="shared" si="44"/>
        <v>0</v>
      </c>
      <c r="CF112" s="828">
        <f t="shared" si="45"/>
        <v>0</v>
      </c>
      <c r="CG112" s="828">
        <f t="shared" si="38"/>
        <v>0</v>
      </c>
      <c r="CH112" s="88">
        <f t="shared" si="61"/>
        <v>0</v>
      </c>
      <c r="CI112" s="88">
        <f t="shared" si="39"/>
        <v>0</v>
      </c>
      <c r="CJ112" s="742">
        <f t="shared" si="62"/>
        <v>0</v>
      </c>
      <c r="CK112" s="848">
        <f t="shared" si="40"/>
        <v>0</v>
      </c>
      <c r="CL112" s="88">
        <f t="shared" si="41"/>
        <v>0</v>
      </c>
    </row>
    <row r="113" spans="1:90" ht="16" customHeight="1">
      <c r="A113" s="55" t="s">
        <v>661</v>
      </c>
      <c r="B113" s="55" t="s">
        <v>264</v>
      </c>
      <c r="C113" s="55" t="s">
        <v>128</v>
      </c>
      <c r="D113" s="55" t="s">
        <v>148</v>
      </c>
      <c r="E113" s="55" t="s">
        <v>145</v>
      </c>
      <c r="F113" s="56"/>
      <c r="G113" s="56" t="str">
        <f t="shared" si="54"/>
        <v>No</v>
      </c>
      <c r="H113" s="56" t="str">
        <f t="shared" si="54"/>
        <v>No</v>
      </c>
      <c r="I113" s="56" t="str">
        <f t="shared" si="57"/>
        <v>No</v>
      </c>
      <c r="J113" s="56" t="str">
        <f t="shared" si="58"/>
        <v>Yes</v>
      </c>
      <c r="K113" s="56" t="str">
        <f t="shared" si="59"/>
        <v>No</v>
      </c>
      <c r="L113" s="56" t="s">
        <v>541</v>
      </c>
      <c r="M113" s="55" t="s">
        <v>544</v>
      </c>
      <c r="N113" s="134" t="s">
        <v>541</v>
      </c>
      <c r="O113" s="55" t="s">
        <v>544</v>
      </c>
      <c r="P113" s="55" t="s">
        <v>562</v>
      </c>
      <c r="Q113" s="55" t="s">
        <v>541</v>
      </c>
      <c r="R113" s="55"/>
      <c r="S113" s="956">
        <v>225799814.51943746</v>
      </c>
      <c r="T113" s="55" t="s">
        <v>394</v>
      </c>
      <c r="U113" s="64" t="str">
        <f>IFERROR(IF(VLOOKUP(A113,'WB projects data'!$A$5:$C$83,3,0)="Approved",(VLOOKUP(A113,'WB projects data'!$A$5:$C$83,3,0)),""),"")</f>
        <v>Approved</v>
      </c>
      <c r="V113" s="123">
        <f t="shared" si="55"/>
        <v>45000000</v>
      </c>
      <c r="W113" s="123">
        <f>IFERROR((VLOOKUP($A113,'WB projects data'!$A$5:$J$83,6,0)*1000000),"")</f>
        <v>14900000</v>
      </c>
      <c r="X113" s="123">
        <f>IFERROR((VLOOKUP($A113,'WB projects data'!$A$5:$J$83,7,0)*1000000),"")</f>
        <v>30200000</v>
      </c>
      <c r="Y113" s="123">
        <f>IFERROR((VLOOKUP($A113,'WB projects data'!$A$5:$J$83,8,0)*1000000),"")</f>
        <v>18700000</v>
      </c>
      <c r="Z113" s="123">
        <f>IFERROR((VLOOKUP($A113,'WB projects data'!$A$5:$J$83,9,0)*1000000),"")</f>
        <v>7400000</v>
      </c>
      <c r="AA113" s="123">
        <f>IFERROR((VLOOKUP($A113,'WB projects data'!$A$5:$J$83,10,0)*1000000),"")</f>
        <v>19000000</v>
      </c>
      <c r="AB113" s="55"/>
      <c r="AC113" s="110"/>
      <c r="AD113" s="110" t="str">
        <f>IFERROR(VLOOKUP(A113,'ADB Projects'!$A$4:$W$21,5,FALSE),"")</f>
        <v/>
      </c>
      <c r="AE113" s="132" t="str">
        <f>IF(AC113="Approved",(VLOOKUP($A113,'ADB Projects'!$A$5:$D$21,4,0)*1000000),"")</f>
        <v/>
      </c>
      <c r="AF113" s="585" t="str">
        <f>IF(AC113="Approved",(PRODUCT(VLOOKUP($A113,'ADB Projects'!$A$4:$W$21,6,FALSE),1000000)),"")</f>
        <v/>
      </c>
      <c r="AG113" s="585" t="str">
        <f>IF(AC113="Approved",(PRODUCT(VLOOKUP($A113,'ADB Projects'!$A$4:$W$21,7,FALSE),1000000)),"")</f>
        <v/>
      </c>
      <c r="AH113" s="585" t="str">
        <f>IF(AC113="Approved",(PRODUCT(VLOOKUP($A113,'ADB Projects'!$A$4:$W$21,8,FALSE),1000000)),"")</f>
        <v/>
      </c>
      <c r="AI113" s="148"/>
      <c r="AJ113" s="55"/>
      <c r="AK113" s="244"/>
      <c r="AL113" s="148" t="s">
        <v>541</v>
      </c>
      <c r="AM113" s="148"/>
      <c r="AN113" s="148"/>
      <c r="AO113" s="148"/>
      <c r="AP113" s="148"/>
      <c r="AQ113" s="602" t="str">
        <f t="shared" si="56"/>
        <v/>
      </c>
      <c r="AR113" s="602" t="str">
        <f>IFERROR(VLOOKUP($A113,'IDB C19 Vaccine Projects'!$O$4:$Q$12,2,FALSE),"")</f>
        <v/>
      </c>
      <c r="AS113" s="602" t="str">
        <f>IFERROR(VLOOKUP($A113,'IDB C19 Vaccine Projects'!$O$4:$Q$12,3,FALSE),"")</f>
        <v/>
      </c>
      <c r="AT113" s="55"/>
      <c r="AU113" s="88"/>
      <c r="AV113" s="55"/>
      <c r="AW113" s="55"/>
      <c r="AX113" s="88">
        <f>INDEX(USAID!$C$3:$C$151,MATCH('Matrix Allocations'!A113,USAID!$A$3:$A$151,0))</f>
        <v>1830000</v>
      </c>
      <c r="AY113" s="110"/>
      <c r="AZ113" s="88">
        <f>IFERROR(INDEX('[4]Vx All regions allocations'!O$10:O$144,MATCH(A113,'[4]Vx All regions allocations'!A$10:A$144,0)),"")</f>
        <v>374000</v>
      </c>
      <c r="BA113" s="88">
        <v>135238.88888888888</v>
      </c>
      <c r="BB113" s="88">
        <v>100309</v>
      </c>
      <c r="BC113" s="88" t="str">
        <f>IFERROR(INDEX(DFAT!$K$4:$K$21,MATCH('Matrix Allocations'!A113,DFAT!$B$4:$B$21,0)),"")</f>
        <v/>
      </c>
      <c r="BD113" s="88"/>
      <c r="BE113" s="826" t="str">
        <f>IFERROR(IF(INDEX('GAVI CCE'!$E$3:$E$95,MATCH('Matrix Allocations'!A113,'GAVI CCE'!$A$3:$A$95,0))="Yes",INDEX('GAVI CCE'!$E$3:$E$95,MATCH('Matrix Allocations'!A113,'GAVI CCE'!$A$3:$A$95,0)),""),"")</f>
        <v>Yes</v>
      </c>
      <c r="BF113" s="88">
        <f>IFERROR(IF(BE113="Yes",INDEX('GAVI CCE'!$F$3:$F$95,MATCH('Matrix Allocations'!A113,'GAVI CCE'!$A$3:$A$95,0)),""),"")</f>
        <v>381994</v>
      </c>
      <c r="BG113" s="609" t="str">
        <f>IFERROR(IF(E113='CDS early access ceilings'!$A$94,(VLOOKUP(A113,'CDS early access ceilings'!$A$2:$D$92,4,FALSE)),""),"")</f>
        <v>GAVI</v>
      </c>
      <c r="BH113" s="639" t="str">
        <f>IFERROR(INDEX(Table14[Status (clean)],MATCH('Matrix Allocations'!A113,Table14[ISO Code],0)),"")</f>
        <v>Disbursed</v>
      </c>
      <c r="BI113" s="641">
        <f>IFERROR(INDEX(Table14[Amount disbursed (USD)],MATCH('Matrix Allocations'!A113,Table14[ISO Code],0)),"")</f>
        <v>893334</v>
      </c>
      <c r="BJ113" s="641" t="str">
        <f>IFERROR(INDEX('CDS NBW'!$I$2:$I$39,MATCH(A113,'CDS NBW'!$A$2:$A$39,0)),"")</f>
        <v/>
      </c>
      <c r="BK113" s="641" t="str">
        <f>IFERROR(INDEX('CDS NBW'!$J$2:$J$39,MATCH(A113,'CDS NBW'!$A$2:$A$39,0)),"")</f>
        <v/>
      </c>
      <c r="BL113" s="609"/>
      <c r="BM113" s="609"/>
      <c r="BN113" s="609"/>
      <c r="BO113" s="609"/>
      <c r="BP113" s="609">
        <f>IFERROR(INDEX('UNICEF-BMZ'!$O$1:$O$199,MATCH('Matrix Allocations'!A113,'UNICEF-BMZ'!$B$1:$B$199,0)),"")</f>
        <v>200000</v>
      </c>
      <c r="BQ113" s="609" t="str">
        <f>IFERROR(VLOOKUP(A113,'BMGF_clean data'!$A$4:$C$30,3,FALSE),"")</f>
        <v/>
      </c>
      <c r="BR113" s="609"/>
      <c r="BS113" s="609"/>
      <c r="BT113" s="609"/>
      <c r="BU113" s="609"/>
      <c r="BV113" s="609"/>
      <c r="BW113" s="87">
        <f>INDEX(USAID!$D$3:$D$151,MATCH('Matrix Allocations'!A113,USAID!$A$3:$A$151,0))</f>
        <v>0</v>
      </c>
      <c r="BX113" s="87" t="str">
        <f>IFERROR(INDEX(DFAT!$L$4:$L$21,MATCH('Matrix Allocations'!A113,DFAT!$B$4:$B$21,0)),"")</f>
        <v/>
      </c>
      <c r="BY113" s="87">
        <f>IFERROR(INDEX(Table14[Funds Channelled through UNICEF],MATCH('Matrix Allocations'!A113,Table14[ISO Code],0)),"")</f>
        <v>58776</v>
      </c>
      <c r="BZ113" s="87">
        <f t="shared" si="53"/>
        <v>58776</v>
      </c>
      <c r="CA113">
        <f t="shared" si="60"/>
        <v>13276517</v>
      </c>
      <c r="CB113" s="782">
        <f t="shared" si="42"/>
        <v>3982955.0999999996</v>
      </c>
      <c r="CC113" s="791">
        <f t="shared" si="37"/>
        <v>11314875.888888888</v>
      </c>
      <c r="CD113" s="788">
        <f t="shared" si="43"/>
        <v>2.8408243640228052</v>
      </c>
      <c r="CE113" s="788">
        <f t="shared" si="44"/>
        <v>2.1306182730171037</v>
      </c>
      <c r="CF113" s="828">
        <f t="shared" si="45"/>
        <v>1.2174961560097739</v>
      </c>
      <c r="CG113" s="828">
        <f t="shared" si="38"/>
        <v>0.85224730920684155</v>
      </c>
      <c r="CH113" s="88">
        <f t="shared" si="61"/>
        <v>7400000</v>
      </c>
      <c r="CI113" s="88">
        <f t="shared" si="39"/>
        <v>1830000</v>
      </c>
      <c r="CJ113" s="742">
        <f t="shared" si="62"/>
        <v>0</v>
      </c>
      <c r="CK113" s="848">
        <f t="shared" si="40"/>
        <v>432776</v>
      </c>
      <c r="CL113" s="88">
        <f t="shared" si="41"/>
        <v>1710875.888888889</v>
      </c>
    </row>
    <row r="114" spans="1:90" ht="16" customHeight="1">
      <c r="A114" s="55" t="s">
        <v>662</v>
      </c>
      <c r="B114" s="55" t="s">
        <v>265</v>
      </c>
      <c r="C114" s="55" t="s">
        <v>126</v>
      </c>
      <c r="D114" s="55" t="s">
        <v>150</v>
      </c>
      <c r="E114" s="55" t="s">
        <v>145</v>
      </c>
      <c r="F114" s="56"/>
      <c r="G114" s="56" t="str">
        <f t="shared" si="54"/>
        <v>No</v>
      </c>
      <c r="H114" s="56" t="str">
        <f t="shared" si="54"/>
        <v>No</v>
      </c>
      <c r="I114" s="56" t="str">
        <f t="shared" si="57"/>
        <v>No</v>
      </c>
      <c r="J114" s="56" t="str">
        <f t="shared" si="58"/>
        <v>Yes</v>
      </c>
      <c r="K114" s="56" t="str">
        <f t="shared" si="59"/>
        <v>No</v>
      </c>
      <c r="L114" s="56" t="s">
        <v>541</v>
      </c>
      <c r="M114" s="55" t="s">
        <v>544</v>
      </c>
      <c r="N114" s="134" t="s">
        <v>541</v>
      </c>
      <c r="O114" s="55" t="s">
        <v>541</v>
      </c>
      <c r="P114" s="55" t="s">
        <v>542</v>
      </c>
      <c r="Q114" s="55"/>
      <c r="R114" s="55"/>
      <c r="S114" s="956">
        <v>32192988.027009469</v>
      </c>
      <c r="T114" s="55" t="s">
        <v>394</v>
      </c>
      <c r="U114" s="64" t="str">
        <f>IFERROR(IF(VLOOKUP(A114,'WB projects data'!$A$5:$C$83,3,0)="Approved",(VLOOKUP(A114,'WB projects data'!$A$5:$C$83,3,0)),""),"")</f>
        <v/>
      </c>
      <c r="V114" s="123" t="str">
        <f t="shared" si="55"/>
        <v/>
      </c>
      <c r="W114" s="123" t="str">
        <f>IFERROR((VLOOKUP($A114,'WB projects data'!$A$5:$J$83,6,0)*1000000),"")</f>
        <v/>
      </c>
      <c r="X114" s="123" t="str">
        <f>IFERROR((VLOOKUP($A114,'WB projects data'!$A$5:$J$83,7,0)*1000000),"")</f>
        <v/>
      </c>
      <c r="Y114" s="123" t="str">
        <f>IFERROR((VLOOKUP($A114,'WB projects data'!$A$5:$J$83,8,0)*1000000),"")</f>
        <v/>
      </c>
      <c r="Z114" s="123" t="str">
        <f>IFERROR((VLOOKUP($A114,'WB projects data'!$A$5:$J$83,9,0)*1000000),"")</f>
        <v/>
      </c>
      <c r="AA114" s="123" t="str">
        <f>IFERROR((VLOOKUP($A114,'WB projects data'!$A$5:$J$83,10,0)*1000000),"")</f>
        <v/>
      </c>
      <c r="AB114" s="55" t="s">
        <v>541</v>
      </c>
      <c r="AC114" s="110" t="str">
        <f>VLOOKUP($A114,'ADB Projects'!$A$5:$D$21,3,0)</f>
        <v>Approved</v>
      </c>
      <c r="AD114" s="110" t="str">
        <f>IFERROR(VLOOKUP(A114,'ADB Projects'!$A$4:$W$21,5,FALSE),"")</f>
        <v>Grant</v>
      </c>
      <c r="AE114" s="132">
        <f>IF(AC114="Approved",(VLOOKUP($A114,'ADB Projects'!$A$5:$D$21,4,0)*1000000),"")</f>
        <v>8000000</v>
      </c>
      <c r="AF114" s="585">
        <f>IF(AC114="Approved",(PRODUCT(VLOOKUP($A114,'ADB Projects'!$A$4:$W$21,6,FALSE),1000000)),"")</f>
        <v>2290000</v>
      </c>
      <c r="AG114" s="585">
        <f>IF(AC114="Approved",(PRODUCT(VLOOKUP($A114,'ADB Projects'!$A$4:$W$21,7,FALSE),1000000)),"")</f>
        <v>3160000</v>
      </c>
      <c r="AH114" s="585">
        <f>IF(AC114="Approved",(PRODUCT(VLOOKUP($A114,'ADB Projects'!$A$4:$W$21,8,FALSE),1000000)),"")</f>
        <v>2550000</v>
      </c>
      <c r="AI114" s="55"/>
      <c r="AJ114" s="55"/>
      <c r="AK114" s="244"/>
      <c r="AL114" s="55"/>
      <c r="AM114" s="55"/>
      <c r="AN114" s="55"/>
      <c r="AO114" s="55"/>
      <c r="AP114" s="55"/>
      <c r="AQ114" s="602" t="str">
        <f t="shared" si="56"/>
        <v/>
      </c>
      <c r="AR114" s="602" t="str">
        <f>IFERROR(VLOOKUP($A114,'IDB C19 Vaccine Projects'!$O$4:$Q$12,2,FALSE),"")</f>
        <v/>
      </c>
      <c r="AS114" s="602" t="str">
        <f>IFERROR(VLOOKUP($A114,'IDB C19 Vaccine Projects'!$O$4:$Q$12,3,FALSE),"")</f>
        <v/>
      </c>
      <c r="AT114" s="55"/>
      <c r="AU114" s="88"/>
      <c r="AV114" s="55"/>
      <c r="AW114" s="55"/>
      <c r="AX114" s="88" t="str">
        <f>INDEX(USAID!$C$3:$C$151,MATCH('Matrix Allocations'!A114,USAID!$A$3:$A$151,0))</f>
        <v/>
      </c>
      <c r="AY114" s="110">
        <v>126233</v>
      </c>
      <c r="AZ114" s="88">
        <f>IFERROR(INDEX('[4]Vx All regions allocations'!O$10:O$144,MATCH(A114,'[4]Vx All regions allocations'!A$10:A$144,0)),"")</f>
        <v>0</v>
      </c>
      <c r="BA114" s="88">
        <v>50000</v>
      </c>
      <c r="BB114" s="88">
        <v>25000</v>
      </c>
      <c r="BC114" s="88">
        <f>IFERROR(INDEX(DFAT!$K$4:$K$21,MATCH('Matrix Allocations'!A114,DFAT!$B$4:$B$21,0)),"")</f>
        <v>0</v>
      </c>
      <c r="BD114" s="88">
        <v>25462</v>
      </c>
      <c r="BE114" s="826" t="str">
        <f>IFERROR(IF(INDEX('GAVI CCE'!$E$3:$E$95,MATCH('Matrix Allocations'!A114,'GAVI CCE'!$A$3:$A$95,0))="Yes",INDEX('GAVI CCE'!$E$3:$E$95,MATCH('Matrix Allocations'!A114,'GAVI CCE'!$A$3:$A$95,0)),""),"")</f>
        <v/>
      </c>
      <c r="BF114" s="88" t="str">
        <f>IFERROR(IF(BE114="Yes",INDEX('GAVI CCE'!$F$3:$F$95,MATCH('Matrix Allocations'!A114,'GAVI CCE'!$A$3:$A$95,0)),""),"")</f>
        <v/>
      </c>
      <c r="BG114" s="609" t="str">
        <f>IFERROR(IF(E114='CDS early access ceilings'!$A$94,(VLOOKUP(A114,'CDS early access ceilings'!$A$2:$D$92,4,FALSE)),""),"")</f>
        <v>UNICEF</v>
      </c>
      <c r="BH114" s="639" t="str">
        <f>IFERROR(INDEX(Table14[Status (clean)],MATCH('Matrix Allocations'!A114,Table14[ISO Code],0)),"")</f>
        <v/>
      </c>
      <c r="BI114" s="641" t="str">
        <f>IFERROR(INDEX(Table14[Amount disbursed (USD)],MATCH('Matrix Allocations'!A114,Table14[ISO Code],0)),"")</f>
        <v/>
      </c>
      <c r="BJ114" s="641" t="str">
        <f>IFERROR(INDEX('CDS NBW'!$I$2:$I$39,MATCH(A114,'CDS NBW'!$A$2:$A$39,0)),"")</f>
        <v/>
      </c>
      <c r="BK114" s="641" t="str">
        <f>IFERROR(INDEX('CDS NBW'!$J$2:$J$39,MATCH(A114,'CDS NBW'!$A$2:$A$39,0)),"")</f>
        <v/>
      </c>
      <c r="BL114" s="609"/>
      <c r="BM114" s="609"/>
      <c r="BN114" s="609"/>
      <c r="BO114" s="609"/>
      <c r="BP114" s="609" t="str">
        <f>IFERROR(INDEX('UNICEF-BMZ'!$O$1:$O$199,MATCH('Matrix Allocations'!A114,'UNICEF-BMZ'!$B$1:$B$199,0)),"")</f>
        <v/>
      </c>
      <c r="BQ114" s="609" t="str">
        <f>IFERROR(VLOOKUP(A114,'BMGF_clean data'!$A$4:$C$30,3,FALSE),"")</f>
        <v/>
      </c>
      <c r="BR114" s="609"/>
      <c r="BS114" s="609"/>
      <c r="BT114" s="609"/>
      <c r="BU114" s="609"/>
      <c r="BV114" s="609"/>
      <c r="BW114" s="87">
        <f>INDEX(USAID!$D$3:$D$151,MATCH('Matrix Allocations'!A114,USAID!$A$3:$A$151,0))</f>
        <v>0</v>
      </c>
      <c r="BX114" s="87">
        <f>IFERROR(INDEX(DFAT!$L$4:$L$21,MATCH('Matrix Allocations'!A114,DFAT!$B$4:$B$21,0)),"")</f>
        <v>0</v>
      </c>
      <c r="BY114" s="87" t="str">
        <f>IFERROR(INDEX(Table14[Funds Channelled through UNICEF],MATCH('Matrix Allocations'!A114,Table14[ISO Code],0)),"")</f>
        <v/>
      </c>
      <c r="BZ114" s="87">
        <f t="shared" si="53"/>
        <v>0</v>
      </c>
      <c r="CA114">
        <f t="shared" si="60"/>
        <v>200144</v>
      </c>
      <c r="CB114" s="782">
        <f t="shared" si="42"/>
        <v>60043.199999999997</v>
      </c>
      <c r="CC114" s="791">
        <f t="shared" si="37"/>
        <v>3386695</v>
      </c>
      <c r="CD114" s="788">
        <f t="shared" si="43"/>
        <v>56.404305566658678</v>
      </c>
      <c r="CE114" s="788">
        <f t="shared" si="44"/>
        <v>42.303229174994001</v>
      </c>
      <c r="CF114" s="828">
        <f t="shared" si="45"/>
        <v>24.17327381428229</v>
      </c>
      <c r="CG114" s="828">
        <f t="shared" si="38"/>
        <v>16.921291669997601</v>
      </c>
      <c r="CH114" s="88">
        <f t="shared" si="61"/>
        <v>3160000</v>
      </c>
      <c r="CI114" s="88">
        <f t="shared" si="39"/>
        <v>151695</v>
      </c>
      <c r="CJ114" s="742">
        <f t="shared" si="62"/>
        <v>0</v>
      </c>
      <c r="CK114" s="848">
        <f t="shared" si="40"/>
        <v>151695</v>
      </c>
      <c r="CL114" s="88">
        <f t="shared" si="41"/>
        <v>75000</v>
      </c>
    </row>
    <row r="115" spans="1:90" ht="16" customHeight="1">
      <c r="A115" s="55" t="s">
        <v>663</v>
      </c>
      <c r="B115" s="55" t="s">
        <v>266</v>
      </c>
      <c r="C115" s="55" t="s">
        <v>129</v>
      </c>
      <c r="D115" s="55" t="s">
        <v>150</v>
      </c>
      <c r="E115" s="55" t="s">
        <v>145</v>
      </c>
      <c r="F115" s="56"/>
      <c r="G115" s="56" t="str">
        <f t="shared" si="54"/>
        <v>No</v>
      </c>
      <c r="H115" s="56" t="str">
        <f t="shared" si="54"/>
        <v>No</v>
      </c>
      <c r="I115" s="56" t="str">
        <f t="shared" si="57"/>
        <v>No</v>
      </c>
      <c r="J115" s="56" t="str">
        <f t="shared" si="58"/>
        <v>Yes</v>
      </c>
      <c r="K115" s="56" t="str">
        <f t="shared" si="59"/>
        <v>No</v>
      </c>
      <c r="L115" s="56" t="s">
        <v>541</v>
      </c>
      <c r="M115" s="55" t="s">
        <v>544</v>
      </c>
      <c r="N115" s="134" t="s">
        <v>541</v>
      </c>
      <c r="O115" s="55" t="s">
        <v>541</v>
      </c>
      <c r="P115" s="55" t="s">
        <v>583</v>
      </c>
      <c r="Q115" s="55"/>
      <c r="R115" s="55"/>
      <c r="S115" s="956">
        <v>11633535.136477679</v>
      </c>
      <c r="T115" s="55" t="s">
        <v>394</v>
      </c>
      <c r="U115" s="64" t="str">
        <f>IFERROR(IF(VLOOKUP(A115,'WB projects data'!$A$5:$C$83,3,0)="Approved",(VLOOKUP(A115,'WB projects data'!$A$5:$C$83,3,0)),""),"")</f>
        <v>Approved</v>
      </c>
      <c r="V115" s="123">
        <f t="shared" si="55"/>
        <v>6500000</v>
      </c>
      <c r="W115" s="123">
        <f>IFERROR((VLOOKUP($A115,'WB projects data'!$A$5:$J$83,6,0)*1000000),"")</f>
        <v>0</v>
      </c>
      <c r="X115" s="123">
        <f>IFERROR((VLOOKUP($A115,'WB projects data'!$A$5:$J$83,7,0)*1000000),"")</f>
        <v>6500000</v>
      </c>
      <c r="Y115" s="123">
        <f>IFERROR((VLOOKUP($A115,'WB projects data'!$A$5:$J$83,8,0)*1000000),"")</f>
        <v>1800000</v>
      </c>
      <c r="Z115" s="123">
        <f>IFERROR((VLOOKUP($A115,'WB projects data'!$A$5:$J$83,9,0)*1000000),"")</f>
        <v>1800000</v>
      </c>
      <c r="AA115" s="123">
        <f>IFERROR((VLOOKUP($A115,'WB projects data'!$A$5:$J$83,10,0)*1000000),"")</f>
        <v>3000000</v>
      </c>
      <c r="AB115" s="55"/>
      <c r="AC115" s="110"/>
      <c r="AD115" s="110" t="str">
        <f>IFERROR(VLOOKUP(A115,'ADB Projects'!$A$4:$W$21,5,FALSE),"")</f>
        <v/>
      </c>
      <c r="AE115" s="132" t="str">
        <f>IF(AC115="Approved",(VLOOKUP($A115,'ADB Projects'!$A$5:$D$21,4,0)*1000000),"")</f>
        <v/>
      </c>
      <c r="AF115" s="585" t="str">
        <f>IF(AC115="Approved",(PRODUCT(VLOOKUP($A115,'ADB Projects'!$A$4:$W$21,6,FALSE),1000000)),"")</f>
        <v/>
      </c>
      <c r="AG115" s="585" t="str">
        <f>IF(AC115="Approved",(PRODUCT(VLOOKUP($A115,'ADB Projects'!$A$4:$W$21,7,FALSE),1000000)),"")</f>
        <v/>
      </c>
      <c r="AH115" s="585" t="str">
        <f>IF(AC115="Approved",(PRODUCT(VLOOKUP($A115,'ADB Projects'!$A$4:$W$21,8,FALSE),1000000)),"")</f>
        <v/>
      </c>
      <c r="AI115" s="148"/>
      <c r="AJ115" s="55"/>
      <c r="AK115" s="244"/>
      <c r="AL115" s="148" t="s">
        <v>541</v>
      </c>
      <c r="AM115" s="148"/>
      <c r="AN115" s="148"/>
      <c r="AO115" s="148"/>
      <c r="AP115" s="148"/>
      <c r="AQ115" s="602" t="str">
        <f t="shared" si="56"/>
        <v/>
      </c>
      <c r="AR115" s="602" t="str">
        <f>IFERROR(VLOOKUP($A115,'IDB C19 Vaccine Projects'!$O$4:$Q$12,2,FALSE),"")</f>
        <v/>
      </c>
      <c r="AS115" s="602" t="str">
        <f>IFERROR(VLOOKUP($A115,'IDB C19 Vaccine Projects'!$O$4:$Q$12,3,FALSE),"")</f>
        <v/>
      </c>
      <c r="AT115" s="55"/>
      <c r="AU115" s="88"/>
      <c r="AV115" s="55"/>
      <c r="AW115" s="55"/>
      <c r="AX115" s="88">
        <f>INDEX(USAID!$C$3:$C$151,MATCH('Matrix Allocations'!A115,USAID!$A$3:$A$151,0))</f>
        <v>200000</v>
      </c>
      <c r="AY115" s="110"/>
      <c r="AZ115" s="88">
        <f>IFERROR(INDEX('[4]Vx All regions allocations'!O$10:O$144,MATCH(A115,'[4]Vx All regions allocations'!A$10:A$144,0)),"")</f>
        <v>0</v>
      </c>
      <c r="BA115" s="88">
        <v>46300</v>
      </c>
      <c r="BB115" s="88">
        <v>321989</v>
      </c>
      <c r="BC115" s="88" t="str">
        <f>IFERROR(INDEX(DFAT!$K$4:$K$21,MATCH('Matrix Allocations'!A115,DFAT!$B$4:$B$21,0)),"")</f>
        <v/>
      </c>
      <c r="BD115" s="88"/>
      <c r="BE115" s="826" t="str">
        <f>IFERROR(IF(INDEX('GAVI CCE'!$E$3:$E$95,MATCH('Matrix Allocations'!A115,'GAVI CCE'!$A$3:$A$95,0))="Yes",INDEX('GAVI CCE'!$E$3:$E$95,MATCH('Matrix Allocations'!A115,'GAVI CCE'!$A$3:$A$95,0)),""),"")</f>
        <v>Yes</v>
      </c>
      <c r="BF115" s="88">
        <f>IFERROR(IF(BE115="Yes",INDEX('GAVI CCE'!$F$3:$F$95,MATCH('Matrix Allocations'!A115,'GAVI CCE'!$A$3:$A$95,0)),""),"")</f>
        <v>91602</v>
      </c>
      <c r="BG115" s="609" t="str">
        <f>IFERROR(IF(E115='CDS early access ceilings'!$A$94,(VLOOKUP(A115,'CDS early access ceilings'!$A$2:$D$92,4,FALSE)),""),"")</f>
        <v>GAVI</v>
      </c>
      <c r="BH115" s="639" t="str">
        <f>IFERROR(INDEX(Table14[Status (clean)],MATCH('Matrix Allocations'!A115,Table14[ISO Code],0)),"")</f>
        <v>Disbursed</v>
      </c>
      <c r="BI115" s="641">
        <f>IFERROR(INDEX(Table14[Amount disbursed (USD)],MATCH('Matrix Allocations'!A115,Table14[ISO Code],0)),"")</f>
        <v>978461</v>
      </c>
      <c r="BJ115" s="641" t="str">
        <f>IFERROR(INDEX('CDS NBW'!$I$2:$I$39,MATCH(A115,'CDS NBW'!$A$2:$A$39,0)),"")</f>
        <v/>
      </c>
      <c r="BK115" s="641" t="str">
        <f>IFERROR(INDEX('CDS NBW'!$J$2:$J$39,MATCH(A115,'CDS NBW'!$A$2:$A$39,0)),"")</f>
        <v/>
      </c>
      <c r="BL115" s="609"/>
      <c r="BM115" s="609"/>
      <c r="BN115" s="609"/>
      <c r="BO115" s="609"/>
      <c r="BP115" s="609">
        <f>IFERROR(INDEX('UNICEF-BMZ'!$O$1:$O$199,MATCH('Matrix Allocations'!A115,'UNICEF-BMZ'!$B$1:$B$199,0)),"")</f>
        <v>40000</v>
      </c>
      <c r="BQ115" s="609" t="str">
        <f>IFERROR(VLOOKUP(A115,'BMGF_clean data'!$A$4:$C$30,3,FALSE),"")</f>
        <v/>
      </c>
      <c r="BR115" s="609"/>
      <c r="BS115" s="609"/>
      <c r="BT115" s="609"/>
      <c r="BU115" s="609"/>
      <c r="BV115" s="609"/>
      <c r="BW115" s="87">
        <f>INDEX(USAID!$D$3:$D$151,MATCH('Matrix Allocations'!A115,USAID!$A$3:$A$151,0))</f>
        <v>200000</v>
      </c>
      <c r="BX115" s="87" t="str">
        <f>IFERROR(INDEX(DFAT!$L$4:$L$21,MATCH('Matrix Allocations'!A115,DFAT!$B$4:$B$21,0)),"")</f>
        <v/>
      </c>
      <c r="BY115" s="87">
        <f>IFERROR(INDEX(Table14[Funds Channelled through UNICEF],MATCH('Matrix Allocations'!A115,Table14[ISO Code],0)),"")</f>
        <v>194440</v>
      </c>
      <c r="BZ115" s="87">
        <f t="shared" si="53"/>
        <v>194440</v>
      </c>
      <c r="CA115">
        <f t="shared" si="60"/>
        <v>223364</v>
      </c>
      <c r="CB115" s="782">
        <f t="shared" si="42"/>
        <v>67009.2</v>
      </c>
      <c r="CC115" s="791">
        <f t="shared" si="37"/>
        <v>3478352</v>
      </c>
      <c r="CD115" s="788">
        <f t="shared" si="43"/>
        <v>51.908573748082354</v>
      </c>
      <c r="CE115" s="788">
        <f t="shared" si="44"/>
        <v>38.93143031106176</v>
      </c>
      <c r="CF115" s="828">
        <f t="shared" si="45"/>
        <v>22.24653160632101</v>
      </c>
      <c r="CG115" s="828">
        <f t="shared" si="38"/>
        <v>15.572572124424706</v>
      </c>
      <c r="CH115" s="88">
        <f t="shared" si="61"/>
        <v>1800000</v>
      </c>
      <c r="CI115" s="88">
        <f t="shared" si="39"/>
        <v>200000</v>
      </c>
      <c r="CJ115" s="742">
        <f t="shared" si="62"/>
        <v>0</v>
      </c>
      <c r="CK115" s="848">
        <f t="shared" si="40"/>
        <v>394440</v>
      </c>
      <c r="CL115" s="88">
        <f t="shared" si="41"/>
        <v>1478352</v>
      </c>
    </row>
    <row r="116" spans="1:90" ht="16" customHeight="1">
      <c r="A116" s="58" t="s">
        <v>664</v>
      </c>
      <c r="B116" s="58" t="s">
        <v>267</v>
      </c>
      <c r="C116" s="58" t="s">
        <v>129</v>
      </c>
      <c r="D116" s="58" t="s">
        <v>150</v>
      </c>
      <c r="E116" s="58" t="s">
        <v>145</v>
      </c>
      <c r="F116" s="59">
        <v>2</v>
      </c>
      <c r="G116" s="59" t="str">
        <f t="shared" si="54"/>
        <v>No</v>
      </c>
      <c r="H116" s="59" t="str">
        <f t="shared" si="54"/>
        <v>No</v>
      </c>
      <c r="I116" s="59" t="str">
        <f t="shared" si="57"/>
        <v>No</v>
      </c>
      <c r="J116" s="59" t="str">
        <f t="shared" si="58"/>
        <v>Yes</v>
      </c>
      <c r="K116" s="59" t="str">
        <f t="shared" si="59"/>
        <v>No</v>
      </c>
      <c r="L116" s="59" t="s">
        <v>541</v>
      </c>
      <c r="M116" s="55" t="s">
        <v>544</v>
      </c>
      <c r="N116" s="135" t="s">
        <v>541</v>
      </c>
      <c r="O116" s="58" t="s">
        <v>541</v>
      </c>
      <c r="P116" s="58" t="s">
        <v>562</v>
      </c>
      <c r="Q116" s="58"/>
      <c r="R116" s="58"/>
      <c r="S116" s="956">
        <v>222008693.93354639</v>
      </c>
      <c r="T116" s="55" t="s">
        <v>394</v>
      </c>
      <c r="U116" s="64" t="str">
        <f>IFERROR(IF(VLOOKUP(A116,'WB projects data'!$A$5:$C$83,3,0)="Approved",(VLOOKUP(A116,'WB projects data'!$A$5:$C$83,3,0)),""),"")</f>
        <v>Approved</v>
      </c>
      <c r="V116" s="123">
        <f t="shared" si="55"/>
        <v>134000000</v>
      </c>
      <c r="W116" s="123">
        <f>IFERROR((VLOOKUP($A116,'WB projects data'!$A$5:$J$83,6,0)*1000000),"")</f>
        <v>67000000</v>
      </c>
      <c r="X116" s="123">
        <f>IFERROR((VLOOKUP($A116,'WB projects data'!$A$5:$J$83,7,0)*1000000),"")</f>
        <v>67000000</v>
      </c>
      <c r="Y116" s="123">
        <f>IFERROR((VLOOKUP($A116,'WB projects data'!$A$5:$J$83,8,0)*1000000),"")</f>
        <v>76100000</v>
      </c>
      <c r="Z116" s="123">
        <f>IFERROR((VLOOKUP($A116,'WB projects data'!$A$5:$J$83,9,0)*1000000),"")</f>
        <v>54900000</v>
      </c>
      <c r="AA116" s="123">
        <f>IFERROR((VLOOKUP($A116,'WB projects data'!$A$5:$J$83,10,0)*1000000),"")</f>
        <v>3000000</v>
      </c>
      <c r="AB116" s="58"/>
      <c r="AC116" s="110"/>
      <c r="AD116" s="110" t="str">
        <f>IFERROR(VLOOKUP(A116,'ADB Projects'!$A$4:$W$21,5,FALSE),"")</f>
        <v/>
      </c>
      <c r="AE116" s="132" t="str">
        <f>IF(AC116="Approved",(VLOOKUP($A116,'ADB Projects'!$A$5:$D$21,4,0)*1000000),"")</f>
        <v/>
      </c>
      <c r="AF116" s="585" t="str">
        <f>IF(AC116="Approved",(PRODUCT(VLOOKUP($A116,'ADB Projects'!$A$4:$W$21,6,FALSE),1000000)),"")</f>
        <v/>
      </c>
      <c r="AG116" s="585" t="str">
        <f>IF(AC116="Approved",(PRODUCT(VLOOKUP($A116,'ADB Projects'!$A$4:$W$21,7,FALSE),1000000)),"")</f>
        <v/>
      </c>
      <c r="AH116" s="585" t="str">
        <f>IF(AC116="Approved",(PRODUCT(VLOOKUP($A116,'ADB Projects'!$A$4:$W$21,8,FALSE),1000000)),"")</f>
        <v/>
      </c>
      <c r="AI116" s="148" t="s">
        <v>541</v>
      </c>
      <c r="AJ116" s="55"/>
      <c r="AK116" s="244"/>
      <c r="AL116" s="148" t="s">
        <v>541</v>
      </c>
      <c r="AM116" s="148"/>
      <c r="AN116" s="148"/>
      <c r="AO116" s="148"/>
      <c r="AP116" s="148"/>
      <c r="AQ116" s="602" t="str">
        <f t="shared" si="56"/>
        <v/>
      </c>
      <c r="AR116" s="602" t="str">
        <f>IFERROR(VLOOKUP($A116,'IDB C19 Vaccine Projects'!$O$4:$Q$12,2,FALSE),"")</f>
        <v/>
      </c>
      <c r="AS116" s="602" t="str">
        <f>IFERROR(VLOOKUP($A116,'IDB C19 Vaccine Projects'!$O$4:$Q$12,3,FALSE),"")</f>
        <v/>
      </c>
      <c r="AT116" s="55"/>
      <c r="AU116" s="88"/>
      <c r="AV116" s="55"/>
      <c r="AW116" s="55"/>
      <c r="AX116" s="88">
        <f>INDEX(USAID!$C$3:$C$151,MATCH('Matrix Allocations'!A116,USAID!$A$3:$A$151,0))</f>
        <v>2200000</v>
      </c>
      <c r="AY116" s="110">
        <v>891000</v>
      </c>
      <c r="AZ116" s="88">
        <f>IFERROR(INDEX('[4]Vx All regions allocations'!O$10:O$144,MATCH(A116,'[4]Vx All regions allocations'!A$10:A$144,0)),"")</f>
        <v>779275</v>
      </c>
      <c r="BA116" s="88">
        <v>171296.29629629629</v>
      </c>
      <c r="BB116" s="88">
        <v>186993</v>
      </c>
      <c r="BC116" s="88" t="str">
        <f>IFERROR(INDEX(DFAT!$K$4:$K$21,MATCH('Matrix Allocations'!A116,DFAT!$B$4:$B$21,0)),"")</f>
        <v/>
      </c>
      <c r="BD116" s="88"/>
      <c r="BE116" s="826" t="str">
        <f>IFERROR(IF(INDEX('GAVI CCE'!$E$3:$E$95,MATCH('Matrix Allocations'!A116,'GAVI CCE'!$A$3:$A$95,0))="Yes",INDEX('GAVI CCE'!$E$3:$E$95,MATCH('Matrix Allocations'!A116,'GAVI CCE'!$A$3:$A$95,0)),""),"")</f>
        <v>Yes</v>
      </c>
      <c r="BF116" s="88">
        <f>IFERROR(IF(BE116="Yes",INDEX('GAVI CCE'!$F$3:$F$95,MATCH('Matrix Allocations'!A116,'GAVI CCE'!$A$3:$A$95,0)),""),"")</f>
        <v>463070</v>
      </c>
      <c r="BG116" s="609" t="str">
        <f>IFERROR(IF(E116='CDS early access ceilings'!$A$94,(VLOOKUP(A116,'CDS early access ceilings'!$A$2:$D$92,4,FALSE)),""),"")</f>
        <v>GAVI</v>
      </c>
      <c r="BH116" s="639" t="str">
        <f>IFERROR(INDEX(Table14[Status (clean)],MATCH('Matrix Allocations'!A116,Table14[ISO Code],0)),"")</f>
        <v>Disbursed</v>
      </c>
      <c r="BI116" s="641">
        <f>IFERROR(INDEX(Table14[Amount disbursed (USD)],MATCH('Matrix Allocations'!A116,Table14[ISO Code],0)),"")</f>
        <v>1380115</v>
      </c>
      <c r="BJ116" s="641" t="str">
        <f>IFERROR(INDEX('CDS NBW'!$I$2:$I$39,MATCH(A116,'CDS NBW'!$A$2:$A$39,0)),"")</f>
        <v/>
      </c>
      <c r="BK116" s="641" t="str">
        <f>IFERROR(INDEX('CDS NBW'!$J$2:$J$39,MATCH(A116,'CDS NBW'!$A$2:$A$39,0)),"")</f>
        <v/>
      </c>
      <c r="BL116" s="609"/>
      <c r="BM116" s="609"/>
      <c r="BN116" s="609"/>
      <c r="BO116" s="609">
        <v>779275</v>
      </c>
      <c r="BP116" s="609">
        <f>IFERROR(INDEX('UNICEF-BMZ'!$O$1:$O$199,MATCH('Matrix Allocations'!A116,'UNICEF-BMZ'!$B$1:$B$199,0)),"")</f>
        <v>225000</v>
      </c>
      <c r="BQ116" s="609" t="str">
        <f>IFERROR(VLOOKUP(A116,'BMGF_clean data'!$A$4:$C$30,3,FALSE),"")</f>
        <v/>
      </c>
      <c r="BR116" s="609"/>
      <c r="BS116" s="609"/>
      <c r="BT116" s="609"/>
      <c r="BU116" s="609"/>
      <c r="BV116" s="609"/>
      <c r="BW116" s="87">
        <f>INDEX(USAID!$D$3:$D$151,MATCH('Matrix Allocations'!A116,USAID!$A$3:$A$151,0))</f>
        <v>900000</v>
      </c>
      <c r="BX116" s="87" t="str">
        <f>IFERROR(INDEX(DFAT!$L$4:$L$21,MATCH('Matrix Allocations'!A116,DFAT!$B$4:$B$21,0)),"")</f>
        <v/>
      </c>
      <c r="BY116" s="87">
        <f>IFERROR(INDEX(Table14[Funds Channelled through UNICEF],MATCH('Matrix Allocations'!A116,Table14[ISO Code],0)),"")</f>
        <v>0</v>
      </c>
      <c r="BZ116" s="87">
        <f t="shared" si="53"/>
        <v>0</v>
      </c>
      <c r="CA116">
        <f t="shared" si="60"/>
        <v>17196308</v>
      </c>
      <c r="CB116" s="782">
        <f t="shared" si="42"/>
        <v>5158892.3999999994</v>
      </c>
      <c r="CC116" s="791">
        <f t="shared" si="37"/>
        <v>61976024.296296299</v>
      </c>
      <c r="CD116" s="788">
        <f t="shared" si="43"/>
        <v>12.013436119795076</v>
      </c>
      <c r="CE116" s="788">
        <f t="shared" si="44"/>
        <v>9.0100770898463054</v>
      </c>
      <c r="CF116" s="828">
        <f t="shared" si="45"/>
        <v>5.1486154799121753</v>
      </c>
      <c r="CG116" s="828">
        <f t="shared" si="38"/>
        <v>3.6040308359385222</v>
      </c>
      <c r="CH116" s="88">
        <f t="shared" si="61"/>
        <v>54900000</v>
      </c>
      <c r="CI116" s="88">
        <f t="shared" si="39"/>
        <v>3091000</v>
      </c>
      <c r="CJ116" s="742">
        <f t="shared" si="62"/>
        <v>779275</v>
      </c>
      <c r="CK116" s="848">
        <f t="shared" si="40"/>
        <v>3349550</v>
      </c>
      <c r="CL116" s="88">
        <f t="shared" si="41"/>
        <v>2426474.2962962962</v>
      </c>
    </row>
    <row r="117" spans="1:90" ht="16" customHeight="1">
      <c r="A117" s="149" t="s">
        <v>665</v>
      </c>
      <c r="B117" s="149" t="s">
        <v>153</v>
      </c>
      <c r="C117" s="57" t="s">
        <v>127</v>
      </c>
      <c r="D117" s="57" t="s">
        <v>152</v>
      </c>
      <c r="E117" s="57" t="s">
        <v>146</v>
      </c>
      <c r="F117" s="57"/>
      <c r="G117" s="57" t="str">
        <f t="shared" si="54"/>
        <v>Yes</v>
      </c>
      <c r="H117" s="57" t="str">
        <f t="shared" si="54"/>
        <v>Yes</v>
      </c>
      <c r="I117" s="57" t="str">
        <f t="shared" si="57"/>
        <v>No</v>
      </c>
      <c r="J117" s="57" t="str">
        <f t="shared" si="58"/>
        <v>No</v>
      </c>
      <c r="K117" s="57" t="str">
        <f t="shared" si="59"/>
        <v>Yes</v>
      </c>
      <c r="L117" s="62" t="s">
        <v>541</v>
      </c>
      <c r="M117" s="55" t="s">
        <v>544</v>
      </c>
      <c r="N117" s="136" t="s">
        <v>544</v>
      </c>
      <c r="O117" s="57" t="s">
        <v>544</v>
      </c>
      <c r="P117" s="57"/>
      <c r="Q117" s="57"/>
      <c r="R117" s="57"/>
      <c r="S117" s="956">
        <v>2564993795.1894679</v>
      </c>
      <c r="T117" s="55" t="s">
        <v>395</v>
      </c>
      <c r="U117" s="64" t="str">
        <f>IFERROR(IF(VLOOKUP(A117,'WB projects data'!$A$5:$C$83,3,0)="Approved",(VLOOKUP(A117,'WB projects data'!$A$5:$C$83,3,0)),""),"")</f>
        <v/>
      </c>
      <c r="V117" s="123" t="str">
        <f t="shared" si="55"/>
        <v/>
      </c>
      <c r="W117" s="123" t="str">
        <f>IFERROR((VLOOKUP($A117,'WB projects data'!$A$5:$J$83,6,0)*1000000),"")</f>
        <v/>
      </c>
      <c r="X117" s="123" t="str">
        <f>IFERROR((VLOOKUP($A117,'WB projects data'!$A$5:$J$83,7,0)*1000000),"")</f>
        <v/>
      </c>
      <c r="Y117" s="123" t="str">
        <f>IFERROR((VLOOKUP($A117,'WB projects data'!$A$5:$J$83,8,0)*1000000),"")</f>
        <v/>
      </c>
      <c r="Z117" s="123" t="str">
        <f>IFERROR((VLOOKUP($A117,'WB projects data'!$A$5:$J$83,9,0)*1000000),"")</f>
        <v/>
      </c>
      <c r="AA117" s="123" t="str">
        <f>IFERROR((VLOOKUP($A117,'WB projects data'!$A$5:$J$83,10,0)*1000000),"")</f>
        <v/>
      </c>
      <c r="AB117" s="57"/>
      <c r="AC117" s="110"/>
      <c r="AD117" s="110" t="str">
        <f>IFERROR(VLOOKUP(A117,'ADB Projects'!$A$4:$W$21,5,FALSE),"")</f>
        <v/>
      </c>
      <c r="AE117" s="132" t="str">
        <f>IF(AC117="Approved",(VLOOKUP($A117,'ADB Projects'!$A$5:$D$21,4,0)*1000000),"")</f>
        <v/>
      </c>
      <c r="AF117" s="585" t="str">
        <f>IF(AC117="Approved",(PRODUCT(VLOOKUP($A117,'ADB Projects'!$A$4:$W$21,6,FALSE),1000000)),"")</f>
        <v/>
      </c>
      <c r="AG117" s="585" t="str">
        <f>IF(AC117="Approved",(PRODUCT(VLOOKUP($A117,'ADB Projects'!$A$4:$W$21,7,FALSE),1000000)),"")</f>
        <v/>
      </c>
      <c r="AH117" s="585" t="str">
        <f>IF(AC117="Approved",(PRODUCT(VLOOKUP($A117,'ADB Projects'!$A$4:$W$21,8,FALSE),1000000)),"")</f>
        <v/>
      </c>
      <c r="AI117" s="55"/>
      <c r="AJ117" s="55"/>
      <c r="AK117" s="244"/>
      <c r="AL117" s="55"/>
      <c r="AM117" s="55"/>
      <c r="AN117" s="55"/>
      <c r="AO117" s="55"/>
      <c r="AP117" s="55"/>
      <c r="AQ117" s="602" t="str">
        <f t="shared" si="56"/>
        <v/>
      </c>
      <c r="AR117" s="602" t="str">
        <f>IFERROR(VLOOKUP($A117,'IDB C19 Vaccine Projects'!$O$4:$Q$12,2,FALSE),"")</f>
        <v/>
      </c>
      <c r="AS117" s="602" t="str">
        <f>IFERROR(VLOOKUP($A117,'IDB C19 Vaccine Projects'!$O$4:$Q$12,3,FALSE),"")</f>
        <v/>
      </c>
      <c r="AT117" s="55"/>
      <c r="AU117" s="88"/>
      <c r="AV117" s="55"/>
      <c r="AW117" s="55"/>
      <c r="AX117" s="88">
        <f>INDEX(USAID!$C$3:$C$151,MATCH('Matrix Allocations'!A117,USAID!$A$3:$A$151,0))</f>
        <v>2500000</v>
      </c>
      <c r="AY117" s="110"/>
      <c r="AZ117" s="88">
        <f>IFERROR(INDEX('[4]Vx All regions allocations'!O$10:O$144,MATCH(A117,'[4]Vx All regions allocations'!A$10:A$144,0)),"")</f>
        <v>100000</v>
      </c>
      <c r="BA117" s="88">
        <v>0</v>
      </c>
      <c r="BB117" s="88">
        <v>0</v>
      </c>
      <c r="BC117" s="88" t="str">
        <f>IFERROR(INDEX(DFAT!$K$4:$K$21,MATCH('Matrix Allocations'!A117,DFAT!$B$4:$B$21,0)),"")</f>
        <v/>
      </c>
      <c r="BD117" s="88"/>
      <c r="BE117" s="826" t="str">
        <f>IFERROR(IF(INDEX('GAVI CCE'!$E$3:$E$95,MATCH('Matrix Allocations'!A117,'GAVI CCE'!$A$3:$A$95,0))="Yes",INDEX('GAVI CCE'!$E$3:$E$95,MATCH('Matrix Allocations'!A117,'GAVI CCE'!$A$3:$A$95,0)),""),"")</f>
        <v/>
      </c>
      <c r="BF117" s="88" t="str">
        <f>IFERROR(IF(BE117="Yes",INDEX('GAVI CCE'!$F$3:$F$95,MATCH('Matrix Allocations'!A117,'GAVI CCE'!$A$3:$A$95,0)),""),"")</f>
        <v/>
      </c>
      <c r="BG117" s="609" t="str">
        <f>IFERROR(IF(E117='CDS early access ceilings'!$A$94,(VLOOKUP(A117,'CDS early access ceilings'!$A$2:$D$92,4,FALSE)),""),"")</f>
        <v/>
      </c>
      <c r="BH117" s="639" t="str">
        <f>IFERROR(INDEX(Table14[Status (clean)],MATCH('Matrix Allocations'!A117,Table14[ISO Code],0)),"")</f>
        <v/>
      </c>
      <c r="BI117" s="641" t="str">
        <f>IFERROR(INDEX(Table14[Amount disbursed (USD)],MATCH('Matrix Allocations'!A117,Table14[ISO Code],0)),"")</f>
        <v/>
      </c>
      <c r="BJ117" s="641" t="str">
        <f>IFERROR(INDEX('CDS NBW'!$I$2:$I$39,MATCH(A117,'CDS NBW'!$A$2:$A$39,0)),"")</f>
        <v/>
      </c>
      <c r="BK117" s="641" t="str">
        <f>IFERROR(INDEX('CDS NBW'!$J$2:$J$39,MATCH(A117,'CDS NBW'!$A$2:$A$39,0)),"")</f>
        <v/>
      </c>
      <c r="BL117" s="609"/>
      <c r="BM117" s="609"/>
      <c r="BN117" s="609"/>
      <c r="BO117" s="609"/>
      <c r="BP117" s="609">
        <f>IFERROR(INDEX('UNICEF-BMZ'!$O$1:$O$199,MATCH('Matrix Allocations'!A117,'UNICEF-BMZ'!$B$1:$B$199,0)),"")</f>
        <v>0</v>
      </c>
      <c r="BQ117" s="609" t="str">
        <f>IFERROR(VLOOKUP(A117,'BMGF_clean data'!$A$4:$C$30,3,FALSE),"")</f>
        <v/>
      </c>
      <c r="BR117" s="609"/>
      <c r="BS117" s="609"/>
      <c r="BT117" s="609"/>
      <c r="BU117" s="609"/>
      <c r="BV117" s="609"/>
      <c r="BW117" s="87">
        <f>INDEX(USAID!$D$3:$D$151,MATCH('Matrix Allocations'!A117,USAID!$A$3:$A$151,0))</f>
        <v>0</v>
      </c>
      <c r="BX117" s="87" t="str">
        <f>IFERROR(INDEX(DFAT!$L$4:$L$21,MATCH('Matrix Allocations'!A117,DFAT!$B$4:$B$21,0)),"")</f>
        <v/>
      </c>
      <c r="BY117" s="87" t="str">
        <f>IFERROR(INDEX(Table14[Funds Channelled through UNICEF],MATCH('Matrix Allocations'!A117,Table14[ISO Code],0)),"")</f>
        <v/>
      </c>
      <c r="BZ117" s="87">
        <f t="shared" si="53"/>
        <v>0</v>
      </c>
      <c r="CA117">
        <f t="shared" si="60"/>
        <v>8697547</v>
      </c>
      <c r="CB117" s="782">
        <f t="shared" si="42"/>
        <v>2609264.1</v>
      </c>
      <c r="CC117" s="791">
        <f t="shared" si="37"/>
        <v>2600000</v>
      </c>
      <c r="CD117" s="788">
        <f t="shared" si="43"/>
        <v>0.99644953533067038</v>
      </c>
      <c r="CE117" s="788">
        <f t="shared" si="44"/>
        <v>0.74733715149800273</v>
      </c>
      <c r="CF117" s="828">
        <f t="shared" si="45"/>
        <v>0.42704980085600164</v>
      </c>
      <c r="CG117" s="828">
        <f t="shared" si="38"/>
        <v>0.29893486059920116</v>
      </c>
      <c r="CH117" s="88">
        <f t="shared" si="61"/>
        <v>0</v>
      </c>
      <c r="CI117" s="88">
        <f t="shared" si="39"/>
        <v>2500000</v>
      </c>
      <c r="CJ117" s="742">
        <f t="shared" si="62"/>
        <v>0</v>
      </c>
      <c r="CK117" s="848">
        <f t="shared" si="40"/>
        <v>100000</v>
      </c>
      <c r="CL117" s="88">
        <f t="shared" si="41"/>
        <v>0</v>
      </c>
    </row>
    <row r="118" spans="1:90" ht="17.25" customHeight="1">
      <c r="A118" s="57" t="s">
        <v>666</v>
      </c>
      <c r="B118" s="57" t="s">
        <v>268</v>
      </c>
      <c r="C118" s="57" t="s">
        <v>128</v>
      </c>
      <c r="D118" s="57" t="s">
        <v>550</v>
      </c>
      <c r="E118" s="57" t="s">
        <v>146</v>
      </c>
      <c r="F118" s="57"/>
      <c r="G118" s="57" t="str">
        <f t="shared" si="54"/>
        <v>Yes</v>
      </c>
      <c r="H118" s="57" t="str">
        <f t="shared" si="54"/>
        <v>Yes</v>
      </c>
      <c r="I118" s="57" t="str">
        <f t="shared" si="57"/>
        <v>No</v>
      </c>
      <c r="J118" s="57" t="str">
        <f t="shared" si="58"/>
        <v>No</v>
      </c>
      <c r="K118" s="57" t="str">
        <f t="shared" si="59"/>
        <v>Yes</v>
      </c>
      <c r="L118" s="62" t="s">
        <v>541</v>
      </c>
      <c r="M118" s="55" t="s">
        <v>544</v>
      </c>
      <c r="N118" s="136" t="s">
        <v>544</v>
      </c>
      <c r="O118" s="57" t="s">
        <v>544</v>
      </c>
      <c r="P118" s="57" t="s">
        <v>546</v>
      </c>
      <c r="Q118" s="57"/>
      <c r="R118" s="57"/>
      <c r="S118" s="956">
        <v>60237542.945069775</v>
      </c>
      <c r="T118" s="55" t="s">
        <v>395</v>
      </c>
      <c r="U118" s="64" t="str">
        <f>IFERROR(IF(VLOOKUP(A118,'WB projects data'!$A$5:$C$83,3,0)="Approved",(VLOOKUP(A118,'WB projects data'!$A$5:$C$83,3,0)),""),"")</f>
        <v/>
      </c>
      <c r="V118" s="123">
        <f t="shared" si="55"/>
        <v>0</v>
      </c>
      <c r="W118" s="123">
        <f>IFERROR((VLOOKUP($A118,'WB projects data'!$A$5:$J$83,6,0)*1000000),"")</f>
        <v>0</v>
      </c>
      <c r="X118" s="123">
        <f>IFERROR((VLOOKUP($A118,'WB projects data'!$A$5:$J$83,7,0)*1000000),"")</f>
        <v>0</v>
      </c>
      <c r="Y118" s="123">
        <f>IFERROR((VLOOKUP($A118,'WB projects data'!$A$5:$J$83,8,0)*1000000),"")</f>
        <v>0</v>
      </c>
      <c r="Z118" s="123">
        <f>IFERROR((VLOOKUP($A118,'WB projects data'!$A$5:$J$83,9,0)*1000000),"")</f>
        <v>0</v>
      </c>
      <c r="AA118" s="123">
        <f>IFERROR((VLOOKUP($A118,'WB projects data'!$A$5:$J$83,10,0)*1000000),"")</f>
        <v>0</v>
      </c>
      <c r="AB118" s="57"/>
      <c r="AC118" s="110"/>
      <c r="AD118" s="110" t="str">
        <f>IFERROR(VLOOKUP(A118,'ADB Projects'!$A$4:$W$21,5,FALSE),"")</f>
        <v/>
      </c>
      <c r="AE118" s="132" t="str">
        <f>IF(AC118="Approved",(VLOOKUP($A118,'ADB Projects'!$A$5:$D$21,4,0)*1000000),"")</f>
        <v/>
      </c>
      <c r="AF118" s="585" t="str">
        <f>IF(AC118="Approved",(PRODUCT(VLOOKUP($A118,'ADB Projects'!$A$4:$W$21,6,FALSE),1000000)),"")</f>
        <v/>
      </c>
      <c r="AG118" s="585" t="str">
        <f>IF(AC118="Approved",(PRODUCT(VLOOKUP($A118,'ADB Projects'!$A$4:$W$21,7,FALSE),1000000)),"")</f>
        <v/>
      </c>
      <c r="AH118" s="585" t="str">
        <f>IF(AC118="Approved",(PRODUCT(VLOOKUP($A118,'ADB Projects'!$A$4:$W$21,8,FALSE),1000000)),"")</f>
        <v/>
      </c>
      <c r="AI118" s="55"/>
      <c r="AJ118" s="55"/>
      <c r="AK118" s="244"/>
      <c r="AL118" s="55"/>
      <c r="AM118" s="55"/>
      <c r="AN118" s="55"/>
      <c r="AO118" s="55"/>
      <c r="AP118" s="55"/>
      <c r="AQ118" s="602" t="str">
        <f t="shared" si="56"/>
        <v/>
      </c>
      <c r="AR118" s="602" t="str">
        <f>IFERROR(VLOOKUP($A118,'IDB C19 Vaccine Projects'!$O$4:$Q$12,2,FALSE),"")</f>
        <v/>
      </c>
      <c r="AS118" s="602" t="str">
        <f>IFERROR(VLOOKUP($A118,'IDB C19 Vaccine Projects'!$O$4:$Q$12,3,FALSE),"")</f>
        <v/>
      </c>
      <c r="AT118" s="55"/>
      <c r="AU118" s="88"/>
      <c r="AV118" s="55"/>
      <c r="AW118" s="55"/>
      <c r="AX118" s="88">
        <f>INDEX(USAID!$C$3:$C$151,MATCH('Matrix Allocations'!A118,USAID!$A$3:$A$151,0))</f>
        <v>330000</v>
      </c>
      <c r="AY118" s="110"/>
      <c r="AZ118" s="88" t="str">
        <f>IFERROR(INDEX('[4]Vx All regions allocations'!O$10:O$144,MATCH(A118,'[4]Vx All regions allocations'!A$10:A$144,0)),"")</f>
        <v/>
      </c>
      <c r="BA118" s="88">
        <v>0</v>
      </c>
      <c r="BB118" s="88">
        <v>0</v>
      </c>
      <c r="BC118" s="88" t="str">
        <f>IFERROR(INDEX(DFAT!$K$4:$K$21,MATCH('Matrix Allocations'!A118,DFAT!$B$4:$B$21,0)),"")</f>
        <v/>
      </c>
      <c r="BD118" s="88"/>
      <c r="BE118" s="826" t="str">
        <f>IFERROR(IF(INDEX('GAVI CCE'!$E$3:$E$95,MATCH('Matrix Allocations'!A118,'GAVI CCE'!$A$3:$A$95,0))="Yes",INDEX('GAVI CCE'!$E$3:$E$95,MATCH('Matrix Allocations'!A118,'GAVI CCE'!$A$3:$A$95,0)),""),"")</f>
        <v/>
      </c>
      <c r="BF118" s="88" t="str">
        <f>IFERROR(IF(BE118="Yes",INDEX('GAVI CCE'!$F$3:$F$95,MATCH('Matrix Allocations'!A118,'GAVI CCE'!$A$3:$A$95,0)),""),"")</f>
        <v/>
      </c>
      <c r="BG118" s="609" t="str">
        <f>IFERROR(IF(E118='CDS early access ceilings'!$A$94,(VLOOKUP(A118,'CDS early access ceilings'!$A$2:$D$92,4,FALSE)),""),"")</f>
        <v/>
      </c>
      <c r="BH118" s="639" t="str">
        <f>IFERROR(INDEX(Table14[Status (clean)],MATCH('Matrix Allocations'!A118,Table14[ISO Code],0)),"")</f>
        <v/>
      </c>
      <c r="BI118" s="641" t="str">
        <f>IFERROR(INDEX(Table14[Amount disbursed (USD)],MATCH('Matrix Allocations'!A118,Table14[ISO Code],0)),"")</f>
        <v/>
      </c>
      <c r="BJ118" s="641" t="str">
        <f>IFERROR(INDEX('CDS NBW'!$I$2:$I$39,MATCH(A118,'CDS NBW'!$A$2:$A$39,0)),"")</f>
        <v/>
      </c>
      <c r="BK118" s="641" t="str">
        <f>IFERROR(INDEX('CDS NBW'!$J$2:$J$39,MATCH(A118,'CDS NBW'!$A$2:$A$39,0)),"")</f>
        <v/>
      </c>
      <c r="BL118" s="609"/>
      <c r="BM118" s="609"/>
      <c r="BN118" s="609"/>
      <c r="BO118" s="609"/>
      <c r="BP118" s="609" t="str">
        <f>IFERROR(INDEX('UNICEF-BMZ'!$O$1:$O$199,MATCH('Matrix Allocations'!A118,'UNICEF-BMZ'!$B$1:$B$199,0)),"")</f>
        <v/>
      </c>
      <c r="BQ118" s="609" t="str">
        <f>IFERROR(VLOOKUP(A118,'BMGF_clean data'!$A$4:$C$30,3,FALSE),"")</f>
        <v/>
      </c>
      <c r="BR118" s="609"/>
      <c r="BS118" s="609"/>
      <c r="BT118" s="609"/>
      <c r="BU118" s="609"/>
      <c r="BV118" s="609"/>
      <c r="BW118" s="87">
        <f>INDEX(USAID!$D$3:$D$151,MATCH('Matrix Allocations'!A118,USAID!$A$3:$A$151,0))</f>
        <v>0</v>
      </c>
      <c r="BX118" s="87" t="str">
        <f>IFERROR(INDEX(DFAT!$L$4:$L$21,MATCH('Matrix Allocations'!A118,DFAT!$B$4:$B$21,0)),"")</f>
        <v/>
      </c>
      <c r="BY118" s="87" t="str">
        <f>IFERROR(INDEX(Table14[Funds Channelled through UNICEF],MATCH('Matrix Allocations'!A118,Table14[ISO Code],0)),"")</f>
        <v/>
      </c>
      <c r="BZ118" s="87">
        <f t="shared" si="53"/>
        <v>0</v>
      </c>
      <c r="CA118">
        <f t="shared" si="60"/>
        <v>98340</v>
      </c>
      <c r="CB118" s="782">
        <f t="shared" si="42"/>
        <v>29502</v>
      </c>
      <c r="CC118" s="791">
        <f t="shared" si="37"/>
        <v>330000</v>
      </c>
      <c r="CD118" s="788">
        <f t="shared" si="43"/>
        <v>11.185682326621924</v>
      </c>
      <c r="CE118" s="788">
        <f t="shared" si="44"/>
        <v>8.3892617449664435</v>
      </c>
      <c r="CF118" s="828">
        <f t="shared" si="45"/>
        <v>4.7938638542665393</v>
      </c>
      <c r="CG118" s="828">
        <f t="shared" si="38"/>
        <v>3.3557046979865772</v>
      </c>
      <c r="CH118" s="88">
        <f t="shared" si="61"/>
        <v>0</v>
      </c>
      <c r="CI118" s="88">
        <f t="shared" si="39"/>
        <v>330000</v>
      </c>
      <c r="CJ118" s="742">
        <f t="shared" si="62"/>
        <v>0</v>
      </c>
      <c r="CK118" s="848">
        <f t="shared" si="40"/>
        <v>0</v>
      </c>
      <c r="CL118" s="88">
        <f t="shared" si="41"/>
        <v>0</v>
      </c>
    </row>
    <row r="119" spans="1:90" ht="17.25" customHeight="1">
      <c r="A119" s="57" t="s">
        <v>667</v>
      </c>
      <c r="B119" s="57" t="s">
        <v>269</v>
      </c>
      <c r="C119" s="57" t="s">
        <v>129</v>
      </c>
      <c r="D119" s="57" t="s">
        <v>148</v>
      </c>
      <c r="E119" s="57" t="s">
        <v>145</v>
      </c>
      <c r="F119" s="57"/>
      <c r="G119" s="57" t="str">
        <f t="shared" si="54"/>
        <v>No</v>
      </c>
      <c r="H119" s="57" t="str">
        <f t="shared" si="54"/>
        <v>No</v>
      </c>
      <c r="I119" s="57" t="str">
        <f t="shared" si="57"/>
        <v>No</v>
      </c>
      <c r="J119" s="57" t="str">
        <f t="shared" si="58"/>
        <v>Yes</v>
      </c>
      <c r="K119" s="57" t="str">
        <f t="shared" si="59"/>
        <v>No</v>
      </c>
      <c r="L119" s="62" t="s">
        <v>541</v>
      </c>
      <c r="M119" s="55" t="s">
        <v>544</v>
      </c>
      <c r="N119" s="136" t="s">
        <v>541</v>
      </c>
      <c r="O119" s="57" t="s">
        <v>541</v>
      </c>
      <c r="P119" s="57" t="s">
        <v>542</v>
      </c>
      <c r="Q119" s="57"/>
      <c r="R119" s="57"/>
      <c r="S119" s="956">
        <v>63738640.538260505</v>
      </c>
      <c r="T119" s="55" t="s">
        <v>394</v>
      </c>
      <c r="U119" s="64" t="str">
        <f>IFERROR(IF(VLOOKUP(A119,'WB projects data'!$A$5:$C$83,3,0)="Approved",(VLOOKUP(A119,'WB projects data'!$A$5:$C$83,3,0)),""),"")</f>
        <v>Approved</v>
      </c>
      <c r="V119" s="123">
        <f t="shared" si="55"/>
        <v>26600000</v>
      </c>
      <c r="W119" s="123">
        <f>IFERROR((VLOOKUP($A119,'WB projects data'!$A$5:$J$83,6,0)*1000000),"")</f>
        <v>0</v>
      </c>
      <c r="X119" s="123">
        <f>IFERROR((VLOOKUP($A119,'WB projects data'!$A$5:$J$83,7,0)*1000000),"")</f>
        <v>26600000</v>
      </c>
      <c r="Y119" s="123">
        <f>IFERROR((VLOOKUP($A119,'WB projects data'!$A$5:$J$83,8,0)*1000000),"")</f>
        <v>16399999.999999998</v>
      </c>
      <c r="Z119" s="123">
        <f>IFERROR((VLOOKUP($A119,'WB projects data'!$A$5:$J$83,9,0)*1000000),"")</f>
        <v>8500000</v>
      </c>
      <c r="AA119" s="123">
        <f>IFERROR((VLOOKUP($A119,'WB projects data'!$A$5:$J$83,10,0)*1000000),"")</f>
        <v>1700000</v>
      </c>
      <c r="AB119" s="57"/>
      <c r="AC119" s="110"/>
      <c r="AD119" s="110" t="str">
        <f>IFERROR(VLOOKUP(A119,'ADB Projects'!$A$4:$W$21,5,FALSE),"")</f>
        <v/>
      </c>
      <c r="AE119" s="132" t="str">
        <f>IF(AC119="Approved",(VLOOKUP($A119,'ADB Projects'!$A$5:$D$21,4,0)*1000000),"")</f>
        <v/>
      </c>
      <c r="AF119" s="585" t="str">
        <f>IF(AC119="Approved",(PRODUCT(VLOOKUP($A119,'ADB Projects'!$A$4:$W$21,6,FALSE),1000000)),"")</f>
        <v/>
      </c>
      <c r="AG119" s="585" t="str">
        <f>IF(AC119="Approved",(PRODUCT(VLOOKUP($A119,'ADB Projects'!$A$4:$W$21,7,FALSE),1000000)),"")</f>
        <v/>
      </c>
      <c r="AH119" s="585" t="str">
        <f>IF(AC119="Approved",(PRODUCT(VLOOKUP($A119,'ADB Projects'!$A$4:$W$21,8,FALSE),1000000)),"")</f>
        <v/>
      </c>
      <c r="AI119" s="148"/>
      <c r="AJ119" s="55"/>
      <c r="AK119" s="244"/>
      <c r="AL119" s="148" t="s">
        <v>541</v>
      </c>
      <c r="AM119" s="148"/>
      <c r="AN119" s="148"/>
      <c r="AO119" s="148"/>
      <c r="AP119" s="148"/>
      <c r="AQ119" s="602" t="str">
        <f t="shared" si="56"/>
        <v/>
      </c>
      <c r="AR119" s="602" t="str">
        <f>IFERROR(VLOOKUP($A119,'IDB C19 Vaccine Projects'!$O$4:$Q$12,2,FALSE),"")</f>
        <v/>
      </c>
      <c r="AS119" s="602" t="str">
        <f>IFERROR(VLOOKUP($A119,'IDB C19 Vaccine Projects'!$O$4:$Q$12,3,FALSE),"")</f>
        <v/>
      </c>
      <c r="AT119" s="55"/>
      <c r="AU119" s="88">
        <v>173000</v>
      </c>
      <c r="AV119" s="55"/>
      <c r="AW119" s="88">
        <v>1114766</v>
      </c>
      <c r="AX119" s="88">
        <f>INDEX(USAID!$C$3:$C$151,MATCH('Matrix Allocations'!A119,USAID!$A$3:$A$151,0))</f>
        <v>2000000</v>
      </c>
      <c r="AY119" s="110"/>
      <c r="AZ119" s="88">
        <f>IFERROR(INDEX('[4]Vx All regions allocations'!O$10:O$144,MATCH(A119,'[4]Vx All regions allocations'!A$10:A$144,0)),"")</f>
        <v>472533</v>
      </c>
      <c r="BA119" s="88">
        <v>94500</v>
      </c>
      <c r="BB119" s="88">
        <v>148730</v>
      </c>
      <c r="BC119" s="88" t="str">
        <f>IFERROR(INDEX(DFAT!$K$4:$K$21,MATCH('Matrix Allocations'!A119,DFAT!$B$4:$B$21,0)),"")</f>
        <v/>
      </c>
      <c r="BD119" s="88"/>
      <c r="BE119" s="826" t="str">
        <f>IFERROR(IF(INDEX('GAVI CCE'!$E$3:$E$95,MATCH('Matrix Allocations'!A119,'GAVI CCE'!$A$3:$A$95,0))="Yes",INDEX('GAVI CCE'!$E$3:$E$95,MATCH('Matrix Allocations'!A119,'GAVI CCE'!$A$3:$A$95,0)),""),"")</f>
        <v>Yes</v>
      </c>
      <c r="BF119" s="88">
        <f>IFERROR(IF(BE119="Yes",INDEX('GAVI CCE'!$F$3:$F$95,MATCH('Matrix Allocations'!A119,'GAVI CCE'!$A$3:$A$95,0)),""),"")</f>
        <v>279827</v>
      </c>
      <c r="BG119" s="609" t="str">
        <f>IFERROR(IF(E119='CDS early access ceilings'!$A$94,(VLOOKUP(A119,'CDS early access ceilings'!$A$2:$D$92,4,FALSE)),""),"")</f>
        <v>GAVI</v>
      </c>
      <c r="BH119" s="639" t="str">
        <f>IFERROR(INDEX(Table14[Status (clean)],MATCH('Matrix Allocations'!A119,Table14[ISO Code],0)),"")</f>
        <v>Disbursed</v>
      </c>
      <c r="BI119" s="641">
        <f>IFERROR(INDEX(Table14[Amount disbursed (USD)],MATCH('Matrix Allocations'!A119,Table14[ISO Code],0)),"")</f>
        <v>967687</v>
      </c>
      <c r="BJ119" s="641" t="str">
        <f>IFERROR(INDEX('CDS NBW'!$I$2:$I$39,MATCH(A119,'CDS NBW'!$A$2:$A$39,0)),"")</f>
        <v>Submitted</v>
      </c>
      <c r="BK119" s="641" t="str">
        <f>IFERROR(INDEX('CDS NBW'!$J$2:$J$39,MATCH(A119,'CDS NBW'!$A$2:$A$39,0)),"")</f>
        <v/>
      </c>
      <c r="BL119" s="609"/>
      <c r="BM119" s="609"/>
      <c r="BN119" s="609"/>
      <c r="BO119" s="609">
        <f>472533</f>
        <v>472533</v>
      </c>
      <c r="BP119" s="609">
        <f>IFERROR(INDEX('UNICEF-BMZ'!$O$1:$O$199,MATCH('Matrix Allocations'!A119,'UNICEF-BMZ'!$B$1:$B$199,0)),"")</f>
        <v>215000</v>
      </c>
      <c r="BQ119" s="609" t="str">
        <f>IFERROR(VLOOKUP(A119,'BMGF_clean data'!$A$4:$C$30,3,FALSE),"")</f>
        <v/>
      </c>
      <c r="BR119" s="609"/>
      <c r="BS119" s="609"/>
      <c r="BT119" s="609"/>
      <c r="BU119" s="609">
        <v>2172278.56</v>
      </c>
      <c r="BV119" s="609"/>
      <c r="BW119" s="87">
        <f>INDEX(USAID!$D$3:$D$151,MATCH('Matrix Allocations'!A119,USAID!$A$3:$A$151,0))</f>
        <v>1450000</v>
      </c>
      <c r="BX119" s="87" t="str">
        <f>IFERROR(INDEX(DFAT!$L$4:$L$21,MATCH('Matrix Allocations'!A119,DFAT!$B$4:$B$21,0)),"")</f>
        <v/>
      </c>
      <c r="BY119" s="87">
        <f>IFERROR(INDEX(Table14[Funds Channelled through UNICEF],MATCH('Matrix Allocations'!A119,Table14[ISO Code],0)),"")</f>
        <v>715040</v>
      </c>
      <c r="BZ119" s="87">
        <f t="shared" si="53"/>
        <v>715040</v>
      </c>
      <c r="CA119">
        <f t="shared" si="60"/>
        <v>8141343</v>
      </c>
      <c r="CB119" s="782">
        <f t="shared" si="42"/>
        <v>2442402.9</v>
      </c>
      <c r="CC119" s="791">
        <f t="shared" si="37"/>
        <v>16610854.560000001</v>
      </c>
      <c r="CD119" s="788">
        <f t="shared" si="43"/>
        <v>6.8010296581288863</v>
      </c>
      <c r="CE119" s="788">
        <f t="shared" si="44"/>
        <v>5.1007722435966647</v>
      </c>
      <c r="CF119" s="828">
        <f t="shared" si="45"/>
        <v>2.9147269963409514</v>
      </c>
      <c r="CG119" s="828">
        <f t="shared" si="38"/>
        <v>2.0403088974386661</v>
      </c>
      <c r="CH119" s="88">
        <f t="shared" si="61"/>
        <v>8500000</v>
      </c>
      <c r="CI119" s="88">
        <f t="shared" si="39"/>
        <v>3114766</v>
      </c>
      <c r="CJ119" s="742">
        <f t="shared" si="62"/>
        <v>472533</v>
      </c>
      <c r="CK119" s="848">
        <f t="shared" si="40"/>
        <v>4224872</v>
      </c>
      <c r="CL119" s="88">
        <f t="shared" si="41"/>
        <v>4051022.56</v>
      </c>
    </row>
    <row r="120" spans="1:90" ht="17.25" customHeight="1">
      <c r="A120" s="57" t="s">
        <v>668</v>
      </c>
      <c r="B120" s="57" t="s">
        <v>270</v>
      </c>
      <c r="C120" s="57" t="s">
        <v>126</v>
      </c>
      <c r="D120" s="57" t="s">
        <v>150</v>
      </c>
      <c r="E120" s="57" t="s">
        <v>145</v>
      </c>
      <c r="F120" s="57"/>
      <c r="G120" s="57" t="str">
        <f t="shared" si="54"/>
        <v>No</v>
      </c>
      <c r="H120" s="57" t="str">
        <f t="shared" si="54"/>
        <v>No</v>
      </c>
      <c r="I120" s="57" t="str">
        <f t="shared" si="57"/>
        <v>No</v>
      </c>
      <c r="J120" s="57" t="str">
        <f t="shared" si="58"/>
        <v>Yes</v>
      </c>
      <c r="K120" s="57" t="str">
        <f t="shared" si="59"/>
        <v>No</v>
      </c>
      <c r="L120" s="62" t="s">
        <v>541</v>
      </c>
      <c r="M120" s="55" t="s">
        <v>544</v>
      </c>
      <c r="N120" s="136" t="s">
        <v>541</v>
      </c>
      <c r="O120" s="57" t="s">
        <v>544</v>
      </c>
      <c r="P120" s="57" t="s">
        <v>562</v>
      </c>
      <c r="Q120" s="57" t="s">
        <v>541</v>
      </c>
      <c r="R120" s="57"/>
      <c r="S120" s="956">
        <v>49012774.055630356</v>
      </c>
      <c r="T120" s="55" t="s">
        <v>394</v>
      </c>
      <c r="U120" s="64" t="str">
        <f>IFERROR(IF(VLOOKUP(A120,'WB projects data'!$A$5:$C$83,3,0)="Approved",(VLOOKUP(A120,'WB projects data'!$A$5:$C$83,3,0)),""),"")</f>
        <v/>
      </c>
      <c r="V120" s="123" t="str">
        <f t="shared" si="55"/>
        <v/>
      </c>
      <c r="W120" s="123" t="str">
        <f>IFERROR((VLOOKUP($A120,'WB projects data'!$A$5:$J$83,6,0)*1000000),"")</f>
        <v/>
      </c>
      <c r="X120" s="123" t="str">
        <f>IFERROR((VLOOKUP($A120,'WB projects data'!$A$5:$J$83,7,0)*1000000),"")</f>
        <v/>
      </c>
      <c r="Y120" s="123" t="str">
        <f>IFERROR((VLOOKUP($A120,'WB projects data'!$A$5:$J$83,8,0)*1000000),"")</f>
        <v/>
      </c>
      <c r="Z120" s="123" t="str">
        <f>IFERROR((VLOOKUP($A120,'WB projects data'!$A$5:$J$83,9,0)*1000000),"")</f>
        <v/>
      </c>
      <c r="AA120" s="123" t="str">
        <f>IFERROR((VLOOKUP($A120,'WB projects data'!$A$5:$J$83,10,0)*1000000),"")</f>
        <v/>
      </c>
      <c r="AB120" s="57" t="s">
        <v>541</v>
      </c>
      <c r="AC120" s="110"/>
      <c r="AD120" s="110" t="str">
        <f>IFERROR(VLOOKUP(A120,'ADB Projects'!$A$4:$W$21,5,FALSE),"")</f>
        <v/>
      </c>
      <c r="AE120" s="132" t="str">
        <f>IF(AC120="Approved",(VLOOKUP($A120,'ADB Projects'!$A$5:$D$21,4,0)*1000000),"")</f>
        <v/>
      </c>
      <c r="AF120" s="585" t="str">
        <f>IF(AC120="Approved",(PRODUCT(VLOOKUP($A120,'ADB Projects'!$A$4:$W$21,6,FALSE),1000000)),"")</f>
        <v/>
      </c>
      <c r="AG120" s="585" t="str">
        <f>IF(AC120="Approved",(PRODUCT(VLOOKUP($A120,'ADB Projects'!$A$4:$W$21,7,FALSE),1000000)),"")</f>
        <v/>
      </c>
      <c r="AH120" s="585" t="str">
        <f>IF(AC120="Approved",(PRODUCT(VLOOKUP($A120,'ADB Projects'!$A$4:$W$21,8,FALSE),1000000)),"")</f>
        <v/>
      </c>
      <c r="AI120" s="55"/>
      <c r="AJ120" s="55"/>
      <c r="AK120" s="244"/>
      <c r="AL120" s="55"/>
      <c r="AM120" s="55"/>
      <c r="AN120" s="55"/>
      <c r="AO120" s="55"/>
      <c r="AP120" s="55"/>
      <c r="AQ120" s="602" t="str">
        <f t="shared" si="56"/>
        <v/>
      </c>
      <c r="AR120" s="602" t="str">
        <f>IFERROR(VLOOKUP($A120,'IDB C19 Vaccine Projects'!$O$4:$Q$12,2,FALSE),"")</f>
        <v/>
      </c>
      <c r="AS120" s="602" t="str">
        <f>IFERROR(VLOOKUP($A120,'IDB C19 Vaccine Projects'!$O$4:$Q$12,3,FALSE),"")</f>
        <v/>
      </c>
      <c r="AT120" s="55"/>
      <c r="AU120" s="88"/>
      <c r="AV120" s="55"/>
      <c r="AW120" s="55"/>
      <c r="AX120" s="88" t="str">
        <f>INDEX(USAID!$C$3:$C$151,MATCH('Matrix Allocations'!A120,USAID!$A$3:$A$151,0))</f>
        <v/>
      </c>
      <c r="AY120" s="110">
        <v>3316389</v>
      </c>
      <c r="AZ120" s="88">
        <f>IFERROR(INDEX('[4]Vx All regions allocations'!O$10:O$144,MATCH(A120,'[4]Vx All regions allocations'!A$10:A$144,0)),"")</f>
        <v>0</v>
      </c>
      <c r="BA120" s="88">
        <v>151000</v>
      </c>
      <c r="BB120" s="88">
        <v>93090</v>
      </c>
      <c r="BC120" s="88">
        <f>IFERROR(INDEX(DFAT!$K$4:$K$21,MATCH('Matrix Allocations'!A120,DFAT!$B$4:$B$21,0)),"")</f>
        <v>0</v>
      </c>
      <c r="BD120" s="742">
        <v>107682</v>
      </c>
      <c r="BE120" s="826" t="str">
        <f>IFERROR(IF(INDEX('GAVI CCE'!$E$3:$E$95,MATCH('Matrix Allocations'!A120,'GAVI CCE'!$A$3:$A$95,0))="Yes",INDEX('GAVI CCE'!$E$3:$E$95,MATCH('Matrix Allocations'!A120,'GAVI CCE'!$A$3:$A$95,0)),""),"")</f>
        <v/>
      </c>
      <c r="BF120" s="88" t="str">
        <f>IFERROR(IF(BE120="Yes",INDEX('GAVI CCE'!$F$3:$F$95,MATCH('Matrix Allocations'!A120,'GAVI CCE'!$A$3:$A$95,0)),""),"")</f>
        <v/>
      </c>
      <c r="BG120" s="609" t="str">
        <f>IFERROR(IF(E120='CDS early access ceilings'!$A$94,(VLOOKUP(A120,'CDS early access ceilings'!$A$2:$D$92,4,FALSE)),""),"")</f>
        <v>GAVI</v>
      </c>
      <c r="BH120" s="639" t="str">
        <f>IFERROR(INDEX(Table14[Status (clean)],MATCH('Matrix Allocations'!A120,Table14[ISO Code],0)),"")</f>
        <v/>
      </c>
      <c r="BI120" s="641" t="str">
        <f>IFERROR(INDEX(Table14[Amount disbursed (USD)],MATCH('Matrix Allocations'!A120,Table14[ISO Code],0)),"")</f>
        <v/>
      </c>
      <c r="BJ120" s="641" t="str">
        <f>IFERROR(INDEX('CDS NBW'!$I$2:$I$39,MATCH(A120,'CDS NBW'!$A$2:$A$39,0)),"")</f>
        <v/>
      </c>
      <c r="BK120" s="641" t="str">
        <f>IFERROR(INDEX('CDS NBW'!$J$2:$J$39,MATCH(A120,'CDS NBW'!$A$2:$A$39,0)),"")</f>
        <v/>
      </c>
      <c r="BL120" s="609"/>
      <c r="BM120" s="609"/>
      <c r="BN120" s="609"/>
      <c r="BO120" s="609"/>
      <c r="BP120" s="609">
        <f>IFERROR(INDEX('UNICEF-BMZ'!$O$1:$O$199,MATCH('Matrix Allocations'!A120,'UNICEF-BMZ'!$B$1:$B$199,0)),"")</f>
        <v>75200</v>
      </c>
      <c r="BQ120" s="609" t="str">
        <f>IFERROR(VLOOKUP(A120,'BMGF_clean data'!$A$4:$C$30,3,FALSE),"")</f>
        <v/>
      </c>
      <c r="BR120" s="609"/>
      <c r="BS120" s="609"/>
      <c r="BT120" s="609"/>
      <c r="BU120" s="609"/>
      <c r="BV120" s="609"/>
      <c r="BW120" s="87">
        <f>INDEX(USAID!$D$3:$D$151,MATCH('Matrix Allocations'!A120,USAID!$A$3:$A$151,0))</f>
        <v>0</v>
      </c>
      <c r="BX120" s="87">
        <f>IFERROR(INDEX(DFAT!$L$4:$L$21,MATCH('Matrix Allocations'!A120,DFAT!$B$4:$B$21,0)),"")</f>
        <v>0</v>
      </c>
      <c r="BY120" s="87" t="str">
        <f>IFERROR(INDEX(Table14[Funds Channelled through UNICEF],MATCH('Matrix Allocations'!A120,Table14[ISO Code],0)),"")</f>
        <v/>
      </c>
      <c r="BZ120" s="87">
        <f t="shared" si="53"/>
        <v>0</v>
      </c>
      <c r="CA120">
        <f t="shared" si="60"/>
        <v>703995</v>
      </c>
      <c r="CB120" s="782">
        <f t="shared" si="42"/>
        <v>211198.5</v>
      </c>
      <c r="CC120" s="791">
        <f t="shared" si="37"/>
        <v>3743361</v>
      </c>
      <c r="CD120" s="788">
        <f t="shared" si="43"/>
        <v>17.724373042422176</v>
      </c>
      <c r="CE120" s="788">
        <f t="shared" si="44"/>
        <v>13.293279781816633</v>
      </c>
      <c r="CF120" s="828">
        <f t="shared" si="45"/>
        <v>7.5961598753237904</v>
      </c>
      <c r="CG120" s="828">
        <f t="shared" si="38"/>
        <v>5.3173119127266526</v>
      </c>
      <c r="CH120" s="88">
        <f t="shared" si="61"/>
        <v>0</v>
      </c>
      <c r="CI120" s="88">
        <f t="shared" si="39"/>
        <v>3424071</v>
      </c>
      <c r="CJ120" s="742">
        <f t="shared" si="62"/>
        <v>0</v>
      </c>
      <c r="CK120" s="848">
        <f t="shared" si="40"/>
        <v>3424071</v>
      </c>
      <c r="CL120" s="88">
        <f t="shared" si="41"/>
        <v>319290</v>
      </c>
    </row>
    <row r="121" spans="1:90" ht="17.25" customHeight="1">
      <c r="A121" s="57" t="s">
        <v>669</v>
      </c>
      <c r="B121" s="57" t="s">
        <v>271</v>
      </c>
      <c r="C121" s="57" t="s">
        <v>128</v>
      </c>
      <c r="D121" s="57" t="s">
        <v>148</v>
      </c>
      <c r="E121" s="57" t="s">
        <v>145</v>
      </c>
      <c r="F121" s="57">
        <v>1</v>
      </c>
      <c r="G121" s="57" t="str">
        <f t="shared" ref="G121:H140" si="63">IF($T121="IBRD","Yes","No")</f>
        <v>No</v>
      </c>
      <c r="H121" s="57" t="str">
        <f t="shared" si="63"/>
        <v>No</v>
      </c>
      <c r="I121" s="57" t="str">
        <f t="shared" si="57"/>
        <v>No</v>
      </c>
      <c r="J121" s="57" t="str">
        <f t="shared" si="58"/>
        <v>Yes</v>
      </c>
      <c r="K121" s="57" t="str">
        <f t="shared" si="59"/>
        <v>No</v>
      </c>
      <c r="L121" s="62" t="s">
        <v>541</v>
      </c>
      <c r="M121" s="55" t="s">
        <v>544</v>
      </c>
      <c r="N121" s="136" t="s">
        <v>541</v>
      </c>
      <c r="O121" s="57" t="s">
        <v>544</v>
      </c>
      <c r="P121" s="57" t="s">
        <v>583</v>
      </c>
      <c r="Q121" s="57" t="s">
        <v>541</v>
      </c>
      <c r="R121" s="57"/>
      <c r="S121" s="956" t="s">
        <v>575</v>
      </c>
      <c r="T121" s="55" t="s">
        <v>394</v>
      </c>
      <c r="U121" s="64" t="str">
        <f>IFERROR(IF(VLOOKUP(A121,'WB projects data'!$A$5:$C$83,3,0)="Approved",(VLOOKUP(A121,'WB projects data'!$A$5:$C$83,3,0)),""),"")</f>
        <v>Approved</v>
      </c>
      <c r="V121" s="123">
        <f t="shared" si="55"/>
        <v>45000000</v>
      </c>
      <c r="W121" s="123">
        <f>IFERROR((VLOOKUP($A121,'WB projects data'!$A$5:$J$83,6,0)*1000000),"")</f>
        <v>0</v>
      </c>
      <c r="X121" s="123">
        <f>IFERROR((VLOOKUP($A121,'WB projects data'!$A$5:$J$83,7,0)*1000000),"")</f>
        <v>45000000</v>
      </c>
      <c r="Y121" s="123">
        <f>IFERROR((VLOOKUP($A121,'WB projects data'!$A$5:$J$83,8,0)*1000000),"")</f>
        <v>13000000</v>
      </c>
      <c r="Z121" s="123">
        <f>IFERROR((VLOOKUP($A121,'WB projects data'!$A$5:$J$83,9,0)*1000000),"")</f>
        <v>18000000</v>
      </c>
      <c r="AA121" s="123">
        <f>IFERROR((VLOOKUP($A121,'WB projects data'!$A$5:$J$83,10,0)*1000000),"")</f>
        <v>14000000</v>
      </c>
      <c r="AB121" s="57"/>
      <c r="AC121" s="110"/>
      <c r="AD121" s="110" t="str">
        <f>IFERROR(VLOOKUP(A121,'ADB Projects'!$A$4:$W$21,5,FALSE),"")</f>
        <v/>
      </c>
      <c r="AE121" s="132" t="str">
        <f>IF(AC121="Approved",(VLOOKUP($A121,'ADB Projects'!$A$5:$D$21,4,0)*1000000),"")</f>
        <v/>
      </c>
      <c r="AF121" s="585" t="str">
        <f>IF(AC121="Approved",(PRODUCT(VLOOKUP($A121,'ADB Projects'!$A$4:$W$21,6,FALSE),1000000)),"")</f>
        <v/>
      </c>
      <c r="AG121" s="585" t="str">
        <f>IF(AC121="Approved",(PRODUCT(VLOOKUP($A121,'ADB Projects'!$A$4:$W$21,7,FALSE),1000000)),"")</f>
        <v/>
      </c>
      <c r="AH121" s="585" t="str">
        <f>IF(AC121="Approved",(PRODUCT(VLOOKUP($A121,'ADB Projects'!$A$4:$W$21,8,FALSE),1000000)),"")</f>
        <v/>
      </c>
      <c r="AI121" s="148"/>
      <c r="AJ121" s="55"/>
      <c r="AK121" s="244"/>
      <c r="AL121" s="148" t="s">
        <v>541</v>
      </c>
      <c r="AM121" s="148"/>
      <c r="AN121" s="148"/>
      <c r="AO121" s="148"/>
      <c r="AP121" s="148"/>
      <c r="AQ121" s="602" t="str">
        <f t="shared" si="56"/>
        <v/>
      </c>
      <c r="AR121" s="602" t="str">
        <f>IFERROR(VLOOKUP($A121,'IDB C19 Vaccine Projects'!$O$4:$Q$12,2,FALSE),"")</f>
        <v/>
      </c>
      <c r="AS121" s="602" t="str">
        <f>IFERROR(VLOOKUP($A121,'IDB C19 Vaccine Projects'!$O$4:$Q$12,3,FALSE),"")</f>
        <v/>
      </c>
      <c r="AT121" s="55"/>
      <c r="AU121" s="88">
        <v>995840</v>
      </c>
      <c r="AV121" s="55"/>
      <c r="AW121" s="55" t="s">
        <v>541</v>
      </c>
      <c r="AX121" s="88">
        <f>INDEX(USAID!$C$3:$C$151,MATCH('Matrix Allocations'!A121,USAID!$A$3:$A$151,0))</f>
        <v>1500000</v>
      </c>
      <c r="AY121" s="110">
        <v>815580</v>
      </c>
      <c r="AZ121" s="88">
        <f>IFERROR(INDEX('[4]Vx All regions allocations'!O$10:O$144,MATCH(A121,'[4]Vx All regions allocations'!A$10:A$144,0)),"")</f>
        <v>2015014</v>
      </c>
      <c r="BA121" s="88">
        <v>499062.40740740742</v>
      </c>
      <c r="BB121" s="88">
        <v>557990.22</v>
      </c>
      <c r="BC121" s="88" t="str">
        <f>IFERROR(INDEX(DFAT!$K$4:$K$21,MATCH('Matrix Allocations'!A121,DFAT!$B$4:$B$21,0)),"")</f>
        <v/>
      </c>
      <c r="BD121" s="88"/>
      <c r="BE121" s="826" t="str">
        <f>IFERROR(IF(INDEX('GAVI CCE'!$E$3:$E$95,MATCH('Matrix Allocations'!A121,'GAVI CCE'!$A$3:$A$95,0))="Yes",INDEX('GAVI CCE'!$E$3:$E$95,MATCH('Matrix Allocations'!A121,'GAVI CCE'!$A$3:$A$95,0)),""),"")</f>
        <v>Yes</v>
      </c>
      <c r="BF121" s="88">
        <f>IFERROR(IF(BE121="Yes",INDEX('GAVI CCE'!$F$3:$F$95,MATCH('Matrix Allocations'!A121,'GAVI CCE'!$A$3:$A$95,0)),""),"")</f>
        <v>455449</v>
      </c>
      <c r="BG121" s="609" t="str">
        <f>IFERROR(IF(E121='CDS early access ceilings'!$A$94,(VLOOKUP(A121,'CDS early access ceilings'!$A$2:$D$92,4,FALSE)),""),"")</f>
        <v>GAVI</v>
      </c>
      <c r="BH121" s="639" t="str">
        <f>IFERROR(INDEX(Table14[Status (clean)],MATCH('Matrix Allocations'!A121,Table14[ISO Code],0)),"")</f>
        <v>Disbursed</v>
      </c>
      <c r="BI121" s="641">
        <f>IFERROR(INDEX(Table14[Amount disbursed (USD)],MATCH('Matrix Allocations'!A121,Table14[ISO Code],0)),"")</f>
        <v>5100000</v>
      </c>
      <c r="BJ121" s="641" t="str">
        <f>IFERROR(INDEX('CDS NBW'!$I$2:$I$39,MATCH(A121,'CDS NBW'!$A$2:$A$39,0)),"")</f>
        <v>Not yet submitted</v>
      </c>
      <c r="BK121" s="641" t="str">
        <f>IFERROR(INDEX('CDS NBW'!$J$2:$J$39,MATCH(A121,'CDS NBW'!$A$2:$A$39,0)),"")</f>
        <v/>
      </c>
      <c r="BL121" s="609"/>
      <c r="BM121" s="609"/>
      <c r="BN121" s="609"/>
      <c r="BO121" s="609">
        <v>345491</v>
      </c>
      <c r="BP121" s="609">
        <f>IFERROR(INDEX('UNICEF-BMZ'!$O$1:$O$199,MATCH('Matrix Allocations'!A121,'UNICEF-BMZ'!$B$1:$B$199,0)),"")</f>
        <v>3077980</v>
      </c>
      <c r="BQ121" s="609" t="str">
        <f>IFERROR(VLOOKUP(A121,'BMGF_clean data'!$A$4:$C$30,3,FALSE),"")</f>
        <v/>
      </c>
      <c r="BR121" s="609"/>
      <c r="BS121" s="609"/>
      <c r="BT121" s="609"/>
      <c r="BU121" s="609"/>
      <c r="BV121" s="609"/>
      <c r="BW121" s="87">
        <f>INDEX(USAID!$D$3:$D$151,MATCH('Matrix Allocations'!A121,USAID!$A$3:$A$151,0))</f>
        <v>1500000</v>
      </c>
      <c r="BX121" s="87" t="str">
        <f>IFERROR(INDEX(DFAT!$L$4:$L$21,MATCH('Matrix Allocations'!A121,DFAT!$B$4:$B$21,0)),"")</f>
        <v/>
      </c>
      <c r="BY121" s="87">
        <f>IFERROR(INDEX(Table14[Funds Channelled through UNICEF],MATCH('Matrix Allocations'!A121,Table14[ISO Code],0)),"")</f>
        <v>2620776</v>
      </c>
      <c r="BZ121" s="87">
        <f t="shared" si="53"/>
        <v>2620776</v>
      </c>
      <c r="CA121">
        <f t="shared" si="60"/>
        <v>16359500</v>
      </c>
      <c r="CB121" s="782">
        <f t="shared" si="42"/>
        <v>4907850</v>
      </c>
      <c r="CC121" s="791">
        <f t="shared" si="37"/>
        <v>33362406.627407409</v>
      </c>
      <c r="CD121" s="788">
        <f t="shared" si="43"/>
        <v>6.797764118179531</v>
      </c>
      <c r="CE121" s="788">
        <f t="shared" si="44"/>
        <v>5.0983230886346478</v>
      </c>
      <c r="CF121" s="828">
        <f t="shared" si="45"/>
        <v>2.9133274792197987</v>
      </c>
      <c r="CG121" s="828">
        <f t="shared" si="38"/>
        <v>2.039329235453859</v>
      </c>
      <c r="CH121" s="88">
        <f t="shared" si="61"/>
        <v>18000000</v>
      </c>
      <c r="CI121" s="88">
        <f t="shared" si="39"/>
        <v>2315580</v>
      </c>
      <c r="CJ121" s="742">
        <f t="shared" si="62"/>
        <v>345491</v>
      </c>
      <c r="CK121" s="848">
        <f t="shared" si="40"/>
        <v>7296861</v>
      </c>
      <c r="CL121" s="88">
        <f t="shared" si="41"/>
        <v>10686321.627407407</v>
      </c>
    </row>
    <row r="122" spans="1:90" ht="17.25" customHeight="1">
      <c r="A122" s="57" t="s">
        <v>670</v>
      </c>
      <c r="B122" s="57" t="s">
        <v>272</v>
      </c>
      <c r="C122" s="57" t="s">
        <v>128</v>
      </c>
      <c r="D122" s="57" t="s">
        <v>152</v>
      </c>
      <c r="E122" s="57" t="s">
        <v>146</v>
      </c>
      <c r="F122" s="57"/>
      <c r="G122" s="57" t="str">
        <f t="shared" si="63"/>
        <v>Yes</v>
      </c>
      <c r="H122" s="57" t="str">
        <f t="shared" si="63"/>
        <v>Yes</v>
      </c>
      <c r="I122" s="57" t="str">
        <f t="shared" si="57"/>
        <v>No</v>
      </c>
      <c r="J122" s="57" t="str">
        <f t="shared" si="58"/>
        <v>No</v>
      </c>
      <c r="K122" s="57" t="str">
        <f t="shared" si="59"/>
        <v>Yes</v>
      </c>
      <c r="L122" s="62" t="s">
        <v>541</v>
      </c>
      <c r="M122" s="55" t="s">
        <v>544</v>
      </c>
      <c r="N122" s="136" t="s">
        <v>544</v>
      </c>
      <c r="O122" s="57" t="s">
        <v>544</v>
      </c>
      <c r="P122" s="57" t="s">
        <v>546</v>
      </c>
      <c r="Q122" s="57"/>
      <c r="R122" s="57"/>
      <c r="S122" s="956">
        <v>16429121142.784708</v>
      </c>
      <c r="T122" s="55" t="s">
        <v>395</v>
      </c>
      <c r="U122" s="64" t="str">
        <f>IFERROR(IF(VLOOKUP(A122,'WB projects data'!$A$5:$C$83,3,0)="Approved",(VLOOKUP(A122,'WB projects data'!$A$5:$C$83,3,0)),""),"")</f>
        <v/>
      </c>
      <c r="V122" s="123">
        <f t="shared" si="55"/>
        <v>0</v>
      </c>
      <c r="W122" s="123">
        <f>IFERROR((VLOOKUP($A122,'WB projects data'!$A$5:$J$83,6,0)*1000000),"")</f>
        <v>0</v>
      </c>
      <c r="X122" s="123">
        <f>IFERROR((VLOOKUP($A122,'WB projects data'!$A$5:$J$83,7,0)*1000000),"")</f>
        <v>0</v>
      </c>
      <c r="Y122" s="123">
        <f>IFERROR((VLOOKUP($A122,'WB projects data'!$A$5:$J$83,8,0)*1000000),"")</f>
        <v>0</v>
      </c>
      <c r="Z122" s="123">
        <f>IFERROR((VLOOKUP($A122,'WB projects data'!$A$5:$J$83,9,0)*1000000),"")</f>
        <v>0</v>
      </c>
      <c r="AA122" s="123">
        <f>IFERROR((VLOOKUP($A122,'WB projects data'!$A$5:$J$83,10,0)*1000000),"")</f>
        <v>0</v>
      </c>
      <c r="AB122" s="57"/>
      <c r="AC122" s="110"/>
      <c r="AD122" s="110" t="str">
        <f>IFERROR(VLOOKUP(A122,'ADB Projects'!$A$4:$W$21,5,FALSE),"")</f>
        <v/>
      </c>
      <c r="AE122" s="132" t="str">
        <f>IF(AC122="Approved",(VLOOKUP($A122,'ADB Projects'!$A$5:$D$21,4,0)*1000000),"")</f>
        <v/>
      </c>
      <c r="AF122" s="585" t="str">
        <f>IF(AC122="Approved",(PRODUCT(VLOOKUP($A122,'ADB Projects'!$A$4:$W$21,6,FALSE),1000000)),"")</f>
        <v/>
      </c>
      <c r="AG122" s="585" t="str">
        <f>IF(AC122="Approved",(PRODUCT(VLOOKUP($A122,'ADB Projects'!$A$4:$W$21,7,FALSE),1000000)),"")</f>
        <v/>
      </c>
      <c r="AH122" s="585" t="str">
        <f>IF(AC122="Approved",(PRODUCT(VLOOKUP($A122,'ADB Projects'!$A$4:$W$21,8,FALSE),1000000)),"")</f>
        <v/>
      </c>
      <c r="AI122" s="148"/>
      <c r="AJ122" s="55"/>
      <c r="AK122" s="244"/>
      <c r="AL122" s="148" t="s">
        <v>541</v>
      </c>
      <c r="AM122" s="148"/>
      <c r="AN122" s="148"/>
      <c r="AO122" s="148"/>
      <c r="AP122" s="148"/>
      <c r="AQ122" s="602" t="str">
        <f t="shared" si="56"/>
        <v/>
      </c>
      <c r="AR122" s="602" t="str">
        <f>IFERROR(VLOOKUP($A122,'IDB C19 Vaccine Projects'!$O$4:$Q$12,2,FALSE),"")</f>
        <v/>
      </c>
      <c r="AS122" s="602" t="str">
        <f>IFERROR(VLOOKUP($A122,'IDB C19 Vaccine Projects'!$O$4:$Q$12,3,FALSE),"")</f>
        <v/>
      </c>
      <c r="AT122" s="55"/>
      <c r="AU122" s="88"/>
      <c r="AV122" s="55"/>
      <c r="AW122" s="55"/>
      <c r="AX122" s="88">
        <f>INDEX(USAID!$C$3:$C$151,MATCH('Matrix Allocations'!A122,USAID!$A$3:$A$151,0))</f>
        <v>10000000</v>
      </c>
      <c r="AY122" s="110"/>
      <c r="AZ122" s="88">
        <f>IFERROR(INDEX('[4]Vx All regions allocations'!O$10:O$144,MATCH(A122,'[4]Vx All regions allocations'!A$10:A$144,0)),"")</f>
        <v>1872229</v>
      </c>
      <c r="BA122" s="88">
        <v>0</v>
      </c>
      <c r="BB122" s="88">
        <v>0</v>
      </c>
      <c r="BC122" s="88" t="str">
        <f>IFERROR(INDEX(DFAT!$K$4:$K$21,MATCH('Matrix Allocations'!A122,DFAT!$B$4:$B$21,0)),"")</f>
        <v/>
      </c>
      <c r="BD122" s="88"/>
      <c r="BE122" s="826" t="str">
        <f>IFERROR(IF(INDEX('GAVI CCE'!$E$3:$E$95,MATCH('Matrix Allocations'!A122,'GAVI CCE'!$A$3:$A$95,0))="Yes",INDEX('GAVI CCE'!$E$3:$E$95,MATCH('Matrix Allocations'!A122,'GAVI CCE'!$A$3:$A$95,0)),""),"")</f>
        <v/>
      </c>
      <c r="BF122" s="88" t="str">
        <f>IFERROR(IF(BE122="Yes",INDEX('GAVI CCE'!$F$3:$F$95,MATCH('Matrix Allocations'!A122,'GAVI CCE'!$A$3:$A$95,0)),""),"")</f>
        <v/>
      </c>
      <c r="BG122" s="609" t="str">
        <f>IFERROR(IF(E122='CDS early access ceilings'!$A$94,(VLOOKUP(A122,'CDS early access ceilings'!$A$2:$D$92,4,FALSE)),""),"")</f>
        <v/>
      </c>
      <c r="BH122" s="639" t="str">
        <f>IFERROR(INDEX(Table14[Status (clean)],MATCH('Matrix Allocations'!A122,Table14[ISO Code],0)),"")</f>
        <v/>
      </c>
      <c r="BI122" s="641" t="str">
        <f>IFERROR(INDEX(Table14[Amount disbursed (USD)],MATCH('Matrix Allocations'!A122,Table14[ISO Code],0)),"")</f>
        <v/>
      </c>
      <c r="BJ122" s="641" t="str">
        <f>IFERROR(INDEX('CDS NBW'!$I$2:$I$39,MATCH(A122,'CDS NBW'!$A$2:$A$39,0)),"")</f>
        <v/>
      </c>
      <c r="BK122" s="641" t="str">
        <f>IFERROR(INDEX('CDS NBW'!$J$2:$J$39,MATCH(A122,'CDS NBW'!$A$2:$A$39,0)),"")</f>
        <v/>
      </c>
      <c r="BL122" s="609"/>
      <c r="BM122" s="609"/>
      <c r="BN122" s="609"/>
      <c r="BO122" s="609">
        <v>555556</v>
      </c>
      <c r="BP122" s="609">
        <f>IFERROR(INDEX('UNICEF-BMZ'!$O$1:$O$199,MATCH('Matrix Allocations'!A122,'UNICEF-BMZ'!$B$1:$B$199,0)),"")</f>
        <v>0</v>
      </c>
      <c r="BQ122" s="609">
        <f>IFERROR(VLOOKUP(A122,'BMGF_clean data'!$A$4:$C$30,3,FALSE),"")</f>
        <v>987000</v>
      </c>
      <c r="BR122" s="609"/>
      <c r="BS122" s="609"/>
      <c r="BT122" s="609"/>
      <c r="BU122" s="609"/>
      <c r="BV122" s="609"/>
      <c r="BW122" s="87">
        <f>INDEX(USAID!$D$3:$D$151,MATCH('Matrix Allocations'!A122,USAID!$A$3:$A$151,0))</f>
        <v>0</v>
      </c>
      <c r="BX122" s="87" t="str">
        <f>IFERROR(INDEX(DFAT!$L$4:$L$21,MATCH('Matrix Allocations'!A122,DFAT!$B$4:$B$21,0)),"")</f>
        <v/>
      </c>
      <c r="BY122" s="87" t="str">
        <f>IFERROR(INDEX(Table14[Funds Channelled through UNICEF],MATCH('Matrix Allocations'!A122,Table14[ISO Code],0)),"")</f>
        <v/>
      </c>
      <c r="BZ122" s="87">
        <f t="shared" si="53"/>
        <v>0</v>
      </c>
      <c r="CA122">
        <f t="shared" si="60"/>
        <v>60041996</v>
      </c>
      <c r="CB122" s="782">
        <f t="shared" si="42"/>
        <v>18012598.800000001</v>
      </c>
      <c r="CC122" s="791">
        <f t="shared" si="37"/>
        <v>13414785</v>
      </c>
      <c r="CD122" s="788">
        <f t="shared" si="43"/>
        <v>0.74474456178971793</v>
      </c>
      <c r="CE122" s="788">
        <f t="shared" si="44"/>
        <v>0.55855842134228839</v>
      </c>
      <c r="CF122" s="828">
        <f t="shared" si="45"/>
        <v>0.319176240767022</v>
      </c>
      <c r="CG122" s="828">
        <f t="shared" si="38"/>
        <v>0.22342336853691538</v>
      </c>
      <c r="CH122" s="88">
        <f t="shared" si="61"/>
        <v>0</v>
      </c>
      <c r="CI122" s="88">
        <f t="shared" si="39"/>
        <v>10000000</v>
      </c>
      <c r="CJ122" s="742">
        <f t="shared" si="62"/>
        <v>1542556</v>
      </c>
      <c r="CK122" s="848">
        <f t="shared" si="40"/>
        <v>2427785</v>
      </c>
      <c r="CL122" s="88">
        <f t="shared" si="41"/>
        <v>0</v>
      </c>
    </row>
    <row r="123" spans="1:90" ht="17.25" customHeight="1">
      <c r="A123" s="57" t="s">
        <v>671</v>
      </c>
      <c r="B123" s="57" t="s">
        <v>273</v>
      </c>
      <c r="C123" s="57" t="s">
        <v>128</v>
      </c>
      <c r="D123" s="57" t="s">
        <v>148</v>
      </c>
      <c r="E123" s="57" t="s">
        <v>145</v>
      </c>
      <c r="F123" s="57">
        <v>1</v>
      </c>
      <c r="G123" s="57" t="str">
        <f t="shared" si="63"/>
        <v>No</v>
      </c>
      <c r="H123" s="57" t="str">
        <f t="shared" si="63"/>
        <v>No</v>
      </c>
      <c r="I123" s="57" t="str">
        <f t="shared" si="57"/>
        <v>No</v>
      </c>
      <c r="J123" s="57" t="str">
        <f t="shared" si="58"/>
        <v>Yes</v>
      </c>
      <c r="K123" s="57" t="str">
        <f t="shared" si="59"/>
        <v>No</v>
      </c>
      <c r="L123" s="62" t="s">
        <v>541</v>
      </c>
      <c r="M123" s="55" t="s">
        <v>544</v>
      </c>
      <c r="N123" s="136" t="s">
        <v>541</v>
      </c>
      <c r="O123" s="57" t="s">
        <v>544</v>
      </c>
      <c r="P123" s="57" t="s">
        <v>542</v>
      </c>
      <c r="Q123" s="57" t="s">
        <v>541</v>
      </c>
      <c r="R123" s="57"/>
      <c r="S123" s="956">
        <v>31684581.76217727</v>
      </c>
      <c r="T123" s="55" t="s">
        <v>394</v>
      </c>
      <c r="U123" s="64" t="str">
        <f>IFERROR(IF(VLOOKUP(A123,'WB projects data'!$A$5:$C$83,3,0)="Approved",(VLOOKUP(A123,'WB projects data'!$A$5:$C$83,3,0)),""),"")</f>
        <v>Approved</v>
      </c>
      <c r="V123" s="123">
        <f t="shared" si="55"/>
        <v>63900000</v>
      </c>
      <c r="W123" s="123">
        <f>IFERROR((VLOOKUP($A123,'WB projects data'!$A$5:$J$83,6,0)*1000000),"")</f>
        <v>0</v>
      </c>
      <c r="X123" s="123">
        <f>IFERROR((VLOOKUP($A123,'WB projects data'!$A$5:$J$83,7,0)*1000000),"")</f>
        <v>63900000</v>
      </c>
      <c r="Y123" s="123">
        <f>IFERROR((VLOOKUP($A123,'WB projects data'!$A$5:$J$83,8,0)*1000000),"")</f>
        <v>0</v>
      </c>
      <c r="Z123" s="123">
        <f>IFERROR((VLOOKUP($A123,'WB projects data'!$A$5:$J$83,9,0)*1000000),"")</f>
        <v>7500000</v>
      </c>
      <c r="AA123" s="123">
        <f>IFERROR((VLOOKUP($A123,'WB projects data'!$A$5:$J$83,10,0)*1000000),"")</f>
        <v>56400000</v>
      </c>
      <c r="AB123" s="57"/>
      <c r="AC123" s="110"/>
      <c r="AD123" s="110" t="str">
        <f>IFERROR(VLOOKUP(A123,'ADB Projects'!$A$4:$W$21,5,FALSE),"")</f>
        <v/>
      </c>
      <c r="AE123" s="132" t="str">
        <f>IF(AC123="Approved",(VLOOKUP($A123,'ADB Projects'!$A$5:$D$21,4,0)*1000000),"")</f>
        <v/>
      </c>
      <c r="AF123" s="585" t="str">
        <f>IF(AC123="Approved",(PRODUCT(VLOOKUP($A123,'ADB Projects'!$A$4:$W$21,6,FALSE),1000000)),"")</f>
        <v/>
      </c>
      <c r="AG123" s="585" t="str">
        <f>IF(AC123="Approved",(PRODUCT(VLOOKUP($A123,'ADB Projects'!$A$4:$W$21,7,FALSE),1000000)),"")</f>
        <v/>
      </c>
      <c r="AH123" s="585" t="str">
        <f>IF(AC123="Approved",(PRODUCT(VLOOKUP($A123,'ADB Projects'!$A$4:$W$21,8,FALSE),1000000)),"")</f>
        <v/>
      </c>
      <c r="AI123" s="148"/>
      <c r="AJ123" s="55"/>
      <c r="AK123" s="244"/>
      <c r="AL123" s="148" t="s">
        <v>541</v>
      </c>
      <c r="AM123" s="148"/>
      <c r="AN123" s="148"/>
      <c r="AO123" s="148"/>
      <c r="AP123" s="148"/>
      <c r="AQ123" s="602" t="str">
        <f t="shared" si="56"/>
        <v/>
      </c>
      <c r="AR123" s="602" t="str">
        <f>IFERROR(VLOOKUP($A123,'IDB C19 Vaccine Projects'!$O$4:$Q$12,2,FALSE),"")</f>
        <v/>
      </c>
      <c r="AS123" s="602" t="str">
        <f>IFERROR(VLOOKUP($A123,'IDB C19 Vaccine Projects'!$O$4:$Q$12,3,FALSE),"")</f>
        <v/>
      </c>
      <c r="AT123" s="55"/>
      <c r="AU123" s="88">
        <v>500000</v>
      </c>
      <c r="AV123" s="55"/>
      <c r="AW123" s="55" t="s">
        <v>541</v>
      </c>
      <c r="AX123" s="88">
        <f>INDEX(USAID!$C$3:$C$151,MATCH('Matrix Allocations'!A123,USAID!$A$3:$A$151,0))</f>
        <v>2934755</v>
      </c>
      <c r="AY123" s="110">
        <v>1005223</v>
      </c>
      <c r="AZ123" s="88">
        <f>IFERROR(INDEX('[4]Vx All regions allocations'!O$10:O$144,MATCH(A123,'[4]Vx All regions allocations'!A$10:A$144,0)),"")</f>
        <v>680600</v>
      </c>
      <c r="BA123" s="88">
        <v>305807.40740740742</v>
      </c>
      <c r="BB123" s="88">
        <v>351367</v>
      </c>
      <c r="BC123" s="88" t="str">
        <f>IFERROR(INDEX(DFAT!$K$4:$K$21,MATCH('Matrix Allocations'!A123,DFAT!$B$4:$B$21,0)),"")</f>
        <v/>
      </c>
      <c r="BD123" s="88"/>
      <c r="BE123" s="826" t="str">
        <f>IFERROR(IF(INDEX('GAVI CCE'!$E$3:$E$95,MATCH('Matrix Allocations'!A123,'GAVI CCE'!$A$3:$A$95,0))="Yes",INDEX('GAVI CCE'!$E$3:$E$95,MATCH('Matrix Allocations'!A123,'GAVI CCE'!$A$3:$A$95,0)),""),"")</f>
        <v>Yes</v>
      </c>
      <c r="BF123" s="88">
        <f>IFERROR(IF(BE123="Yes",INDEX('GAVI CCE'!$F$3:$F$95,MATCH('Matrix Allocations'!A123,'GAVI CCE'!$A$3:$A$95,0)),""),"")</f>
        <v>344160</v>
      </c>
      <c r="BG123" s="609" t="str">
        <f>IFERROR(IF(E123='CDS early access ceilings'!$A$94,(VLOOKUP(A123,'CDS early access ceilings'!$A$2:$D$92,4,FALSE)),""),"")</f>
        <v>GAVI</v>
      </c>
      <c r="BH123" s="639" t="str">
        <f>IFERROR(INDEX(Table14[Status (clean)],MATCH('Matrix Allocations'!A123,Table14[ISO Code],0)),"")</f>
        <v>Disbursed</v>
      </c>
      <c r="BI123" s="641">
        <f>IFERROR(INDEX(Table14[Amount disbursed (USD)],MATCH('Matrix Allocations'!A123,Table14[ISO Code],0)),"")</f>
        <v>2766766</v>
      </c>
      <c r="BJ123" s="641" t="str">
        <f>IFERROR(INDEX('CDS NBW'!$I$2:$I$39,MATCH(A123,'CDS NBW'!$A$2:$A$39,0)),"")</f>
        <v/>
      </c>
      <c r="BK123" s="641" t="str">
        <f>IFERROR(INDEX('CDS NBW'!$J$2:$J$39,MATCH(A123,'CDS NBW'!$A$2:$A$39,0)),"")</f>
        <v/>
      </c>
      <c r="BL123" s="609"/>
      <c r="BM123" s="609"/>
      <c r="BN123" s="609"/>
      <c r="BO123" s="609"/>
      <c r="BP123" s="609">
        <f>IFERROR(INDEX('UNICEF-BMZ'!$O$1:$O$199,MATCH('Matrix Allocations'!A123,'UNICEF-BMZ'!$B$1:$B$199,0)),"")</f>
        <v>1337523</v>
      </c>
      <c r="BQ123" s="609" t="str">
        <f>IFERROR(VLOOKUP(A123,'BMGF_clean data'!$A$4:$C$30,3,FALSE),"")</f>
        <v/>
      </c>
      <c r="BR123" s="609"/>
      <c r="BS123" s="609">
        <v>1620781</v>
      </c>
      <c r="BT123" s="609"/>
      <c r="BU123" s="609"/>
      <c r="BV123" s="609"/>
      <c r="BW123" s="87">
        <f>INDEX(USAID!$D$3:$D$151,MATCH('Matrix Allocations'!A123,USAID!$A$3:$A$151,0))</f>
        <v>0</v>
      </c>
      <c r="BX123" s="87" t="str">
        <f>IFERROR(INDEX(DFAT!$L$4:$L$21,MATCH('Matrix Allocations'!A123,DFAT!$B$4:$B$21,0)),"")</f>
        <v/>
      </c>
      <c r="BY123" s="87">
        <f>IFERROR(INDEX(Table14[Funds Channelled through UNICEF],MATCH('Matrix Allocations'!A123,Table14[ISO Code],0)),"")</f>
        <v>970391</v>
      </c>
      <c r="BZ123" s="87">
        <f t="shared" si="53"/>
        <v>970391</v>
      </c>
      <c r="CA123">
        <f t="shared" si="60"/>
        <v>11381377</v>
      </c>
      <c r="CB123" s="782">
        <f t="shared" si="42"/>
        <v>3414413.1</v>
      </c>
      <c r="CC123" s="791">
        <f t="shared" si="37"/>
        <v>19346982.407407407</v>
      </c>
      <c r="CD123" s="788">
        <f t="shared" si="43"/>
        <v>5.6662687966512912</v>
      </c>
      <c r="CE123" s="788">
        <f t="shared" si="44"/>
        <v>4.2497015974884693</v>
      </c>
      <c r="CF123" s="828">
        <f t="shared" si="45"/>
        <v>2.4284009128505537</v>
      </c>
      <c r="CG123" s="828">
        <f t="shared" si="38"/>
        <v>1.6998806389953875</v>
      </c>
      <c r="CH123" s="88">
        <f t="shared" si="61"/>
        <v>7500000</v>
      </c>
      <c r="CI123" s="88">
        <f t="shared" si="39"/>
        <v>5560759</v>
      </c>
      <c r="CJ123" s="742">
        <f t="shared" si="62"/>
        <v>0</v>
      </c>
      <c r="CK123" s="848">
        <f t="shared" si="40"/>
        <v>4276995</v>
      </c>
      <c r="CL123" s="88">
        <f t="shared" si="41"/>
        <v>5605623.4074074076</v>
      </c>
    </row>
    <row r="124" spans="1:90" ht="17.25" customHeight="1">
      <c r="A124" s="57" t="s">
        <v>672</v>
      </c>
      <c r="B124" s="57" t="s">
        <v>274</v>
      </c>
      <c r="C124" s="57" t="s">
        <v>132</v>
      </c>
      <c r="D124" s="57" t="s">
        <v>150</v>
      </c>
      <c r="E124" s="57" t="s">
        <v>145</v>
      </c>
      <c r="F124" s="57"/>
      <c r="G124" s="57" t="str">
        <f t="shared" si="63"/>
        <v>Yes</v>
      </c>
      <c r="H124" s="57" t="str">
        <f t="shared" si="63"/>
        <v>Yes</v>
      </c>
      <c r="I124" s="57" t="str">
        <f t="shared" si="57"/>
        <v>No</v>
      </c>
      <c r="J124" s="57" t="str">
        <f t="shared" si="58"/>
        <v>No</v>
      </c>
      <c r="K124" s="57" t="str">
        <f t="shared" si="59"/>
        <v>Yes</v>
      </c>
      <c r="L124" s="62" t="s">
        <v>541</v>
      </c>
      <c r="M124" s="55" t="s">
        <v>544</v>
      </c>
      <c r="N124" s="136" t="s">
        <v>544</v>
      </c>
      <c r="O124" s="57" t="s">
        <v>544</v>
      </c>
      <c r="P124" s="57" t="s">
        <v>546</v>
      </c>
      <c r="Q124" s="57"/>
      <c r="R124" s="57"/>
      <c r="S124" s="956">
        <v>1373621563.5182886</v>
      </c>
      <c r="T124" s="55" t="s">
        <v>395</v>
      </c>
      <c r="U124" s="64" t="str">
        <f>IFERROR(IF(VLOOKUP(A124,'WB projects data'!$A$5:$C$83,3,0)="Approved",(VLOOKUP(A124,'WB projects data'!$A$5:$C$83,3,0)),""),"")</f>
        <v>Approved</v>
      </c>
      <c r="V124" s="123">
        <f t="shared" si="55"/>
        <v>180500000</v>
      </c>
      <c r="W124" s="123">
        <f>IFERROR((VLOOKUP($A124,'WB projects data'!$A$5:$J$83,6,0)*1000000),"")</f>
        <v>180500000</v>
      </c>
      <c r="X124" s="123">
        <f>IFERROR((VLOOKUP($A124,'WB projects data'!$A$5:$J$83,7,0)*1000000),"")</f>
        <v>0</v>
      </c>
      <c r="Y124" s="123">
        <f>IFERROR((VLOOKUP($A124,'WB projects data'!$A$5:$J$83,8,0)*1000000),"")</f>
        <v>41400000</v>
      </c>
      <c r="Z124" s="123">
        <f>IFERROR((VLOOKUP($A124,'WB projects data'!$A$5:$J$83,9,0)*1000000),"")</f>
        <v>39100000</v>
      </c>
      <c r="AA124" s="123">
        <f>IFERROR((VLOOKUP($A124,'WB projects data'!$A$5:$J$83,10,0)*1000000),"")</f>
        <v>0</v>
      </c>
      <c r="AB124" s="57"/>
      <c r="AC124" s="110" t="str">
        <f>VLOOKUP($A124,'ADB Projects'!$A$5:$D$21,3,0)</f>
        <v>Approved</v>
      </c>
      <c r="AD124" s="110" t="str">
        <f>IFERROR(VLOOKUP(A124,'ADB Projects'!$A$4:$W$21,5,FALSE),"")</f>
        <v>Loan</v>
      </c>
      <c r="AE124" s="132">
        <f>IF(AC124="Approved",(VLOOKUP($A124,'ADB Projects'!$A$5:$D$21,4,0)*1000000),"")</f>
        <v>150000000</v>
      </c>
      <c r="AF124" s="585">
        <f>IF(AC124="Approved",(PRODUCT(VLOOKUP($A124,'ADB Projects'!$A$4:$W$21,6,FALSE),1000000)),"")</f>
        <v>84000000</v>
      </c>
      <c r="AG124" s="585">
        <f>IF(AC124="Approved",(PRODUCT(VLOOKUP($A124,'ADB Projects'!$A$4:$W$21,7,FALSE),1000000)),"")</f>
        <v>48970000</v>
      </c>
      <c r="AH124" s="585">
        <f>IF(AC124="Approved",(PRODUCT(VLOOKUP($A124,'ADB Projects'!$A$4:$W$21,8,FALSE),1000000)),"")</f>
        <v>17030000</v>
      </c>
      <c r="AI124" s="55" t="s">
        <v>541</v>
      </c>
      <c r="AJ124" s="55"/>
      <c r="AK124" s="244"/>
      <c r="AL124" s="55"/>
      <c r="AM124" s="55"/>
      <c r="AN124" s="55"/>
      <c r="AO124" s="55"/>
      <c r="AP124" s="55"/>
      <c r="AQ124" s="602" t="str">
        <f t="shared" si="56"/>
        <v/>
      </c>
      <c r="AR124" s="602" t="str">
        <f>IFERROR(VLOOKUP($A124,'IDB C19 Vaccine Projects'!$O$4:$Q$12,2,FALSE),"")</f>
        <v/>
      </c>
      <c r="AS124" s="602" t="str">
        <f>IFERROR(VLOOKUP($A124,'IDB C19 Vaccine Projects'!$O$4:$Q$12,3,FALSE),"")</f>
        <v/>
      </c>
      <c r="AT124" s="55"/>
      <c r="AU124" s="88"/>
      <c r="AV124" s="55"/>
      <c r="AW124" s="55"/>
      <c r="AX124" s="88">
        <f>INDEX(USAID!$C$3:$C$151,MATCH('Matrix Allocations'!A124,USAID!$A$3:$A$151,0))</f>
        <v>1000000</v>
      </c>
      <c r="AY124" s="110">
        <v>2166298</v>
      </c>
      <c r="AZ124" s="88">
        <f>IFERROR(INDEX('[4]Vx All regions allocations'!O$10:O$144,MATCH(A124,'[4]Vx All regions allocations'!A$10:A$144,0)),"")</f>
        <v>500000</v>
      </c>
      <c r="BA124" s="88">
        <v>46000</v>
      </c>
      <c r="BB124" s="88">
        <v>160000</v>
      </c>
      <c r="BC124" s="88" t="str">
        <f>IFERROR(INDEX(DFAT!$K$4:$K$21,MATCH('Matrix Allocations'!A124,DFAT!$B$4:$B$21,0)),"")</f>
        <v/>
      </c>
      <c r="BD124" s="88"/>
      <c r="BE124" s="826" t="str">
        <f>IFERROR(IF(INDEX('GAVI CCE'!$E$3:$E$95,MATCH('Matrix Allocations'!A124,'GAVI CCE'!$A$3:$A$95,0))="Yes",INDEX('GAVI CCE'!$E$3:$E$95,MATCH('Matrix Allocations'!A124,'GAVI CCE'!$A$3:$A$95,0)),""),"")</f>
        <v>Yes</v>
      </c>
      <c r="BF124" s="88">
        <f>IFERROR(IF(BE124="Yes",INDEX('GAVI CCE'!$F$3:$F$95,MATCH('Matrix Allocations'!A124,'GAVI CCE'!$A$3:$A$95,0)),""),"")</f>
        <v>374093</v>
      </c>
      <c r="BG124" s="609" t="str">
        <f>IFERROR(IF(E124='CDS early access ceilings'!$A$94,(VLOOKUP(A124,'CDS early access ceilings'!$A$2:$D$92,4,FALSE)),""),"")</f>
        <v>UNICEF</v>
      </c>
      <c r="BH124" s="639" t="str">
        <f>IFERROR(INDEX(Table14[Status (clean)],MATCH('Matrix Allocations'!A124,Table14[ISO Code],0)),"")</f>
        <v>Disbursed</v>
      </c>
      <c r="BI124" s="641">
        <f>IFERROR(INDEX(Table14[Amount disbursed (USD)],MATCH('Matrix Allocations'!A124,Table14[ISO Code],0)),"")</f>
        <v>981803</v>
      </c>
      <c r="BJ124" s="641" t="str">
        <f>IFERROR(INDEX('CDS NBW'!$I$2:$I$39,MATCH(A124,'CDS NBW'!$A$2:$A$39,0)),"")</f>
        <v>Disbursed</v>
      </c>
      <c r="BK124" s="641">
        <f>IFERROR(INDEX('CDS NBW'!$J$2:$J$39,MATCH(A124,'CDS NBW'!$A$2:$A$39,0)),"")</f>
        <v>979797</v>
      </c>
      <c r="BL124" s="609"/>
      <c r="BM124" s="609"/>
      <c r="BN124" s="609"/>
      <c r="BO124" s="609"/>
      <c r="BP124" s="609">
        <f>IFERROR(INDEX('UNICEF-BMZ'!$O$1:$O$199,MATCH('Matrix Allocations'!A124,'UNICEF-BMZ'!$B$1:$B$199,0)),"")</f>
        <v>40000</v>
      </c>
      <c r="BQ124" s="609" t="str">
        <f>IFERROR(VLOOKUP(A124,'BMGF_clean data'!$A$4:$C$30,3,FALSE),"")</f>
        <v/>
      </c>
      <c r="BR124" s="609"/>
      <c r="BS124" s="609"/>
      <c r="BT124" s="609"/>
      <c r="BU124" s="609"/>
      <c r="BV124" s="609"/>
      <c r="BW124" s="87">
        <f>INDEX(USAID!$D$3:$D$151,MATCH('Matrix Allocations'!A124,USAID!$A$3:$A$151,0))</f>
        <v>0</v>
      </c>
      <c r="BX124" s="87" t="str">
        <f>IFERROR(INDEX(DFAT!$L$4:$L$21,MATCH('Matrix Allocations'!A124,DFAT!$B$4:$B$21,0)),"")</f>
        <v/>
      </c>
      <c r="BY124" s="87">
        <f>IFERROR(INDEX(Table14[Funds Channelled through UNICEF],MATCH('Matrix Allocations'!A124,Table14[ISO Code],0)),"")</f>
        <v>0</v>
      </c>
      <c r="BZ124" s="87">
        <f t="shared" si="53"/>
        <v>981803</v>
      </c>
      <c r="CA124">
        <f t="shared" si="60"/>
        <v>21497306</v>
      </c>
      <c r="CB124" s="782">
        <f t="shared" si="42"/>
        <v>6449191.7999999998</v>
      </c>
      <c r="CC124" s="791">
        <f t="shared" si="37"/>
        <v>94317991</v>
      </c>
      <c r="CD124" s="788">
        <f t="shared" si="43"/>
        <v>14.624776859636894</v>
      </c>
      <c r="CE124" s="788">
        <f t="shared" si="44"/>
        <v>10.96858264472767</v>
      </c>
      <c r="CF124" s="828">
        <f t="shared" si="45"/>
        <v>6.2677615112729548</v>
      </c>
      <c r="CG124" s="828">
        <f t="shared" si="38"/>
        <v>4.3874330578910676</v>
      </c>
      <c r="CH124" s="88">
        <f t="shared" si="61"/>
        <v>88070000</v>
      </c>
      <c r="CI124" s="88">
        <f t="shared" si="39"/>
        <v>3166298</v>
      </c>
      <c r="CJ124" s="742">
        <f t="shared" si="62"/>
        <v>0</v>
      </c>
      <c r="CK124" s="848">
        <f t="shared" si="40"/>
        <v>2666298</v>
      </c>
      <c r="CL124" s="88">
        <f t="shared" si="41"/>
        <v>3561490</v>
      </c>
    </row>
    <row r="125" spans="1:90" ht="17.25" customHeight="1">
      <c r="A125" s="149" t="s">
        <v>673</v>
      </c>
      <c r="B125" s="149" t="s">
        <v>275</v>
      </c>
      <c r="C125" s="57" t="s">
        <v>130</v>
      </c>
      <c r="D125" s="57" t="s">
        <v>550</v>
      </c>
      <c r="E125" s="57" t="s">
        <v>146</v>
      </c>
      <c r="F125" s="57"/>
      <c r="G125" s="57" t="str">
        <f t="shared" si="63"/>
        <v>Yes</v>
      </c>
      <c r="H125" s="57" t="str">
        <f t="shared" si="63"/>
        <v>Yes</v>
      </c>
      <c r="I125" s="57" t="str">
        <f t="shared" si="57"/>
        <v>No</v>
      </c>
      <c r="J125" s="57" t="str">
        <f t="shared" si="58"/>
        <v>No</v>
      </c>
      <c r="K125" s="57" t="str">
        <f t="shared" si="59"/>
        <v>Yes</v>
      </c>
      <c r="L125" s="62" t="s">
        <v>541</v>
      </c>
      <c r="M125" s="55" t="s">
        <v>544</v>
      </c>
      <c r="N125" s="136" t="s">
        <v>544</v>
      </c>
      <c r="O125" s="57" t="s">
        <v>544</v>
      </c>
      <c r="P125" s="57"/>
      <c r="Q125" s="57"/>
      <c r="R125" s="57"/>
      <c r="S125" s="956">
        <v>24214370.889062837</v>
      </c>
      <c r="T125" s="55" t="s">
        <v>395</v>
      </c>
      <c r="U125" s="64" t="str">
        <f>IFERROR(IF(VLOOKUP(A125,'WB projects data'!$A$5:$C$83,3,0)="Approved",(VLOOKUP(A125,'WB projects data'!$A$5:$C$83,3,0)),""),"")</f>
        <v/>
      </c>
      <c r="V125" s="123" t="str">
        <f t="shared" si="55"/>
        <v/>
      </c>
      <c r="W125" s="123" t="str">
        <f>IFERROR((VLOOKUP($A125,'WB projects data'!$A$5:$J$83,6,0)*1000000),"")</f>
        <v/>
      </c>
      <c r="X125" s="123" t="str">
        <f>IFERROR((VLOOKUP($A125,'WB projects data'!$A$5:$J$83,7,0)*1000000),"")</f>
        <v/>
      </c>
      <c r="Y125" s="123" t="str">
        <f>IFERROR((VLOOKUP($A125,'WB projects data'!$A$5:$J$83,8,0)*1000000),"")</f>
        <v/>
      </c>
      <c r="Z125" s="123" t="str">
        <f>IFERROR((VLOOKUP($A125,'WB projects data'!$A$5:$J$83,9,0)*1000000),"")</f>
        <v/>
      </c>
      <c r="AA125" s="123" t="str">
        <f>IFERROR((VLOOKUP($A125,'WB projects data'!$A$5:$J$83,10,0)*1000000),"")</f>
        <v/>
      </c>
      <c r="AB125" s="57"/>
      <c r="AC125" s="110"/>
      <c r="AD125" s="110" t="str">
        <f>IFERROR(VLOOKUP(A125,'ADB Projects'!$A$4:$W$21,5,FALSE),"")</f>
        <v/>
      </c>
      <c r="AE125" s="132" t="str">
        <f>IF(AC125="Approved",(VLOOKUP($A125,'ADB Projects'!$A$5:$D$21,4,0)*1000000),"")</f>
        <v/>
      </c>
      <c r="AF125" s="585" t="str">
        <f>IF(AC125="Approved",(PRODUCT(VLOOKUP($A125,'ADB Projects'!$A$4:$W$21,6,FALSE),1000000)),"")</f>
        <v/>
      </c>
      <c r="AG125" s="585" t="str">
        <f>IF(AC125="Approved",(PRODUCT(VLOOKUP($A125,'ADB Projects'!$A$4:$W$21,7,FALSE),1000000)),"")</f>
        <v/>
      </c>
      <c r="AH125" s="585" t="str">
        <f>IF(AC125="Approved",(PRODUCT(VLOOKUP($A125,'ADB Projects'!$A$4:$W$21,8,FALSE),1000000)),"")</f>
        <v/>
      </c>
      <c r="AI125" s="55"/>
      <c r="AJ125" s="55"/>
      <c r="AK125" s="244"/>
      <c r="AL125" s="55"/>
      <c r="AM125" s="55"/>
      <c r="AN125" s="55"/>
      <c r="AO125" s="55"/>
      <c r="AP125" s="55"/>
      <c r="AQ125" s="602" t="str">
        <f t="shared" si="56"/>
        <v/>
      </c>
      <c r="AR125" s="602" t="str">
        <f>IFERROR(VLOOKUP($A125,'IDB C19 Vaccine Projects'!$O$4:$Q$12,2,FALSE),"")</f>
        <v/>
      </c>
      <c r="AS125" s="602" t="str">
        <f>IFERROR(VLOOKUP($A125,'IDB C19 Vaccine Projects'!$O$4:$Q$12,3,FALSE),"")</f>
        <v/>
      </c>
      <c r="AT125" s="55"/>
      <c r="AU125" s="88"/>
      <c r="AV125" s="55"/>
      <c r="AW125" s="55"/>
      <c r="AX125" s="88" t="str">
        <f>INDEX(USAID!$C$3:$C$151,MATCH('Matrix Allocations'!A125,USAID!$A$3:$A$151,0))</f>
        <v/>
      </c>
      <c r="AY125" s="110"/>
      <c r="AZ125" s="88" t="str">
        <f>IFERROR(INDEX('[4]Vx All regions allocations'!O$10:O$144,MATCH(A125,'[4]Vx All regions allocations'!A$10:A$144,0)),"")</f>
        <v/>
      </c>
      <c r="BA125" s="88">
        <v>0</v>
      </c>
      <c r="BB125" s="88">
        <v>0</v>
      </c>
      <c r="BC125" s="88" t="str">
        <f>IFERROR(INDEX(DFAT!$K$4:$K$21,MATCH('Matrix Allocations'!A125,DFAT!$B$4:$B$21,0)),"")</f>
        <v/>
      </c>
      <c r="BD125" s="88"/>
      <c r="BE125" s="826" t="str">
        <f>IFERROR(IF(INDEX('GAVI CCE'!$E$3:$E$95,MATCH('Matrix Allocations'!A125,'GAVI CCE'!$A$3:$A$95,0))="Yes",INDEX('GAVI CCE'!$E$3:$E$95,MATCH('Matrix Allocations'!A125,'GAVI CCE'!$A$3:$A$95,0)),""),"")</f>
        <v/>
      </c>
      <c r="BF125" s="88" t="str">
        <f>IFERROR(IF(BE125="Yes",INDEX('GAVI CCE'!$F$3:$F$95,MATCH('Matrix Allocations'!A125,'GAVI CCE'!$A$3:$A$95,0)),""),"")</f>
        <v/>
      </c>
      <c r="BG125" s="609" t="str">
        <f>IFERROR(IF(E125='CDS early access ceilings'!$A$94,(VLOOKUP(A125,'CDS early access ceilings'!$A$2:$D$92,4,FALSE)),""),"")</f>
        <v/>
      </c>
      <c r="BH125" s="639" t="str">
        <f>IFERROR(INDEX(Table14[Status (clean)],MATCH('Matrix Allocations'!A125,Table14[ISO Code],0)),"")</f>
        <v/>
      </c>
      <c r="BI125" s="641" t="str">
        <f>IFERROR(INDEX(Table14[Amount disbursed (USD)],MATCH('Matrix Allocations'!A125,Table14[ISO Code],0)),"")</f>
        <v/>
      </c>
      <c r="BJ125" s="641" t="str">
        <f>IFERROR(INDEX('CDS NBW'!$I$2:$I$39,MATCH(A125,'CDS NBW'!$A$2:$A$39,0)),"")</f>
        <v/>
      </c>
      <c r="BK125" s="641" t="str">
        <f>IFERROR(INDEX('CDS NBW'!$J$2:$J$39,MATCH(A125,'CDS NBW'!$A$2:$A$39,0)),"")</f>
        <v/>
      </c>
      <c r="BL125" s="609"/>
      <c r="BM125" s="609"/>
      <c r="BN125" s="609"/>
      <c r="BO125" s="609"/>
      <c r="BP125" s="609" t="str">
        <f>IFERROR(INDEX('UNICEF-BMZ'!$O$1:$O$199,MATCH('Matrix Allocations'!A125,'UNICEF-BMZ'!$B$1:$B$199,0)),"")</f>
        <v/>
      </c>
      <c r="BQ125" s="609" t="str">
        <f>IFERROR(VLOOKUP(A125,'BMGF_clean data'!$A$4:$C$30,3,FALSE),"")</f>
        <v/>
      </c>
      <c r="BR125" s="609"/>
      <c r="BS125" s="609"/>
      <c r="BT125" s="609"/>
      <c r="BU125" s="609"/>
      <c r="BV125" s="609"/>
      <c r="BW125" s="87">
        <f>INDEX(USAID!$D$3:$D$151,MATCH('Matrix Allocations'!A125,USAID!$A$3:$A$151,0))</f>
        <v>0</v>
      </c>
      <c r="BX125" s="87" t="str">
        <f>IFERROR(INDEX(DFAT!$L$4:$L$21,MATCH('Matrix Allocations'!A125,DFAT!$B$4:$B$21,0)),"")</f>
        <v/>
      </c>
      <c r="BY125" s="87" t="str">
        <f>IFERROR(INDEX(Table14[Funds Channelled through UNICEF],MATCH('Matrix Allocations'!A125,Table14[ISO Code],0)),"")</f>
        <v/>
      </c>
      <c r="BZ125" s="87">
        <f t="shared" si="53"/>
        <v>0</v>
      </c>
      <c r="CA125">
        <f t="shared" si="60"/>
        <v>53192</v>
      </c>
      <c r="CB125" s="782">
        <f t="shared" si="42"/>
        <v>15957.599999999999</v>
      </c>
      <c r="CC125" s="791">
        <f t="shared" si="37"/>
        <v>0</v>
      </c>
      <c r="CD125" s="788">
        <f t="shared" si="43"/>
        <v>0</v>
      </c>
      <c r="CE125" s="788">
        <f t="shared" si="44"/>
        <v>0</v>
      </c>
      <c r="CF125" s="828">
        <f t="shared" si="45"/>
        <v>0</v>
      </c>
      <c r="CG125" s="828">
        <f t="shared" si="38"/>
        <v>0</v>
      </c>
      <c r="CH125" s="88">
        <f t="shared" si="61"/>
        <v>0</v>
      </c>
      <c r="CI125" s="88">
        <f t="shared" si="39"/>
        <v>0</v>
      </c>
      <c r="CJ125" s="742">
        <f t="shared" si="62"/>
        <v>0</v>
      </c>
      <c r="CK125" s="848">
        <f t="shared" si="40"/>
        <v>0</v>
      </c>
      <c r="CL125" s="88">
        <f t="shared" si="41"/>
        <v>0</v>
      </c>
    </row>
    <row r="126" spans="1:90" ht="17.25" customHeight="1">
      <c r="A126" s="57" t="s">
        <v>674</v>
      </c>
      <c r="B126" s="57" t="s">
        <v>154</v>
      </c>
      <c r="C126" s="57" t="s">
        <v>130</v>
      </c>
      <c r="D126" s="57" t="s">
        <v>152</v>
      </c>
      <c r="E126" s="57" t="s">
        <v>145</v>
      </c>
      <c r="F126" s="57"/>
      <c r="G126" s="57" t="str">
        <f t="shared" si="63"/>
        <v>Yes</v>
      </c>
      <c r="H126" s="57" t="str">
        <f t="shared" si="63"/>
        <v>Yes</v>
      </c>
      <c r="I126" s="57" t="str">
        <f t="shared" si="57"/>
        <v>No</v>
      </c>
      <c r="J126" s="57" t="str">
        <f t="shared" si="58"/>
        <v>No</v>
      </c>
      <c r="K126" s="57" t="str">
        <f t="shared" si="59"/>
        <v>Yes</v>
      </c>
      <c r="L126" s="62" t="s">
        <v>541</v>
      </c>
      <c r="M126" s="55" t="s">
        <v>544</v>
      </c>
      <c r="N126" s="136" t="s">
        <v>541</v>
      </c>
      <c r="O126" s="57" t="s">
        <v>541</v>
      </c>
      <c r="P126" s="57" t="s">
        <v>548</v>
      </c>
      <c r="Q126" s="57"/>
      <c r="R126" s="57"/>
      <c r="S126" s="956">
        <v>39941279.609447442</v>
      </c>
      <c r="T126" s="55" t="s">
        <v>395</v>
      </c>
      <c r="U126" s="64" t="str">
        <f>IFERROR(IF(VLOOKUP(A126,'WB projects data'!$A$5:$C$83,3,0)="Approved",(VLOOKUP(A126,'WB projects data'!$A$5:$C$83,3,0)),""),"")</f>
        <v/>
      </c>
      <c r="V126" s="123" t="str">
        <f t="shared" si="55"/>
        <v/>
      </c>
      <c r="W126" s="123" t="str">
        <f>IFERROR((VLOOKUP($A126,'WB projects data'!$A$5:$J$83,6,0)*1000000),"")</f>
        <v/>
      </c>
      <c r="X126" s="123" t="str">
        <f>IFERROR((VLOOKUP($A126,'WB projects data'!$A$5:$J$83,7,0)*1000000),"")</f>
        <v/>
      </c>
      <c r="Y126" s="123" t="str">
        <f>IFERROR((VLOOKUP($A126,'WB projects data'!$A$5:$J$83,8,0)*1000000),"")</f>
        <v/>
      </c>
      <c r="Z126" s="123" t="str">
        <f>IFERROR((VLOOKUP($A126,'WB projects data'!$A$5:$J$83,9,0)*1000000),"")</f>
        <v/>
      </c>
      <c r="AA126" s="123" t="str">
        <f>IFERROR((VLOOKUP($A126,'WB projects data'!$A$5:$J$83,10,0)*1000000),"")</f>
        <v/>
      </c>
      <c r="AB126" s="57"/>
      <c r="AC126" s="110"/>
      <c r="AD126" s="110" t="str">
        <f>IFERROR(VLOOKUP(A126,'ADB Projects'!$A$4:$W$21,5,FALSE),"")</f>
        <v/>
      </c>
      <c r="AE126" s="132" t="str">
        <f>IF(AC126="Approved",(VLOOKUP($A126,'ADB Projects'!$A$5:$D$21,4,0)*1000000),"")</f>
        <v/>
      </c>
      <c r="AF126" s="585" t="str">
        <f>IF(AC126="Approved",(PRODUCT(VLOOKUP($A126,'ADB Projects'!$A$4:$W$21,6,FALSE),1000000)),"")</f>
        <v/>
      </c>
      <c r="AG126" s="585" t="str">
        <f>IF(AC126="Approved",(PRODUCT(VLOOKUP($A126,'ADB Projects'!$A$4:$W$21,7,FALSE),1000000)),"")</f>
        <v/>
      </c>
      <c r="AH126" s="585" t="str">
        <f>IF(AC126="Approved",(PRODUCT(VLOOKUP($A126,'ADB Projects'!$A$4:$W$21,8,FALSE),1000000)),"")</f>
        <v/>
      </c>
      <c r="AI126" s="55" t="s">
        <v>541</v>
      </c>
      <c r="AJ126" s="55"/>
      <c r="AK126" s="244"/>
      <c r="AL126" s="55"/>
      <c r="AM126" s="55"/>
      <c r="AN126" s="55"/>
      <c r="AO126" s="55"/>
      <c r="AP126" s="55"/>
      <c r="AQ126" s="602" t="str">
        <f t="shared" si="56"/>
        <v/>
      </c>
      <c r="AR126" s="602" t="str">
        <f>IFERROR(VLOOKUP($A126,'IDB C19 Vaccine Projects'!$O$4:$Q$12,2,FALSE),"")</f>
        <v/>
      </c>
      <c r="AS126" s="602" t="str">
        <f>IFERROR(VLOOKUP($A126,'IDB C19 Vaccine Projects'!$O$4:$Q$12,3,FALSE),"")</f>
        <v/>
      </c>
      <c r="AT126" s="55"/>
      <c r="AU126" s="88"/>
      <c r="AV126" s="55"/>
      <c r="AW126" s="55"/>
      <c r="AX126" s="88" t="str">
        <f>INDEX(USAID!$C$3:$C$151,MATCH('Matrix Allocations'!A126,USAID!$A$3:$A$151,0))</f>
        <v/>
      </c>
      <c r="AY126" s="110"/>
      <c r="AZ126" s="88">
        <f>IFERROR(INDEX('[4]Vx All regions allocations'!O$10:O$144,MATCH(A126,'[4]Vx All regions allocations'!A$10:A$144,0)),"")</f>
        <v>75000</v>
      </c>
      <c r="BA126" s="88">
        <v>0</v>
      </c>
      <c r="BB126" s="88">
        <v>50000</v>
      </c>
      <c r="BC126" s="88" t="str">
        <f>IFERROR(INDEX(DFAT!$K$4:$K$21,MATCH('Matrix Allocations'!A126,DFAT!$B$4:$B$21,0)),"")</f>
        <v/>
      </c>
      <c r="BD126" s="88"/>
      <c r="BE126" s="826" t="str">
        <f>IFERROR(IF(INDEX('GAVI CCE'!$E$3:$E$95,MATCH('Matrix Allocations'!A126,'GAVI CCE'!$A$3:$A$95,0))="Yes",INDEX('GAVI CCE'!$E$3:$E$95,MATCH('Matrix Allocations'!A126,'GAVI CCE'!$A$3:$A$95,0)),""),"")</f>
        <v/>
      </c>
      <c r="BF126" s="88" t="str">
        <f>IFERROR(IF(BE126="Yes",INDEX('GAVI CCE'!$F$3:$F$95,MATCH('Matrix Allocations'!A126,'GAVI CCE'!$A$3:$A$95,0)),""),"")</f>
        <v/>
      </c>
      <c r="BG126" s="609" t="str">
        <f>IFERROR(IF(E126='CDS early access ceilings'!$A$94,(VLOOKUP(A126,'CDS early access ceilings'!$A$2:$D$92,4,FALSE)),""),"")</f>
        <v>UNICEF</v>
      </c>
      <c r="BH126" s="639" t="str">
        <f>IFERROR(INDEX(Table14[Status (clean)],MATCH('Matrix Allocations'!A126,Table14[ISO Code],0)),"")</f>
        <v>Disbursed</v>
      </c>
      <c r="BI126" s="641">
        <f>IFERROR(INDEX(Table14[Amount disbursed (USD)],MATCH('Matrix Allocations'!A126,Table14[ISO Code],0)),"")</f>
        <v>230000</v>
      </c>
      <c r="BJ126" s="641" t="str">
        <f>IFERROR(INDEX('CDS NBW'!$I$2:$I$39,MATCH(A126,'CDS NBW'!$A$2:$A$39,0)),"")</f>
        <v/>
      </c>
      <c r="BK126" s="641" t="str">
        <f>IFERROR(INDEX('CDS NBW'!$J$2:$J$39,MATCH(A126,'CDS NBW'!$A$2:$A$39,0)),"")</f>
        <v/>
      </c>
      <c r="BL126" s="609"/>
      <c r="BM126" s="609"/>
      <c r="BN126" s="609"/>
      <c r="BO126" s="609"/>
      <c r="BP126" s="609">
        <f>IFERROR(INDEX('UNICEF-BMZ'!$O$1:$O$199,MATCH('Matrix Allocations'!A126,'UNICEF-BMZ'!$B$1:$B$199,0)),"")</f>
        <v>0</v>
      </c>
      <c r="BQ126" s="609" t="str">
        <f>IFERROR(VLOOKUP(A126,'BMGF_clean data'!$A$4:$C$30,3,FALSE),"")</f>
        <v/>
      </c>
      <c r="BR126" s="609"/>
      <c r="BS126" s="609"/>
      <c r="BT126" s="609"/>
      <c r="BU126" s="609"/>
      <c r="BV126" s="609"/>
      <c r="BW126" s="87">
        <f>INDEX(USAID!$D$3:$D$151,MATCH('Matrix Allocations'!A126,USAID!$A$3:$A$151,0))</f>
        <v>0</v>
      </c>
      <c r="BX126" s="87" t="str">
        <f>IFERROR(INDEX(DFAT!$L$4:$L$21,MATCH('Matrix Allocations'!A126,DFAT!$B$4:$B$21,0)),"")</f>
        <v/>
      </c>
      <c r="BY126" s="87">
        <f>IFERROR(INDEX(Table14[Funds Channelled through UNICEF],MATCH('Matrix Allocations'!A126,Table14[ISO Code],0)),"")</f>
        <v>0</v>
      </c>
      <c r="BZ126" s="87">
        <f t="shared" si="53"/>
        <v>230000</v>
      </c>
      <c r="CA126">
        <f t="shared" si="60"/>
        <v>184401</v>
      </c>
      <c r="CB126" s="782">
        <f t="shared" si="42"/>
        <v>55320.299999999996</v>
      </c>
      <c r="CC126" s="791">
        <f t="shared" si="37"/>
        <v>355000</v>
      </c>
      <c r="CD126" s="788">
        <f t="shared" si="43"/>
        <v>6.4171741657221677</v>
      </c>
      <c r="CE126" s="788">
        <f t="shared" si="44"/>
        <v>4.8128806242916244</v>
      </c>
      <c r="CF126" s="828">
        <f t="shared" si="45"/>
        <v>2.7502174995952147</v>
      </c>
      <c r="CG126" s="828">
        <f t="shared" si="38"/>
        <v>1.9251522497166502</v>
      </c>
      <c r="CH126" s="88">
        <f t="shared" si="61"/>
        <v>0</v>
      </c>
      <c r="CI126" s="88">
        <f t="shared" si="39"/>
        <v>0</v>
      </c>
      <c r="CJ126" s="742">
        <f t="shared" si="62"/>
        <v>0</v>
      </c>
      <c r="CK126" s="848">
        <f t="shared" si="40"/>
        <v>75000</v>
      </c>
      <c r="CL126" s="88">
        <f t="shared" si="41"/>
        <v>280000</v>
      </c>
    </row>
    <row r="127" spans="1:90" ht="17.25" customHeight="1">
      <c r="A127" s="57" t="s">
        <v>675</v>
      </c>
      <c r="B127" s="57" t="s">
        <v>155</v>
      </c>
      <c r="C127" s="57" t="s">
        <v>130</v>
      </c>
      <c r="D127" s="57" t="s">
        <v>152</v>
      </c>
      <c r="E127" s="57" t="s">
        <v>145</v>
      </c>
      <c r="F127" s="57"/>
      <c r="G127" s="57" t="str">
        <f t="shared" si="63"/>
        <v>No</v>
      </c>
      <c r="H127" s="57" t="str">
        <f t="shared" si="63"/>
        <v>No</v>
      </c>
      <c r="I127" s="57" t="str">
        <f t="shared" si="57"/>
        <v>Yes</v>
      </c>
      <c r="J127" s="57" t="str">
        <f t="shared" si="58"/>
        <v>Yes</v>
      </c>
      <c r="K127" s="57" t="str">
        <f t="shared" si="59"/>
        <v>No</v>
      </c>
      <c r="L127" s="62" t="s">
        <v>541</v>
      </c>
      <c r="M127" s="55" t="s">
        <v>544</v>
      </c>
      <c r="N127" s="136" t="s">
        <v>541</v>
      </c>
      <c r="O127" s="57" t="s">
        <v>541</v>
      </c>
      <c r="P127" s="57" t="s">
        <v>542</v>
      </c>
      <c r="Q127" s="57"/>
      <c r="R127" s="57"/>
      <c r="S127" s="956">
        <v>24761675.260059897</v>
      </c>
      <c r="T127" s="55" t="s">
        <v>396</v>
      </c>
      <c r="U127" s="64" t="str">
        <f>IFERROR(IF(VLOOKUP(A127,'WB projects data'!$A$5:$C$83,3,0)="Approved",(VLOOKUP(A127,'WB projects data'!$A$5:$C$83,3,0)),""),"")</f>
        <v/>
      </c>
      <c r="V127" s="123" t="str">
        <f t="shared" si="55"/>
        <v/>
      </c>
      <c r="W127" s="123" t="str">
        <f>IFERROR((VLOOKUP($A127,'WB projects data'!$A$5:$J$83,6,0)*1000000),"")</f>
        <v/>
      </c>
      <c r="X127" s="123" t="str">
        <f>IFERROR((VLOOKUP($A127,'WB projects data'!$A$5:$J$83,7,0)*1000000),"")</f>
        <v/>
      </c>
      <c r="Y127" s="123" t="str">
        <f>IFERROR((VLOOKUP($A127,'WB projects data'!$A$5:$J$83,8,0)*1000000),"")</f>
        <v/>
      </c>
      <c r="Z127" s="123" t="str">
        <f>IFERROR((VLOOKUP($A127,'WB projects data'!$A$5:$J$83,9,0)*1000000),"")</f>
        <v/>
      </c>
      <c r="AA127" s="123" t="str">
        <f>IFERROR((VLOOKUP($A127,'WB projects data'!$A$5:$J$83,10,0)*1000000),"")</f>
        <v/>
      </c>
      <c r="AB127" s="57"/>
      <c r="AC127" s="110"/>
      <c r="AD127" s="110" t="str">
        <f>IFERROR(VLOOKUP(A127,'ADB Projects'!$A$4:$W$21,5,FALSE),"")</f>
        <v/>
      </c>
      <c r="AE127" s="132" t="str">
        <f>IF(AC127="Approved",(VLOOKUP($A127,'ADB Projects'!$A$5:$D$21,4,0)*1000000),"")</f>
        <v/>
      </c>
      <c r="AF127" s="585" t="str">
        <f>IF(AC127="Approved",(PRODUCT(VLOOKUP($A127,'ADB Projects'!$A$4:$W$21,6,FALSE),1000000)),"")</f>
        <v/>
      </c>
      <c r="AG127" s="585" t="str">
        <f>IF(AC127="Approved",(PRODUCT(VLOOKUP($A127,'ADB Projects'!$A$4:$W$21,7,FALSE),1000000)),"")</f>
        <v/>
      </c>
      <c r="AH127" s="585" t="str">
        <f>IF(AC127="Approved",(PRODUCT(VLOOKUP($A127,'ADB Projects'!$A$4:$W$21,8,FALSE),1000000)),"")</f>
        <v/>
      </c>
      <c r="AI127" s="55"/>
      <c r="AJ127" s="55"/>
      <c r="AK127" s="244"/>
      <c r="AL127" s="55"/>
      <c r="AM127" s="55"/>
      <c r="AN127" s="55"/>
      <c r="AO127" s="55"/>
      <c r="AP127" s="55"/>
      <c r="AQ127" s="602" t="str">
        <f t="shared" si="56"/>
        <v/>
      </c>
      <c r="AR127" s="602" t="str">
        <f>IFERROR(VLOOKUP($A127,'IDB C19 Vaccine Projects'!$O$4:$Q$12,2,FALSE),"")</f>
        <v/>
      </c>
      <c r="AS127" s="602" t="str">
        <f>IFERROR(VLOOKUP($A127,'IDB C19 Vaccine Projects'!$O$4:$Q$12,3,FALSE),"")</f>
        <v/>
      </c>
      <c r="AT127" s="55"/>
      <c r="AU127" s="88"/>
      <c r="AV127" s="55"/>
      <c r="AW127" s="55"/>
      <c r="AX127" s="88" t="str">
        <f>INDEX(USAID!$C$3:$C$151,MATCH('Matrix Allocations'!A127,USAID!$A$3:$A$151,0))</f>
        <v/>
      </c>
      <c r="AY127" s="110"/>
      <c r="AZ127" s="88">
        <f>IFERROR(INDEX('[4]Vx All regions allocations'!O$10:O$144,MATCH(A127,'[4]Vx All regions allocations'!A$10:A$144,0)),"")</f>
        <v>75000</v>
      </c>
      <c r="BA127" s="88">
        <v>0</v>
      </c>
      <c r="BB127" s="88">
        <v>65000</v>
      </c>
      <c r="BC127" s="88" t="str">
        <f>IFERROR(INDEX(DFAT!$K$4:$K$21,MATCH('Matrix Allocations'!A127,DFAT!$B$4:$B$21,0)),"")</f>
        <v/>
      </c>
      <c r="BD127" s="88"/>
      <c r="BE127" s="826" t="str">
        <f>IFERROR(IF(INDEX('GAVI CCE'!$E$3:$E$95,MATCH('Matrix Allocations'!A127,'GAVI CCE'!$A$3:$A$95,0))="Yes",INDEX('GAVI CCE'!$E$3:$E$95,MATCH('Matrix Allocations'!A127,'GAVI CCE'!$A$3:$A$95,0)),""),"")</f>
        <v/>
      </c>
      <c r="BF127" s="88" t="str">
        <f>IFERROR(IF(BE127="Yes",INDEX('GAVI CCE'!$F$3:$F$95,MATCH('Matrix Allocations'!A127,'GAVI CCE'!$A$3:$A$95,0)),""),"")</f>
        <v/>
      </c>
      <c r="BG127" s="609" t="str">
        <f>IFERROR(IF(E127='CDS early access ceilings'!$A$94,(VLOOKUP(A127,'CDS early access ceilings'!$A$2:$D$92,4,FALSE)),""),"")</f>
        <v>UNICEF</v>
      </c>
      <c r="BH127" s="639" t="str">
        <f>IFERROR(INDEX(Table14[Status (clean)],MATCH('Matrix Allocations'!A127,Table14[ISO Code],0)),"")</f>
        <v>Disbursed</v>
      </c>
      <c r="BI127" s="641">
        <f>IFERROR(INDEX(Table14[Amount disbursed (USD)],MATCH('Matrix Allocations'!A127,Table14[ISO Code],0)),"")</f>
        <v>230000</v>
      </c>
      <c r="BJ127" s="641" t="str">
        <f>IFERROR(INDEX('CDS NBW'!$I$2:$I$39,MATCH(A127,'CDS NBW'!$A$2:$A$39,0)),"")</f>
        <v>Disbursed</v>
      </c>
      <c r="BK127" s="641">
        <f>IFERROR(INDEX('CDS NBW'!$J$2:$J$39,MATCH(A127,'CDS NBW'!$A$2:$A$39,0)),"")</f>
        <v>200000</v>
      </c>
      <c r="BL127" s="609"/>
      <c r="BM127" s="609"/>
      <c r="BN127" s="609"/>
      <c r="BO127" s="609"/>
      <c r="BP127" s="609">
        <f>IFERROR(INDEX('UNICEF-BMZ'!$O$1:$O$199,MATCH('Matrix Allocations'!A127,'UNICEF-BMZ'!$B$1:$B$199,0)),"")</f>
        <v>0</v>
      </c>
      <c r="BQ127" s="609" t="str">
        <f>IFERROR(VLOOKUP(A127,'BMGF_clean data'!$A$4:$C$30,3,FALSE),"")</f>
        <v/>
      </c>
      <c r="BR127" s="609"/>
      <c r="BS127" s="609"/>
      <c r="BT127" s="609"/>
      <c r="BU127" s="609"/>
      <c r="BV127" s="609"/>
      <c r="BW127" s="87">
        <f>INDEX(USAID!$D$3:$D$151,MATCH('Matrix Allocations'!A127,USAID!$A$3:$A$151,0))</f>
        <v>0</v>
      </c>
      <c r="BX127" s="87" t="str">
        <f>IFERROR(INDEX(DFAT!$L$4:$L$21,MATCH('Matrix Allocations'!A127,DFAT!$B$4:$B$21,0)),"")</f>
        <v/>
      </c>
      <c r="BY127" s="87">
        <f>IFERROR(INDEX(Table14[Funds Channelled through UNICEF],MATCH('Matrix Allocations'!A127,Table14[ISO Code],0)),"")</f>
        <v>0</v>
      </c>
      <c r="BZ127" s="87">
        <f t="shared" si="53"/>
        <v>230000</v>
      </c>
      <c r="CA127">
        <f t="shared" si="60"/>
        <v>111269</v>
      </c>
      <c r="CB127" s="782">
        <f t="shared" si="42"/>
        <v>33380.699999999997</v>
      </c>
      <c r="CC127" s="791">
        <f t="shared" si="37"/>
        <v>570000</v>
      </c>
      <c r="CD127" s="788">
        <f t="shared" si="43"/>
        <v>17.075735380024987</v>
      </c>
      <c r="CE127" s="788">
        <f t="shared" si="44"/>
        <v>12.806801535018737</v>
      </c>
      <c r="CF127" s="828">
        <f t="shared" si="45"/>
        <v>7.3181723057249943</v>
      </c>
      <c r="CG127" s="828">
        <f t="shared" si="38"/>
        <v>5.1227206140074957</v>
      </c>
      <c r="CH127" s="88">
        <f t="shared" si="61"/>
        <v>0</v>
      </c>
      <c r="CI127" s="88">
        <f t="shared" si="39"/>
        <v>0</v>
      </c>
      <c r="CJ127" s="742">
        <f t="shared" si="62"/>
        <v>0</v>
      </c>
      <c r="CK127" s="848">
        <f t="shared" si="40"/>
        <v>75000</v>
      </c>
      <c r="CL127" s="88">
        <f t="shared" si="41"/>
        <v>695000</v>
      </c>
    </row>
    <row r="128" spans="1:90" ht="17.25" customHeight="1">
      <c r="A128" s="57" t="s">
        <v>676</v>
      </c>
      <c r="B128" s="57" t="s">
        <v>276</v>
      </c>
      <c r="C128" s="57" t="s">
        <v>131</v>
      </c>
      <c r="D128" s="57" t="s">
        <v>150</v>
      </c>
      <c r="E128" s="57" t="s">
        <v>145</v>
      </c>
      <c r="F128" s="57"/>
      <c r="G128" s="57" t="str">
        <f t="shared" si="63"/>
        <v>No</v>
      </c>
      <c r="H128" s="57" t="str">
        <f t="shared" si="63"/>
        <v>No</v>
      </c>
      <c r="I128" s="57" t="str">
        <f t="shared" si="57"/>
        <v>No</v>
      </c>
      <c r="J128" s="57" t="str">
        <f t="shared" si="58"/>
        <v>No</v>
      </c>
      <c r="K128" s="57" t="str">
        <f t="shared" si="59"/>
        <v>No</v>
      </c>
      <c r="L128" s="62" t="s">
        <v>541</v>
      </c>
      <c r="M128" s="55" t="s">
        <v>544</v>
      </c>
      <c r="N128" s="136" t="s">
        <v>544</v>
      </c>
      <c r="O128" s="57" t="s">
        <v>544</v>
      </c>
      <c r="P128" s="57" t="s">
        <v>546</v>
      </c>
      <c r="Q128" s="57"/>
      <c r="R128" s="57"/>
      <c r="S128" s="956" t="s">
        <v>575</v>
      </c>
      <c r="T128" s="55"/>
      <c r="U128" s="64" t="str">
        <f>IFERROR(IF(VLOOKUP(A128,'WB projects data'!$A$5:$C$83,3,0)="Approved",(VLOOKUP(A128,'WB projects data'!$A$5:$C$83,3,0)),""),"")</f>
        <v/>
      </c>
      <c r="V128" s="123">
        <f t="shared" si="55"/>
        <v>0</v>
      </c>
      <c r="W128" s="123">
        <f>IFERROR((VLOOKUP($A128,'WB projects data'!$A$5:$J$83,6,0)*1000000),"")</f>
        <v>0</v>
      </c>
      <c r="X128" s="123">
        <f>IFERROR((VLOOKUP($A128,'WB projects data'!$A$5:$J$83,7,0)*1000000),"")</f>
        <v>0</v>
      </c>
      <c r="Y128" s="123">
        <f>IFERROR((VLOOKUP($A128,'WB projects data'!$A$5:$J$83,8,0)*1000000),"")</f>
        <v>0</v>
      </c>
      <c r="Z128" s="123">
        <f>IFERROR((VLOOKUP($A128,'WB projects data'!$A$5:$J$83,9,0)*1000000),"")</f>
        <v>0</v>
      </c>
      <c r="AA128" s="123">
        <f>IFERROR((VLOOKUP($A128,'WB projects data'!$A$5:$J$83,10,0)*1000000),"")</f>
        <v>0</v>
      </c>
      <c r="AB128" s="57"/>
      <c r="AC128" s="110"/>
      <c r="AD128" s="110" t="str">
        <f>IFERROR(VLOOKUP(A128,'ADB Projects'!$A$4:$W$21,5,FALSE),"")</f>
        <v/>
      </c>
      <c r="AE128" s="132" t="str">
        <f>IF(AC128="Approved",(VLOOKUP($A128,'ADB Projects'!$A$5:$D$21,4,0)*1000000),"")</f>
        <v/>
      </c>
      <c r="AF128" s="585" t="str">
        <f>IF(AC128="Approved",(PRODUCT(VLOOKUP($A128,'ADB Projects'!$A$4:$W$21,6,FALSE),1000000)),"")</f>
        <v/>
      </c>
      <c r="AG128" s="585" t="str">
        <f>IF(AC128="Approved",(PRODUCT(VLOOKUP($A128,'ADB Projects'!$A$4:$W$21,7,FALSE),1000000)),"")</f>
        <v/>
      </c>
      <c r="AH128" s="585" t="str">
        <f>IF(AC128="Approved",(PRODUCT(VLOOKUP($A128,'ADB Projects'!$A$4:$W$21,8,FALSE),1000000)),"")</f>
        <v/>
      </c>
      <c r="AI128" s="55" t="s">
        <v>541</v>
      </c>
      <c r="AJ128" s="55"/>
      <c r="AK128" s="244"/>
      <c r="AL128" s="55"/>
      <c r="AM128" s="55"/>
      <c r="AN128" s="55"/>
      <c r="AO128" s="55"/>
      <c r="AP128" s="55"/>
      <c r="AQ128" s="602" t="str">
        <f t="shared" si="56"/>
        <v/>
      </c>
      <c r="AR128" s="602" t="str">
        <f>IFERROR(VLOOKUP($A128,'IDB C19 Vaccine Projects'!$O$4:$Q$12,2,FALSE),"")</f>
        <v/>
      </c>
      <c r="AS128" s="602" t="str">
        <f>IFERROR(VLOOKUP($A128,'IDB C19 Vaccine Projects'!$O$4:$Q$12,3,FALSE),"")</f>
        <v/>
      </c>
      <c r="AT128" s="55"/>
      <c r="AU128" s="88"/>
      <c r="AV128" s="55"/>
      <c r="AW128" s="55"/>
      <c r="AX128" s="88">
        <f>INDEX(USAID!$C$3:$C$151,MATCH('Matrix Allocations'!A128,USAID!$A$3:$A$151,0))</f>
        <v>900000</v>
      </c>
      <c r="AY128" s="110"/>
      <c r="AZ128" s="88">
        <f>IFERROR(INDEX('[4]Vx All regions allocations'!O$10:O$144,MATCH(A128,'[4]Vx All regions allocations'!A$10:A$144,0)),"")</f>
        <v>450000</v>
      </c>
      <c r="BA128" s="88">
        <v>25000</v>
      </c>
      <c r="BB128" s="88">
        <v>402999.54000000004</v>
      </c>
      <c r="BC128" s="88" t="str">
        <f>IFERROR(INDEX(DFAT!$K$4:$K$21,MATCH('Matrix Allocations'!A128,DFAT!$B$4:$B$21,0)),"")</f>
        <v/>
      </c>
      <c r="BD128" s="88"/>
      <c r="BE128" s="826" t="str">
        <f>IFERROR(IF(INDEX('GAVI CCE'!$E$3:$E$95,MATCH('Matrix Allocations'!A128,'GAVI CCE'!$A$3:$A$95,0))="Yes",INDEX('GAVI CCE'!$E$3:$E$95,MATCH('Matrix Allocations'!A128,'GAVI CCE'!$A$3:$A$95,0)),""),"")</f>
        <v/>
      </c>
      <c r="BF128" s="88" t="str">
        <f>IFERROR(IF(BE128="Yes",INDEX('GAVI CCE'!$F$3:$F$95,MATCH('Matrix Allocations'!A128,'GAVI CCE'!$A$3:$A$95,0)),""),"")</f>
        <v/>
      </c>
      <c r="BG128" s="609" t="str">
        <f>IFERROR(IF(E128='CDS early access ceilings'!$A$94,(VLOOKUP(A128,'CDS early access ceilings'!$A$2:$D$92,4,FALSE)),""),"")</f>
        <v>UNICEF</v>
      </c>
      <c r="BH128" s="639" t="str">
        <f>IFERROR(INDEX(Table14[Status (clean)],MATCH('Matrix Allocations'!A128,Table14[ISO Code],0)),"")</f>
        <v>Disbursed</v>
      </c>
      <c r="BI128" s="641">
        <f>IFERROR(INDEX(Table14[Amount disbursed (USD)],MATCH('Matrix Allocations'!A128,Table14[ISO Code],0)),"")</f>
        <v>230000</v>
      </c>
      <c r="BJ128" s="641" t="str">
        <f>IFERROR(INDEX('CDS NBW'!$I$2:$I$39,MATCH(A128,'CDS NBW'!$A$2:$A$39,0)),"")</f>
        <v>Disbursed</v>
      </c>
      <c r="BK128" s="641">
        <f>IFERROR(INDEX('CDS NBW'!$J$2:$J$39,MATCH(A128,'CDS NBW'!$A$2:$A$39,0)),"")</f>
        <v>1000000</v>
      </c>
      <c r="BL128" s="609"/>
      <c r="BM128" s="609"/>
      <c r="BN128" s="609"/>
      <c r="BO128" s="609"/>
      <c r="BP128" s="609">
        <f>IFERROR(INDEX('UNICEF-BMZ'!$O$1:$O$199,MATCH('Matrix Allocations'!A128,'UNICEF-BMZ'!$B$1:$B$199,0)),"")</f>
        <v>0</v>
      </c>
      <c r="BQ128" s="609" t="str">
        <f>IFERROR(VLOOKUP(A128,'BMGF_clean data'!$A$4:$C$30,3,FALSE),"")</f>
        <v/>
      </c>
      <c r="BR128" s="609"/>
      <c r="BS128" s="609"/>
      <c r="BT128" s="609"/>
      <c r="BU128" s="609"/>
      <c r="BV128" s="609"/>
      <c r="BW128" s="87">
        <f>INDEX(USAID!$D$3:$D$151,MATCH('Matrix Allocations'!A128,USAID!$A$3:$A$151,0))</f>
        <v>0</v>
      </c>
      <c r="BX128" s="87" t="str">
        <f>IFERROR(INDEX(DFAT!$L$4:$L$21,MATCH('Matrix Allocations'!A128,DFAT!$B$4:$B$21,0)),"")</f>
        <v/>
      </c>
      <c r="BY128" s="87">
        <f>IFERROR(INDEX(Table14[Funds Channelled through UNICEF],MATCH('Matrix Allocations'!A128,Table14[ISO Code],0)),"")</f>
        <v>0</v>
      </c>
      <c r="BZ128" s="87">
        <f t="shared" si="53"/>
        <v>230000</v>
      </c>
      <c r="CA128">
        <f t="shared" si="60"/>
        <v>5222756</v>
      </c>
      <c r="CB128" s="782">
        <f t="shared" si="42"/>
        <v>1566826.8</v>
      </c>
      <c r="CC128" s="791">
        <f t="shared" si="37"/>
        <v>3007999.54</v>
      </c>
      <c r="CD128" s="788">
        <f t="shared" si="43"/>
        <v>1.9198034779594018</v>
      </c>
      <c r="CE128" s="788">
        <f t="shared" si="44"/>
        <v>1.4398526084695513</v>
      </c>
      <c r="CF128" s="828">
        <f t="shared" si="45"/>
        <v>0.82277291912545802</v>
      </c>
      <c r="CG128" s="828">
        <f t="shared" si="38"/>
        <v>0.57594104338782048</v>
      </c>
      <c r="CH128" s="88">
        <f t="shared" si="61"/>
        <v>0</v>
      </c>
      <c r="CI128" s="88">
        <f t="shared" si="39"/>
        <v>900000</v>
      </c>
      <c r="CJ128" s="742">
        <f t="shared" si="62"/>
        <v>0</v>
      </c>
      <c r="CK128" s="848">
        <f t="shared" si="40"/>
        <v>450000</v>
      </c>
      <c r="CL128" s="88">
        <f t="shared" si="41"/>
        <v>2657999.54</v>
      </c>
    </row>
    <row r="129" spans="1:90" ht="17.25" customHeight="1">
      <c r="A129" s="57" t="s">
        <v>677</v>
      </c>
      <c r="B129" s="57" t="s">
        <v>277</v>
      </c>
      <c r="C129" s="57" t="s">
        <v>131</v>
      </c>
      <c r="D129" s="57" t="s">
        <v>148</v>
      </c>
      <c r="E129" s="57" t="s">
        <v>145</v>
      </c>
      <c r="F129" s="57">
        <v>1</v>
      </c>
      <c r="G129" s="57" t="str">
        <f t="shared" si="63"/>
        <v>No</v>
      </c>
      <c r="H129" s="57" t="str">
        <f t="shared" si="63"/>
        <v>No</v>
      </c>
      <c r="I129" s="57" t="str">
        <f t="shared" si="57"/>
        <v>No</v>
      </c>
      <c r="J129" s="57" t="str">
        <f t="shared" si="58"/>
        <v>Yes</v>
      </c>
      <c r="K129" s="57" t="str">
        <f t="shared" si="59"/>
        <v>No</v>
      </c>
      <c r="L129" s="62" t="s">
        <v>541</v>
      </c>
      <c r="M129" s="55" t="s">
        <v>544</v>
      </c>
      <c r="N129" s="136" t="s">
        <v>544</v>
      </c>
      <c r="O129" s="57" t="s">
        <v>544</v>
      </c>
      <c r="P129" s="57" t="s">
        <v>546</v>
      </c>
      <c r="Q129" s="57" t="s">
        <v>541</v>
      </c>
      <c r="R129" s="57"/>
      <c r="S129" s="956">
        <v>577156172.71229994</v>
      </c>
      <c r="T129" s="55" t="s">
        <v>394</v>
      </c>
      <c r="U129" s="64" t="str">
        <f>IFERROR(IF(VLOOKUP(A129,'WB projects data'!$A$5:$C$83,3,0)="Approved",(VLOOKUP(A129,'WB projects data'!$A$5:$C$83,3,0)),""),"")</f>
        <v>Approved</v>
      </c>
      <c r="V129" s="123">
        <f t="shared" si="55"/>
        <v>100900000</v>
      </c>
      <c r="W129" s="123">
        <f>IFERROR((VLOOKUP($A129,'WB projects data'!$A$5:$J$83,6,0)*1000000),"")</f>
        <v>0</v>
      </c>
      <c r="X129" s="123">
        <f>IFERROR((VLOOKUP($A129,'WB projects data'!$A$5:$J$83,7,0)*1000000),"")</f>
        <v>100000000</v>
      </c>
      <c r="Y129" s="123">
        <f>IFERROR((VLOOKUP($A129,'WB projects data'!$A$5:$J$83,8,0)*1000000),"")</f>
        <v>30400000</v>
      </c>
      <c r="Z129" s="123">
        <f>IFERROR((VLOOKUP($A129,'WB projects data'!$A$5:$J$83,9,0)*1000000),"")</f>
        <v>49600000</v>
      </c>
      <c r="AA129" s="123">
        <f>IFERROR((VLOOKUP($A129,'WB projects data'!$A$5:$J$83,10,0)*1000000),"")</f>
        <v>20900000</v>
      </c>
      <c r="AB129" s="57"/>
      <c r="AC129" s="110"/>
      <c r="AD129" s="110" t="str">
        <f>IFERROR(VLOOKUP(A129,'ADB Projects'!$A$4:$W$21,5,FALSE),"")</f>
        <v/>
      </c>
      <c r="AE129" s="132" t="str">
        <f>IF(AC129="Approved",(VLOOKUP($A129,'ADB Projects'!$A$5:$D$21,4,0)*1000000),"")</f>
        <v/>
      </c>
      <c r="AF129" s="585" t="str">
        <f>IF(AC129="Approved",(PRODUCT(VLOOKUP($A129,'ADB Projects'!$A$4:$W$21,6,FALSE),1000000)),"")</f>
        <v/>
      </c>
      <c r="AG129" s="585" t="str">
        <f>IF(AC129="Approved",(PRODUCT(VLOOKUP($A129,'ADB Projects'!$A$4:$W$21,7,FALSE),1000000)),"")</f>
        <v/>
      </c>
      <c r="AH129" s="585" t="str">
        <f>IF(AC129="Approved",(PRODUCT(VLOOKUP($A129,'ADB Projects'!$A$4:$W$21,8,FALSE),1000000)),"")</f>
        <v/>
      </c>
      <c r="AI129" s="148" t="s">
        <v>541</v>
      </c>
      <c r="AJ129" s="55"/>
      <c r="AK129" s="244"/>
      <c r="AL129" s="148" t="s">
        <v>541</v>
      </c>
      <c r="AM129" s="148"/>
      <c r="AN129" s="148"/>
      <c r="AO129" s="148"/>
      <c r="AP129" s="148"/>
      <c r="AQ129" s="602" t="str">
        <f t="shared" si="56"/>
        <v/>
      </c>
      <c r="AR129" s="602" t="str">
        <f>IFERROR(VLOOKUP($A129,'IDB C19 Vaccine Projects'!$O$4:$Q$12,2,FALSE),"")</f>
        <v/>
      </c>
      <c r="AS129" s="602" t="str">
        <f>IFERROR(VLOOKUP($A129,'IDB C19 Vaccine Projects'!$O$4:$Q$12,3,FALSE),"")</f>
        <v/>
      </c>
      <c r="AT129" s="55"/>
      <c r="AU129" s="88"/>
      <c r="AV129" s="55"/>
      <c r="AW129" s="55"/>
      <c r="AX129" s="88">
        <f>INDEX(USAID!$C$3:$C$151,MATCH('Matrix Allocations'!A129,USAID!$A$3:$A$151,0))</f>
        <v>710000</v>
      </c>
      <c r="AY129" s="110"/>
      <c r="AZ129" s="88">
        <f>IFERROR(INDEX('[4]Vx All regions allocations'!O$10:O$144,MATCH(A129,'[4]Vx All regions allocations'!A$10:A$144,0)),"")</f>
        <v>7767500</v>
      </c>
      <c r="BA129" s="88">
        <v>384079.62962962961</v>
      </c>
      <c r="BB129" s="88">
        <v>685003</v>
      </c>
      <c r="BC129" s="88" t="str">
        <f>IFERROR(INDEX(DFAT!$K$4:$K$21,MATCH('Matrix Allocations'!A129,DFAT!$B$4:$B$21,0)),"")</f>
        <v/>
      </c>
      <c r="BD129" s="88"/>
      <c r="BE129" s="826" t="str">
        <f>IFERROR(IF(INDEX('GAVI CCE'!$E$3:$E$95,MATCH('Matrix Allocations'!A129,'GAVI CCE'!$A$3:$A$95,0))="Yes",INDEX('GAVI CCE'!$E$3:$E$95,MATCH('Matrix Allocations'!A129,'GAVI CCE'!$A$3:$A$95,0)),""),"")</f>
        <v>Yes</v>
      </c>
      <c r="BF129" s="88">
        <f>IFERROR(IF(BE129="Yes",INDEX('GAVI CCE'!$F$3:$F$95,MATCH('Matrix Allocations'!A129,'GAVI CCE'!$A$3:$A$95,0)),""),"")</f>
        <v>936629</v>
      </c>
      <c r="BG129" s="609" t="str">
        <f>IFERROR(IF(E129='CDS early access ceilings'!$A$94,(VLOOKUP(A129,'CDS early access ceilings'!$A$2:$D$92,4,FALSE)),""),"")</f>
        <v>GAVI</v>
      </c>
      <c r="BH129" s="639" t="str">
        <f>IFERROR(INDEX(Table14[Status (clean)],MATCH('Matrix Allocations'!A129,Table14[ISO Code],0)),"")</f>
        <v>Disbursed</v>
      </c>
      <c r="BI129" s="641">
        <f>IFERROR(INDEX(Table14[Amount disbursed (USD)],MATCH('Matrix Allocations'!A129,Table14[ISO Code],0)),"")</f>
        <v>3536433</v>
      </c>
      <c r="BJ129" s="641" t="str">
        <f>IFERROR(INDEX('CDS NBW'!$I$2:$I$39,MATCH(A129,'CDS NBW'!$A$2:$A$39,0)),"")</f>
        <v/>
      </c>
      <c r="BK129" s="641" t="str">
        <f>IFERROR(INDEX('CDS NBW'!$J$2:$J$39,MATCH(A129,'CDS NBW'!$A$2:$A$39,0)),"")</f>
        <v/>
      </c>
      <c r="BL129" s="609"/>
      <c r="BM129" s="609"/>
      <c r="BN129" s="609"/>
      <c r="BO129" s="609">
        <v>476081.75</v>
      </c>
      <c r="BP129" s="609">
        <f>IFERROR(INDEX('UNICEF-BMZ'!$O$1:$O$199,MATCH('Matrix Allocations'!A129,'UNICEF-BMZ'!$B$1:$B$199,0)),"")</f>
        <v>50000</v>
      </c>
      <c r="BQ129" s="609" t="str">
        <f>IFERROR(VLOOKUP(A129,'BMGF_clean data'!$A$4:$C$30,3,FALSE),"")</f>
        <v/>
      </c>
      <c r="BR129" s="609"/>
      <c r="BS129" s="609"/>
      <c r="BT129" s="609"/>
      <c r="BU129" s="609"/>
      <c r="BV129" s="609"/>
      <c r="BW129" s="87">
        <f>INDEX(USAID!$D$3:$D$151,MATCH('Matrix Allocations'!A129,USAID!$A$3:$A$151,0))</f>
        <v>0</v>
      </c>
      <c r="BX129" s="87" t="str">
        <f>IFERROR(INDEX(DFAT!$L$4:$L$21,MATCH('Matrix Allocations'!A129,DFAT!$B$4:$B$21,0)),"")</f>
        <v/>
      </c>
      <c r="BY129" s="87">
        <f>IFERROR(INDEX(Table14[Funds Channelled through UNICEF],MATCH('Matrix Allocations'!A129,Table14[ISO Code],0)),"")</f>
        <v>1124355</v>
      </c>
      <c r="BZ129" s="87">
        <f t="shared" si="53"/>
        <v>1124355</v>
      </c>
      <c r="CA129">
        <f t="shared" si="60"/>
        <v>44909351</v>
      </c>
      <c r="CB129" s="782">
        <f t="shared" si="42"/>
        <v>13472805.299999999</v>
      </c>
      <c r="CC129" s="791">
        <f t="shared" si="37"/>
        <v>64145726.379629627</v>
      </c>
      <c r="CD129" s="788">
        <f t="shared" si="43"/>
        <v>4.7611262058117649</v>
      </c>
      <c r="CE129" s="788">
        <f t="shared" si="44"/>
        <v>3.5708446543588228</v>
      </c>
      <c r="CF129" s="828">
        <f t="shared" si="45"/>
        <v>2.0404826596336134</v>
      </c>
      <c r="CG129" s="828">
        <f t="shared" si="38"/>
        <v>1.4283378617435292</v>
      </c>
      <c r="CH129" s="88">
        <f t="shared" si="61"/>
        <v>49600000</v>
      </c>
      <c r="CI129" s="88">
        <f t="shared" si="39"/>
        <v>710000</v>
      </c>
      <c r="CJ129" s="742">
        <f t="shared" si="62"/>
        <v>476081.75</v>
      </c>
      <c r="CK129" s="848">
        <f t="shared" si="40"/>
        <v>9367936.75</v>
      </c>
      <c r="CL129" s="88">
        <f t="shared" si="41"/>
        <v>5592144.6296296297</v>
      </c>
    </row>
    <row r="130" spans="1:90">
      <c r="A130" s="149" t="s">
        <v>678</v>
      </c>
      <c r="B130" s="149" t="s">
        <v>278</v>
      </c>
      <c r="C130" s="57" t="s">
        <v>126</v>
      </c>
      <c r="D130" s="57" t="s">
        <v>152</v>
      </c>
      <c r="E130" s="57" t="s">
        <v>146</v>
      </c>
      <c r="F130" s="57"/>
      <c r="G130" s="57" t="str">
        <f t="shared" si="63"/>
        <v>Yes</v>
      </c>
      <c r="H130" s="57" t="str">
        <f t="shared" si="63"/>
        <v>Yes</v>
      </c>
      <c r="I130" s="57" t="str">
        <f t="shared" si="57"/>
        <v>No</v>
      </c>
      <c r="J130" s="57" t="str">
        <f t="shared" si="58"/>
        <v>No</v>
      </c>
      <c r="K130" s="57" t="str">
        <f t="shared" si="59"/>
        <v>Yes</v>
      </c>
      <c r="L130" s="62" t="s">
        <v>541</v>
      </c>
      <c r="M130" s="55" t="s">
        <v>544</v>
      </c>
      <c r="N130" s="136" t="s">
        <v>544</v>
      </c>
      <c r="O130" s="57" t="s">
        <v>544</v>
      </c>
      <c r="P130" s="57"/>
      <c r="Q130" s="57"/>
      <c r="R130" s="57"/>
      <c r="S130" s="956">
        <v>180052034.19851837</v>
      </c>
      <c r="T130" s="55" t="s">
        <v>395</v>
      </c>
      <c r="U130" s="64" t="str">
        <f>IFERROR(IF(VLOOKUP(A130,'WB projects data'!$A$5:$C$83,3,0)="Approved",(VLOOKUP(A130,'WB projects data'!$A$5:$C$83,3,0)),""),"")</f>
        <v/>
      </c>
      <c r="V130" s="123" t="str">
        <f t="shared" si="55"/>
        <v/>
      </c>
      <c r="W130" s="123" t="str">
        <f>IFERROR((VLOOKUP($A130,'WB projects data'!$A$5:$J$83,6,0)*1000000),"")</f>
        <v/>
      </c>
      <c r="X130" s="123" t="str">
        <f>IFERROR((VLOOKUP($A130,'WB projects data'!$A$5:$J$83,7,0)*1000000),"")</f>
        <v/>
      </c>
      <c r="Y130" s="123" t="str">
        <f>IFERROR((VLOOKUP($A130,'WB projects data'!$A$5:$J$83,8,0)*1000000),"")</f>
        <v/>
      </c>
      <c r="Z130" s="123" t="str">
        <f>IFERROR((VLOOKUP($A130,'WB projects data'!$A$5:$J$83,9,0)*1000000),"")</f>
        <v/>
      </c>
      <c r="AA130" s="123" t="str">
        <f>IFERROR((VLOOKUP($A130,'WB projects data'!$A$5:$J$83,10,0)*1000000),"")</f>
        <v/>
      </c>
      <c r="AB130" s="57"/>
      <c r="AC130" s="110"/>
      <c r="AD130" s="110" t="str">
        <f>IFERROR(VLOOKUP(A130,'ADB Projects'!$A$4:$W$21,5,FALSE),"")</f>
        <v/>
      </c>
      <c r="AE130" s="132" t="str">
        <f>IF(AC130="Approved",(VLOOKUP($A130,'ADB Projects'!$A$5:$D$21,4,0)*1000000),"")</f>
        <v/>
      </c>
      <c r="AF130" s="585" t="str">
        <f>IF(AC130="Approved",(PRODUCT(VLOOKUP($A130,'ADB Projects'!$A$4:$W$21,6,FALSE),1000000)),"")</f>
        <v/>
      </c>
      <c r="AG130" s="585" t="str">
        <f>IF(AC130="Approved",(PRODUCT(VLOOKUP($A130,'ADB Projects'!$A$4:$W$21,7,FALSE),1000000)),"")</f>
        <v/>
      </c>
      <c r="AH130" s="585" t="str">
        <f>IF(AC130="Approved",(PRODUCT(VLOOKUP($A130,'ADB Projects'!$A$4:$W$21,8,FALSE),1000000)),"")</f>
        <v/>
      </c>
      <c r="AI130" s="55"/>
      <c r="AJ130" s="55"/>
      <c r="AK130" s="244"/>
      <c r="AL130" s="55"/>
      <c r="AM130" s="55"/>
      <c r="AN130" s="55"/>
      <c r="AO130" s="55" t="s">
        <v>541</v>
      </c>
      <c r="AP130" s="55"/>
      <c r="AQ130" s="602" t="str">
        <f t="shared" si="56"/>
        <v/>
      </c>
      <c r="AR130" s="602" t="str">
        <f>IFERROR(VLOOKUP($A130,'IDB C19 Vaccine Projects'!$O$4:$Q$12,2,FALSE),"")</f>
        <v/>
      </c>
      <c r="AS130" s="602" t="str">
        <f>IFERROR(VLOOKUP($A130,'IDB C19 Vaccine Projects'!$O$4:$Q$12,3,FALSE),"")</f>
        <v/>
      </c>
      <c r="AT130" s="55"/>
      <c r="AU130" s="88"/>
      <c r="AV130" s="55"/>
      <c r="AW130" s="55"/>
      <c r="AX130" s="88" t="str">
        <f>INDEX(USAID!$C$3:$C$151,MATCH('Matrix Allocations'!A130,USAID!$A$3:$A$151,0))</f>
        <v/>
      </c>
      <c r="AY130" s="110"/>
      <c r="AZ130" s="88">
        <f>IFERROR(INDEX('[4]Vx All regions allocations'!O$10:O$144,MATCH(A130,'[4]Vx All regions allocations'!A$10:A$144,0)),"")</f>
        <v>0</v>
      </c>
      <c r="BA130" s="88">
        <v>0</v>
      </c>
      <c r="BB130" s="88">
        <v>0</v>
      </c>
      <c r="BC130" s="88" t="str">
        <f>IFERROR(INDEX(DFAT!$K$4:$K$21,MATCH('Matrix Allocations'!A130,DFAT!$B$4:$B$21,0)),"")</f>
        <v/>
      </c>
      <c r="BD130" s="88"/>
      <c r="BE130" s="826" t="str">
        <f>IFERROR(IF(INDEX('GAVI CCE'!$E$3:$E$95,MATCH('Matrix Allocations'!A130,'GAVI CCE'!$A$3:$A$95,0))="Yes",INDEX('GAVI CCE'!$E$3:$E$95,MATCH('Matrix Allocations'!A130,'GAVI CCE'!$A$3:$A$95,0)),""),"")</f>
        <v/>
      </c>
      <c r="BF130" s="88" t="str">
        <f>IFERROR(IF(BE130="Yes",INDEX('GAVI CCE'!$F$3:$F$95,MATCH('Matrix Allocations'!A130,'GAVI CCE'!$A$3:$A$95,0)),""),"")</f>
        <v/>
      </c>
      <c r="BG130" s="609" t="str">
        <f>IFERROR(IF(E130='CDS early access ceilings'!$A$94,(VLOOKUP(A130,'CDS early access ceilings'!$A$2:$D$92,4,FALSE)),""),"")</f>
        <v/>
      </c>
      <c r="BH130" s="639" t="str">
        <f>IFERROR(INDEX(Table14[Status (clean)],MATCH('Matrix Allocations'!A130,Table14[ISO Code],0)),"")</f>
        <v/>
      </c>
      <c r="BI130" s="641" t="str">
        <f>IFERROR(INDEX(Table14[Amount disbursed (USD)],MATCH('Matrix Allocations'!A130,Table14[ISO Code],0)),"")</f>
        <v/>
      </c>
      <c r="BJ130" s="641" t="str">
        <f>IFERROR(INDEX('CDS NBW'!$I$2:$I$39,MATCH(A130,'CDS NBW'!$A$2:$A$39,0)),"")</f>
        <v/>
      </c>
      <c r="BK130" s="641" t="str">
        <f>IFERROR(INDEX('CDS NBW'!$J$2:$J$39,MATCH(A130,'CDS NBW'!$A$2:$A$39,0)),"")</f>
        <v/>
      </c>
      <c r="BL130" s="609"/>
      <c r="BM130" s="609"/>
      <c r="BN130" s="609"/>
      <c r="BO130" s="609">
        <v>282294</v>
      </c>
      <c r="BP130" s="609" t="str">
        <f>IFERROR(INDEX('UNICEF-BMZ'!$O$1:$O$199,MATCH('Matrix Allocations'!A130,'UNICEF-BMZ'!$B$1:$B$199,0)),"")</f>
        <v/>
      </c>
      <c r="BQ130" s="609" t="str">
        <f>IFERROR(VLOOKUP(A130,'BMGF_clean data'!$A$4:$C$30,3,FALSE),"")</f>
        <v/>
      </c>
      <c r="BR130" s="609"/>
      <c r="BS130" s="609"/>
      <c r="BT130" s="609"/>
      <c r="BU130" s="609"/>
      <c r="BV130" s="609"/>
      <c r="BW130" s="87">
        <f>INDEX(USAID!$D$3:$D$151,MATCH('Matrix Allocations'!A130,USAID!$A$3:$A$151,0))</f>
        <v>0</v>
      </c>
      <c r="BX130" s="87" t="str">
        <f>IFERROR(INDEX(DFAT!$L$4:$L$21,MATCH('Matrix Allocations'!A130,DFAT!$B$4:$B$21,0)),"")</f>
        <v/>
      </c>
      <c r="BY130" s="87" t="str">
        <f>IFERROR(INDEX(Table14[Funds Channelled through UNICEF],MATCH('Matrix Allocations'!A130,Table14[ISO Code],0)),"")</f>
        <v/>
      </c>
      <c r="BZ130" s="87">
        <f t="shared" si="53"/>
        <v>0</v>
      </c>
      <c r="CA130">
        <f t="shared" si="60"/>
        <v>591798</v>
      </c>
      <c r="CB130" s="782">
        <f t="shared" si="42"/>
        <v>177539.4</v>
      </c>
      <c r="CC130" s="791">
        <f t="shared" si="37"/>
        <v>282294</v>
      </c>
      <c r="CD130" s="788">
        <f t="shared" si="43"/>
        <v>1.5900357892388957</v>
      </c>
      <c r="CE130" s="788">
        <f t="shared" si="44"/>
        <v>1.1925268419291717</v>
      </c>
      <c r="CF130" s="828">
        <f t="shared" si="45"/>
        <v>0.68144390967381252</v>
      </c>
      <c r="CG130" s="828">
        <f t="shared" si="38"/>
        <v>0.47701073677166872</v>
      </c>
      <c r="CH130" s="88">
        <f t="shared" si="61"/>
        <v>0</v>
      </c>
      <c r="CI130" s="88">
        <f t="shared" si="39"/>
        <v>0</v>
      </c>
      <c r="CJ130" s="742">
        <f t="shared" si="62"/>
        <v>282294</v>
      </c>
      <c r="CK130" s="848">
        <f t="shared" si="40"/>
        <v>282294</v>
      </c>
      <c r="CL130" s="88">
        <f t="shared" si="41"/>
        <v>0</v>
      </c>
    </row>
    <row r="131" spans="1:90" ht="17.25" customHeight="1">
      <c r="A131" s="57" t="s">
        <v>679</v>
      </c>
      <c r="B131" s="57" t="s">
        <v>279</v>
      </c>
      <c r="C131" s="57" t="s">
        <v>131</v>
      </c>
      <c r="D131" s="57" t="s">
        <v>148</v>
      </c>
      <c r="E131" s="57" t="s">
        <v>145</v>
      </c>
      <c r="F131" s="57">
        <v>1</v>
      </c>
      <c r="G131" s="57" t="str">
        <f t="shared" si="63"/>
        <v>No</v>
      </c>
      <c r="H131" s="57" t="str">
        <f t="shared" si="63"/>
        <v>No</v>
      </c>
      <c r="I131" s="57" t="str">
        <f t="shared" si="57"/>
        <v>No</v>
      </c>
      <c r="J131" s="57" t="str">
        <f t="shared" si="58"/>
        <v>Yes</v>
      </c>
      <c r="K131" s="57" t="str">
        <f t="shared" si="59"/>
        <v>No</v>
      </c>
      <c r="L131" s="62" t="s">
        <v>541</v>
      </c>
      <c r="M131" s="55" t="s">
        <v>544</v>
      </c>
      <c r="N131" s="136" t="s">
        <v>544</v>
      </c>
      <c r="O131" s="57" t="s">
        <v>544</v>
      </c>
      <c r="P131" s="57" t="s">
        <v>546</v>
      </c>
      <c r="Q131" s="57" t="s">
        <v>541</v>
      </c>
      <c r="R131" s="57"/>
      <c r="S131" s="956" t="s">
        <v>575</v>
      </c>
      <c r="T131" s="55" t="s">
        <v>394</v>
      </c>
      <c r="U131" s="64" t="str">
        <f>IFERROR(IF(VLOOKUP(A131,'WB projects data'!$A$5:$C$83,3,0)="Approved",(VLOOKUP(A131,'WB projects data'!$A$5:$C$83,3,0)),""),"")</f>
        <v/>
      </c>
      <c r="V131" s="123" t="str">
        <f t="shared" si="55"/>
        <v/>
      </c>
      <c r="W131" s="123" t="str">
        <f>IFERROR((VLOOKUP($A131,'WB projects data'!$A$5:$J$83,6,0)*1000000),"")</f>
        <v/>
      </c>
      <c r="X131" s="123" t="str">
        <f>IFERROR((VLOOKUP($A131,'WB projects data'!$A$5:$J$83,7,0)*1000000),"")</f>
        <v/>
      </c>
      <c r="Y131" s="123" t="str">
        <f>IFERROR((VLOOKUP($A131,'WB projects data'!$A$5:$J$83,8,0)*1000000),"")</f>
        <v/>
      </c>
      <c r="Z131" s="123" t="str">
        <f>IFERROR((VLOOKUP($A131,'WB projects data'!$A$5:$J$83,9,0)*1000000),"")</f>
        <v/>
      </c>
      <c r="AA131" s="123" t="str">
        <f>IFERROR((VLOOKUP($A131,'WB projects data'!$A$5:$J$83,10,0)*1000000),"")</f>
        <v/>
      </c>
      <c r="AB131" s="57"/>
      <c r="AC131" s="110"/>
      <c r="AD131" s="110" t="str">
        <f>IFERROR(VLOOKUP(A131,'ADB Projects'!$A$4:$W$21,5,FALSE),"")</f>
        <v/>
      </c>
      <c r="AE131" s="132" t="str">
        <f>IF(AC131="Approved",(VLOOKUP($A131,'ADB Projects'!$A$5:$D$21,4,0)*1000000),"")</f>
        <v/>
      </c>
      <c r="AF131" s="585" t="str">
        <f>IF(AC131="Approved",(PRODUCT(VLOOKUP($A131,'ADB Projects'!$A$4:$W$21,6,FALSE),1000000)),"")</f>
        <v/>
      </c>
      <c r="AG131" s="585" t="str">
        <f>IF(AC131="Approved",(PRODUCT(VLOOKUP($A131,'ADB Projects'!$A$4:$W$21,7,FALSE),1000000)),"")</f>
        <v/>
      </c>
      <c r="AH131" s="585" t="str">
        <f>IF(AC131="Approved",(PRODUCT(VLOOKUP($A131,'ADB Projects'!$A$4:$W$21,8,FALSE),1000000)),"")</f>
        <v/>
      </c>
      <c r="AI131" s="55" t="s">
        <v>541</v>
      </c>
      <c r="AJ131" s="55"/>
      <c r="AK131" s="244"/>
      <c r="AL131" s="55"/>
      <c r="AM131" s="55"/>
      <c r="AN131" s="55"/>
      <c r="AO131" s="55"/>
      <c r="AP131" s="55"/>
      <c r="AQ131" s="602" t="str">
        <f t="shared" si="56"/>
        <v/>
      </c>
      <c r="AR131" s="602" t="str">
        <f>IFERROR(VLOOKUP($A131,'IDB C19 Vaccine Projects'!$O$4:$Q$12,2,FALSE),"")</f>
        <v/>
      </c>
      <c r="AS131" s="602" t="str">
        <f>IFERROR(VLOOKUP($A131,'IDB C19 Vaccine Projects'!$O$4:$Q$12,3,FALSE),"")</f>
        <v/>
      </c>
      <c r="AT131" s="55"/>
      <c r="AU131" s="88"/>
      <c r="AV131" s="55"/>
      <c r="AW131" s="55"/>
      <c r="AX131" s="88">
        <f>INDEX(USAID!$C$3:$C$151,MATCH('Matrix Allocations'!A131,USAID!$A$3:$A$151,0))</f>
        <v>300000</v>
      </c>
      <c r="AY131" s="110"/>
      <c r="AZ131" s="88">
        <f>IFERROR(INDEX('[4]Vx All regions allocations'!O$10:O$144,MATCH(A131,'[4]Vx All regions allocations'!A$10:A$144,0)),"")+800000</f>
        <v>5153018</v>
      </c>
      <c r="BA131" s="88">
        <v>460772.22222222219</v>
      </c>
      <c r="BB131" s="88">
        <v>458787.5</v>
      </c>
      <c r="BC131" s="88" t="str">
        <f>IFERROR(INDEX(DFAT!$K$4:$K$21,MATCH('Matrix Allocations'!A131,DFAT!$B$4:$B$21,0)),"")</f>
        <v/>
      </c>
      <c r="BD131" s="88"/>
      <c r="BE131" s="826" t="str">
        <f>IFERROR(IF(INDEX('GAVI CCE'!$E$3:$E$95,MATCH('Matrix Allocations'!A131,'GAVI CCE'!$A$3:$A$95,0))="Yes",INDEX('GAVI CCE'!$E$3:$E$95,MATCH('Matrix Allocations'!A131,'GAVI CCE'!$A$3:$A$95,0)),""),"")</f>
        <v>Yes</v>
      </c>
      <c r="BF131" s="88">
        <f>IFERROR(IF(BE131="Yes",INDEX('GAVI CCE'!$F$3:$F$95,MATCH('Matrix Allocations'!A131,'GAVI CCE'!$A$3:$A$95,0)),""),"")</f>
        <v>340991</v>
      </c>
      <c r="BG131" s="609" t="str">
        <f>IFERROR(IF(E131='CDS early access ceilings'!$A$94,(VLOOKUP(A131,'CDS early access ceilings'!$A$2:$D$92,4,FALSE)),""),"")</f>
        <v>GAVI</v>
      </c>
      <c r="BH131" s="639" t="str">
        <f>IFERROR(INDEX(Table14[Status (clean)],MATCH('Matrix Allocations'!A131,Table14[ISO Code],0)),"")</f>
        <v>Disbursed</v>
      </c>
      <c r="BI131" s="641">
        <f>IFERROR(INDEX(Table14[Amount disbursed (USD)],MATCH('Matrix Allocations'!A131,Table14[ISO Code],0)),"")</f>
        <v>2730325</v>
      </c>
      <c r="BJ131" s="641" t="str">
        <f>IFERROR(INDEX('CDS NBW'!$I$2:$I$39,MATCH(A131,'CDS NBW'!$A$2:$A$39,0)),"")</f>
        <v>Submitted</v>
      </c>
      <c r="BK131" s="641" t="str">
        <f>IFERROR(INDEX('CDS NBW'!$J$2:$J$39,MATCH(A131,'CDS NBW'!$A$2:$A$39,0)),"")</f>
        <v/>
      </c>
      <c r="BL131" s="609"/>
      <c r="BM131" s="609"/>
      <c r="BN131" s="609"/>
      <c r="BO131" s="609"/>
      <c r="BP131" s="609">
        <f>IFERROR(INDEX('UNICEF-BMZ'!$O$1:$O$199,MATCH('Matrix Allocations'!A131,'UNICEF-BMZ'!$B$1:$B$199,0)),"")</f>
        <v>175000</v>
      </c>
      <c r="BQ131" s="609" t="str">
        <f>IFERROR(VLOOKUP(A131,'BMGF_clean data'!$A$4:$C$30,3,FALSE),"")</f>
        <v/>
      </c>
      <c r="BR131" s="609"/>
      <c r="BS131" s="609"/>
      <c r="BT131" s="609"/>
      <c r="BU131" s="609"/>
      <c r="BV131" s="609"/>
      <c r="BW131" s="87">
        <f>INDEX(USAID!$D$3:$D$151,MATCH('Matrix Allocations'!A131,USAID!$A$3:$A$151,0))</f>
        <v>0</v>
      </c>
      <c r="BX131" s="87" t="str">
        <f>IFERROR(INDEX(DFAT!$L$4:$L$21,MATCH('Matrix Allocations'!A131,DFAT!$B$4:$B$21,0)),"")</f>
        <v/>
      </c>
      <c r="BY131" s="87">
        <f>IFERROR(INDEX(Table14[Funds Channelled through UNICEF],MATCH('Matrix Allocations'!A131,Table14[ISO Code],0)),"")</f>
        <v>1725869</v>
      </c>
      <c r="BZ131" s="87">
        <f t="shared" si="53"/>
        <v>1725869</v>
      </c>
      <c r="CA131">
        <f t="shared" si="60"/>
        <v>18275704</v>
      </c>
      <c r="CB131" s="782">
        <f t="shared" si="42"/>
        <v>5482711.2000000002</v>
      </c>
      <c r="CC131" s="791">
        <f t="shared" si="37"/>
        <v>9618893.722222222</v>
      </c>
      <c r="CD131" s="788">
        <f t="shared" si="43"/>
        <v>1.7544045949788896</v>
      </c>
      <c r="CE131" s="788">
        <f t="shared" si="44"/>
        <v>1.3158034462341672</v>
      </c>
      <c r="CF131" s="828">
        <f t="shared" si="45"/>
        <v>0.75188768356238134</v>
      </c>
      <c r="CG131" s="828">
        <f t="shared" si="38"/>
        <v>0.52632137849366689</v>
      </c>
      <c r="CH131" s="88">
        <f t="shared" si="61"/>
        <v>0</v>
      </c>
      <c r="CI131" s="88">
        <f t="shared" si="39"/>
        <v>300000</v>
      </c>
      <c r="CJ131" s="742">
        <f t="shared" si="62"/>
        <v>0</v>
      </c>
      <c r="CK131" s="848">
        <f t="shared" si="40"/>
        <v>6878887</v>
      </c>
      <c r="CL131" s="88">
        <f t="shared" si="41"/>
        <v>4165875.722222222</v>
      </c>
    </row>
    <row r="132" spans="1:90" ht="17.25" customHeight="1">
      <c r="A132" s="57" t="s">
        <v>680</v>
      </c>
      <c r="B132" s="57" t="s">
        <v>280</v>
      </c>
      <c r="C132" s="57" t="s">
        <v>127</v>
      </c>
      <c r="D132" s="57" t="s">
        <v>150</v>
      </c>
      <c r="E132" s="57" t="s">
        <v>145</v>
      </c>
      <c r="F132" s="57"/>
      <c r="G132" s="57" t="str">
        <f t="shared" si="63"/>
        <v>No</v>
      </c>
      <c r="H132" s="57" t="str">
        <f t="shared" si="63"/>
        <v>No</v>
      </c>
      <c r="I132" s="57" t="str">
        <f t="shared" si="57"/>
        <v>No</v>
      </c>
      <c r="J132" s="57" t="str">
        <f t="shared" si="58"/>
        <v>Yes</v>
      </c>
      <c r="K132" s="57" t="str">
        <f t="shared" si="59"/>
        <v>No</v>
      </c>
      <c r="L132" s="62" t="s">
        <v>541</v>
      </c>
      <c r="M132" s="55" t="s">
        <v>544</v>
      </c>
      <c r="N132" s="136" t="s">
        <v>541</v>
      </c>
      <c r="O132" s="57" t="s">
        <v>541</v>
      </c>
      <c r="P132" s="57" t="s">
        <v>542</v>
      </c>
      <c r="Q132" s="57" t="s">
        <v>541</v>
      </c>
      <c r="R132" s="57"/>
      <c r="S132" s="956">
        <v>147296124.32232863</v>
      </c>
      <c r="T132" s="55" t="s">
        <v>394</v>
      </c>
      <c r="U132" s="64" t="str">
        <f>IFERROR(IF(VLOOKUP(A132,'WB projects data'!$A$5:$C$83,3,0)="Approved",(VLOOKUP(A132,'WB projects data'!$A$5:$C$83,3,0)),""),"")</f>
        <v>Approved</v>
      </c>
      <c r="V132" s="123">
        <f t="shared" si="55"/>
        <v>33600000</v>
      </c>
      <c r="W132" s="123">
        <f>IFERROR((VLOOKUP($A132,'WB projects data'!$A$5:$J$83,6,0)*1000000),"")</f>
        <v>0</v>
      </c>
      <c r="X132" s="123">
        <f>IFERROR((VLOOKUP($A132,'WB projects data'!$A$5:$J$83,7,0)*1000000),"")</f>
        <v>33600000</v>
      </c>
      <c r="Y132" s="123">
        <f>IFERROR((VLOOKUP($A132,'WB projects data'!$A$5:$J$83,8,0)*1000000),"")</f>
        <v>5800000</v>
      </c>
      <c r="Z132" s="123">
        <f>IFERROR((VLOOKUP($A132,'WB projects data'!$A$5:$J$83,9,0)*1000000),"")</f>
        <v>2400000</v>
      </c>
      <c r="AA132" s="123">
        <f>IFERROR((VLOOKUP($A132,'WB projects data'!$A$5:$J$83,10,0)*1000000),"")</f>
        <v>500000</v>
      </c>
      <c r="AB132" s="57"/>
      <c r="AC132" s="110" t="str">
        <f>VLOOKUP($A132,'ADB Projects'!$A$5:$D$21,3,0)</f>
        <v>Approved</v>
      </c>
      <c r="AD132" s="110" t="str">
        <f>IFERROR(VLOOKUP(A132,'ADB Projects'!$A$4:$W$21,5,FALSE),"")</f>
        <v>Loan</v>
      </c>
      <c r="AE132" s="132">
        <f>IF(AC132="Approved",(VLOOKUP($A132,'ADB Projects'!$A$5:$D$21,4,0)*1000000),"")</f>
        <v>25000000</v>
      </c>
      <c r="AF132" s="585">
        <f>IF(AC132="Approved",(PRODUCT(VLOOKUP($A132,'ADB Projects'!$A$4:$W$21,6,FALSE),1000000)),"")</f>
        <v>21800000</v>
      </c>
      <c r="AG132" s="585">
        <f>IF(AC132="Approved",(PRODUCT(VLOOKUP($A132,'ADB Projects'!$A$4:$W$21,7,FALSE),1000000)),"")</f>
        <v>770000</v>
      </c>
      <c r="AH132" s="585">
        <f>IF(AC132="Approved",(PRODUCT(VLOOKUP($A132,'ADB Projects'!$A$4:$W$21,8,FALSE),1000000)),"")</f>
        <v>2429999.9999999995</v>
      </c>
      <c r="AI132" s="55" t="s">
        <v>541</v>
      </c>
      <c r="AJ132" s="55"/>
      <c r="AK132" s="244"/>
      <c r="AL132" s="55"/>
      <c r="AM132" s="55"/>
      <c r="AN132" s="55"/>
      <c r="AO132" s="55"/>
      <c r="AP132" s="55"/>
      <c r="AQ132" s="602" t="str">
        <f t="shared" si="56"/>
        <v/>
      </c>
      <c r="AR132" s="602" t="str">
        <f>IFERROR(VLOOKUP($A132,'IDB C19 Vaccine Projects'!$O$4:$Q$12,2,FALSE),"")</f>
        <v/>
      </c>
      <c r="AS132" s="602" t="str">
        <f>IFERROR(VLOOKUP($A132,'IDB C19 Vaccine Projects'!$O$4:$Q$12,3,FALSE),"")</f>
        <v/>
      </c>
      <c r="AT132" s="55"/>
      <c r="AU132" s="88"/>
      <c r="AV132" s="55"/>
      <c r="AW132" s="55"/>
      <c r="AX132" s="88">
        <f>INDEX(USAID!$C$3:$C$151,MATCH('Matrix Allocations'!A132,USAID!$A$3:$A$151,0))</f>
        <v>1952000</v>
      </c>
      <c r="AY132" s="110"/>
      <c r="AZ132" s="88">
        <f>IFERROR(INDEX('[4]Vx All regions allocations'!O$10:O$144,MATCH(A132,'[4]Vx All regions allocations'!A$10:A$144,0)),"")</f>
        <v>0</v>
      </c>
      <c r="BA132" s="88">
        <v>105279.62962962962</v>
      </c>
      <c r="BB132" s="88">
        <v>630278.15</v>
      </c>
      <c r="BC132" s="88" t="str">
        <f>IFERROR(INDEX(DFAT!$K$4:$K$21,MATCH('Matrix Allocations'!A132,DFAT!$B$4:$B$21,0)),"")</f>
        <v/>
      </c>
      <c r="BE132" s="826" t="str">
        <f>IFERROR(IF(INDEX('GAVI CCE'!$E$3:$E$95,MATCH('Matrix Allocations'!A132,'GAVI CCE'!$A$3:$A$95,0))="Yes",INDEX('GAVI CCE'!$E$3:$E$95,MATCH('Matrix Allocations'!A132,'GAVI CCE'!$A$3:$A$95,0)),""),"")</f>
        <v>Yes</v>
      </c>
      <c r="BF132" s="88">
        <f>IFERROR(IF(BE132="Yes",INDEX('GAVI CCE'!$F$3:$F$95,MATCH('Matrix Allocations'!A132,'GAVI CCE'!$A$3:$A$95,0)),""),"")</f>
        <v>365913</v>
      </c>
      <c r="BG132" s="609" t="str">
        <f>IFERROR(IF(E132='CDS early access ceilings'!$A$94,(VLOOKUP(A132,'CDS early access ceilings'!$A$2:$D$92,4,FALSE)),""),"")</f>
        <v>GAVI</v>
      </c>
      <c r="BH132" s="639" t="str">
        <f>IFERROR(INDEX(Table14[Status (clean)],MATCH('Matrix Allocations'!A132,Table14[ISO Code],0)),"")</f>
        <v>Disbursed</v>
      </c>
      <c r="BI132" s="641">
        <f>IFERROR(INDEX(Table14[Amount disbursed (USD)],MATCH('Matrix Allocations'!A132,Table14[ISO Code],0)),"")</f>
        <v>978461</v>
      </c>
      <c r="BJ132" s="641" t="str">
        <f>IFERROR(INDEX('CDS NBW'!$I$2:$I$39,MATCH(A132,'CDS NBW'!$A$2:$A$39,0)),"")</f>
        <v/>
      </c>
      <c r="BK132" s="641" t="str">
        <f>IFERROR(INDEX('CDS NBW'!$J$2:$J$39,MATCH(A132,'CDS NBW'!$A$2:$A$39,0)),"")</f>
        <v/>
      </c>
      <c r="BL132" s="609"/>
      <c r="BM132" s="609"/>
      <c r="BN132" s="609"/>
      <c r="BO132" s="609"/>
      <c r="BP132" s="609">
        <f>IFERROR(INDEX('UNICEF-BMZ'!$O$1:$O$199,MATCH('Matrix Allocations'!A132,'UNICEF-BMZ'!$B$1:$B$199,0)),"")</f>
        <v>268000</v>
      </c>
      <c r="BQ132" s="609" t="str">
        <f>IFERROR(VLOOKUP(A132,'BMGF_clean data'!$A$4:$C$30,3,FALSE),"")</f>
        <v/>
      </c>
      <c r="BR132" s="609"/>
      <c r="BS132" s="609"/>
      <c r="BT132" s="609"/>
      <c r="BU132" s="609"/>
      <c r="BV132" s="609"/>
      <c r="BW132" s="87">
        <f>INDEX(USAID!$D$3:$D$151,MATCH('Matrix Allocations'!A132,USAID!$A$3:$A$151,0))</f>
        <v>0</v>
      </c>
      <c r="BX132" s="87" t="str">
        <f>IFERROR(INDEX(DFAT!$L$4:$L$21,MATCH('Matrix Allocations'!A132,DFAT!$B$4:$B$21,0)),"")</f>
        <v/>
      </c>
      <c r="BY132" s="87">
        <f>IFERROR(INDEX(Table14[Funds Channelled through UNICEF],MATCH('Matrix Allocations'!A132,Table14[ISO Code],0)),"")</f>
        <v>276360</v>
      </c>
      <c r="BZ132" s="87">
        <f t="shared" ref="BZ132:BZ152" si="64">SUM(IF(BG132="UNICEF",BI132,0),BY132)</f>
        <v>276360</v>
      </c>
      <c r="CA132">
        <f t="shared" si="60"/>
        <v>9749625</v>
      </c>
      <c r="CB132" s="782">
        <f t="shared" si="42"/>
        <v>2924887.5</v>
      </c>
      <c r="CC132" s="791">
        <f t="shared" si="37"/>
        <v>7469931.7796296291</v>
      </c>
      <c r="CD132" s="788">
        <f t="shared" si="43"/>
        <v>2.5539210583756229</v>
      </c>
      <c r="CE132" s="788">
        <f t="shared" si="44"/>
        <v>1.9154407937817171</v>
      </c>
      <c r="CF132" s="828">
        <f t="shared" si="45"/>
        <v>1.0945375964466955</v>
      </c>
      <c r="CG132" s="828">
        <f t="shared" si="38"/>
        <v>0.76617631751268678</v>
      </c>
      <c r="CH132" s="88">
        <f t="shared" si="61"/>
        <v>3170000</v>
      </c>
      <c r="CI132" s="88">
        <f t="shared" si="39"/>
        <v>1952000</v>
      </c>
      <c r="CJ132" s="742">
        <f t="shared" si="62"/>
        <v>0</v>
      </c>
      <c r="CK132" s="848">
        <f t="shared" si="40"/>
        <v>276360</v>
      </c>
      <c r="CL132" s="88">
        <f t="shared" si="41"/>
        <v>2347931.7796296296</v>
      </c>
    </row>
    <row r="133" spans="1:90" ht="17.25" customHeight="1">
      <c r="A133" s="57" t="s">
        <v>681</v>
      </c>
      <c r="B133" s="57" t="s">
        <v>156</v>
      </c>
      <c r="C133" s="57" t="s">
        <v>128</v>
      </c>
      <c r="D133" s="57" t="s">
        <v>150</v>
      </c>
      <c r="E133" s="57" t="s">
        <v>145</v>
      </c>
      <c r="F133" s="57"/>
      <c r="G133" s="57" t="str">
        <f t="shared" si="63"/>
        <v>No</v>
      </c>
      <c r="H133" s="57" t="str">
        <f t="shared" si="63"/>
        <v>No</v>
      </c>
      <c r="I133" s="57" t="str">
        <f t="shared" si="57"/>
        <v>No</v>
      </c>
      <c r="J133" s="57" t="str">
        <f t="shared" si="58"/>
        <v>Yes</v>
      </c>
      <c r="K133" s="57" t="str">
        <f t="shared" si="59"/>
        <v>No</v>
      </c>
      <c r="L133" s="62" t="s">
        <v>541</v>
      </c>
      <c r="M133" s="55" t="s">
        <v>544</v>
      </c>
      <c r="N133" s="136" t="s">
        <v>541</v>
      </c>
      <c r="O133" s="57" t="s">
        <v>541</v>
      </c>
      <c r="P133" s="57" t="s">
        <v>548</v>
      </c>
      <c r="Q133" s="57"/>
      <c r="R133" s="57"/>
      <c r="S133" s="956">
        <v>890576536.83065879</v>
      </c>
      <c r="T133" s="55" t="s">
        <v>394</v>
      </c>
      <c r="U133" s="64" t="str">
        <f>IFERROR(IF(VLOOKUP(A133,'WB projects data'!$A$5:$C$83,3,0)="Approved",(VLOOKUP(A133,'WB projects data'!$A$5:$C$83,3,0)),""),"")</f>
        <v/>
      </c>
      <c r="V133" s="123" t="str">
        <f t="shared" ref="V133:V152" si="65">IFERROR(INDEX(wbf,MATCH(A133,wbiso,0))*1000000,"")</f>
        <v/>
      </c>
      <c r="W133" s="123" t="str">
        <f>IFERROR((VLOOKUP($A133,'WB projects data'!$A$5:$J$83,6,0)*1000000),"")</f>
        <v/>
      </c>
      <c r="X133" s="123" t="str">
        <f>IFERROR((VLOOKUP($A133,'WB projects data'!$A$5:$J$83,7,0)*1000000),"")</f>
        <v/>
      </c>
      <c r="Y133" s="123" t="str">
        <f>IFERROR((VLOOKUP($A133,'WB projects data'!$A$5:$J$83,8,0)*1000000),"")</f>
        <v/>
      </c>
      <c r="Z133" s="123" t="str">
        <f>IFERROR((VLOOKUP($A133,'WB projects data'!$A$5:$J$83,9,0)*1000000),"")</f>
        <v/>
      </c>
      <c r="AA133" s="123" t="str">
        <f>IFERROR((VLOOKUP($A133,'WB projects data'!$A$5:$J$83,10,0)*1000000),"")</f>
        <v/>
      </c>
      <c r="AB133" s="57"/>
      <c r="AC133" s="110"/>
      <c r="AD133" s="110" t="str">
        <f>IFERROR(VLOOKUP(A133,'ADB Projects'!$A$4:$W$21,5,FALSE),"")</f>
        <v/>
      </c>
      <c r="AE133" s="132" t="str">
        <f>IF(AC133="Approved",(VLOOKUP($A133,'ADB Projects'!$A$5:$D$21,4,0)*1000000),"")</f>
        <v/>
      </c>
      <c r="AF133" s="585" t="str">
        <f>IF(AC133="Approved",(PRODUCT(VLOOKUP($A133,'ADB Projects'!$A$4:$W$21,6,FALSE),1000000)),"")</f>
        <v/>
      </c>
      <c r="AG133" s="585" t="str">
        <f>IF(AC133="Approved",(PRODUCT(VLOOKUP($A133,'ADB Projects'!$A$4:$W$21,7,FALSE),1000000)),"")</f>
        <v/>
      </c>
      <c r="AH133" s="585" t="str">
        <f>IF(AC133="Approved",(PRODUCT(VLOOKUP($A133,'ADB Projects'!$A$4:$W$21,8,FALSE),1000000)),"")</f>
        <v/>
      </c>
      <c r="AI133" s="148"/>
      <c r="AJ133" s="55"/>
      <c r="AK133" s="244"/>
      <c r="AL133" s="148" t="s">
        <v>541</v>
      </c>
      <c r="AM133" s="148"/>
      <c r="AN133" s="148"/>
      <c r="AO133" s="148"/>
      <c r="AP133" s="148"/>
      <c r="AQ133" s="602" t="str">
        <f t="shared" ref="AQ133:AQ152" si="66">IF(OR(AR133="", AS133=""), "",(SUM(AR133:AS133)))</f>
        <v/>
      </c>
      <c r="AR133" s="602" t="str">
        <f>IFERROR(VLOOKUP($A133,'IDB C19 Vaccine Projects'!$O$4:$Q$12,2,FALSE),"")</f>
        <v/>
      </c>
      <c r="AS133" s="602" t="str">
        <f>IFERROR(VLOOKUP($A133,'IDB C19 Vaccine Projects'!$O$4:$Q$12,3,FALSE),"")</f>
        <v/>
      </c>
      <c r="AT133" s="55"/>
      <c r="AU133" s="88"/>
      <c r="AV133" s="55"/>
      <c r="AW133" s="55"/>
      <c r="AX133" s="88">
        <f>INDEX(USAID!$C$3:$C$151,MATCH('Matrix Allocations'!A133,USAID!$A$3:$A$151,0))</f>
        <v>2500000</v>
      </c>
      <c r="AY133" s="110"/>
      <c r="AZ133" s="88">
        <f>IFERROR(INDEX('[4]Vx All regions allocations'!O$10:O$144,MATCH(A133,'[4]Vx All regions allocations'!A$10:A$144,0)),"")</f>
        <v>1824000</v>
      </c>
      <c r="BA133" s="88">
        <v>48400</v>
      </c>
      <c r="BB133" s="88">
        <v>49990.400000000001</v>
      </c>
      <c r="BC133" s="88" t="str">
        <f>IFERROR(INDEX(DFAT!$K$4:$K$21,MATCH('Matrix Allocations'!A133,DFAT!$B$4:$B$21,0)),"")</f>
        <v/>
      </c>
      <c r="BD133" s="88"/>
      <c r="BE133" s="826" t="str">
        <f>IFERROR(IF(INDEX('GAVI CCE'!$E$3:$E$95,MATCH('Matrix Allocations'!A133,'GAVI CCE'!$A$3:$A$95,0))="Yes",INDEX('GAVI CCE'!$E$3:$E$95,MATCH('Matrix Allocations'!A133,'GAVI CCE'!$A$3:$A$95,0)),""),"")</f>
        <v>Yes</v>
      </c>
      <c r="BF133" s="88">
        <f>IFERROR(IF(BE133="Yes",INDEX('GAVI CCE'!$F$3:$F$95,MATCH('Matrix Allocations'!A133,'GAVI CCE'!$A$3:$A$95,0)),""),"")</f>
        <v>1266103</v>
      </c>
      <c r="BG133" s="609" t="str">
        <f>IFERROR(IF(E133='CDS early access ceilings'!$A$94,(VLOOKUP(A133,'CDS early access ceilings'!$A$2:$D$92,4,FALSE)),""),"")</f>
        <v>GAVI</v>
      </c>
      <c r="BH133" s="639" t="str">
        <f>IFERROR(INDEX(Table14[Status (clean)],MATCH('Matrix Allocations'!A133,Table14[ISO Code],0)),"")</f>
        <v>Disbursed</v>
      </c>
      <c r="BI133" s="641">
        <f>IFERROR(INDEX(Table14[Amount disbursed (USD)],MATCH('Matrix Allocations'!A133,Table14[ISO Code],0)),"")</f>
        <v>6752492</v>
      </c>
      <c r="BJ133" s="641" t="str">
        <f>IFERROR(INDEX('CDS NBW'!$I$2:$I$39,MATCH(A133,'CDS NBW'!$A$2:$A$39,0)),"")</f>
        <v/>
      </c>
      <c r="BK133" s="641" t="str">
        <f>IFERROR(INDEX('CDS NBW'!$J$2:$J$39,MATCH(A133,'CDS NBW'!$A$2:$A$39,0)),"")</f>
        <v/>
      </c>
      <c r="BL133" s="609"/>
      <c r="BM133" s="609"/>
      <c r="BN133" s="609"/>
      <c r="BO133" s="609"/>
      <c r="BP133" s="609">
        <f>IFERROR(INDEX('UNICEF-BMZ'!$O$1:$O$199,MATCH('Matrix Allocations'!A133,'UNICEF-BMZ'!$B$1:$B$199,0)),"")</f>
        <v>420000</v>
      </c>
      <c r="BQ133" s="609" t="str">
        <f>IFERROR(VLOOKUP(A133,'BMGF_clean data'!$A$4:$C$30,3,FALSE),"")</f>
        <v/>
      </c>
      <c r="BR133" s="609"/>
      <c r="BS133" s="609"/>
      <c r="BT133" s="609"/>
      <c r="BU133" s="609"/>
      <c r="BV133" s="609">
        <v>506757</v>
      </c>
      <c r="BW133" s="87">
        <f>INDEX(USAID!$D$3:$D$151,MATCH('Matrix Allocations'!A133,USAID!$A$3:$A$151,0))</f>
        <v>750000</v>
      </c>
      <c r="BX133" s="87" t="str">
        <f>IFERROR(INDEX(DFAT!$L$4:$L$21,MATCH('Matrix Allocations'!A133,DFAT!$B$4:$B$21,0)),"")</f>
        <v/>
      </c>
      <c r="BY133" s="87">
        <f>IFERROR(INDEX(Table14[Funds Channelled through UNICEF],MATCH('Matrix Allocations'!A133,Table14[ISO Code],0)),"")</f>
        <v>0</v>
      </c>
      <c r="BZ133" s="87">
        <f t="shared" si="64"/>
        <v>0</v>
      </c>
      <c r="CA133">
        <f t="shared" si="60"/>
        <v>61498438</v>
      </c>
      <c r="CB133" s="782">
        <f t="shared" si="42"/>
        <v>18449531.399999999</v>
      </c>
      <c r="CC133" s="791">
        <f t="shared" ref="CC133:CC152" si="67">SUM(BR133,BQ133,BP133,BO133,BN133,BM133,BL133,BF133,BD133,BC133,BB133,BA133,AZ133,AY133,AX133,AW133,AV133,AU133,AS133,AG133,Z133,BS133,BT133,BV133,BU133,IF(OR(BH133="Disbursed",BH133="Approved"),BI133,0),IF(OR(BJ133="Disbursed",BJ133="Approved"),BK133,0))</f>
        <v>13367742.4</v>
      </c>
      <c r="CD133" s="788">
        <f t="shared" si="43"/>
        <v>0.72455728604575842</v>
      </c>
      <c r="CE133" s="788">
        <f t="shared" si="44"/>
        <v>0.54341796453431868</v>
      </c>
      <c r="CF133" s="828">
        <f t="shared" si="45"/>
        <v>0.31052455116246791</v>
      </c>
      <c r="CG133" s="828">
        <f t="shared" ref="CG133:CG152" si="68">CC133/CA133</f>
        <v>0.21736718581372749</v>
      </c>
      <c r="CH133" s="88">
        <f t="shared" si="61"/>
        <v>0</v>
      </c>
      <c r="CI133" s="88">
        <f t="shared" ref="CI133:CI152" si="69">SUM(AW133,AX133,AY133,BC133,BD133,BL133,BM133,BN133,BR133,BS133,BT133,BV133)</f>
        <v>3006757</v>
      </c>
      <c r="CJ133" s="742">
        <f t="shared" si="62"/>
        <v>0</v>
      </c>
      <c r="CK133" s="848">
        <f t="shared" ref="CK133:CK152" si="70">SUM(AV133,AW133,AY133,BD133,BL133,BM133,BN133,BO133,BR133,BS133,BW133,BX133,AZ133,BT133,BY133,BV133)</f>
        <v>3080757</v>
      </c>
      <c r="CL133" s="88">
        <f t="shared" ref="CL133:CL152" si="71">SUM(AU133,BA133,BB133,BF133,BK133,BP133,BU133,IF(OR(BH133="Disbursed",BH133="Approved"),BI133,0),IF(OR(BJ133="Disbursed",BJ133="Approved"),BK133,0))</f>
        <v>8536985.4000000004</v>
      </c>
    </row>
    <row r="134" spans="1:90" ht="17.25" customHeight="1">
      <c r="A134" s="149" t="s">
        <v>682</v>
      </c>
      <c r="B134" s="149" t="s">
        <v>157</v>
      </c>
      <c r="C134" s="57" t="s">
        <v>126</v>
      </c>
      <c r="D134" s="57" t="s">
        <v>152</v>
      </c>
      <c r="E134" s="57" t="s">
        <v>146</v>
      </c>
      <c r="F134" s="57"/>
      <c r="G134" s="57" t="str">
        <f t="shared" si="63"/>
        <v>Yes</v>
      </c>
      <c r="H134" s="57" t="str">
        <f t="shared" si="63"/>
        <v>Yes</v>
      </c>
      <c r="I134" s="57" t="str">
        <f t="shared" si="57"/>
        <v>No</v>
      </c>
      <c r="J134" s="57" t="str">
        <f t="shared" si="58"/>
        <v>No</v>
      </c>
      <c r="K134" s="57" t="str">
        <f t="shared" si="59"/>
        <v>Yes</v>
      </c>
      <c r="L134" s="62" t="s">
        <v>541</v>
      </c>
      <c r="M134" s="55" t="s">
        <v>544</v>
      </c>
      <c r="N134" s="136" t="s">
        <v>544</v>
      </c>
      <c r="O134" s="57" t="s">
        <v>544</v>
      </c>
      <c r="P134" s="57"/>
      <c r="Q134" s="57"/>
      <c r="R134" s="57"/>
      <c r="S134" s="956">
        <v>14611129792.346064</v>
      </c>
      <c r="T134" s="55" t="s">
        <v>395</v>
      </c>
      <c r="U134" s="64" t="str">
        <f>IFERROR(IF(VLOOKUP(A134,'WB projects data'!$A$5:$C$83,3,0)="Approved",(VLOOKUP(A134,'WB projects data'!$A$5:$C$83,3,0)),""),"")</f>
        <v/>
      </c>
      <c r="V134" s="123" t="str">
        <f t="shared" si="65"/>
        <v/>
      </c>
      <c r="W134" s="123" t="str">
        <f>IFERROR((VLOOKUP($A134,'WB projects data'!$A$5:$J$83,6,0)*1000000),"")</f>
        <v/>
      </c>
      <c r="X134" s="123" t="str">
        <f>IFERROR((VLOOKUP($A134,'WB projects data'!$A$5:$J$83,7,0)*1000000),"")</f>
        <v/>
      </c>
      <c r="Y134" s="123" t="str">
        <f>IFERROR((VLOOKUP($A134,'WB projects data'!$A$5:$J$83,8,0)*1000000),"")</f>
        <v/>
      </c>
      <c r="Z134" s="123" t="str">
        <f>IFERROR((VLOOKUP($A134,'WB projects data'!$A$5:$J$83,9,0)*1000000),"")</f>
        <v/>
      </c>
      <c r="AA134" s="123" t="str">
        <f>IFERROR((VLOOKUP($A134,'WB projects data'!$A$5:$J$83,10,0)*1000000),"")</f>
        <v/>
      </c>
      <c r="AB134" s="57"/>
      <c r="AC134" s="110"/>
      <c r="AD134" s="110" t="str">
        <f>IFERROR(VLOOKUP(A134,'ADB Projects'!$A$4:$W$21,5,FALSE),"")</f>
        <v/>
      </c>
      <c r="AE134" s="132" t="str">
        <f>IF(AC134="Approved",(VLOOKUP($A134,'ADB Projects'!$A$5:$D$21,4,0)*1000000),"")</f>
        <v/>
      </c>
      <c r="AF134" s="585" t="str">
        <f>IF(AC134="Approved",(PRODUCT(VLOOKUP($A134,'ADB Projects'!$A$4:$W$21,6,FALSE),1000000)),"")</f>
        <v/>
      </c>
      <c r="AG134" s="585" t="str">
        <f>IF(AC134="Approved",(PRODUCT(VLOOKUP($A134,'ADB Projects'!$A$4:$W$21,7,FALSE),1000000)),"")</f>
        <v/>
      </c>
      <c r="AH134" s="585" t="str">
        <f>IF(AC134="Approved",(PRODUCT(VLOOKUP($A134,'ADB Projects'!$A$4:$W$21,8,FALSE),1000000)),"")</f>
        <v/>
      </c>
      <c r="AI134" s="55"/>
      <c r="AJ134" s="55"/>
      <c r="AK134" s="244"/>
      <c r="AL134" s="55"/>
      <c r="AM134" s="55"/>
      <c r="AN134" s="55"/>
      <c r="AO134" s="55"/>
      <c r="AP134" s="55"/>
      <c r="AQ134" s="602" t="str">
        <f t="shared" si="66"/>
        <v/>
      </c>
      <c r="AR134" s="602" t="str">
        <f>IFERROR(VLOOKUP($A134,'IDB C19 Vaccine Projects'!$O$4:$Q$12,2,FALSE),"")</f>
        <v/>
      </c>
      <c r="AS134" s="602" t="str">
        <f>IFERROR(VLOOKUP($A134,'IDB C19 Vaccine Projects'!$O$4:$Q$12,3,FALSE),"")</f>
        <v/>
      </c>
      <c r="AT134" s="55"/>
      <c r="AU134" s="88"/>
      <c r="AV134" s="55"/>
      <c r="AW134" s="55"/>
      <c r="AX134" s="88">
        <f>INDEX(USAID!$C$3:$C$151,MATCH('Matrix Allocations'!A134,USAID!$A$3:$A$151,0))</f>
        <v>1200000</v>
      </c>
      <c r="AY134" s="110">
        <v>693880</v>
      </c>
      <c r="AZ134" s="88" t="str">
        <f>IFERROR(INDEX('[4]Vx All regions allocations'!O$10:O$144,MATCH(A134,'[4]Vx All regions allocations'!A$10:A$144,0)),"")</f>
        <v/>
      </c>
      <c r="BA134" s="88">
        <v>0</v>
      </c>
      <c r="BB134" s="88">
        <v>0</v>
      </c>
      <c r="BC134" s="88" t="str">
        <f>IFERROR(INDEX(DFAT!$K$4:$K$21,MATCH('Matrix Allocations'!A134,DFAT!$B$4:$B$21,0)),"")</f>
        <v/>
      </c>
      <c r="BD134" s="88"/>
      <c r="BE134" s="826" t="str">
        <f>IFERROR(IF(INDEX('GAVI CCE'!$E$3:$E$95,MATCH('Matrix Allocations'!A134,'GAVI CCE'!$A$3:$A$95,0))="Yes",INDEX('GAVI CCE'!$E$3:$E$95,MATCH('Matrix Allocations'!A134,'GAVI CCE'!$A$3:$A$95,0)),""),"")</f>
        <v/>
      </c>
      <c r="BF134" s="88" t="str">
        <f>IFERROR(IF(BE134="Yes",INDEX('GAVI CCE'!$F$3:$F$95,MATCH('Matrix Allocations'!A134,'GAVI CCE'!$A$3:$A$95,0)),""),"")</f>
        <v/>
      </c>
      <c r="BG134" s="609" t="str">
        <f>IFERROR(IF(E134='CDS early access ceilings'!$A$94,(VLOOKUP(A134,'CDS early access ceilings'!$A$2:$D$92,4,FALSE)),""),"")</f>
        <v/>
      </c>
      <c r="BH134" s="639" t="str">
        <f>IFERROR(INDEX(Table14[Status (clean)],MATCH('Matrix Allocations'!A134,Table14[ISO Code],0)),"")</f>
        <v/>
      </c>
      <c r="BI134" s="641" t="str">
        <f>IFERROR(INDEX(Table14[Amount disbursed (USD)],MATCH('Matrix Allocations'!A134,Table14[ISO Code],0)),"")</f>
        <v/>
      </c>
      <c r="BJ134" s="641" t="str">
        <f>IFERROR(INDEX('CDS NBW'!$I$2:$I$39,MATCH(A134,'CDS NBW'!$A$2:$A$39,0)),"")</f>
        <v/>
      </c>
      <c r="BK134" s="641" t="str">
        <f>IFERROR(INDEX('CDS NBW'!$J$2:$J$39,MATCH(A134,'CDS NBW'!$A$2:$A$39,0)),"")</f>
        <v/>
      </c>
      <c r="BL134" s="609"/>
      <c r="BM134" s="609"/>
      <c r="BN134" s="609"/>
      <c r="BO134" s="609">
        <v>272222</v>
      </c>
      <c r="BP134" s="609">
        <f>IFERROR(INDEX('UNICEF-BMZ'!$O$1:$O$199,MATCH('Matrix Allocations'!A134,'UNICEF-BMZ'!$B$1:$B$199,0)),"")</f>
        <v>0</v>
      </c>
      <c r="BQ134" s="609" t="str">
        <f>IFERROR(VLOOKUP(A134,'BMGF_clean data'!$A$4:$C$30,3,FALSE),"")</f>
        <v/>
      </c>
      <c r="BR134" s="609"/>
      <c r="BS134" s="609"/>
      <c r="BT134" s="609"/>
      <c r="BU134" s="609"/>
      <c r="BV134" s="609"/>
      <c r="BW134" s="87">
        <f>INDEX(USAID!$D$3:$D$151,MATCH('Matrix Allocations'!A134,USAID!$A$3:$A$151,0))</f>
        <v>0</v>
      </c>
      <c r="BX134" s="87" t="str">
        <f>IFERROR(INDEX(DFAT!$L$4:$L$21,MATCH('Matrix Allocations'!A134,DFAT!$B$4:$B$21,0)),"")</f>
        <v/>
      </c>
      <c r="BY134" s="87" t="str">
        <f>IFERROR(INDEX(Table14[Funds Channelled through UNICEF],MATCH('Matrix Allocations'!A134,Table14[ISO Code],0)),"")</f>
        <v/>
      </c>
      <c r="BZ134" s="87">
        <f t="shared" si="64"/>
        <v>0</v>
      </c>
      <c r="CA134">
        <f t="shared" si="60"/>
        <v>69950844</v>
      </c>
      <c r="CB134" s="782">
        <f t="shared" ref="CB134:CB152" si="72">CA134*0.3</f>
        <v>20985253.199999999</v>
      </c>
      <c r="CC134" s="791">
        <f t="shared" si="67"/>
        <v>2166102</v>
      </c>
      <c r="CD134" s="788">
        <f t="shared" ref="CD134:CD152" si="73">CC134/CB134</f>
        <v>0.10322019845822018</v>
      </c>
      <c r="CE134" s="788">
        <f t="shared" ref="CE134:CE152" si="74">CC134/(0.4*CA134)</f>
        <v>7.7415148843665127E-2</v>
      </c>
      <c r="CF134" s="828">
        <f t="shared" ref="CF134:CF152" si="75">CC134/(0.7*CA134)</f>
        <v>4.423722791066579E-2</v>
      </c>
      <c r="CG134" s="828">
        <f t="shared" si="68"/>
        <v>3.0966059537466051E-2</v>
      </c>
      <c r="CH134" s="88">
        <f t="shared" si="61"/>
        <v>0</v>
      </c>
      <c r="CI134" s="88">
        <f t="shared" si="69"/>
        <v>1893880</v>
      </c>
      <c r="CJ134" s="742">
        <f t="shared" si="62"/>
        <v>272222</v>
      </c>
      <c r="CK134" s="848">
        <f t="shared" si="70"/>
        <v>966102</v>
      </c>
      <c r="CL134" s="88">
        <f t="shared" si="71"/>
        <v>0</v>
      </c>
    </row>
    <row r="135" spans="1:90" ht="17.25" customHeight="1">
      <c r="A135" s="57" t="s">
        <v>683</v>
      </c>
      <c r="B135" s="57" t="s">
        <v>281</v>
      </c>
      <c r="C135" s="57" t="s">
        <v>126</v>
      </c>
      <c r="D135" s="57" t="s">
        <v>150</v>
      </c>
      <c r="E135" s="57" t="s">
        <v>145</v>
      </c>
      <c r="F135" s="57"/>
      <c r="G135" s="57" t="str">
        <f t="shared" si="63"/>
        <v>No</v>
      </c>
      <c r="H135" s="57" t="str">
        <f t="shared" si="63"/>
        <v>No</v>
      </c>
      <c r="I135" s="57" t="str">
        <f t="shared" si="57"/>
        <v>Yes</v>
      </c>
      <c r="J135" s="57" t="str">
        <f t="shared" si="58"/>
        <v>Yes</v>
      </c>
      <c r="K135" s="57" t="str">
        <f t="shared" si="59"/>
        <v>No</v>
      </c>
      <c r="L135" s="62" t="s">
        <v>541</v>
      </c>
      <c r="M135" s="55" t="s">
        <v>544</v>
      </c>
      <c r="N135" s="136" t="s">
        <v>541</v>
      </c>
      <c r="O135" s="57" t="s">
        <v>544</v>
      </c>
      <c r="P135" s="57" t="s">
        <v>558</v>
      </c>
      <c r="Q135" s="57"/>
      <c r="R135" s="57"/>
      <c r="S135" s="956">
        <v>72046877.233008593</v>
      </c>
      <c r="T135" s="55" t="s">
        <v>396</v>
      </c>
      <c r="U135" s="64" t="str">
        <f>IFERROR(IF(VLOOKUP(A135,'WB projects data'!$A$5:$C$83,3,0)="Approved",(VLOOKUP(A135,'WB projects data'!$A$5:$C$83,3,0)),""),"")</f>
        <v/>
      </c>
      <c r="V135" s="123" t="str">
        <f t="shared" si="65"/>
        <v/>
      </c>
      <c r="W135" s="123" t="str">
        <f>IFERROR((VLOOKUP($A135,'WB projects data'!$A$5:$J$83,6,0)*1000000),"")</f>
        <v/>
      </c>
      <c r="X135" s="123" t="str">
        <f>IFERROR((VLOOKUP($A135,'WB projects data'!$A$5:$J$83,7,0)*1000000),"")</f>
        <v/>
      </c>
      <c r="Y135" s="123" t="str">
        <f>IFERROR((VLOOKUP($A135,'WB projects data'!$A$5:$J$83,8,0)*1000000),"")</f>
        <v/>
      </c>
      <c r="Z135" s="123" t="str">
        <f>IFERROR((VLOOKUP($A135,'WB projects data'!$A$5:$J$83,9,0)*1000000),"")</f>
        <v/>
      </c>
      <c r="AA135" s="123" t="str">
        <f>IFERROR((VLOOKUP($A135,'WB projects data'!$A$5:$J$83,10,0)*1000000),"")</f>
        <v/>
      </c>
      <c r="AB135" s="57" t="s">
        <v>541</v>
      </c>
      <c r="AC135" s="110"/>
      <c r="AD135" s="110" t="str">
        <f>IFERROR(VLOOKUP(A135,'ADB Projects'!$A$4:$W$21,5,FALSE),"")</f>
        <v/>
      </c>
      <c r="AE135" s="132" t="str">
        <f>IF(AC135="Approved",(VLOOKUP($A135,'ADB Projects'!$A$5:$D$21,4,0)*1000000),"")</f>
        <v/>
      </c>
      <c r="AF135" s="585" t="str">
        <f>IF(AC135="Approved",(PRODUCT(VLOOKUP($A135,'ADB Projects'!$A$4:$W$21,6,FALSE),1000000)),"")</f>
        <v/>
      </c>
      <c r="AG135" s="585" t="str">
        <f>IF(AC135="Approved",(PRODUCT(VLOOKUP($A135,'ADB Projects'!$A$4:$W$21,7,FALSE),1000000)),"")</f>
        <v/>
      </c>
      <c r="AH135" s="585" t="str">
        <f>IF(AC135="Approved",(PRODUCT(VLOOKUP($A135,'ADB Projects'!$A$4:$W$21,8,FALSE),1000000)),"")</f>
        <v/>
      </c>
      <c r="AI135" s="55"/>
      <c r="AJ135" s="55"/>
      <c r="AK135" s="244"/>
      <c r="AL135" s="55"/>
      <c r="AM135" s="55"/>
      <c r="AN135" s="55"/>
      <c r="AO135" s="55"/>
      <c r="AP135" s="55"/>
      <c r="AQ135" s="602" t="str">
        <f t="shared" si="66"/>
        <v/>
      </c>
      <c r="AR135" s="602" t="str">
        <f>IFERROR(VLOOKUP($A135,'IDB C19 Vaccine Projects'!$O$4:$Q$12,2,FALSE),"")</f>
        <v/>
      </c>
      <c r="AS135" s="602" t="str">
        <f>IFERROR(VLOOKUP($A135,'IDB C19 Vaccine Projects'!$O$4:$Q$12,3,FALSE),"")</f>
        <v/>
      </c>
      <c r="AT135" s="55"/>
      <c r="AU135" s="88"/>
      <c r="AV135" s="55"/>
      <c r="AW135" s="55"/>
      <c r="AX135" s="88">
        <f>INDEX(USAID!$C$3:$C$151,MATCH('Matrix Allocations'!A135,USAID!$A$3:$A$151,0))</f>
        <v>725723</v>
      </c>
      <c r="AY135" s="110">
        <v>1135520</v>
      </c>
      <c r="AZ135" s="88">
        <f>IFERROR(INDEX('[4]Vx All regions allocations'!O$10:O$144,MATCH(A135,'[4]Vx All regions allocations'!A$10:A$144,0)),"")</f>
        <v>260000</v>
      </c>
      <c r="BA135" s="88">
        <v>129999.99999999999</v>
      </c>
      <c r="BB135" s="88">
        <v>25000</v>
      </c>
      <c r="BC135" s="88">
        <f>IFERROR(INDEX(DFAT!$K$4:$K$21,MATCH('Matrix Allocations'!A135,DFAT!$B$4:$B$21,0)),"")</f>
        <v>0</v>
      </c>
      <c r="BD135" s="88"/>
      <c r="BE135" s="826" t="str">
        <f>IFERROR(IF(INDEX('GAVI CCE'!$E$3:$E$95,MATCH('Matrix Allocations'!A135,'GAVI CCE'!$A$3:$A$95,0))="Yes",INDEX('GAVI CCE'!$E$3:$E$95,MATCH('Matrix Allocations'!A135,'GAVI CCE'!$A$3:$A$95,0)),""),"")</f>
        <v>Yes</v>
      </c>
      <c r="BF135" s="88">
        <f>IFERROR(IF(BE135="Yes",INDEX('GAVI CCE'!$F$3:$F$95,MATCH('Matrix Allocations'!A135,'GAVI CCE'!$A$3:$A$95,0)),""),"")</f>
        <v>50361</v>
      </c>
      <c r="BG135" s="609" t="str">
        <f>IFERROR(IF(E135='CDS early access ceilings'!$A$94,(VLOOKUP(A135,'CDS early access ceilings'!$A$2:$D$92,4,FALSE)),""),"")</f>
        <v>GAVI</v>
      </c>
      <c r="BH135" s="639" t="str">
        <f>IFERROR(INDEX(Table14[Status (clean)],MATCH('Matrix Allocations'!A135,Table14[ISO Code],0)),"")</f>
        <v>Disbursed</v>
      </c>
      <c r="BI135" s="641">
        <f>IFERROR(INDEX(Table14[Amount disbursed (USD)],MATCH('Matrix Allocations'!A135,Table14[ISO Code],0)),"")</f>
        <v>244615</v>
      </c>
      <c r="BJ135" s="641" t="str">
        <f>IFERROR(INDEX('CDS NBW'!$I$2:$I$39,MATCH(A135,'CDS NBW'!$A$2:$A$39,0)),"")</f>
        <v/>
      </c>
      <c r="BK135" s="641" t="str">
        <f>IFERROR(INDEX('CDS NBW'!$J$2:$J$39,MATCH(A135,'CDS NBW'!$A$2:$A$39,0)),"")</f>
        <v/>
      </c>
      <c r="BL135" s="609"/>
      <c r="BM135" s="609"/>
      <c r="BN135" s="609"/>
      <c r="BO135" s="609">
        <v>1683183</v>
      </c>
      <c r="BP135" s="609">
        <f>IFERROR(INDEX('UNICEF-BMZ'!$O$1:$O$199,MATCH('Matrix Allocations'!A135,'UNICEF-BMZ'!$B$1:$B$199,0)),"")</f>
        <v>50000</v>
      </c>
      <c r="BQ135" s="609">
        <f>IFERROR(VLOOKUP(A135,'BMGF_clean data'!$A$4:$C$30,3,FALSE),"")</f>
        <v>99000</v>
      </c>
      <c r="BR135" s="609"/>
      <c r="BS135" s="609"/>
      <c r="BT135" s="609"/>
      <c r="BU135" s="609"/>
      <c r="BV135" s="609"/>
      <c r="BW135" s="87">
        <f>INDEX(USAID!$D$3:$D$151,MATCH('Matrix Allocations'!A135,USAID!$A$3:$A$151,0))</f>
        <v>0</v>
      </c>
      <c r="BX135" s="87">
        <f>IFERROR(INDEX(DFAT!$L$4:$L$21,MATCH('Matrix Allocations'!A135,DFAT!$B$4:$B$21,0)),"")</f>
        <v>0</v>
      </c>
      <c r="BY135" s="87">
        <f>IFERROR(INDEX(Table14[Funds Channelled through UNICEF],MATCH('Matrix Allocations'!A135,Table14[ISO Code],0)),"")</f>
        <v>0</v>
      </c>
      <c r="BZ135" s="87">
        <f t="shared" si="64"/>
        <v>0</v>
      </c>
      <c r="CA135">
        <f t="shared" si="60"/>
        <v>1343875</v>
      </c>
      <c r="CB135" s="782">
        <f t="shared" si="72"/>
        <v>403162.5</v>
      </c>
      <c r="CC135" s="791">
        <f t="shared" si="67"/>
        <v>4403402</v>
      </c>
      <c r="CD135" s="788">
        <f t="shared" si="73"/>
        <v>10.922151737822839</v>
      </c>
      <c r="CE135" s="788">
        <f t="shared" si="74"/>
        <v>8.1916138033671295</v>
      </c>
      <c r="CF135" s="828">
        <f t="shared" si="75"/>
        <v>4.6809221733526458</v>
      </c>
      <c r="CG135" s="828">
        <f t="shared" si="68"/>
        <v>3.2766455213468513</v>
      </c>
      <c r="CH135" s="88">
        <f t="shared" si="61"/>
        <v>0</v>
      </c>
      <c r="CI135" s="88">
        <f t="shared" si="69"/>
        <v>1861243</v>
      </c>
      <c r="CJ135" s="742">
        <f t="shared" si="62"/>
        <v>1782183</v>
      </c>
      <c r="CK135" s="848">
        <f t="shared" si="70"/>
        <v>3078703</v>
      </c>
      <c r="CL135" s="88">
        <f t="shared" si="71"/>
        <v>499976</v>
      </c>
    </row>
    <row r="136" spans="1:90" ht="17.25" customHeight="1">
      <c r="A136" s="57" t="s">
        <v>684</v>
      </c>
      <c r="B136" s="57" t="s">
        <v>282</v>
      </c>
      <c r="C136" s="57" t="s">
        <v>129</v>
      </c>
      <c r="D136" s="57" t="s">
        <v>148</v>
      </c>
      <c r="E136" s="57" t="s">
        <v>145</v>
      </c>
      <c r="F136" s="57"/>
      <c r="G136" s="57" t="str">
        <f t="shared" si="63"/>
        <v>No</v>
      </c>
      <c r="H136" s="57" t="str">
        <f t="shared" si="63"/>
        <v>No</v>
      </c>
      <c r="I136" s="57" t="str">
        <f t="shared" si="57"/>
        <v>No</v>
      </c>
      <c r="J136" s="57" t="str">
        <f t="shared" si="58"/>
        <v>Yes</v>
      </c>
      <c r="K136" s="57" t="str">
        <f t="shared" si="59"/>
        <v>No</v>
      </c>
      <c r="L136" s="62" t="s">
        <v>541</v>
      </c>
      <c r="M136" s="55" t="s">
        <v>544</v>
      </c>
      <c r="N136" s="136" t="s">
        <v>541</v>
      </c>
      <c r="O136" s="57" t="s">
        <v>541</v>
      </c>
      <c r="P136" s="57" t="s">
        <v>542</v>
      </c>
      <c r="Q136" s="57" t="s">
        <v>541</v>
      </c>
      <c r="R136" s="57"/>
      <c r="S136" s="956">
        <v>56248139.267255567</v>
      </c>
      <c r="T136" s="55" t="s">
        <v>394</v>
      </c>
      <c r="U136" s="64" t="str">
        <f>IFERROR(IF(VLOOKUP(A136,'WB projects data'!$A$5:$C$83,3,0)="Approved",(VLOOKUP(A136,'WB projects data'!$A$5:$C$83,3,0)),""),"")</f>
        <v>Approved</v>
      </c>
      <c r="V136" s="123">
        <f t="shared" si="65"/>
        <v>54500000</v>
      </c>
      <c r="W136" s="123">
        <f>IFERROR((VLOOKUP($A136,'WB projects data'!$A$5:$J$83,6,0)*1000000),"")</f>
        <v>12400000</v>
      </c>
      <c r="X136" s="123">
        <f>IFERROR((VLOOKUP($A136,'WB projects data'!$A$5:$J$83,7,0)*1000000),"")</f>
        <v>42100000</v>
      </c>
      <c r="Y136" s="123">
        <f>IFERROR((VLOOKUP($A136,'WB projects data'!$A$5:$J$83,8,0)*1000000),"")</f>
        <v>32500000</v>
      </c>
      <c r="Z136" s="123">
        <f>IFERROR((VLOOKUP($A136,'WB projects data'!$A$5:$J$83,9,0)*1000000),"")</f>
        <v>21600000</v>
      </c>
      <c r="AA136" s="123">
        <f>IFERROR((VLOOKUP($A136,'WB projects data'!$A$5:$J$83,10,0)*1000000),"")</f>
        <v>400000</v>
      </c>
      <c r="AB136" s="57"/>
      <c r="AC136" s="110"/>
      <c r="AD136" s="110" t="str">
        <f>IFERROR(VLOOKUP(A136,'ADB Projects'!$A$4:$W$21,5,FALSE),"")</f>
        <v/>
      </c>
      <c r="AE136" s="132" t="str">
        <f>IF(AC136="Approved",(VLOOKUP($A136,'ADB Projects'!$A$5:$D$21,4,0)*1000000),"")</f>
        <v/>
      </c>
      <c r="AF136" s="585" t="str">
        <f>IF(AC136="Approved",(PRODUCT(VLOOKUP($A136,'ADB Projects'!$A$4:$W$21,6,FALSE),1000000)),"")</f>
        <v/>
      </c>
      <c r="AG136" s="585" t="str">
        <f>IF(AC136="Approved",(PRODUCT(VLOOKUP($A136,'ADB Projects'!$A$4:$W$21,7,FALSE),1000000)),"")</f>
        <v/>
      </c>
      <c r="AH136" s="585" t="str">
        <f>IF(AC136="Approved",(PRODUCT(VLOOKUP($A136,'ADB Projects'!$A$4:$W$21,8,FALSE),1000000)),"")</f>
        <v/>
      </c>
      <c r="AI136" s="148" t="s">
        <v>541</v>
      </c>
      <c r="AJ136" s="55"/>
      <c r="AK136" s="244"/>
      <c r="AL136" s="148" t="s">
        <v>541</v>
      </c>
      <c r="AM136" s="148"/>
      <c r="AN136" s="148"/>
      <c r="AO136" s="148"/>
      <c r="AP136" s="148"/>
      <c r="AQ136" s="602" t="str">
        <f t="shared" si="66"/>
        <v/>
      </c>
      <c r="AR136" s="602" t="str">
        <f>IFERROR(VLOOKUP($A136,'IDB C19 Vaccine Projects'!$O$4:$Q$12,2,FALSE),"")</f>
        <v/>
      </c>
      <c r="AS136" s="602" t="str">
        <f>IFERROR(VLOOKUP($A136,'IDB C19 Vaccine Projects'!$O$4:$Q$12,3,FALSE),"")</f>
        <v/>
      </c>
      <c r="AT136" s="55"/>
      <c r="AU136" s="88"/>
      <c r="AV136" s="55"/>
      <c r="AW136" s="55"/>
      <c r="AX136" s="88">
        <f>INDEX(USAID!$C$3:$C$151,MATCH('Matrix Allocations'!A136,USAID!$A$3:$A$151,0))</f>
        <v>500000</v>
      </c>
      <c r="AY136" s="110"/>
      <c r="AZ136" s="88">
        <f>IFERROR(INDEX('[4]Vx All regions allocations'!O$10:O$144,MATCH(A136,'[4]Vx All regions allocations'!A$10:A$144,0)),"")</f>
        <v>500000</v>
      </c>
      <c r="BA136" s="88">
        <v>141046.29629629629</v>
      </c>
      <c r="BB136" s="88">
        <v>213951</v>
      </c>
      <c r="BC136" s="88" t="str">
        <f>IFERROR(INDEX(DFAT!$K$4:$K$21,MATCH('Matrix Allocations'!A136,DFAT!$B$4:$B$21,0)),"")</f>
        <v/>
      </c>
      <c r="BD136" s="88"/>
      <c r="BE136" s="826" t="str">
        <f>IFERROR(IF(INDEX('GAVI CCE'!$E$3:$E$95,MATCH('Matrix Allocations'!A136,'GAVI CCE'!$A$3:$A$95,0))="Yes",INDEX('GAVI CCE'!$E$3:$E$95,MATCH('Matrix Allocations'!A136,'GAVI CCE'!$A$3:$A$95,0)),""),"")</f>
        <v>Yes</v>
      </c>
      <c r="BF136" s="88">
        <f>IFERROR(IF(BE136="Yes",INDEX('GAVI CCE'!$F$3:$F$95,MATCH('Matrix Allocations'!A136,'GAVI CCE'!$A$3:$A$95,0)),""),"")</f>
        <v>283310</v>
      </c>
      <c r="BG136" s="609" t="str">
        <f>IFERROR(IF(E136='CDS early access ceilings'!$A$94,(VLOOKUP(A136,'CDS early access ceilings'!$A$2:$D$92,4,FALSE)),""),"")</f>
        <v>GAVI</v>
      </c>
      <c r="BH136" s="639" t="str">
        <f>IFERROR(INDEX(Table14[Status (clean)],MATCH('Matrix Allocations'!A136,Table14[ISO Code],0)),"")</f>
        <v>Disbursed</v>
      </c>
      <c r="BI136" s="641">
        <f>IFERROR(INDEX(Table14[Amount disbursed (USD)],MATCH('Matrix Allocations'!A136,Table14[ISO Code],0)),"")</f>
        <v>1000017</v>
      </c>
      <c r="BJ136" s="641" t="str">
        <f>IFERROR(INDEX('CDS NBW'!$I$2:$I$39,MATCH(A136,'CDS NBW'!$A$2:$A$39,0)),"")</f>
        <v/>
      </c>
      <c r="BK136" s="641" t="str">
        <f>IFERROR(INDEX('CDS NBW'!$J$2:$J$39,MATCH(A136,'CDS NBW'!$A$2:$A$39,0)),"")</f>
        <v/>
      </c>
      <c r="BL136" s="609"/>
      <c r="BM136" s="609"/>
      <c r="BN136" s="609"/>
      <c r="BO136" s="609"/>
      <c r="BP136" s="609">
        <f>IFERROR(INDEX('UNICEF-BMZ'!$O$1:$O$199,MATCH('Matrix Allocations'!A136,'UNICEF-BMZ'!$B$1:$B$199,0)),"")</f>
        <v>40000</v>
      </c>
      <c r="BQ136" s="609" t="str">
        <f>IFERROR(VLOOKUP(A136,'BMGF_clean data'!$A$4:$C$30,3,FALSE),"")</f>
        <v/>
      </c>
      <c r="BR136" s="609"/>
      <c r="BS136" s="609"/>
      <c r="BT136" s="609"/>
      <c r="BU136" s="609"/>
      <c r="BV136" s="609"/>
      <c r="BW136" s="87">
        <f>INDEX(USAID!$D$3:$D$151,MATCH('Matrix Allocations'!A136,USAID!$A$3:$A$151,0))</f>
        <v>0</v>
      </c>
      <c r="BX136" s="87" t="str">
        <f>IFERROR(INDEX(DFAT!$L$4:$L$21,MATCH('Matrix Allocations'!A136,DFAT!$B$4:$B$21,0)),"")</f>
        <v/>
      </c>
      <c r="BY136" s="87">
        <f>IFERROR(INDEX(Table14[Funds Channelled through UNICEF],MATCH('Matrix Allocations'!A136,Table14[ISO Code],0)),"")</f>
        <v>0</v>
      </c>
      <c r="BZ136" s="87">
        <f t="shared" si="64"/>
        <v>0</v>
      </c>
      <c r="CA136">
        <f t="shared" si="60"/>
        <v>8478242</v>
      </c>
      <c r="CB136" s="782">
        <f t="shared" si="72"/>
        <v>2543472.6</v>
      </c>
      <c r="CC136" s="791">
        <f t="shared" si="67"/>
        <v>24278324.296296295</v>
      </c>
      <c r="CD136" s="788">
        <f t="shared" si="73"/>
        <v>9.5453453268166886</v>
      </c>
      <c r="CE136" s="788">
        <f t="shared" si="74"/>
        <v>7.1590089951125169</v>
      </c>
      <c r="CF136" s="828">
        <f t="shared" si="75"/>
        <v>4.0908622829214387</v>
      </c>
      <c r="CG136" s="828">
        <f t="shared" si="68"/>
        <v>2.8636035980450067</v>
      </c>
      <c r="CH136" s="88">
        <f t="shared" si="61"/>
        <v>21600000</v>
      </c>
      <c r="CI136" s="88">
        <f t="shared" si="69"/>
        <v>500000</v>
      </c>
      <c r="CJ136" s="742">
        <f t="shared" si="62"/>
        <v>0</v>
      </c>
      <c r="CK136" s="848">
        <f t="shared" si="70"/>
        <v>500000</v>
      </c>
      <c r="CL136" s="88">
        <f t="shared" si="71"/>
        <v>1678324.2962962962</v>
      </c>
    </row>
    <row r="137" spans="1:90" ht="17.25" customHeight="1">
      <c r="A137" s="57" t="s">
        <v>685</v>
      </c>
      <c r="B137" s="57" t="s">
        <v>283</v>
      </c>
      <c r="C137" s="57" t="s">
        <v>126</v>
      </c>
      <c r="D137" s="57" t="s">
        <v>152</v>
      </c>
      <c r="E137" s="57" t="s">
        <v>145</v>
      </c>
      <c r="F137" s="57"/>
      <c r="G137" s="57" t="str">
        <f t="shared" si="63"/>
        <v>No</v>
      </c>
      <c r="H137" s="57" t="str">
        <f t="shared" si="63"/>
        <v>No</v>
      </c>
      <c r="I137" s="57" t="str">
        <f t="shared" ref="I137:I152" si="76">IF($T137="Blend","Yes","No")</f>
        <v>No</v>
      </c>
      <c r="J137" s="57" t="str">
        <f t="shared" ref="J137:J152" si="77">IF(OR(T137="IDA",T137="Blend"),"Yes","No")</f>
        <v>Yes</v>
      </c>
      <c r="K137" s="57" t="str">
        <f t="shared" ref="K137:K152" si="78">IF($T137="IBRD","Yes","No")</f>
        <v>No</v>
      </c>
      <c r="L137" s="62" t="s">
        <v>541</v>
      </c>
      <c r="M137" s="55" t="s">
        <v>544</v>
      </c>
      <c r="N137" s="136" t="s">
        <v>541</v>
      </c>
      <c r="O137" s="57" t="s">
        <v>541</v>
      </c>
      <c r="P137" s="57" t="s">
        <v>542</v>
      </c>
      <c r="Q137" s="57"/>
      <c r="R137" s="57"/>
      <c r="S137" s="956">
        <v>15464031.712942109</v>
      </c>
      <c r="T137" s="55" t="s">
        <v>394</v>
      </c>
      <c r="U137" s="64" t="str">
        <f>IFERROR(IF(VLOOKUP(A137,'WB projects data'!$A$5:$C$83,3,0)="Approved",(VLOOKUP(A137,'WB projects data'!$A$5:$C$83,3,0)),""),"")</f>
        <v/>
      </c>
      <c r="V137" s="123" t="str">
        <f t="shared" si="65"/>
        <v/>
      </c>
      <c r="W137" s="123" t="str">
        <f>IFERROR((VLOOKUP($A137,'WB projects data'!$A$5:$J$83,6,0)*1000000),"")</f>
        <v/>
      </c>
      <c r="X137" s="123" t="str">
        <f>IFERROR((VLOOKUP($A137,'WB projects data'!$A$5:$J$83,7,0)*1000000),"")</f>
        <v/>
      </c>
      <c r="Y137" s="123" t="str">
        <f>IFERROR((VLOOKUP($A137,'WB projects data'!$A$5:$J$83,8,0)*1000000),"")</f>
        <v/>
      </c>
      <c r="Z137" s="123" t="str">
        <f>IFERROR((VLOOKUP($A137,'WB projects data'!$A$5:$J$83,9,0)*1000000),"")</f>
        <v/>
      </c>
      <c r="AA137" s="123" t="str">
        <f>IFERROR((VLOOKUP($A137,'WB projects data'!$A$5:$J$83,10,0)*1000000),"")</f>
        <v/>
      </c>
      <c r="AB137" s="57" t="s">
        <v>541</v>
      </c>
      <c r="AC137" s="110" t="str">
        <f>VLOOKUP($A137,'ADB Projects'!$A$5:$D$21,3,0)</f>
        <v>Approved</v>
      </c>
      <c r="AD137" s="110" t="str">
        <f>IFERROR(VLOOKUP(A137,'ADB Projects'!$A$4:$W$21,5,FALSE),"")</f>
        <v>Grant</v>
      </c>
      <c r="AE137" s="132">
        <f>IF(AC137="Approved",(VLOOKUP($A137,'ADB Projects'!$A$5:$D$21,4,0)*1000000),"")</f>
        <v>5500000</v>
      </c>
      <c r="AF137" s="585">
        <f>IF(AC137="Approved",(PRODUCT(VLOOKUP($A137,'ADB Projects'!$A$4:$W$21,6,FALSE),1000000)),"")</f>
        <v>1230000</v>
      </c>
      <c r="AG137" s="585">
        <f>IF(AC137="Approved",(PRODUCT(VLOOKUP($A137,'ADB Projects'!$A$4:$W$21,7,FALSE),1000000)),"")</f>
        <v>2770000</v>
      </c>
      <c r="AH137" s="585">
        <f>IF(AC137="Approved",(PRODUCT(VLOOKUP($A137,'ADB Projects'!$A$4:$W$21,8,FALSE),1000000)),"")</f>
        <v>1500000</v>
      </c>
      <c r="AI137" s="55"/>
      <c r="AJ137" s="55"/>
      <c r="AK137" s="244"/>
      <c r="AL137" s="55"/>
      <c r="AM137" s="55"/>
      <c r="AN137" s="55"/>
      <c r="AO137" s="55"/>
      <c r="AP137" s="55"/>
      <c r="AQ137" s="602" t="str">
        <f t="shared" si="66"/>
        <v/>
      </c>
      <c r="AR137" s="602" t="str">
        <f>IFERROR(VLOOKUP($A137,'IDB C19 Vaccine Projects'!$O$4:$Q$12,2,FALSE),"")</f>
        <v/>
      </c>
      <c r="AS137" s="602" t="str">
        <f>IFERROR(VLOOKUP($A137,'IDB C19 Vaccine Projects'!$O$4:$Q$12,3,FALSE),"")</f>
        <v/>
      </c>
      <c r="AT137" s="55"/>
      <c r="AU137" s="88"/>
      <c r="AV137" s="55"/>
      <c r="AW137" s="55"/>
      <c r="AX137" s="88" t="str">
        <f>INDEX(USAID!$C$3:$C$151,MATCH('Matrix Allocations'!A137,USAID!$A$3:$A$151,0))</f>
        <v/>
      </c>
      <c r="AY137" s="110">
        <v>498460</v>
      </c>
      <c r="AZ137" s="88">
        <f>IFERROR(INDEX('[4]Vx All regions allocations'!O$10:O$144,MATCH(A137,'[4]Vx All regions allocations'!A$10:A$144,0)),"")</f>
        <v>0</v>
      </c>
      <c r="BA137" s="88">
        <v>55481.481481481474</v>
      </c>
      <c r="BB137" s="88">
        <v>25000</v>
      </c>
      <c r="BC137" s="88">
        <f>IFERROR(INDEX(DFAT!$K$4:$K$21,MATCH('Matrix Allocations'!A137,DFAT!$B$4:$B$21,0)),"")</f>
        <v>0</v>
      </c>
      <c r="BD137" s="88">
        <v>23028</v>
      </c>
      <c r="BE137" s="826" t="str">
        <f>IFERROR(IF(INDEX('GAVI CCE'!$E$3:$E$95,MATCH('Matrix Allocations'!A137,'GAVI CCE'!$A$3:$A$95,0))="Yes",INDEX('GAVI CCE'!$E$3:$E$95,MATCH('Matrix Allocations'!A137,'GAVI CCE'!$A$3:$A$95,0)),""),"")</f>
        <v/>
      </c>
      <c r="BF137" s="88" t="str">
        <f>IFERROR(IF(BE137="Yes",INDEX('GAVI CCE'!$F$3:$F$95,MATCH('Matrix Allocations'!A137,'GAVI CCE'!$A$3:$A$95,0)),""),"")</f>
        <v/>
      </c>
      <c r="BG137" s="609" t="str">
        <f>IFERROR(IF(E137='CDS early access ceilings'!$A$94,(VLOOKUP(A137,'CDS early access ceilings'!$A$2:$D$92,4,FALSE)),""),"")</f>
        <v>UNICEF</v>
      </c>
      <c r="BH137" s="639" t="str">
        <f>IFERROR(INDEX(Table14[Status (clean)],MATCH('Matrix Allocations'!A137,Table14[ISO Code],0)),"")</f>
        <v>Disbursed</v>
      </c>
      <c r="BI137" s="641">
        <f>IFERROR(INDEX(Table14[Amount disbursed (USD)],MATCH('Matrix Allocations'!A137,Table14[ISO Code],0)),"")</f>
        <v>230000</v>
      </c>
      <c r="BJ137" s="641" t="str">
        <f>IFERROR(INDEX('CDS NBW'!$I$2:$I$39,MATCH(A137,'CDS NBW'!$A$2:$A$39,0)),"")</f>
        <v>Disbursed</v>
      </c>
      <c r="BK137" s="641">
        <f>IFERROR(INDEX('CDS NBW'!$J$2:$J$39,MATCH(A137,'CDS NBW'!$A$2:$A$39,0)),"")</f>
        <v>230000</v>
      </c>
      <c r="BL137" s="609"/>
      <c r="BM137" s="609"/>
      <c r="BN137" s="609"/>
      <c r="BO137" s="609"/>
      <c r="BP137" s="609">
        <f>IFERROR(INDEX('UNICEF-BMZ'!$O$1:$O$199,MATCH('Matrix Allocations'!A137,'UNICEF-BMZ'!$B$1:$B$199,0)),"")</f>
        <v>0</v>
      </c>
      <c r="BQ137" s="609" t="str">
        <f>IFERROR(VLOOKUP(A137,'BMGF_clean data'!$A$4:$C$30,3,FALSE),"")</f>
        <v/>
      </c>
      <c r="BR137" s="609"/>
      <c r="BS137" s="609"/>
      <c r="BT137" s="609"/>
      <c r="BU137" s="609"/>
      <c r="BV137" s="609"/>
      <c r="BW137" s="87">
        <f>INDEX(USAID!$D$3:$D$151,MATCH('Matrix Allocations'!A137,USAID!$A$3:$A$151,0))</f>
        <v>0</v>
      </c>
      <c r="BX137" s="87">
        <f>IFERROR(INDEX(DFAT!$L$4:$L$21,MATCH('Matrix Allocations'!A137,DFAT!$B$4:$B$21,0)),"")</f>
        <v>0</v>
      </c>
      <c r="BY137" s="87">
        <f>IFERROR(INDEX(Table14[Funds Channelled through UNICEF],MATCH('Matrix Allocations'!A137,Table14[ISO Code],0)),"")</f>
        <v>0</v>
      </c>
      <c r="BZ137" s="87">
        <f t="shared" si="64"/>
        <v>230000</v>
      </c>
      <c r="CA137">
        <f t="shared" si="60"/>
        <v>106759</v>
      </c>
      <c r="CB137" s="782">
        <f t="shared" si="72"/>
        <v>32027.699999999997</v>
      </c>
      <c r="CC137" s="791">
        <f t="shared" si="67"/>
        <v>3831969.4814814813</v>
      </c>
      <c r="CD137" s="788">
        <f t="shared" si="73"/>
        <v>119.64547817924739</v>
      </c>
      <c r="CE137" s="788">
        <f t="shared" si="74"/>
        <v>89.734108634435529</v>
      </c>
      <c r="CF137" s="828">
        <f t="shared" si="75"/>
        <v>51.276633505391743</v>
      </c>
      <c r="CG137" s="828">
        <f t="shared" si="68"/>
        <v>35.893643453774217</v>
      </c>
      <c r="CH137" s="88">
        <f t="shared" si="61"/>
        <v>2770000</v>
      </c>
      <c r="CI137" s="88">
        <f t="shared" si="69"/>
        <v>521488</v>
      </c>
      <c r="CJ137" s="742">
        <f t="shared" si="62"/>
        <v>0</v>
      </c>
      <c r="CK137" s="848">
        <f t="shared" si="70"/>
        <v>521488</v>
      </c>
      <c r="CL137" s="88">
        <f t="shared" si="71"/>
        <v>770481.48148148146</v>
      </c>
    </row>
    <row r="138" spans="1:90" ht="17.25" customHeight="1">
      <c r="A138" s="57" t="s">
        <v>686</v>
      </c>
      <c r="B138" s="57" t="s">
        <v>284</v>
      </c>
      <c r="C138" s="57" t="s">
        <v>130</v>
      </c>
      <c r="D138" s="57" t="s">
        <v>550</v>
      </c>
      <c r="E138" s="57" t="s">
        <v>146</v>
      </c>
      <c r="F138" s="57"/>
      <c r="G138" s="57" t="str">
        <f t="shared" si="63"/>
        <v>Yes</v>
      </c>
      <c r="H138" s="57" t="str">
        <f t="shared" si="63"/>
        <v>Yes</v>
      </c>
      <c r="I138" s="57" t="str">
        <f t="shared" si="76"/>
        <v>No</v>
      </c>
      <c r="J138" s="57" t="str">
        <f t="shared" si="77"/>
        <v>No</v>
      </c>
      <c r="K138" s="57" t="str">
        <f t="shared" si="78"/>
        <v>Yes</v>
      </c>
      <c r="L138" s="62" t="s">
        <v>541</v>
      </c>
      <c r="M138" s="55" t="s">
        <v>544</v>
      </c>
      <c r="N138" s="136" t="s">
        <v>544</v>
      </c>
      <c r="O138" s="57" t="s">
        <v>544</v>
      </c>
      <c r="P138" s="57" t="s">
        <v>546</v>
      </c>
      <c r="Q138" s="57"/>
      <c r="R138" s="57"/>
      <c r="S138" s="956">
        <v>769564399.33249676</v>
      </c>
      <c r="T138" s="55" t="s">
        <v>395</v>
      </c>
      <c r="U138" s="64" t="str">
        <f>IFERROR(IF(VLOOKUP(A138,'WB projects data'!$A$5:$C$83,3,0)="Approved",(VLOOKUP(A138,'WB projects data'!$A$5:$C$83,3,0)),""),"")</f>
        <v/>
      </c>
      <c r="V138" s="123" t="str">
        <f t="shared" si="65"/>
        <v/>
      </c>
      <c r="W138" s="123" t="str">
        <f>IFERROR((VLOOKUP($A138,'WB projects data'!$A$5:$J$83,6,0)*1000000),"")</f>
        <v/>
      </c>
      <c r="X138" s="123" t="str">
        <f>IFERROR((VLOOKUP($A138,'WB projects data'!$A$5:$J$83,7,0)*1000000),"")</f>
        <v/>
      </c>
      <c r="Y138" s="123" t="str">
        <f>IFERROR((VLOOKUP($A138,'WB projects data'!$A$5:$J$83,8,0)*1000000),"")</f>
        <v/>
      </c>
      <c r="Z138" s="123" t="str">
        <f>IFERROR((VLOOKUP($A138,'WB projects data'!$A$5:$J$83,9,0)*1000000),"")</f>
        <v/>
      </c>
      <c r="AA138" s="123" t="str">
        <f>IFERROR((VLOOKUP($A138,'WB projects data'!$A$5:$J$83,10,0)*1000000),"")</f>
        <v/>
      </c>
      <c r="AB138" s="57"/>
      <c r="AC138" s="110"/>
      <c r="AD138" s="110" t="str">
        <f>IFERROR(VLOOKUP(A138,'ADB Projects'!$A$4:$W$21,5,FALSE),"")</f>
        <v/>
      </c>
      <c r="AE138" s="132" t="str">
        <f>IF(AC138="Approved",(VLOOKUP($A138,'ADB Projects'!$A$5:$D$21,4,0)*1000000),"")</f>
        <v/>
      </c>
      <c r="AF138" s="585" t="str">
        <f>IF(AC138="Approved",(PRODUCT(VLOOKUP($A138,'ADB Projects'!$A$4:$W$21,6,FALSE),1000000)),"")</f>
        <v/>
      </c>
      <c r="AG138" s="585" t="str">
        <f>IF(AC138="Approved",(PRODUCT(VLOOKUP($A138,'ADB Projects'!$A$4:$W$21,7,FALSE),1000000)),"")</f>
        <v/>
      </c>
      <c r="AH138" s="585" t="str">
        <f>IF(AC138="Approved",(PRODUCT(VLOOKUP($A138,'ADB Projects'!$A$4:$W$21,8,FALSE),1000000)),"")</f>
        <v/>
      </c>
      <c r="AI138" s="55"/>
      <c r="AJ138" s="55"/>
      <c r="AK138" s="244"/>
      <c r="AL138" s="55"/>
      <c r="AM138" s="55"/>
      <c r="AN138" s="55"/>
      <c r="AO138" s="55" t="s">
        <v>541</v>
      </c>
      <c r="AP138" s="55" t="s">
        <v>552</v>
      </c>
      <c r="AQ138" s="602">
        <f t="shared" si="66"/>
        <v>5762057</v>
      </c>
      <c r="AR138" s="602">
        <f>IFERROR(VLOOKUP($A138,'IDB C19 Vaccine Projects'!$O$4:$Q$12,2,FALSE),"")</f>
        <v>3027000</v>
      </c>
      <c r="AS138" s="602">
        <f>IFERROR(VLOOKUP($A138,'IDB C19 Vaccine Projects'!$O$4:$Q$12,3,FALSE),"")</f>
        <v>2735057</v>
      </c>
      <c r="AT138" s="55"/>
      <c r="AU138" s="88"/>
      <c r="AV138" s="55"/>
      <c r="AW138" s="55"/>
      <c r="AX138" s="88" t="str">
        <f>INDEX(USAID!$C$3:$C$151,MATCH('Matrix Allocations'!A138,USAID!$A$3:$A$151,0))</f>
        <v/>
      </c>
      <c r="AY138" s="110"/>
      <c r="AZ138" s="88" t="str">
        <f>IFERROR(INDEX('[4]Vx All regions allocations'!O$10:O$144,MATCH(A138,'[4]Vx All regions allocations'!A$10:A$144,0)),"")</f>
        <v/>
      </c>
      <c r="BA138" s="88">
        <v>0</v>
      </c>
      <c r="BB138" s="88">
        <v>0</v>
      </c>
      <c r="BC138" s="88" t="str">
        <f>IFERROR(INDEX(DFAT!$K$4:$K$21,MATCH('Matrix Allocations'!A138,DFAT!$B$4:$B$21,0)),"")</f>
        <v/>
      </c>
      <c r="BD138" s="88"/>
      <c r="BE138" s="826" t="str">
        <f>IFERROR(IF(INDEX('GAVI CCE'!$E$3:$E$95,MATCH('Matrix Allocations'!A138,'GAVI CCE'!$A$3:$A$95,0))="Yes",INDEX('GAVI CCE'!$E$3:$E$95,MATCH('Matrix Allocations'!A138,'GAVI CCE'!$A$3:$A$95,0)),""),"")</f>
        <v/>
      </c>
      <c r="BF138" s="88" t="str">
        <f>IFERROR(IF(BE138="Yes",INDEX('GAVI CCE'!$F$3:$F$95,MATCH('Matrix Allocations'!A138,'GAVI CCE'!$A$3:$A$95,0)),""),"")</f>
        <v/>
      </c>
      <c r="BG138" s="609" t="str">
        <f>IFERROR(IF(E138='CDS early access ceilings'!$A$94,(VLOOKUP(A138,'CDS early access ceilings'!$A$2:$D$92,4,FALSE)),""),"")</f>
        <v/>
      </c>
      <c r="BH138" s="639" t="str">
        <f>IFERROR(INDEX(Table14[Status (clean)],MATCH('Matrix Allocations'!A138,Table14[ISO Code],0)),"")</f>
        <v/>
      </c>
      <c r="BI138" s="641" t="str">
        <f>IFERROR(INDEX(Table14[Amount disbursed (USD)],MATCH('Matrix Allocations'!A138,Table14[ISO Code],0)),"")</f>
        <v/>
      </c>
      <c r="BJ138" s="641" t="str">
        <f>IFERROR(INDEX('CDS NBW'!$I$2:$I$39,MATCH(A138,'CDS NBW'!$A$2:$A$39,0)),"")</f>
        <v/>
      </c>
      <c r="BK138" s="641" t="str">
        <f>IFERROR(INDEX('CDS NBW'!$J$2:$J$39,MATCH(A138,'CDS NBW'!$A$2:$A$39,0)),"")</f>
        <v/>
      </c>
      <c r="BL138" s="609"/>
      <c r="BM138" s="609"/>
      <c r="BN138" s="609"/>
      <c r="BO138" s="609"/>
      <c r="BP138" s="609" t="str">
        <f>IFERROR(INDEX('UNICEF-BMZ'!$O$1:$O$199,MATCH('Matrix Allocations'!A138,'UNICEF-BMZ'!$B$1:$B$199,0)),"")</f>
        <v/>
      </c>
      <c r="BQ138" s="609" t="str">
        <f>IFERROR(VLOOKUP(A138,'BMGF_clean data'!$A$4:$C$30,3,FALSE),"")</f>
        <v/>
      </c>
      <c r="BR138" s="609"/>
      <c r="BS138" s="609"/>
      <c r="BT138" s="609"/>
      <c r="BU138" s="609"/>
      <c r="BV138" s="609"/>
      <c r="BW138" s="87">
        <f>INDEX(USAID!$D$3:$D$151,MATCH('Matrix Allocations'!A138,USAID!$A$3:$A$151,0))</f>
        <v>0</v>
      </c>
      <c r="BX138" s="87" t="str">
        <f>IFERROR(INDEX(DFAT!$L$4:$L$21,MATCH('Matrix Allocations'!A138,DFAT!$B$4:$B$21,0)),"")</f>
        <v/>
      </c>
      <c r="BY138" s="87" t="str">
        <f>IFERROR(INDEX(Table14[Funds Channelled through UNICEF],MATCH('Matrix Allocations'!A138,Table14[ISO Code],0)),"")</f>
        <v/>
      </c>
      <c r="BZ138" s="87">
        <f t="shared" si="64"/>
        <v>0</v>
      </c>
      <c r="CA138">
        <f t="shared" si="60"/>
        <v>1399491</v>
      </c>
      <c r="CB138" s="782">
        <f t="shared" si="72"/>
        <v>419847.3</v>
      </c>
      <c r="CC138" s="791">
        <f t="shared" si="67"/>
        <v>2735057</v>
      </c>
      <c r="CD138" s="788">
        <f t="shared" si="73"/>
        <v>6.5144089291511467</v>
      </c>
      <c r="CE138" s="788">
        <f t="shared" si="74"/>
        <v>4.8858066968633596</v>
      </c>
      <c r="CF138" s="828">
        <f t="shared" si="75"/>
        <v>2.7918895410647773</v>
      </c>
      <c r="CG138" s="828">
        <f t="shared" si="68"/>
        <v>1.9543226787453438</v>
      </c>
      <c r="CH138" s="88">
        <f t="shared" si="61"/>
        <v>2735057</v>
      </c>
      <c r="CI138" s="88">
        <f t="shared" si="69"/>
        <v>0</v>
      </c>
      <c r="CJ138" s="742">
        <f t="shared" si="62"/>
        <v>0</v>
      </c>
      <c r="CK138" s="848">
        <f t="shared" si="70"/>
        <v>0</v>
      </c>
      <c r="CL138" s="88">
        <f t="shared" si="71"/>
        <v>0</v>
      </c>
    </row>
    <row r="139" spans="1:90" ht="17.25" customHeight="1">
      <c r="A139" s="57" t="s">
        <v>687</v>
      </c>
      <c r="B139" s="57" t="s">
        <v>285</v>
      </c>
      <c r="C139" s="57" t="s">
        <v>131</v>
      </c>
      <c r="D139" s="57" t="s">
        <v>150</v>
      </c>
      <c r="E139" s="57" t="s">
        <v>145</v>
      </c>
      <c r="F139" s="57"/>
      <c r="G139" s="57" t="str">
        <f t="shared" si="63"/>
        <v>Yes</v>
      </c>
      <c r="H139" s="57" t="str">
        <f t="shared" si="63"/>
        <v>Yes</v>
      </c>
      <c r="I139" s="57" t="str">
        <f t="shared" si="76"/>
        <v>No</v>
      </c>
      <c r="J139" s="57" t="str">
        <f t="shared" si="77"/>
        <v>No</v>
      </c>
      <c r="K139" s="57" t="str">
        <f t="shared" si="78"/>
        <v>Yes</v>
      </c>
      <c r="L139" s="62" t="s">
        <v>541</v>
      </c>
      <c r="M139" s="55" t="s">
        <v>544</v>
      </c>
      <c r="N139" s="136" t="s">
        <v>544</v>
      </c>
      <c r="O139" s="57" t="s">
        <v>544</v>
      </c>
      <c r="P139" s="57" t="s">
        <v>546</v>
      </c>
      <c r="Q139" s="57"/>
      <c r="R139" s="57"/>
      <c r="S139" s="956">
        <v>1668954539.7630196</v>
      </c>
      <c r="T139" s="55" t="s">
        <v>395</v>
      </c>
      <c r="U139" s="64" t="str">
        <f>IFERROR(IF(VLOOKUP(A139,'WB projects data'!$A$5:$C$83,3,0)="Approved",(VLOOKUP(A139,'WB projects data'!$A$5:$C$83,3,0)),""),"")</f>
        <v>Approved</v>
      </c>
      <c r="V139" s="123">
        <f t="shared" si="65"/>
        <v>100000000</v>
      </c>
      <c r="W139" s="123">
        <f>IFERROR((VLOOKUP($A139,'WB projects data'!$A$5:$J$83,6,0)*1000000),"")</f>
        <v>100000000</v>
      </c>
      <c r="X139" s="123">
        <f>IFERROR((VLOOKUP($A139,'WB projects data'!$A$5:$J$83,7,0)*1000000),"")</f>
        <v>0</v>
      </c>
      <c r="Y139" s="123">
        <f>IFERROR((VLOOKUP($A139,'WB projects data'!$A$5:$J$83,8,0)*1000000),"")</f>
        <v>83000000</v>
      </c>
      <c r="Z139" s="123">
        <f>IFERROR((VLOOKUP($A139,'WB projects data'!$A$5:$J$83,9,0)*1000000),"")</f>
        <v>9300000</v>
      </c>
      <c r="AA139" s="123">
        <f>IFERROR((VLOOKUP($A139,'WB projects data'!$A$5:$J$83,10,0)*1000000),"")</f>
        <v>7800000</v>
      </c>
      <c r="AB139" s="57"/>
      <c r="AC139" s="110"/>
      <c r="AD139" s="110" t="str">
        <f>IFERROR(VLOOKUP(A139,'ADB Projects'!$A$4:$W$21,5,FALSE),"")</f>
        <v/>
      </c>
      <c r="AE139" s="132" t="str">
        <f>IF(AC139="Approved",(VLOOKUP($A139,'ADB Projects'!$A$5:$D$21,4,0)*1000000),"")</f>
        <v/>
      </c>
      <c r="AF139" s="585" t="str">
        <f>IF(AC139="Approved",(PRODUCT(VLOOKUP($A139,'ADB Projects'!$A$4:$W$21,6,FALSE),1000000)),"")</f>
        <v/>
      </c>
      <c r="AG139" s="585" t="str">
        <f>IF(AC139="Approved",(PRODUCT(VLOOKUP($A139,'ADB Projects'!$A$4:$W$21,7,FALSE),1000000)),"")</f>
        <v/>
      </c>
      <c r="AH139" s="585" t="str">
        <f>IF(AC139="Approved",(PRODUCT(VLOOKUP($A139,'ADB Projects'!$A$4:$W$21,8,FALSE),1000000)),"")</f>
        <v/>
      </c>
      <c r="AI139" s="55" t="s">
        <v>541</v>
      </c>
      <c r="AJ139" s="55" t="str">
        <f>IF(VLOOKUP($B139,'IsDB Projects'!$B$5:$C$14,2,0)&gt;0,"Requested","")</f>
        <v>Requested</v>
      </c>
      <c r="AK139" s="244">
        <f>VLOOKUP($B139,'IsDB Projects'!$B$5:$D$14,3,0)</f>
        <v>2200000</v>
      </c>
      <c r="AL139" s="148" t="s">
        <v>541</v>
      </c>
      <c r="AM139" s="148"/>
      <c r="AN139" s="148"/>
      <c r="AO139" s="148"/>
      <c r="AP139" s="148"/>
      <c r="AQ139" s="602" t="str">
        <f t="shared" si="66"/>
        <v/>
      </c>
      <c r="AR139" s="602" t="str">
        <f>IFERROR(VLOOKUP($A139,'IDB C19 Vaccine Projects'!$O$4:$Q$12,2,FALSE),"")</f>
        <v/>
      </c>
      <c r="AS139" s="602" t="str">
        <f>IFERROR(VLOOKUP($A139,'IDB C19 Vaccine Projects'!$O$4:$Q$12,3,FALSE),"")</f>
        <v/>
      </c>
      <c r="AT139" s="55"/>
      <c r="AU139" s="88"/>
      <c r="AV139" s="55"/>
      <c r="AW139" s="55" t="s">
        <v>541</v>
      </c>
      <c r="AX139" s="88">
        <f>INDEX(USAID!$C$3:$C$151,MATCH('Matrix Allocations'!A139,USAID!$A$3:$A$151,0))</f>
        <v>3000000</v>
      </c>
      <c r="AY139" s="110">
        <v>650000</v>
      </c>
      <c r="AZ139" s="88">
        <f>IFERROR(INDEX('[4]Vx All regions allocations'!O$10:O$144,MATCH(A139,'[4]Vx All regions allocations'!A$10:A$144,0)),"")</f>
        <v>0</v>
      </c>
      <c r="BA139" s="88">
        <v>124999.99999999999</v>
      </c>
      <c r="BB139" s="88">
        <v>50000.03</v>
      </c>
      <c r="BC139" s="88" t="str">
        <f>IFERROR(INDEX(DFAT!$K$4:$K$21,MATCH('Matrix Allocations'!A139,DFAT!$B$4:$B$21,0)),"")</f>
        <v/>
      </c>
      <c r="BD139" s="88"/>
      <c r="BE139" s="826" t="str">
        <f>IFERROR(IF(INDEX('GAVI CCE'!$E$3:$E$95,MATCH('Matrix Allocations'!A139,'GAVI CCE'!$A$3:$A$95,0))="Yes",INDEX('GAVI CCE'!$E$3:$E$95,MATCH('Matrix Allocations'!A139,'GAVI CCE'!$A$3:$A$95,0)),""),"")</f>
        <v>Yes</v>
      </c>
      <c r="BF139" s="88">
        <f>IFERROR(IF(BE139="Yes",INDEX('GAVI CCE'!$F$3:$F$95,MATCH('Matrix Allocations'!A139,'GAVI CCE'!$A$3:$A$95,0)),""),"")</f>
        <v>275648</v>
      </c>
      <c r="BG139" s="609" t="str">
        <f>IFERROR(IF(E139='CDS early access ceilings'!$A$94,(VLOOKUP(A139,'CDS early access ceilings'!$A$2:$D$92,4,FALSE)),""),"")</f>
        <v>UNICEF</v>
      </c>
      <c r="BH139" s="639" t="str">
        <f>IFERROR(INDEX(Table14[Status (clean)],MATCH('Matrix Allocations'!A139,Table14[ISO Code],0)),"")</f>
        <v>Disbursed</v>
      </c>
      <c r="BI139" s="641">
        <f>IFERROR(INDEX(Table14[Amount disbursed (USD)],MATCH('Matrix Allocations'!A139,Table14[ISO Code],0)),"")</f>
        <v>530082</v>
      </c>
      <c r="BJ139" s="641" t="str">
        <f>IFERROR(INDEX('CDS NBW'!$I$2:$I$39,MATCH(A139,'CDS NBW'!$A$2:$A$39,0)),"")</f>
        <v>Disbursed</v>
      </c>
      <c r="BK139" s="641">
        <f>IFERROR(INDEX('CDS NBW'!$J$2:$J$39,MATCH(A139,'CDS NBW'!$A$2:$A$39,0)),"")</f>
        <v>499854</v>
      </c>
      <c r="BL139" s="609"/>
      <c r="BM139" s="609"/>
      <c r="BN139" s="609"/>
      <c r="BO139" s="609">
        <v>3118906</v>
      </c>
      <c r="BP139" s="609">
        <f>IFERROR(INDEX('UNICEF-BMZ'!$O$1:$O$199,MATCH('Matrix Allocations'!A139,'UNICEF-BMZ'!$B$1:$B$199,0)),"")</f>
        <v>40000</v>
      </c>
      <c r="BQ139" s="609" t="str">
        <f>IFERROR(VLOOKUP(A139,'BMGF_clean data'!$A$4:$C$30,3,FALSE),"")</f>
        <v/>
      </c>
      <c r="BR139" s="609"/>
      <c r="BS139" s="609"/>
      <c r="BT139" s="609"/>
      <c r="BU139" s="609"/>
      <c r="BV139" s="609"/>
      <c r="BW139" s="87">
        <f>INDEX(USAID!$D$3:$D$151,MATCH('Matrix Allocations'!A139,USAID!$A$3:$A$151,0))</f>
        <v>3000000</v>
      </c>
      <c r="BX139" s="87" t="str">
        <f>IFERROR(INDEX(DFAT!$L$4:$L$21,MATCH('Matrix Allocations'!A139,DFAT!$B$4:$B$21,0)),"")</f>
        <v/>
      </c>
      <c r="BY139" s="87">
        <f>IFERROR(INDEX(Table14[Funds Channelled through UNICEF],MATCH('Matrix Allocations'!A139,Table14[ISO Code],0)),"")</f>
        <v>0</v>
      </c>
      <c r="BZ139" s="87">
        <f t="shared" si="64"/>
        <v>530082</v>
      </c>
      <c r="CA139">
        <f t="shared" si="60"/>
        <v>11935764</v>
      </c>
      <c r="CB139" s="782">
        <f t="shared" si="72"/>
        <v>3580729.1999999997</v>
      </c>
      <c r="CC139" s="791">
        <f t="shared" si="67"/>
        <v>17589490.030000001</v>
      </c>
      <c r="CD139" s="788">
        <f t="shared" si="73"/>
        <v>4.912264806285827</v>
      </c>
      <c r="CE139" s="788">
        <f t="shared" si="74"/>
        <v>3.6841986047143691</v>
      </c>
      <c r="CF139" s="828">
        <f t="shared" si="75"/>
        <v>2.1052563455510684</v>
      </c>
      <c r="CG139" s="828">
        <f t="shared" si="68"/>
        <v>1.4736794418857477</v>
      </c>
      <c r="CH139" s="88">
        <f t="shared" si="61"/>
        <v>9300000</v>
      </c>
      <c r="CI139" s="88">
        <f t="shared" si="69"/>
        <v>3650000</v>
      </c>
      <c r="CJ139" s="742">
        <f t="shared" si="62"/>
        <v>3118906</v>
      </c>
      <c r="CK139" s="848">
        <f t="shared" si="70"/>
        <v>6768906</v>
      </c>
      <c r="CL139" s="88">
        <f t="shared" si="71"/>
        <v>2020438.03</v>
      </c>
    </row>
    <row r="140" spans="1:90" ht="17.25" customHeight="1">
      <c r="A140" s="149" t="s">
        <v>688</v>
      </c>
      <c r="B140" s="149" t="s">
        <v>286</v>
      </c>
      <c r="C140" s="57" t="s">
        <v>127</v>
      </c>
      <c r="D140" s="57" t="s">
        <v>152</v>
      </c>
      <c r="E140" s="57" t="s">
        <v>146</v>
      </c>
      <c r="F140" s="57"/>
      <c r="G140" s="57" t="str">
        <f t="shared" si="63"/>
        <v>Yes</v>
      </c>
      <c r="H140" s="57" t="str">
        <f t="shared" si="63"/>
        <v>Yes</v>
      </c>
      <c r="I140" s="57" t="str">
        <f t="shared" si="76"/>
        <v>No</v>
      </c>
      <c r="J140" s="57" t="str">
        <f t="shared" si="77"/>
        <v>No</v>
      </c>
      <c r="K140" s="57" t="str">
        <f t="shared" si="78"/>
        <v>Yes</v>
      </c>
      <c r="L140" s="62" t="s">
        <v>541</v>
      </c>
      <c r="M140" s="55" t="s">
        <v>544</v>
      </c>
      <c r="N140" s="136" t="s">
        <v>544</v>
      </c>
      <c r="O140" s="57" t="s">
        <v>544</v>
      </c>
      <c r="P140" s="57"/>
      <c r="Q140" s="57"/>
      <c r="R140" s="57"/>
      <c r="S140" s="956">
        <v>24840920016.18832</v>
      </c>
      <c r="T140" s="55" t="s">
        <v>395</v>
      </c>
      <c r="U140" s="64" t="str">
        <f>IFERROR(IF(VLOOKUP(A140,'WB projects data'!$A$5:$C$83,3,0)="Approved",(VLOOKUP(A140,'WB projects data'!$A$5:$C$83,3,0)),""),"")</f>
        <v/>
      </c>
      <c r="V140" s="123" t="str">
        <f t="shared" si="65"/>
        <v/>
      </c>
      <c r="W140" s="123" t="str">
        <f>IFERROR((VLOOKUP($A140,'WB projects data'!$A$5:$J$83,6,0)*1000000),"")</f>
        <v/>
      </c>
      <c r="X140" s="123" t="str">
        <f>IFERROR((VLOOKUP($A140,'WB projects data'!$A$5:$J$83,7,0)*1000000),"")</f>
        <v/>
      </c>
      <c r="Y140" s="123" t="str">
        <f>IFERROR((VLOOKUP($A140,'WB projects data'!$A$5:$J$83,8,0)*1000000),"")</f>
        <v/>
      </c>
      <c r="Z140" s="123" t="str">
        <f>IFERROR((VLOOKUP($A140,'WB projects data'!$A$5:$J$83,9,0)*1000000),"")</f>
        <v/>
      </c>
      <c r="AA140" s="123" t="str">
        <f>IFERROR((VLOOKUP($A140,'WB projects data'!$A$5:$J$83,10,0)*1000000),"")</f>
        <v/>
      </c>
      <c r="AB140" s="57"/>
      <c r="AC140" s="110"/>
      <c r="AD140" s="110" t="str">
        <f>IFERROR(VLOOKUP(A140,'ADB Projects'!$A$4:$W$21,5,FALSE),"")</f>
        <v/>
      </c>
      <c r="AE140" s="132" t="str">
        <f>IF(AC140="Approved",(VLOOKUP($A140,'ADB Projects'!$A$5:$D$21,4,0)*1000000),"")</f>
        <v/>
      </c>
      <c r="AF140" s="585" t="str">
        <f>IF(AC140="Approved",(PRODUCT(VLOOKUP($A140,'ADB Projects'!$A$4:$W$21,6,FALSE),1000000)),"")</f>
        <v/>
      </c>
      <c r="AG140" s="585" t="str">
        <f>IF(AC140="Approved",(PRODUCT(VLOOKUP($A140,'ADB Projects'!$A$4:$W$21,7,FALSE),1000000)),"")</f>
        <v/>
      </c>
      <c r="AH140" s="585" t="str">
        <f>IF(AC140="Approved",(PRODUCT(VLOOKUP($A140,'ADB Projects'!$A$4:$W$21,8,FALSE),1000000)),"")</f>
        <v/>
      </c>
      <c r="AI140" s="55" t="s">
        <v>541</v>
      </c>
      <c r="AJ140" s="55"/>
      <c r="AK140" s="244"/>
      <c r="AL140" s="55"/>
      <c r="AM140" s="55"/>
      <c r="AN140" s="55"/>
      <c r="AO140" s="55"/>
      <c r="AP140" s="55"/>
      <c r="AQ140" s="602" t="str">
        <f t="shared" si="66"/>
        <v/>
      </c>
      <c r="AR140" s="602" t="str">
        <f>IFERROR(VLOOKUP($A140,'IDB C19 Vaccine Projects'!$O$4:$Q$12,2,FALSE),"")</f>
        <v/>
      </c>
      <c r="AS140" s="602" t="str">
        <f>IFERROR(VLOOKUP($A140,'IDB C19 Vaccine Projects'!$O$4:$Q$12,3,FALSE),"")</f>
        <v/>
      </c>
      <c r="AT140" s="55"/>
      <c r="AU140" s="88"/>
      <c r="AV140" s="55"/>
      <c r="AW140" s="55"/>
      <c r="AX140" s="88" t="str">
        <f>INDEX(USAID!$C$3:$C$151,MATCH('Matrix Allocations'!A140,USAID!$A$3:$A$151,0))</f>
        <v/>
      </c>
      <c r="AY140" s="110"/>
      <c r="AZ140" s="88" t="str">
        <f>IFERROR(INDEX('[4]Vx All regions allocations'!O$10:O$144,MATCH(A140,'[4]Vx All regions allocations'!A$10:A$144,0)),"")</f>
        <v/>
      </c>
      <c r="BA140" s="88">
        <v>0</v>
      </c>
      <c r="BB140" s="88">
        <v>0</v>
      </c>
      <c r="BC140" s="88" t="str">
        <f>IFERROR(INDEX(DFAT!$K$4:$K$21,MATCH('Matrix Allocations'!A140,DFAT!$B$4:$B$21,0)),"")</f>
        <v/>
      </c>
      <c r="BD140" s="88"/>
      <c r="BE140" s="826" t="str">
        <f>IFERROR(IF(INDEX('GAVI CCE'!$E$3:$E$95,MATCH('Matrix Allocations'!A140,'GAVI CCE'!$A$3:$A$95,0))="Yes",INDEX('GAVI CCE'!$E$3:$E$95,MATCH('Matrix Allocations'!A140,'GAVI CCE'!$A$3:$A$95,0)),""),"")</f>
        <v/>
      </c>
      <c r="BF140" s="88" t="str">
        <f>IFERROR(IF(BE140="Yes",INDEX('GAVI CCE'!$F$3:$F$95,MATCH('Matrix Allocations'!A140,'GAVI CCE'!$A$3:$A$95,0)),""),"")</f>
        <v/>
      </c>
      <c r="BG140" s="609" t="str">
        <f>IFERROR(IF(E140='CDS early access ceilings'!$A$94,(VLOOKUP(A140,'CDS early access ceilings'!$A$2:$D$92,4,FALSE)),""),"")</f>
        <v/>
      </c>
      <c r="BH140" s="639" t="str">
        <f>IFERROR(INDEX(Table14[Status (clean)],MATCH('Matrix Allocations'!A140,Table14[ISO Code],0)),"")</f>
        <v/>
      </c>
      <c r="BI140" s="641" t="str">
        <f>IFERROR(INDEX(Table14[Amount disbursed (USD)],MATCH('Matrix Allocations'!A140,Table14[ISO Code],0)),"")</f>
        <v/>
      </c>
      <c r="BJ140" s="641" t="str">
        <f>IFERROR(INDEX('CDS NBW'!$I$2:$I$39,MATCH(A140,'CDS NBW'!$A$2:$A$39,0)),"")</f>
        <v/>
      </c>
      <c r="BK140" s="641" t="str">
        <f>IFERROR(INDEX('CDS NBW'!$J$2:$J$39,MATCH(A140,'CDS NBW'!$A$2:$A$39,0)),"")</f>
        <v/>
      </c>
      <c r="BL140" s="609"/>
      <c r="BM140" s="609"/>
      <c r="BN140" s="609"/>
      <c r="BO140" s="609"/>
      <c r="BP140" s="609">
        <f>IFERROR(INDEX('UNICEF-BMZ'!$O$1:$O$199,MATCH('Matrix Allocations'!A140,'UNICEF-BMZ'!$B$1:$B$199,0)),"")</f>
        <v>0</v>
      </c>
      <c r="BQ140" s="609" t="str">
        <f>IFERROR(VLOOKUP(A140,'BMGF_clean data'!$A$4:$C$30,3,FALSE),"")</f>
        <v/>
      </c>
      <c r="BR140" s="609"/>
      <c r="BS140" s="609"/>
      <c r="BT140" s="609"/>
      <c r="BU140" s="609"/>
      <c r="BV140" s="609"/>
      <c r="BW140" s="87">
        <f>INDEX(USAID!$D$3:$D$151,MATCH('Matrix Allocations'!A140,USAID!$A$3:$A$151,0))</f>
        <v>0</v>
      </c>
      <c r="BX140" s="87" t="str">
        <f>IFERROR(INDEX(DFAT!$L$4:$L$21,MATCH('Matrix Allocations'!A140,DFAT!$B$4:$B$21,0)),"")</f>
        <v/>
      </c>
      <c r="BY140" s="87" t="str">
        <f>IFERROR(INDEX(Table14[Funds Channelled through UNICEF],MATCH('Matrix Allocations'!A140,Table14[ISO Code],0)),"")</f>
        <v/>
      </c>
      <c r="BZ140" s="87">
        <f t="shared" si="64"/>
        <v>0</v>
      </c>
      <c r="CA140">
        <f t="shared" si="60"/>
        <v>85042736</v>
      </c>
      <c r="CB140" s="782">
        <f t="shared" si="72"/>
        <v>25512820.800000001</v>
      </c>
      <c r="CC140" s="791">
        <f t="shared" si="67"/>
        <v>0</v>
      </c>
      <c r="CD140" s="788">
        <f t="shared" si="73"/>
        <v>0</v>
      </c>
      <c r="CE140" s="788">
        <f t="shared" si="74"/>
        <v>0</v>
      </c>
      <c r="CF140" s="828">
        <f t="shared" si="75"/>
        <v>0</v>
      </c>
      <c r="CG140" s="828">
        <f t="shared" si="68"/>
        <v>0</v>
      </c>
      <c r="CH140" s="88">
        <f t="shared" si="61"/>
        <v>0</v>
      </c>
      <c r="CI140" s="88">
        <f t="shared" si="69"/>
        <v>0</v>
      </c>
      <c r="CJ140" s="742">
        <f t="shared" si="62"/>
        <v>0</v>
      </c>
      <c r="CK140" s="848">
        <f t="shared" si="70"/>
        <v>0</v>
      </c>
      <c r="CL140" s="88">
        <f t="shared" si="71"/>
        <v>0</v>
      </c>
    </row>
    <row r="141" spans="1:90" ht="17.25" customHeight="1">
      <c r="A141" s="57" t="s">
        <v>689</v>
      </c>
      <c r="B141" s="57" t="s">
        <v>287</v>
      </c>
      <c r="C141" s="57" t="s">
        <v>127</v>
      </c>
      <c r="D141" s="57" t="s">
        <v>152</v>
      </c>
      <c r="E141" s="57" t="s">
        <v>146</v>
      </c>
      <c r="F141" s="57"/>
      <c r="G141" s="57" t="str">
        <f t="shared" ref="G141:H152" si="79">IF($T141="IBRD","Yes","No")</f>
        <v>Yes</v>
      </c>
      <c r="H141" s="57" t="str">
        <f t="shared" si="79"/>
        <v>Yes</v>
      </c>
      <c r="I141" s="57" t="str">
        <f t="shared" si="76"/>
        <v>No</v>
      </c>
      <c r="J141" s="57" t="str">
        <f t="shared" si="77"/>
        <v>No</v>
      </c>
      <c r="K141" s="57" t="str">
        <f t="shared" si="78"/>
        <v>Yes</v>
      </c>
      <c r="L141" s="62" t="s">
        <v>541</v>
      </c>
      <c r="M141" s="55" t="s">
        <v>544</v>
      </c>
      <c r="N141" s="136" t="s">
        <v>544</v>
      </c>
      <c r="O141" s="57" t="s">
        <v>544</v>
      </c>
      <c r="P141" s="57" t="s">
        <v>546</v>
      </c>
      <c r="Q141" s="57"/>
      <c r="R141" s="57"/>
      <c r="S141" s="956">
        <v>487888462.83720118</v>
      </c>
      <c r="T141" s="55" t="s">
        <v>395</v>
      </c>
      <c r="U141" s="64" t="str">
        <f>IFERROR(IF(VLOOKUP(A141,'WB projects data'!$A$5:$C$83,3,0)="Approved",(VLOOKUP(A141,'WB projects data'!$A$5:$C$83,3,0)),""),"")</f>
        <v/>
      </c>
      <c r="V141" s="123">
        <f t="shared" si="65"/>
        <v>0</v>
      </c>
      <c r="W141" s="123">
        <f>IFERROR((VLOOKUP($A141,'WB projects data'!$A$5:$J$83,6,0)*1000000),"")</f>
        <v>0</v>
      </c>
      <c r="X141" s="123">
        <f>IFERROR((VLOOKUP($A141,'WB projects data'!$A$5:$J$83,7,0)*1000000),"")</f>
        <v>0</v>
      </c>
      <c r="Y141" s="123">
        <f>IFERROR((VLOOKUP($A141,'WB projects data'!$A$5:$J$83,8,0)*1000000),"")</f>
        <v>0</v>
      </c>
      <c r="Z141" s="123">
        <f>IFERROR((VLOOKUP($A141,'WB projects data'!$A$5:$J$83,9,0)*1000000),"")</f>
        <v>0</v>
      </c>
      <c r="AA141" s="123">
        <f>IFERROR((VLOOKUP($A141,'WB projects data'!$A$5:$J$83,10,0)*1000000),"")</f>
        <v>0</v>
      </c>
      <c r="AB141" s="57" t="s">
        <v>541</v>
      </c>
      <c r="AC141" s="110"/>
      <c r="AD141" s="110" t="str">
        <f>IFERROR(VLOOKUP(A141,'ADB Projects'!$A$4:$W$21,5,FALSE),"")</f>
        <v/>
      </c>
      <c r="AE141" s="132" t="str">
        <f>IF(AC141="Approved",(VLOOKUP($A141,'ADB Projects'!$A$5:$D$21,4,0)*1000000),"")</f>
        <v/>
      </c>
      <c r="AF141" s="585" t="str">
        <f>IF(AC141="Approved",(PRODUCT(VLOOKUP($A141,'ADB Projects'!$A$4:$W$21,6,FALSE),1000000)),"")</f>
        <v/>
      </c>
      <c r="AG141" s="585" t="str">
        <f>IF(AC141="Approved",(PRODUCT(VLOOKUP($A141,'ADB Projects'!$A$4:$W$21,7,FALSE),1000000)),"")</f>
        <v/>
      </c>
      <c r="AH141" s="585" t="str">
        <f>IF(AC141="Approved",(PRODUCT(VLOOKUP($A141,'ADB Projects'!$A$4:$W$21,8,FALSE),1000000)),"")</f>
        <v/>
      </c>
      <c r="AI141" s="55" t="s">
        <v>541</v>
      </c>
      <c r="AJ141" s="55"/>
      <c r="AK141" s="244"/>
      <c r="AL141" s="55"/>
      <c r="AM141" s="55"/>
      <c r="AN141" s="55"/>
      <c r="AO141" s="55"/>
      <c r="AP141" s="55"/>
      <c r="AQ141" s="602" t="str">
        <f t="shared" si="66"/>
        <v/>
      </c>
      <c r="AR141" s="602" t="str">
        <f>IFERROR(VLOOKUP($A141,'IDB C19 Vaccine Projects'!$O$4:$Q$12,2,FALSE),"")</f>
        <v/>
      </c>
      <c r="AS141" s="602" t="str">
        <f>IFERROR(VLOOKUP($A141,'IDB C19 Vaccine Projects'!$O$4:$Q$12,3,FALSE),"")</f>
        <v/>
      </c>
      <c r="AT141" s="55"/>
      <c r="AU141" s="88"/>
      <c r="AV141" s="55"/>
      <c r="AW141" s="55"/>
      <c r="AX141" s="88" t="str">
        <f>INDEX(USAID!$C$3:$C$151,MATCH('Matrix Allocations'!A141,USAID!$A$3:$A$151,0))</f>
        <v/>
      </c>
      <c r="AY141" s="110"/>
      <c r="AZ141" s="88" t="str">
        <f>IFERROR(INDEX('[4]Vx All regions allocations'!O$10:O$144,MATCH(A141,'[4]Vx All regions allocations'!A$10:A$144,0)),"")</f>
        <v/>
      </c>
      <c r="BA141" s="88">
        <v>0</v>
      </c>
      <c r="BB141" s="88">
        <v>0</v>
      </c>
      <c r="BC141" s="88" t="str">
        <f>IFERROR(INDEX(DFAT!$K$4:$K$21,MATCH('Matrix Allocations'!A141,DFAT!$B$4:$B$21,0)),"")</f>
        <v/>
      </c>
      <c r="BD141" s="88"/>
      <c r="BE141" s="826" t="str">
        <f>IFERROR(IF(INDEX('GAVI CCE'!$E$3:$E$95,MATCH('Matrix Allocations'!A141,'GAVI CCE'!$A$3:$A$95,0))="Yes",INDEX('GAVI CCE'!$E$3:$E$95,MATCH('Matrix Allocations'!A141,'GAVI CCE'!$A$3:$A$95,0)),""),"")</f>
        <v/>
      </c>
      <c r="BF141" s="88" t="str">
        <f>IFERROR(IF(BE141="Yes",INDEX('GAVI CCE'!$F$3:$F$95,MATCH('Matrix Allocations'!A141,'GAVI CCE'!$A$3:$A$95,0)),""),"")</f>
        <v/>
      </c>
      <c r="BG141" s="609" t="str">
        <f>IFERROR(IF(E141='CDS early access ceilings'!$A$94,(VLOOKUP(A141,'CDS early access ceilings'!$A$2:$D$92,4,FALSE)),""),"")</f>
        <v/>
      </c>
      <c r="BH141" s="639" t="str">
        <f>IFERROR(INDEX(Table14[Status (clean)],MATCH('Matrix Allocations'!A141,Table14[ISO Code],0)),"")</f>
        <v/>
      </c>
      <c r="BI141" s="641" t="str">
        <f>IFERROR(INDEX(Table14[Amount disbursed (USD)],MATCH('Matrix Allocations'!A141,Table14[ISO Code],0)),"")</f>
        <v/>
      </c>
      <c r="BJ141" s="641" t="str">
        <f>IFERROR(INDEX('CDS NBW'!$I$2:$I$39,MATCH(A141,'CDS NBW'!$A$2:$A$39,0)),"")</f>
        <v/>
      </c>
      <c r="BK141" s="641" t="str">
        <f>IFERROR(INDEX('CDS NBW'!$J$2:$J$39,MATCH(A141,'CDS NBW'!$A$2:$A$39,0)),"")</f>
        <v/>
      </c>
      <c r="BL141" s="609"/>
      <c r="BM141" s="609"/>
      <c r="BN141" s="609"/>
      <c r="BO141" s="609"/>
      <c r="BP141" s="609">
        <f>IFERROR(INDEX('UNICEF-BMZ'!$O$1:$O$199,MATCH('Matrix Allocations'!A141,'UNICEF-BMZ'!$B$1:$B$199,0)),"")</f>
        <v>0</v>
      </c>
      <c r="BQ141" s="609" t="str">
        <f>IFERROR(VLOOKUP(A141,'BMGF_clean data'!$A$4:$C$30,3,FALSE),"")</f>
        <v/>
      </c>
      <c r="BR141" s="609"/>
      <c r="BS141" s="609"/>
      <c r="BT141" s="609"/>
      <c r="BU141" s="609"/>
      <c r="BV141" s="609"/>
      <c r="BW141" s="87">
        <f>INDEX(USAID!$D$3:$D$151,MATCH('Matrix Allocations'!A141,USAID!$A$3:$A$151,0))</f>
        <v>0</v>
      </c>
      <c r="BX141" s="87" t="str">
        <f>IFERROR(INDEX(DFAT!$L$4:$L$21,MATCH('Matrix Allocations'!A141,DFAT!$B$4:$B$21,0)),"")</f>
        <v/>
      </c>
      <c r="BY141" s="87" t="str">
        <f>IFERROR(INDEX(Table14[Funds Channelled through UNICEF],MATCH('Matrix Allocations'!A141,Table14[ISO Code],0)),"")</f>
        <v/>
      </c>
      <c r="BZ141" s="87">
        <f t="shared" si="64"/>
        <v>0</v>
      </c>
      <c r="CA141">
        <f t="shared" ref="CA141:CA152" si="80">INDEX(tpop,MATCH(A141,popiso,0))</f>
        <v>6117933</v>
      </c>
      <c r="CB141" s="782">
        <f t="shared" si="72"/>
        <v>1835379.9</v>
      </c>
      <c r="CC141" s="791">
        <f t="shared" si="67"/>
        <v>0</v>
      </c>
      <c r="CD141" s="788">
        <f t="shared" si="73"/>
        <v>0</v>
      </c>
      <c r="CE141" s="788">
        <f t="shared" si="74"/>
        <v>0</v>
      </c>
      <c r="CF141" s="828">
        <f t="shared" si="75"/>
        <v>0</v>
      </c>
      <c r="CG141" s="828">
        <f t="shared" si="68"/>
        <v>0</v>
      </c>
      <c r="CH141" s="88">
        <f t="shared" ref="CH141:CH152" si="81">SUM(Z141,AG141,AS141)</f>
        <v>0</v>
      </c>
      <c r="CI141" s="88">
        <f t="shared" si="69"/>
        <v>0</v>
      </c>
      <c r="CJ141" s="742">
        <f t="shared" ref="CJ141:CJ152" si="82">SUM(AV141,BQ141,BO141)</f>
        <v>0</v>
      </c>
      <c r="CK141" s="848">
        <f t="shared" si="70"/>
        <v>0</v>
      </c>
      <c r="CL141" s="88">
        <f t="shared" si="71"/>
        <v>0</v>
      </c>
    </row>
    <row r="142" spans="1:90" ht="17.25" customHeight="1">
      <c r="A142" s="57" t="s">
        <v>690</v>
      </c>
      <c r="B142" s="57" t="s">
        <v>288</v>
      </c>
      <c r="C142" s="57" t="s">
        <v>126</v>
      </c>
      <c r="D142" s="57" t="s">
        <v>152</v>
      </c>
      <c r="E142" s="57" t="s">
        <v>145</v>
      </c>
      <c r="F142" s="57"/>
      <c r="G142" s="57" t="str">
        <f t="shared" si="79"/>
        <v>No</v>
      </c>
      <c r="H142" s="57" t="str">
        <f t="shared" si="79"/>
        <v>No</v>
      </c>
      <c r="I142" s="57" t="str">
        <f t="shared" si="76"/>
        <v>No</v>
      </c>
      <c r="J142" s="57" t="str">
        <f t="shared" si="77"/>
        <v>Yes</v>
      </c>
      <c r="K142" s="57" t="str">
        <f t="shared" si="78"/>
        <v>No</v>
      </c>
      <c r="L142" s="62" t="s">
        <v>541</v>
      </c>
      <c r="M142" s="55" t="s">
        <v>544</v>
      </c>
      <c r="N142" s="136" t="s">
        <v>541</v>
      </c>
      <c r="O142" s="57" t="s">
        <v>544</v>
      </c>
      <c r="P142" s="57" t="s">
        <v>548</v>
      </c>
      <c r="Q142" s="57"/>
      <c r="R142" s="57"/>
      <c r="S142" s="956">
        <v>6365061.1736073596</v>
      </c>
      <c r="T142" s="55" t="s">
        <v>394</v>
      </c>
      <c r="U142" s="64" t="str">
        <f>IFERROR(IF(VLOOKUP(A142,'WB projects data'!$A$5:$C$83,3,0)="Approved",(VLOOKUP(A142,'WB projects data'!$A$5:$C$83,3,0)),""),"")</f>
        <v/>
      </c>
      <c r="V142" s="123" t="str">
        <f t="shared" si="65"/>
        <v/>
      </c>
      <c r="W142" s="123" t="str">
        <f>IFERROR((VLOOKUP($A142,'WB projects data'!$A$5:$J$83,6,0)*1000000),"")</f>
        <v/>
      </c>
      <c r="X142" s="123" t="str">
        <f>IFERROR((VLOOKUP($A142,'WB projects data'!$A$5:$J$83,7,0)*1000000),"")</f>
        <v/>
      </c>
      <c r="Y142" s="123" t="str">
        <f>IFERROR((VLOOKUP($A142,'WB projects data'!$A$5:$J$83,8,0)*1000000),"")</f>
        <v/>
      </c>
      <c r="Z142" s="123" t="str">
        <f>IFERROR((VLOOKUP($A142,'WB projects data'!$A$5:$J$83,9,0)*1000000),"")</f>
        <v/>
      </c>
      <c r="AA142" s="123" t="str">
        <f>IFERROR((VLOOKUP($A142,'WB projects data'!$A$5:$J$83,10,0)*1000000),"")</f>
        <v/>
      </c>
      <c r="AB142" s="57" t="s">
        <v>541</v>
      </c>
      <c r="AC142" s="110" t="str">
        <f>VLOOKUP($A142,'ADB Projects'!$A$5:$D$21,3,0)</f>
        <v>Approved</v>
      </c>
      <c r="AD142" s="110" t="str">
        <f>IFERROR(VLOOKUP(A142,'ADB Projects'!$A$4:$W$21,5,FALSE),"")</f>
        <v>Grant</v>
      </c>
      <c r="AE142" s="132">
        <f>IF(AC142="Approved",(VLOOKUP($A142,'ADB Projects'!$A$5:$D$21,4,0)*1000000),"")</f>
        <v>1500000</v>
      </c>
      <c r="AF142" s="585">
        <f>IF(AC142="Approved",(PRODUCT(VLOOKUP($A142,'ADB Projects'!$A$4:$W$21,6,FALSE),1000000)),"")</f>
        <v>150000</v>
      </c>
      <c r="AG142" s="585">
        <f>IF(AC142="Approved",(PRODUCT(VLOOKUP($A142,'ADB Projects'!$A$4:$W$21,7,FALSE),1000000)),"")</f>
        <v>840000.00000000012</v>
      </c>
      <c r="AH142" s="585">
        <f>IF(AC142="Approved",(PRODUCT(VLOOKUP($A142,'ADB Projects'!$A$4:$W$21,8,FALSE),1000000)),"")</f>
        <v>509999.99999999988</v>
      </c>
      <c r="AI142" s="55"/>
      <c r="AJ142" s="55"/>
      <c r="AK142" s="244"/>
      <c r="AL142" s="55"/>
      <c r="AM142" s="55"/>
      <c r="AN142" s="55"/>
      <c r="AO142" s="55"/>
      <c r="AP142" s="55"/>
      <c r="AQ142" s="602" t="str">
        <f t="shared" si="66"/>
        <v/>
      </c>
      <c r="AR142" s="602" t="str">
        <f>IFERROR(VLOOKUP($A142,'IDB C19 Vaccine Projects'!$O$4:$Q$12,2,FALSE),"")</f>
        <v/>
      </c>
      <c r="AS142" s="602" t="str">
        <f>IFERROR(VLOOKUP($A142,'IDB C19 Vaccine Projects'!$O$4:$Q$12,3,FALSE),"")</f>
        <v/>
      </c>
      <c r="AT142" s="55"/>
      <c r="AU142" s="88"/>
      <c r="AV142" s="55"/>
      <c r="AW142" s="55"/>
      <c r="AX142" s="88" t="str">
        <f>INDEX(USAID!$C$3:$C$151,MATCH('Matrix Allocations'!A142,USAID!$A$3:$A$151,0))</f>
        <v/>
      </c>
      <c r="AY142" s="110">
        <v>133119</v>
      </c>
      <c r="AZ142" s="88">
        <f>IFERROR(INDEX('[4]Vx All regions allocations'!O$10:O$144,MATCH(A142,'[4]Vx All regions allocations'!A$10:A$144,0)),"")</f>
        <v>0</v>
      </c>
      <c r="BA142" s="88">
        <v>48270.370370370365</v>
      </c>
      <c r="BB142" s="88">
        <v>25000</v>
      </c>
      <c r="BC142" s="88">
        <f>IFERROR(INDEX(DFAT!$K$4:$K$21,MATCH('Matrix Allocations'!A142,DFAT!$B$4:$B$21,0)),"")</f>
        <v>0</v>
      </c>
      <c r="BD142" s="88"/>
      <c r="BE142" s="826" t="str">
        <f>IFERROR(IF(INDEX('GAVI CCE'!$E$3:$E$95,MATCH('Matrix Allocations'!A142,'GAVI CCE'!$A$3:$A$95,0))="Yes",INDEX('GAVI CCE'!$E$3:$E$95,MATCH('Matrix Allocations'!A142,'GAVI CCE'!$A$3:$A$95,0)),""),"")</f>
        <v/>
      </c>
      <c r="BF142" s="88" t="str">
        <f>IFERROR(IF(BE142="Yes",INDEX('GAVI CCE'!$F$3:$F$95,MATCH('Matrix Allocations'!A142,'GAVI CCE'!$A$3:$A$95,0)),""),"")</f>
        <v/>
      </c>
      <c r="BG142" s="609" t="str">
        <f>IFERROR(IF(E142='CDS early access ceilings'!$A$94,(VLOOKUP(A142,'CDS early access ceilings'!$A$2:$D$92,4,FALSE)),""),"")</f>
        <v>UNICEF</v>
      </c>
      <c r="BH142" s="639" t="str">
        <f>IFERROR(INDEX(Table14[Status (clean)],MATCH('Matrix Allocations'!A142,Table14[ISO Code],0)),"")</f>
        <v>Disbursed</v>
      </c>
      <c r="BI142" s="641">
        <f>IFERROR(INDEX(Table14[Amount disbursed (USD)],MATCH('Matrix Allocations'!A142,Table14[ISO Code],0)),"")</f>
        <v>230000</v>
      </c>
      <c r="BJ142" s="641" t="str">
        <f>IFERROR(INDEX('CDS NBW'!$I$2:$I$39,MATCH(A142,'CDS NBW'!$A$2:$A$39,0)),"")</f>
        <v>Disbursed</v>
      </c>
      <c r="BK142" s="641">
        <f>IFERROR(INDEX('CDS NBW'!$J$2:$J$39,MATCH(A142,'CDS NBW'!$A$2:$A$39,0)),"")</f>
        <v>230000</v>
      </c>
      <c r="BL142" s="609"/>
      <c r="BM142" s="609"/>
      <c r="BN142" s="609"/>
      <c r="BO142" s="609"/>
      <c r="BP142" s="609">
        <f>IFERROR(INDEX('UNICEF-BMZ'!$O$1:$O$199,MATCH('Matrix Allocations'!A142,'UNICEF-BMZ'!$B$1:$B$199,0)),"")</f>
        <v>0</v>
      </c>
      <c r="BQ142" s="609" t="str">
        <f>IFERROR(VLOOKUP(A142,'BMGF_clean data'!$A$4:$C$30,3,FALSE),"")</f>
        <v/>
      </c>
      <c r="BR142" s="609"/>
      <c r="BS142" s="609"/>
      <c r="BT142" s="609"/>
      <c r="BU142" s="609"/>
      <c r="BV142" s="609"/>
      <c r="BW142" s="87">
        <f>INDEX(USAID!$D$3:$D$151,MATCH('Matrix Allocations'!A142,USAID!$A$3:$A$151,0))</f>
        <v>0</v>
      </c>
      <c r="BX142" s="87">
        <f>IFERROR(INDEX(DFAT!$L$4:$L$21,MATCH('Matrix Allocations'!A142,DFAT!$B$4:$B$21,0)),"")</f>
        <v>0</v>
      </c>
      <c r="BY142" s="87">
        <f>IFERROR(INDEX(Table14[Funds Channelled through UNICEF],MATCH('Matrix Allocations'!A142,Table14[ISO Code],0)),"")</f>
        <v>0</v>
      </c>
      <c r="BZ142" s="87">
        <f t="shared" si="64"/>
        <v>230000</v>
      </c>
      <c r="CA142">
        <f t="shared" si="80"/>
        <v>77132</v>
      </c>
      <c r="CB142" s="782">
        <f t="shared" si="72"/>
        <v>23139.599999999999</v>
      </c>
      <c r="CC142" s="791">
        <f t="shared" si="67"/>
        <v>1506389.3703703703</v>
      </c>
      <c r="CD142" s="788">
        <f t="shared" si="73"/>
        <v>65.10006095050781</v>
      </c>
      <c r="CE142" s="788">
        <f t="shared" si="74"/>
        <v>48.825045712880843</v>
      </c>
      <c r="CF142" s="828">
        <f t="shared" si="75"/>
        <v>27.900026121646203</v>
      </c>
      <c r="CG142" s="828">
        <f t="shared" si="68"/>
        <v>19.530018285152341</v>
      </c>
      <c r="CH142" s="88">
        <f t="shared" si="81"/>
        <v>840000.00000000012</v>
      </c>
      <c r="CI142" s="88">
        <f t="shared" si="69"/>
        <v>133119</v>
      </c>
      <c r="CJ142" s="742">
        <f t="shared" si="82"/>
        <v>0</v>
      </c>
      <c r="CK142" s="848">
        <f t="shared" si="70"/>
        <v>133119</v>
      </c>
      <c r="CL142" s="88">
        <f t="shared" si="71"/>
        <v>763270.37037037034</v>
      </c>
    </row>
    <row r="143" spans="1:90" ht="17.25" customHeight="1">
      <c r="A143" s="57" t="s">
        <v>691</v>
      </c>
      <c r="B143" s="57" t="s">
        <v>289</v>
      </c>
      <c r="C143" s="57" t="s">
        <v>128</v>
      </c>
      <c r="D143" s="57" t="s">
        <v>148</v>
      </c>
      <c r="E143" s="57" t="s">
        <v>145</v>
      </c>
      <c r="F143" s="57">
        <v>2</v>
      </c>
      <c r="G143" s="57" t="str">
        <f t="shared" si="79"/>
        <v>No</v>
      </c>
      <c r="H143" s="57" t="str">
        <f t="shared" si="79"/>
        <v>No</v>
      </c>
      <c r="I143" s="57" t="str">
        <f t="shared" si="76"/>
        <v>No</v>
      </c>
      <c r="J143" s="57" t="str">
        <f t="shared" si="77"/>
        <v>Yes</v>
      </c>
      <c r="K143" s="57" t="str">
        <f t="shared" si="78"/>
        <v>No</v>
      </c>
      <c r="L143" s="62" t="s">
        <v>541</v>
      </c>
      <c r="M143" s="55" t="s">
        <v>544</v>
      </c>
      <c r="N143" s="136" t="s">
        <v>541</v>
      </c>
      <c r="O143" s="57" t="s">
        <v>541</v>
      </c>
      <c r="P143" s="57" t="s">
        <v>558</v>
      </c>
      <c r="Q143" s="57" t="s">
        <v>541</v>
      </c>
      <c r="R143" s="57"/>
      <c r="S143" s="956">
        <v>291799092.90196139</v>
      </c>
      <c r="T143" s="55" t="s">
        <v>394</v>
      </c>
      <c r="U143" s="64" t="str">
        <f>IFERROR(IF(VLOOKUP(A143,'WB projects data'!$A$5:$C$83,3,0)="Approved",(VLOOKUP(A143,'WB projects data'!$A$5:$C$83,3,0)),""),"")</f>
        <v>Approved</v>
      </c>
      <c r="V143" s="123">
        <f t="shared" si="65"/>
        <v>180300000</v>
      </c>
      <c r="W143" s="123">
        <f>IFERROR((VLOOKUP($A143,'WB projects data'!$A$5:$J$83,6,0)*1000000),"")</f>
        <v>0</v>
      </c>
      <c r="X143" s="123">
        <f>IFERROR((VLOOKUP($A143,'WB projects data'!$A$5:$J$83,7,0)*1000000),"")</f>
        <v>180300000</v>
      </c>
      <c r="Y143" s="123">
        <f>IFERROR((VLOOKUP($A143,'WB projects data'!$A$5:$J$83,8,0)*1000000),"")</f>
        <v>117000000</v>
      </c>
      <c r="Z143" s="123">
        <f>IFERROR((VLOOKUP($A143,'WB projects data'!$A$5:$J$83,9,0)*1000000),"")</f>
        <v>20150000</v>
      </c>
      <c r="AA143" s="123">
        <f>IFERROR((VLOOKUP($A143,'WB projects data'!$A$5:$J$83,10,0)*1000000),"")</f>
        <v>43150000</v>
      </c>
      <c r="AB143" s="57"/>
      <c r="AC143" s="110"/>
      <c r="AD143" s="110" t="str">
        <f>IFERROR(VLOOKUP(A143,'ADB Projects'!$A$4:$W$21,5,FALSE),"")</f>
        <v/>
      </c>
      <c r="AE143" s="132" t="str">
        <f>IF(AC143="Approved",(VLOOKUP($A143,'ADB Projects'!$A$5:$D$21,4,0)*1000000),"")</f>
        <v/>
      </c>
      <c r="AF143" s="585" t="str">
        <f>IF(AC143="Approved",(PRODUCT(VLOOKUP($A143,'ADB Projects'!$A$4:$W$21,6,FALSE),1000000)),"")</f>
        <v/>
      </c>
      <c r="AG143" s="585" t="str">
        <f>IF(AC143="Approved",(PRODUCT(VLOOKUP($A143,'ADB Projects'!$A$4:$W$21,7,FALSE),1000000)),"")</f>
        <v/>
      </c>
      <c r="AH143" s="585" t="str">
        <f>IF(AC143="Approved",(PRODUCT(VLOOKUP($A143,'ADB Projects'!$A$4:$W$21,8,FALSE),1000000)),"")</f>
        <v/>
      </c>
      <c r="AI143" s="148" t="s">
        <v>541</v>
      </c>
      <c r="AJ143" s="55"/>
      <c r="AK143" s="244"/>
      <c r="AL143" s="148" t="s">
        <v>541</v>
      </c>
      <c r="AM143" s="148"/>
      <c r="AN143" s="148"/>
      <c r="AO143" s="148"/>
      <c r="AP143" s="148"/>
      <c r="AQ143" s="602" t="str">
        <f t="shared" si="66"/>
        <v/>
      </c>
      <c r="AR143" s="602" t="str">
        <f>IFERROR(VLOOKUP($A143,'IDB C19 Vaccine Projects'!$O$4:$Q$12,2,FALSE),"")</f>
        <v/>
      </c>
      <c r="AS143" s="602" t="str">
        <f>IFERROR(VLOOKUP($A143,'IDB C19 Vaccine Projects'!$O$4:$Q$12,3,FALSE),"")</f>
        <v/>
      </c>
      <c r="AT143" s="55" t="s">
        <v>541</v>
      </c>
      <c r="AU143" s="88"/>
      <c r="AV143" s="635">
        <v>1105023</v>
      </c>
      <c r="AW143" s="55" t="s">
        <v>541</v>
      </c>
      <c r="AX143" s="88">
        <f>INDEX(USAID!$C$3:$C$151,MATCH('Matrix Allocations'!A143,USAID!$A$3:$A$151,0))</f>
        <v>4863335</v>
      </c>
      <c r="AY143" s="110">
        <v>1518928</v>
      </c>
      <c r="AZ143" s="88">
        <f>IFERROR(INDEX('[4]Vx All regions allocations'!O$10:O$144,MATCH(A143,'[4]Vx All regions allocations'!A$10:A$144,0)),"")</f>
        <v>316219</v>
      </c>
      <c r="BA143" s="88">
        <v>317030.55555555556</v>
      </c>
      <c r="BB143" s="88">
        <v>216660</v>
      </c>
      <c r="BC143" s="88" t="str">
        <f>IFERROR(INDEX(DFAT!$K$4:$K$21,MATCH('Matrix Allocations'!A143,DFAT!$B$4:$B$21,0)),"")</f>
        <v/>
      </c>
      <c r="BD143" s="88"/>
      <c r="BE143" s="826" t="str">
        <f>IFERROR(IF(INDEX('GAVI CCE'!$E$3:$E$95,MATCH('Matrix Allocations'!A143,'GAVI CCE'!$A$3:$A$95,0))="Yes",INDEX('GAVI CCE'!$E$3:$E$95,MATCH('Matrix Allocations'!A143,'GAVI CCE'!$A$3:$A$95,0)),""),"")</f>
        <v>Yes</v>
      </c>
      <c r="BF143" s="88">
        <f>IFERROR(IF(BE143="Yes",INDEX('GAVI CCE'!$F$3:$F$95,MATCH('Matrix Allocations'!A143,'GAVI CCE'!$A$3:$A$95,0)),""),"")</f>
        <v>1044909</v>
      </c>
      <c r="BG143" s="609" t="str">
        <f>IFERROR(IF(E143='CDS early access ceilings'!$A$94,(VLOOKUP(A143,'CDS early access ceilings'!$A$2:$D$92,4,FALSE)),""),"")</f>
        <v>GAVI</v>
      </c>
      <c r="BH143" s="639" t="str">
        <f>IFERROR(INDEX(Table14[Status (clean)],MATCH('Matrix Allocations'!A143,Table14[ISO Code],0)),"")</f>
        <v>Disbursed</v>
      </c>
      <c r="BI143" s="641">
        <f>IFERROR(INDEX(Table14[Amount disbursed (USD)],MATCH('Matrix Allocations'!A143,Table14[ISO Code],0)),"")</f>
        <v>3554186</v>
      </c>
      <c r="BJ143" s="641" t="str">
        <f>IFERROR(INDEX('CDS NBW'!$I$2:$I$39,MATCH(A143,'CDS NBW'!$A$2:$A$39,0)),"")</f>
        <v/>
      </c>
      <c r="BK143" s="641" t="str">
        <f>IFERROR(INDEX('CDS NBW'!$J$2:$J$39,MATCH(A143,'CDS NBW'!$A$2:$A$39,0)),"")</f>
        <v/>
      </c>
      <c r="BL143" s="609"/>
      <c r="BM143" s="609"/>
      <c r="BN143" s="609"/>
      <c r="BO143" s="609">
        <v>944445</v>
      </c>
      <c r="BP143" s="609">
        <f>IFERROR(INDEX('UNICEF-BMZ'!$O$1:$O$199,MATCH('Matrix Allocations'!A143,'UNICEF-BMZ'!$B$1:$B$199,0)),"")</f>
        <v>328600</v>
      </c>
      <c r="BQ143" s="609">
        <f>IFERROR(VLOOKUP(A143,'BMGF_clean data'!$A$4:$C$30,3,FALSE),"")</f>
        <v>1106000</v>
      </c>
      <c r="BR143" s="609"/>
      <c r="BS143" s="609">
        <v>929362</v>
      </c>
      <c r="BT143" s="609"/>
      <c r="BU143" s="609"/>
      <c r="BV143" s="609"/>
      <c r="BW143" s="87">
        <f>INDEX(USAID!$D$3:$D$151,MATCH('Matrix Allocations'!A143,USAID!$A$3:$A$151,0))</f>
        <v>0</v>
      </c>
      <c r="BX143" s="87" t="str">
        <f>IFERROR(INDEX(DFAT!$L$4:$L$21,MATCH('Matrix Allocations'!A143,DFAT!$B$4:$B$21,0)),"")</f>
        <v/>
      </c>
      <c r="BY143" s="87">
        <f>IFERROR(INDEX(Table14[Funds Channelled through UNICEF],MATCH('Matrix Allocations'!A143,Table14[ISO Code],0)),"")</f>
        <v>0</v>
      </c>
      <c r="BZ143" s="87">
        <f t="shared" si="64"/>
        <v>0</v>
      </c>
      <c r="CA143">
        <f t="shared" si="80"/>
        <v>47123533</v>
      </c>
      <c r="CB143" s="782">
        <f t="shared" si="72"/>
        <v>14137059.9</v>
      </c>
      <c r="CC143" s="791">
        <f t="shared" si="67"/>
        <v>36394697.555555552</v>
      </c>
      <c r="CD143" s="788">
        <f t="shared" si="73"/>
        <v>2.5744177228502476</v>
      </c>
      <c r="CE143" s="788">
        <f t="shared" si="74"/>
        <v>1.9308132921376859</v>
      </c>
      <c r="CF143" s="828">
        <f t="shared" si="75"/>
        <v>1.1033218812215349</v>
      </c>
      <c r="CG143" s="828">
        <f t="shared" si="68"/>
        <v>0.77232531685507433</v>
      </c>
      <c r="CH143" s="88">
        <f t="shared" si="81"/>
        <v>20150000</v>
      </c>
      <c r="CI143" s="88">
        <f t="shared" si="69"/>
        <v>7311625</v>
      </c>
      <c r="CJ143" s="742">
        <f t="shared" si="82"/>
        <v>3155468</v>
      </c>
      <c r="CK143" s="848">
        <f t="shared" si="70"/>
        <v>4813977</v>
      </c>
      <c r="CL143" s="88">
        <f t="shared" si="71"/>
        <v>5461385.555555556</v>
      </c>
    </row>
    <row r="144" spans="1:90" ht="17.25" customHeight="1">
      <c r="A144" s="57" t="s">
        <v>692</v>
      </c>
      <c r="B144" s="57" t="s">
        <v>290</v>
      </c>
      <c r="C144" s="57" t="s">
        <v>127</v>
      </c>
      <c r="D144" s="57" t="s">
        <v>150</v>
      </c>
      <c r="E144" s="57" t="s">
        <v>145</v>
      </c>
      <c r="F144" s="57"/>
      <c r="G144" s="57" t="str">
        <f t="shared" si="79"/>
        <v>Yes</v>
      </c>
      <c r="H144" s="57" t="str">
        <f t="shared" si="79"/>
        <v>Yes</v>
      </c>
      <c r="I144" s="57" t="str">
        <f t="shared" si="76"/>
        <v>No</v>
      </c>
      <c r="J144" s="57" t="str">
        <f t="shared" si="77"/>
        <v>No</v>
      </c>
      <c r="K144" s="57" t="str">
        <f t="shared" si="78"/>
        <v>Yes</v>
      </c>
      <c r="L144" s="62" t="s">
        <v>541</v>
      </c>
      <c r="M144" s="55" t="s">
        <v>544</v>
      </c>
      <c r="N144" s="136" t="s">
        <v>544</v>
      </c>
      <c r="O144" s="57" t="s">
        <v>544</v>
      </c>
      <c r="P144" s="57" t="s">
        <v>546</v>
      </c>
      <c r="Q144" s="57"/>
      <c r="R144" s="57"/>
      <c r="S144" s="956">
        <v>4844815340.2135534</v>
      </c>
      <c r="T144" s="55" t="s">
        <v>395</v>
      </c>
      <c r="U144" s="64" t="str">
        <f>IFERROR(IF(VLOOKUP(A144,'WB projects data'!$A$5:$C$83,3,0)="Approved",(VLOOKUP(A144,'WB projects data'!$A$5:$C$83,3,0)),""),"")</f>
        <v>Approved</v>
      </c>
      <c r="V144" s="123">
        <f t="shared" si="65"/>
        <v>240000000</v>
      </c>
      <c r="W144" s="123">
        <f>IFERROR((VLOOKUP($A144,'WB projects data'!$A$5:$J$83,6,0)*1000000),"")</f>
        <v>240000000</v>
      </c>
      <c r="X144" s="123">
        <f>IFERROR((VLOOKUP($A144,'WB projects data'!$A$5:$J$83,7,0)*1000000),"")</f>
        <v>0</v>
      </c>
      <c r="Y144" s="123">
        <f>IFERROR((VLOOKUP($A144,'WB projects data'!$A$5:$J$83,8,0)*1000000),"")</f>
        <v>150000000</v>
      </c>
      <c r="Z144" s="123">
        <f>IFERROR((VLOOKUP($A144,'WB projects data'!$A$5:$J$83,9,0)*1000000),"")</f>
        <v>70000000</v>
      </c>
      <c r="AA144" s="123">
        <f>IFERROR((VLOOKUP($A144,'WB projects data'!$A$5:$J$83,10,0)*1000000),"")</f>
        <v>20000000</v>
      </c>
      <c r="AB144" s="57"/>
      <c r="AC144" s="110"/>
      <c r="AD144" s="110" t="str">
        <f>IFERROR(VLOOKUP(A144,'ADB Projects'!$A$4:$W$21,5,FALSE),"")</f>
        <v/>
      </c>
      <c r="AE144" s="132" t="str">
        <f>IF(AC144="Approved",(VLOOKUP($A144,'ADB Projects'!$A$5:$D$21,4,0)*1000000),"")</f>
        <v/>
      </c>
      <c r="AF144" s="585" t="str">
        <f>IF(AC144="Approved",(PRODUCT(VLOOKUP($A144,'ADB Projects'!$A$4:$W$21,6,FALSE),1000000)),"")</f>
        <v/>
      </c>
      <c r="AG144" s="585" t="str">
        <f>IF(AC144="Approved",(PRODUCT(VLOOKUP($A144,'ADB Projects'!$A$4:$W$21,7,FALSE),1000000)),"")</f>
        <v/>
      </c>
      <c r="AH144" s="585" t="str">
        <f>IF(AC144="Approved",(PRODUCT(VLOOKUP($A144,'ADB Projects'!$A$4:$W$21,8,FALSE),1000000)),"")</f>
        <v/>
      </c>
      <c r="AI144" s="55"/>
      <c r="AJ144" s="55"/>
      <c r="AK144" s="244"/>
      <c r="AL144" s="55"/>
      <c r="AM144" s="55"/>
      <c r="AN144" s="55"/>
      <c r="AO144" s="55"/>
      <c r="AP144" s="55"/>
      <c r="AQ144" s="602" t="str">
        <f t="shared" si="66"/>
        <v/>
      </c>
      <c r="AR144" s="602" t="str">
        <f>IFERROR(VLOOKUP($A144,'IDB C19 Vaccine Projects'!$O$4:$Q$12,2,FALSE),"")</f>
        <v/>
      </c>
      <c r="AS144" s="602" t="str">
        <f>IFERROR(VLOOKUP($A144,'IDB C19 Vaccine Projects'!$O$4:$Q$12,3,FALSE),"")</f>
        <v/>
      </c>
      <c r="AT144" s="55"/>
      <c r="AU144" s="88"/>
      <c r="AV144" s="55"/>
      <c r="AW144" s="55"/>
      <c r="AX144" s="88">
        <f>INDEX(USAID!$C$3:$C$151,MATCH('Matrix Allocations'!A144,USAID!$A$3:$A$151,0))</f>
        <v>4950000</v>
      </c>
      <c r="AY144" s="110"/>
      <c r="AZ144" s="88">
        <f>IFERROR(INDEX('[4]Vx All regions allocations'!O$10:O$144,MATCH(A144,'[4]Vx All regions allocations'!A$10:A$144,0)),"")</f>
        <v>1450000</v>
      </c>
      <c r="BA144" s="88">
        <v>50891.666666666664</v>
      </c>
      <c r="BB144" s="88">
        <v>81000</v>
      </c>
      <c r="BC144" s="88" t="str">
        <f>IFERROR(INDEX(DFAT!$K$4:$K$21,MATCH('Matrix Allocations'!A144,DFAT!$B$4:$B$21,0)),"")</f>
        <v/>
      </c>
      <c r="BD144" s="88"/>
      <c r="BE144" s="826" t="str">
        <f>IFERROR(IF(INDEX('GAVI CCE'!$E$3:$E$95,MATCH('Matrix Allocations'!A144,'GAVI CCE'!$A$3:$A$95,0))="Yes",INDEX('GAVI CCE'!$E$3:$E$95,MATCH('Matrix Allocations'!A144,'GAVI CCE'!$A$3:$A$95,0)),""),"")</f>
        <v>Yes</v>
      </c>
      <c r="BF144" s="88">
        <f>IFERROR(IF(BE144="Yes",INDEX('GAVI CCE'!$F$3:$F$95,MATCH('Matrix Allocations'!A144,'GAVI CCE'!$A$3:$A$95,0)),""),"")</f>
        <v>681003</v>
      </c>
      <c r="BG144" s="609" t="str">
        <f>IFERROR(IF(E144='CDS early access ceilings'!$A$94,(VLOOKUP(A144,'CDS early access ceilings'!$A$2:$D$92,4,FALSE)),""),"")</f>
        <v>UNICEF</v>
      </c>
      <c r="BH144" s="639" t="str">
        <f>IFERROR(INDEX(Table14[Status (clean)],MATCH('Matrix Allocations'!A144,Table14[ISO Code],0)),"")</f>
        <v>Disbursed</v>
      </c>
      <c r="BI144" s="641">
        <f>IFERROR(INDEX(Table14[Amount disbursed (USD)],MATCH('Matrix Allocations'!A144,Table14[ISO Code],0)),"")</f>
        <v>1977835</v>
      </c>
      <c r="BJ144" s="641" t="str">
        <f>IFERROR(INDEX('CDS NBW'!$I$2:$I$39,MATCH(A144,'CDS NBW'!$A$2:$A$39,0)),"")</f>
        <v>Disbursed</v>
      </c>
      <c r="BK144" s="641">
        <f>IFERROR(INDEX('CDS NBW'!$J$2:$J$39,MATCH(A144,'CDS NBW'!$A$2:$A$39,0)),"")</f>
        <v>1979999.5220290006</v>
      </c>
      <c r="BL144" s="609"/>
      <c r="BM144" s="609"/>
      <c r="BN144" s="609"/>
      <c r="BO144" s="609">
        <v>92593</v>
      </c>
      <c r="BP144" s="609">
        <f>IFERROR(INDEX('UNICEF-BMZ'!$O$1:$O$199,MATCH('Matrix Allocations'!A144,'UNICEF-BMZ'!$B$1:$B$199,0)),"")</f>
        <v>110000</v>
      </c>
      <c r="BQ144" s="609" t="str">
        <f>IFERROR(VLOOKUP(A144,'BMGF_clean data'!$A$4:$C$30,3,FALSE),"")</f>
        <v/>
      </c>
      <c r="BR144" s="609"/>
      <c r="BS144" s="609"/>
      <c r="BT144" s="609"/>
      <c r="BU144" s="609"/>
      <c r="BV144" s="609"/>
      <c r="BW144" s="87">
        <f>INDEX(USAID!$D$3:$D$151,MATCH('Matrix Allocations'!A144,USAID!$A$3:$A$151,0))</f>
        <v>0</v>
      </c>
      <c r="BX144" s="87" t="str">
        <f>IFERROR(INDEX(DFAT!$L$4:$L$21,MATCH('Matrix Allocations'!A144,DFAT!$B$4:$B$21,0)),"")</f>
        <v/>
      </c>
      <c r="BY144" s="87">
        <f>IFERROR(INDEX(Table14[Funds Channelled through UNICEF],MATCH('Matrix Allocations'!A144,Table14[ISO Code],0)),"")</f>
        <v>0</v>
      </c>
      <c r="BZ144" s="87">
        <f t="shared" si="64"/>
        <v>1977835</v>
      </c>
      <c r="CA144">
        <f t="shared" si="80"/>
        <v>43466822</v>
      </c>
      <c r="CB144" s="782">
        <f t="shared" si="72"/>
        <v>13040046.6</v>
      </c>
      <c r="CC144" s="791">
        <f t="shared" si="67"/>
        <v>81373322.188695669</v>
      </c>
      <c r="CD144" s="788">
        <f t="shared" si="73"/>
        <v>6.2402631435915019</v>
      </c>
      <c r="CE144" s="788">
        <f t="shared" si="74"/>
        <v>4.6801973576936255</v>
      </c>
      <c r="CF144" s="828">
        <f t="shared" si="75"/>
        <v>2.6743984901106437</v>
      </c>
      <c r="CG144" s="828">
        <f t="shared" si="68"/>
        <v>1.8720789430774505</v>
      </c>
      <c r="CH144" s="88">
        <f t="shared" si="81"/>
        <v>70000000</v>
      </c>
      <c r="CI144" s="88">
        <f t="shared" si="69"/>
        <v>4950000</v>
      </c>
      <c r="CJ144" s="742">
        <f t="shared" si="82"/>
        <v>92593</v>
      </c>
      <c r="CK144" s="848">
        <f t="shared" si="70"/>
        <v>1542593</v>
      </c>
      <c r="CL144" s="88">
        <f t="shared" si="71"/>
        <v>6860728.7107246676</v>
      </c>
    </row>
    <row r="145" spans="1:90" ht="17.25" customHeight="1">
      <c r="A145" s="149" t="s">
        <v>693</v>
      </c>
      <c r="B145" s="149" t="s">
        <v>291</v>
      </c>
      <c r="C145" s="57" t="s">
        <v>130</v>
      </c>
      <c r="D145" s="57" t="s">
        <v>550</v>
      </c>
      <c r="E145" s="57" t="s">
        <v>146</v>
      </c>
      <c r="F145" s="57"/>
      <c r="G145" s="57" t="str">
        <f t="shared" si="79"/>
        <v>Yes</v>
      </c>
      <c r="H145" s="57" t="str">
        <f t="shared" si="79"/>
        <v>Yes</v>
      </c>
      <c r="I145" s="57" t="str">
        <f t="shared" si="76"/>
        <v>No</v>
      </c>
      <c r="J145" s="57" t="str">
        <f t="shared" si="77"/>
        <v>No</v>
      </c>
      <c r="K145" s="57" t="str">
        <f t="shared" si="78"/>
        <v>Yes</v>
      </c>
      <c r="L145" s="62" t="s">
        <v>541</v>
      </c>
      <c r="M145" s="55" t="s">
        <v>544</v>
      </c>
      <c r="N145" s="136" t="s">
        <v>544</v>
      </c>
      <c r="O145" s="57" t="s">
        <v>544</v>
      </c>
      <c r="P145" s="57"/>
      <c r="Q145" s="57"/>
      <c r="R145" s="57"/>
      <c r="S145" s="956">
        <v>4001891446.6871672</v>
      </c>
      <c r="T145" s="55" t="s">
        <v>395</v>
      </c>
      <c r="U145" s="64" t="str">
        <f>IFERROR(IF(VLOOKUP(A145,'WB projects data'!$A$5:$C$83,3,0)="Approved",(VLOOKUP(A145,'WB projects data'!$A$5:$C$83,3,0)),""),"")</f>
        <v/>
      </c>
      <c r="V145" s="123" t="str">
        <f t="shared" si="65"/>
        <v/>
      </c>
      <c r="W145" s="123" t="str">
        <f>IFERROR((VLOOKUP($A145,'WB projects data'!$A$5:$J$83,6,0)*1000000),"")</f>
        <v/>
      </c>
      <c r="X145" s="123" t="str">
        <f>IFERROR((VLOOKUP($A145,'WB projects data'!$A$5:$J$83,7,0)*1000000),"")</f>
        <v/>
      </c>
      <c r="Y145" s="123" t="str">
        <f>IFERROR((VLOOKUP($A145,'WB projects data'!$A$5:$J$83,8,0)*1000000),"")</f>
        <v/>
      </c>
      <c r="Z145" s="123" t="str">
        <f>IFERROR((VLOOKUP($A145,'WB projects data'!$A$5:$J$83,9,0)*1000000),"")</f>
        <v/>
      </c>
      <c r="AA145" s="123" t="str">
        <f>IFERROR((VLOOKUP($A145,'WB projects data'!$A$5:$J$83,10,0)*1000000),"")</f>
        <v/>
      </c>
      <c r="AB145" s="57"/>
      <c r="AC145" s="110"/>
      <c r="AD145" s="110" t="str">
        <f>IFERROR(VLOOKUP(A145,'ADB Projects'!$A$4:$W$21,5,FALSE),"")</f>
        <v/>
      </c>
      <c r="AE145" s="132" t="str">
        <f>IF(AC145="Approved",(VLOOKUP($A145,'ADB Projects'!$A$5:$D$21,4,0)*1000000),"")</f>
        <v/>
      </c>
      <c r="AF145" s="585" t="str">
        <f>IF(AC145="Approved",(PRODUCT(VLOOKUP($A145,'ADB Projects'!$A$4:$W$21,6,FALSE),1000000)),"")</f>
        <v/>
      </c>
      <c r="AG145" s="585" t="str">
        <f>IF(AC145="Approved",(PRODUCT(VLOOKUP($A145,'ADB Projects'!$A$4:$W$21,7,FALSE),1000000)),"")</f>
        <v/>
      </c>
      <c r="AH145" s="585" t="str">
        <f>IF(AC145="Approved",(PRODUCT(VLOOKUP($A145,'ADB Projects'!$A$4:$W$21,8,FALSE),1000000)),"")</f>
        <v/>
      </c>
      <c r="AI145" s="55"/>
      <c r="AJ145" s="55"/>
      <c r="AK145" s="244"/>
      <c r="AL145" s="55"/>
      <c r="AM145" s="55"/>
      <c r="AN145" s="55"/>
      <c r="AO145" s="55" t="s">
        <v>541</v>
      </c>
      <c r="AP145" s="55"/>
      <c r="AQ145" s="602" t="str">
        <f t="shared" si="66"/>
        <v/>
      </c>
      <c r="AR145" s="602" t="str">
        <f>IFERROR(VLOOKUP($A145,'IDB C19 Vaccine Projects'!$O$4:$Q$12,2,FALSE),"")</f>
        <v/>
      </c>
      <c r="AS145" s="602" t="str">
        <f>IFERROR(VLOOKUP($A145,'IDB C19 Vaccine Projects'!$O$4:$Q$12,3,FALSE),"")</f>
        <v/>
      </c>
      <c r="AT145" s="55"/>
      <c r="AU145" s="88"/>
      <c r="AV145" s="55"/>
      <c r="AW145" s="55"/>
      <c r="AX145" s="88" t="str">
        <f>INDEX(USAID!$C$3:$C$151,MATCH('Matrix Allocations'!A145,USAID!$A$3:$A$151,0))</f>
        <v/>
      </c>
      <c r="AY145" s="110"/>
      <c r="AZ145" s="88">
        <f>IFERROR(INDEX('[4]Vx All regions allocations'!O$10:O$144,MATCH(A145,'[4]Vx All regions allocations'!A$10:A$144,0)),"")</f>
        <v>0</v>
      </c>
      <c r="BA145" s="88">
        <v>0</v>
      </c>
      <c r="BB145" s="88">
        <v>0</v>
      </c>
      <c r="BC145" s="88" t="str">
        <f>IFERROR(INDEX(DFAT!$K$4:$K$21,MATCH('Matrix Allocations'!A145,DFAT!$B$4:$B$21,0)),"")</f>
        <v/>
      </c>
      <c r="BE145" s="826" t="str">
        <f>IFERROR(IF(INDEX('GAVI CCE'!$E$3:$E$95,MATCH('Matrix Allocations'!A145,'GAVI CCE'!$A$3:$A$95,0))="Yes",INDEX('GAVI CCE'!$E$3:$E$95,MATCH('Matrix Allocations'!A145,'GAVI CCE'!$A$3:$A$95,0)),""),"")</f>
        <v/>
      </c>
      <c r="BF145" s="88" t="str">
        <f>IFERROR(IF(BE145="Yes",INDEX('GAVI CCE'!$F$3:$F$95,MATCH('Matrix Allocations'!A145,'GAVI CCE'!$A$3:$A$95,0)),""),"")</f>
        <v/>
      </c>
      <c r="BG145" s="609" t="str">
        <f>IFERROR(IF(E145='CDS early access ceilings'!$A$94,(VLOOKUP(A145,'CDS early access ceilings'!$A$2:$D$92,4,FALSE)),""),"")</f>
        <v/>
      </c>
      <c r="BH145" s="639" t="str">
        <f>IFERROR(INDEX(Table14[Status (clean)],MATCH('Matrix Allocations'!A145,Table14[ISO Code],0)),"")</f>
        <v/>
      </c>
      <c r="BI145" s="641" t="str">
        <f>IFERROR(INDEX(Table14[Amount disbursed (USD)],MATCH('Matrix Allocations'!A145,Table14[ISO Code],0)),"")</f>
        <v/>
      </c>
      <c r="BJ145" s="641" t="str">
        <f>IFERROR(INDEX('CDS NBW'!$I$2:$I$39,MATCH(A145,'CDS NBW'!$A$2:$A$39,0)),"")</f>
        <v/>
      </c>
      <c r="BK145" s="641" t="str">
        <f>IFERROR(INDEX('CDS NBW'!$J$2:$J$39,MATCH(A145,'CDS NBW'!$A$2:$A$39,0)),"")</f>
        <v/>
      </c>
      <c r="BL145" s="609"/>
      <c r="BM145" s="609"/>
      <c r="BN145" s="609"/>
      <c r="BO145" s="609"/>
      <c r="BP145" s="609">
        <f>IFERROR(INDEX('UNICEF-BMZ'!$O$1:$O$199,MATCH('Matrix Allocations'!A145,'UNICEF-BMZ'!$B$1:$B$199,0)),"")</f>
        <v>412400</v>
      </c>
      <c r="BQ145" s="609" t="str">
        <f>IFERROR(VLOOKUP(A145,'BMGF_clean data'!$A$4:$C$30,3,FALSE),"")</f>
        <v/>
      </c>
      <c r="BR145" s="609"/>
      <c r="BS145" s="609"/>
      <c r="BT145" s="609"/>
      <c r="BU145" s="609"/>
      <c r="BV145" s="609"/>
      <c r="BW145" s="87">
        <f>INDEX(USAID!$D$3:$D$151,MATCH('Matrix Allocations'!A145,USAID!$A$3:$A$151,0))</f>
        <v>0</v>
      </c>
      <c r="BX145" s="87" t="str">
        <f>IFERROR(INDEX(DFAT!$L$4:$L$21,MATCH('Matrix Allocations'!A145,DFAT!$B$4:$B$21,0)),"")</f>
        <v/>
      </c>
      <c r="BY145" s="87" t="str">
        <f>IFERROR(INDEX(Table14[Funds Channelled through UNICEF],MATCH('Matrix Allocations'!A145,Table14[ISO Code],0)),"")</f>
        <v/>
      </c>
      <c r="BZ145" s="87">
        <f t="shared" si="64"/>
        <v>0</v>
      </c>
      <c r="CA145">
        <f t="shared" si="80"/>
        <v>3473727</v>
      </c>
      <c r="CB145" s="782">
        <f t="shared" si="72"/>
        <v>1042118.1</v>
      </c>
      <c r="CC145" s="791">
        <f t="shared" si="67"/>
        <v>412400</v>
      </c>
      <c r="CD145" s="788">
        <f t="shared" si="73"/>
        <v>0.3957324990324993</v>
      </c>
      <c r="CE145" s="788">
        <f t="shared" si="74"/>
        <v>0.29679937427437447</v>
      </c>
      <c r="CF145" s="828">
        <f t="shared" si="75"/>
        <v>0.1695996424424997</v>
      </c>
      <c r="CG145" s="828">
        <f t="shared" si="68"/>
        <v>0.11871974970974979</v>
      </c>
      <c r="CH145" s="88">
        <f t="shared" si="81"/>
        <v>0</v>
      </c>
      <c r="CI145" s="88">
        <f t="shared" si="69"/>
        <v>0</v>
      </c>
      <c r="CJ145" s="742">
        <f t="shared" si="82"/>
        <v>0</v>
      </c>
      <c r="CK145" s="848">
        <f t="shared" si="70"/>
        <v>0</v>
      </c>
      <c r="CL145" s="88">
        <f t="shared" si="71"/>
        <v>412400</v>
      </c>
    </row>
    <row r="146" spans="1:90" ht="17.25" customHeight="1">
      <c r="A146" s="57" t="s">
        <v>694</v>
      </c>
      <c r="B146" s="57" t="s">
        <v>292</v>
      </c>
      <c r="C146" s="57" t="s">
        <v>127</v>
      </c>
      <c r="D146" s="57" t="s">
        <v>150</v>
      </c>
      <c r="E146" s="57" t="s">
        <v>145</v>
      </c>
      <c r="F146" s="57"/>
      <c r="G146" s="57" t="str">
        <f t="shared" si="79"/>
        <v>No</v>
      </c>
      <c r="H146" s="57" t="str">
        <f t="shared" si="79"/>
        <v>No</v>
      </c>
      <c r="I146" s="57" t="str">
        <f t="shared" si="76"/>
        <v>Yes</v>
      </c>
      <c r="J146" s="57" t="str">
        <f t="shared" si="77"/>
        <v>Yes</v>
      </c>
      <c r="K146" s="57" t="str">
        <f t="shared" si="78"/>
        <v>No</v>
      </c>
      <c r="L146" s="62" t="s">
        <v>541</v>
      </c>
      <c r="M146" s="55" t="s">
        <v>544</v>
      </c>
      <c r="N146" s="136" t="s">
        <v>541</v>
      </c>
      <c r="O146" s="57" t="s">
        <v>544</v>
      </c>
      <c r="P146" s="57" t="s">
        <v>558</v>
      </c>
      <c r="Q146" s="57" t="s">
        <v>541</v>
      </c>
      <c r="R146" s="57"/>
      <c r="S146" s="956">
        <v>1019800630.5853213</v>
      </c>
      <c r="T146" s="55" t="s">
        <v>396</v>
      </c>
      <c r="U146" s="64" t="str">
        <f>IFERROR(IF(VLOOKUP(A146,'WB projects data'!$A$5:$C$83,3,0)="Approved",(VLOOKUP(A146,'WB projects data'!$A$5:$C$83,3,0)),""),"")</f>
        <v/>
      </c>
      <c r="V146" s="123" t="str">
        <f t="shared" si="65"/>
        <v/>
      </c>
      <c r="W146" s="123" t="str">
        <f>IFERROR((VLOOKUP($A146,'WB projects data'!$A$5:$J$83,6,0)*1000000),"")</f>
        <v/>
      </c>
      <c r="X146" s="123" t="str">
        <f>IFERROR((VLOOKUP($A146,'WB projects data'!$A$5:$J$83,7,0)*1000000),"")</f>
        <v/>
      </c>
      <c r="Y146" s="123" t="str">
        <f>IFERROR((VLOOKUP($A146,'WB projects data'!$A$5:$J$83,8,0)*1000000),"")</f>
        <v/>
      </c>
      <c r="Z146" s="123" t="str">
        <f>IFERROR((VLOOKUP($A146,'WB projects data'!$A$5:$J$83,9,0)*1000000),"")</f>
        <v/>
      </c>
      <c r="AA146" s="123" t="str">
        <f>IFERROR((VLOOKUP($A146,'WB projects data'!$A$5:$J$83,10,0)*1000000),"")</f>
        <v/>
      </c>
      <c r="AB146" s="57" t="s">
        <v>541</v>
      </c>
      <c r="AC146" s="110"/>
      <c r="AD146" s="110" t="str">
        <f>IFERROR(VLOOKUP(A146,'ADB Projects'!$A$4:$W$21,5,FALSE),"")</f>
        <v/>
      </c>
      <c r="AE146" s="132" t="str">
        <f>IF(AC146="Approved",(VLOOKUP($A146,'ADB Projects'!$A$5:$D$21,4,0)*1000000),"")</f>
        <v/>
      </c>
      <c r="AF146" s="585" t="str">
        <f>IF(AC146="Approved",(PRODUCT(VLOOKUP($A146,'ADB Projects'!$A$4:$W$21,6,FALSE),1000000)),"")</f>
        <v/>
      </c>
      <c r="AG146" s="585" t="str">
        <f>IF(AC146="Approved",(PRODUCT(VLOOKUP($A146,'ADB Projects'!$A$4:$W$21,7,FALSE),1000000)),"")</f>
        <v/>
      </c>
      <c r="AH146" s="585" t="str">
        <f>IF(AC146="Approved",(PRODUCT(VLOOKUP($A146,'ADB Projects'!$A$4:$W$21,8,FALSE),1000000)),"")</f>
        <v/>
      </c>
      <c r="AI146" s="55" t="s">
        <v>541</v>
      </c>
      <c r="AJ146" s="55"/>
      <c r="AK146" s="244"/>
      <c r="AL146" s="55"/>
      <c r="AM146" s="55"/>
      <c r="AN146" s="55"/>
      <c r="AO146" s="55"/>
      <c r="AP146" s="55"/>
      <c r="AQ146" s="602" t="str">
        <f t="shared" si="66"/>
        <v/>
      </c>
      <c r="AR146" s="602" t="str">
        <f>IFERROR(VLOOKUP($A146,'IDB C19 Vaccine Projects'!$O$4:$Q$12,2,FALSE),"")</f>
        <v/>
      </c>
      <c r="AS146" s="602" t="str">
        <f>IFERROR(VLOOKUP($A146,'IDB C19 Vaccine Projects'!$O$4:$Q$12,3,FALSE),"")</f>
        <v/>
      </c>
      <c r="AT146" s="55"/>
      <c r="AU146" s="88"/>
      <c r="AV146" s="55"/>
      <c r="AW146" s="55"/>
      <c r="AX146" s="88">
        <f>INDEX(USAID!$C$3:$C$151,MATCH('Matrix Allocations'!A146,USAID!$A$3:$A$151,0))</f>
        <v>3100000</v>
      </c>
      <c r="AY146" s="110"/>
      <c r="AZ146" s="88">
        <f>IFERROR(INDEX('[4]Vx All regions allocations'!O$10:O$144,MATCH(A146,'[4]Vx All regions allocations'!A$10:A$144,0)),"")</f>
        <v>950000</v>
      </c>
      <c r="BA146" s="88">
        <v>105295.99999999999</v>
      </c>
      <c r="BB146" s="88">
        <v>135034</v>
      </c>
      <c r="BC146" s="88" t="str">
        <f>IFERROR(INDEX(DFAT!$K$4:$K$21,MATCH('Matrix Allocations'!A146,DFAT!$B$4:$B$21,0)),"")</f>
        <v/>
      </c>
      <c r="BD146" s="88"/>
      <c r="BE146" s="826" t="str">
        <f>IFERROR(IF(INDEX('GAVI CCE'!$E$3:$E$95,MATCH('Matrix Allocations'!A146,'GAVI CCE'!$A$3:$A$95,0))="Yes",INDEX('GAVI CCE'!$E$3:$E$95,MATCH('Matrix Allocations'!A146,'GAVI CCE'!$A$3:$A$95,0)),""),"")</f>
        <v>Yes</v>
      </c>
      <c r="BF146" s="88">
        <f>IFERROR(IF(BE146="Yes",INDEX('GAVI CCE'!$F$3:$F$95,MATCH('Matrix Allocations'!A146,'GAVI CCE'!$A$3:$A$95,0)),""),"")</f>
        <v>949999</v>
      </c>
      <c r="BG146" s="609" t="str">
        <f>IFERROR(IF(E146='CDS early access ceilings'!$A$94,(VLOOKUP(A146,'CDS early access ceilings'!$A$2:$D$92,4,FALSE)),""),"")</f>
        <v>GAVI</v>
      </c>
      <c r="BH146" s="639" t="str">
        <f>IFERROR(INDEX(Table14[Status (clean)],MATCH('Matrix Allocations'!A146,Table14[ISO Code],0)),"")</f>
        <v>Disbursed</v>
      </c>
      <c r="BI146" s="641">
        <f>IFERROR(INDEX(Table14[Amount disbursed (USD)],MATCH('Matrix Allocations'!A146,Table14[ISO Code],0)),"")</f>
        <v>2404057</v>
      </c>
      <c r="BJ146" s="641" t="str">
        <f>IFERROR(INDEX('CDS NBW'!$I$2:$I$39,MATCH(A146,'CDS NBW'!$A$2:$A$39,0)),"")</f>
        <v/>
      </c>
      <c r="BK146" s="641" t="str">
        <f>IFERROR(INDEX('CDS NBW'!$J$2:$J$39,MATCH(A146,'CDS NBW'!$A$2:$A$39,0)),"")</f>
        <v/>
      </c>
      <c r="BL146" s="609"/>
      <c r="BM146" s="609"/>
      <c r="BN146" s="609"/>
      <c r="BO146" s="609"/>
      <c r="BP146" s="609">
        <f>IFERROR(INDEX('UNICEF-BMZ'!$O$1:$O$199,MATCH('Matrix Allocations'!A146,'UNICEF-BMZ'!$B$1:$B$199,0)),"")</f>
        <v>275000</v>
      </c>
      <c r="BQ146" s="609" t="str">
        <f>IFERROR(VLOOKUP(A146,'BMGF_clean data'!$A$4:$C$30,3,FALSE),"")</f>
        <v/>
      </c>
      <c r="BR146" s="609"/>
      <c r="BS146" s="609"/>
      <c r="BT146" s="609"/>
      <c r="BU146" s="609"/>
      <c r="BV146" s="609"/>
      <c r="BW146" s="87">
        <f>INDEX(USAID!$D$3:$D$151,MATCH('Matrix Allocations'!A146,USAID!$A$3:$A$151,0))</f>
        <v>2600000</v>
      </c>
      <c r="BX146" s="87" t="str">
        <f>IFERROR(INDEX(DFAT!$L$4:$L$21,MATCH('Matrix Allocations'!A146,DFAT!$B$4:$B$21,0)),"")</f>
        <v/>
      </c>
      <c r="BY146" s="87">
        <f>IFERROR(INDEX(Table14[Funds Channelled through UNICEF],MATCH('Matrix Allocations'!A146,Table14[ISO Code],0)),"")</f>
        <v>1981860</v>
      </c>
      <c r="BZ146" s="87">
        <f t="shared" si="64"/>
        <v>1981860</v>
      </c>
      <c r="CA146">
        <f t="shared" si="80"/>
        <v>33935765</v>
      </c>
      <c r="CB146" s="782">
        <f t="shared" si="72"/>
        <v>10180729.5</v>
      </c>
      <c r="CC146" s="791">
        <f t="shared" si="67"/>
        <v>7919386</v>
      </c>
      <c r="CD146" s="788">
        <f t="shared" si="73"/>
        <v>0.77788001341161261</v>
      </c>
      <c r="CE146" s="788">
        <f t="shared" si="74"/>
        <v>0.58341001005870941</v>
      </c>
      <c r="CF146" s="828">
        <f t="shared" si="75"/>
        <v>0.3333771486049768</v>
      </c>
      <c r="CG146" s="828">
        <f t="shared" si="68"/>
        <v>0.23336400402348378</v>
      </c>
      <c r="CH146" s="88">
        <f t="shared" si="81"/>
        <v>0</v>
      </c>
      <c r="CI146" s="88">
        <f t="shared" si="69"/>
        <v>3100000</v>
      </c>
      <c r="CJ146" s="742">
        <f t="shared" si="82"/>
        <v>0</v>
      </c>
      <c r="CK146" s="848">
        <f t="shared" si="70"/>
        <v>5531860</v>
      </c>
      <c r="CL146" s="88">
        <f t="shared" si="71"/>
        <v>3869386</v>
      </c>
    </row>
    <row r="147" spans="1:90" ht="17.25" customHeight="1">
      <c r="A147" s="57" t="s">
        <v>695</v>
      </c>
      <c r="B147" s="57" t="s">
        <v>293</v>
      </c>
      <c r="C147" s="57" t="s">
        <v>126</v>
      </c>
      <c r="D147" s="57" t="s">
        <v>150</v>
      </c>
      <c r="E147" s="57" t="s">
        <v>145</v>
      </c>
      <c r="F147" s="57"/>
      <c r="G147" s="57" t="str">
        <f t="shared" si="79"/>
        <v>No</v>
      </c>
      <c r="H147" s="57" t="str">
        <f t="shared" si="79"/>
        <v>No</v>
      </c>
      <c r="I147" s="57" t="str">
        <f t="shared" si="76"/>
        <v>No</v>
      </c>
      <c r="J147" s="57" t="str">
        <f t="shared" si="77"/>
        <v>Yes</v>
      </c>
      <c r="K147" s="57" t="str">
        <f t="shared" si="78"/>
        <v>No</v>
      </c>
      <c r="L147" s="62" t="s">
        <v>541</v>
      </c>
      <c r="M147" s="55" t="s">
        <v>544</v>
      </c>
      <c r="N147" s="136" t="s">
        <v>541</v>
      </c>
      <c r="O147" s="57" t="s">
        <v>544</v>
      </c>
      <c r="P147" s="57" t="s">
        <v>562</v>
      </c>
      <c r="Q147" s="57"/>
      <c r="R147" s="57"/>
      <c r="S147" s="956">
        <v>19578671.310841195</v>
      </c>
      <c r="T147" s="55" t="s">
        <v>394</v>
      </c>
      <c r="U147" s="64" t="str">
        <f>IFERROR(IF(VLOOKUP(A147,'WB projects data'!$A$5:$C$83,3,0)="Approved",(VLOOKUP(A147,'WB projects data'!$A$5:$C$83,3,0)),""),"")</f>
        <v/>
      </c>
      <c r="V147" s="123" t="str">
        <f t="shared" si="65"/>
        <v/>
      </c>
      <c r="W147" s="123" t="str">
        <f>IFERROR((VLOOKUP($A147,'WB projects data'!$A$5:$J$83,6,0)*1000000),"")</f>
        <v/>
      </c>
      <c r="X147" s="123" t="str">
        <f>IFERROR((VLOOKUP($A147,'WB projects data'!$A$5:$J$83,7,0)*1000000),"")</f>
        <v/>
      </c>
      <c r="Y147" s="123" t="str">
        <f>IFERROR((VLOOKUP($A147,'WB projects data'!$A$5:$J$83,8,0)*1000000),"")</f>
        <v/>
      </c>
      <c r="Z147" s="123" t="str">
        <f>IFERROR((VLOOKUP($A147,'WB projects data'!$A$5:$J$83,9,0)*1000000),"")</f>
        <v/>
      </c>
      <c r="AA147" s="123" t="str">
        <f>IFERROR((VLOOKUP($A147,'WB projects data'!$A$5:$J$83,10,0)*1000000),"")</f>
        <v/>
      </c>
      <c r="AB147" s="57" t="s">
        <v>541</v>
      </c>
      <c r="AC147" s="110" t="str">
        <f>VLOOKUP($A147,'ADB Projects'!$A$5:$D$21,3,0)</f>
        <v>Approved</v>
      </c>
      <c r="AD147" s="110" t="str">
        <f>IFERROR(VLOOKUP(A147,'ADB Projects'!$A$4:$W$21,5,FALSE),"")</f>
        <v>Grant</v>
      </c>
      <c r="AE147" s="132">
        <f>IF(AC147="Approved",(VLOOKUP($A147,'ADB Projects'!$A$5:$D$21,4,0)*1000000),"")</f>
        <v>3880000</v>
      </c>
      <c r="AF147" s="585">
        <f>IF(AC147="Approved",(PRODUCT(VLOOKUP($A147,'ADB Projects'!$A$4:$W$21,6,FALSE),1000000)),"")</f>
        <v>720000</v>
      </c>
      <c r="AG147" s="585">
        <f>IF(AC147="Approved",(PRODUCT(VLOOKUP($A147,'ADB Projects'!$A$4:$W$21,7,FALSE),1000000)),"")</f>
        <v>1610000</v>
      </c>
      <c r="AH147" s="585">
        <f>IF(AC147="Approved",(PRODUCT(VLOOKUP($A147,'ADB Projects'!$A$4:$W$21,8,FALSE),1000000)),"")</f>
        <v>1549999.9999999998</v>
      </c>
      <c r="AI147" s="55"/>
      <c r="AJ147" s="55"/>
      <c r="AK147" s="244"/>
      <c r="AL147" s="55"/>
      <c r="AM147" s="55"/>
      <c r="AN147" s="55"/>
      <c r="AO147" s="55"/>
      <c r="AP147" s="55"/>
      <c r="AQ147" s="602" t="str">
        <f t="shared" si="66"/>
        <v/>
      </c>
      <c r="AR147" s="602" t="str">
        <f>IFERROR(VLOOKUP($A147,'IDB C19 Vaccine Projects'!$O$4:$Q$12,2,FALSE),"")</f>
        <v/>
      </c>
      <c r="AS147" s="602" t="str">
        <f>IFERROR(VLOOKUP($A147,'IDB C19 Vaccine Projects'!$O$4:$Q$12,3,FALSE),"")</f>
        <v/>
      </c>
      <c r="AT147" s="55"/>
      <c r="AU147" s="88"/>
      <c r="AV147" s="55"/>
      <c r="AW147" s="55"/>
      <c r="AX147" s="88" t="str">
        <f>INDEX(USAID!$C$3:$C$151,MATCH('Matrix Allocations'!A147,USAID!$A$3:$A$151,0))</f>
        <v/>
      </c>
      <c r="AY147" s="110">
        <v>417188</v>
      </c>
      <c r="AZ147" s="88">
        <f>IFERROR(INDEX('[4]Vx All regions allocations'!O$10:O$144,MATCH(A147,'[4]Vx All regions allocations'!A$10:A$144,0)),"")</f>
        <v>0</v>
      </c>
      <c r="BA147" s="88">
        <v>0</v>
      </c>
      <c r="BB147" s="88">
        <v>25000</v>
      </c>
      <c r="BC147" s="88">
        <f>IFERROR(INDEX(DFAT!$K$4:$K$21,MATCH('Matrix Allocations'!A147,DFAT!$B$4:$B$21,0)),"")</f>
        <v>0</v>
      </c>
      <c r="BD147" s="742">
        <v>42755</v>
      </c>
      <c r="BE147" s="826" t="str">
        <f>IFERROR(IF(INDEX('GAVI CCE'!$E$3:$E$95,MATCH('Matrix Allocations'!A147,'GAVI CCE'!$A$3:$A$95,0))="Yes",INDEX('GAVI CCE'!$E$3:$E$95,MATCH('Matrix Allocations'!A147,'GAVI CCE'!$A$3:$A$95,0)),""),"")</f>
        <v/>
      </c>
      <c r="BF147" s="88" t="str">
        <f>IFERROR(IF(BE147="Yes",INDEX('GAVI CCE'!$F$3:$F$95,MATCH('Matrix Allocations'!A147,'GAVI CCE'!$A$3:$A$95,0)),""),"")</f>
        <v/>
      </c>
      <c r="BG147" s="609" t="str">
        <f>IFERROR(IF(E147='CDS early access ceilings'!$A$94,(VLOOKUP(A147,'CDS early access ceilings'!$A$2:$D$92,4,FALSE)),""),"")</f>
        <v>UNICEF</v>
      </c>
      <c r="BH147" s="639" t="str">
        <f>IFERROR(INDEX(Table14[Status (clean)],MATCH('Matrix Allocations'!A147,Table14[ISO Code],0)),"")</f>
        <v>Disbursed</v>
      </c>
      <c r="BI147" s="641">
        <f>IFERROR(INDEX(Table14[Amount disbursed (USD)],MATCH('Matrix Allocations'!A147,Table14[ISO Code],0)),"")</f>
        <v>230000</v>
      </c>
      <c r="BJ147" s="641" t="str">
        <f>IFERROR(INDEX('CDS NBW'!$I$2:$I$39,MATCH(A147,'CDS NBW'!$A$2:$A$39,0)),"")</f>
        <v>Disbursed</v>
      </c>
      <c r="BK147" s="641">
        <f>IFERROR(INDEX('CDS NBW'!$J$2:$J$39,MATCH(A147,'CDS NBW'!$A$2:$A$39,0)),"")</f>
        <v>230000.22990000001</v>
      </c>
      <c r="BL147" s="609"/>
      <c r="BM147" s="609"/>
      <c r="BN147" s="609"/>
      <c r="BO147" s="609"/>
      <c r="BP147" s="609">
        <f>IFERROR(INDEX('UNICEF-BMZ'!$O$1:$O$199,MATCH('Matrix Allocations'!A147,'UNICEF-BMZ'!$B$1:$B$199,0)),"")</f>
        <v>0</v>
      </c>
      <c r="BQ147" s="609" t="str">
        <f>IFERROR(VLOOKUP(A147,'BMGF_clean data'!$A$4:$C$30,3,FALSE),"")</f>
        <v/>
      </c>
      <c r="BR147" s="609"/>
      <c r="BS147" s="609"/>
      <c r="BT147" s="609"/>
      <c r="BU147" s="609"/>
      <c r="BV147" s="609"/>
      <c r="BW147" s="87">
        <f>INDEX(USAID!$D$3:$D$151,MATCH('Matrix Allocations'!A147,USAID!$A$3:$A$151,0))</f>
        <v>0</v>
      </c>
      <c r="BX147" s="87">
        <f>IFERROR(INDEX(DFAT!$L$4:$L$21,MATCH('Matrix Allocations'!A147,DFAT!$B$4:$B$21,0)),"")</f>
        <v>0</v>
      </c>
      <c r="BY147" s="87">
        <f>IFERROR(INDEX(Table14[Funds Channelled through UNICEF],MATCH('Matrix Allocations'!A147,Table14[ISO Code],0)),"")</f>
        <v>0</v>
      </c>
      <c r="BZ147" s="87">
        <f t="shared" si="64"/>
        <v>230000</v>
      </c>
      <c r="CA147">
        <f t="shared" si="80"/>
        <v>314464</v>
      </c>
      <c r="CB147" s="782">
        <f t="shared" si="72"/>
        <v>94339.199999999997</v>
      </c>
      <c r="CC147" s="791">
        <f t="shared" si="67"/>
        <v>2554943.2299000002</v>
      </c>
      <c r="CD147" s="788">
        <f t="shared" si="73"/>
        <v>27.08251956662766</v>
      </c>
      <c r="CE147" s="788">
        <f t="shared" si="74"/>
        <v>20.311889674970743</v>
      </c>
      <c r="CF147" s="828">
        <f t="shared" si="75"/>
        <v>11.606794099983283</v>
      </c>
      <c r="CG147" s="828">
        <f t="shared" si="68"/>
        <v>8.1247558699882987</v>
      </c>
      <c r="CH147" s="88">
        <f t="shared" si="81"/>
        <v>1610000</v>
      </c>
      <c r="CI147" s="88">
        <f t="shared" si="69"/>
        <v>459943</v>
      </c>
      <c r="CJ147" s="742">
        <f t="shared" si="82"/>
        <v>0</v>
      </c>
      <c r="CK147" s="848">
        <f t="shared" si="70"/>
        <v>459943</v>
      </c>
      <c r="CL147" s="88">
        <f t="shared" si="71"/>
        <v>715000.45980000007</v>
      </c>
    </row>
    <row r="148" spans="1:90" ht="17.25" customHeight="1">
      <c r="A148" s="57" t="s">
        <v>696</v>
      </c>
      <c r="B148" s="57" t="s">
        <v>294</v>
      </c>
      <c r="C148" s="57" t="s">
        <v>130</v>
      </c>
      <c r="D148" s="57" t="s">
        <v>322</v>
      </c>
      <c r="E148" s="57" t="s">
        <v>146</v>
      </c>
      <c r="F148" s="57"/>
      <c r="G148" s="57" t="str">
        <f t="shared" si="79"/>
        <v>Yes</v>
      </c>
      <c r="H148" s="57" t="str">
        <f t="shared" si="79"/>
        <v>Yes</v>
      </c>
      <c r="I148" s="57" t="str">
        <f t="shared" si="76"/>
        <v>No</v>
      </c>
      <c r="J148" s="57" t="str">
        <f t="shared" si="77"/>
        <v>No</v>
      </c>
      <c r="K148" s="57" t="str">
        <f t="shared" si="78"/>
        <v>Yes</v>
      </c>
      <c r="L148" s="62" t="s">
        <v>541</v>
      </c>
      <c r="M148" s="55" t="s">
        <v>544</v>
      </c>
      <c r="N148" s="136" t="s">
        <v>544</v>
      </c>
      <c r="O148" s="57" t="s">
        <v>544</v>
      </c>
      <c r="P148" s="57" t="s">
        <v>546</v>
      </c>
      <c r="Q148" s="57"/>
      <c r="R148" s="57"/>
      <c r="S148" s="956">
        <v>3551452001.0684834</v>
      </c>
      <c r="T148" s="55" t="s">
        <v>395</v>
      </c>
      <c r="U148" s="64" t="str">
        <f>IFERROR(IF(VLOOKUP(A148,'WB projects data'!$A$5:$C$83,3,0)="Approved",(VLOOKUP(A148,'WB projects data'!$A$5:$C$83,3,0)),""),"")</f>
        <v/>
      </c>
      <c r="V148" s="123" t="str">
        <f t="shared" si="65"/>
        <v/>
      </c>
      <c r="W148" s="123" t="str">
        <f>IFERROR((VLOOKUP($A148,'WB projects data'!$A$5:$J$83,6,0)*1000000),"")</f>
        <v/>
      </c>
      <c r="X148" s="123" t="str">
        <f>IFERROR((VLOOKUP($A148,'WB projects data'!$A$5:$J$83,7,0)*1000000),"")</f>
        <v/>
      </c>
      <c r="Y148" s="123" t="str">
        <f>IFERROR((VLOOKUP($A148,'WB projects data'!$A$5:$J$83,8,0)*1000000),"")</f>
        <v/>
      </c>
      <c r="Z148" s="123" t="str">
        <f>IFERROR((VLOOKUP($A148,'WB projects data'!$A$5:$J$83,9,0)*1000000),"")</f>
        <v/>
      </c>
      <c r="AA148" s="123" t="str">
        <f>IFERROR((VLOOKUP($A148,'WB projects data'!$A$5:$J$83,10,0)*1000000),"")</f>
        <v/>
      </c>
      <c r="AB148" s="57"/>
      <c r="AC148" s="110"/>
      <c r="AD148" s="110" t="str">
        <f>IFERROR(VLOOKUP(A148,'ADB Projects'!$A$4:$W$21,5,FALSE),"")</f>
        <v/>
      </c>
      <c r="AE148" s="132" t="str">
        <f>IF(AC148="Approved",(VLOOKUP($A148,'ADB Projects'!$A$5:$D$21,4,0)*1000000),"")</f>
        <v/>
      </c>
      <c r="AF148" s="585" t="str">
        <f>IF(AC148="Approved",(PRODUCT(VLOOKUP($A148,'ADB Projects'!$A$4:$W$21,6,FALSE),1000000)),"")</f>
        <v/>
      </c>
      <c r="AG148" s="585" t="str">
        <f>IF(AC148="Approved",(PRODUCT(VLOOKUP($A148,'ADB Projects'!$A$4:$W$21,7,FALSE),1000000)),"")</f>
        <v/>
      </c>
      <c r="AH148" s="585" t="str">
        <f>IF(AC148="Approved",(PRODUCT(VLOOKUP($A148,'ADB Projects'!$A$4:$W$21,8,FALSE),1000000)),"")</f>
        <v/>
      </c>
      <c r="AI148" s="55"/>
      <c r="AJ148" s="55"/>
      <c r="AK148" s="244"/>
      <c r="AL148" s="55"/>
      <c r="AM148" s="55"/>
      <c r="AN148" s="55"/>
      <c r="AO148" s="55" t="s">
        <v>541</v>
      </c>
      <c r="AP148" s="55"/>
      <c r="AQ148" s="602" t="str">
        <f t="shared" si="66"/>
        <v/>
      </c>
      <c r="AR148" s="602" t="str">
        <f>IFERROR(VLOOKUP($A148,'IDB C19 Vaccine Projects'!$O$4:$Q$12,2,FALSE),"")</f>
        <v/>
      </c>
      <c r="AS148" s="602" t="str">
        <f>IFERROR(VLOOKUP($A148,'IDB C19 Vaccine Projects'!$O$4:$Q$12,3,FALSE),"")</f>
        <v/>
      </c>
      <c r="AT148" s="55"/>
      <c r="AU148" s="88"/>
      <c r="AV148" s="55"/>
      <c r="AW148" s="55" t="s">
        <v>541</v>
      </c>
      <c r="AX148" s="88" t="str">
        <f>INDEX(USAID!$C$3:$C$151,MATCH('Matrix Allocations'!A148,USAID!$A$3:$A$151,0))</f>
        <v/>
      </c>
      <c r="AY148" s="110">
        <v>2175926</v>
      </c>
      <c r="AZ148" s="88">
        <f>IFERROR(INDEX('[4]Vx All regions allocations'!O$10:O$144,MATCH(A148,'[4]Vx All regions allocations'!A$10:A$144,0)),"")</f>
        <v>1000000</v>
      </c>
      <c r="BA148" s="88">
        <v>0</v>
      </c>
      <c r="BB148" s="88">
        <v>0</v>
      </c>
      <c r="BC148" s="88" t="str">
        <f>IFERROR(INDEX(DFAT!$K$4:$K$21,MATCH('Matrix Allocations'!A148,DFAT!$B$4:$B$21,0)),"")</f>
        <v/>
      </c>
      <c r="BD148" s="88"/>
      <c r="BE148" s="826" t="str">
        <f>IFERROR(IF(INDEX('GAVI CCE'!$E$3:$E$95,MATCH('Matrix Allocations'!A148,'GAVI CCE'!$A$3:$A$95,0))="Yes",INDEX('GAVI CCE'!$E$3:$E$95,MATCH('Matrix Allocations'!A148,'GAVI CCE'!$A$3:$A$95,0)),""),"")</f>
        <v/>
      </c>
      <c r="BF148" s="88" t="str">
        <f>IFERROR(IF(BE148="Yes",INDEX('GAVI CCE'!$F$3:$F$95,MATCH('Matrix Allocations'!A148,'GAVI CCE'!$A$3:$A$95,0)),""),"")</f>
        <v/>
      </c>
      <c r="BG148" s="609" t="str">
        <f>IFERROR(IF(E148='CDS early access ceilings'!$A$94,(VLOOKUP(A148,'CDS early access ceilings'!$A$2:$D$92,4,FALSE)),""),"")</f>
        <v/>
      </c>
      <c r="BH148" s="639" t="str">
        <f>IFERROR(INDEX(Table14[Status (clean)],MATCH('Matrix Allocations'!A148,Table14[ISO Code],0)),"")</f>
        <v/>
      </c>
      <c r="BI148" s="641" t="str">
        <f>IFERROR(INDEX(Table14[Amount disbursed (USD)],MATCH('Matrix Allocations'!A148,Table14[ISO Code],0)),"")</f>
        <v/>
      </c>
      <c r="BJ148" s="641" t="str">
        <f>IFERROR(INDEX('CDS NBW'!$I$2:$I$39,MATCH(A148,'CDS NBW'!$A$2:$A$39,0)),"")</f>
        <v/>
      </c>
      <c r="BK148" s="641" t="str">
        <f>IFERROR(INDEX('CDS NBW'!$J$2:$J$39,MATCH(A148,'CDS NBW'!$A$2:$A$39,0)),"")</f>
        <v/>
      </c>
      <c r="BL148" s="609"/>
      <c r="BM148" s="609">
        <v>103218.84</v>
      </c>
      <c r="BN148" s="609">
        <v>216262</v>
      </c>
      <c r="BO148" s="609"/>
      <c r="BP148" s="609" t="str">
        <f>IFERROR(INDEX('UNICEF-BMZ'!$O$1:$O$199,MATCH('Matrix Allocations'!A148,'UNICEF-BMZ'!$B$1:$B$199,0)),"")</f>
        <v/>
      </c>
      <c r="BQ148" s="609" t="str">
        <f>IFERROR(VLOOKUP(A148,'BMGF_clean data'!$A$4:$C$30,3,FALSE),"")</f>
        <v/>
      </c>
      <c r="BR148" s="609"/>
      <c r="BS148" s="609"/>
      <c r="BT148" s="609">
        <v>6801213</v>
      </c>
      <c r="BU148" s="609"/>
      <c r="BV148" s="609"/>
      <c r="BW148" s="87">
        <f>INDEX(USAID!$D$3:$D$151,MATCH('Matrix Allocations'!A148,USAID!$A$3:$A$151,0))</f>
        <v>0</v>
      </c>
      <c r="BX148" s="87" t="str">
        <f>IFERROR(INDEX(DFAT!$L$4:$L$21,MATCH('Matrix Allocations'!A148,DFAT!$B$4:$B$21,0)),"")</f>
        <v/>
      </c>
      <c r="BY148" s="87" t="str">
        <f>IFERROR(INDEX(Table14[Funds Channelled through UNICEF],MATCH('Matrix Allocations'!A148,Table14[ISO Code],0)),"")</f>
        <v/>
      </c>
      <c r="BZ148" s="87">
        <f t="shared" si="64"/>
        <v>0</v>
      </c>
      <c r="CA148">
        <f t="shared" si="80"/>
        <v>28704947</v>
      </c>
      <c r="CB148" s="782">
        <f t="shared" si="72"/>
        <v>8611484.0999999996</v>
      </c>
      <c r="CC148" s="791">
        <f t="shared" si="67"/>
        <v>10296619.84</v>
      </c>
      <c r="CD148" s="788">
        <f t="shared" si="73"/>
        <v>1.1956847066581706</v>
      </c>
      <c r="CE148" s="788">
        <f t="shared" si="74"/>
        <v>0.89676352999362785</v>
      </c>
      <c r="CF148" s="828">
        <f t="shared" si="75"/>
        <v>0.51243630285350172</v>
      </c>
      <c r="CG148" s="828">
        <f t="shared" si="68"/>
        <v>0.35870541199745115</v>
      </c>
      <c r="CH148" s="88">
        <f t="shared" si="81"/>
        <v>0</v>
      </c>
      <c r="CI148" s="88">
        <f t="shared" si="69"/>
        <v>9296619.8399999999</v>
      </c>
      <c r="CJ148" s="742">
        <f t="shared" si="82"/>
        <v>0</v>
      </c>
      <c r="CK148" s="848">
        <f t="shared" si="70"/>
        <v>10296619.84</v>
      </c>
      <c r="CL148" s="88">
        <f t="shared" si="71"/>
        <v>0</v>
      </c>
    </row>
    <row r="149" spans="1:90" ht="17.25" customHeight="1">
      <c r="A149" s="57" t="s">
        <v>697</v>
      </c>
      <c r="B149" s="57" t="s">
        <v>295</v>
      </c>
      <c r="C149" s="57" t="s">
        <v>126</v>
      </c>
      <c r="D149" s="57" t="s">
        <v>150</v>
      </c>
      <c r="E149" s="57" t="s">
        <v>145</v>
      </c>
      <c r="F149" s="57"/>
      <c r="G149" s="57" t="str">
        <f t="shared" si="79"/>
        <v>Yes</v>
      </c>
      <c r="H149" s="57" t="str">
        <f t="shared" si="79"/>
        <v>Yes</v>
      </c>
      <c r="I149" s="57" t="str">
        <f t="shared" si="76"/>
        <v>No</v>
      </c>
      <c r="J149" s="57" t="str">
        <f t="shared" si="77"/>
        <v>No</v>
      </c>
      <c r="K149" s="57" t="str">
        <f t="shared" si="78"/>
        <v>Yes</v>
      </c>
      <c r="L149" s="62" t="s">
        <v>541</v>
      </c>
      <c r="M149" s="55" t="s">
        <v>544</v>
      </c>
      <c r="N149" s="136" t="s">
        <v>544</v>
      </c>
      <c r="O149" s="57" t="s">
        <v>544</v>
      </c>
      <c r="P149" s="57" t="s">
        <v>546</v>
      </c>
      <c r="Q149" s="57" t="s">
        <v>541</v>
      </c>
      <c r="R149" s="57"/>
      <c r="S149" s="956">
        <v>6603048821.7575006</v>
      </c>
      <c r="T149" s="55" t="s">
        <v>395</v>
      </c>
      <c r="U149" s="64" t="str">
        <f>IFERROR(IF(VLOOKUP(A149,'WB projects data'!$A$5:$C$83,3,0)="Approved",(VLOOKUP(A149,'WB projects data'!$A$5:$C$83,3,0)),""),"")</f>
        <v/>
      </c>
      <c r="V149" s="123" t="str">
        <f t="shared" si="65"/>
        <v/>
      </c>
      <c r="W149" s="123" t="str">
        <f>IFERROR((VLOOKUP($A149,'WB projects data'!$A$5:$J$83,6,0)*1000000),"")</f>
        <v/>
      </c>
      <c r="X149" s="123" t="str">
        <f>IFERROR((VLOOKUP($A149,'WB projects data'!$A$5:$J$83,7,0)*1000000),"")</f>
        <v/>
      </c>
      <c r="Y149" s="123" t="str">
        <f>IFERROR((VLOOKUP($A149,'WB projects data'!$A$5:$J$83,8,0)*1000000),"")</f>
        <v/>
      </c>
      <c r="Z149" s="123" t="str">
        <f>IFERROR((VLOOKUP($A149,'WB projects data'!$A$5:$J$83,9,0)*1000000),"")</f>
        <v/>
      </c>
      <c r="AA149" s="123" t="str">
        <f>IFERROR((VLOOKUP($A149,'WB projects data'!$A$5:$J$83,10,0)*1000000),"")</f>
        <v/>
      </c>
      <c r="AB149" s="57" t="s">
        <v>541</v>
      </c>
      <c r="AC149" s="110"/>
      <c r="AD149" s="110" t="str">
        <f>IFERROR(VLOOKUP(A149,'ADB Projects'!$A$4:$W$21,5,FALSE),"")</f>
        <v/>
      </c>
      <c r="AE149" s="132" t="str">
        <f>IF(AC149="Approved",(VLOOKUP($A149,'ADB Projects'!$A$5:$D$21,4,0)*1000000),"")</f>
        <v/>
      </c>
      <c r="AF149" s="585" t="str">
        <f>IF(AC149="Approved",(PRODUCT(VLOOKUP($A149,'ADB Projects'!$A$4:$W$21,6,FALSE),1000000)),"")</f>
        <v/>
      </c>
      <c r="AG149" s="585" t="str">
        <f>IF(AC149="Approved",(PRODUCT(VLOOKUP($A149,'ADB Projects'!$A$4:$W$21,7,FALSE),1000000)),"")</f>
        <v/>
      </c>
      <c r="AH149" s="585" t="str">
        <f>IF(AC149="Approved",(PRODUCT(VLOOKUP($A149,'ADB Projects'!$A$4:$W$21,8,FALSE),1000000)),"")</f>
        <v/>
      </c>
      <c r="AI149" s="55"/>
      <c r="AJ149" s="55"/>
      <c r="AK149" s="244"/>
      <c r="AL149" s="55"/>
      <c r="AM149" s="55"/>
      <c r="AN149" s="55"/>
      <c r="AO149" s="55"/>
      <c r="AP149" s="55"/>
      <c r="AQ149" s="602" t="str">
        <f t="shared" si="66"/>
        <v/>
      </c>
      <c r="AR149" s="602" t="str">
        <f>IFERROR(VLOOKUP($A149,'IDB C19 Vaccine Projects'!$O$4:$Q$12,2,FALSE),"")</f>
        <v/>
      </c>
      <c r="AS149" s="602" t="str">
        <f>IFERROR(VLOOKUP($A149,'IDB C19 Vaccine Projects'!$O$4:$Q$12,3,FALSE),"")</f>
        <v/>
      </c>
      <c r="AT149" s="55" t="s">
        <v>541</v>
      </c>
      <c r="AU149" s="88">
        <v>500000</v>
      </c>
      <c r="AV149" s="55"/>
      <c r="AW149" s="55"/>
      <c r="AX149" s="88">
        <f>INDEX(USAID!$C$3:$C$151,MATCH('Matrix Allocations'!A149,USAID!$A$3:$A$151,0))</f>
        <v>2037000</v>
      </c>
      <c r="AY149" s="110">
        <v>1690799</v>
      </c>
      <c r="AZ149" s="88">
        <f>IFERROR(INDEX('[4]Vx All regions allocations'!O$10:O$144,MATCH(A149,'[4]Vx All regions allocations'!A$10:A$144,0)),"")</f>
        <v>1000000</v>
      </c>
      <c r="BA149" s="88">
        <v>100000</v>
      </c>
      <c r="BB149" s="88">
        <v>95000</v>
      </c>
      <c r="BC149" s="88">
        <f>IFERROR(INDEX(DFAT!$K$4:$K$21,MATCH('Matrix Allocations'!A149,DFAT!$B$4:$B$21,0)),"")</f>
        <v>10290519</v>
      </c>
      <c r="BD149" s="88"/>
      <c r="BE149" s="826" t="str">
        <f>IFERROR(IF(INDEX('GAVI CCE'!$E$3:$E$95,MATCH('Matrix Allocations'!A149,'GAVI CCE'!$A$3:$A$95,0))="Yes",INDEX('GAVI CCE'!$E$3:$E$95,MATCH('Matrix Allocations'!A149,'GAVI CCE'!$A$3:$A$95,0)),""),"")</f>
        <v>Yes</v>
      </c>
      <c r="BF149" s="88">
        <f>IFERROR(IF(BE149="Yes",INDEX('GAVI CCE'!$F$3:$F$95,MATCH('Matrix Allocations'!A149,'GAVI CCE'!$A$3:$A$95,0)),""),"")</f>
        <v>1230395</v>
      </c>
      <c r="BG149" s="609" t="str">
        <f>IFERROR(IF(E149='CDS early access ceilings'!$A$94,(VLOOKUP(A149,'CDS early access ceilings'!$A$2:$D$92,4,FALSE)),""),"")</f>
        <v>GAVI</v>
      </c>
      <c r="BH149" s="639" t="str">
        <f>IFERROR(INDEX(Table14[Status (clean)],MATCH('Matrix Allocations'!A149,Table14[ISO Code],0)),"")</f>
        <v>Disbursed</v>
      </c>
      <c r="BI149" s="641">
        <f>IFERROR(INDEX(Table14[Amount disbursed (USD)],MATCH('Matrix Allocations'!A149,Table14[ISO Code],0)),"")</f>
        <v>1172197</v>
      </c>
      <c r="BJ149" s="641" t="str">
        <f>IFERROR(INDEX('CDS NBW'!$I$2:$I$39,MATCH(A149,'CDS NBW'!$A$2:$A$39,0)),"")</f>
        <v/>
      </c>
      <c r="BK149" s="641" t="str">
        <f>IFERROR(INDEX('CDS NBW'!$J$2:$J$39,MATCH(A149,'CDS NBW'!$A$2:$A$39,0)),"")</f>
        <v/>
      </c>
      <c r="BL149" s="609"/>
      <c r="BM149" s="609"/>
      <c r="BN149" s="609"/>
      <c r="BO149" s="609"/>
      <c r="BP149" s="609">
        <f>IFERROR(INDEX('UNICEF-BMZ'!$O$1:$O$199,MATCH('Matrix Allocations'!A149,'UNICEF-BMZ'!$B$1:$B$199,0)),"")</f>
        <v>70000</v>
      </c>
      <c r="BQ149" s="609" t="str">
        <f>IFERROR(VLOOKUP(A149,'BMGF_clean data'!$A$4:$C$30,3,FALSE),"")</f>
        <v/>
      </c>
      <c r="BR149" s="609"/>
      <c r="BS149" s="609"/>
      <c r="BT149" s="609"/>
      <c r="BU149" s="609"/>
      <c r="BV149" s="609"/>
      <c r="BW149" s="87">
        <f>INDEX(USAID!$D$3:$D$151,MATCH('Matrix Allocations'!A149,USAID!$A$3:$A$151,0))</f>
        <v>0</v>
      </c>
      <c r="BX149" s="87">
        <f>IFERROR(INDEX(DFAT!$L$4:$L$21,MATCH('Matrix Allocations'!A149,DFAT!$B$4:$B$21,0)),"")</f>
        <v>6164384</v>
      </c>
      <c r="BY149" s="87">
        <f>IFERROR(INDEX(Table14[Funds Channelled through UNICEF],MATCH('Matrix Allocations'!A149,Table14[ISO Code],0)),"")</f>
        <v>822197</v>
      </c>
      <c r="BZ149" s="87">
        <f t="shared" si="64"/>
        <v>822197</v>
      </c>
      <c r="CA149">
        <f t="shared" si="80"/>
        <v>98168829</v>
      </c>
      <c r="CB149" s="782">
        <f t="shared" si="72"/>
        <v>29450648.699999999</v>
      </c>
      <c r="CC149" s="791">
        <f t="shared" si="67"/>
        <v>18185910</v>
      </c>
      <c r="CD149" s="788">
        <f t="shared" si="73"/>
        <v>0.61750456450896452</v>
      </c>
      <c r="CE149" s="788">
        <f t="shared" si="74"/>
        <v>0.46312842338172333</v>
      </c>
      <c r="CF149" s="828">
        <f t="shared" si="75"/>
        <v>0.26464481336098478</v>
      </c>
      <c r="CG149" s="828">
        <f t="shared" si="68"/>
        <v>0.18525136935268932</v>
      </c>
      <c r="CH149" s="88">
        <f t="shared" si="81"/>
        <v>0</v>
      </c>
      <c r="CI149" s="88">
        <f t="shared" si="69"/>
        <v>14018318</v>
      </c>
      <c r="CJ149" s="742">
        <f t="shared" si="82"/>
        <v>0</v>
      </c>
      <c r="CK149" s="848">
        <f t="shared" si="70"/>
        <v>9677380</v>
      </c>
      <c r="CL149" s="88">
        <f t="shared" si="71"/>
        <v>3167592</v>
      </c>
    </row>
    <row r="150" spans="1:90" ht="17.25" customHeight="1">
      <c r="A150" s="57" t="s">
        <v>698</v>
      </c>
      <c r="B150" s="57" t="s">
        <v>296</v>
      </c>
      <c r="C150" s="57" t="s">
        <v>131</v>
      </c>
      <c r="D150" s="57" t="s">
        <v>148</v>
      </c>
      <c r="E150" s="57" t="s">
        <v>145</v>
      </c>
      <c r="F150" s="57">
        <v>1</v>
      </c>
      <c r="G150" s="57" t="str">
        <f t="shared" si="79"/>
        <v>No</v>
      </c>
      <c r="H150" s="57" t="str">
        <f t="shared" si="79"/>
        <v>No</v>
      </c>
      <c r="I150" s="57" t="str">
        <f t="shared" si="76"/>
        <v>No</v>
      </c>
      <c r="J150" s="57" t="str">
        <f t="shared" si="77"/>
        <v>Yes</v>
      </c>
      <c r="K150" s="57" t="str">
        <f t="shared" si="78"/>
        <v>No</v>
      </c>
      <c r="L150" s="62" t="s">
        <v>541</v>
      </c>
      <c r="M150" s="55" t="s">
        <v>544</v>
      </c>
      <c r="N150" s="136" t="s">
        <v>541</v>
      </c>
      <c r="O150" s="57" t="s">
        <v>541</v>
      </c>
      <c r="P150" s="57" t="s">
        <v>548</v>
      </c>
      <c r="Q150" s="57"/>
      <c r="R150" s="57"/>
      <c r="S150" s="956" t="s">
        <v>575</v>
      </c>
      <c r="T150" s="55" t="s">
        <v>394</v>
      </c>
      <c r="U150" s="64" t="str">
        <f>IFERROR(IF(VLOOKUP(A150,'WB projects data'!$A$5:$C$83,3,0)="Approved",(VLOOKUP(A150,'WB projects data'!$A$5:$C$83,3,0)),""),"")</f>
        <v>Approved</v>
      </c>
      <c r="V150" s="123">
        <f t="shared" si="65"/>
        <v>20000000</v>
      </c>
      <c r="W150" s="123">
        <f>IFERROR((VLOOKUP($A150,'WB projects data'!$A$5:$J$83,6,0)*1000000),"")</f>
        <v>0</v>
      </c>
      <c r="X150" s="123">
        <f>IFERROR((VLOOKUP($A150,'WB projects data'!$A$5:$J$83,7,0)*1000000),"")</f>
        <v>20000000</v>
      </c>
      <c r="Y150" s="123">
        <f>IFERROR((VLOOKUP($A150,'WB projects data'!$A$5:$J$83,8,0)*1000000),"")</f>
        <v>0</v>
      </c>
      <c r="Z150" s="123">
        <f>IFERROR((VLOOKUP($A150,'WB projects data'!$A$5:$J$83,9,0)*1000000),"")</f>
        <v>17800000</v>
      </c>
      <c r="AA150" s="123">
        <f>IFERROR((VLOOKUP($A150,'WB projects data'!$A$5:$J$83,10,0)*1000000),"")</f>
        <v>2300000</v>
      </c>
      <c r="AB150" s="57"/>
      <c r="AC150" s="110"/>
      <c r="AD150" s="110" t="str">
        <f>IFERROR(VLOOKUP(A150,'ADB Projects'!$A$4:$W$21,5,FALSE),"")</f>
        <v/>
      </c>
      <c r="AE150" s="132" t="str">
        <f>IF(AC150="Approved",(VLOOKUP($A150,'ADB Projects'!$A$5:$D$21,4,0)*1000000),"")</f>
        <v/>
      </c>
      <c r="AF150" s="585" t="str">
        <f>IF(AC150="Approved",(PRODUCT(VLOOKUP($A150,'ADB Projects'!$A$4:$W$21,6,FALSE),1000000)),"")</f>
        <v/>
      </c>
      <c r="AG150" s="585" t="str">
        <f>IF(AC150="Approved",(PRODUCT(VLOOKUP($A150,'ADB Projects'!$A$4:$W$21,7,FALSE),1000000)),"")</f>
        <v/>
      </c>
      <c r="AH150" s="585" t="str">
        <f>IF(AC150="Approved",(PRODUCT(VLOOKUP($A150,'ADB Projects'!$A$4:$W$21,8,FALSE),1000000)),"")</f>
        <v/>
      </c>
      <c r="AI150" s="55" t="s">
        <v>541</v>
      </c>
      <c r="AJ150" s="55"/>
      <c r="AK150" s="244"/>
      <c r="AL150" s="55"/>
      <c r="AM150" s="55"/>
      <c r="AN150" s="55"/>
      <c r="AO150" s="55"/>
      <c r="AP150" s="55"/>
      <c r="AQ150" s="602" t="str">
        <f t="shared" si="66"/>
        <v/>
      </c>
      <c r="AR150" s="602" t="str">
        <f>IFERROR(VLOOKUP($A150,'IDB C19 Vaccine Projects'!$O$4:$Q$12,2,FALSE),"")</f>
        <v/>
      </c>
      <c r="AS150" s="602" t="str">
        <f>IFERROR(VLOOKUP($A150,'IDB C19 Vaccine Projects'!$O$4:$Q$12,3,FALSE),"")</f>
        <v/>
      </c>
      <c r="AT150" s="55"/>
      <c r="AU150" s="88"/>
      <c r="AV150" s="55"/>
      <c r="AW150" s="55"/>
      <c r="AX150" s="88">
        <f>INDEX(USAID!$C$3:$C$151,MATCH('Matrix Allocations'!A150,USAID!$A$3:$A$151,0))</f>
        <v>2878000</v>
      </c>
      <c r="AY150" s="110"/>
      <c r="AZ150" s="88">
        <f>IFERROR(INDEX('[4]Vx All regions allocations'!O$10:O$144,MATCH(A150,'[4]Vx All regions allocations'!A$10:A$144,0)),"")</f>
        <v>5929249</v>
      </c>
      <c r="BA150" s="88">
        <v>516199.99999999994</v>
      </c>
      <c r="BB150" s="88">
        <v>493313.16</v>
      </c>
      <c r="BC150" s="88" t="str">
        <f>IFERROR(INDEX(DFAT!$K$4:$K$21,MATCH('Matrix Allocations'!A150,DFAT!$B$4:$B$21,0)),"")</f>
        <v/>
      </c>
      <c r="BD150" s="88"/>
      <c r="BE150" s="826" t="str">
        <f>IFERROR(IF(INDEX('GAVI CCE'!$E$3:$E$95,MATCH('Matrix Allocations'!A150,'GAVI CCE'!$A$3:$A$95,0))="Yes",INDEX('GAVI CCE'!$E$3:$E$95,MATCH('Matrix Allocations'!A150,'GAVI CCE'!$A$3:$A$95,0)),""),"")</f>
        <v>Yes</v>
      </c>
      <c r="BF150" s="88">
        <f>IFERROR(IF(BE150="Yes",INDEX('GAVI CCE'!$F$3:$F$95,MATCH('Matrix Allocations'!A150,'GAVI CCE'!$A$3:$A$95,0)),""),"")</f>
        <v>738190</v>
      </c>
      <c r="BG150" s="609" t="str">
        <f>IFERROR(IF(E150='CDS early access ceilings'!$A$94,(VLOOKUP(A150,'CDS early access ceilings'!$A$2:$D$92,4,FALSE)),""),"")</f>
        <v>GAVI</v>
      </c>
      <c r="BH150" s="639" t="str">
        <f>IFERROR(INDEX(Table14[Status (clean)],MATCH('Matrix Allocations'!A150,Table14[ISO Code],0)),"")</f>
        <v>Disbursed</v>
      </c>
      <c r="BI150" s="641">
        <f>IFERROR(INDEX(Table14[Amount disbursed (USD)],MATCH('Matrix Allocations'!A150,Table14[ISO Code],0)),"")</f>
        <v>4283508</v>
      </c>
      <c r="BJ150" s="641" t="str">
        <f>IFERROR(INDEX('CDS NBW'!$I$2:$I$39,MATCH(A150,'CDS NBW'!$A$2:$A$39,0)),"")</f>
        <v/>
      </c>
      <c r="BK150" s="641" t="str">
        <f>IFERROR(INDEX('CDS NBW'!$J$2:$J$39,MATCH(A150,'CDS NBW'!$A$2:$A$39,0)),"")</f>
        <v/>
      </c>
      <c r="BL150" s="609"/>
      <c r="BM150" s="609"/>
      <c r="BN150" s="609"/>
      <c r="BO150" s="609">
        <v>126204</v>
      </c>
      <c r="BP150" s="609">
        <f>IFERROR(INDEX('UNICEF-BMZ'!$O$1:$O$199,MATCH('Matrix Allocations'!A150,'UNICEF-BMZ'!$B$1:$B$199,0)),"")</f>
        <v>1953750</v>
      </c>
      <c r="BQ150" s="609" t="str">
        <f>IFERROR(VLOOKUP(A150,'BMGF_clean data'!$A$4:$C$30,3,FALSE),"")</f>
        <v/>
      </c>
      <c r="BR150" s="609"/>
      <c r="BS150" s="609"/>
      <c r="BT150" s="609"/>
      <c r="BU150" s="609"/>
      <c r="BV150" s="609"/>
      <c r="BW150" s="87">
        <f>INDEX(USAID!$D$3:$D$151,MATCH('Matrix Allocations'!A150,USAID!$A$3:$A$151,0))</f>
        <v>1400000</v>
      </c>
      <c r="BX150" s="87" t="str">
        <f>IFERROR(INDEX(DFAT!$L$4:$L$21,MATCH('Matrix Allocations'!A150,DFAT!$B$4:$B$21,0)),"")</f>
        <v/>
      </c>
      <c r="BY150" s="87">
        <f>IFERROR(INDEX(Table14[Funds Channelled through UNICEF],MATCH('Matrix Allocations'!A150,Table14[ISO Code],0)),"")</f>
        <v>1043077</v>
      </c>
      <c r="BZ150" s="87">
        <f t="shared" si="64"/>
        <v>1043077</v>
      </c>
      <c r="CA150">
        <f t="shared" si="80"/>
        <v>30490639</v>
      </c>
      <c r="CB150" s="782">
        <f t="shared" si="72"/>
        <v>9147191.6999999993</v>
      </c>
      <c r="CC150" s="791">
        <f t="shared" si="67"/>
        <v>34718414.159999996</v>
      </c>
      <c r="CD150" s="788">
        <f t="shared" si="73"/>
        <v>3.7955271189954396</v>
      </c>
      <c r="CE150" s="788">
        <f t="shared" si="74"/>
        <v>2.8466453392465794</v>
      </c>
      <c r="CF150" s="828">
        <f t="shared" si="75"/>
        <v>1.6266544795694744</v>
      </c>
      <c r="CG150" s="828">
        <f t="shared" si="68"/>
        <v>1.1386581356986318</v>
      </c>
      <c r="CH150" s="88">
        <f t="shared" si="81"/>
        <v>17800000</v>
      </c>
      <c r="CI150" s="88">
        <f t="shared" si="69"/>
        <v>2878000</v>
      </c>
      <c r="CJ150" s="742">
        <f t="shared" si="82"/>
        <v>126204</v>
      </c>
      <c r="CK150" s="848">
        <f t="shared" si="70"/>
        <v>8498530</v>
      </c>
      <c r="CL150" s="88">
        <f t="shared" si="71"/>
        <v>7984961.1600000001</v>
      </c>
    </row>
    <row r="151" spans="1:90" ht="17.25" customHeight="1">
      <c r="A151" s="61" t="s">
        <v>699</v>
      </c>
      <c r="B151" s="61" t="s">
        <v>297</v>
      </c>
      <c r="C151" s="61" t="s">
        <v>128</v>
      </c>
      <c r="D151" s="61" t="s">
        <v>150</v>
      </c>
      <c r="E151" s="61" t="s">
        <v>145</v>
      </c>
      <c r="F151" s="61"/>
      <c r="G151" s="61" t="str">
        <f t="shared" si="79"/>
        <v>No</v>
      </c>
      <c r="H151" s="61" t="str">
        <f t="shared" si="79"/>
        <v>No</v>
      </c>
      <c r="I151" s="61" t="str">
        <f t="shared" si="76"/>
        <v>No</v>
      </c>
      <c r="J151" s="61" t="str">
        <f t="shared" si="77"/>
        <v>Yes</v>
      </c>
      <c r="K151" s="61" t="str">
        <f t="shared" si="78"/>
        <v>No</v>
      </c>
      <c r="L151" s="89" t="s">
        <v>541</v>
      </c>
      <c r="M151" s="58" t="s">
        <v>544</v>
      </c>
      <c r="N151" s="60" t="s">
        <v>541</v>
      </c>
      <c r="O151" s="61" t="s">
        <v>541</v>
      </c>
      <c r="P151" s="61" t="s">
        <v>542</v>
      </c>
      <c r="Q151" s="61" t="s">
        <v>541</v>
      </c>
      <c r="R151" s="61"/>
      <c r="S151" s="956">
        <v>515352723.9821828</v>
      </c>
      <c r="T151" s="58" t="s">
        <v>394</v>
      </c>
      <c r="U151" s="64" t="str">
        <f>IFERROR(IF(VLOOKUP(A151,'WB projects data'!$A$5:$C$83,3,0)="Approved",(VLOOKUP(A151,'WB projects data'!$A$5:$C$83,3,0)),""),"")</f>
        <v>Approved</v>
      </c>
      <c r="V151" s="123">
        <f t="shared" si="65"/>
        <v>24000000</v>
      </c>
      <c r="W151" s="123">
        <f>IFERROR((VLOOKUP($A151,'WB projects data'!$A$5:$J$83,6,0)*1000000),"")</f>
        <v>10000000</v>
      </c>
      <c r="X151" s="123">
        <f>IFERROR((VLOOKUP($A151,'WB projects data'!$A$5:$J$83,7,0)*1000000),"")</f>
        <v>14000000</v>
      </c>
      <c r="Y151" s="123">
        <f>IFERROR((VLOOKUP($A151,'WB projects data'!$A$5:$J$83,8,0)*1000000),"")</f>
        <v>9200000</v>
      </c>
      <c r="Z151" s="123">
        <f>IFERROR((VLOOKUP($A151,'WB projects data'!$A$5:$J$83,9,0)*1000000),"")</f>
        <v>11800000</v>
      </c>
      <c r="AA151" s="123">
        <f>IFERROR((VLOOKUP($A151,'WB projects data'!$A$5:$J$83,10,0)*1000000),"")</f>
        <v>3000000</v>
      </c>
      <c r="AB151" s="61"/>
      <c r="AC151" s="110"/>
      <c r="AD151" s="110" t="str">
        <f>IFERROR(VLOOKUP(A151,'ADB Projects'!$A$4:$W$21,5,FALSE),"")</f>
        <v/>
      </c>
      <c r="AE151" s="132" t="str">
        <f>IF(AC151="Approved",(VLOOKUP($A151,'ADB Projects'!$A$5:$D$21,4,0)*1000000),"")</f>
        <v/>
      </c>
      <c r="AF151" s="585" t="str">
        <f>IF(AC151="Approved",(PRODUCT(VLOOKUP($A151,'ADB Projects'!$A$4:$W$21,6,FALSE),1000000)),"")</f>
        <v/>
      </c>
      <c r="AG151" s="585" t="str">
        <f>IF(AC151="Approved",(PRODUCT(VLOOKUP($A151,'ADB Projects'!$A$4:$W$21,7,FALSE),1000000)),"")</f>
        <v/>
      </c>
      <c r="AH151" s="585" t="str">
        <f>IF(AC151="Approved",(PRODUCT(VLOOKUP($A151,'ADB Projects'!$A$4:$W$21,8,FALSE),1000000)),"")</f>
        <v/>
      </c>
      <c r="AI151" s="148"/>
      <c r="AJ151" s="55"/>
      <c r="AK151" s="244"/>
      <c r="AL151" s="148" t="s">
        <v>541</v>
      </c>
      <c r="AM151" s="148"/>
      <c r="AN151" s="148"/>
      <c r="AO151" s="148"/>
      <c r="AP151" s="148"/>
      <c r="AQ151" s="602" t="str">
        <f t="shared" si="66"/>
        <v/>
      </c>
      <c r="AR151" s="602" t="str">
        <f>IFERROR(VLOOKUP($A151,'IDB C19 Vaccine Projects'!$O$4:$Q$12,2,FALSE),"")</f>
        <v/>
      </c>
      <c r="AS151" s="602" t="str">
        <f>IFERROR(VLOOKUP($A151,'IDB C19 Vaccine Projects'!$O$4:$Q$12,3,FALSE),"")</f>
        <v/>
      </c>
      <c r="AT151" s="55"/>
      <c r="AU151" s="88"/>
      <c r="AV151" s="55"/>
      <c r="AW151" s="55" t="s">
        <v>541</v>
      </c>
      <c r="AX151" s="88">
        <f>INDEX(USAID!$C$3:$C$151,MATCH('Matrix Allocations'!A151,USAID!$A$3:$A$151,0))</f>
        <v>3200000</v>
      </c>
      <c r="AY151" s="110">
        <v>1092669</v>
      </c>
      <c r="AZ151" s="88">
        <f>IFERROR(INDEX('[4]Vx All regions allocations'!O$10:O$144,MATCH(A151,'[4]Vx All regions allocations'!A$10:A$144,0)),"")</f>
        <v>1080000</v>
      </c>
      <c r="BA151" s="88">
        <v>113199.99999999999</v>
      </c>
      <c r="BB151" s="88">
        <v>74900</v>
      </c>
      <c r="BC151" s="88" t="str">
        <f>IFERROR(INDEX(DFAT!$K$4:$K$21,MATCH('Matrix Allocations'!A151,DFAT!$B$4:$B$21,0)),"")</f>
        <v/>
      </c>
      <c r="BD151" s="88"/>
      <c r="BE151" s="826" t="str">
        <f>IFERROR(IF(INDEX('GAVI CCE'!$E$3:$E$95,MATCH('Matrix Allocations'!A151,'GAVI CCE'!$A$3:$A$95,0))="Yes",INDEX('GAVI CCE'!$E$3:$E$95,MATCH('Matrix Allocations'!A151,'GAVI CCE'!$A$3:$A$95,0)),""),"")</f>
        <v>Yes</v>
      </c>
      <c r="BF151" s="88">
        <f>IFERROR(IF(BE151="Yes",INDEX('GAVI CCE'!$F$3:$F$95,MATCH('Matrix Allocations'!A151,'GAVI CCE'!$A$3:$A$95,0)),""),"")</f>
        <v>520291</v>
      </c>
      <c r="BG151" s="609" t="str">
        <f>IFERROR(IF(E151='CDS early access ceilings'!$A$94,(VLOOKUP(A151,'CDS early access ceilings'!$A$2:$D$92,4,FALSE)),""),"")</f>
        <v>GAVI</v>
      </c>
      <c r="BH151" s="639" t="str">
        <f>IFERROR(INDEX(Table14[Status (clean)],MATCH('Matrix Allocations'!A151,Table14[ISO Code],0)),"")</f>
        <v>Disbursed</v>
      </c>
      <c r="BI151" s="641">
        <f>IFERROR(INDEX(Table14[Amount disbursed (USD)],MATCH('Matrix Allocations'!A151,Table14[ISO Code],0)),"")</f>
        <v>1920838</v>
      </c>
      <c r="BJ151" s="641" t="str">
        <f>IFERROR(INDEX('CDS NBW'!$I$2:$I$39,MATCH(A151,'CDS NBW'!$A$2:$A$39,0)),"")</f>
        <v/>
      </c>
      <c r="BK151" s="641" t="str">
        <f>IFERROR(INDEX('CDS NBW'!$J$2:$J$39,MATCH(A151,'CDS NBW'!$A$2:$A$39,0)),"")</f>
        <v/>
      </c>
      <c r="BL151" s="609"/>
      <c r="BM151" s="609"/>
      <c r="BN151" s="609"/>
      <c r="BO151" s="609">
        <v>148853</v>
      </c>
      <c r="BP151" s="609">
        <f>IFERROR(INDEX('UNICEF-BMZ'!$O$1:$O$199,MATCH('Matrix Allocations'!A151,'UNICEF-BMZ'!$B$1:$B$199,0)),"")</f>
        <v>265000</v>
      </c>
      <c r="BQ151" s="609" t="str">
        <f>IFERROR(VLOOKUP(A151,'BMGF_clean data'!$A$4:$C$30,3,FALSE),"")</f>
        <v/>
      </c>
      <c r="BR151" s="609"/>
      <c r="BS151" s="609"/>
      <c r="BT151" s="609"/>
      <c r="BU151" s="609"/>
      <c r="BV151" s="609"/>
      <c r="BW151" s="87">
        <f>INDEX(USAID!$D$3:$D$151,MATCH('Matrix Allocations'!A151,USAID!$A$3:$A$151,0))</f>
        <v>1250000</v>
      </c>
      <c r="BX151" s="87" t="str">
        <f>IFERROR(INDEX(DFAT!$L$4:$L$21,MATCH('Matrix Allocations'!A151,DFAT!$B$4:$B$21,0)),"")</f>
        <v/>
      </c>
      <c r="BY151" s="87">
        <f>IFERROR(INDEX(Table14[Funds Channelled through UNICEF],MATCH('Matrix Allocations'!A151,Table14[ISO Code],0)),"")</f>
        <v>637595</v>
      </c>
      <c r="BZ151" s="87">
        <f t="shared" si="64"/>
        <v>637595</v>
      </c>
      <c r="CA151">
        <f t="shared" si="80"/>
        <v>18920657</v>
      </c>
      <c r="CB151" s="782">
        <f t="shared" si="72"/>
        <v>5676197.0999999996</v>
      </c>
      <c r="CC151" s="791">
        <f t="shared" si="67"/>
        <v>20215751</v>
      </c>
      <c r="CD151" s="788">
        <f t="shared" si="73"/>
        <v>3.5614956006372651</v>
      </c>
      <c r="CE151" s="788">
        <f t="shared" si="74"/>
        <v>2.6711217004779484</v>
      </c>
      <c r="CF151" s="828">
        <f t="shared" si="75"/>
        <v>1.5263552574159707</v>
      </c>
      <c r="CG151" s="828">
        <f t="shared" si="68"/>
        <v>1.0684486801911794</v>
      </c>
      <c r="CH151" s="88">
        <f t="shared" si="81"/>
        <v>11800000</v>
      </c>
      <c r="CI151" s="88">
        <f t="shared" si="69"/>
        <v>4292669</v>
      </c>
      <c r="CJ151" s="742">
        <f t="shared" si="82"/>
        <v>148853</v>
      </c>
      <c r="CK151" s="848">
        <f t="shared" si="70"/>
        <v>4209117</v>
      </c>
      <c r="CL151" s="88">
        <f t="shared" si="71"/>
        <v>2894229</v>
      </c>
    </row>
    <row r="152" spans="1:90" ht="16" thickBot="1">
      <c r="A152" s="55" t="s">
        <v>700</v>
      </c>
      <c r="B152" s="55" t="s">
        <v>298</v>
      </c>
      <c r="C152" s="55" t="s">
        <v>128</v>
      </c>
      <c r="D152" s="55" t="s">
        <v>150</v>
      </c>
      <c r="E152" s="55" t="s">
        <v>145</v>
      </c>
      <c r="F152" s="55"/>
      <c r="G152" s="55" t="str">
        <f t="shared" si="79"/>
        <v>No</v>
      </c>
      <c r="H152" s="55" t="str">
        <f t="shared" si="79"/>
        <v>No</v>
      </c>
      <c r="I152" s="55" t="str">
        <f t="shared" si="76"/>
        <v>Yes</v>
      </c>
      <c r="J152" s="55" t="str">
        <f t="shared" si="77"/>
        <v>Yes</v>
      </c>
      <c r="K152" s="55" t="str">
        <f t="shared" si="78"/>
        <v>No</v>
      </c>
      <c r="L152" s="55" t="s">
        <v>541</v>
      </c>
      <c r="M152" s="55" t="s">
        <v>544</v>
      </c>
      <c r="N152" s="134" t="s">
        <v>544</v>
      </c>
      <c r="O152" s="55" t="s">
        <v>544</v>
      </c>
      <c r="P152" s="55" t="s">
        <v>546</v>
      </c>
      <c r="Q152" s="55"/>
      <c r="R152" s="55"/>
      <c r="S152" s="956">
        <v>566711742.22428358</v>
      </c>
      <c r="T152" s="55" t="s">
        <v>396</v>
      </c>
      <c r="U152" s="64" t="str">
        <f>IFERROR(IF(VLOOKUP(A152,'WB projects data'!$A$5:$C$83,3,0)="Approved",(VLOOKUP(A152,'WB projects data'!$A$5:$C$83,3,0)),""),"")</f>
        <v/>
      </c>
      <c r="V152" s="123">
        <f t="shared" si="65"/>
        <v>0</v>
      </c>
      <c r="W152" s="123">
        <f>IFERROR((VLOOKUP($A152,'WB projects data'!$A$5:$J$83,6,0)*1000000),"")</f>
        <v>0</v>
      </c>
      <c r="X152" s="123">
        <f>IFERROR((VLOOKUP($A152,'WB projects data'!$A$5:$J$83,7,0)*1000000),"")</f>
        <v>0</v>
      </c>
      <c r="Y152" s="123">
        <f>IFERROR((VLOOKUP($A152,'WB projects data'!$A$5:$J$83,8,0)*1000000),"")</f>
        <v>0</v>
      </c>
      <c r="Z152" s="123">
        <f>IFERROR((VLOOKUP($A152,'WB projects data'!$A$5:$J$83,9,0)*1000000),"")</f>
        <v>0</v>
      </c>
      <c r="AA152" s="123">
        <f>IFERROR((VLOOKUP($A152,'WB projects data'!$A$5:$J$83,10,0)*1000000),"")</f>
        <v>0</v>
      </c>
      <c r="AB152" s="55"/>
      <c r="AC152" s="110"/>
      <c r="AD152" s="110" t="str">
        <f>IFERROR(VLOOKUP(A152,'ADB Projects'!$A$4:$W$21,5,FALSE),"")</f>
        <v/>
      </c>
      <c r="AE152" s="132" t="str">
        <f>IF(AC152="Approved",(VLOOKUP($A152,'ADB Projects'!$A$5:$D$21,4,0)*1000000),"")</f>
        <v/>
      </c>
      <c r="AF152" s="585" t="str">
        <f>IF(AC152="Approved",(PRODUCT(VLOOKUP($A152,'ADB Projects'!$A$4:$W$21,6,FALSE),1000000)),"")</f>
        <v/>
      </c>
      <c r="AG152" s="585" t="str">
        <f>IF(AC152="Approved",(PRODUCT(VLOOKUP($A152,'ADB Projects'!$A$4:$W$21,7,FALSE),1000000)),"")</f>
        <v/>
      </c>
      <c r="AH152" s="585" t="str">
        <f>IF(AC152="Approved",(PRODUCT(VLOOKUP($A152,'ADB Projects'!$A$4:$W$21,8,FALSE),1000000)),"")</f>
        <v/>
      </c>
      <c r="AI152" s="148"/>
      <c r="AJ152" s="55"/>
      <c r="AK152" s="244"/>
      <c r="AL152" s="148" t="s">
        <v>541</v>
      </c>
      <c r="AM152" s="148"/>
      <c r="AN152" s="148"/>
      <c r="AO152" s="148"/>
      <c r="AP152" s="148"/>
      <c r="AQ152" s="602" t="str">
        <f t="shared" si="66"/>
        <v/>
      </c>
      <c r="AR152" s="602" t="str">
        <f>IFERROR(VLOOKUP($A152,'IDB C19 Vaccine Projects'!$O$4:$Q$12,2,FALSE),"")</f>
        <v/>
      </c>
      <c r="AS152" s="602" t="str">
        <f>IFERROR(VLOOKUP($A152,'IDB C19 Vaccine Projects'!$O$4:$Q$12,3,FALSE),"")</f>
        <v/>
      </c>
      <c r="AT152" s="55"/>
      <c r="AU152" s="88"/>
      <c r="AV152" s="55"/>
      <c r="AW152" s="55" t="s">
        <v>541</v>
      </c>
      <c r="AX152" s="88">
        <f>INDEX(USAID!$C$3:$C$151,MATCH('Matrix Allocations'!A152,USAID!$A$3:$A$151,0))</f>
        <v>2500000</v>
      </c>
      <c r="AY152" s="110">
        <v>610791</v>
      </c>
      <c r="AZ152" s="88">
        <f>IFERROR(INDEX('[4]Vx All regions allocations'!O$10:O$144,MATCH(A152,'[4]Vx All regions allocations'!A$10:A$144,0)),"")</f>
        <v>315226</v>
      </c>
      <c r="BA152" s="88">
        <v>387250</v>
      </c>
      <c r="BB152" s="88">
        <v>345203</v>
      </c>
      <c r="BC152" s="88" t="str">
        <f>IFERROR(INDEX(DFAT!$K$4:$K$21,MATCH('Matrix Allocations'!A152,DFAT!$B$4:$B$21,0)),"")</f>
        <v/>
      </c>
      <c r="BD152" s="88"/>
      <c r="BE152" s="826" t="str">
        <f>IFERROR(IF(INDEX('GAVI CCE'!$E$3:$E$95,MATCH('Matrix Allocations'!A152,'GAVI CCE'!$A$3:$A$95,0))="Yes",INDEX('GAVI CCE'!$E$3:$E$95,MATCH('Matrix Allocations'!A152,'GAVI CCE'!$A$3:$A$95,0)),""),"")</f>
        <v>Yes</v>
      </c>
      <c r="BF152" s="88" t="str">
        <f>IFERROR(IF(BE152="Yes",INDEX('GAVI CCE'!$F$3:$F$95,MATCH('Matrix Allocations'!A152,'GAVI CCE'!$A$3:$A$95,0)),""),"")</f>
        <v xml:space="preserve"> $-   </v>
      </c>
      <c r="BG152" s="609" t="str">
        <f>IFERROR(IF(E152='CDS early access ceilings'!$A$94,(VLOOKUP(A152,'CDS early access ceilings'!$A$2:$D$92,4,FALSE)),""),"")</f>
        <v>GAVI</v>
      </c>
      <c r="BH152" s="639" t="str">
        <f>IFERROR(INDEX(Table14[Status (clean)],MATCH('Matrix Allocations'!A152,Table14[ISO Code],0)),"")</f>
        <v>Disbursed</v>
      </c>
      <c r="BI152" s="641">
        <f>IFERROR(INDEX(Table14[Amount disbursed (USD)],MATCH('Matrix Allocations'!A152,Table14[ISO Code],0)),"")</f>
        <v>1388818</v>
      </c>
      <c r="BJ152" s="641" t="str">
        <f>IFERROR(INDEX('CDS NBW'!$I$2:$I$39,MATCH(A152,'CDS NBW'!$A$2:$A$39,0)),"")</f>
        <v/>
      </c>
      <c r="BK152" s="641" t="str">
        <f>IFERROR(INDEX('CDS NBW'!$J$2:$J$39,MATCH(A152,'CDS NBW'!$A$2:$A$39,0)),"")</f>
        <v/>
      </c>
      <c r="BL152" s="609"/>
      <c r="BM152" s="609"/>
      <c r="BN152" s="609"/>
      <c r="BO152" s="609"/>
      <c r="BP152" s="609">
        <f>IFERROR(INDEX('UNICEF-BMZ'!$O$1:$O$199,MATCH('Matrix Allocations'!A152,'UNICEF-BMZ'!$B$1:$B$199,0)),"")</f>
        <v>205000</v>
      </c>
      <c r="BQ152" s="609">
        <f>IFERROR(VLOOKUP(A152,'BMGF_clean data'!$A$4:$C$30,3,FALSE),"")</f>
        <v>100000</v>
      </c>
      <c r="BR152" s="609"/>
      <c r="BS152" s="609">
        <v>903950</v>
      </c>
      <c r="BT152" s="609"/>
      <c r="BU152" s="609"/>
      <c r="BV152" s="609"/>
      <c r="BW152" s="87">
        <f>INDEX(USAID!$D$3:$D$151,MATCH('Matrix Allocations'!A152,USAID!$A$3:$A$151,0))</f>
        <v>0</v>
      </c>
      <c r="BX152" s="87" t="str">
        <f>IFERROR(INDEX(DFAT!$L$4:$L$21,MATCH('Matrix Allocations'!A152,DFAT!$B$4:$B$21,0)),"")</f>
        <v/>
      </c>
      <c r="BY152" s="87">
        <f>IFERROR(INDEX(Table14[Funds Channelled through UNICEF],MATCH('Matrix Allocations'!A152,Table14[ISO Code],0)),"")</f>
        <v>1157210</v>
      </c>
      <c r="BZ152" s="87">
        <f t="shared" si="64"/>
        <v>1157210</v>
      </c>
      <c r="CA152">
        <f t="shared" si="80"/>
        <v>15092171</v>
      </c>
      <c r="CB152" s="783">
        <f t="shared" si="72"/>
        <v>4527651.3</v>
      </c>
      <c r="CC152" s="791">
        <f t="shared" si="67"/>
        <v>6756238</v>
      </c>
      <c r="CD152" s="788">
        <f t="shared" si="73"/>
        <v>1.4922169470073812</v>
      </c>
      <c r="CE152" s="788">
        <f t="shared" si="74"/>
        <v>1.1191627102555357</v>
      </c>
      <c r="CF152" s="828">
        <f t="shared" si="75"/>
        <v>0.63952154871744904</v>
      </c>
      <c r="CG152" s="828">
        <f t="shared" si="68"/>
        <v>0.44766508410221434</v>
      </c>
      <c r="CH152" s="88">
        <f t="shared" si="81"/>
        <v>0</v>
      </c>
      <c r="CI152" s="88">
        <f t="shared" si="69"/>
        <v>4014741</v>
      </c>
      <c r="CJ152" s="742">
        <f t="shared" si="82"/>
        <v>100000</v>
      </c>
      <c r="CK152" s="848">
        <f t="shared" si="70"/>
        <v>2987177</v>
      </c>
      <c r="CL152" s="88">
        <f t="shared" si="71"/>
        <v>2326271</v>
      </c>
    </row>
    <row r="153" spans="1:90">
      <c r="V153" s="238"/>
      <c r="W153" s="238"/>
      <c r="X153" s="238"/>
      <c r="Y153" s="238"/>
      <c r="Z153" s="238"/>
      <c r="AA153" s="238"/>
      <c r="AC153" s="239"/>
      <c r="AD153" s="239"/>
      <c r="AE153" s="240"/>
      <c r="AF153" s="240"/>
      <c r="AG153" s="240"/>
      <c r="AH153" s="240"/>
      <c r="AI153" s="241"/>
      <c r="AL153" s="241"/>
      <c r="AM153" s="241"/>
      <c r="AN153" s="241"/>
      <c r="AO153" s="241"/>
      <c r="AP153" s="241"/>
      <c r="AQ153" s="241"/>
      <c r="AR153" s="241"/>
      <c r="AS153" s="241"/>
      <c r="AX153" s="87"/>
      <c r="BE153" s="88"/>
      <c r="BI153" s="642"/>
      <c r="BJ153" s="642"/>
      <c r="BK153" s="642"/>
      <c r="BO153" s="87" t="s">
        <v>701</v>
      </c>
      <c r="BP153" s="609" t="str">
        <f>IFERROR(INDEX('UNICEF-BMZ'!$E$1:$E$191,MATCH('Matrix Allocations'!A153,'UNICEF-BMZ'!$A$1:$A$191,0)),"")</f>
        <v/>
      </c>
      <c r="BQ153" s="87" t="s">
        <v>702</v>
      </c>
    </row>
    <row r="154" spans="1:90">
      <c r="U154" s="53" t="s">
        <v>406</v>
      </c>
      <c r="V154" s="87">
        <f>SUMIF(U4:U152,U154,V4:V152)</f>
        <v>7484800000</v>
      </c>
      <c r="Y154" s="87">
        <f>SUM(Y4:Y152)</f>
        <v>4228950000</v>
      </c>
      <c r="Z154" s="87">
        <f>SUM(Z4:Z152)</f>
        <v>2038950000</v>
      </c>
      <c r="AC154" s="53" t="s">
        <v>406</v>
      </c>
      <c r="AE154" s="87">
        <f>SUMIF(AC4:AC152,AC154,AE4:AE152)</f>
        <v>3045880000</v>
      </c>
      <c r="AF154" s="87">
        <f>SUM(AF4:AF152)</f>
        <v>2843213076.9230766</v>
      </c>
      <c r="AG154" s="87">
        <f>SUM(AG4:AG152)</f>
        <v>67139230.769230768</v>
      </c>
      <c r="AH154" s="87">
        <f>SUM(AH4:AH152)</f>
        <v>135527692.30769229</v>
      </c>
      <c r="AK154" s="124">
        <f>SUM(AK4:AK152)</f>
        <v>305800000</v>
      </c>
      <c r="AN154" s="87">
        <f>SUM(AN4:AN152)</f>
        <v>0</v>
      </c>
      <c r="AO154" s="87"/>
      <c r="AP154" s="87"/>
      <c r="AQ154" s="87">
        <f>SUM(AQ4:AQ152)</f>
        <v>384956289</v>
      </c>
      <c r="AR154" s="87">
        <f>SUM(AR4:AR152)</f>
        <v>318011572</v>
      </c>
      <c r="AS154" s="87">
        <f>SUM(AS4:AS152)</f>
        <v>66944717</v>
      </c>
      <c r="AT154" s="87"/>
      <c r="AU154" s="87">
        <f>SUM(AU4:AU152)</f>
        <v>15860157</v>
      </c>
      <c r="AV154" s="87">
        <f>SUM(AV4:AV152)</f>
        <v>4158940</v>
      </c>
      <c r="AX154" s="87">
        <f t="shared" ref="AX154:BD154" si="83">SUM(AX4:AX152)</f>
        <v>311343081.30000001</v>
      </c>
      <c r="AY154" s="87">
        <f t="shared" si="83"/>
        <v>85517864</v>
      </c>
      <c r="AZ154" s="87">
        <f>SUM(AZ4:AZ152)</f>
        <v>123656364</v>
      </c>
      <c r="BA154" s="87">
        <f>SUM(BA4:BA152)</f>
        <v>20714260.074074075</v>
      </c>
      <c r="BB154" s="87">
        <f t="shared" si="83"/>
        <v>30349374.299999997</v>
      </c>
      <c r="BC154" s="87">
        <f t="shared" si="83"/>
        <v>30377330</v>
      </c>
      <c r="BD154" s="87">
        <f t="shared" si="83"/>
        <v>7277019</v>
      </c>
      <c r="BF154" s="87">
        <f>SUMIF(BE4:BE152, "Yes",BF4:BF152)</f>
        <v>49783726</v>
      </c>
      <c r="BI154" s="662">
        <f t="shared" ref="BI154:BQ154" si="84">SUM(BI4:BI152)</f>
        <v>196939000</v>
      </c>
      <c r="BJ154" s="662"/>
      <c r="BK154" s="662"/>
      <c r="BL154" s="87">
        <f t="shared" si="84"/>
        <v>443933.62</v>
      </c>
      <c r="BM154" s="87">
        <f t="shared" si="84"/>
        <v>422218.83999999997</v>
      </c>
      <c r="BN154" s="87">
        <f t="shared" si="84"/>
        <v>216262</v>
      </c>
      <c r="BO154" s="87">
        <f t="shared" si="84"/>
        <v>48711807.75</v>
      </c>
      <c r="BP154" s="609" t="str">
        <f>IFERROR(INDEX('UNICEF-BMZ'!$E$1:$E$191,MATCH('Matrix Allocations'!A154,'UNICEF-BMZ'!$A$1:$A$191,0)),"")</f>
        <v/>
      </c>
      <c r="BQ154" s="87">
        <f t="shared" si="84"/>
        <v>19742000</v>
      </c>
      <c r="CH154" s="661"/>
      <c r="CI154" s="87"/>
    </row>
    <row r="155" spans="1:90">
      <c r="U155" s="53">
        <f>COUNTIF(U4:U152,U154)</f>
        <v>67</v>
      </c>
      <c r="V155" s="53"/>
      <c r="W155" s="53"/>
      <c r="X155" s="53"/>
      <c r="Y155" s="53"/>
      <c r="Z155" s="575">
        <f>Z154/V154</f>
        <v>0.27241208849935872</v>
      </c>
      <c r="AA155" s="53"/>
      <c r="AE155" s="53"/>
      <c r="AF155" s="53"/>
      <c r="AG155" s="53"/>
      <c r="AH155" s="53"/>
      <c r="AK155" s="53"/>
      <c r="AY155" s="53"/>
      <c r="AZ155" s="53"/>
      <c r="BA155" s="53"/>
      <c r="BB155" s="53"/>
      <c r="BC155" s="53"/>
      <c r="BD155" s="53"/>
      <c r="BE155" s="53"/>
      <c r="BF155" s="53"/>
      <c r="BG155" s="53"/>
      <c r="BL155" s="53"/>
      <c r="BM155" s="53"/>
      <c r="BN155" s="53"/>
      <c r="BO155" s="53"/>
      <c r="BP155" s="53"/>
      <c r="BQ155" s="53"/>
      <c r="BR155" s="53"/>
      <c r="BS155" s="53"/>
      <c r="BT155" s="53"/>
      <c r="BU155" s="53"/>
      <c r="BV155" s="53"/>
      <c r="BW155" s="53"/>
      <c r="BX155" s="53"/>
      <c r="BY155" s="53"/>
      <c r="BZ155" s="53"/>
      <c r="CK155" s="849">
        <f>SUM(CK4:CK152)</f>
        <v>447157761.81</v>
      </c>
    </row>
    <row r="156" spans="1:90">
      <c r="AK156" s="603" t="s">
        <v>703</v>
      </c>
      <c r="AV156" s="53" t="s">
        <v>704</v>
      </c>
      <c r="AX156" s="53" t="s">
        <v>705</v>
      </c>
      <c r="AY156" s="634" t="s">
        <v>706</v>
      </c>
      <c r="BC156" s="87" t="s">
        <v>707</v>
      </c>
      <c r="BL156" s="87" t="s">
        <v>708</v>
      </c>
    </row>
    <row r="157" spans="1:90">
      <c r="AZ157" s="87">
        <f>COUNTIF(univd,"&gt;0")</f>
        <v>97</v>
      </c>
    </row>
    <row r="159" spans="1:90">
      <c r="A159" s="53">
        <v>1</v>
      </c>
      <c r="B159" s="53">
        <v>2</v>
      </c>
      <c r="C159" s="53">
        <v>3</v>
      </c>
      <c r="D159" s="53">
        <v>4</v>
      </c>
      <c r="E159" s="53">
        <v>5</v>
      </c>
      <c r="G159" s="53">
        <v>6</v>
      </c>
      <c r="H159" s="53">
        <v>7</v>
      </c>
      <c r="I159" s="53">
        <v>8</v>
      </c>
      <c r="J159" s="53">
        <v>9</v>
      </c>
      <c r="K159" s="53">
        <v>10</v>
      </c>
      <c r="L159" s="53">
        <v>11</v>
      </c>
      <c r="M159" s="53">
        <v>12</v>
      </c>
      <c r="N159" s="53">
        <v>13</v>
      </c>
      <c r="O159" s="53">
        <v>14</v>
      </c>
      <c r="P159" s="53">
        <v>15</v>
      </c>
      <c r="Q159" s="53">
        <v>16</v>
      </c>
      <c r="R159" s="53">
        <v>17</v>
      </c>
      <c r="T159" s="53">
        <v>18</v>
      </c>
      <c r="U159" s="53">
        <v>19</v>
      </c>
      <c r="V159" s="53">
        <v>20</v>
      </c>
      <c r="W159" s="53">
        <v>21</v>
      </c>
      <c r="X159" s="53">
        <v>22</v>
      </c>
      <c r="Y159" s="53">
        <v>23</v>
      </c>
      <c r="Z159" s="53">
        <v>24</v>
      </c>
      <c r="AA159" s="53">
        <v>25</v>
      </c>
      <c r="AB159" s="53">
        <v>26</v>
      </c>
      <c r="AC159" s="53">
        <v>27</v>
      </c>
      <c r="AD159" s="53">
        <v>28</v>
      </c>
      <c r="AE159" s="53">
        <v>29</v>
      </c>
      <c r="AF159" s="53">
        <v>30</v>
      </c>
      <c r="AG159" s="53">
        <v>31</v>
      </c>
      <c r="AH159" s="53">
        <v>32</v>
      </c>
      <c r="AI159" s="53">
        <v>33</v>
      </c>
      <c r="AJ159" s="53">
        <v>34</v>
      </c>
      <c r="AK159" s="53">
        <v>35</v>
      </c>
      <c r="AL159" s="53">
        <v>36</v>
      </c>
      <c r="AM159" s="53">
        <v>37</v>
      </c>
      <c r="AN159" s="53">
        <v>38</v>
      </c>
      <c r="AO159" s="53">
        <v>39</v>
      </c>
      <c r="AP159" s="53">
        <v>40</v>
      </c>
      <c r="AQ159" s="53">
        <v>41</v>
      </c>
      <c r="AR159" s="53">
        <v>42</v>
      </c>
      <c r="AS159" s="53">
        <v>43</v>
      </c>
      <c r="AT159" s="53">
        <v>44</v>
      </c>
      <c r="AU159" s="53">
        <v>45</v>
      </c>
      <c r="AV159" s="53">
        <v>46</v>
      </c>
      <c r="AW159" s="53">
        <v>47</v>
      </c>
      <c r="AX159" s="53">
        <v>48</v>
      </c>
      <c r="AY159" s="53">
        <v>49</v>
      </c>
      <c r="AZ159" s="53">
        <v>50</v>
      </c>
      <c r="BA159" s="53">
        <v>51</v>
      </c>
      <c r="BB159" s="53">
        <v>52</v>
      </c>
      <c r="BC159" s="53">
        <v>53</v>
      </c>
      <c r="BD159" s="53">
        <v>54</v>
      </c>
      <c r="BE159" s="53">
        <v>55</v>
      </c>
      <c r="BF159" s="53">
        <v>56</v>
      </c>
      <c r="BG159" s="53">
        <v>57</v>
      </c>
      <c r="BH159" s="53">
        <v>58</v>
      </c>
      <c r="BI159" s="53">
        <v>59</v>
      </c>
      <c r="BJ159" s="53"/>
      <c r="BK159" s="53"/>
      <c r="BL159" s="53">
        <v>60</v>
      </c>
      <c r="BM159" s="53">
        <v>61</v>
      </c>
      <c r="BN159" s="53">
        <v>62</v>
      </c>
      <c r="BO159" s="53">
        <v>63</v>
      </c>
      <c r="BP159" s="53">
        <v>64</v>
      </c>
      <c r="BQ159" s="53">
        <v>65</v>
      </c>
      <c r="BR159" s="53"/>
      <c r="BS159" s="53"/>
      <c r="BT159" s="53"/>
      <c r="BU159" s="53"/>
      <c r="BV159" s="53"/>
      <c r="BW159" s="53"/>
      <c r="BX159" s="53"/>
      <c r="BY159" s="53"/>
      <c r="BZ159" s="53"/>
    </row>
  </sheetData>
  <autoFilter ref="A3:CI156" xr:uid="{C3C65B39-7387-4FDD-BC86-08D1D0A61C47}"/>
  <sortState xmlns:xlrd2="http://schemas.microsoft.com/office/spreadsheetml/2017/richdata2" ref="A2:CD152">
    <sortCondition ref="AB61"/>
  </sortState>
  <mergeCells count="26">
    <mergeCell ref="BE2:BF2"/>
    <mergeCell ref="BC2:BC3"/>
    <mergeCell ref="BD2:BD3"/>
    <mergeCell ref="BB2:BB3"/>
    <mergeCell ref="BA2:BA3"/>
    <mergeCell ref="AX2:AX3"/>
    <mergeCell ref="AY2:AY3"/>
    <mergeCell ref="AL2:AN2"/>
    <mergeCell ref="AZ2:AZ3"/>
    <mergeCell ref="AV2:AV3"/>
    <mergeCell ref="AW2:AW3"/>
    <mergeCell ref="AT2:AU2"/>
    <mergeCell ref="AB2:AH2"/>
    <mergeCell ref="AO2:AS2"/>
    <mergeCell ref="G2:M2"/>
    <mergeCell ref="A2:A3"/>
    <mergeCell ref="B2:B3"/>
    <mergeCell ref="C2:C3"/>
    <mergeCell ref="D2:D3"/>
    <mergeCell ref="E2:E3"/>
    <mergeCell ref="T2:AA2"/>
    <mergeCell ref="N2:N3"/>
    <mergeCell ref="O2:O3"/>
    <mergeCell ref="P2:P3"/>
    <mergeCell ref="Q2:Q3"/>
    <mergeCell ref="R2:R3"/>
  </mergeCells>
  <phoneticPr fontId="19"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432</v>
      </c>
      <c r="B1" s="53" t="s">
        <v>433</v>
      </c>
      <c r="C1" s="87" t="s">
        <v>709</v>
      </c>
    </row>
    <row r="2" spans="1:3">
      <c r="A2" s="1219" t="s">
        <v>432</v>
      </c>
      <c r="B2" s="1219" t="s">
        <v>433</v>
      </c>
      <c r="C2" s="633"/>
    </row>
    <row r="3" spans="1:3" ht="46.5">
      <c r="A3" s="1220"/>
      <c r="B3" s="1220"/>
      <c r="C3" s="682" t="s">
        <v>709</v>
      </c>
    </row>
    <row r="4" spans="1:3">
      <c r="A4" s="55" t="s">
        <v>540</v>
      </c>
      <c r="B4" s="55" t="s">
        <v>160</v>
      </c>
      <c r="C4" s="88"/>
    </row>
    <row r="5" spans="1:3">
      <c r="A5" s="147" t="s">
        <v>543</v>
      </c>
      <c r="B5" s="147" t="s">
        <v>161</v>
      </c>
      <c r="C5" s="88"/>
    </row>
    <row r="6" spans="1:3">
      <c r="A6" s="55" t="s">
        <v>545</v>
      </c>
      <c r="B6" s="55" t="s">
        <v>143</v>
      </c>
      <c r="C6" s="609">
        <v>850000</v>
      </c>
    </row>
    <row r="7" spans="1:3">
      <c r="A7" s="55" t="s">
        <v>547</v>
      </c>
      <c r="B7" s="55" t="s">
        <v>162</v>
      </c>
      <c r="C7" s="88"/>
    </row>
    <row r="8" spans="1:3">
      <c r="A8" s="147" t="s">
        <v>549</v>
      </c>
      <c r="B8" s="147" t="s">
        <v>163</v>
      </c>
      <c r="C8" s="88"/>
    </row>
    <row r="9" spans="1:3">
      <c r="A9" s="147" t="s">
        <v>551</v>
      </c>
      <c r="B9" s="147" t="s">
        <v>164</v>
      </c>
      <c r="C9" s="88"/>
    </row>
    <row r="10" spans="1:3">
      <c r="A10" s="147" t="s">
        <v>553</v>
      </c>
      <c r="B10" s="147" t="s">
        <v>165</v>
      </c>
      <c r="C10" s="88"/>
    </row>
    <row r="11" spans="1:3">
      <c r="A11" s="55" t="s">
        <v>554</v>
      </c>
      <c r="B11" s="55" t="s">
        <v>166</v>
      </c>
      <c r="C11" s="88"/>
    </row>
    <row r="12" spans="1:3">
      <c r="A12" s="55" t="s">
        <v>555</v>
      </c>
      <c r="B12" s="55" t="s">
        <v>556</v>
      </c>
      <c r="C12" s="88"/>
    </row>
    <row r="13" spans="1:3">
      <c r="A13" s="55" t="s">
        <v>557</v>
      </c>
      <c r="B13" s="55" t="s">
        <v>167</v>
      </c>
      <c r="C13" s="88"/>
    </row>
    <row r="14" spans="1:3">
      <c r="A14" s="147" t="s">
        <v>559</v>
      </c>
      <c r="B14" s="147" t="s">
        <v>168</v>
      </c>
      <c r="C14" s="88"/>
    </row>
    <row r="15" spans="1:3">
      <c r="A15" s="55" t="s">
        <v>560</v>
      </c>
      <c r="B15" s="55" t="s">
        <v>169</v>
      </c>
      <c r="C15" s="88"/>
    </row>
    <row r="16" spans="1:3">
      <c r="A16" s="55" t="s">
        <v>561</v>
      </c>
      <c r="B16" s="55" t="s">
        <v>170</v>
      </c>
      <c r="C16" s="88"/>
    </row>
    <row r="17" spans="1:3">
      <c r="A17" s="55" t="s">
        <v>563</v>
      </c>
      <c r="B17" s="55" t="s">
        <v>171</v>
      </c>
      <c r="C17" s="88">
        <v>230000</v>
      </c>
    </row>
    <row r="18" spans="1:3">
      <c r="A18" s="55" t="s">
        <v>564</v>
      </c>
      <c r="B18" s="55" t="s">
        <v>172</v>
      </c>
      <c r="C18" s="88">
        <v>1080000</v>
      </c>
    </row>
    <row r="19" spans="1:3">
      <c r="A19" s="55" t="s">
        <v>565</v>
      </c>
      <c r="B19" s="55" t="s">
        <v>174</v>
      </c>
      <c r="C19" s="88"/>
    </row>
    <row r="20" spans="1:3">
      <c r="A20" s="147" t="s">
        <v>566</v>
      </c>
      <c r="B20" s="147" t="s">
        <v>175</v>
      </c>
      <c r="C20" s="88"/>
    </row>
    <row r="21" spans="1:3">
      <c r="A21" s="55" t="s">
        <v>567</v>
      </c>
      <c r="B21" s="55" t="s">
        <v>144</v>
      </c>
      <c r="C21" s="88"/>
    </row>
    <row r="22" spans="1:3">
      <c r="A22" s="147" t="s">
        <v>568</v>
      </c>
      <c r="B22" s="147" t="s">
        <v>176</v>
      </c>
      <c r="C22" s="88"/>
    </row>
    <row r="23" spans="1:3">
      <c r="A23" s="55" t="s">
        <v>569</v>
      </c>
      <c r="B23" s="55" t="s">
        <v>177</v>
      </c>
      <c r="C23" s="88"/>
    </row>
    <row r="24" spans="1:3">
      <c r="A24" s="55" t="s">
        <v>570</v>
      </c>
      <c r="B24" s="55" t="s">
        <v>178</v>
      </c>
      <c r="C24" s="88"/>
    </row>
    <row r="25" spans="1:3">
      <c r="A25" s="55" t="s">
        <v>571</v>
      </c>
      <c r="B25" s="55" t="s">
        <v>179</v>
      </c>
      <c r="C25" s="609">
        <v>230000</v>
      </c>
    </row>
    <row r="26" spans="1:3">
      <c r="A26" s="55" t="s">
        <v>572</v>
      </c>
      <c r="B26" s="55" t="s">
        <v>180</v>
      </c>
      <c r="C26" s="609"/>
    </row>
    <row r="27" spans="1:3">
      <c r="A27" s="55" t="s">
        <v>573</v>
      </c>
      <c r="B27" s="55" t="s">
        <v>181</v>
      </c>
      <c r="C27" s="88"/>
    </row>
    <row r="28" spans="1:3">
      <c r="A28" s="55" t="s">
        <v>574</v>
      </c>
      <c r="B28" s="55" t="s">
        <v>182</v>
      </c>
      <c r="C28" s="88"/>
    </row>
    <row r="29" spans="1:3">
      <c r="A29" s="55" t="s">
        <v>576</v>
      </c>
      <c r="B29" s="55" t="s">
        <v>183</v>
      </c>
      <c r="C29" s="609"/>
    </row>
    <row r="30" spans="1:3">
      <c r="A30" s="147" t="s">
        <v>577</v>
      </c>
      <c r="B30" s="147" t="s">
        <v>184</v>
      </c>
      <c r="C30" s="88"/>
    </row>
    <row r="31" spans="1:3">
      <c r="A31" s="147" t="s">
        <v>578</v>
      </c>
      <c r="B31" s="147" t="s">
        <v>185</v>
      </c>
      <c r="C31" s="88"/>
    </row>
    <row r="32" spans="1:3">
      <c r="A32" s="147" t="s">
        <v>579</v>
      </c>
      <c r="B32" s="147" t="s">
        <v>186</v>
      </c>
      <c r="C32" s="609"/>
    </row>
    <row r="33" spans="1:3">
      <c r="A33" s="55" t="s">
        <v>580</v>
      </c>
      <c r="B33" s="55" t="s">
        <v>187</v>
      </c>
      <c r="C33" s="609"/>
    </row>
    <row r="34" spans="1:3">
      <c r="A34" s="55" t="s">
        <v>581</v>
      </c>
      <c r="B34" s="55" t="s">
        <v>188</v>
      </c>
      <c r="C34" s="88"/>
    </row>
    <row r="35" spans="1:3">
      <c r="A35" s="55" t="s">
        <v>582</v>
      </c>
      <c r="B35" s="55" t="s">
        <v>189</v>
      </c>
      <c r="C35" s="609"/>
    </row>
    <row r="36" spans="1:3">
      <c r="A36" s="55" t="s">
        <v>584</v>
      </c>
      <c r="B36" s="55" t="s">
        <v>190</v>
      </c>
      <c r="C36" s="609"/>
    </row>
    <row r="37" spans="1:3">
      <c r="A37" s="55" t="s">
        <v>585</v>
      </c>
      <c r="B37" s="55" t="s">
        <v>191</v>
      </c>
      <c r="C37" s="609"/>
    </row>
    <row r="38" spans="1:3">
      <c r="A38" s="55" t="s">
        <v>586</v>
      </c>
      <c r="B38" s="55" t="s">
        <v>192</v>
      </c>
      <c r="C38" s="88"/>
    </row>
    <row r="39" spans="1:3">
      <c r="A39" s="147" t="s">
        <v>587</v>
      </c>
      <c r="B39" s="147" t="s">
        <v>193</v>
      </c>
      <c r="C39" s="609"/>
    </row>
    <row r="40" spans="1:3">
      <c r="A40" s="55" t="s">
        <v>588</v>
      </c>
      <c r="B40" s="55" t="s">
        <v>147</v>
      </c>
      <c r="C40" s="609"/>
    </row>
    <row r="41" spans="1:3">
      <c r="A41" s="55" t="s">
        <v>589</v>
      </c>
      <c r="B41" s="55" t="s">
        <v>194</v>
      </c>
      <c r="C41" s="609"/>
    </row>
    <row r="42" spans="1:3">
      <c r="A42" s="55" t="s">
        <v>590</v>
      </c>
      <c r="B42" s="55" t="s">
        <v>195</v>
      </c>
      <c r="C42" s="609">
        <v>200000</v>
      </c>
    </row>
    <row r="43" spans="1:3">
      <c r="A43" s="147" t="s">
        <v>591</v>
      </c>
      <c r="B43" s="147" t="s">
        <v>196</v>
      </c>
      <c r="C43" s="609"/>
    </row>
    <row r="44" spans="1:3">
      <c r="A44" s="55" t="s">
        <v>592</v>
      </c>
      <c r="B44" s="55" t="s">
        <v>197</v>
      </c>
      <c r="C44" s="609"/>
    </row>
    <row r="45" spans="1:3">
      <c r="A45" s="55" t="s">
        <v>593</v>
      </c>
      <c r="B45" s="55" t="s">
        <v>198</v>
      </c>
      <c r="C45" s="609">
        <v>3630000</v>
      </c>
    </row>
    <row r="46" spans="1:3">
      <c r="A46" s="55" t="s">
        <v>594</v>
      </c>
      <c r="B46" s="55" t="s">
        <v>199</v>
      </c>
      <c r="C46" s="609">
        <v>1100000</v>
      </c>
    </row>
    <row r="47" spans="1:3">
      <c r="A47" s="147" t="s">
        <v>595</v>
      </c>
      <c r="B47" s="147" t="s">
        <v>200</v>
      </c>
      <c r="C47" s="609"/>
    </row>
    <row r="48" spans="1:3">
      <c r="A48" s="55" t="s">
        <v>596</v>
      </c>
      <c r="B48" s="55" t="s">
        <v>201</v>
      </c>
      <c r="C48" s="609"/>
    </row>
    <row r="49" spans="1:3">
      <c r="A49" s="55" t="s">
        <v>597</v>
      </c>
      <c r="B49" s="55" t="s">
        <v>202</v>
      </c>
      <c r="C49" s="609">
        <v>230000</v>
      </c>
    </row>
    <row r="50" spans="1:3">
      <c r="A50" s="55" t="s">
        <v>598</v>
      </c>
      <c r="B50" s="55" t="s">
        <v>203</v>
      </c>
      <c r="C50" s="609"/>
    </row>
    <row r="51" spans="1:3">
      <c r="A51" s="55" t="s">
        <v>599</v>
      </c>
      <c r="B51" s="55" t="s">
        <v>204</v>
      </c>
      <c r="C51" s="609">
        <v>230000</v>
      </c>
    </row>
    <row r="52" spans="1:3">
      <c r="A52" s="55" t="s">
        <v>600</v>
      </c>
      <c r="B52" s="55" t="s">
        <v>205</v>
      </c>
      <c r="C52" s="609"/>
    </row>
    <row r="53" spans="1:3">
      <c r="A53" s="55" t="s">
        <v>601</v>
      </c>
      <c r="B53" s="55" t="s">
        <v>206</v>
      </c>
      <c r="C53" s="609"/>
    </row>
    <row r="54" spans="1:3">
      <c r="A54" s="55" t="s">
        <v>602</v>
      </c>
      <c r="B54" s="55" t="s">
        <v>207</v>
      </c>
      <c r="C54" s="609"/>
    </row>
    <row r="55" spans="1:3">
      <c r="A55" s="55" t="s">
        <v>603</v>
      </c>
      <c r="B55" s="55" t="s">
        <v>208</v>
      </c>
      <c r="C55" s="609"/>
    </row>
    <row r="56" spans="1:3">
      <c r="A56" s="55" t="s">
        <v>604</v>
      </c>
      <c r="B56" s="55" t="s">
        <v>209</v>
      </c>
      <c r="C56" s="609">
        <v>150000</v>
      </c>
    </row>
    <row r="57" spans="1:3">
      <c r="A57" s="147" t="s">
        <v>605</v>
      </c>
      <c r="B57" s="147" t="s">
        <v>210</v>
      </c>
      <c r="C57" s="609"/>
    </row>
    <row r="58" spans="1:3">
      <c r="A58" s="55" t="s">
        <v>606</v>
      </c>
      <c r="B58" s="55" t="s">
        <v>211</v>
      </c>
      <c r="C58" s="609"/>
    </row>
    <row r="59" spans="1:3">
      <c r="A59" s="55" t="s">
        <v>607</v>
      </c>
      <c r="B59" s="55" t="s">
        <v>212</v>
      </c>
      <c r="C59" s="609"/>
    </row>
    <row r="60" spans="1:3">
      <c r="A60" s="55" t="s">
        <v>608</v>
      </c>
      <c r="B60" s="55" t="s">
        <v>213</v>
      </c>
      <c r="C60" s="609">
        <v>500000</v>
      </c>
    </row>
    <row r="61" spans="1:3">
      <c r="A61" s="746" t="s">
        <v>609</v>
      </c>
      <c r="B61" s="746" t="s">
        <v>214</v>
      </c>
      <c r="C61" s="757"/>
    </row>
    <row r="62" spans="1:3">
      <c r="A62" s="55" t="s">
        <v>610</v>
      </c>
      <c r="B62" s="55" t="s">
        <v>215</v>
      </c>
      <c r="C62" s="609">
        <v>910000</v>
      </c>
    </row>
    <row r="63" spans="1:3">
      <c r="A63" s="55" t="s">
        <v>611</v>
      </c>
      <c r="B63" s="55" t="s">
        <v>216</v>
      </c>
      <c r="C63" s="609"/>
    </row>
    <row r="64" spans="1:3">
      <c r="A64" s="55" t="s">
        <v>612</v>
      </c>
      <c r="B64" s="55" t="s">
        <v>217</v>
      </c>
      <c r="C64" s="609"/>
    </row>
    <row r="65" spans="1:3">
      <c r="A65" s="55" t="s">
        <v>613</v>
      </c>
      <c r="B65" s="55" t="s">
        <v>149</v>
      </c>
      <c r="C65" s="609"/>
    </row>
    <row r="66" spans="1:3">
      <c r="A66" s="55" t="s">
        <v>614</v>
      </c>
      <c r="B66" s="55" t="s">
        <v>218</v>
      </c>
      <c r="C66" s="609"/>
    </row>
    <row r="67" spans="1:3">
      <c r="A67" s="147" t="s">
        <v>615</v>
      </c>
      <c r="B67" s="147" t="s">
        <v>219</v>
      </c>
      <c r="C67" s="609"/>
    </row>
    <row r="68" spans="1:3">
      <c r="A68" s="55" t="s">
        <v>616</v>
      </c>
      <c r="B68" s="55" t="s">
        <v>220</v>
      </c>
      <c r="C68" s="609"/>
    </row>
    <row r="69" spans="1:3">
      <c r="A69" s="147" t="s">
        <v>617</v>
      </c>
      <c r="B69" s="147" t="s">
        <v>221</v>
      </c>
      <c r="C69" s="609"/>
    </row>
    <row r="70" spans="1:3">
      <c r="A70" s="55" t="s">
        <v>618</v>
      </c>
      <c r="B70" s="55" t="s">
        <v>222</v>
      </c>
      <c r="C70" s="609"/>
    </row>
    <row r="71" spans="1:3">
      <c r="A71" s="55" t="s">
        <v>619</v>
      </c>
      <c r="B71" s="55" t="s">
        <v>223</v>
      </c>
      <c r="C71" s="609">
        <v>230000</v>
      </c>
    </row>
    <row r="72" spans="1:3">
      <c r="A72" s="55" t="s">
        <v>620</v>
      </c>
      <c r="B72" s="55" t="s">
        <v>224</v>
      </c>
      <c r="C72" s="609"/>
    </row>
    <row r="73" spans="1:3">
      <c r="A73" s="55" t="s">
        <v>621</v>
      </c>
      <c r="B73" s="55" t="s">
        <v>225</v>
      </c>
      <c r="C73" s="609">
        <v>230000</v>
      </c>
    </row>
    <row r="74" spans="1:3">
      <c r="A74" s="55" t="s">
        <v>622</v>
      </c>
      <c r="B74" s="55" t="s">
        <v>226</v>
      </c>
      <c r="C74" s="609"/>
    </row>
    <row r="75" spans="1:3">
      <c r="A75" s="55" t="s">
        <v>623</v>
      </c>
      <c r="B75" s="55" t="s">
        <v>227</v>
      </c>
      <c r="C75" s="609"/>
    </row>
    <row r="76" spans="1:3">
      <c r="A76" s="55" t="s">
        <v>624</v>
      </c>
      <c r="B76" s="55" t="s">
        <v>228</v>
      </c>
      <c r="C76" s="609"/>
    </row>
    <row r="77" spans="1:3">
      <c r="A77" s="55" t="s">
        <v>625</v>
      </c>
      <c r="B77" s="55" t="s">
        <v>229</v>
      </c>
      <c r="C77" s="609"/>
    </row>
    <row r="78" spans="1:3">
      <c r="A78" s="55" t="s">
        <v>626</v>
      </c>
      <c r="B78" s="55" t="s">
        <v>230</v>
      </c>
      <c r="C78" s="609"/>
    </row>
    <row r="79" spans="1:3">
      <c r="A79" s="55" t="s">
        <v>627</v>
      </c>
      <c r="B79" s="55" t="s">
        <v>231</v>
      </c>
      <c r="C79" s="609"/>
    </row>
    <row r="80" spans="1:3">
      <c r="A80" s="55" t="s">
        <v>628</v>
      </c>
      <c r="B80" s="55" t="s">
        <v>232</v>
      </c>
      <c r="C80" s="609"/>
    </row>
    <row r="81" spans="1:3">
      <c r="A81" s="55" t="s">
        <v>629</v>
      </c>
      <c r="B81" s="55" t="s">
        <v>233</v>
      </c>
      <c r="C81" s="609"/>
    </row>
    <row r="82" spans="1:3">
      <c r="A82" s="147" t="s">
        <v>630</v>
      </c>
      <c r="B82" s="147" t="s">
        <v>234</v>
      </c>
      <c r="C82" s="609"/>
    </row>
    <row r="83" spans="1:3">
      <c r="A83" s="55" t="s">
        <v>631</v>
      </c>
      <c r="B83" s="55" t="s">
        <v>235</v>
      </c>
      <c r="C83" s="609">
        <v>230000</v>
      </c>
    </row>
    <row r="84" spans="1:3">
      <c r="A84" s="55" t="s">
        <v>632</v>
      </c>
      <c r="B84" s="55" t="s">
        <v>236</v>
      </c>
      <c r="C84" s="609"/>
    </row>
    <row r="85" spans="1:3">
      <c r="A85" s="147" t="s">
        <v>633</v>
      </c>
      <c r="B85" s="147" t="s">
        <v>237</v>
      </c>
      <c r="C85" s="609"/>
    </row>
    <row r="86" spans="1:3">
      <c r="A86" s="55" t="s">
        <v>634</v>
      </c>
      <c r="B86" s="55" t="s">
        <v>238</v>
      </c>
      <c r="C86" s="609"/>
    </row>
    <row r="87" spans="1:3">
      <c r="A87" s="55" t="s">
        <v>635</v>
      </c>
      <c r="B87" s="55" t="s">
        <v>239</v>
      </c>
      <c r="C87" s="609"/>
    </row>
    <row r="88" spans="1:3">
      <c r="A88" s="147" t="s">
        <v>636</v>
      </c>
      <c r="B88" s="147" t="s">
        <v>240</v>
      </c>
      <c r="C88" s="609"/>
    </row>
    <row r="89" spans="1:3">
      <c r="A89" s="55" t="s">
        <v>637</v>
      </c>
      <c r="B89" s="55" t="s">
        <v>241</v>
      </c>
      <c r="C89" s="609">
        <v>230000</v>
      </c>
    </row>
    <row r="90" spans="1:3">
      <c r="A90" s="55" t="s">
        <v>638</v>
      </c>
      <c r="B90" s="55" t="s">
        <v>242</v>
      </c>
      <c r="C90" s="609">
        <v>370000</v>
      </c>
    </row>
    <row r="91" spans="1:3">
      <c r="A91" s="55" t="s">
        <v>639</v>
      </c>
      <c r="B91" s="55" t="s">
        <v>243</v>
      </c>
      <c r="C91" s="609">
        <v>230000</v>
      </c>
    </row>
    <row r="92" spans="1:3">
      <c r="A92" s="55" t="s">
        <v>640</v>
      </c>
      <c r="B92" s="55" t="s">
        <v>244</v>
      </c>
      <c r="C92" s="609"/>
    </row>
    <row r="93" spans="1:3">
      <c r="A93" s="55" t="s">
        <v>641</v>
      </c>
      <c r="B93" s="55" t="s">
        <v>245</v>
      </c>
      <c r="C93" s="609">
        <v>100000</v>
      </c>
    </row>
    <row r="94" spans="1:3">
      <c r="A94" s="55" t="s">
        <v>642</v>
      </c>
      <c r="B94" s="55" t="s">
        <v>246</v>
      </c>
      <c r="C94" s="609"/>
    </row>
    <row r="95" spans="1:3">
      <c r="A95" s="55" t="s">
        <v>643</v>
      </c>
      <c r="B95" s="55" t="s">
        <v>247</v>
      </c>
      <c r="C95" s="609"/>
    </row>
    <row r="96" spans="1:3">
      <c r="A96" s="147" t="s">
        <v>644</v>
      </c>
      <c r="B96" s="147" t="s">
        <v>248</v>
      </c>
      <c r="C96" s="609"/>
    </row>
    <row r="97" spans="1:3">
      <c r="A97" s="147" t="s">
        <v>645</v>
      </c>
      <c r="B97" s="147" t="s">
        <v>249</v>
      </c>
      <c r="C97" s="609"/>
    </row>
    <row r="98" spans="1:3">
      <c r="A98" s="55" t="s">
        <v>646</v>
      </c>
      <c r="B98" s="55" t="s">
        <v>250</v>
      </c>
      <c r="C98" s="609"/>
    </row>
    <row r="99" spans="1:3">
      <c r="A99" s="55" t="s">
        <v>647</v>
      </c>
      <c r="B99" s="55" t="s">
        <v>251</v>
      </c>
      <c r="C99" s="609"/>
    </row>
    <row r="100" spans="1:3">
      <c r="A100" s="55" t="s">
        <v>648</v>
      </c>
      <c r="B100" s="55" t="s">
        <v>252</v>
      </c>
      <c r="C100" s="609"/>
    </row>
    <row r="101" spans="1:3">
      <c r="A101" s="55" t="s">
        <v>649</v>
      </c>
      <c r="B101" s="55" t="s">
        <v>253</v>
      </c>
      <c r="C101" s="609"/>
    </row>
    <row r="102" spans="1:3">
      <c r="A102" s="147" t="s">
        <v>650</v>
      </c>
      <c r="B102" s="147" t="s">
        <v>254</v>
      </c>
      <c r="C102" s="609"/>
    </row>
    <row r="103" spans="1:3">
      <c r="A103" s="55" t="s">
        <v>651</v>
      </c>
      <c r="B103" s="55" t="s">
        <v>255</v>
      </c>
      <c r="C103" s="609"/>
    </row>
    <row r="104" spans="1:3">
      <c r="A104" s="147" t="s">
        <v>652</v>
      </c>
      <c r="B104" s="147" t="s">
        <v>256</v>
      </c>
      <c r="C104" s="609"/>
    </row>
    <row r="105" spans="1:3">
      <c r="A105" s="55" t="s">
        <v>653</v>
      </c>
      <c r="B105" s="55" t="s">
        <v>257</v>
      </c>
      <c r="C105" s="609"/>
    </row>
    <row r="106" spans="1:3">
      <c r="A106" s="55" t="s">
        <v>654</v>
      </c>
      <c r="B106" s="55" t="s">
        <v>258</v>
      </c>
      <c r="C106" s="609"/>
    </row>
    <row r="107" spans="1:3">
      <c r="A107" s="147" t="s">
        <v>655</v>
      </c>
      <c r="B107" s="147" t="s">
        <v>259</v>
      </c>
      <c r="C107" s="609"/>
    </row>
    <row r="108" spans="1:3">
      <c r="A108" s="147" t="s">
        <v>656</v>
      </c>
      <c r="B108" s="147" t="s">
        <v>260</v>
      </c>
      <c r="C108" s="609"/>
    </row>
    <row r="109" spans="1:3">
      <c r="A109" s="55" t="s">
        <v>657</v>
      </c>
      <c r="B109" s="55" t="s">
        <v>261</v>
      </c>
      <c r="C109" s="609">
        <v>230000</v>
      </c>
    </row>
    <row r="110" spans="1:3">
      <c r="A110" s="147" t="s">
        <v>658</v>
      </c>
      <c r="B110" s="147" t="s">
        <v>262</v>
      </c>
      <c r="C110" s="609"/>
    </row>
    <row r="111" spans="1:3">
      <c r="A111" s="147" t="s">
        <v>659</v>
      </c>
      <c r="B111" s="147" t="s">
        <v>151</v>
      </c>
      <c r="C111" s="609"/>
    </row>
    <row r="112" spans="1:3">
      <c r="A112" s="147" t="s">
        <v>660</v>
      </c>
      <c r="B112" s="147" t="s">
        <v>263</v>
      </c>
      <c r="C112" s="609"/>
    </row>
    <row r="113" spans="1:3">
      <c r="A113" s="55" t="s">
        <v>661</v>
      </c>
      <c r="B113" s="55" t="s">
        <v>264</v>
      </c>
      <c r="C113" s="609"/>
    </row>
    <row r="114" spans="1:3">
      <c r="A114" s="55" t="s">
        <v>662</v>
      </c>
      <c r="B114" s="55" t="s">
        <v>265</v>
      </c>
      <c r="C114" s="609">
        <v>230000</v>
      </c>
    </row>
    <row r="115" spans="1:3">
      <c r="A115" s="55" t="s">
        <v>663</v>
      </c>
      <c r="B115" s="55" t="s">
        <v>266</v>
      </c>
      <c r="C115" s="609"/>
    </row>
    <row r="116" spans="1:3">
      <c r="A116" s="58" t="s">
        <v>664</v>
      </c>
      <c r="B116" s="58" t="s">
        <v>267</v>
      </c>
      <c r="C116" s="609"/>
    </row>
    <row r="117" spans="1:3">
      <c r="A117" s="149" t="s">
        <v>665</v>
      </c>
      <c r="B117" s="149" t="s">
        <v>153</v>
      </c>
      <c r="C117" s="609"/>
    </row>
    <row r="118" spans="1:3">
      <c r="A118" s="57" t="s">
        <v>666</v>
      </c>
      <c r="B118" s="57" t="s">
        <v>268</v>
      </c>
      <c r="C118" s="609"/>
    </row>
    <row r="119" spans="1:3">
      <c r="A119" s="57" t="s">
        <v>667</v>
      </c>
      <c r="B119" s="57" t="s">
        <v>269</v>
      </c>
      <c r="C119" s="609"/>
    </row>
    <row r="120" spans="1:3">
      <c r="A120" s="57" t="s">
        <v>668</v>
      </c>
      <c r="B120" s="57" t="s">
        <v>270</v>
      </c>
      <c r="C120" s="609"/>
    </row>
    <row r="121" spans="1:3">
      <c r="A121" s="57" t="s">
        <v>669</v>
      </c>
      <c r="B121" s="57" t="s">
        <v>271</v>
      </c>
      <c r="C121" s="609"/>
    </row>
    <row r="122" spans="1:3">
      <c r="A122" s="57" t="s">
        <v>670</v>
      </c>
      <c r="B122" s="57" t="s">
        <v>272</v>
      </c>
      <c r="C122" s="609"/>
    </row>
    <row r="123" spans="1:3">
      <c r="A123" s="57" t="s">
        <v>671</v>
      </c>
      <c r="B123" s="57" t="s">
        <v>273</v>
      </c>
      <c r="C123" s="609"/>
    </row>
    <row r="124" spans="1:3">
      <c r="A124" s="57" t="s">
        <v>672</v>
      </c>
      <c r="B124" s="57" t="s">
        <v>274</v>
      </c>
      <c r="C124" s="609">
        <v>980000</v>
      </c>
    </row>
    <row r="125" spans="1:3">
      <c r="A125" s="149" t="s">
        <v>673</v>
      </c>
      <c r="B125" s="149" t="s">
        <v>275</v>
      </c>
      <c r="C125" s="609"/>
    </row>
    <row r="126" spans="1:3">
      <c r="A126" s="57" t="s">
        <v>674</v>
      </c>
      <c r="B126" s="57" t="s">
        <v>154</v>
      </c>
      <c r="C126" s="609">
        <v>200000</v>
      </c>
    </row>
    <row r="127" spans="1:3">
      <c r="A127" s="57" t="s">
        <v>675</v>
      </c>
      <c r="B127" s="57" t="s">
        <v>155</v>
      </c>
      <c r="C127" s="609">
        <v>200000</v>
      </c>
    </row>
    <row r="128" spans="1:3">
      <c r="A128" s="57" t="s">
        <v>676</v>
      </c>
      <c r="B128" s="57" t="s">
        <v>276</v>
      </c>
      <c r="C128" s="609"/>
    </row>
    <row r="129" spans="1:3">
      <c r="A129" s="57" t="s">
        <v>677</v>
      </c>
      <c r="B129" s="57" t="s">
        <v>277</v>
      </c>
      <c r="C129" s="609"/>
    </row>
    <row r="130" spans="1:3">
      <c r="A130" s="149" t="s">
        <v>678</v>
      </c>
      <c r="B130" s="149" t="s">
        <v>278</v>
      </c>
      <c r="C130" s="609"/>
    </row>
    <row r="131" spans="1:3">
      <c r="A131" s="57" t="s">
        <v>679</v>
      </c>
      <c r="B131" s="57" t="s">
        <v>279</v>
      </c>
      <c r="C131" s="609"/>
    </row>
    <row r="132" spans="1:3">
      <c r="A132" s="57" t="s">
        <v>680</v>
      </c>
      <c r="B132" s="57" t="s">
        <v>280</v>
      </c>
      <c r="C132" s="609"/>
    </row>
    <row r="133" spans="1:3">
      <c r="A133" s="57" t="s">
        <v>681</v>
      </c>
      <c r="B133" s="57" t="s">
        <v>156</v>
      </c>
      <c r="C133" s="609"/>
    </row>
    <row r="134" spans="1:3">
      <c r="A134" s="149" t="s">
        <v>682</v>
      </c>
      <c r="B134" s="149" t="s">
        <v>157</v>
      </c>
      <c r="C134" s="609"/>
    </row>
    <row r="135" spans="1:3">
      <c r="A135" s="57" t="s">
        <v>683</v>
      </c>
      <c r="B135" s="57" t="s">
        <v>281</v>
      </c>
      <c r="C135" s="609"/>
    </row>
    <row r="136" spans="1:3">
      <c r="A136" s="57" t="s">
        <v>684</v>
      </c>
      <c r="B136" s="57" t="s">
        <v>282</v>
      </c>
      <c r="C136" s="609"/>
    </row>
    <row r="137" spans="1:3">
      <c r="A137" s="57" t="s">
        <v>685</v>
      </c>
      <c r="B137" s="57" t="s">
        <v>283</v>
      </c>
      <c r="C137" s="609">
        <v>230000</v>
      </c>
    </row>
    <row r="138" spans="1:3">
      <c r="A138" s="57" t="s">
        <v>686</v>
      </c>
      <c r="B138" s="57" t="s">
        <v>284</v>
      </c>
      <c r="C138" s="609"/>
    </row>
    <row r="139" spans="1:3">
      <c r="A139" s="57" t="s">
        <v>687</v>
      </c>
      <c r="B139" s="57" t="s">
        <v>285</v>
      </c>
      <c r="C139" s="609">
        <v>500000</v>
      </c>
    </row>
    <row r="140" spans="1:3">
      <c r="A140" s="149" t="s">
        <v>688</v>
      </c>
      <c r="B140" s="149" t="s">
        <v>286</v>
      </c>
      <c r="C140" s="609"/>
    </row>
    <row r="141" spans="1:3">
      <c r="A141" s="57" t="s">
        <v>689</v>
      </c>
      <c r="B141" s="57" t="s">
        <v>287</v>
      </c>
      <c r="C141" s="609"/>
    </row>
    <row r="142" spans="1:3">
      <c r="A142" s="57" t="s">
        <v>690</v>
      </c>
      <c r="B142" s="57" t="s">
        <v>288</v>
      </c>
      <c r="C142" s="609">
        <v>230000</v>
      </c>
    </row>
    <row r="143" spans="1:3">
      <c r="A143" s="57" t="s">
        <v>691</v>
      </c>
      <c r="B143" s="57" t="s">
        <v>289</v>
      </c>
      <c r="C143" s="609"/>
    </row>
    <row r="144" spans="1:3">
      <c r="A144" s="57" t="s">
        <v>692</v>
      </c>
      <c r="B144" s="57" t="s">
        <v>290</v>
      </c>
      <c r="C144" s="609">
        <v>1980000</v>
      </c>
    </row>
    <row r="145" spans="1:3">
      <c r="A145" s="149" t="s">
        <v>693</v>
      </c>
      <c r="B145" s="149" t="s">
        <v>291</v>
      </c>
      <c r="C145" s="609"/>
    </row>
    <row r="146" spans="1:3">
      <c r="A146" s="57" t="s">
        <v>694</v>
      </c>
      <c r="B146" s="57" t="s">
        <v>292</v>
      </c>
      <c r="C146" s="609"/>
    </row>
    <row r="147" spans="1:3">
      <c r="A147" s="57" t="s">
        <v>695</v>
      </c>
      <c r="B147" s="57" t="s">
        <v>293</v>
      </c>
      <c r="C147" s="609">
        <v>230000</v>
      </c>
    </row>
    <row r="148" spans="1:3">
      <c r="A148" s="57" t="s">
        <v>696</v>
      </c>
      <c r="B148" s="57" t="s">
        <v>294</v>
      </c>
      <c r="C148" s="609"/>
    </row>
    <row r="149" spans="1:3">
      <c r="A149" s="57" t="s">
        <v>697</v>
      </c>
      <c r="B149" s="57" t="s">
        <v>295</v>
      </c>
      <c r="C149" s="609"/>
    </row>
    <row r="150" spans="1:3">
      <c r="A150" s="57" t="s">
        <v>698</v>
      </c>
      <c r="B150" s="57" t="s">
        <v>296</v>
      </c>
      <c r="C150" s="609"/>
    </row>
    <row r="151" spans="1:3">
      <c r="A151" s="61" t="s">
        <v>699</v>
      </c>
      <c r="B151" s="61" t="s">
        <v>297</v>
      </c>
      <c r="C151" s="609"/>
    </row>
    <row r="152" spans="1:3">
      <c r="A152" s="55" t="s">
        <v>700</v>
      </c>
      <c r="B152" s="55" t="s">
        <v>298</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dimension ref="A1:E94"/>
  <sheetViews>
    <sheetView workbookViewId="0">
      <selection sqref="A1:E94"/>
    </sheetView>
  </sheetViews>
  <sheetFormatPr defaultColWidth="11" defaultRowHeight="15.5"/>
  <sheetData>
    <row r="1" spans="1:5">
      <c r="A1" t="s">
        <v>710</v>
      </c>
      <c r="B1" t="s">
        <v>711</v>
      </c>
      <c r="C1" t="s">
        <v>712</v>
      </c>
      <c r="D1" t="s">
        <v>713</v>
      </c>
      <c r="E1" t="s">
        <v>714</v>
      </c>
    </row>
    <row r="2" spans="1:5">
      <c r="A2" t="s">
        <v>160</v>
      </c>
      <c r="B2" t="s">
        <v>540</v>
      </c>
      <c r="C2">
        <v>920000</v>
      </c>
      <c r="D2" t="s">
        <v>541</v>
      </c>
      <c r="E2">
        <v>922566</v>
      </c>
    </row>
    <row r="3" spans="1:5">
      <c r="A3" t="s">
        <v>143</v>
      </c>
      <c r="B3" t="s">
        <v>545</v>
      </c>
      <c r="C3">
        <v>670000</v>
      </c>
      <c r="D3" t="s">
        <v>541</v>
      </c>
      <c r="E3">
        <v>682071</v>
      </c>
    </row>
    <row r="4" spans="1:5">
      <c r="A4" t="s">
        <v>162</v>
      </c>
      <c r="B4" t="s">
        <v>547</v>
      </c>
      <c r="C4">
        <v>530000</v>
      </c>
      <c r="D4" t="s">
        <v>541</v>
      </c>
      <c r="E4">
        <v>539335</v>
      </c>
    </row>
    <row r="5" spans="1:5">
      <c r="A5" t="s">
        <v>167</v>
      </c>
      <c r="B5" t="s">
        <v>557</v>
      </c>
      <c r="C5">
        <v>2500000</v>
      </c>
      <c r="D5" t="s">
        <v>541</v>
      </c>
      <c r="E5">
        <v>2482278</v>
      </c>
    </row>
    <row r="6" spans="1:5">
      <c r="A6" t="s">
        <v>170</v>
      </c>
      <c r="B6" t="s">
        <v>561</v>
      </c>
      <c r="C6">
        <v>360000</v>
      </c>
      <c r="D6" t="s">
        <v>541</v>
      </c>
      <c r="E6">
        <v>0</v>
      </c>
    </row>
    <row r="7" spans="1:5">
      <c r="A7" t="s">
        <v>171</v>
      </c>
      <c r="B7" t="s">
        <v>563</v>
      </c>
      <c r="C7">
        <v>50000</v>
      </c>
      <c r="D7" t="s">
        <v>541</v>
      </c>
      <c r="E7">
        <v>0</v>
      </c>
    </row>
    <row r="8" spans="1:5">
      <c r="A8" t="s">
        <v>715</v>
      </c>
      <c r="B8" t="s">
        <v>564</v>
      </c>
      <c r="C8">
        <v>240000</v>
      </c>
      <c r="D8" t="s">
        <v>541</v>
      </c>
      <c r="E8">
        <v>283036</v>
      </c>
    </row>
    <row r="9" spans="1:5">
      <c r="A9" t="s">
        <v>177</v>
      </c>
      <c r="B9" t="s">
        <v>569</v>
      </c>
      <c r="C9">
        <v>550000</v>
      </c>
      <c r="D9" t="s">
        <v>541</v>
      </c>
      <c r="E9">
        <v>555832</v>
      </c>
    </row>
    <row r="10" spans="1:5">
      <c r="A10" t="s">
        <v>178</v>
      </c>
      <c r="B10" t="s">
        <v>570</v>
      </c>
      <c r="C10">
        <v>360000</v>
      </c>
      <c r="D10" t="s">
        <v>546</v>
      </c>
      <c r="E10">
        <v>0</v>
      </c>
    </row>
    <row r="11" spans="1:5">
      <c r="A11" t="s">
        <v>179</v>
      </c>
      <c r="B11" t="s">
        <v>571</v>
      </c>
      <c r="C11">
        <v>50000</v>
      </c>
      <c r="E11">
        <v>0</v>
      </c>
    </row>
    <row r="12" spans="1:5">
      <c r="A12" t="s">
        <v>180</v>
      </c>
      <c r="B12" t="s">
        <v>572</v>
      </c>
      <c r="C12">
        <v>460000</v>
      </c>
      <c r="D12" t="s">
        <v>541</v>
      </c>
      <c r="E12">
        <v>459999</v>
      </c>
    </row>
    <row r="13" spans="1:5">
      <c r="A13" t="s">
        <v>181</v>
      </c>
      <c r="B13" t="s">
        <v>573</v>
      </c>
      <c r="C13">
        <v>660000</v>
      </c>
      <c r="D13" t="s">
        <v>541</v>
      </c>
      <c r="E13">
        <v>690768</v>
      </c>
    </row>
    <row r="14" spans="1:5">
      <c r="A14" t="s">
        <v>716</v>
      </c>
      <c r="B14" t="s">
        <v>574</v>
      </c>
      <c r="C14">
        <v>160000</v>
      </c>
      <c r="D14" t="s">
        <v>541</v>
      </c>
      <c r="E14">
        <v>0</v>
      </c>
    </row>
    <row r="15" spans="1:5">
      <c r="A15" t="s">
        <v>183</v>
      </c>
      <c r="B15" t="s">
        <v>576</v>
      </c>
      <c r="C15">
        <v>450000</v>
      </c>
      <c r="D15" t="s">
        <v>541</v>
      </c>
      <c r="E15">
        <v>0</v>
      </c>
    </row>
    <row r="16" spans="1:5">
      <c r="A16" t="s">
        <v>187</v>
      </c>
      <c r="B16" t="s">
        <v>580</v>
      </c>
      <c r="C16">
        <v>80000</v>
      </c>
      <c r="D16" t="s">
        <v>541</v>
      </c>
      <c r="E16">
        <v>80000</v>
      </c>
    </row>
    <row r="17" spans="1:5">
      <c r="A17" t="s">
        <v>717</v>
      </c>
      <c r="B17" t="s">
        <v>581</v>
      </c>
      <c r="C17">
        <v>1710000</v>
      </c>
      <c r="D17" t="s">
        <v>541</v>
      </c>
      <c r="E17">
        <v>1737208</v>
      </c>
    </row>
    <row r="18" spans="1:5">
      <c r="A18" t="s">
        <v>718</v>
      </c>
      <c r="B18" t="s">
        <v>582</v>
      </c>
      <c r="C18">
        <v>180000</v>
      </c>
      <c r="D18" t="s">
        <v>541</v>
      </c>
      <c r="E18">
        <v>0</v>
      </c>
    </row>
    <row r="19" spans="1:5">
      <c r="A19" t="s">
        <v>192</v>
      </c>
      <c r="B19" t="s">
        <v>586</v>
      </c>
      <c r="C19">
        <v>660000</v>
      </c>
      <c r="D19" t="s">
        <v>541</v>
      </c>
      <c r="E19">
        <v>664320</v>
      </c>
    </row>
    <row r="20" spans="1:5">
      <c r="A20" t="s">
        <v>194</v>
      </c>
      <c r="B20" t="s">
        <v>589</v>
      </c>
      <c r="C20">
        <v>80000</v>
      </c>
      <c r="E20">
        <v>0</v>
      </c>
    </row>
    <row r="21" spans="1:5">
      <c r="A21" t="s">
        <v>195</v>
      </c>
      <c r="B21" t="s">
        <v>590</v>
      </c>
      <c r="C21">
        <v>50000</v>
      </c>
      <c r="D21" t="s">
        <v>546</v>
      </c>
      <c r="E21">
        <v>0</v>
      </c>
    </row>
    <row r="22" spans="1:5">
      <c r="A22" t="s">
        <v>719</v>
      </c>
      <c r="B22" t="s">
        <v>593</v>
      </c>
      <c r="C22">
        <v>1280000</v>
      </c>
      <c r="D22" t="s">
        <v>541</v>
      </c>
      <c r="E22">
        <v>0</v>
      </c>
    </row>
    <row r="23" spans="1:5">
      <c r="A23" t="s">
        <v>199</v>
      </c>
      <c r="B23" t="s">
        <v>594</v>
      </c>
      <c r="C23">
        <v>140000</v>
      </c>
      <c r="D23" t="s">
        <v>541</v>
      </c>
      <c r="E23">
        <v>0</v>
      </c>
    </row>
    <row r="24" spans="1:5">
      <c r="A24" t="s">
        <v>201</v>
      </c>
      <c r="B24" t="s">
        <v>596</v>
      </c>
      <c r="C24">
        <v>120000</v>
      </c>
      <c r="D24" t="s">
        <v>546</v>
      </c>
      <c r="E24">
        <v>0</v>
      </c>
    </row>
    <row r="25" spans="1:5">
      <c r="A25" t="s">
        <v>202</v>
      </c>
      <c r="B25" t="s">
        <v>597</v>
      </c>
      <c r="C25">
        <v>50000</v>
      </c>
      <c r="D25" t="s">
        <v>541</v>
      </c>
      <c r="E25">
        <v>50213</v>
      </c>
    </row>
    <row r="26" spans="1:5">
      <c r="A26" t="s">
        <v>203</v>
      </c>
      <c r="B26" t="s">
        <v>598</v>
      </c>
      <c r="C26">
        <v>2090000</v>
      </c>
      <c r="D26" t="s">
        <v>541</v>
      </c>
      <c r="E26">
        <v>2119570</v>
      </c>
    </row>
    <row r="27" spans="1:5">
      <c r="A27" t="s">
        <v>204</v>
      </c>
      <c r="B27" t="s">
        <v>599</v>
      </c>
      <c r="C27">
        <v>50000</v>
      </c>
      <c r="D27" t="s">
        <v>546</v>
      </c>
      <c r="E27">
        <v>0</v>
      </c>
    </row>
    <row r="28" spans="1:5">
      <c r="A28" t="s">
        <v>720</v>
      </c>
      <c r="B28" t="s">
        <v>601</v>
      </c>
      <c r="C28">
        <v>80000</v>
      </c>
      <c r="D28" t="s">
        <v>541</v>
      </c>
      <c r="E28">
        <v>0</v>
      </c>
    </row>
    <row r="29" spans="1:5">
      <c r="A29" t="s">
        <v>208</v>
      </c>
      <c r="B29" t="s">
        <v>603</v>
      </c>
      <c r="C29">
        <v>760000</v>
      </c>
      <c r="D29" t="s">
        <v>541</v>
      </c>
      <c r="E29">
        <v>793746</v>
      </c>
    </row>
    <row r="30" spans="1:5">
      <c r="A30" t="s">
        <v>209</v>
      </c>
      <c r="B30" t="s">
        <v>604</v>
      </c>
      <c r="C30">
        <v>50000</v>
      </c>
      <c r="D30" t="s">
        <v>546</v>
      </c>
      <c r="E30">
        <v>0</v>
      </c>
    </row>
    <row r="31" spans="1:5">
      <c r="A31" t="s">
        <v>211</v>
      </c>
      <c r="B31" t="s">
        <v>606</v>
      </c>
      <c r="C31">
        <v>380000</v>
      </c>
      <c r="D31" t="s">
        <v>541</v>
      </c>
      <c r="E31">
        <v>0</v>
      </c>
    </row>
    <row r="32" spans="1:5">
      <c r="A32" t="s">
        <v>212</v>
      </c>
      <c r="B32" t="s">
        <v>607</v>
      </c>
      <c r="C32">
        <v>80000</v>
      </c>
      <c r="D32" t="s">
        <v>541</v>
      </c>
      <c r="E32">
        <v>0</v>
      </c>
    </row>
    <row r="33" spans="1:5">
      <c r="A33" t="s">
        <v>213</v>
      </c>
      <c r="B33" t="s">
        <v>608</v>
      </c>
      <c r="C33">
        <v>50000</v>
      </c>
      <c r="D33" t="s">
        <v>541</v>
      </c>
      <c r="E33">
        <v>0</v>
      </c>
    </row>
    <row r="34" spans="1:5">
      <c r="A34" t="s">
        <v>214</v>
      </c>
      <c r="B34" t="s">
        <v>609</v>
      </c>
      <c r="C34">
        <v>350000</v>
      </c>
      <c r="D34" t="s">
        <v>541</v>
      </c>
      <c r="E34">
        <v>353682</v>
      </c>
    </row>
    <row r="35" spans="1:5">
      <c r="A35" t="s">
        <v>215</v>
      </c>
      <c r="B35" t="s">
        <v>610</v>
      </c>
      <c r="C35">
        <v>210000</v>
      </c>
      <c r="D35" t="s">
        <v>541</v>
      </c>
      <c r="E35">
        <v>219032</v>
      </c>
    </row>
    <row r="36" spans="1:5">
      <c r="A36" t="s">
        <v>216</v>
      </c>
      <c r="B36" t="s">
        <v>611</v>
      </c>
      <c r="C36">
        <v>8716494</v>
      </c>
      <c r="D36" t="s">
        <v>541</v>
      </c>
      <c r="E36">
        <v>8716494</v>
      </c>
    </row>
    <row r="37" spans="1:5">
      <c r="A37" t="s">
        <v>217</v>
      </c>
      <c r="B37" t="s">
        <v>612</v>
      </c>
      <c r="C37">
        <v>1700000</v>
      </c>
      <c r="D37" t="s">
        <v>541</v>
      </c>
      <c r="E37">
        <v>0</v>
      </c>
    </row>
    <row r="38" spans="1:5">
      <c r="A38" t="s">
        <v>222</v>
      </c>
      <c r="B38" t="s">
        <v>618</v>
      </c>
      <c r="C38">
        <v>1160000</v>
      </c>
      <c r="D38" t="s">
        <v>541</v>
      </c>
      <c r="E38">
        <v>1181227</v>
      </c>
    </row>
    <row r="39" spans="1:5">
      <c r="A39" t="s">
        <v>223</v>
      </c>
      <c r="B39" t="s">
        <v>619</v>
      </c>
      <c r="C39">
        <v>50000</v>
      </c>
      <c r="D39" t="s">
        <v>546</v>
      </c>
      <c r="E39">
        <v>0</v>
      </c>
    </row>
    <row r="40" spans="1:5">
      <c r="A40" t="s">
        <v>721</v>
      </c>
      <c r="B40" t="s">
        <v>620</v>
      </c>
      <c r="C40">
        <v>650000</v>
      </c>
      <c r="D40" t="s">
        <v>541</v>
      </c>
      <c r="E40">
        <v>0</v>
      </c>
    </row>
    <row r="41" spans="1:5">
      <c r="A41" t="s">
        <v>225</v>
      </c>
      <c r="B41" t="s">
        <v>621</v>
      </c>
      <c r="C41">
        <v>50000</v>
      </c>
      <c r="D41" t="s">
        <v>541</v>
      </c>
      <c r="E41">
        <v>60336</v>
      </c>
    </row>
    <row r="42" spans="1:5">
      <c r="A42" t="s">
        <v>722</v>
      </c>
      <c r="B42" t="s">
        <v>622</v>
      </c>
      <c r="C42">
        <v>210000</v>
      </c>
      <c r="D42" t="s">
        <v>541</v>
      </c>
      <c r="E42">
        <v>211426</v>
      </c>
    </row>
    <row r="43" spans="1:5">
      <c r="A43" t="s">
        <v>227</v>
      </c>
      <c r="B43" t="s">
        <v>623</v>
      </c>
      <c r="C43">
        <v>230000</v>
      </c>
      <c r="D43" t="s">
        <v>541</v>
      </c>
      <c r="E43">
        <v>0</v>
      </c>
    </row>
    <row r="44" spans="1:5">
      <c r="A44" t="s">
        <v>723</v>
      </c>
      <c r="B44" t="s">
        <v>625</v>
      </c>
      <c r="C44">
        <v>80000</v>
      </c>
      <c r="D44" t="s">
        <v>541</v>
      </c>
      <c r="E44">
        <v>86879</v>
      </c>
    </row>
    <row r="45" spans="1:5">
      <c r="A45" t="s">
        <v>230</v>
      </c>
      <c r="B45" t="s">
        <v>626</v>
      </c>
      <c r="C45">
        <v>160000</v>
      </c>
      <c r="D45" t="s">
        <v>541</v>
      </c>
      <c r="E45">
        <v>162026</v>
      </c>
    </row>
    <row r="46" spans="1:5">
      <c r="A46" t="s">
        <v>232</v>
      </c>
      <c r="B46" t="s">
        <v>628</v>
      </c>
      <c r="C46">
        <v>690000</v>
      </c>
      <c r="D46" t="s">
        <v>541</v>
      </c>
      <c r="E46">
        <v>694958</v>
      </c>
    </row>
    <row r="47" spans="1:5">
      <c r="A47" t="s">
        <v>233</v>
      </c>
      <c r="B47" t="s">
        <v>629</v>
      </c>
      <c r="C47">
        <v>510000</v>
      </c>
      <c r="D47" t="s">
        <v>541</v>
      </c>
      <c r="E47">
        <v>386999</v>
      </c>
    </row>
    <row r="48" spans="1:5">
      <c r="A48" t="s">
        <v>235</v>
      </c>
      <c r="B48" t="s">
        <v>631</v>
      </c>
      <c r="C48">
        <v>50000</v>
      </c>
      <c r="D48" t="s">
        <v>541</v>
      </c>
      <c r="E48">
        <v>60026</v>
      </c>
    </row>
    <row r="49" spans="1:5">
      <c r="A49" t="s">
        <v>236</v>
      </c>
      <c r="B49" t="s">
        <v>632</v>
      </c>
      <c r="C49">
        <v>530000</v>
      </c>
      <c r="D49" t="s">
        <v>541</v>
      </c>
      <c r="E49">
        <v>530000</v>
      </c>
    </row>
    <row r="50" spans="1:5">
      <c r="A50" t="s">
        <v>237</v>
      </c>
      <c r="B50" t="s">
        <v>633</v>
      </c>
      <c r="C50">
        <v>50000</v>
      </c>
      <c r="D50" t="s">
        <v>546</v>
      </c>
      <c r="E50">
        <v>0</v>
      </c>
    </row>
    <row r="51" spans="1:5">
      <c r="A51" t="s">
        <v>238</v>
      </c>
      <c r="B51" t="s">
        <v>634</v>
      </c>
      <c r="C51">
        <v>150000</v>
      </c>
      <c r="D51" t="s">
        <v>541</v>
      </c>
      <c r="E51">
        <v>0</v>
      </c>
    </row>
    <row r="52" spans="1:5">
      <c r="A52" t="s">
        <v>724</v>
      </c>
      <c r="B52" t="s">
        <v>637</v>
      </c>
      <c r="C52">
        <v>50000</v>
      </c>
      <c r="D52" t="s">
        <v>546</v>
      </c>
      <c r="E52">
        <v>0</v>
      </c>
    </row>
    <row r="53" spans="1:5">
      <c r="A53" t="s">
        <v>242</v>
      </c>
      <c r="B53" t="s">
        <v>638</v>
      </c>
      <c r="C53">
        <v>90000</v>
      </c>
      <c r="D53" t="s">
        <v>541</v>
      </c>
      <c r="E53">
        <v>90649</v>
      </c>
    </row>
    <row r="54" spans="1:5">
      <c r="A54" t="s">
        <v>243</v>
      </c>
      <c r="B54" t="s">
        <v>639</v>
      </c>
      <c r="C54">
        <v>70000</v>
      </c>
      <c r="D54" t="s">
        <v>541</v>
      </c>
      <c r="E54">
        <v>71067</v>
      </c>
    </row>
    <row r="55" spans="1:5">
      <c r="A55" t="s">
        <v>725</v>
      </c>
      <c r="B55" t="s">
        <v>641</v>
      </c>
      <c r="C55">
        <v>590000</v>
      </c>
      <c r="E55">
        <v>0</v>
      </c>
    </row>
    <row r="56" spans="1:5">
      <c r="A56" t="s">
        <v>246</v>
      </c>
      <c r="B56" t="s">
        <v>642</v>
      </c>
      <c r="C56">
        <v>760000</v>
      </c>
      <c r="D56" t="s">
        <v>541</v>
      </c>
      <c r="E56">
        <v>322906</v>
      </c>
    </row>
    <row r="57" spans="1:5">
      <c r="A57" t="s">
        <v>247</v>
      </c>
      <c r="B57" t="s">
        <v>643</v>
      </c>
      <c r="C57">
        <v>1170000</v>
      </c>
      <c r="D57" t="s">
        <v>546</v>
      </c>
      <c r="E57">
        <v>0</v>
      </c>
    </row>
    <row r="58" spans="1:5">
      <c r="A58" t="s">
        <v>250</v>
      </c>
      <c r="B58" t="s">
        <v>646</v>
      </c>
      <c r="C58">
        <v>720000</v>
      </c>
      <c r="D58" t="s">
        <v>541</v>
      </c>
      <c r="E58">
        <v>737464</v>
      </c>
    </row>
    <row r="59" spans="1:5">
      <c r="A59" t="s">
        <v>251</v>
      </c>
      <c r="B59" t="s">
        <v>647</v>
      </c>
      <c r="C59">
        <v>210000</v>
      </c>
      <c r="D59" t="s">
        <v>541</v>
      </c>
      <c r="E59">
        <v>218802</v>
      </c>
    </row>
    <row r="60" spans="1:5">
      <c r="A60" t="s">
        <v>252</v>
      </c>
      <c r="B60" t="s">
        <v>648</v>
      </c>
      <c r="C60">
        <v>620000</v>
      </c>
      <c r="D60" t="s">
        <v>541</v>
      </c>
      <c r="E60">
        <v>639701</v>
      </c>
    </row>
    <row r="61" spans="1:5">
      <c r="A61" t="s">
        <v>253</v>
      </c>
      <c r="B61" t="s">
        <v>649</v>
      </c>
      <c r="C61">
        <v>2500000</v>
      </c>
      <c r="D61" t="s">
        <v>541</v>
      </c>
      <c r="E61">
        <v>2554787</v>
      </c>
    </row>
    <row r="62" spans="1:5">
      <c r="A62" t="s">
        <v>255</v>
      </c>
      <c r="B62" t="s">
        <v>651</v>
      </c>
      <c r="C62">
        <v>2500000</v>
      </c>
      <c r="D62" t="s">
        <v>541</v>
      </c>
      <c r="E62">
        <v>2538909</v>
      </c>
    </row>
    <row r="63" spans="1:5">
      <c r="A63" t="s">
        <v>258</v>
      </c>
      <c r="B63" t="s">
        <v>654</v>
      </c>
      <c r="C63">
        <v>290000</v>
      </c>
      <c r="D63" t="s">
        <v>541</v>
      </c>
      <c r="E63">
        <v>199349</v>
      </c>
    </row>
    <row r="64" spans="1:5">
      <c r="A64" t="s">
        <v>261</v>
      </c>
      <c r="B64" t="s">
        <v>657</v>
      </c>
      <c r="C64">
        <v>1360000</v>
      </c>
      <c r="D64" t="s">
        <v>541</v>
      </c>
      <c r="E64">
        <v>0</v>
      </c>
    </row>
    <row r="65" spans="1:5">
      <c r="A65" t="s">
        <v>264</v>
      </c>
      <c r="B65" t="s">
        <v>661</v>
      </c>
      <c r="C65">
        <v>380000</v>
      </c>
      <c r="D65" t="s">
        <v>541</v>
      </c>
      <c r="E65">
        <v>381994</v>
      </c>
    </row>
    <row r="66" spans="1:5">
      <c r="A66" t="s">
        <v>265</v>
      </c>
      <c r="B66" t="s">
        <v>662</v>
      </c>
      <c r="C66">
        <v>50000</v>
      </c>
      <c r="D66" t="s">
        <v>546</v>
      </c>
      <c r="E66">
        <v>0</v>
      </c>
    </row>
    <row r="67" spans="1:5">
      <c r="A67" t="s">
        <v>726</v>
      </c>
      <c r="B67" t="s">
        <v>663</v>
      </c>
      <c r="C67">
        <v>80000</v>
      </c>
      <c r="D67" t="s">
        <v>541</v>
      </c>
      <c r="E67">
        <v>91602</v>
      </c>
    </row>
    <row r="68" spans="1:5">
      <c r="A68" t="s">
        <v>267</v>
      </c>
      <c r="B68" t="s">
        <v>664</v>
      </c>
      <c r="C68">
        <v>460000</v>
      </c>
      <c r="D68" t="s">
        <v>541</v>
      </c>
      <c r="E68">
        <v>463070</v>
      </c>
    </row>
    <row r="69" spans="1:5">
      <c r="A69" t="s">
        <v>269</v>
      </c>
      <c r="B69" t="s">
        <v>667</v>
      </c>
      <c r="C69">
        <v>260000</v>
      </c>
      <c r="D69" t="s">
        <v>541</v>
      </c>
      <c r="E69">
        <v>279827</v>
      </c>
    </row>
    <row r="70" spans="1:5">
      <c r="A70" t="s">
        <v>270</v>
      </c>
      <c r="B70" t="s">
        <v>668</v>
      </c>
      <c r="C70">
        <v>80000</v>
      </c>
      <c r="D70" t="s">
        <v>546</v>
      </c>
      <c r="E70">
        <v>0</v>
      </c>
    </row>
    <row r="71" spans="1:5">
      <c r="A71" t="s">
        <v>271</v>
      </c>
      <c r="B71" t="s">
        <v>669</v>
      </c>
      <c r="C71">
        <v>440000</v>
      </c>
      <c r="D71" t="s">
        <v>541</v>
      </c>
      <c r="E71">
        <v>455449</v>
      </c>
    </row>
    <row r="72" spans="1:5">
      <c r="A72" t="s">
        <v>273</v>
      </c>
      <c r="B72" t="s">
        <v>671</v>
      </c>
      <c r="C72">
        <v>340000</v>
      </c>
      <c r="D72" t="s">
        <v>541</v>
      </c>
      <c r="E72">
        <v>344160</v>
      </c>
    </row>
    <row r="73" spans="1:5">
      <c r="A73" t="s">
        <v>274</v>
      </c>
      <c r="B73" t="s">
        <v>672</v>
      </c>
      <c r="C73">
        <v>370000</v>
      </c>
      <c r="D73" t="s">
        <v>541</v>
      </c>
      <c r="E73">
        <v>374093</v>
      </c>
    </row>
    <row r="74" spans="1:5">
      <c r="A74" t="s">
        <v>154</v>
      </c>
      <c r="B74" t="s">
        <v>674</v>
      </c>
      <c r="C74">
        <v>50000</v>
      </c>
      <c r="D74" t="s">
        <v>546</v>
      </c>
      <c r="E74">
        <v>0</v>
      </c>
    </row>
    <row r="75" spans="1:5">
      <c r="A75" t="s">
        <v>155</v>
      </c>
      <c r="B75" t="s">
        <v>675</v>
      </c>
      <c r="C75">
        <v>50000</v>
      </c>
      <c r="D75" t="s">
        <v>546</v>
      </c>
      <c r="E75">
        <v>0</v>
      </c>
    </row>
    <row r="76" spans="1:5">
      <c r="A76" t="s">
        <v>277</v>
      </c>
      <c r="B76" t="s">
        <v>677</v>
      </c>
      <c r="C76">
        <v>1000000</v>
      </c>
      <c r="D76" t="s">
        <v>541</v>
      </c>
      <c r="E76">
        <v>936629</v>
      </c>
    </row>
    <row r="77" spans="1:5">
      <c r="A77" t="s">
        <v>727</v>
      </c>
      <c r="B77" t="s">
        <v>679</v>
      </c>
      <c r="C77">
        <v>336000</v>
      </c>
      <c r="D77" t="s">
        <v>541</v>
      </c>
      <c r="E77">
        <v>340991</v>
      </c>
    </row>
    <row r="78" spans="1:5">
      <c r="A78" t="s">
        <v>728</v>
      </c>
      <c r="B78" t="e">
        <v>#N/A</v>
      </c>
      <c r="C78">
        <v>144000</v>
      </c>
      <c r="D78" t="s">
        <v>541</v>
      </c>
      <c r="E78">
        <v>0</v>
      </c>
    </row>
    <row r="79" spans="1:5">
      <c r="A79" t="s">
        <v>280</v>
      </c>
      <c r="B79" t="s">
        <v>680</v>
      </c>
      <c r="C79">
        <v>300000</v>
      </c>
      <c r="D79" t="s">
        <v>541</v>
      </c>
      <c r="E79">
        <v>365913</v>
      </c>
    </row>
    <row r="80" spans="1:5">
      <c r="A80" t="s">
        <v>156</v>
      </c>
      <c r="B80" t="s">
        <v>681</v>
      </c>
      <c r="C80">
        <v>1250000</v>
      </c>
      <c r="E80">
        <v>0</v>
      </c>
    </row>
    <row r="81" spans="1:5">
      <c r="A81" t="s">
        <v>281</v>
      </c>
      <c r="B81" t="s">
        <v>683</v>
      </c>
      <c r="C81">
        <v>50000</v>
      </c>
      <c r="D81" t="s">
        <v>541</v>
      </c>
      <c r="E81">
        <v>50361</v>
      </c>
    </row>
    <row r="82" spans="1:5">
      <c r="A82" t="s">
        <v>282</v>
      </c>
      <c r="B82" t="s">
        <v>684</v>
      </c>
      <c r="C82">
        <v>260000</v>
      </c>
      <c r="D82" t="s">
        <v>541</v>
      </c>
      <c r="E82">
        <v>0</v>
      </c>
    </row>
    <row r="83" spans="1:5">
      <c r="A83" t="s">
        <v>283</v>
      </c>
      <c r="B83" t="s">
        <v>685</v>
      </c>
      <c r="C83">
        <v>50000</v>
      </c>
      <c r="D83" t="s">
        <v>546</v>
      </c>
      <c r="E83">
        <v>0</v>
      </c>
    </row>
    <row r="84" spans="1:5">
      <c r="A84" t="s">
        <v>285</v>
      </c>
      <c r="B84" t="s">
        <v>687</v>
      </c>
      <c r="C84">
        <v>240000</v>
      </c>
      <c r="D84" t="s">
        <v>541</v>
      </c>
      <c r="E84">
        <v>0</v>
      </c>
    </row>
    <row r="85" spans="1:5">
      <c r="A85" t="s">
        <v>288</v>
      </c>
      <c r="B85" t="s">
        <v>690</v>
      </c>
      <c r="C85">
        <v>50000</v>
      </c>
      <c r="D85" t="s">
        <v>546</v>
      </c>
      <c r="E85">
        <v>0</v>
      </c>
    </row>
    <row r="86" spans="1:5">
      <c r="A86" t="s">
        <v>289</v>
      </c>
      <c r="B86" t="s">
        <v>691</v>
      </c>
      <c r="C86">
        <v>1030000</v>
      </c>
      <c r="D86" t="s">
        <v>541</v>
      </c>
      <c r="E86">
        <v>1044909</v>
      </c>
    </row>
    <row r="87" spans="1:5">
      <c r="A87" t="s">
        <v>290</v>
      </c>
      <c r="B87" t="s">
        <v>692</v>
      </c>
      <c r="C87">
        <v>670000</v>
      </c>
      <c r="D87" t="s">
        <v>541</v>
      </c>
      <c r="E87">
        <v>681003</v>
      </c>
    </row>
    <row r="88" spans="1:5">
      <c r="A88" t="s">
        <v>292</v>
      </c>
      <c r="B88" t="s">
        <v>694</v>
      </c>
      <c r="C88">
        <v>810000</v>
      </c>
      <c r="D88" t="s">
        <v>541</v>
      </c>
      <c r="E88">
        <v>949999</v>
      </c>
    </row>
    <row r="89" spans="1:5">
      <c r="A89" t="s">
        <v>293</v>
      </c>
      <c r="B89" t="s">
        <v>695</v>
      </c>
      <c r="C89">
        <v>50000</v>
      </c>
      <c r="D89" t="s">
        <v>546</v>
      </c>
      <c r="E89">
        <v>0</v>
      </c>
    </row>
    <row r="90" spans="1:5">
      <c r="A90" t="s">
        <v>295</v>
      </c>
      <c r="B90" t="s">
        <v>697</v>
      </c>
      <c r="C90">
        <v>1230000</v>
      </c>
      <c r="D90" t="s">
        <v>541</v>
      </c>
      <c r="E90">
        <v>1230395</v>
      </c>
    </row>
    <row r="91" spans="1:5">
      <c r="A91" t="s">
        <v>729</v>
      </c>
      <c r="B91" t="s">
        <v>676</v>
      </c>
      <c r="C91">
        <v>110000</v>
      </c>
      <c r="D91" t="s">
        <v>546</v>
      </c>
      <c r="E91">
        <v>0</v>
      </c>
    </row>
    <row r="92" spans="1:5">
      <c r="A92" t="s">
        <v>730</v>
      </c>
      <c r="B92" t="s">
        <v>698</v>
      </c>
      <c r="C92">
        <v>730000</v>
      </c>
      <c r="D92" t="s">
        <v>541</v>
      </c>
      <c r="E92">
        <v>738190</v>
      </c>
    </row>
    <row r="93" spans="1:5">
      <c r="A93" t="s">
        <v>297</v>
      </c>
      <c r="B93" t="s">
        <v>699</v>
      </c>
      <c r="C93">
        <v>490000</v>
      </c>
      <c r="D93" t="s">
        <v>541</v>
      </c>
      <c r="E93">
        <v>520291</v>
      </c>
    </row>
    <row r="94" spans="1:5">
      <c r="A94" t="s">
        <v>298</v>
      </c>
      <c r="B94" t="s">
        <v>700</v>
      </c>
      <c r="C94">
        <v>420000</v>
      </c>
      <c r="E94">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dimension ref="A2:X5371"/>
  <sheetViews>
    <sheetView tabSelected="1" zoomScale="85" zoomScaleNormal="85" workbookViewId="0">
      <pane xSplit="3" ySplit="2" topLeftCell="I3" activePane="bottomRight" state="frozen"/>
      <selection pane="topRight" activeCell="D1" sqref="D1"/>
      <selection pane="bottomLeft" activeCell="A3" sqref="A3"/>
      <selection pane="bottomRight" activeCell="P12" sqref="P12"/>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4.33203125" bestFit="1" customWidth="1"/>
    <col min="16" max="16" width="17.5" customWidth="1"/>
    <col min="17" max="17" width="13" bestFit="1" customWidth="1"/>
    <col min="18" max="18" width="18.83203125" bestFit="1" customWidth="1"/>
    <col min="19" max="19" width="8.58203125" bestFit="1" customWidth="1"/>
    <col min="20" max="20" width="15.33203125" bestFit="1" customWidth="1"/>
    <col min="24" max="24" width="16.25" customWidth="1"/>
  </cols>
  <sheetData>
    <row r="2" spans="1:24">
      <c r="A2" s="577" t="s">
        <v>357</v>
      </c>
      <c r="B2" s="577" t="s">
        <v>432</v>
      </c>
      <c r="C2" s="577" t="s">
        <v>386</v>
      </c>
      <c r="D2" s="577" t="s">
        <v>122</v>
      </c>
      <c r="E2" s="577" t="s">
        <v>376</v>
      </c>
      <c r="F2" s="577" t="s">
        <v>381</v>
      </c>
      <c r="G2" s="577" t="s">
        <v>328</v>
      </c>
      <c r="H2" s="577" t="s">
        <v>731</v>
      </c>
      <c r="I2" s="577" t="s">
        <v>732</v>
      </c>
      <c r="J2" s="577" t="s">
        <v>378</v>
      </c>
      <c r="K2" s="577" t="s">
        <v>733</v>
      </c>
      <c r="L2" s="577" t="s">
        <v>734</v>
      </c>
      <c r="M2" s="577" t="s">
        <v>735</v>
      </c>
      <c r="N2" s="577" t="s">
        <v>736</v>
      </c>
      <c r="O2" s="577" t="s">
        <v>737</v>
      </c>
      <c r="P2" s="577" t="s">
        <v>374</v>
      </c>
      <c r="Q2" s="577" t="s">
        <v>518</v>
      </c>
      <c r="R2" s="577" t="s">
        <v>321</v>
      </c>
      <c r="S2" s="577" t="s">
        <v>738</v>
      </c>
      <c r="T2" s="577" t="s">
        <v>739</v>
      </c>
      <c r="U2" s="577" t="s">
        <v>740</v>
      </c>
      <c r="V2" s="577" t="s">
        <v>741</v>
      </c>
      <c r="W2" s="577" t="s">
        <v>742</v>
      </c>
      <c r="X2" s="577" t="s">
        <v>444</v>
      </c>
    </row>
    <row r="3" spans="1:24">
      <c r="A3" t="s">
        <v>358</v>
      </c>
      <c r="B3" t="s">
        <v>540</v>
      </c>
      <c r="C3" t="s">
        <v>160</v>
      </c>
      <c r="D3" t="s">
        <v>132</v>
      </c>
      <c r="E3" t="s">
        <v>377</v>
      </c>
      <c r="F3" t="s">
        <v>383</v>
      </c>
      <c r="G3" t="s">
        <v>98</v>
      </c>
      <c r="H3" t="s">
        <v>98</v>
      </c>
      <c r="I3" t="s">
        <v>743</v>
      </c>
      <c r="J3" t="s">
        <v>744</v>
      </c>
      <c r="K3" t="s">
        <v>546</v>
      </c>
      <c r="L3" s="784">
        <v>70800000</v>
      </c>
      <c r="M3" t="s">
        <v>745</v>
      </c>
      <c r="P3" t="s">
        <v>1887</v>
      </c>
      <c r="Q3" t="s">
        <v>406</v>
      </c>
      <c r="R3" t="s">
        <v>148</v>
      </c>
      <c r="S3" t="s">
        <v>145</v>
      </c>
      <c r="U3">
        <v>1</v>
      </c>
      <c r="V3" t="s">
        <v>544</v>
      </c>
      <c r="W3" t="s">
        <v>542</v>
      </c>
      <c r="X3" s="784">
        <v>95829480.719269618</v>
      </c>
    </row>
    <row r="4" spans="1:24">
      <c r="A4" t="s">
        <v>358</v>
      </c>
      <c r="B4" t="s">
        <v>543</v>
      </c>
      <c r="C4" t="s">
        <v>161</v>
      </c>
      <c r="D4" t="s">
        <v>127</v>
      </c>
      <c r="E4" t="s">
        <v>377</v>
      </c>
      <c r="F4" t="s">
        <v>383</v>
      </c>
      <c r="G4" t="s">
        <v>98</v>
      </c>
      <c r="H4" t="s">
        <v>98</v>
      </c>
      <c r="I4" t="s">
        <v>743</v>
      </c>
      <c r="J4" t="s">
        <v>744</v>
      </c>
      <c r="K4" t="s">
        <v>546</v>
      </c>
      <c r="L4" s="784" t="s">
        <v>575</v>
      </c>
      <c r="M4" t="s">
        <v>745</v>
      </c>
      <c r="P4" t="s">
        <v>1887</v>
      </c>
      <c r="Q4" t="s">
        <v>575</v>
      </c>
      <c r="R4" t="s">
        <v>152</v>
      </c>
      <c r="S4" t="s">
        <v>146</v>
      </c>
      <c r="U4">
        <v>0</v>
      </c>
      <c r="V4" t="s">
        <v>544</v>
      </c>
      <c r="W4" t="s">
        <v>575</v>
      </c>
      <c r="X4" s="784">
        <v>427904035.52443534</v>
      </c>
    </row>
    <row r="5" spans="1:24">
      <c r="A5" t="s">
        <v>358</v>
      </c>
      <c r="B5" t="s">
        <v>545</v>
      </c>
      <c r="C5" t="s">
        <v>143</v>
      </c>
      <c r="D5" t="s">
        <v>131</v>
      </c>
      <c r="E5" t="s">
        <v>377</v>
      </c>
      <c r="F5" t="s">
        <v>383</v>
      </c>
      <c r="G5" t="s">
        <v>98</v>
      </c>
      <c r="H5" t="s">
        <v>98</v>
      </c>
      <c r="I5" t="s">
        <v>743</v>
      </c>
      <c r="J5" t="s">
        <v>744</v>
      </c>
      <c r="K5" t="s">
        <v>546</v>
      </c>
      <c r="L5" s="784" t="s">
        <v>575</v>
      </c>
      <c r="M5" t="s">
        <v>745</v>
      </c>
      <c r="P5" t="s">
        <v>1887</v>
      </c>
      <c r="Q5" t="s">
        <v>575</v>
      </c>
      <c r="R5" t="s">
        <v>150</v>
      </c>
      <c r="S5" t="s">
        <v>145</v>
      </c>
      <c r="U5">
        <v>0</v>
      </c>
      <c r="V5" t="s">
        <v>544</v>
      </c>
      <c r="W5" t="s">
        <v>546</v>
      </c>
      <c r="X5" s="784">
        <v>7113361022.7267885</v>
      </c>
    </row>
    <row r="6" spans="1:24">
      <c r="A6" t="s">
        <v>358</v>
      </c>
      <c r="B6" t="s">
        <v>547</v>
      </c>
      <c r="C6" t="s">
        <v>162</v>
      </c>
      <c r="D6" t="s">
        <v>128</v>
      </c>
      <c r="E6" t="s">
        <v>377</v>
      </c>
      <c r="F6" t="s">
        <v>383</v>
      </c>
      <c r="G6" t="s">
        <v>98</v>
      </c>
      <c r="H6" t="s">
        <v>98</v>
      </c>
      <c r="I6" t="s">
        <v>743</v>
      </c>
      <c r="J6" t="s">
        <v>744</v>
      </c>
      <c r="K6" t="s">
        <v>546</v>
      </c>
      <c r="L6" s="784">
        <v>90000000</v>
      </c>
      <c r="M6" t="s">
        <v>745</v>
      </c>
      <c r="P6" t="s">
        <v>1887</v>
      </c>
      <c r="Q6" t="s">
        <v>406</v>
      </c>
      <c r="R6" t="s">
        <v>150</v>
      </c>
      <c r="S6" t="s">
        <v>145</v>
      </c>
      <c r="U6">
        <v>0</v>
      </c>
      <c r="V6" t="s">
        <v>544</v>
      </c>
      <c r="W6" t="s">
        <v>548</v>
      </c>
      <c r="X6" s="784">
        <v>1131865946.5875781</v>
      </c>
    </row>
    <row r="7" spans="1:24">
      <c r="A7" t="s">
        <v>358</v>
      </c>
      <c r="B7" t="s">
        <v>549</v>
      </c>
      <c r="C7" t="s">
        <v>163</v>
      </c>
      <c r="D7" t="s">
        <v>130</v>
      </c>
      <c r="E7" t="s">
        <v>377</v>
      </c>
      <c r="F7" t="s">
        <v>383</v>
      </c>
      <c r="G7" t="s">
        <v>98</v>
      </c>
      <c r="H7" t="s">
        <v>98</v>
      </c>
      <c r="I7" t="s">
        <v>743</v>
      </c>
      <c r="J7" t="s">
        <v>744</v>
      </c>
      <c r="K7" t="s">
        <v>546</v>
      </c>
      <c r="L7" s="784" t="s">
        <v>575</v>
      </c>
      <c r="M7" t="s">
        <v>745</v>
      </c>
      <c r="P7" t="s">
        <v>1887</v>
      </c>
      <c r="Q7" t="s">
        <v>575</v>
      </c>
      <c r="R7" t="s">
        <v>550</v>
      </c>
      <c r="S7" t="s">
        <v>146</v>
      </c>
      <c r="U7">
        <v>0</v>
      </c>
      <c r="V7" t="s">
        <v>541</v>
      </c>
      <c r="W7" t="s">
        <v>575</v>
      </c>
      <c r="X7" s="784">
        <v>46777779.823447868</v>
      </c>
    </row>
    <row r="8" spans="1:24">
      <c r="A8" t="s">
        <v>358</v>
      </c>
      <c r="B8" t="s">
        <v>551</v>
      </c>
      <c r="C8" t="s">
        <v>164</v>
      </c>
      <c r="D8" t="s">
        <v>130</v>
      </c>
      <c r="E8" t="s">
        <v>377</v>
      </c>
      <c r="F8" t="s">
        <v>383</v>
      </c>
      <c r="G8" t="s">
        <v>98</v>
      </c>
      <c r="H8" t="s">
        <v>98</v>
      </c>
      <c r="I8" t="s">
        <v>743</v>
      </c>
      <c r="J8" t="s">
        <v>744</v>
      </c>
      <c r="K8" t="s">
        <v>546</v>
      </c>
      <c r="L8" s="784">
        <v>498000000</v>
      </c>
      <c r="M8" t="s">
        <v>745</v>
      </c>
      <c r="P8" t="s">
        <v>1887</v>
      </c>
      <c r="Q8" t="s">
        <v>406</v>
      </c>
      <c r="R8" t="s">
        <v>152</v>
      </c>
      <c r="S8" t="s">
        <v>146</v>
      </c>
      <c r="U8">
        <v>0</v>
      </c>
      <c r="V8" t="s">
        <v>544</v>
      </c>
      <c r="W8" t="s">
        <v>575</v>
      </c>
      <c r="X8" s="784">
        <v>30725305777.596794</v>
      </c>
    </row>
    <row r="9" spans="1:24">
      <c r="A9" t="s">
        <v>358</v>
      </c>
      <c r="B9" t="s">
        <v>553</v>
      </c>
      <c r="C9" t="s">
        <v>165</v>
      </c>
      <c r="D9" t="s">
        <v>127</v>
      </c>
      <c r="E9" t="s">
        <v>377</v>
      </c>
      <c r="F9" t="s">
        <v>383</v>
      </c>
      <c r="G9" t="s">
        <v>98</v>
      </c>
      <c r="H9" t="s">
        <v>98</v>
      </c>
      <c r="I9" t="s">
        <v>743</v>
      </c>
      <c r="J9" t="s">
        <v>744</v>
      </c>
      <c r="K9" t="s">
        <v>546</v>
      </c>
      <c r="L9" s="784" t="s">
        <v>575</v>
      </c>
      <c r="M9" t="s">
        <v>745</v>
      </c>
      <c r="P9" t="s">
        <v>1887</v>
      </c>
      <c r="Q9" t="s">
        <v>575</v>
      </c>
      <c r="R9" t="s">
        <v>152</v>
      </c>
      <c r="S9" t="s">
        <v>146</v>
      </c>
      <c r="U9">
        <v>0</v>
      </c>
      <c r="V9" t="s">
        <v>544</v>
      </c>
      <c r="W9" t="s">
        <v>575</v>
      </c>
      <c r="X9" s="784">
        <v>153815827.8380394</v>
      </c>
    </row>
    <row r="10" spans="1:24">
      <c r="A10" t="s">
        <v>358</v>
      </c>
      <c r="B10" t="s">
        <v>554</v>
      </c>
      <c r="C10" t="s">
        <v>166</v>
      </c>
      <c r="D10" t="s">
        <v>127</v>
      </c>
      <c r="E10" t="s">
        <v>377</v>
      </c>
      <c r="F10" t="s">
        <v>383</v>
      </c>
      <c r="G10" t="s">
        <v>98</v>
      </c>
      <c r="H10" t="s">
        <v>98</v>
      </c>
      <c r="I10" t="s">
        <v>743</v>
      </c>
      <c r="J10" t="s">
        <v>744</v>
      </c>
      <c r="K10" t="s">
        <v>546</v>
      </c>
      <c r="L10" s="784">
        <v>0</v>
      </c>
      <c r="M10" t="s">
        <v>745</v>
      </c>
      <c r="P10" t="s">
        <v>1887</v>
      </c>
      <c r="Q10" t="s">
        <v>575</v>
      </c>
      <c r="R10" t="s">
        <v>152</v>
      </c>
      <c r="S10" t="s">
        <v>146</v>
      </c>
      <c r="U10">
        <v>0</v>
      </c>
      <c r="V10" t="s">
        <v>544</v>
      </c>
      <c r="W10" t="s">
        <v>546</v>
      </c>
      <c r="X10" s="784">
        <v>437525105.31216973</v>
      </c>
    </row>
    <row r="11" spans="1:24">
      <c r="A11" t="s">
        <v>358</v>
      </c>
      <c r="B11" t="s">
        <v>555</v>
      </c>
      <c r="C11" t="s">
        <v>556</v>
      </c>
      <c r="D11" t="s">
        <v>130</v>
      </c>
      <c r="E11" t="s">
        <v>377</v>
      </c>
      <c r="F11" t="s">
        <v>383</v>
      </c>
      <c r="G11" t="s">
        <v>98</v>
      </c>
      <c r="H11" t="s">
        <v>98</v>
      </c>
      <c r="I11" t="s">
        <v>743</v>
      </c>
      <c r="J11" t="s">
        <v>744</v>
      </c>
      <c r="K11" t="s">
        <v>546</v>
      </c>
      <c r="L11" s="784" t="s">
        <v>575</v>
      </c>
      <c r="M11" t="s">
        <v>745</v>
      </c>
      <c r="P11" t="s">
        <v>1887</v>
      </c>
      <c r="Q11" t="s">
        <v>575</v>
      </c>
      <c r="R11" t="s">
        <v>550</v>
      </c>
      <c r="S11" t="s">
        <v>146</v>
      </c>
      <c r="U11">
        <v>0</v>
      </c>
      <c r="V11" t="s">
        <v>541</v>
      </c>
      <c r="W11" t="s">
        <v>575</v>
      </c>
      <c r="X11" s="784">
        <v>149463302.00602186</v>
      </c>
    </row>
    <row r="12" spans="1:24">
      <c r="A12" t="s">
        <v>358</v>
      </c>
      <c r="B12" t="s">
        <v>557</v>
      </c>
      <c r="C12" t="s">
        <v>167</v>
      </c>
      <c r="D12" t="s">
        <v>132</v>
      </c>
      <c r="E12" t="s">
        <v>377</v>
      </c>
      <c r="F12" t="s">
        <v>383</v>
      </c>
      <c r="G12" t="s">
        <v>98</v>
      </c>
      <c r="H12" t="s">
        <v>98</v>
      </c>
      <c r="I12" t="s">
        <v>743</v>
      </c>
      <c r="J12" t="s">
        <v>744</v>
      </c>
      <c r="K12" t="s">
        <v>546</v>
      </c>
      <c r="L12" s="784">
        <v>412300000</v>
      </c>
      <c r="M12" t="s">
        <v>745</v>
      </c>
      <c r="P12" t="s">
        <v>1887</v>
      </c>
      <c r="Q12" t="s">
        <v>406</v>
      </c>
      <c r="R12" t="s">
        <v>150</v>
      </c>
      <c r="S12" t="s">
        <v>145</v>
      </c>
      <c r="U12">
        <v>0</v>
      </c>
      <c r="V12" t="s">
        <v>544</v>
      </c>
      <c r="W12" t="s">
        <v>558</v>
      </c>
      <c r="X12" s="784">
        <v>1148322593.9600098</v>
      </c>
    </row>
    <row r="13" spans="1:24">
      <c r="A13" t="s">
        <v>358</v>
      </c>
      <c r="B13" t="s">
        <v>559</v>
      </c>
      <c r="C13" t="s">
        <v>168</v>
      </c>
      <c r="D13" t="s">
        <v>127</v>
      </c>
      <c r="E13" t="s">
        <v>377</v>
      </c>
      <c r="F13" t="s">
        <v>383</v>
      </c>
      <c r="G13" t="s">
        <v>98</v>
      </c>
      <c r="H13" t="s">
        <v>98</v>
      </c>
      <c r="I13" t="s">
        <v>743</v>
      </c>
      <c r="J13" t="s">
        <v>744</v>
      </c>
      <c r="K13" t="s">
        <v>546</v>
      </c>
      <c r="L13" s="784" t="s">
        <v>575</v>
      </c>
      <c r="M13" t="s">
        <v>745</v>
      </c>
      <c r="P13" t="s">
        <v>1887</v>
      </c>
      <c r="Q13" t="s">
        <v>575</v>
      </c>
      <c r="R13" t="s">
        <v>152</v>
      </c>
      <c r="S13" t="s">
        <v>146</v>
      </c>
      <c r="U13">
        <v>0</v>
      </c>
      <c r="V13" t="s">
        <v>544</v>
      </c>
      <c r="W13" t="s">
        <v>575</v>
      </c>
      <c r="X13" s="784">
        <v>2371102058.1093163</v>
      </c>
    </row>
    <row r="14" spans="1:24">
      <c r="A14" t="s">
        <v>358</v>
      </c>
      <c r="B14" t="s">
        <v>560</v>
      </c>
      <c r="C14" t="s">
        <v>169</v>
      </c>
      <c r="D14" t="s">
        <v>130</v>
      </c>
      <c r="E14" t="s">
        <v>377</v>
      </c>
      <c r="F14" t="s">
        <v>383</v>
      </c>
      <c r="G14" t="s">
        <v>98</v>
      </c>
      <c r="H14" t="s">
        <v>98</v>
      </c>
      <c r="I14" t="s">
        <v>743</v>
      </c>
      <c r="J14" t="s">
        <v>744</v>
      </c>
      <c r="K14" t="s">
        <v>546</v>
      </c>
      <c r="L14" s="784" t="s">
        <v>575</v>
      </c>
      <c r="M14" t="s">
        <v>745</v>
      </c>
      <c r="P14" t="s">
        <v>1887</v>
      </c>
      <c r="Q14" t="s">
        <v>575</v>
      </c>
      <c r="R14" t="s">
        <v>150</v>
      </c>
      <c r="S14" t="s">
        <v>146</v>
      </c>
      <c r="U14">
        <v>0</v>
      </c>
      <c r="V14" t="s">
        <v>541</v>
      </c>
      <c r="W14" t="s">
        <v>546</v>
      </c>
      <c r="X14" s="784">
        <v>75151620.005215243</v>
      </c>
    </row>
    <row r="15" spans="1:24">
      <c r="A15" t="s">
        <v>358</v>
      </c>
      <c r="B15" t="s">
        <v>561</v>
      </c>
      <c r="C15" t="s">
        <v>170</v>
      </c>
      <c r="D15" t="s">
        <v>129</v>
      </c>
      <c r="E15" t="s">
        <v>377</v>
      </c>
      <c r="F15" t="s">
        <v>383</v>
      </c>
      <c r="G15" t="s">
        <v>98</v>
      </c>
      <c r="H15" t="s">
        <v>98</v>
      </c>
      <c r="I15" t="s">
        <v>743</v>
      </c>
      <c r="J15" t="s">
        <v>744</v>
      </c>
      <c r="K15" t="s">
        <v>546</v>
      </c>
      <c r="L15" s="784">
        <v>25000000</v>
      </c>
      <c r="M15" t="s">
        <v>745</v>
      </c>
      <c r="P15" t="s">
        <v>1887</v>
      </c>
      <c r="Q15" t="s">
        <v>406</v>
      </c>
      <c r="R15" t="s">
        <v>150</v>
      </c>
      <c r="S15" t="s">
        <v>145</v>
      </c>
      <c r="U15">
        <v>0</v>
      </c>
      <c r="V15" t="s">
        <v>544</v>
      </c>
      <c r="W15" t="s">
        <v>562</v>
      </c>
      <c r="X15" s="784">
        <v>69958487.197715744</v>
      </c>
    </row>
    <row r="16" spans="1:24">
      <c r="A16" t="s">
        <v>358</v>
      </c>
      <c r="B16" t="s">
        <v>563</v>
      </c>
      <c r="C16" t="s">
        <v>171</v>
      </c>
      <c r="D16" t="s">
        <v>132</v>
      </c>
      <c r="E16" t="s">
        <v>377</v>
      </c>
      <c r="F16" t="s">
        <v>383</v>
      </c>
      <c r="G16" t="s">
        <v>98</v>
      </c>
      <c r="H16" t="s">
        <v>98</v>
      </c>
      <c r="I16" t="s">
        <v>743</v>
      </c>
      <c r="J16" t="s">
        <v>744</v>
      </c>
      <c r="K16" t="s">
        <v>546</v>
      </c>
      <c r="L16" s="784">
        <v>0</v>
      </c>
      <c r="M16" t="s">
        <v>745</v>
      </c>
      <c r="P16" t="s">
        <v>1887</v>
      </c>
      <c r="Q16" t="s">
        <v>406</v>
      </c>
      <c r="R16" t="s">
        <v>150</v>
      </c>
      <c r="S16" t="s">
        <v>145</v>
      </c>
      <c r="U16">
        <v>0</v>
      </c>
      <c r="V16" t="s">
        <v>544</v>
      </c>
      <c r="W16" t="s">
        <v>548</v>
      </c>
      <c r="X16" s="784">
        <v>61654608.560629159</v>
      </c>
    </row>
    <row r="17" spans="1:24">
      <c r="A17" t="s">
        <v>358</v>
      </c>
      <c r="B17" t="s">
        <v>564</v>
      </c>
      <c r="C17" t="s">
        <v>172</v>
      </c>
      <c r="D17" t="s">
        <v>130</v>
      </c>
      <c r="E17" t="s">
        <v>377</v>
      </c>
      <c r="F17" t="s">
        <v>383</v>
      </c>
      <c r="G17" t="s">
        <v>98</v>
      </c>
      <c r="H17" t="s">
        <v>98</v>
      </c>
      <c r="I17" t="s">
        <v>743</v>
      </c>
      <c r="J17" t="s">
        <v>744</v>
      </c>
      <c r="K17" t="s">
        <v>546</v>
      </c>
      <c r="L17" s="784">
        <v>0</v>
      </c>
      <c r="M17" t="s">
        <v>745</v>
      </c>
      <c r="P17" t="s">
        <v>1887</v>
      </c>
      <c r="Q17" t="s">
        <v>575</v>
      </c>
      <c r="R17" t="s">
        <v>150</v>
      </c>
      <c r="S17" t="s">
        <v>145</v>
      </c>
      <c r="U17">
        <v>0</v>
      </c>
      <c r="V17" t="s">
        <v>544</v>
      </c>
      <c r="W17" t="s">
        <v>546</v>
      </c>
      <c r="X17" s="784">
        <v>1806638707.7615163</v>
      </c>
    </row>
    <row r="18" spans="1:24">
      <c r="A18" t="s">
        <v>358</v>
      </c>
      <c r="B18" t="s">
        <v>565</v>
      </c>
      <c r="C18" t="s">
        <v>174</v>
      </c>
      <c r="D18" t="s">
        <v>127</v>
      </c>
      <c r="E18" t="s">
        <v>377</v>
      </c>
      <c r="F18" t="s">
        <v>383</v>
      </c>
      <c r="G18" t="s">
        <v>98</v>
      </c>
      <c r="H18" t="s">
        <v>98</v>
      </c>
      <c r="I18" t="s">
        <v>743</v>
      </c>
      <c r="J18" t="s">
        <v>744</v>
      </c>
      <c r="K18" t="s">
        <v>546</v>
      </c>
      <c r="L18" s="784" t="s">
        <v>575</v>
      </c>
      <c r="M18" t="s">
        <v>745</v>
      </c>
      <c r="P18" t="s">
        <v>1887</v>
      </c>
      <c r="Q18" t="s">
        <v>575</v>
      </c>
      <c r="R18" t="s">
        <v>152</v>
      </c>
      <c r="S18" t="s">
        <v>146</v>
      </c>
      <c r="U18">
        <v>0</v>
      </c>
      <c r="V18" t="s">
        <v>544</v>
      </c>
      <c r="W18" t="s">
        <v>546</v>
      </c>
      <c r="X18" s="784">
        <v>1252696525.0627904</v>
      </c>
    </row>
    <row r="19" spans="1:24">
      <c r="A19" t="s">
        <v>358</v>
      </c>
      <c r="B19" t="s">
        <v>566</v>
      </c>
      <c r="C19" t="s">
        <v>175</v>
      </c>
      <c r="D19" t="s">
        <v>128</v>
      </c>
      <c r="E19" t="s">
        <v>377</v>
      </c>
      <c r="F19" t="s">
        <v>383</v>
      </c>
      <c r="G19" t="s">
        <v>98</v>
      </c>
      <c r="H19" t="s">
        <v>98</v>
      </c>
      <c r="I19" t="s">
        <v>743</v>
      </c>
      <c r="J19" t="s">
        <v>744</v>
      </c>
      <c r="K19" t="s">
        <v>546</v>
      </c>
      <c r="L19" s="784" t="s">
        <v>575</v>
      </c>
      <c r="M19" t="s">
        <v>745</v>
      </c>
      <c r="P19" t="s">
        <v>1887</v>
      </c>
      <c r="Q19" t="s">
        <v>575</v>
      </c>
      <c r="R19" t="s">
        <v>152</v>
      </c>
      <c r="S19" t="s">
        <v>146</v>
      </c>
      <c r="U19">
        <v>0</v>
      </c>
      <c r="V19" t="s">
        <v>544</v>
      </c>
      <c r="W19" t="s">
        <v>575</v>
      </c>
      <c r="X19" s="784">
        <v>843425084.07334602</v>
      </c>
    </row>
    <row r="20" spans="1:24">
      <c r="A20" t="s">
        <v>358</v>
      </c>
      <c r="B20" t="s">
        <v>567</v>
      </c>
      <c r="C20" t="s">
        <v>144</v>
      </c>
      <c r="D20" t="s">
        <v>130</v>
      </c>
      <c r="E20" t="s">
        <v>377</v>
      </c>
      <c r="F20" t="s">
        <v>383</v>
      </c>
      <c r="G20" t="s">
        <v>98</v>
      </c>
      <c r="H20" t="s">
        <v>98</v>
      </c>
      <c r="I20" t="s">
        <v>743</v>
      </c>
      <c r="J20" t="s">
        <v>744</v>
      </c>
      <c r="K20" t="s">
        <v>546</v>
      </c>
      <c r="L20" s="784" t="s">
        <v>575</v>
      </c>
      <c r="M20" t="s">
        <v>745</v>
      </c>
      <c r="P20" t="s">
        <v>1887</v>
      </c>
      <c r="Q20" t="s">
        <v>575</v>
      </c>
      <c r="R20" t="s">
        <v>152</v>
      </c>
      <c r="S20" t="s">
        <v>146</v>
      </c>
      <c r="U20">
        <v>0</v>
      </c>
      <c r="V20" t="s">
        <v>544</v>
      </c>
      <c r="W20" t="s">
        <v>546</v>
      </c>
      <c r="X20" s="784">
        <v>74055620038.853683</v>
      </c>
    </row>
    <row r="21" spans="1:24">
      <c r="A21" t="s">
        <v>358</v>
      </c>
      <c r="B21" t="s">
        <v>568</v>
      </c>
      <c r="C21" t="s">
        <v>176</v>
      </c>
      <c r="D21" t="s">
        <v>127</v>
      </c>
      <c r="E21" t="s">
        <v>377</v>
      </c>
      <c r="F21" t="s">
        <v>383</v>
      </c>
      <c r="G21" t="s">
        <v>98</v>
      </c>
      <c r="H21" t="s">
        <v>98</v>
      </c>
      <c r="I21" t="s">
        <v>743</v>
      </c>
      <c r="J21" t="s">
        <v>744</v>
      </c>
      <c r="K21" t="s">
        <v>546</v>
      </c>
      <c r="L21" s="784" t="s">
        <v>575</v>
      </c>
      <c r="M21" t="s">
        <v>745</v>
      </c>
      <c r="P21" t="s">
        <v>1887</v>
      </c>
      <c r="Q21" t="s">
        <v>575</v>
      </c>
      <c r="R21" t="s">
        <v>152</v>
      </c>
      <c r="S21" t="s">
        <v>146</v>
      </c>
      <c r="U21">
        <v>0</v>
      </c>
      <c r="V21" t="s">
        <v>544</v>
      </c>
      <c r="W21" t="s">
        <v>575</v>
      </c>
      <c r="X21" s="784">
        <v>2803357765.5888777</v>
      </c>
    </row>
    <row r="22" spans="1:24">
      <c r="A22" t="s">
        <v>358</v>
      </c>
      <c r="B22" t="s">
        <v>569</v>
      </c>
      <c r="C22" t="s">
        <v>177</v>
      </c>
      <c r="D22" t="s">
        <v>129</v>
      </c>
      <c r="E22" t="s">
        <v>377</v>
      </c>
      <c r="F22" t="s">
        <v>383</v>
      </c>
      <c r="G22" t="s">
        <v>98</v>
      </c>
      <c r="H22" t="s">
        <v>98</v>
      </c>
      <c r="I22" t="s">
        <v>743</v>
      </c>
      <c r="J22" t="s">
        <v>744</v>
      </c>
      <c r="K22" t="s">
        <v>546</v>
      </c>
      <c r="L22" s="784" t="s">
        <v>575</v>
      </c>
      <c r="M22" t="s">
        <v>745</v>
      </c>
      <c r="P22" t="s">
        <v>1887</v>
      </c>
      <c r="Q22" t="s">
        <v>575</v>
      </c>
      <c r="R22" t="s">
        <v>148</v>
      </c>
      <c r="S22" t="s">
        <v>145</v>
      </c>
      <c r="U22">
        <v>2</v>
      </c>
      <c r="V22" t="s">
        <v>544</v>
      </c>
      <c r="W22" t="s">
        <v>562</v>
      </c>
      <c r="X22" s="784">
        <v>337927779.25510043</v>
      </c>
    </row>
    <row r="23" spans="1:24">
      <c r="A23" t="s">
        <v>358</v>
      </c>
      <c r="B23" t="s">
        <v>570</v>
      </c>
      <c r="C23" t="s">
        <v>178</v>
      </c>
      <c r="D23" t="s">
        <v>128</v>
      </c>
      <c r="E23" t="s">
        <v>377</v>
      </c>
      <c r="F23" t="s">
        <v>383</v>
      </c>
      <c r="G23" t="s">
        <v>98</v>
      </c>
      <c r="H23" t="s">
        <v>98</v>
      </c>
      <c r="I23" t="s">
        <v>743</v>
      </c>
      <c r="J23" t="s">
        <v>744</v>
      </c>
      <c r="K23" t="s">
        <v>546</v>
      </c>
      <c r="L23" s="784">
        <v>21300000</v>
      </c>
      <c r="M23" t="s">
        <v>745</v>
      </c>
      <c r="P23" t="s">
        <v>1887</v>
      </c>
      <c r="Q23" t="s">
        <v>406</v>
      </c>
      <c r="R23" t="s">
        <v>148</v>
      </c>
      <c r="S23" t="s">
        <v>145</v>
      </c>
      <c r="U23">
        <v>2</v>
      </c>
      <c r="V23" t="s">
        <v>544</v>
      </c>
      <c r="W23" t="s">
        <v>548</v>
      </c>
      <c r="X23" s="784">
        <v>65979512.47399316</v>
      </c>
    </row>
    <row r="24" spans="1:24">
      <c r="A24" t="s">
        <v>358</v>
      </c>
      <c r="B24" t="s">
        <v>571</v>
      </c>
      <c r="C24" t="s">
        <v>179</v>
      </c>
      <c r="D24" t="s">
        <v>129</v>
      </c>
      <c r="E24" t="s">
        <v>377</v>
      </c>
      <c r="F24" t="s">
        <v>383</v>
      </c>
      <c r="G24" t="s">
        <v>98</v>
      </c>
      <c r="H24" t="s">
        <v>98</v>
      </c>
      <c r="I24" t="s">
        <v>743</v>
      </c>
      <c r="J24" t="s">
        <v>744</v>
      </c>
      <c r="K24" t="s">
        <v>546</v>
      </c>
      <c r="L24" s="784">
        <v>8600000</v>
      </c>
      <c r="M24" t="s">
        <v>745</v>
      </c>
      <c r="P24" t="s">
        <v>1887</v>
      </c>
      <c r="Q24" t="s">
        <v>406</v>
      </c>
      <c r="R24" t="s">
        <v>150</v>
      </c>
      <c r="S24" t="s">
        <v>145</v>
      </c>
      <c r="U24">
        <v>0</v>
      </c>
      <c r="V24" t="s">
        <v>541</v>
      </c>
      <c r="W24" t="s">
        <v>542</v>
      </c>
      <c r="X24" s="784">
        <v>63748362.778827004</v>
      </c>
    </row>
    <row r="25" spans="1:24">
      <c r="A25" t="s">
        <v>358</v>
      </c>
      <c r="B25" t="s">
        <v>572</v>
      </c>
      <c r="C25" t="s">
        <v>180</v>
      </c>
      <c r="D25" t="s">
        <v>126</v>
      </c>
      <c r="E25" t="s">
        <v>377</v>
      </c>
      <c r="F25" t="s">
        <v>383</v>
      </c>
      <c r="G25" t="s">
        <v>98</v>
      </c>
      <c r="H25" t="s">
        <v>98</v>
      </c>
      <c r="I25" t="s">
        <v>743</v>
      </c>
      <c r="J25" t="s">
        <v>744</v>
      </c>
      <c r="K25" t="s">
        <v>546</v>
      </c>
      <c r="L25" s="784">
        <v>0</v>
      </c>
      <c r="M25" t="s">
        <v>745</v>
      </c>
      <c r="P25" t="s">
        <v>1887</v>
      </c>
      <c r="Q25" t="s">
        <v>406</v>
      </c>
      <c r="R25" t="s">
        <v>150</v>
      </c>
      <c r="S25" t="s">
        <v>145</v>
      </c>
      <c r="U25">
        <v>0</v>
      </c>
      <c r="V25" t="s">
        <v>544</v>
      </c>
      <c r="W25" t="s">
        <v>558</v>
      </c>
      <c r="X25" s="784">
        <v>313039649.45369786</v>
      </c>
    </row>
    <row r="26" spans="1:24">
      <c r="A26" t="s">
        <v>358</v>
      </c>
      <c r="B26" t="s">
        <v>573</v>
      </c>
      <c r="C26" t="s">
        <v>181</v>
      </c>
      <c r="D26" t="s">
        <v>129</v>
      </c>
      <c r="E26" t="s">
        <v>377</v>
      </c>
      <c r="F26" t="s">
        <v>383</v>
      </c>
      <c r="G26" t="s">
        <v>98</v>
      </c>
      <c r="H26" t="s">
        <v>98</v>
      </c>
      <c r="I26" t="s">
        <v>743</v>
      </c>
      <c r="J26" t="s">
        <v>744</v>
      </c>
      <c r="K26" t="s">
        <v>546</v>
      </c>
      <c r="L26" s="784">
        <v>29600000</v>
      </c>
      <c r="M26" t="s">
        <v>745</v>
      </c>
      <c r="P26" t="s">
        <v>1887</v>
      </c>
      <c r="Q26" t="s">
        <v>406</v>
      </c>
      <c r="R26" t="s">
        <v>150</v>
      </c>
      <c r="S26" t="s">
        <v>145</v>
      </c>
      <c r="U26">
        <v>2</v>
      </c>
      <c r="V26" t="s">
        <v>544</v>
      </c>
      <c r="W26" t="s">
        <v>542</v>
      </c>
      <c r="X26" s="784">
        <v>81361801.477472037</v>
      </c>
    </row>
    <row r="27" spans="1:24">
      <c r="A27" t="s">
        <v>358</v>
      </c>
      <c r="B27" t="s">
        <v>574</v>
      </c>
      <c r="C27" t="s">
        <v>182</v>
      </c>
      <c r="D27" t="s">
        <v>129</v>
      </c>
      <c r="E27" t="s">
        <v>377</v>
      </c>
      <c r="F27" t="s">
        <v>383</v>
      </c>
      <c r="G27" t="s">
        <v>98</v>
      </c>
      <c r="H27" t="s">
        <v>98</v>
      </c>
      <c r="I27" t="s">
        <v>743</v>
      </c>
      <c r="J27" t="s">
        <v>744</v>
      </c>
      <c r="K27" t="s">
        <v>546</v>
      </c>
      <c r="L27" s="784" t="s">
        <v>575</v>
      </c>
      <c r="M27" t="s">
        <v>745</v>
      </c>
      <c r="P27" t="s">
        <v>1887</v>
      </c>
      <c r="Q27" t="s">
        <v>575</v>
      </c>
      <c r="R27" t="s">
        <v>148</v>
      </c>
      <c r="S27" t="s">
        <v>145</v>
      </c>
      <c r="U27">
        <v>1</v>
      </c>
      <c r="V27" t="s">
        <v>544</v>
      </c>
      <c r="W27" t="s">
        <v>542</v>
      </c>
      <c r="X27" s="784" t="s">
        <v>575</v>
      </c>
    </row>
    <row r="28" spans="1:24">
      <c r="A28" t="s">
        <v>358</v>
      </c>
      <c r="B28" t="s">
        <v>576</v>
      </c>
      <c r="C28" t="s">
        <v>183</v>
      </c>
      <c r="D28" t="s">
        <v>129</v>
      </c>
      <c r="E28" t="s">
        <v>377</v>
      </c>
      <c r="F28" t="s">
        <v>383</v>
      </c>
      <c r="G28" t="s">
        <v>98</v>
      </c>
      <c r="H28" t="s">
        <v>98</v>
      </c>
      <c r="I28" t="s">
        <v>743</v>
      </c>
      <c r="J28" t="s">
        <v>744</v>
      </c>
      <c r="K28" t="s">
        <v>546</v>
      </c>
      <c r="L28" s="784">
        <v>26200000</v>
      </c>
      <c r="M28" t="s">
        <v>745</v>
      </c>
      <c r="P28" t="s">
        <v>1887</v>
      </c>
      <c r="Q28" t="s">
        <v>406</v>
      </c>
      <c r="R28" t="s">
        <v>148</v>
      </c>
      <c r="S28" t="s">
        <v>145</v>
      </c>
      <c r="U28">
        <v>1</v>
      </c>
      <c r="V28" t="s">
        <v>544</v>
      </c>
      <c r="W28" t="s">
        <v>542</v>
      </c>
      <c r="X28" s="784">
        <v>76939306.715636879</v>
      </c>
    </row>
    <row r="29" spans="1:24">
      <c r="A29" t="s">
        <v>358</v>
      </c>
      <c r="B29" t="s">
        <v>577</v>
      </c>
      <c r="C29" t="s">
        <v>184</v>
      </c>
      <c r="D29" t="s">
        <v>130</v>
      </c>
      <c r="E29" t="s">
        <v>377</v>
      </c>
      <c r="F29" t="s">
        <v>383</v>
      </c>
      <c r="G29" t="s">
        <v>98</v>
      </c>
      <c r="H29" t="s">
        <v>98</v>
      </c>
      <c r="I29" t="s">
        <v>743</v>
      </c>
      <c r="J29" t="s">
        <v>744</v>
      </c>
      <c r="K29" t="s">
        <v>546</v>
      </c>
      <c r="L29" s="784" t="s">
        <v>575</v>
      </c>
      <c r="M29" t="s">
        <v>745</v>
      </c>
      <c r="P29" t="s">
        <v>1887</v>
      </c>
      <c r="Q29" t="s">
        <v>575</v>
      </c>
      <c r="R29" t="s">
        <v>550</v>
      </c>
      <c r="S29" t="s">
        <v>146</v>
      </c>
      <c r="U29">
        <v>0</v>
      </c>
      <c r="V29" t="s">
        <v>544</v>
      </c>
      <c r="W29" t="s">
        <v>575</v>
      </c>
      <c r="X29" s="784">
        <v>13859708717.682571</v>
      </c>
    </row>
    <row r="30" spans="1:24">
      <c r="A30" t="s">
        <v>358</v>
      </c>
      <c r="B30" t="s">
        <v>578</v>
      </c>
      <c r="C30" t="s">
        <v>185</v>
      </c>
      <c r="D30" t="s">
        <v>126</v>
      </c>
      <c r="E30" t="s">
        <v>377</v>
      </c>
      <c r="F30" t="s">
        <v>383</v>
      </c>
      <c r="G30" t="s">
        <v>98</v>
      </c>
      <c r="H30" t="s">
        <v>98</v>
      </c>
      <c r="I30" t="s">
        <v>743</v>
      </c>
      <c r="J30" t="s">
        <v>744</v>
      </c>
      <c r="K30" t="s">
        <v>546</v>
      </c>
      <c r="L30" s="784" t="s">
        <v>575</v>
      </c>
      <c r="M30" t="s">
        <v>745</v>
      </c>
      <c r="P30" t="s">
        <v>1887</v>
      </c>
      <c r="Q30" t="s">
        <v>575</v>
      </c>
      <c r="R30" t="s">
        <v>152</v>
      </c>
      <c r="S30" t="s">
        <v>146</v>
      </c>
      <c r="U30">
        <v>0</v>
      </c>
      <c r="V30" t="s">
        <v>544</v>
      </c>
      <c r="W30" t="s">
        <v>575</v>
      </c>
      <c r="X30" s="784">
        <v>403567160707.7016</v>
      </c>
    </row>
    <row r="31" spans="1:24">
      <c r="A31" t="s">
        <v>358</v>
      </c>
      <c r="B31" t="s">
        <v>579</v>
      </c>
      <c r="C31" t="s">
        <v>186</v>
      </c>
      <c r="D31" t="s">
        <v>130</v>
      </c>
      <c r="E31" t="s">
        <v>377</v>
      </c>
      <c r="F31" t="s">
        <v>383</v>
      </c>
      <c r="G31" t="s">
        <v>98</v>
      </c>
      <c r="H31" t="s">
        <v>98</v>
      </c>
      <c r="I31" t="s">
        <v>743</v>
      </c>
      <c r="J31" t="s">
        <v>744</v>
      </c>
      <c r="K31" t="s">
        <v>546</v>
      </c>
      <c r="L31" s="784" t="s">
        <v>575</v>
      </c>
      <c r="M31" t="s">
        <v>745</v>
      </c>
      <c r="P31" t="s">
        <v>1887</v>
      </c>
      <c r="Q31" t="s">
        <v>575</v>
      </c>
      <c r="R31" t="s">
        <v>152</v>
      </c>
      <c r="S31" t="s">
        <v>146</v>
      </c>
      <c r="U31">
        <v>0</v>
      </c>
      <c r="V31" t="s">
        <v>544</v>
      </c>
      <c r="W31" t="s">
        <v>575</v>
      </c>
      <c r="X31" s="784">
        <v>18250225995.972618</v>
      </c>
    </row>
    <row r="32" spans="1:24">
      <c r="A32" t="s">
        <v>358</v>
      </c>
      <c r="B32" t="s">
        <v>580</v>
      </c>
      <c r="C32" t="s">
        <v>187</v>
      </c>
      <c r="D32" t="s">
        <v>128</v>
      </c>
      <c r="E32" t="s">
        <v>377</v>
      </c>
      <c r="F32" t="s">
        <v>383</v>
      </c>
      <c r="G32" t="s">
        <v>98</v>
      </c>
      <c r="H32" t="s">
        <v>98</v>
      </c>
      <c r="I32" t="s">
        <v>743</v>
      </c>
      <c r="J32" t="s">
        <v>744</v>
      </c>
      <c r="K32" t="s">
        <v>546</v>
      </c>
      <c r="L32" s="784">
        <v>5600000</v>
      </c>
      <c r="M32" t="s">
        <v>745</v>
      </c>
      <c r="P32" t="s">
        <v>1887</v>
      </c>
      <c r="Q32" t="s">
        <v>406</v>
      </c>
      <c r="R32" t="s">
        <v>150</v>
      </c>
      <c r="S32" t="s">
        <v>145</v>
      </c>
      <c r="U32">
        <v>0</v>
      </c>
      <c r="V32" t="s">
        <v>541</v>
      </c>
      <c r="W32" t="s">
        <v>562</v>
      </c>
      <c r="X32" s="784">
        <v>5027591.1682657599</v>
      </c>
    </row>
    <row r="33" spans="1:24">
      <c r="A33" t="s">
        <v>358</v>
      </c>
      <c r="B33" t="s">
        <v>581</v>
      </c>
      <c r="C33" t="s">
        <v>188</v>
      </c>
      <c r="D33" t="s">
        <v>129</v>
      </c>
      <c r="E33" t="s">
        <v>377</v>
      </c>
      <c r="F33" t="s">
        <v>383</v>
      </c>
      <c r="G33" t="s">
        <v>98</v>
      </c>
      <c r="H33" t="s">
        <v>98</v>
      </c>
      <c r="I33" t="s">
        <v>743</v>
      </c>
      <c r="J33" t="s">
        <v>744</v>
      </c>
      <c r="K33" t="s">
        <v>546</v>
      </c>
      <c r="L33" s="784">
        <v>85000000</v>
      </c>
      <c r="M33" t="s">
        <v>745</v>
      </c>
      <c r="P33" t="s">
        <v>1887</v>
      </c>
      <c r="Q33" t="s">
        <v>406</v>
      </c>
      <c r="R33" t="s">
        <v>148</v>
      </c>
      <c r="S33" t="s">
        <v>145</v>
      </c>
      <c r="U33">
        <v>3</v>
      </c>
      <c r="V33" t="s">
        <v>544</v>
      </c>
      <c r="W33" t="s">
        <v>562</v>
      </c>
      <c r="X33" s="784">
        <v>234645958.63289919</v>
      </c>
    </row>
    <row r="34" spans="1:24">
      <c r="A34" t="s">
        <v>358</v>
      </c>
      <c r="B34" t="s">
        <v>582</v>
      </c>
      <c r="C34" t="s">
        <v>189</v>
      </c>
      <c r="D34" t="s">
        <v>129</v>
      </c>
      <c r="E34" t="s">
        <v>377</v>
      </c>
      <c r="F34" t="s">
        <v>383</v>
      </c>
      <c r="G34" t="s">
        <v>98</v>
      </c>
      <c r="H34" t="s">
        <v>98</v>
      </c>
      <c r="I34" t="s">
        <v>743</v>
      </c>
      <c r="J34" t="s">
        <v>744</v>
      </c>
      <c r="K34" t="s">
        <v>546</v>
      </c>
      <c r="L34" s="784">
        <v>7100000</v>
      </c>
      <c r="M34" t="s">
        <v>745</v>
      </c>
      <c r="P34" t="s">
        <v>1887</v>
      </c>
      <c r="Q34" t="s">
        <v>406</v>
      </c>
      <c r="R34" t="s">
        <v>150</v>
      </c>
      <c r="S34" t="s">
        <v>145</v>
      </c>
      <c r="U34">
        <v>2</v>
      </c>
      <c r="V34" t="s">
        <v>544</v>
      </c>
      <c r="W34" t="s">
        <v>583</v>
      </c>
      <c r="X34" s="784">
        <v>91590910.247314155</v>
      </c>
    </row>
    <row r="35" spans="1:24">
      <c r="A35" t="s">
        <v>358</v>
      </c>
      <c r="B35" t="s">
        <v>584</v>
      </c>
      <c r="C35" t="s">
        <v>190</v>
      </c>
      <c r="D35" t="s">
        <v>126</v>
      </c>
      <c r="E35" t="s">
        <v>377</v>
      </c>
      <c r="F35" t="s">
        <v>383</v>
      </c>
      <c r="G35" t="s">
        <v>98</v>
      </c>
      <c r="H35" t="s">
        <v>98</v>
      </c>
      <c r="I35" t="s">
        <v>743</v>
      </c>
      <c r="J35" t="s">
        <v>744</v>
      </c>
      <c r="K35" t="s">
        <v>546</v>
      </c>
      <c r="L35" s="784" t="s">
        <v>575</v>
      </c>
      <c r="M35" t="s">
        <v>745</v>
      </c>
      <c r="P35" t="s">
        <v>1887</v>
      </c>
      <c r="Q35" t="s">
        <v>575</v>
      </c>
      <c r="R35" t="s">
        <v>322</v>
      </c>
      <c r="S35" t="s">
        <v>146</v>
      </c>
      <c r="U35">
        <v>0</v>
      </c>
      <c r="V35" t="s">
        <v>541</v>
      </c>
      <c r="W35" t="s">
        <v>546</v>
      </c>
      <c r="X35" s="784">
        <v>8560012.8840167802</v>
      </c>
    </row>
    <row r="36" spans="1:24">
      <c r="A36" t="s">
        <v>358</v>
      </c>
      <c r="B36" t="s">
        <v>585</v>
      </c>
      <c r="C36" t="s">
        <v>191</v>
      </c>
      <c r="D36" t="s">
        <v>130</v>
      </c>
      <c r="E36" t="s">
        <v>377</v>
      </c>
      <c r="F36" t="s">
        <v>383</v>
      </c>
      <c r="G36" t="s">
        <v>98</v>
      </c>
      <c r="H36" t="s">
        <v>98</v>
      </c>
      <c r="I36" t="s">
        <v>743</v>
      </c>
      <c r="J36" t="s">
        <v>744</v>
      </c>
      <c r="K36" t="s">
        <v>546</v>
      </c>
      <c r="L36" s="784" t="s">
        <v>575</v>
      </c>
      <c r="M36" t="s">
        <v>745</v>
      </c>
      <c r="P36" t="s">
        <v>1887</v>
      </c>
      <c r="Q36" t="s">
        <v>575</v>
      </c>
      <c r="R36" t="s">
        <v>152</v>
      </c>
      <c r="S36" t="s">
        <v>146</v>
      </c>
      <c r="U36">
        <v>0</v>
      </c>
      <c r="V36" t="s">
        <v>544</v>
      </c>
      <c r="W36" t="s">
        <v>546</v>
      </c>
      <c r="X36" s="784">
        <v>3292372960.3962669</v>
      </c>
    </row>
    <row r="37" spans="1:24">
      <c r="A37" t="s">
        <v>358</v>
      </c>
      <c r="B37" t="s">
        <v>586</v>
      </c>
      <c r="C37" t="s">
        <v>192</v>
      </c>
      <c r="D37" t="s">
        <v>129</v>
      </c>
      <c r="E37" t="s">
        <v>377</v>
      </c>
      <c r="F37" t="s">
        <v>383</v>
      </c>
      <c r="G37" t="s">
        <v>98</v>
      </c>
      <c r="H37" t="s">
        <v>98</v>
      </c>
      <c r="I37" t="s">
        <v>743</v>
      </c>
      <c r="J37" t="s">
        <v>744</v>
      </c>
      <c r="K37" t="s">
        <v>546</v>
      </c>
      <c r="L37" s="784">
        <v>63000000</v>
      </c>
      <c r="M37" t="s">
        <v>745</v>
      </c>
      <c r="P37" t="s">
        <v>1887</v>
      </c>
      <c r="Q37" t="s">
        <v>406</v>
      </c>
      <c r="R37" t="s">
        <v>150</v>
      </c>
      <c r="S37" t="s">
        <v>145</v>
      </c>
      <c r="U37">
        <v>0</v>
      </c>
      <c r="V37" t="s">
        <v>544</v>
      </c>
      <c r="W37" t="s">
        <v>562</v>
      </c>
      <c r="X37" s="784">
        <v>519209981.22981054</v>
      </c>
    </row>
    <row r="38" spans="1:24">
      <c r="A38" t="s">
        <v>358</v>
      </c>
      <c r="B38" t="s">
        <v>587</v>
      </c>
      <c r="C38" t="s">
        <v>193</v>
      </c>
      <c r="D38" t="s">
        <v>127</v>
      </c>
      <c r="E38" t="s">
        <v>377</v>
      </c>
      <c r="F38" t="s">
        <v>383</v>
      </c>
      <c r="G38" t="s">
        <v>98</v>
      </c>
      <c r="H38" t="s">
        <v>98</v>
      </c>
      <c r="I38" t="s">
        <v>743</v>
      </c>
      <c r="J38" t="s">
        <v>744</v>
      </c>
      <c r="K38" t="s">
        <v>546</v>
      </c>
      <c r="L38" s="784" t="s">
        <v>575</v>
      </c>
      <c r="M38" t="s">
        <v>745</v>
      </c>
      <c r="P38" t="s">
        <v>1887</v>
      </c>
      <c r="Q38" t="s">
        <v>575</v>
      </c>
      <c r="R38" t="s">
        <v>550</v>
      </c>
      <c r="S38" t="s">
        <v>146</v>
      </c>
      <c r="U38">
        <v>0</v>
      </c>
      <c r="V38" t="s">
        <v>544</v>
      </c>
      <c r="W38" t="s">
        <v>575</v>
      </c>
      <c r="X38" s="784">
        <v>3464739907.1604805</v>
      </c>
    </row>
    <row r="39" spans="1:24">
      <c r="A39" t="s">
        <v>358</v>
      </c>
      <c r="B39" t="s">
        <v>588</v>
      </c>
      <c r="C39" t="s">
        <v>147</v>
      </c>
      <c r="D39" t="s">
        <v>130</v>
      </c>
      <c r="E39" t="s">
        <v>377</v>
      </c>
      <c r="F39" t="s">
        <v>383</v>
      </c>
      <c r="G39" t="s">
        <v>98</v>
      </c>
      <c r="H39" t="s">
        <v>98</v>
      </c>
      <c r="I39" t="s">
        <v>743</v>
      </c>
      <c r="J39" t="s">
        <v>744</v>
      </c>
      <c r="K39" t="s">
        <v>546</v>
      </c>
      <c r="L39" s="784" t="s">
        <v>575</v>
      </c>
      <c r="M39" t="s">
        <v>745</v>
      </c>
      <c r="P39" t="s">
        <v>1887</v>
      </c>
      <c r="Q39" t="s">
        <v>575</v>
      </c>
      <c r="R39" t="s">
        <v>152</v>
      </c>
      <c r="S39" t="s">
        <v>146</v>
      </c>
      <c r="U39">
        <v>0</v>
      </c>
      <c r="V39" t="s">
        <v>541</v>
      </c>
      <c r="W39" t="s">
        <v>575</v>
      </c>
      <c r="X39" s="784">
        <v>9948521252.2569065</v>
      </c>
    </row>
    <row r="40" spans="1:24">
      <c r="A40" t="s">
        <v>358</v>
      </c>
      <c r="B40" t="s">
        <v>589</v>
      </c>
      <c r="C40" t="s">
        <v>194</v>
      </c>
      <c r="D40" t="s">
        <v>131</v>
      </c>
      <c r="E40" t="s">
        <v>377</v>
      </c>
      <c r="F40" t="s">
        <v>383</v>
      </c>
      <c r="G40" t="s">
        <v>98</v>
      </c>
      <c r="H40" t="s">
        <v>98</v>
      </c>
      <c r="I40" t="s">
        <v>743</v>
      </c>
      <c r="J40" t="s">
        <v>744</v>
      </c>
      <c r="K40" t="s">
        <v>546</v>
      </c>
      <c r="L40" s="784" t="s">
        <v>575</v>
      </c>
      <c r="M40" t="s">
        <v>745</v>
      </c>
      <c r="P40" t="s">
        <v>1887</v>
      </c>
      <c r="Q40" t="s">
        <v>575</v>
      </c>
      <c r="R40" t="s">
        <v>150</v>
      </c>
      <c r="S40" t="s">
        <v>145</v>
      </c>
      <c r="U40">
        <v>1</v>
      </c>
      <c r="V40" t="s">
        <v>544</v>
      </c>
      <c r="W40" t="s">
        <v>542</v>
      </c>
      <c r="X40" s="784">
        <v>33679192.765657313</v>
      </c>
    </row>
    <row r="41" spans="1:24">
      <c r="A41" t="s">
        <v>358</v>
      </c>
      <c r="B41" t="s">
        <v>590</v>
      </c>
      <c r="C41" t="s">
        <v>195</v>
      </c>
      <c r="D41" t="s">
        <v>130</v>
      </c>
      <c r="E41" t="s">
        <v>377</v>
      </c>
      <c r="F41" t="s">
        <v>383</v>
      </c>
      <c r="G41" t="s">
        <v>98</v>
      </c>
      <c r="H41" t="s">
        <v>98</v>
      </c>
      <c r="I41" t="s">
        <v>743</v>
      </c>
      <c r="J41" t="s">
        <v>744</v>
      </c>
      <c r="K41" t="s">
        <v>546</v>
      </c>
      <c r="L41" s="784" t="s">
        <v>575</v>
      </c>
      <c r="M41" t="s">
        <v>745</v>
      </c>
      <c r="P41" t="s">
        <v>1887</v>
      </c>
      <c r="Q41" t="s">
        <v>575</v>
      </c>
      <c r="R41" t="s">
        <v>152</v>
      </c>
      <c r="S41" t="s">
        <v>145</v>
      </c>
      <c r="U41">
        <v>0</v>
      </c>
      <c r="V41" t="s">
        <v>541</v>
      </c>
      <c r="W41" t="s">
        <v>548</v>
      </c>
      <c r="X41" s="784">
        <v>22784494.365742501</v>
      </c>
    </row>
    <row r="42" spans="1:24">
      <c r="A42" t="s">
        <v>358</v>
      </c>
      <c r="B42" t="s">
        <v>591</v>
      </c>
      <c r="C42" t="s">
        <v>196</v>
      </c>
      <c r="D42" t="s">
        <v>130</v>
      </c>
      <c r="E42" t="s">
        <v>377</v>
      </c>
      <c r="F42" t="s">
        <v>383</v>
      </c>
      <c r="G42" t="s">
        <v>98</v>
      </c>
      <c r="H42" t="s">
        <v>98</v>
      </c>
      <c r="I42" t="s">
        <v>743</v>
      </c>
      <c r="J42" t="s">
        <v>744</v>
      </c>
      <c r="K42" t="s">
        <v>546</v>
      </c>
      <c r="L42" s="784" t="s">
        <v>575</v>
      </c>
      <c r="M42" t="s">
        <v>745</v>
      </c>
      <c r="P42" t="s">
        <v>1887</v>
      </c>
      <c r="Q42" t="s">
        <v>575</v>
      </c>
      <c r="R42" t="s">
        <v>152</v>
      </c>
      <c r="S42" t="s">
        <v>146</v>
      </c>
      <c r="U42">
        <v>0</v>
      </c>
      <c r="V42" t="s">
        <v>541</v>
      </c>
      <c r="W42" t="s">
        <v>575</v>
      </c>
      <c r="X42" s="784">
        <v>2173208011.4858823</v>
      </c>
    </row>
    <row r="43" spans="1:24">
      <c r="A43" t="s">
        <v>358</v>
      </c>
      <c r="B43" t="s">
        <v>592</v>
      </c>
      <c r="C43" t="s">
        <v>197</v>
      </c>
      <c r="D43" t="s">
        <v>130</v>
      </c>
      <c r="E43" t="s">
        <v>377</v>
      </c>
      <c r="F43" t="s">
        <v>383</v>
      </c>
      <c r="G43" t="s">
        <v>98</v>
      </c>
      <c r="H43" t="s">
        <v>98</v>
      </c>
      <c r="I43" t="s">
        <v>743</v>
      </c>
      <c r="J43" t="s">
        <v>744</v>
      </c>
      <c r="K43" t="s">
        <v>546</v>
      </c>
      <c r="L43" s="784">
        <v>92200000</v>
      </c>
      <c r="M43" t="s">
        <v>745</v>
      </c>
      <c r="P43" t="s">
        <v>1887</v>
      </c>
      <c r="Q43" t="s">
        <v>406</v>
      </c>
      <c r="R43" t="s">
        <v>152</v>
      </c>
      <c r="S43" t="s">
        <v>146</v>
      </c>
      <c r="U43">
        <v>0</v>
      </c>
      <c r="V43" t="s">
        <v>544</v>
      </c>
      <c r="W43" t="s">
        <v>546</v>
      </c>
      <c r="X43" s="784">
        <v>4585736158.8323269</v>
      </c>
    </row>
    <row r="44" spans="1:24">
      <c r="A44" t="s">
        <v>358</v>
      </c>
      <c r="B44" t="s">
        <v>593</v>
      </c>
      <c r="C44" t="s">
        <v>198</v>
      </c>
      <c r="D44" t="s">
        <v>131</v>
      </c>
      <c r="E44" t="s">
        <v>377</v>
      </c>
      <c r="F44" t="s">
        <v>383</v>
      </c>
      <c r="G44" t="s">
        <v>98</v>
      </c>
      <c r="H44" t="s">
        <v>98</v>
      </c>
      <c r="I44" t="s">
        <v>743</v>
      </c>
      <c r="J44" t="s">
        <v>744</v>
      </c>
      <c r="K44" t="s">
        <v>546</v>
      </c>
      <c r="L44" s="784">
        <v>0</v>
      </c>
      <c r="M44" t="s">
        <v>745</v>
      </c>
      <c r="P44" t="s">
        <v>1887</v>
      </c>
      <c r="Q44" t="s">
        <v>575</v>
      </c>
      <c r="R44" t="s">
        <v>150</v>
      </c>
      <c r="S44" t="s">
        <v>145</v>
      </c>
      <c r="U44">
        <v>0</v>
      </c>
      <c r="V44" t="s">
        <v>544</v>
      </c>
      <c r="W44" t="s">
        <v>546</v>
      </c>
      <c r="X44" s="784">
        <v>3550291584.8645592</v>
      </c>
    </row>
    <row r="45" spans="1:24">
      <c r="A45" t="s">
        <v>358</v>
      </c>
      <c r="B45" t="s">
        <v>594</v>
      </c>
      <c r="C45" t="s">
        <v>199</v>
      </c>
      <c r="D45" t="s">
        <v>130</v>
      </c>
      <c r="E45" t="s">
        <v>377</v>
      </c>
      <c r="F45" t="s">
        <v>383</v>
      </c>
      <c r="G45" t="s">
        <v>98</v>
      </c>
      <c r="H45" t="s">
        <v>98</v>
      </c>
      <c r="I45" t="s">
        <v>743</v>
      </c>
      <c r="J45" t="s">
        <v>744</v>
      </c>
      <c r="K45" t="s">
        <v>546</v>
      </c>
      <c r="L45" s="784">
        <v>10000000</v>
      </c>
      <c r="M45" t="s">
        <v>745</v>
      </c>
      <c r="P45" t="s">
        <v>1887</v>
      </c>
      <c r="Q45" t="s">
        <v>406</v>
      </c>
      <c r="R45" t="s">
        <v>150</v>
      </c>
      <c r="S45" t="s">
        <v>145</v>
      </c>
      <c r="U45">
        <v>0</v>
      </c>
      <c r="V45" t="s">
        <v>544</v>
      </c>
      <c r="W45" t="s">
        <v>546</v>
      </c>
      <c r="X45" s="784">
        <v>1182840319.0410969</v>
      </c>
    </row>
    <row r="46" spans="1:24">
      <c r="A46" t="s">
        <v>358</v>
      </c>
      <c r="B46" t="s">
        <v>595</v>
      </c>
      <c r="C46" t="s">
        <v>200</v>
      </c>
      <c r="D46" t="s">
        <v>130</v>
      </c>
      <c r="E46" t="s">
        <v>377</v>
      </c>
      <c r="F46" t="s">
        <v>383</v>
      </c>
      <c r="G46" t="s">
        <v>98</v>
      </c>
      <c r="H46" t="s">
        <v>98</v>
      </c>
      <c r="I46" t="s">
        <v>743</v>
      </c>
      <c r="J46" t="s">
        <v>744</v>
      </c>
      <c r="K46" t="s">
        <v>546</v>
      </c>
      <c r="L46" s="784" t="s">
        <v>575</v>
      </c>
      <c r="M46" t="s">
        <v>745</v>
      </c>
      <c r="P46" t="s">
        <v>1887</v>
      </c>
      <c r="Q46" t="s">
        <v>575</v>
      </c>
      <c r="R46" t="s">
        <v>152</v>
      </c>
      <c r="S46" t="s">
        <v>146</v>
      </c>
      <c r="U46">
        <v>0</v>
      </c>
      <c r="V46" t="s">
        <v>544</v>
      </c>
      <c r="W46" t="s">
        <v>575</v>
      </c>
      <c r="X46" s="784">
        <v>81728347.604567245</v>
      </c>
    </row>
    <row r="47" spans="1:24">
      <c r="A47" t="s">
        <v>358</v>
      </c>
      <c r="B47" t="s">
        <v>596</v>
      </c>
      <c r="C47" t="s">
        <v>201</v>
      </c>
      <c r="D47" t="s">
        <v>128</v>
      </c>
      <c r="E47" t="s">
        <v>377</v>
      </c>
      <c r="F47" t="s">
        <v>383</v>
      </c>
      <c r="G47" t="s">
        <v>98</v>
      </c>
      <c r="H47" t="s">
        <v>98</v>
      </c>
      <c r="I47" t="s">
        <v>743</v>
      </c>
      <c r="J47" t="s">
        <v>744</v>
      </c>
      <c r="K47" t="s">
        <v>546</v>
      </c>
      <c r="L47" s="784" t="s">
        <v>575</v>
      </c>
      <c r="M47" t="s">
        <v>745</v>
      </c>
      <c r="P47" t="s">
        <v>1887</v>
      </c>
      <c r="Q47" t="s">
        <v>575</v>
      </c>
      <c r="R47" t="s">
        <v>148</v>
      </c>
      <c r="S47" t="s">
        <v>145</v>
      </c>
      <c r="U47">
        <v>2</v>
      </c>
      <c r="V47" t="s">
        <v>544</v>
      </c>
      <c r="W47" t="s">
        <v>546</v>
      </c>
      <c r="X47" s="784">
        <v>12787914.977715338</v>
      </c>
    </row>
    <row r="48" spans="1:24">
      <c r="A48" t="s">
        <v>358</v>
      </c>
      <c r="B48" t="s">
        <v>597</v>
      </c>
      <c r="C48" t="s">
        <v>202</v>
      </c>
      <c r="D48" t="s">
        <v>128</v>
      </c>
      <c r="E48" t="s">
        <v>377</v>
      </c>
      <c r="F48" t="s">
        <v>383</v>
      </c>
      <c r="G48" t="s">
        <v>98</v>
      </c>
      <c r="H48" t="s">
        <v>98</v>
      </c>
      <c r="I48" t="s">
        <v>743</v>
      </c>
      <c r="J48" t="s">
        <v>744</v>
      </c>
      <c r="K48" t="s">
        <v>546</v>
      </c>
      <c r="L48" s="784">
        <v>800000</v>
      </c>
      <c r="M48" t="s">
        <v>745</v>
      </c>
      <c r="P48" t="s">
        <v>1887</v>
      </c>
      <c r="Q48" t="s">
        <v>406</v>
      </c>
      <c r="R48" t="s">
        <v>150</v>
      </c>
      <c r="S48" t="s">
        <v>145</v>
      </c>
      <c r="U48">
        <v>2</v>
      </c>
      <c r="V48" t="s">
        <v>544</v>
      </c>
      <c r="W48" t="s">
        <v>546</v>
      </c>
      <c r="X48" s="784">
        <v>101271737.65410839</v>
      </c>
    </row>
    <row r="49" spans="1:24">
      <c r="A49" t="s">
        <v>358</v>
      </c>
      <c r="B49" t="s">
        <v>598</v>
      </c>
      <c r="C49" t="s">
        <v>203</v>
      </c>
      <c r="D49" t="s">
        <v>128</v>
      </c>
      <c r="E49" t="s">
        <v>377</v>
      </c>
      <c r="F49" t="s">
        <v>383</v>
      </c>
      <c r="G49" t="s">
        <v>98</v>
      </c>
      <c r="H49" t="s">
        <v>98</v>
      </c>
      <c r="I49" t="s">
        <v>743</v>
      </c>
      <c r="J49" t="s">
        <v>744</v>
      </c>
      <c r="K49" t="s">
        <v>546</v>
      </c>
      <c r="L49" s="784">
        <v>197200000</v>
      </c>
      <c r="M49" t="s">
        <v>745</v>
      </c>
      <c r="P49" t="s">
        <v>1887</v>
      </c>
      <c r="Q49" t="s">
        <v>406</v>
      </c>
      <c r="R49" t="s">
        <v>148</v>
      </c>
      <c r="S49" t="s">
        <v>145</v>
      </c>
      <c r="U49">
        <v>3</v>
      </c>
      <c r="V49" t="s">
        <v>544</v>
      </c>
      <c r="W49" t="s">
        <v>542</v>
      </c>
      <c r="X49" s="784">
        <v>618344226.71759331</v>
      </c>
    </row>
    <row r="50" spans="1:24">
      <c r="A50" t="s">
        <v>358</v>
      </c>
      <c r="B50" t="s">
        <v>599</v>
      </c>
      <c r="C50" t="s">
        <v>204</v>
      </c>
      <c r="D50" t="s">
        <v>126</v>
      </c>
      <c r="E50" t="s">
        <v>377</v>
      </c>
      <c r="F50" t="s">
        <v>383</v>
      </c>
      <c r="G50" t="s">
        <v>98</v>
      </c>
      <c r="H50" t="s">
        <v>98</v>
      </c>
      <c r="I50" t="s">
        <v>743</v>
      </c>
      <c r="J50" t="s">
        <v>744</v>
      </c>
      <c r="K50" t="s">
        <v>546</v>
      </c>
      <c r="L50" s="784" t="s">
        <v>575</v>
      </c>
      <c r="M50" t="s">
        <v>745</v>
      </c>
      <c r="P50" t="s">
        <v>1887</v>
      </c>
      <c r="Q50" t="s">
        <v>575</v>
      </c>
      <c r="R50" t="s">
        <v>152</v>
      </c>
      <c r="S50" t="s">
        <v>145</v>
      </c>
      <c r="U50">
        <v>0</v>
      </c>
      <c r="V50" t="s">
        <v>541</v>
      </c>
      <c r="W50" t="s">
        <v>548</v>
      </c>
      <c r="X50" s="784">
        <v>129483872.95906857</v>
      </c>
    </row>
    <row r="51" spans="1:24">
      <c r="A51" t="s">
        <v>358</v>
      </c>
      <c r="B51" t="s">
        <v>600</v>
      </c>
      <c r="C51" t="s">
        <v>205</v>
      </c>
      <c r="D51" t="s">
        <v>129</v>
      </c>
      <c r="E51" t="s">
        <v>377</v>
      </c>
      <c r="F51" t="s">
        <v>383</v>
      </c>
      <c r="G51" t="s">
        <v>98</v>
      </c>
      <c r="H51" t="s">
        <v>98</v>
      </c>
      <c r="I51" t="s">
        <v>743</v>
      </c>
      <c r="J51" t="s">
        <v>744</v>
      </c>
      <c r="K51" t="s">
        <v>546</v>
      </c>
      <c r="L51" s="784">
        <v>8100000</v>
      </c>
      <c r="M51" t="s">
        <v>745</v>
      </c>
      <c r="P51" t="s">
        <v>1887</v>
      </c>
      <c r="Q51" t="s">
        <v>406</v>
      </c>
      <c r="R51" t="s">
        <v>152</v>
      </c>
      <c r="S51" t="s">
        <v>146</v>
      </c>
      <c r="U51">
        <v>0</v>
      </c>
      <c r="V51" t="s">
        <v>544</v>
      </c>
      <c r="W51" t="s">
        <v>546</v>
      </c>
      <c r="X51" s="784">
        <v>271184658.35014349</v>
      </c>
    </row>
    <row r="52" spans="1:24">
      <c r="A52" t="s">
        <v>358</v>
      </c>
      <c r="B52" t="s">
        <v>601</v>
      </c>
      <c r="C52" t="s">
        <v>206</v>
      </c>
      <c r="D52" t="s">
        <v>129</v>
      </c>
      <c r="E52" t="s">
        <v>377</v>
      </c>
      <c r="F52" t="s">
        <v>383</v>
      </c>
      <c r="G52" t="s">
        <v>98</v>
      </c>
      <c r="H52" t="s">
        <v>98</v>
      </c>
      <c r="I52" t="s">
        <v>743</v>
      </c>
      <c r="J52" t="s">
        <v>744</v>
      </c>
      <c r="K52" t="s">
        <v>546</v>
      </c>
      <c r="L52" s="784">
        <v>6400000</v>
      </c>
      <c r="M52" t="s">
        <v>745</v>
      </c>
      <c r="P52" t="s">
        <v>1887</v>
      </c>
      <c r="Q52" t="s">
        <v>406</v>
      </c>
      <c r="R52" t="s">
        <v>148</v>
      </c>
      <c r="S52" t="s">
        <v>145</v>
      </c>
      <c r="U52">
        <v>0</v>
      </c>
      <c r="V52" t="s">
        <v>544</v>
      </c>
      <c r="W52" t="s">
        <v>542</v>
      </c>
      <c r="X52" s="784">
        <v>15455265.086884515</v>
      </c>
    </row>
    <row r="53" spans="1:24">
      <c r="A53" t="s">
        <v>358</v>
      </c>
      <c r="B53" t="s">
        <v>602</v>
      </c>
      <c r="C53" t="s">
        <v>207</v>
      </c>
      <c r="D53" t="s">
        <v>127</v>
      </c>
      <c r="E53" t="s">
        <v>377</v>
      </c>
      <c r="F53" t="s">
        <v>383</v>
      </c>
      <c r="G53" t="s">
        <v>98</v>
      </c>
      <c r="H53" t="s">
        <v>98</v>
      </c>
      <c r="I53" t="s">
        <v>743</v>
      </c>
      <c r="J53" t="s">
        <v>744</v>
      </c>
      <c r="K53" t="s">
        <v>546</v>
      </c>
      <c r="L53" s="784">
        <v>32900000</v>
      </c>
      <c r="M53" t="s">
        <v>745</v>
      </c>
      <c r="P53" t="s">
        <v>1887</v>
      </c>
      <c r="Q53" t="s">
        <v>406</v>
      </c>
      <c r="R53" t="s">
        <v>152</v>
      </c>
      <c r="S53" t="s">
        <v>146</v>
      </c>
      <c r="U53">
        <v>0</v>
      </c>
      <c r="V53" t="s">
        <v>544</v>
      </c>
      <c r="W53" t="s">
        <v>546</v>
      </c>
      <c r="X53" s="784">
        <v>494021502.525527</v>
      </c>
    </row>
    <row r="54" spans="1:24">
      <c r="A54" t="s">
        <v>358</v>
      </c>
      <c r="B54" t="s">
        <v>603</v>
      </c>
      <c r="C54" t="s">
        <v>208</v>
      </c>
      <c r="D54" t="s">
        <v>129</v>
      </c>
      <c r="E54" t="s">
        <v>377</v>
      </c>
      <c r="F54" t="s">
        <v>383</v>
      </c>
      <c r="G54" t="s">
        <v>98</v>
      </c>
      <c r="H54" t="s">
        <v>98</v>
      </c>
      <c r="I54" t="s">
        <v>743</v>
      </c>
      <c r="J54" t="s">
        <v>744</v>
      </c>
      <c r="K54" t="s">
        <v>546</v>
      </c>
      <c r="L54" s="784">
        <v>137200000</v>
      </c>
      <c r="M54" t="s">
        <v>745</v>
      </c>
      <c r="P54" t="s">
        <v>1887</v>
      </c>
      <c r="Q54" t="s">
        <v>406</v>
      </c>
      <c r="R54" t="s">
        <v>150</v>
      </c>
      <c r="S54" t="s">
        <v>145</v>
      </c>
      <c r="U54">
        <v>0</v>
      </c>
      <c r="V54" t="s">
        <v>544</v>
      </c>
      <c r="W54" t="s">
        <v>542</v>
      </c>
      <c r="X54" s="784">
        <v>902005621.73836684</v>
      </c>
    </row>
    <row r="55" spans="1:24">
      <c r="A55" t="s">
        <v>358</v>
      </c>
      <c r="B55" t="s">
        <v>604</v>
      </c>
      <c r="C55" t="s">
        <v>209</v>
      </c>
      <c r="D55" t="s">
        <v>130</v>
      </c>
      <c r="E55" t="s">
        <v>377</v>
      </c>
      <c r="F55" t="s">
        <v>383</v>
      </c>
      <c r="G55" t="s">
        <v>98</v>
      </c>
      <c r="H55" t="s">
        <v>98</v>
      </c>
      <c r="I55" t="s">
        <v>743</v>
      </c>
      <c r="J55" t="s">
        <v>744</v>
      </c>
      <c r="K55" t="s">
        <v>546</v>
      </c>
      <c r="L55" s="784" t="s">
        <v>575</v>
      </c>
      <c r="M55" t="s">
        <v>745</v>
      </c>
      <c r="P55" t="s">
        <v>1887</v>
      </c>
      <c r="Q55" t="s">
        <v>575</v>
      </c>
      <c r="R55" t="s">
        <v>152</v>
      </c>
      <c r="S55" t="s">
        <v>145</v>
      </c>
      <c r="U55">
        <v>0</v>
      </c>
      <c r="V55" t="s">
        <v>541</v>
      </c>
      <c r="W55" t="s">
        <v>583</v>
      </c>
      <c r="X55" s="784">
        <v>20201670.142996579</v>
      </c>
    </row>
    <row r="56" spans="1:24">
      <c r="A56" t="s">
        <v>358</v>
      </c>
      <c r="B56" t="s">
        <v>605</v>
      </c>
      <c r="C56" t="s">
        <v>210</v>
      </c>
      <c r="D56" t="s">
        <v>130</v>
      </c>
      <c r="E56" t="s">
        <v>377</v>
      </c>
      <c r="F56" t="s">
        <v>383</v>
      </c>
      <c r="G56" t="s">
        <v>98</v>
      </c>
      <c r="H56" t="s">
        <v>98</v>
      </c>
      <c r="I56" t="s">
        <v>743</v>
      </c>
      <c r="J56" t="s">
        <v>744</v>
      </c>
      <c r="K56" t="s">
        <v>546</v>
      </c>
      <c r="L56" s="784" t="s">
        <v>575</v>
      </c>
      <c r="M56" t="s">
        <v>745</v>
      </c>
      <c r="P56" t="s">
        <v>1887</v>
      </c>
      <c r="Q56" t="s">
        <v>575</v>
      </c>
      <c r="R56" t="s">
        <v>152</v>
      </c>
      <c r="S56" t="s">
        <v>146</v>
      </c>
      <c r="U56">
        <v>0</v>
      </c>
      <c r="V56" t="s">
        <v>544</v>
      </c>
      <c r="W56" t="s">
        <v>575</v>
      </c>
      <c r="X56" s="784">
        <v>1612434649.6948864</v>
      </c>
    </row>
    <row r="57" spans="1:24">
      <c r="A57" t="s">
        <v>358</v>
      </c>
      <c r="B57" t="s">
        <v>606</v>
      </c>
      <c r="C57" t="s">
        <v>211</v>
      </c>
      <c r="D57" t="s">
        <v>129</v>
      </c>
      <c r="E57" t="s">
        <v>377</v>
      </c>
      <c r="F57" t="s">
        <v>383</v>
      </c>
      <c r="G57" t="s">
        <v>98</v>
      </c>
      <c r="H57" t="s">
        <v>98</v>
      </c>
      <c r="I57" t="s">
        <v>743</v>
      </c>
      <c r="J57" t="s">
        <v>744</v>
      </c>
      <c r="K57" t="s">
        <v>546</v>
      </c>
      <c r="L57" s="784">
        <v>17600000</v>
      </c>
      <c r="M57" t="s">
        <v>745</v>
      </c>
      <c r="P57" t="s">
        <v>1887</v>
      </c>
      <c r="Q57" t="s">
        <v>406</v>
      </c>
      <c r="R57" t="s">
        <v>148</v>
      </c>
      <c r="S57" t="s">
        <v>145</v>
      </c>
      <c r="U57">
        <v>0</v>
      </c>
      <c r="V57" t="s">
        <v>544</v>
      </c>
      <c r="W57" t="s">
        <v>562</v>
      </c>
      <c r="X57" s="784">
        <v>78203134.118229344</v>
      </c>
    </row>
    <row r="58" spans="1:24">
      <c r="A58" t="s">
        <v>358</v>
      </c>
      <c r="B58" t="s">
        <v>607</v>
      </c>
      <c r="C58" t="s">
        <v>212</v>
      </c>
      <c r="D58" t="s">
        <v>129</v>
      </c>
      <c r="E58" t="s">
        <v>377</v>
      </c>
      <c r="F58" t="s">
        <v>383</v>
      </c>
      <c r="G58" t="s">
        <v>98</v>
      </c>
      <c r="H58" t="s">
        <v>98</v>
      </c>
      <c r="I58" t="s">
        <v>743</v>
      </c>
      <c r="J58" t="s">
        <v>744</v>
      </c>
      <c r="K58" t="s">
        <v>546</v>
      </c>
      <c r="L58" s="784">
        <v>4800000.0000000009</v>
      </c>
      <c r="M58" t="s">
        <v>745</v>
      </c>
      <c r="P58" t="s">
        <v>1887</v>
      </c>
      <c r="Q58" t="s">
        <v>406</v>
      </c>
      <c r="R58" t="s">
        <v>148</v>
      </c>
      <c r="S58" t="s">
        <v>145</v>
      </c>
      <c r="U58">
        <v>2</v>
      </c>
      <c r="V58" t="s">
        <v>541</v>
      </c>
      <c r="W58" t="s">
        <v>542</v>
      </c>
      <c r="X58" s="784">
        <v>9151637.7411015611</v>
      </c>
    </row>
    <row r="59" spans="1:24">
      <c r="A59" t="s">
        <v>358</v>
      </c>
      <c r="B59" t="s">
        <v>608</v>
      </c>
      <c r="C59" t="s">
        <v>213</v>
      </c>
      <c r="D59" t="s">
        <v>130</v>
      </c>
      <c r="E59" t="s">
        <v>377</v>
      </c>
      <c r="F59" t="s">
        <v>383</v>
      </c>
      <c r="G59" t="s">
        <v>98</v>
      </c>
      <c r="H59" t="s">
        <v>98</v>
      </c>
      <c r="I59" t="s">
        <v>743</v>
      </c>
      <c r="J59" t="s">
        <v>744</v>
      </c>
      <c r="K59" t="s">
        <v>546</v>
      </c>
      <c r="L59" s="784">
        <v>3300000</v>
      </c>
      <c r="M59" t="s">
        <v>745</v>
      </c>
      <c r="P59" t="s">
        <v>1887</v>
      </c>
      <c r="Q59" t="s">
        <v>406</v>
      </c>
      <c r="R59" t="s">
        <v>152</v>
      </c>
      <c r="S59" t="s">
        <v>145</v>
      </c>
      <c r="U59">
        <v>0</v>
      </c>
      <c r="V59" t="s">
        <v>541</v>
      </c>
      <c r="W59" t="s">
        <v>562</v>
      </c>
      <c r="X59" s="784">
        <v>142455920.02856269</v>
      </c>
    </row>
    <row r="60" spans="1:24">
      <c r="A60" t="s">
        <v>358</v>
      </c>
      <c r="B60" t="s">
        <v>609</v>
      </c>
      <c r="C60" t="s">
        <v>214</v>
      </c>
      <c r="D60" t="s">
        <v>130</v>
      </c>
      <c r="E60" t="s">
        <v>377</v>
      </c>
      <c r="F60" t="s">
        <v>383</v>
      </c>
      <c r="G60" t="s">
        <v>98</v>
      </c>
      <c r="H60" t="s">
        <v>98</v>
      </c>
      <c r="I60" t="s">
        <v>743</v>
      </c>
      <c r="J60" t="s">
        <v>744</v>
      </c>
      <c r="K60" t="s">
        <v>546</v>
      </c>
      <c r="L60" s="784" t="s">
        <v>575</v>
      </c>
      <c r="M60" t="s">
        <v>745</v>
      </c>
      <c r="P60" t="s">
        <v>1887</v>
      </c>
      <c r="Q60" t="s">
        <v>575</v>
      </c>
      <c r="R60" t="s">
        <v>150</v>
      </c>
      <c r="S60" t="s">
        <v>145</v>
      </c>
      <c r="U60">
        <v>1</v>
      </c>
      <c r="V60" t="s">
        <v>541</v>
      </c>
      <c r="W60" t="s">
        <v>542</v>
      </c>
      <c r="X60" s="784">
        <v>85611818.171245083</v>
      </c>
    </row>
    <row r="61" spans="1:24">
      <c r="A61" t="s">
        <v>358</v>
      </c>
      <c r="B61" t="s">
        <v>610</v>
      </c>
      <c r="C61" t="s">
        <v>215</v>
      </c>
      <c r="D61" t="s">
        <v>130</v>
      </c>
      <c r="E61" t="s">
        <v>377</v>
      </c>
      <c r="F61" t="s">
        <v>383</v>
      </c>
      <c r="G61" t="s">
        <v>98</v>
      </c>
      <c r="H61" t="s">
        <v>98</v>
      </c>
      <c r="I61" t="s">
        <v>743</v>
      </c>
      <c r="J61" t="s">
        <v>744</v>
      </c>
      <c r="K61" t="s">
        <v>546</v>
      </c>
      <c r="L61" s="784">
        <v>5750000</v>
      </c>
      <c r="M61" t="s">
        <v>745</v>
      </c>
      <c r="P61" t="s">
        <v>1887</v>
      </c>
      <c r="Q61" t="s">
        <v>406</v>
      </c>
      <c r="R61" t="s">
        <v>150</v>
      </c>
      <c r="S61" t="s">
        <v>145</v>
      </c>
      <c r="U61">
        <v>0</v>
      </c>
      <c r="V61" t="s">
        <v>544</v>
      </c>
      <c r="W61" t="s">
        <v>558</v>
      </c>
      <c r="X61" s="784">
        <v>680289736.30082119</v>
      </c>
    </row>
    <row r="62" spans="1:24">
      <c r="A62" t="s">
        <v>358</v>
      </c>
      <c r="B62" t="s">
        <v>611</v>
      </c>
      <c r="C62" t="s">
        <v>216</v>
      </c>
      <c r="D62" t="s">
        <v>132</v>
      </c>
      <c r="E62" t="s">
        <v>377</v>
      </c>
      <c r="F62" t="s">
        <v>383</v>
      </c>
      <c r="G62" t="s">
        <v>98</v>
      </c>
      <c r="H62" t="s">
        <v>98</v>
      </c>
      <c r="I62" t="s">
        <v>743</v>
      </c>
      <c r="J62" t="s">
        <v>744</v>
      </c>
      <c r="K62" t="s">
        <v>546</v>
      </c>
      <c r="L62" s="784" t="s">
        <v>575</v>
      </c>
      <c r="M62" t="s">
        <v>745</v>
      </c>
      <c r="P62" t="s">
        <v>1887</v>
      </c>
      <c r="Q62" t="s">
        <v>575</v>
      </c>
      <c r="R62" t="s">
        <v>150</v>
      </c>
      <c r="S62" t="s">
        <v>145</v>
      </c>
      <c r="U62">
        <v>0</v>
      </c>
      <c r="V62" t="s">
        <v>544</v>
      </c>
      <c r="W62" t="s">
        <v>546</v>
      </c>
      <c r="X62" s="784">
        <v>26554332750.47023</v>
      </c>
    </row>
    <row r="63" spans="1:24">
      <c r="A63" t="s">
        <v>358</v>
      </c>
      <c r="B63" t="s">
        <v>612</v>
      </c>
      <c r="C63" t="s">
        <v>217</v>
      </c>
      <c r="D63" t="s">
        <v>126</v>
      </c>
      <c r="E63" t="s">
        <v>377</v>
      </c>
      <c r="F63" t="s">
        <v>383</v>
      </c>
      <c r="G63" t="s">
        <v>98</v>
      </c>
      <c r="H63" t="s">
        <v>98</v>
      </c>
      <c r="I63" t="s">
        <v>743</v>
      </c>
      <c r="J63" t="s">
        <v>744</v>
      </c>
      <c r="K63" t="s">
        <v>546</v>
      </c>
      <c r="L63" s="784">
        <v>0</v>
      </c>
      <c r="M63" t="s">
        <v>745</v>
      </c>
      <c r="P63" t="s">
        <v>1887</v>
      </c>
      <c r="Q63" t="s">
        <v>406</v>
      </c>
      <c r="R63" t="s">
        <v>150</v>
      </c>
      <c r="S63" t="s">
        <v>145</v>
      </c>
      <c r="U63">
        <v>0</v>
      </c>
      <c r="V63" t="s">
        <v>544</v>
      </c>
      <c r="W63" t="s">
        <v>546</v>
      </c>
      <c r="X63" s="784">
        <v>14745961064.890842</v>
      </c>
    </row>
    <row r="64" spans="1:24">
      <c r="A64" t="s">
        <v>358</v>
      </c>
      <c r="B64" t="s">
        <v>613</v>
      </c>
      <c r="C64" t="s">
        <v>149</v>
      </c>
      <c r="D64" t="s">
        <v>131</v>
      </c>
      <c r="E64" t="s">
        <v>377</v>
      </c>
      <c r="F64" t="s">
        <v>383</v>
      </c>
      <c r="G64" t="s">
        <v>98</v>
      </c>
      <c r="H64" t="s">
        <v>98</v>
      </c>
      <c r="I64" t="s">
        <v>743</v>
      </c>
      <c r="J64" t="s">
        <v>744</v>
      </c>
      <c r="K64" t="s">
        <v>546</v>
      </c>
      <c r="L64" s="784" t="s">
        <v>575</v>
      </c>
      <c r="M64" t="s">
        <v>745</v>
      </c>
      <c r="P64" t="s">
        <v>1887</v>
      </c>
      <c r="Q64" t="s">
        <v>575</v>
      </c>
      <c r="R64" t="s">
        <v>150</v>
      </c>
      <c r="S64" t="s">
        <v>146</v>
      </c>
      <c r="U64">
        <v>0</v>
      </c>
      <c r="V64" t="s">
        <v>544</v>
      </c>
      <c r="W64" t="s">
        <v>546</v>
      </c>
      <c r="X64" s="784">
        <v>18194076299.786381</v>
      </c>
    </row>
    <row r="65" spans="1:24">
      <c r="A65" t="s">
        <v>358</v>
      </c>
      <c r="B65" t="s">
        <v>614</v>
      </c>
      <c r="C65" t="s">
        <v>218</v>
      </c>
      <c r="D65" t="s">
        <v>131</v>
      </c>
      <c r="E65" t="s">
        <v>377</v>
      </c>
      <c r="F65" t="s">
        <v>383</v>
      </c>
      <c r="G65" t="s">
        <v>98</v>
      </c>
      <c r="H65" t="s">
        <v>98</v>
      </c>
      <c r="I65" t="s">
        <v>743</v>
      </c>
      <c r="J65" t="s">
        <v>744</v>
      </c>
      <c r="K65" t="s">
        <v>546</v>
      </c>
      <c r="L65" s="784">
        <v>72000000</v>
      </c>
      <c r="M65" t="s">
        <v>745</v>
      </c>
      <c r="P65" t="s">
        <v>1887</v>
      </c>
      <c r="Q65" t="s">
        <v>406</v>
      </c>
      <c r="R65" t="s">
        <v>152</v>
      </c>
      <c r="S65" t="s">
        <v>146</v>
      </c>
      <c r="U65">
        <v>0</v>
      </c>
      <c r="V65" t="s">
        <v>544</v>
      </c>
      <c r="W65" t="s">
        <v>546</v>
      </c>
      <c r="X65" s="784">
        <v>4428819387.769825</v>
      </c>
    </row>
    <row r="66" spans="1:24">
      <c r="A66" t="s">
        <v>358</v>
      </c>
      <c r="B66" t="s">
        <v>615</v>
      </c>
      <c r="C66" t="s">
        <v>219</v>
      </c>
      <c r="D66" t="s">
        <v>130</v>
      </c>
      <c r="E66" t="s">
        <v>377</v>
      </c>
      <c r="F66" t="s">
        <v>383</v>
      </c>
      <c r="G66" t="s">
        <v>98</v>
      </c>
      <c r="H66" t="s">
        <v>98</v>
      </c>
      <c r="I66" t="s">
        <v>743</v>
      </c>
      <c r="J66" t="s">
        <v>744</v>
      </c>
      <c r="K66" t="s">
        <v>546</v>
      </c>
      <c r="L66" s="784" t="s">
        <v>575</v>
      </c>
      <c r="M66" t="s">
        <v>745</v>
      </c>
      <c r="P66" t="s">
        <v>1887</v>
      </c>
      <c r="Q66" t="s">
        <v>575</v>
      </c>
      <c r="R66" t="s">
        <v>152</v>
      </c>
      <c r="S66" t="s">
        <v>146</v>
      </c>
      <c r="U66">
        <v>0</v>
      </c>
      <c r="V66" t="s">
        <v>541</v>
      </c>
      <c r="W66" t="s">
        <v>575</v>
      </c>
      <c r="X66" s="784">
        <v>611739560.62679195</v>
      </c>
    </row>
    <row r="67" spans="1:24">
      <c r="A67" t="s">
        <v>358</v>
      </c>
      <c r="B67" t="s">
        <v>616</v>
      </c>
      <c r="C67" t="s">
        <v>220</v>
      </c>
      <c r="D67" t="s">
        <v>131</v>
      </c>
      <c r="E67" t="s">
        <v>377</v>
      </c>
      <c r="F67" t="s">
        <v>383</v>
      </c>
      <c r="G67" t="s">
        <v>98</v>
      </c>
      <c r="H67" t="s">
        <v>98</v>
      </c>
      <c r="I67" t="s">
        <v>743</v>
      </c>
      <c r="J67" t="s">
        <v>744</v>
      </c>
      <c r="K67" t="s">
        <v>546</v>
      </c>
      <c r="L67" s="784">
        <v>60300000</v>
      </c>
      <c r="M67" t="s">
        <v>745</v>
      </c>
      <c r="P67" t="s">
        <v>1887</v>
      </c>
      <c r="Q67" t="s">
        <v>406</v>
      </c>
      <c r="R67" t="s">
        <v>152</v>
      </c>
      <c r="S67" t="s">
        <v>146</v>
      </c>
      <c r="U67">
        <v>0</v>
      </c>
      <c r="V67" t="s">
        <v>544</v>
      </c>
      <c r="W67" t="s">
        <v>546</v>
      </c>
      <c r="X67" s="784">
        <v>1617913383.0481031</v>
      </c>
    </row>
    <row r="68" spans="1:24">
      <c r="A68" t="s">
        <v>358</v>
      </c>
      <c r="B68" t="s">
        <v>617</v>
      </c>
      <c r="C68" t="s">
        <v>221</v>
      </c>
      <c r="D68" t="s">
        <v>127</v>
      </c>
      <c r="E68" t="s">
        <v>377</v>
      </c>
      <c r="F68" t="s">
        <v>383</v>
      </c>
      <c r="G68" t="s">
        <v>98</v>
      </c>
      <c r="H68" t="s">
        <v>98</v>
      </c>
      <c r="I68" t="s">
        <v>743</v>
      </c>
      <c r="J68" t="s">
        <v>744</v>
      </c>
      <c r="K68" t="s">
        <v>546</v>
      </c>
      <c r="L68" s="784" t="s">
        <v>575</v>
      </c>
      <c r="M68" t="s">
        <v>745</v>
      </c>
      <c r="P68" t="s">
        <v>1887</v>
      </c>
      <c r="Q68" t="s">
        <v>575</v>
      </c>
      <c r="R68" t="s">
        <v>152</v>
      </c>
      <c r="S68" t="s">
        <v>146</v>
      </c>
      <c r="U68">
        <v>0</v>
      </c>
      <c r="V68" t="s">
        <v>544</v>
      </c>
      <c r="W68" t="s">
        <v>575</v>
      </c>
      <c r="X68" s="784">
        <v>3074419112.4562683</v>
      </c>
    </row>
    <row r="69" spans="1:24">
      <c r="A69" t="s">
        <v>358</v>
      </c>
      <c r="B69" t="s">
        <v>618</v>
      </c>
      <c r="C69" t="s">
        <v>222</v>
      </c>
      <c r="D69" t="s">
        <v>128</v>
      </c>
      <c r="E69" t="s">
        <v>377</v>
      </c>
      <c r="F69" t="s">
        <v>383</v>
      </c>
      <c r="G69" t="s">
        <v>98</v>
      </c>
      <c r="H69" t="s">
        <v>98</v>
      </c>
      <c r="I69" t="s">
        <v>743</v>
      </c>
      <c r="J69" t="s">
        <v>744</v>
      </c>
      <c r="K69" t="s">
        <v>546</v>
      </c>
      <c r="L69" s="784">
        <v>108400000</v>
      </c>
      <c r="M69" t="s">
        <v>745</v>
      </c>
      <c r="P69" t="s">
        <v>1887</v>
      </c>
      <c r="Q69" t="s">
        <v>406</v>
      </c>
      <c r="R69" t="s">
        <v>150</v>
      </c>
      <c r="S69" t="s">
        <v>145</v>
      </c>
      <c r="U69">
        <v>0</v>
      </c>
      <c r="V69" t="s">
        <v>544</v>
      </c>
      <c r="W69" t="s">
        <v>542</v>
      </c>
      <c r="X69" s="784">
        <v>1914014279.8929913</v>
      </c>
    </row>
    <row r="70" spans="1:24">
      <c r="A70" t="s">
        <v>358</v>
      </c>
      <c r="B70" t="s">
        <v>619</v>
      </c>
      <c r="C70" t="s">
        <v>223</v>
      </c>
      <c r="D70" t="s">
        <v>126</v>
      </c>
      <c r="E70" t="s">
        <v>377</v>
      </c>
      <c r="F70" t="s">
        <v>383</v>
      </c>
      <c r="G70" t="s">
        <v>98</v>
      </c>
      <c r="H70" t="s">
        <v>98</v>
      </c>
      <c r="I70" t="s">
        <v>743</v>
      </c>
      <c r="J70" t="s">
        <v>744</v>
      </c>
      <c r="K70" t="s">
        <v>546</v>
      </c>
      <c r="L70" s="784" t="s">
        <v>575</v>
      </c>
      <c r="M70" t="s">
        <v>745</v>
      </c>
      <c r="P70" t="s">
        <v>1887</v>
      </c>
      <c r="Q70" t="s">
        <v>575</v>
      </c>
      <c r="R70" t="s">
        <v>150</v>
      </c>
      <c r="S70" t="s">
        <v>145</v>
      </c>
      <c r="U70">
        <v>0</v>
      </c>
      <c r="V70" t="s">
        <v>541</v>
      </c>
      <c r="W70" t="s">
        <v>542</v>
      </c>
      <c r="X70" s="784">
        <v>17422005.762907442</v>
      </c>
    </row>
    <row r="71" spans="1:24">
      <c r="A71" t="s">
        <v>358</v>
      </c>
      <c r="B71" t="s">
        <v>620</v>
      </c>
      <c r="C71" t="s">
        <v>224</v>
      </c>
      <c r="D71" t="s">
        <v>126</v>
      </c>
      <c r="E71" t="s">
        <v>377</v>
      </c>
      <c r="F71" t="s">
        <v>383</v>
      </c>
      <c r="G71" t="s">
        <v>98</v>
      </c>
      <c r="H71" t="s">
        <v>98</v>
      </c>
      <c r="I71" t="s">
        <v>743</v>
      </c>
      <c r="J71" t="s">
        <v>744</v>
      </c>
      <c r="K71" t="s">
        <v>546</v>
      </c>
      <c r="L71" s="784" t="s">
        <v>575</v>
      </c>
      <c r="M71" t="s">
        <v>745</v>
      </c>
      <c r="P71" t="s">
        <v>1887</v>
      </c>
      <c r="Q71" t="s">
        <v>575</v>
      </c>
      <c r="R71" t="s">
        <v>148</v>
      </c>
      <c r="S71" t="s">
        <v>145</v>
      </c>
      <c r="U71">
        <v>0</v>
      </c>
      <c r="V71" t="s">
        <v>544</v>
      </c>
      <c r="W71" t="s">
        <v>546</v>
      </c>
      <c r="X71" s="784" t="s">
        <v>575</v>
      </c>
    </row>
    <row r="72" spans="1:24">
      <c r="A72" t="s">
        <v>358</v>
      </c>
      <c r="B72" t="s">
        <v>621</v>
      </c>
      <c r="C72" t="s">
        <v>225</v>
      </c>
      <c r="D72" t="s">
        <v>127</v>
      </c>
      <c r="E72" t="s">
        <v>377</v>
      </c>
      <c r="F72" t="s">
        <v>383</v>
      </c>
      <c r="G72" t="s">
        <v>98</v>
      </c>
      <c r="H72" t="s">
        <v>98</v>
      </c>
      <c r="I72" t="s">
        <v>743</v>
      </c>
      <c r="J72" t="s">
        <v>744</v>
      </c>
      <c r="K72" t="s">
        <v>546</v>
      </c>
      <c r="L72" s="784">
        <v>2500000</v>
      </c>
      <c r="M72" t="s">
        <v>745</v>
      </c>
      <c r="P72" t="s">
        <v>1887</v>
      </c>
      <c r="Q72" t="s">
        <v>406</v>
      </c>
      <c r="R72" t="s">
        <v>152</v>
      </c>
      <c r="S72" t="s">
        <v>145</v>
      </c>
      <c r="U72">
        <v>0</v>
      </c>
      <c r="V72" t="s">
        <v>544</v>
      </c>
      <c r="W72" t="s">
        <v>548</v>
      </c>
      <c r="X72" s="784" t="s">
        <v>575</v>
      </c>
    </row>
    <row r="73" spans="1:24">
      <c r="A73" t="s">
        <v>358</v>
      </c>
      <c r="B73" t="s">
        <v>622</v>
      </c>
      <c r="C73" t="s">
        <v>226</v>
      </c>
      <c r="D73" t="s">
        <v>127</v>
      </c>
      <c r="E73" t="s">
        <v>377</v>
      </c>
      <c r="F73" t="s">
        <v>383</v>
      </c>
      <c r="G73" t="s">
        <v>98</v>
      </c>
      <c r="H73" t="s">
        <v>98</v>
      </c>
      <c r="I73" t="s">
        <v>743</v>
      </c>
      <c r="J73" t="s">
        <v>744</v>
      </c>
      <c r="K73" t="s">
        <v>546</v>
      </c>
      <c r="L73" s="784">
        <v>16500000</v>
      </c>
      <c r="M73" t="s">
        <v>745</v>
      </c>
      <c r="P73" t="s">
        <v>1887</v>
      </c>
      <c r="Q73" t="s">
        <v>406</v>
      </c>
      <c r="R73" t="s">
        <v>150</v>
      </c>
      <c r="S73" t="s">
        <v>145</v>
      </c>
      <c r="U73">
        <v>2</v>
      </c>
      <c r="V73" t="s">
        <v>544</v>
      </c>
      <c r="W73" t="s">
        <v>562</v>
      </c>
      <c r="X73" s="784">
        <v>231506834.84347546</v>
      </c>
    </row>
    <row r="74" spans="1:24">
      <c r="A74" t="s">
        <v>358</v>
      </c>
      <c r="B74" t="s">
        <v>623</v>
      </c>
      <c r="C74" t="s">
        <v>227</v>
      </c>
      <c r="D74" t="s">
        <v>126</v>
      </c>
      <c r="E74" t="s">
        <v>377</v>
      </c>
      <c r="F74" t="s">
        <v>383</v>
      </c>
      <c r="G74" t="s">
        <v>98</v>
      </c>
      <c r="H74" t="s">
        <v>98</v>
      </c>
      <c r="I74" t="s">
        <v>743</v>
      </c>
      <c r="J74" t="s">
        <v>744</v>
      </c>
      <c r="K74" t="s">
        <v>546</v>
      </c>
      <c r="L74" s="784">
        <v>9000000</v>
      </c>
      <c r="M74" t="s">
        <v>745</v>
      </c>
      <c r="P74" t="s">
        <v>1887</v>
      </c>
      <c r="Q74" t="s">
        <v>406</v>
      </c>
      <c r="R74" t="s">
        <v>150</v>
      </c>
      <c r="S74" t="s">
        <v>145</v>
      </c>
      <c r="U74">
        <v>0</v>
      </c>
      <c r="V74" t="s">
        <v>544</v>
      </c>
      <c r="W74" t="s">
        <v>542</v>
      </c>
      <c r="X74" s="784">
        <v>156059428.62944782</v>
      </c>
    </row>
    <row r="75" spans="1:24">
      <c r="A75" t="s">
        <v>358</v>
      </c>
      <c r="B75" t="s">
        <v>624</v>
      </c>
      <c r="C75" t="s">
        <v>228</v>
      </c>
      <c r="D75" t="s">
        <v>131</v>
      </c>
      <c r="E75" t="s">
        <v>377</v>
      </c>
      <c r="F75" t="s">
        <v>383</v>
      </c>
      <c r="G75" t="s">
        <v>98</v>
      </c>
      <c r="H75" t="s">
        <v>98</v>
      </c>
      <c r="I75" t="s">
        <v>743</v>
      </c>
      <c r="J75" t="s">
        <v>744</v>
      </c>
      <c r="K75" t="s">
        <v>546</v>
      </c>
      <c r="L75" s="784">
        <v>25000000</v>
      </c>
      <c r="M75" t="s">
        <v>745</v>
      </c>
      <c r="P75" t="s">
        <v>1887</v>
      </c>
      <c r="Q75" t="s">
        <v>406</v>
      </c>
      <c r="R75" t="s">
        <v>152</v>
      </c>
      <c r="S75" t="s">
        <v>146</v>
      </c>
      <c r="U75">
        <v>0</v>
      </c>
      <c r="V75" t="s">
        <v>544</v>
      </c>
      <c r="W75" t="s">
        <v>546</v>
      </c>
      <c r="X75" s="784">
        <v>2355391507.1635861</v>
      </c>
    </row>
    <row r="76" spans="1:24">
      <c r="A76" t="s">
        <v>358</v>
      </c>
      <c r="B76" t="s">
        <v>625</v>
      </c>
      <c r="C76" t="s">
        <v>229</v>
      </c>
      <c r="D76" t="s">
        <v>128</v>
      </c>
      <c r="E76" t="s">
        <v>377</v>
      </c>
      <c r="F76" t="s">
        <v>383</v>
      </c>
      <c r="G76" t="s">
        <v>98</v>
      </c>
      <c r="H76" t="s">
        <v>98</v>
      </c>
      <c r="I76" t="s">
        <v>743</v>
      </c>
      <c r="J76" t="s">
        <v>744</v>
      </c>
      <c r="K76" t="s">
        <v>546</v>
      </c>
      <c r="L76" s="784">
        <v>14000000</v>
      </c>
      <c r="M76" t="s">
        <v>745</v>
      </c>
      <c r="P76" t="s">
        <v>1887</v>
      </c>
      <c r="Q76" t="s">
        <v>406</v>
      </c>
      <c r="R76" t="s">
        <v>150</v>
      </c>
      <c r="S76" t="s">
        <v>145</v>
      </c>
      <c r="U76">
        <v>0</v>
      </c>
      <c r="V76" t="s">
        <v>544</v>
      </c>
      <c r="W76" t="s">
        <v>562</v>
      </c>
      <c r="X76" s="784">
        <v>152760919.7684873</v>
      </c>
    </row>
    <row r="77" spans="1:24">
      <c r="A77" t="s">
        <v>358</v>
      </c>
      <c r="B77" t="s">
        <v>626</v>
      </c>
      <c r="C77" t="s">
        <v>230</v>
      </c>
      <c r="D77" t="s">
        <v>129</v>
      </c>
      <c r="E77" t="s">
        <v>377</v>
      </c>
      <c r="F77" t="s">
        <v>383</v>
      </c>
      <c r="G77" t="s">
        <v>98</v>
      </c>
      <c r="H77" t="s">
        <v>98</v>
      </c>
      <c r="I77" t="s">
        <v>743</v>
      </c>
      <c r="J77" t="s">
        <v>744</v>
      </c>
      <c r="K77" t="s">
        <v>546</v>
      </c>
      <c r="L77" s="784">
        <v>4500000</v>
      </c>
      <c r="M77" t="s">
        <v>745</v>
      </c>
      <c r="P77" t="s">
        <v>1887</v>
      </c>
      <c r="Q77" t="s">
        <v>406</v>
      </c>
      <c r="R77" t="s">
        <v>148</v>
      </c>
      <c r="S77" t="s">
        <v>145</v>
      </c>
      <c r="U77">
        <v>0</v>
      </c>
      <c r="V77" t="s">
        <v>544</v>
      </c>
      <c r="W77" t="s">
        <v>542</v>
      </c>
      <c r="X77" s="784">
        <v>55072006.864440605</v>
      </c>
    </row>
    <row r="78" spans="1:24">
      <c r="A78" t="s">
        <v>358</v>
      </c>
      <c r="B78" t="s">
        <v>627</v>
      </c>
      <c r="C78" t="s">
        <v>231</v>
      </c>
      <c r="D78" t="s">
        <v>131</v>
      </c>
      <c r="E78" t="s">
        <v>377</v>
      </c>
      <c r="F78" t="s">
        <v>383</v>
      </c>
      <c r="G78" t="s">
        <v>98</v>
      </c>
      <c r="H78" t="s">
        <v>98</v>
      </c>
      <c r="I78" t="s">
        <v>743</v>
      </c>
      <c r="J78" t="s">
        <v>744</v>
      </c>
      <c r="K78" t="s">
        <v>546</v>
      </c>
      <c r="L78" s="784" t="s">
        <v>575</v>
      </c>
      <c r="M78" t="s">
        <v>745</v>
      </c>
      <c r="P78" t="s">
        <v>1887</v>
      </c>
      <c r="Q78" t="s">
        <v>575</v>
      </c>
      <c r="R78" t="s">
        <v>152</v>
      </c>
      <c r="S78" t="s">
        <v>146</v>
      </c>
      <c r="U78">
        <v>0</v>
      </c>
      <c r="V78" t="s">
        <v>544</v>
      </c>
      <c r="W78" t="s">
        <v>546</v>
      </c>
      <c r="X78" s="784" t="s">
        <v>575</v>
      </c>
    </row>
    <row r="79" spans="1:24">
      <c r="A79" t="s">
        <v>358</v>
      </c>
      <c r="B79" t="s">
        <v>628</v>
      </c>
      <c r="C79" t="s">
        <v>232</v>
      </c>
      <c r="D79" t="s">
        <v>128</v>
      </c>
      <c r="E79" t="s">
        <v>377</v>
      </c>
      <c r="F79" t="s">
        <v>383</v>
      </c>
      <c r="G79" t="s">
        <v>98</v>
      </c>
      <c r="H79" t="s">
        <v>98</v>
      </c>
      <c r="I79" t="s">
        <v>743</v>
      </c>
      <c r="J79" t="s">
        <v>744</v>
      </c>
      <c r="K79" t="s">
        <v>546</v>
      </c>
      <c r="L79" s="784">
        <v>80000000</v>
      </c>
      <c r="M79" t="s">
        <v>745</v>
      </c>
      <c r="P79" t="s">
        <v>1887</v>
      </c>
      <c r="Q79" t="s">
        <v>406</v>
      </c>
      <c r="R79" t="s">
        <v>148</v>
      </c>
      <c r="S79" t="s">
        <v>145</v>
      </c>
      <c r="U79">
        <v>2</v>
      </c>
      <c r="V79" t="s">
        <v>544</v>
      </c>
      <c r="W79" t="s">
        <v>562</v>
      </c>
      <c r="X79" s="784">
        <v>206914157.05429548</v>
      </c>
    </row>
    <row r="80" spans="1:24">
      <c r="A80" t="s">
        <v>358</v>
      </c>
      <c r="B80" t="s">
        <v>629</v>
      </c>
      <c r="C80" t="s">
        <v>233</v>
      </c>
      <c r="D80" t="s">
        <v>128</v>
      </c>
      <c r="E80" t="s">
        <v>377</v>
      </c>
      <c r="F80" t="s">
        <v>383</v>
      </c>
      <c r="G80" t="s">
        <v>98</v>
      </c>
      <c r="H80" t="s">
        <v>98</v>
      </c>
      <c r="I80" t="s">
        <v>743</v>
      </c>
      <c r="J80" t="s">
        <v>744</v>
      </c>
      <c r="K80" t="s">
        <v>546</v>
      </c>
      <c r="L80" s="784">
        <v>21300000</v>
      </c>
      <c r="M80" t="s">
        <v>745</v>
      </c>
      <c r="P80" t="s">
        <v>1887</v>
      </c>
      <c r="Q80" t="s">
        <v>406</v>
      </c>
      <c r="R80" t="s">
        <v>148</v>
      </c>
      <c r="S80" t="s">
        <v>145</v>
      </c>
      <c r="U80">
        <v>2</v>
      </c>
      <c r="V80" t="s">
        <v>544</v>
      </c>
      <c r="W80" t="s">
        <v>542</v>
      </c>
      <c r="X80" s="784">
        <v>185999915.02066413</v>
      </c>
    </row>
    <row r="81" spans="1:24">
      <c r="A81" t="s">
        <v>358</v>
      </c>
      <c r="B81" t="s">
        <v>630</v>
      </c>
      <c r="C81" t="s">
        <v>234</v>
      </c>
      <c r="D81" t="s">
        <v>126</v>
      </c>
      <c r="E81" t="s">
        <v>377</v>
      </c>
      <c r="F81" t="s">
        <v>383</v>
      </c>
      <c r="G81" t="s">
        <v>98</v>
      </c>
      <c r="H81" t="s">
        <v>98</v>
      </c>
      <c r="I81" t="s">
        <v>743</v>
      </c>
      <c r="J81" t="s">
        <v>744</v>
      </c>
      <c r="K81" t="s">
        <v>546</v>
      </c>
      <c r="L81" s="784" t="s">
        <v>575</v>
      </c>
      <c r="M81" t="s">
        <v>745</v>
      </c>
      <c r="P81" t="s">
        <v>1887</v>
      </c>
      <c r="Q81" t="s">
        <v>575</v>
      </c>
      <c r="R81" t="s">
        <v>152</v>
      </c>
      <c r="S81" t="s">
        <v>146</v>
      </c>
      <c r="U81">
        <v>0</v>
      </c>
      <c r="V81" t="s">
        <v>544</v>
      </c>
      <c r="W81" t="s">
        <v>575</v>
      </c>
      <c r="X81" s="784">
        <v>6893755763.2501726</v>
      </c>
    </row>
    <row r="82" spans="1:24">
      <c r="A82" t="s">
        <v>358</v>
      </c>
      <c r="B82" t="s">
        <v>631</v>
      </c>
      <c r="C82" t="s">
        <v>235</v>
      </c>
      <c r="D82" t="s">
        <v>132</v>
      </c>
      <c r="E82" t="s">
        <v>377</v>
      </c>
      <c r="F82" t="s">
        <v>383</v>
      </c>
      <c r="G82" t="s">
        <v>98</v>
      </c>
      <c r="H82" t="s">
        <v>98</v>
      </c>
      <c r="I82" t="s">
        <v>743</v>
      </c>
      <c r="J82" t="s">
        <v>744</v>
      </c>
      <c r="K82" t="s">
        <v>546</v>
      </c>
      <c r="L82" s="784" t="s">
        <v>575</v>
      </c>
      <c r="M82" t="s">
        <v>745</v>
      </c>
      <c r="P82" t="s">
        <v>1887</v>
      </c>
      <c r="Q82" t="s">
        <v>575</v>
      </c>
      <c r="R82" t="s">
        <v>152</v>
      </c>
      <c r="S82" t="s">
        <v>145</v>
      </c>
      <c r="U82">
        <v>0</v>
      </c>
      <c r="V82" t="s">
        <v>541</v>
      </c>
      <c r="W82" t="s">
        <v>542</v>
      </c>
      <c r="X82" s="784">
        <v>354560231.58276606</v>
      </c>
    </row>
    <row r="83" spans="1:24">
      <c r="A83" t="s">
        <v>358</v>
      </c>
      <c r="B83" t="s">
        <v>632</v>
      </c>
      <c r="C83" t="s">
        <v>236</v>
      </c>
      <c r="D83" t="s">
        <v>129</v>
      </c>
      <c r="E83" t="s">
        <v>377</v>
      </c>
      <c r="F83" t="s">
        <v>383</v>
      </c>
      <c r="G83" t="s">
        <v>98</v>
      </c>
      <c r="H83" t="s">
        <v>98</v>
      </c>
      <c r="I83" t="s">
        <v>743</v>
      </c>
      <c r="J83" t="s">
        <v>744</v>
      </c>
      <c r="K83" t="s">
        <v>546</v>
      </c>
      <c r="L83" s="784">
        <v>44500000</v>
      </c>
      <c r="M83" t="s">
        <v>745</v>
      </c>
      <c r="P83" t="s">
        <v>1887</v>
      </c>
      <c r="Q83" t="s">
        <v>406</v>
      </c>
      <c r="R83" t="s">
        <v>148</v>
      </c>
      <c r="S83" t="s">
        <v>145</v>
      </c>
      <c r="U83">
        <v>1</v>
      </c>
      <c r="V83" t="s">
        <v>544</v>
      </c>
      <c r="W83" t="s">
        <v>562</v>
      </c>
      <c r="X83" s="784">
        <v>188169167.56540567</v>
      </c>
    </row>
    <row r="84" spans="1:24">
      <c r="A84" t="s">
        <v>358</v>
      </c>
      <c r="B84" t="s">
        <v>633</v>
      </c>
      <c r="C84" t="s">
        <v>237</v>
      </c>
      <c r="D84" t="s">
        <v>126</v>
      </c>
      <c r="E84" t="s">
        <v>377</v>
      </c>
      <c r="F84" t="s">
        <v>383</v>
      </c>
      <c r="G84" t="s">
        <v>98</v>
      </c>
      <c r="H84" t="s">
        <v>98</v>
      </c>
      <c r="I84" t="s">
        <v>743</v>
      </c>
      <c r="J84" t="s">
        <v>744</v>
      </c>
      <c r="K84" t="s">
        <v>546</v>
      </c>
      <c r="L84" s="784" t="s">
        <v>575</v>
      </c>
      <c r="M84" t="s">
        <v>745</v>
      </c>
      <c r="P84" t="s">
        <v>1887</v>
      </c>
      <c r="Q84" t="s">
        <v>575</v>
      </c>
      <c r="R84" t="s">
        <v>152</v>
      </c>
      <c r="S84" t="s">
        <v>145</v>
      </c>
      <c r="U84">
        <v>0</v>
      </c>
      <c r="V84" t="s">
        <v>541</v>
      </c>
      <c r="W84" t="s">
        <v>575</v>
      </c>
      <c r="X84" s="784">
        <v>16312106.556340856</v>
      </c>
    </row>
    <row r="85" spans="1:24">
      <c r="A85" t="s">
        <v>358</v>
      </c>
      <c r="B85" t="s">
        <v>634</v>
      </c>
      <c r="C85" t="s">
        <v>238</v>
      </c>
      <c r="D85" t="s">
        <v>129</v>
      </c>
      <c r="E85" t="s">
        <v>377</v>
      </c>
      <c r="F85" t="s">
        <v>383</v>
      </c>
      <c r="G85" t="s">
        <v>98</v>
      </c>
      <c r="H85" t="s">
        <v>98</v>
      </c>
      <c r="I85" t="s">
        <v>743</v>
      </c>
      <c r="J85" t="s">
        <v>744</v>
      </c>
      <c r="K85" t="s">
        <v>546</v>
      </c>
      <c r="L85" s="784">
        <v>11200000</v>
      </c>
      <c r="M85" t="s">
        <v>745</v>
      </c>
      <c r="P85" t="s">
        <v>1887</v>
      </c>
      <c r="Q85" t="s">
        <v>406</v>
      </c>
      <c r="R85" t="s">
        <v>150</v>
      </c>
      <c r="S85" t="s">
        <v>145</v>
      </c>
      <c r="U85">
        <v>2</v>
      </c>
      <c r="V85" t="s">
        <v>544</v>
      </c>
      <c r="W85" t="s">
        <v>542</v>
      </c>
      <c r="X85" s="784">
        <v>86083833.534053758</v>
      </c>
    </row>
    <row r="86" spans="1:24">
      <c r="A86" t="s">
        <v>358</v>
      </c>
      <c r="B86" t="s">
        <v>635</v>
      </c>
      <c r="C86" t="s">
        <v>239</v>
      </c>
      <c r="D86" t="s">
        <v>128</v>
      </c>
      <c r="E86" t="s">
        <v>377</v>
      </c>
      <c r="F86" t="s">
        <v>383</v>
      </c>
      <c r="G86" t="s">
        <v>98</v>
      </c>
      <c r="H86" t="s">
        <v>98</v>
      </c>
      <c r="I86" t="s">
        <v>743</v>
      </c>
      <c r="J86" t="s">
        <v>744</v>
      </c>
      <c r="K86" t="s">
        <v>546</v>
      </c>
      <c r="L86" s="784">
        <v>0</v>
      </c>
      <c r="M86" t="s">
        <v>745</v>
      </c>
      <c r="P86" t="s">
        <v>1887</v>
      </c>
      <c r="Q86" t="s">
        <v>575</v>
      </c>
      <c r="R86" t="s">
        <v>152</v>
      </c>
      <c r="S86" t="s">
        <v>146</v>
      </c>
      <c r="U86">
        <v>0</v>
      </c>
      <c r="V86" t="s">
        <v>541</v>
      </c>
      <c r="W86" t="s">
        <v>546</v>
      </c>
      <c r="X86" s="784">
        <v>357220835.93762809</v>
      </c>
    </row>
    <row r="87" spans="1:24">
      <c r="A87" t="s">
        <v>358</v>
      </c>
      <c r="B87" t="s">
        <v>636</v>
      </c>
      <c r="C87" t="s">
        <v>240</v>
      </c>
      <c r="D87" t="s">
        <v>130</v>
      </c>
      <c r="E87" t="s">
        <v>377</v>
      </c>
      <c r="F87" t="s">
        <v>383</v>
      </c>
      <c r="G87" t="s">
        <v>98</v>
      </c>
      <c r="H87" t="s">
        <v>98</v>
      </c>
      <c r="I87" t="s">
        <v>743</v>
      </c>
      <c r="J87" t="s">
        <v>744</v>
      </c>
      <c r="K87" t="s">
        <v>546</v>
      </c>
      <c r="L87" s="784" t="s">
        <v>575</v>
      </c>
      <c r="M87" t="s">
        <v>745</v>
      </c>
      <c r="P87" t="s">
        <v>1887</v>
      </c>
      <c r="Q87" t="s">
        <v>575</v>
      </c>
      <c r="R87" t="s">
        <v>152</v>
      </c>
      <c r="S87" t="s">
        <v>146</v>
      </c>
      <c r="U87">
        <v>0</v>
      </c>
      <c r="V87" t="s">
        <v>544</v>
      </c>
      <c r="W87" t="s">
        <v>575</v>
      </c>
      <c r="X87" s="784">
        <v>32831598153.796387</v>
      </c>
    </row>
    <row r="88" spans="1:24">
      <c r="A88" t="s">
        <v>358</v>
      </c>
      <c r="B88" t="s">
        <v>637</v>
      </c>
      <c r="C88" t="s">
        <v>241</v>
      </c>
      <c r="D88" t="s">
        <v>126</v>
      </c>
      <c r="E88" t="s">
        <v>377</v>
      </c>
      <c r="F88" t="s">
        <v>383</v>
      </c>
      <c r="G88" t="s">
        <v>98</v>
      </c>
      <c r="H88" t="s">
        <v>98</v>
      </c>
      <c r="I88" t="s">
        <v>743</v>
      </c>
      <c r="J88" t="s">
        <v>744</v>
      </c>
      <c r="K88" t="s">
        <v>546</v>
      </c>
      <c r="L88" s="784" t="s">
        <v>575</v>
      </c>
      <c r="M88" t="s">
        <v>745</v>
      </c>
      <c r="P88" t="s">
        <v>1887</v>
      </c>
      <c r="Q88" t="s">
        <v>575</v>
      </c>
      <c r="R88" t="s">
        <v>150</v>
      </c>
      <c r="S88" t="s">
        <v>145</v>
      </c>
      <c r="U88">
        <v>0</v>
      </c>
      <c r="V88" t="s">
        <v>541</v>
      </c>
      <c r="W88" t="s">
        <v>542</v>
      </c>
      <c r="X88" s="784">
        <v>12329056.093798399</v>
      </c>
    </row>
    <row r="89" spans="1:24">
      <c r="A89" t="s">
        <v>358</v>
      </c>
      <c r="B89" t="s">
        <v>638</v>
      </c>
      <c r="C89" t="s">
        <v>242</v>
      </c>
      <c r="D89" t="s">
        <v>127</v>
      </c>
      <c r="E89" t="s">
        <v>377</v>
      </c>
      <c r="F89" t="s">
        <v>383</v>
      </c>
      <c r="G89" t="s">
        <v>98</v>
      </c>
      <c r="H89" t="s">
        <v>98</v>
      </c>
      <c r="I89" t="s">
        <v>743</v>
      </c>
      <c r="J89" t="s">
        <v>744</v>
      </c>
      <c r="K89" t="s">
        <v>546</v>
      </c>
      <c r="L89" s="784">
        <v>20100000</v>
      </c>
      <c r="M89" t="s">
        <v>745</v>
      </c>
      <c r="P89" t="s">
        <v>1887</v>
      </c>
      <c r="Q89" t="s">
        <v>406</v>
      </c>
      <c r="R89" t="s">
        <v>152</v>
      </c>
      <c r="S89" t="s">
        <v>145</v>
      </c>
      <c r="U89">
        <v>0</v>
      </c>
      <c r="V89" t="s">
        <v>544</v>
      </c>
      <c r="W89" t="s">
        <v>558</v>
      </c>
      <c r="X89" s="784">
        <v>426639742.85328001</v>
      </c>
    </row>
    <row r="90" spans="1:24">
      <c r="A90" t="s">
        <v>358</v>
      </c>
      <c r="B90" t="s">
        <v>639</v>
      </c>
      <c r="C90" t="s">
        <v>243</v>
      </c>
      <c r="D90" t="s">
        <v>126</v>
      </c>
      <c r="E90" t="s">
        <v>377</v>
      </c>
      <c r="F90" t="s">
        <v>383</v>
      </c>
      <c r="G90" t="s">
        <v>98</v>
      </c>
      <c r="H90" t="s">
        <v>98</v>
      </c>
      <c r="I90" t="s">
        <v>743</v>
      </c>
      <c r="J90" t="s">
        <v>744</v>
      </c>
      <c r="K90" t="s">
        <v>546</v>
      </c>
      <c r="L90" s="784">
        <v>18700000</v>
      </c>
      <c r="M90" t="s">
        <v>745</v>
      </c>
      <c r="P90" t="s">
        <v>1887</v>
      </c>
      <c r="Q90" t="s">
        <v>406</v>
      </c>
      <c r="R90" t="s">
        <v>150</v>
      </c>
      <c r="S90" t="s">
        <v>145</v>
      </c>
      <c r="U90">
        <v>0</v>
      </c>
      <c r="V90" t="s">
        <v>544</v>
      </c>
      <c r="W90" t="s">
        <v>548</v>
      </c>
      <c r="X90" s="784">
        <v>288519671.85870522</v>
      </c>
    </row>
    <row r="91" spans="1:24">
      <c r="A91" t="s">
        <v>358</v>
      </c>
      <c r="B91" t="s">
        <v>640</v>
      </c>
      <c r="C91" t="s">
        <v>244</v>
      </c>
      <c r="D91" t="s">
        <v>127</v>
      </c>
      <c r="E91" t="s">
        <v>377</v>
      </c>
      <c r="F91" t="s">
        <v>383</v>
      </c>
      <c r="G91" t="s">
        <v>98</v>
      </c>
      <c r="H91" t="s">
        <v>98</v>
      </c>
      <c r="I91" t="s">
        <v>743</v>
      </c>
      <c r="J91" t="s">
        <v>744</v>
      </c>
      <c r="K91" t="s">
        <v>546</v>
      </c>
      <c r="L91" s="784">
        <v>0</v>
      </c>
      <c r="M91" t="s">
        <v>745</v>
      </c>
      <c r="P91" t="s">
        <v>1887</v>
      </c>
      <c r="Q91" t="s">
        <v>575</v>
      </c>
      <c r="R91" t="s">
        <v>152</v>
      </c>
      <c r="S91" t="s">
        <v>146</v>
      </c>
      <c r="U91">
        <v>0</v>
      </c>
      <c r="V91" t="s">
        <v>544</v>
      </c>
      <c r="W91" t="s">
        <v>546</v>
      </c>
      <c r="X91" s="784">
        <v>275606560.78491527</v>
      </c>
    </row>
    <row r="92" spans="1:24">
      <c r="A92" t="s">
        <v>358</v>
      </c>
      <c r="B92" t="s">
        <v>641</v>
      </c>
      <c r="C92" t="s">
        <v>245</v>
      </c>
      <c r="D92" t="s">
        <v>131</v>
      </c>
      <c r="E92" t="s">
        <v>377</v>
      </c>
      <c r="F92" t="s">
        <v>383</v>
      </c>
      <c r="G92" t="s">
        <v>98</v>
      </c>
      <c r="H92" t="s">
        <v>98</v>
      </c>
      <c r="I92" t="s">
        <v>743</v>
      </c>
      <c r="J92" t="s">
        <v>744</v>
      </c>
      <c r="K92" t="s">
        <v>546</v>
      </c>
      <c r="L92" s="784" t="s">
        <v>575</v>
      </c>
      <c r="M92" t="s">
        <v>745</v>
      </c>
      <c r="P92" t="s">
        <v>1887</v>
      </c>
      <c r="Q92" t="s">
        <v>575</v>
      </c>
      <c r="R92" t="s">
        <v>150</v>
      </c>
      <c r="S92" t="s">
        <v>145</v>
      </c>
      <c r="U92">
        <v>0</v>
      </c>
      <c r="V92" t="s">
        <v>544</v>
      </c>
      <c r="W92" t="s">
        <v>546</v>
      </c>
      <c r="X92" s="784">
        <v>2530937679.3725696</v>
      </c>
    </row>
    <row r="93" spans="1:24">
      <c r="A93" t="s">
        <v>358</v>
      </c>
      <c r="B93" t="s">
        <v>642</v>
      </c>
      <c r="C93" t="s">
        <v>246</v>
      </c>
      <c r="D93" t="s">
        <v>128</v>
      </c>
      <c r="E93" t="s">
        <v>377</v>
      </c>
      <c r="F93" t="s">
        <v>383</v>
      </c>
      <c r="G93" t="s">
        <v>98</v>
      </c>
      <c r="H93" t="s">
        <v>98</v>
      </c>
      <c r="I93" t="s">
        <v>743</v>
      </c>
      <c r="J93" t="s">
        <v>744</v>
      </c>
      <c r="K93" t="s">
        <v>546</v>
      </c>
      <c r="L93" s="784">
        <v>70000000</v>
      </c>
      <c r="M93" t="s">
        <v>745</v>
      </c>
      <c r="P93" t="s">
        <v>1887</v>
      </c>
      <c r="Q93" t="s">
        <v>406</v>
      </c>
      <c r="R93" t="s">
        <v>148</v>
      </c>
      <c r="S93" t="s">
        <v>145</v>
      </c>
      <c r="U93">
        <v>0</v>
      </c>
      <c r="V93" t="s">
        <v>544</v>
      </c>
      <c r="W93" t="s">
        <v>583</v>
      </c>
      <c r="X93" s="784">
        <v>251432156.86255455</v>
      </c>
    </row>
    <row r="94" spans="1:24">
      <c r="A94" t="s">
        <v>358</v>
      </c>
      <c r="B94" t="s">
        <v>643</v>
      </c>
      <c r="C94" t="s">
        <v>247</v>
      </c>
      <c r="D94" t="s">
        <v>126</v>
      </c>
      <c r="E94" t="s">
        <v>377</v>
      </c>
      <c r="F94" t="s">
        <v>383</v>
      </c>
      <c r="G94" t="s">
        <v>98</v>
      </c>
      <c r="H94" t="s">
        <v>98</v>
      </c>
      <c r="I94" t="s">
        <v>743</v>
      </c>
      <c r="J94" t="s">
        <v>744</v>
      </c>
      <c r="K94" t="s">
        <v>546</v>
      </c>
      <c r="L94" s="784">
        <v>0</v>
      </c>
      <c r="M94" t="s">
        <v>745</v>
      </c>
      <c r="P94" t="s">
        <v>1887</v>
      </c>
      <c r="Q94" t="s">
        <v>575</v>
      </c>
      <c r="R94" t="s">
        <v>150</v>
      </c>
      <c r="S94" t="s">
        <v>145</v>
      </c>
      <c r="U94">
        <v>0</v>
      </c>
      <c r="V94" t="s">
        <v>544</v>
      </c>
      <c r="W94" t="s">
        <v>558</v>
      </c>
      <c r="X94" s="784">
        <v>471534500.60109437</v>
      </c>
    </row>
    <row r="95" spans="1:24">
      <c r="A95" t="s">
        <v>358</v>
      </c>
      <c r="B95" t="s">
        <v>644</v>
      </c>
      <c r="C95" t="s">
        <v>248</v>
      </c>
      <c r="D95" t="s">
        <v>128</v>
      </c>
      <c r="E95" t="s">
        <v>377</v>
      </c>
      <c r="F95" t="s">
        <v>383</v>
      </c>
      <c r="G95" t="s">
        <v>98</v>
      </c>
      <c r="H95" t="s">
        <v>98</v>
      </c>
      <c r="I95" t="s">
        <v>743</v>
      </c>
      <c r="J95" t="s">
        <v>744</v>
      </c>
      <c r="K95" t="s">
        <v>546</v>
      </c>
      <c r="L95" s="784" t="s">
        <v>575</v>
      </c>
      <c r="M95" t="s">
        <v>745</v>
      </c>
      <c r="P95" t="s">
        <v>1887</v>
      </c>
      <c r="Q95" t="s">
        <v>575</v>
      </c>
      <c r="R95" t="s">
        <v>152</v>
      </c>
      <c r="S95" t="s">
        <v>146</v>
      </c>
      <c r="U95">
        <v>0</v>
      </c>
      <c r="V95" t="s">
        <v>544</v>
      </c>
      <c r="W95" t="s">
        <v>575</v>
      </c>
      <c r="X95" s="784">
        <v>531677611.80447447</v>
      </c>
    </row>
    <row r="96" spans="1:24">
      <c r="A96" t="s">
        <v>358</v>
      </c>
      <c r="B96" t="s">
        <v>645</v>
      </c>
      <c r="C96" t="s">
        <v>249</v>
      </c>
      <c r="D96" t="s">
        <v>126</v>
      </c>
      <c r="E96" t="s">
        <v>377</v>
      </c>
      <c r="F96" t="s">
        <v>383</v>
      </c>
      <c r="G96" t="s">
        <v>98</v>
      </c>
      <c r="H96" t="s">
        <v>98</v>
      </c>
      <c r="I96" t="s">
        <v>743</v>
      </c>
      <c r="J96" t="s">
        <v>744</v>
      </c>
      <c r="K96" t="s">
        <v>546</v>
      </c>
      <c r="L96" s="784" t="s">
        <v>575</v>
      </c>
      <c r="M96" t="s">
        <v>745</v>
      </c>
      <c r="P96" t="s">
        <v>1887</v>
      </c>
      <c r="Q96" t="s">
        <v>575</v>
      </c>
      <c r="R96" t="s">
        <v>550</v>
      </c>
      <c r="S96" t="s">
        <v>146</v>
      </c>
      <c r="U96">
        <v>0</v>
      </c>
      <c r="V96" t="s">
        <v>541</v>
      </c>
      <c r="W96" t="s">
        <v>575</v>
      </c>
      <c r="X96" s="784">
        <v>8528751.6418357007</v>
      </c>
    </row>
    <row r="97" spans="1:24">
      <c r="A97" t="s">
        <v>358</v>
      </c>
      <c r="B97" t="s">
        <v>646</v>
      </c>
      <c r="C97" t="s">
        <v>250</v>
      </c>
      <c r="D97" t="s">
        <v>132</v>
      </c>
      <c r="E97" t="s">
        <v>377</v>
      </c>
      <c r="F97" t="s">
        <v>383</v>
      </c>
      <c r="G97" t="s">
        <v>98</v>
      </c>
      <c r="H97" t="s">
        <v>98</v>
      </c>
      <c r="I97" t="s">
        <v>743</v>
      </c>
      <c r="J97" t="s">
        <v>744</v>
      </c>
      <c r="K97" t="s">
        <v>546</v>
      </c>
      <c r="L97" s="784">
        <v>62600000</v>
      </c>
      <c r="M97" t="s">
        <v>745</v>
      </c>
      <c r="P97" t="s">
        <v>1887</v>
      </c>
      <c r="Q97" t="s">
        <v>406</v>
      </c>
      <c r="R97" t="s">
        <v>150</v>
      </c>
      <c r="S97" t="s">
        <v>145</v>
      </c>
      <c r="U97">
        <v>0</v>
      </c>
      <c r="V97" t="s">
        <v>544</v>
      </c>
      <c r="W97" t="s">
        <v>558</v>
      </c>
      <c r="X97" s="784">
        <v>407084543.19089872</v>
      </c>
    </row>
    <row r="98" spans="1:24">
      <c r="A98" t="s">
        <v>358</v>
      </c>
      <c r="B98" t="s">
        <v>647</v>
      </c>
      <c r="C98" t="s">
        <v>251</v>
      </c>
      <c r="D98" t="s">
        <v>130</v>
      </c>
      <c r="E98" t="s">
        <v>377</v>
      </c>
      <c r="F98" t="s">
        <v>383</v>
      </c>
      <c r="G98" t="s">
        <v>98</v>
      </c>
      <c r="H98" t="s">
        <v>98</v>
      </c>
      <c r="I98" t="s">
        <v>743</v>
      </c>
      <c r="J98" t="s">
        <v>744</v>
      </c>
      <c r="K98" t="s">
        <v>546</v>
      </c>
      <c r="L98" s="784" t="s">
        <v>575</v>
      </c>
      <c r="M98" t="s">
        <v>745</v>
      </c>
      <c r="P98" t="s">
        <v>1887</v>
      </c>
      <c r="Q98" t="s">
        <v>575</v>
      </c>
      <c r="R98" t="s">
        <v>150</v>
      </c>
      <c r="S98" t="s">
        <v>145</v>
      </c>
      <c r="U98">
        <v>0</v>
      </c>
      <c r="V98" t="s">
        <v>544</v>
      </c>
      <c r="W98" t="s">
        <v>562</v>
      </c>
      <c r="X98" s="784">
        <v>671998341.93592453</v>
      </c>
    </row>
    <row r="99" spans="1:24">
      <c r="A99" t="s">
        <v>358</v>
      </c>
      <c r="B99" t="s">
        <v>648</v>
      </c>
      <c r="C99" t="s">
        <v>252</v>
      </c>
      <c r="D99" t="s">
        <v>129</v>
      </c>
      <c r="E99" t="s">
        <v>377</v>
      </c>
      <c r="F99" t="s">
        <v>383</v>
      </c>
      <c r="G99" t="s">
        <v>98</v>
      </c>
      <c r="H99" t="s">
        <v>98</v>
      </c>
      <c r="I99" t="s">
        <v>743</v>
      </c>
      <c r="J99" t="s">
        <v>744</v>
      </c>
      <c r="K99" t="s">
        <v>546</v>
      </c>
      <c r="L99" s="784">
        <v>19800000</v>
      </c>
      <c r="M99" t="s">
        <v>745</v>
      </c>
      <c r="P99" t="s">
        <v>1887</v>
      </c>
      <c r="Q99" t="s">
        <v>406</v>
      </c>
      <c r="R99" t="s">
        <v>148</v>
      </c>
      <c r="S99" t="s">
        <v>145</v>
      </c>
      <c r="U99">
        <v>1</v>
      </c>
      <c r="V99" t="s">
        <v>544</v>
      </c>
      <c r="W99" t="s">
        <v>562</v>
      </c>
      <c r="X99" s="784">
        <v>226203289.67158964</v>
      </c>
    </row>
    <row r="100" spans="1:24">
      <c r="A100" t="s">
        <v>358</v>
      </c>
      <c r="B100" t="s">
        <v>649</v>
      </c>
      <c r="C100" t="s">
        <v>253</v>
      </c>
      <c r="D100" t="s">
        <v>129</v>
      </c>
      <c r="E100" t="s">
        <v>377</v>
      </c>
      <c r="F100" t="s">
        <v>383</v>
      </c>
      <c r="G100" t="s">
        <v>98</v>
      </c>
      <c r="H100" t="s">
        <v>98</v>
      </c>
      <c r="I100" t="s">
        <v>743</v>
      </c>
      <c r="J100" t="s">
        <v>744</v>
      </c>
      <c r="K100" t="s">
        <v>546</v>
      </c>
      <c r="L100" s="784">
        <v>357500000</v>
      </c>
      <c r="M100" t="s">
        <v>745</v>
      </c>
      <c r="P100" t="s">
        <v>1887</v>
      </c>
      <c r="Q100" t="s">
        <v>406</v>
      </c>
      <c r="R100" t="s">
        <v>150</v>
      </c>
      <c r="S100" t="s">
        <v>145</v>
      </c>
      <c r="U100">
        <v>3</v>
      </c>
      <c r="V100" t="s">
        <v>544</v>
      </c>
      <c r="W100" t="s">
        <v>548</v>
      </c>
      <c r="X100" s="784">
        <v>2438881113.1244688</v>
      </c>
    </row>
    <row r="101" spans="1:24">
      <c r="A101" t="s">
        <v>358</v>
      </c>
      <c r="B101" t="s">
        <v>650</v>
      </c>
      <c r="C101" t="s">
        <v>254</v>
      </c>
      <c r="D101" t="s">
        <v>127</v>
      </c>
      <c r="E101" t="s">
        <v>377</v>
      </c>
      <c r="F101" t="s">
        <v>383</v>
      </c>
      <c r="G101" t="s">
        <v>98</v>
      </c>
      <c r="H101" t="s">
        <v>98</v>
      </c>
      <c r="I101" t="s">
        <v>743</v>
      </c>
      <c r="J101" t="s">
        <v>744</v>
      </c>
      <c r="K101" t="s">
        <v>546</v>
      </c>
      <c r="L101" s="784">
        <v>9000000</v>
      </c>
      <c r="M101" t="s">
        <v>745</v>
      </c>
      <c r="P101" t="s">
        <v>1887</v>
      </c>
      <c r="Q101" t="s">
        <v>406</v>
      </c>
      <c r="R101" t="s">
        <v>152</v>
      </c>
      <c r="S101" t="s">
        <v>146</v>
      </c>
      <c r="U101">
        <v>0</v>
      </c>
      <c r="V101" t="s">
        <v>544</v>
      </c>
      <c r="W101" t="s">
        <v>575</v>
      </c>
      <c r="X101" s="784">
        <v>476517795.73174149</v>
      </c>
    </row>
    <row r="102" spans="1:24">
      <c r="A102" t="s">
        <v>358</v>
      </c>
      <c r="B102" t="s">
        <v>651</v>
      </c>
      <c r="C102" t="s">
        <v>255</v>
      </c>
      <c r="D102" t="s">
        <v>132</v>
      </c>
      <c r="E102" t="s">
        <v>377</v>
      </c>
      <c r="F102" t="s">
        <v>383</v>
      </c>
      <c r="G102" t="s">
        <v>98</v>
      </c>
      <c r="H102" t="s">
        <v>98</v>
      </c>
      <c r="I102" t="s">
        <v>743</v>
      </c>
      <c r="J102" t="s">
        <v>744</v>
      </c>
      <c r="K102" t="s">
        <v>546</v>
      </c>
      <c r="L102" s="784">
        <v>0</v>
      </c>
      <c r="M102" t="s">
        <v>745</v>
      </c>
      <c r="P102" t="s">
        <v>1887</v>
      </c>
      <c r="Q102" t="s">
        <v>406</v>
      </c>
      <c r="R102" t="s">
        <v>150</v>
      </c>
      <c r="S102" t="s">
        <v>145</v>
      </c>
      <c r="U102">
        <v>0</v>
      </c>
      <c r="V102" t="s">
        <v>544</v>
      </c>
      <c r="W102" t="s">
        <v>548</v>
      </c>
      <c r="X102" s="784">
        <v>3233351297.7679496</v>
      </c>
    </row>
    <row r="103" spans="1:24">
      <c r="A103" t="s">
        <v>358</v>
      </c>
      <c r="B103" t="s">
        <v>652</v>
      </c>
      <c r="C103" t="s">
        <v>256</v>
      </c>
      <c r="D103" t="s">
        <v>130</v>
      </c>
      <c r="E103" t="s">
        <v>377</v>
      </c>
      <c r="F103" t="s">
        <v>383</v>
      </c>
      <c r="G103" t="s">
        <v>98</v>
      </c>
      <c r="H103" t="s">
        <v>98</v>
      </c>
      <c r="I103" t="s">
        <v>743</v>
      </c>
      <c r="J103" t="s">
        <v>744</v>
      </c>
      <c r="K103" t="s">
        <v>546</v>
      </c>
      <c r="L103" s="784" t="s">
        <v>575</v>
      </c>
      <c r="M103" t="s">
        <v>745</v>
      </c>
      <c r="P103" t="s">
        <v>1887</v>
      </c>
      <c r="Q103" t="s">
        <v>575</v>
      </c>
      <c r="R103" t="s">
        <v>550</v>
      </c>
      <c r="S103" t="s">
        <v>146</v>
      </c>
      <c r="U103">
        <v>0</v>
      </c>
      <c r="V103" t="s">
        <v>541</v>
      </c>
      <c r="W103" t="s">
        <v>575</v>
      </c>
      <c r="X103" s="784">
        <v>18180646.808608256</v>
      </c>
    </row>
    <row r="104" spans="1:24">
      <c r="A104" t="s">
        <v>358</v>
      </c>
      <c r="B104" t="s">
        <v>653</v>
      </c>
      <c r="C104" t="s">
        <v>257</v>
      </c>
      <c r="D104" t="s">
        <v>130</v>
      </c>
      <c r="E104" t="s">
        <v>377</v>
      </c>
      <c r="F104" t="s">
        <v>383</v>
      </c>
      <c r="G104" t="s">
        <v>98</v>
      </c>
      <c r="H104" t="s">
        <v>98</v>
      </c>
      <c r="I104" t="s">
        <v>743</v>
      </c>
      <c r="J104" t="s">
        <v>744</v>
      </c>
      <c r="K104" t="s">
        <v>546</v>
      </c>
      <c r="L104" s="784">
        <v>0</v>
      </c>
      <c r="M104" t="s">
        <v>745</v>
      </c>
      <c r="P104" t="s">
        <v>1887</v>
      </c>
      <c r="Q104" t="s">
        <v>575</v>
      </c>
      <c r="R104" t="s">
        <v>152</v>
      </c>
      <c r="S104" t="s">
        <v>146</v>
      </c>
      <c r="U104">
        <v>0</v>
      </c>
      <c r="V104" t="s">
        <v>544</v>
      </c>
      <c r="W104" t="s">
        <v>546</v>
      </c>
      <c r="X104" s="784">
        <v>3020530707.3485303</v>
      </c>
    </row>
    <row r="105" spans="1:24">
      <c r="A105" t="s">
        <v>358</v>
      </c>
      <c r="B105" t="s">
        <v>654</v>
      </c>
      <c r="C105" t="s">
        <v>258</v>
      </c>
      <c r="D105" t="s">
        <v>126</v>
      </c>
      <c r="E105" t="s">
        <v>377</v>
      </c>
      <c r="F105" t="s">
        <v>383</v>
      </c>
      <c r="G105" t="s">
        <v>98</v>
      </c>
      <c r="H105" t="s">
        <v>98</v>
      </c>
      <c r="I105" t="s">
        <v>743</v>
      </c>
      <c r="J105" t="s">
        <v>744</v>
      </c>
      <c r="K105" t="s">
        <v>546</v>
      </c>
      <c r="L105" s="784">
        <v>0</v>
      </c>
      <c r="M105" t="s">
        <v>745</v>
      </c>
      <c r="P105" t="s">
        <v>1887</v>
      </c>
      <c r="Q105" t="s">
        <v>406</v>
      </c>
      <c r="R105" t="s">
        <v>150</v>
      </c>
      <c r="S105" t="s">
        <v>145</v>
      </c>
      <c r="U105">
        <v>1</v>
      </c>
      <c r="V105" t="s">
        <v>541</v>
      </c>
      <c r="W105" t="s">
        <v>542</v>
      </c>
      <c r="X105" s="784">
        <v>384406316.46074712</v>
      </c>
    </row>
    <row r="106" spans="1:24">
      <c r="A106" t="s">
        <v>358</v>
      </c>
      <c r="B106" t="s">
        <v>655</v>
      </c>
      <c r="C106" t="s">
        <v>259</v>
      </c>
      <c r="D106" t="s">
        <v>130</v>
      </c>
      <c r="E106" t="s">
        <v>377</v>
      </c>
      <c r="F106" t="s">
        <v>383</v>
      </c>
      <c r="G106" t="s">
        <v>98</v>
      </c>
      <c r="H106" t="s">
        <v>98</v>
      </c>
      <c r="I106" t="s">
        <v>743</v>
      </c>
      <c r="J106" t="s">
        <v>744</v>
      </c>
      <c r="K106" t="s">
        <v>546</v>
      </c>
      <c r="L106" s="784" t="s">
        <v>575</v>
      </c>
      <c r="M106" t="s">
        <v>745</v>
      </c>
      <c r="P106" t="s">
        <v>1887</v>
      </c>
      <c r="Q106" t="s">
        <v>575</v>
      </c>
      <c r="R106" t="s">
        <v>152</v>
      </c>
      <c r="S106" t="s">
        <v>146</v>
      </c>
      <c r="U106">
        <v>0</v>
      </c>
      <c r="V106" t="s">
        <v>544</v>
      </c>
      <c r="W106" t="s">
        <v>575</v>
      </c>
      <c r="X106" s="784">
        <v>1218747108.9554784</v>
      </c>
    </row>
    <row r="107" spans="1:24">
      <c r="A107" t="s">
        <v>358</v>
      </c>
      <c r="B107" t="s">
        <v>656</v>
      </c>
      <c r="C107" t="s">
        <v>260</v>
      </c>
      <c r="D107" t="s">
        <v>130</v>
      </c>
      <c r="E107" t="s">
        <v>377</v>
      </c>
      <c r="F107" t="s">
        <v>383</v>
      </c>
      <c r="G107" t="s">
        <v>98</v>
      </c>
      <c r="H107" t="s">
        <v>98</v>
      </c>
      <c r="I107" t="s">
        <v>743</v>
      </c>
      <c r="J107" t="s">
        <v>744</v>
      </c>
      <c r="K107" t="s">
        <v>546</v>
      </c>
      <c r="L107" s="784">
        <v>0</v>
      </c>
      <c r="M107" t="s">
        <v>745</v>
      </c>
      <c r="P107" t="s">
        <v>1887</v>
      </c>
      <c r="Q107" t="s">
        <v>406</v>
      </c>
      <c r="R107" t="s">
        <v>152</v>
      </c>
      <c r="S107" t="s">
        <v>146</v>
      </c>
      <c r="U107">
        <v>0</v>
      </c>
      <c r="V107" t="s">
        <v>544</v>
      </c>
      <c r="W107" t="s">
        <v>575</v>
      </c>
      <c r="X107" s="784">
        <v>7392665952.5895758</v>
      </c>
    </row>
    <row r="108" spans="1:24">
      <c r="A108" t="s">
        <v>358</v>
      </c>
      <c r="B108" t="s">
        <v>657</v>
      </c>
      <c r="C108" t="s">
        <v>261</v>
      </c>
      <c r="D108" t="s">
        <v>126</v>
      </c>
      <c r="E108" t="s">
        <v>377</v>
      </c>
      <c r="F108" t="s">
        <v>383</v>
      </c>
      <c r="G108" t="s">
        <v>98</v>
      </c>
      <c r="H108" t="s">
        <v>98</v>
      </c>
      <c r="I108" t="s">
        <v>743</v>
      </c>
      <c r="J108" t="s">
        <v>744</v>
      </c>
      <c r="K108" t="s">
        <v>546</v>
      </c>
      <c r="L108" s="784">
        <v>748000000</v>
      </c>
      <c r="M108" t="s">
        <v>745</v>
      </c>
      <c r="P108" t="s">
        <v>1887</v>
      </c>
      <c r="Q108" t="s">
        <v>406</v>
      </c>
      <c r="R108" t="s">
        <v>150</v>
      </c>
      <c r="S108" t="s">
        <v>145</v>
      </c>
      <c r="U108">
        <v>0</v>
      </c>
      <c r="V108" t="s">
        <v>544</v>
      </c>
      <c r="W108" t="s">
        <v>546</v>
      </c>
      <c r="X108" s="784">
        <v>4754985988.6004429</v>
      </c>
    </row>
    <row r="109" spans="1:24">
      <c r="A109" t="s">
        <v>358</v>
      </c>
      <c r="B109" t="s">
        <v>658</v>
      </c>
      <c r="C109" t="s">
        <v>262</v>
      </c>
      <c r="D109" t="s">
        <v>127</v>
      </c>
      <c r="E109" t="s">
        <v>377</v>
      </c>
      <c r="F109" t="s">
        <v>383</v>
      </c>
      <c r="G109" t="s">
        <v>98</v>
      </c>
      <c r="H109" t="s">
        <v>98</v>
      </c>
      <c r="I109" t="s">
        <v>743</v>
      </c>
      <c r="J109" t="s">
        <v>744</v>
      </c>
      <c r="K109" t="s">
        <v>546</v>
      </c>
      <c r="L109" s="784" t="s">
        <v>575</v>
      </c>
      <c r="M109" t="s">
        <v>745</v>
      </c>
      <c r="P109" t="s">
        <v>1887</v>
      </c>
      <c r="Q109" t="s">
        <v>575</v>
      </c>
      <c r="R109" t="s">
        <v>550</v>
      </c>
      <c r="S109" t="s">
        <v>146</v>
      </c>
      <c r="U109">
        <v>0</v>
      </c>
      <c r="V109" t="s">
        <v>544</v>
      </c>
      <c r="W109" t="s">
        <v>575</v>
      </c>
      <c r="X109" s="784">
        <v>26422210443.037273</v>
      </c>
    </row>
    <row r="110" spans="1:24">
      <c r="A110" t="s">
        <v>358</v>
      </c>
      <c r="B110" t="s">
        <v>659</v>
      </c>
      <c r="C110" t="s">
        <v>151</v>
      </c>
      <c r="D110" t="s">
        <v>127</v>
      </c>
      <c r="E110" t="s">
        <v>377</v>
      </c>
      <c r="F110" t="s">
        <v>383</v>
      </c>
      <c r="G110" t="s">
        <v>98</v>
      </c>
      <c r="H110" t="s">
        <v>98</v>
      </c>
      <c r="I110" t="s">
        <v>743</v>
      </c>
      <c r="J110" t="s">
        <v>744</v>
      </c>
      <c r="K110" t="s">
        <v>546</v>
      </c>
      <c r="L110" s="784" t="s">
        <v>575</v>
      </c>
      <c r="M110" t="s">
        <v>745</v>
      </c>
      <c r="P110" t="s">
        <v>1887</v>
      </c>
      <c r="Q110" t="s">
        <v>575</v>
      </c>
      <c r="R110" t="s">
        <v>152</v>
      </c>
      <c r="S110" t="s">
        <v>146</v>
      </c>
      <c r="U110">
        <v>0</v>
      </c>
      <c r="V110" t="s">
        <v>544</v>
      </c>
      <c r="W110" t="s">
        <v>575</v>
      </c>
      <c r="X110" s="784">
        <v>10696495313.15033</v>
      </c>
    </row>
    <row r="111" spans="1:24">
      <c r="A111" t="s">
        <v>358</v>
      </c>
      <c r="B111" t="s">
        <v>660</v>
      </c>
      <c r="C111" t="s">
        <v>263</v>
      </c>
      <c r="D111" t="s">
        <v>127</v>
      </c>
      <c r="E111" t="s">
        <v>377</v>
      </c>
      <c r="F111" t="s">
        <v>383</v>
      </c>
      <c r="G111" t="s">
        <v>98</v>
      </c>
      <c r="H111" t="s">
        <v>98</v>
      </c>
      <c r="I111" t="s">
        <v>743</v>
      </c>
      <c r="J111" t="s">
        <v>744</v>
      </c>
      <c r="K111" t="s">
        <v>546</v>
      </c>
      <c r="L111" s="784" t="s">
        <v>575</v>
      </c>
      <c r="M111" t="s">
        <v>745</v>
      </c>
      <c r="P111" t="s">
        <v>1887</v>
      </c>
      <c r="Q111" t="s">
        <v>575</v>
      </c>
      <c r="R111" t="s">
        <v>152</v>
      </c>
      <c r="S111" t="s">
        <v>146</v>
      </c>
      <c r="U111">
        <v>0</v>
      </c>
      <c r="V111" t="s">
        <v>544</v>
      </c>
      <c r="W111" t="s">
        <v>575</v>
      </c>
      <c r="X111" s="784">
        <v>52769713433.240509</v>
      </c>
    </row>
    <row r="112" spans="1:24">
      <c r="A112" t="s">
        <v>358</v>
      </c>
      <c r="B112" t="s">
        <v>661</v>
      </c>
      <c r="C112" t="s">
        <v>264</v>
      </c>
      <c r="D112" t="s">
        <v>128</v>
      </c>
      <c r="E112" t="s">
        <v>377</v>
      </c>
      <c r="F112" t="s">
        <v>383</v>
      </c>
      <c r="G112" t="s">
        <v>98</v>
      </c>
      <c r="H112" t="s">
        <v>98</v>
      </c>
      <c r="I112" t="s">
        <v>743</v>
      </c>
      <c r="J112" t="s">
        <v>744</v>
      </c>
      <c r="K112" t="s">
        <v>546</v>
      </c>
      <c r="L112" s="784">
        <v>18700000</v>
      </c>
      <c r="M112" t="s">
        <v>745</v>
      </c>
      <c r="P112" t="s">
        <v>1887</v>
      </c>
      <c r="Q112" t="s">
        <v>406</v>
      </c>
      <c r="R112" t="s">
        <v>148</v>
      </c>
      <c r="S112" t="s">
        <v>145</v>
      </c>
      <c r="U112">
        <v>0</v>
      </c>
      <c r="V112" t="s">
        <v>544</v>
      </c>
      <c r="W112" t="s">
        <v>562</v>
      </c>
      <c r="X112" s="784">
        <v>225799814.51943746</v>
      </c>
    </row>
    <row r="113" spans="1:24">
      <c r="A113" t="s">
        <v>358</v>
      </c>
      <c r="B113" t="s">
        <v>662</v>
      </c>
      <c r="C113" t="s">
        <v>265</v>
      </c>
      <c r="D113" t="s">
        <v>126</v>
      </c>
      <c r="E113" t="s">
        <v>377</v>
      </c>
      <c r="F113" t="s">
        <v>383</v>
      </c>
      <c r="G113" t="s">
        <v>98</v>
      </c>
      <c r="H113" t="s">
        <v>98</v>
      </c>
      <c r="I113" t="s">
        <v>743</v>
      </c>
      <c r="J113" t="s">
        <v>744</v>
      </c>
      <c r="K113" t="s">
        <v>546</v>
      </c>
      <c r="L113" s="784" t="s">
        <v>575</v>
      </c>
      <c r="M113" t="s">
        <v>745</v>
      </c>
      <c r="P113" t="s">
        <v>1887</v>
      </c>
      <c r="Q113" t="s">
        <v>575</v>
      </c>
      <c r="R113" t="s">
        <v>150</v>
      </c>
      <c r="S113" t="s">
        <v>145</v>
      </c>
      <c r="U113">
        <v>0</v>
      </c>
      <c r="V113" t="s">
        <v>541</v>
      </c>
      <c r="W113" t="s">
        <v>542</v>
      </c>
      <c r="X113" s="784">
        <v>32192988.027009469</v>
      </c>
    </row>
    <row r="114" spans="1:24">
      <c r="A114" t="s">
        <v>358</v>
      </c>
      <c r="B114" t="s">
        <v>663</v>
      </c>
      <c r="C114" t="s">
        <v>266</v>
      </c>
      <c r="D114" t="s">
        <v>129</v>
      </c>
      <c r="E114" t="s">
        <v>377</v>
      </c>
      <c r="F114" t="s">
        <v>383</v>
      </c>
      <c r="G114" t="s">
        <v>98</v>
      </c>
      <c r="H114" t="s">
        <v>98</v>
      </c>
      <c r="I114" t="s">
        <v>743</v>
      </c>
      <c r="J114" t="s">
        <v>744</v>
      </c>
      <c r="K114" t="s">
        <v>546</v>
      </c>
      <c r="L114" s="784">
        <v>1800000</v>
      </c>
      <c r="M114" t="s">
        <v>745</v>
      </c>
      <c r="P114" t="s">
        <v>1887</v>
      </c>
      <c r="Q114" t="s">
        <v>406</v>
      </c>
      <c r="R114" t="s">
        <v>150</v>
      </c>
      <c r="S114" t="s">
        <v>145</v>
      </c>
      <c r="U114">
        <v>0</v>
      </c>
      <c r="V114" t="s">
        <v>541</v>
      </c>
      <c r="W114" t="s">
        <v>583</v>
      </c>
      <c r="X114" s="784">
        <v>11633535.136477679</v>
      </c>
    </row>
    <row r="115" spans="1:24">
      <c r="A115" t="s">
        <v>358</v>
      </c>
      <c r="B115" t="s">
        <v>664</v>
      </c>
      <c r="C115" t="s">
        <v>267</v>
      </c>
      <c r="D115" t="s">
        <v>129</v>
      </c>
      <c r="E115" t="s">
        <v>377</v>
      </c>
      <c r="F115" t="s">
        <v>383</v>
      </c>
      <c r="G115" t="s">
        <v>98</v>
      </c>
      <c r="H115" t="s">
        <v>98</v>
      </c>
      <c r="I115" t="s">
        <v>743</v>
      </c>
      <c r="J115" t="s">
        <v>744</v>
      </c>
      <c r="K115" t="s">
        <v>546</v>
      </c>
      <c r="L115" s="784">
        <v>76100000</v>
      </c>
      <c r="M115" t="s">
        <v>745</v>
      </c>
      <c r="P115" t="s">
        <v>1887</v>
      </c>
      <c r="Q115" t="s">
        <v>406</v>
      </c>
      <c r="R115" t="s">
        <v>150</v>
      </c>
      <c r="S115" t="s">
        <v>145</v>
      </c>
      <c r="U115">
        <v>2</v>
      </c>
      <c r="V115" t="s">
        <v>544</v>
      </c>
      <c r="W115" t="s">
        <v>562</v>
      </c>
      <c r="X115" s="784">
        <v>222008693.93354639</v>
      </c>
    </row>
    <row r="116" spans="1:24">
      <c r="A116" t="s">
        <v>358</v>
      </c>
      <c r="B116" t="s">
        <v>665</v>
      </c>
      <c r="C116" t="s">
        <v>153</v>
      </c>
      <c r="D116" t="s">
        <v>127</v>
      </c>
      <c r="E116" t="s">
        <v>377</v>
      </c>
      <c r="F116" t="s">
        <v>383</v>
      </c>
      <c r="G116" t="s">
        <v>98</v>
      </c>
      <c r="H116" t="s">
        <v>98</v>
      </c>
      <c r="I116" t="s">
        <v>743</v>
      </c>
      <c r="J116" t="s">
        <v>744</v>
      </c>
      <c r="K116" t="s">
        <v>546</v>
      </c>
      <c r="L116" s="784" t="s">
        <v>575</v>
      </c>
      <c r="M116" t="s">
        <v>745</v>
      </c>
      <c r="P116" t="s">
        <v>1887</v>
      </c>
      <c r="Q116" t="s">
        <v>575</v>
      </c>
      <c r="R116" t="s">
        <v>152</v>
      </c>
      <c r="S116" t="s">
        <v>146</v>
      </c>
      <c r="U116">
        <v>0</v>
      </c>
      <c r="V116" t="s">
        <v>544</v>
      </c>
      <c r="W116" t="s">
        <v>575</v>
      </c>
      <c r="X116" s="784">
        <v>2564993795.1894679</v>
      </c>
    </row>
    <row r="117" spans="1:24">
      <c r="A117" t="s">
        <v>358</v>
      </c>
      <c r="B117" t="s">
        <v>666</v>
      </c>
      <c r="C117" t="s">
        <v>268</v>
      </c>
      <c r="D117" t="s">
        <v>128</v>
      </c>
      <c r="E117" t="s">
        <v>377</v>
      </c>
      <c r="F117" t="s">
        <v>383</v>
      </c>
      <c r="G117" t="s">
        <v>98</v>
      </c>
      <c r="H117" t="s">
        <v>98</v>
      </c>
      <c r="I117" t="s">
        <v>743</v>
      </c>
      <c r="J117" t="s">
        <v>744</v>
      </c>
      <c r="K117" t="s">
        <v>546</v>
      </c>
      <c r="L117" s="784">
        <v>0</v>
      </c>
      <c r="M117" t="s">
        <v>745</v>
      </c>
      <c r="P117" t="s">
        <v>1887</v>
      </c>
      <c r="Q117" t="s">
        <v>838</v>
      </c>
      <c r="R117" t="s">
        <v>550</v>
      </c>
      <c r="S117" t="s">
        <v>146</v>
      </c>
      <c r="U117">
        <v>0</v>
      </c>
      <c r="V117" t="s">
        <v>541</v>
      </c>
      <c r="W117" t="s">
        <v>546</v>
      </c>
      <c r="X117" s="784">
        <v>60237542.945069775</v>
      </c>
    </row>
    <row r="118" spans="1:24">
      <c r="A118" t="s">
        <v>358</v>
      </c>
      <c r="B118" t="s">
        <v>667</v>
      </c>
      <c r="C118" t="s">
        <v>269</v>
      </c>
      <c r="D118" t="s">
        <v>129</v>
      </c>
      <c r="E118" t="s">
        <v>377</v>
      </c>
      <c r="F118" t="s">
        <v>383</v>
      </c>
      <c r="G118" t="s">
        <v>98</v>
      </c>
      <c r="H118" t="s">
        <v>98</v>
      </c>
      <c r="I118" t="s">
        <v>743</v>
      </c>
      <c r="J118" t="s">
        <v>744</v>
      </c>
      <c r="K118" t="s">
        <v>546</v>
      </c>
      <c r="L118" s="784">
        <v>16399999.999999998</v>
      </c>
      <c r="M118" t="s">
        <v>745</v>
      </c>
      <c r="P118" t="s">
        <v>1887</v>
      </c>
      <c r="Q118" t="s">
        <v>406</v>
      </c>
      <c r="R118" t="s">
        <v>148</v>
      </c>
      <c r="S118" t="s">
        <v>145</v>
      </c>
      <c r="U118">
        <v>0</v>
      </c>
      <c r="V118" t="s">
        <v>544</v>
      </c>
      <c r="W118" t="s">
        <v>542</v>
      </c>
      <c r="X118" s="784">
        <v>63738640.538260505</v>
      </c>
    </row>
    <row r="119" spans="1:24">
      <c r="A119" t="s">
        <v>358</v>
      </c>
      <c r="B119" t="s">
        <v>668</v>
      </c>
      <c r="C119" t="s">
        <v>270</v>
      </c>
      <c r="D119" t="s">
        <v>126</v>
      </c>
      <c r="E119" t="s">
        <v>377</v>
      </c>
      <c r="F119" t="s">
        <v>383</v>
      </c>
      <c r="G119" t="s">
        <v>98</v>
      </c>
      <c r="H119" t="s">
        <v>98</v>
      </c>
      <c r="I119" t="s">
        <v>743</v>
      </c>
      <c r="J119" t="s">
        <v>744</v>
      </c>
      <c r="K119" t="s">
        <v>546</v>
      </c>
      <c r="L119" s="784" t="s">
        <v>575</v>
      </c>
      <c r="M119" t="s">
        <v>745</v>
      </c>
      <c r="P119" t="s">
        <v>1887</v>
      </c>
      <c r="Q119" t="s">
        <v>575</v>
      </c>
      <c r="R119" t="s">
        <v>150</v>
      </c>
      <c r="S119" t="s">
        <v>145</v>
      </c>
      <c r="U119">
        <v>0</v>
      </c>
      <c r="V119" t="s">
        <v>541</v>
      </c>
      <c r="W119" t="s">
        <v>562</v>
      </c>
      <c r="X119" s="784">
        <v>49012774.055630356</v>
      </c>
    </row>
    <row r="120" spans="1:24">
      <c r="A120" t="s">
        <v>358</v>
      </c>
      <c r="B120" t="s">
        <v>669</v>
      </c>
      <c r="C120" t="s">
        <v>271</v>
      </c>
      <c r="D120" t="s">
        <v>128</v>
      </c>
      <c r="E120" t="s">
        <v>377</v>
      </c>
      <c r="F120" t="s">
        <v>383</v>
      </c>
      <c r="G120" t="s">
        <v>98</v>
      </c>
      <c r="H120" t="s">
        <v>98</v>
      </c>
      <c r="I120" t="s">
        <v>743</v>
      </c>
      <c r="J120" t="s">
        <v>744</v>
      </c>
      <c r="K120" t="s">
        <v>546</v>
      </c>
      <c r="L120" s="784">
        <v>13000000</v>
      </c>
      <c r="M120" t="s">
        <v>745</v>
      </c>
      <c r="P120" t="s">
        <v>1887</v>
      </c>
      <c r="Q120" t="s">
        <v>406</v>
      </c>
      <c r="R120" t="s">
        <v>148</v>
      </c>
      <c r="S120" t="s">
        <v>145</v>
      </c>
      <c r="U120">
        <v>1</v>
      </c>
      <c r="V120" t="s">
        <v>544</v>
      </c>
      <c r="W120" t="s">
        <v>583</v>
      </c>
      <c r="X120" s="784" t="s">
        <v>575</v>
      </c>
    </row>
    <row r="121" spans="1:24">
      <c r="A121" t="s">
        <v>358</v>
      </c>
      <c r="B121" t="s">
        <v>670</v>
      </c>
      <c r="C121" t="s">
        <v>272</v>
      </c>
      <c r="D121" t="s">
        <v>128</v>
      </c>
      <c r="E121" t="s">
        <v>377</v>
      </c>
      <c r="F121" t="s">
        <v>383</v>
      </c>
      <c r="G121" t="s">
        <v>98</v>
      </c>
      <c r="H121" t="s">
        <v>98</v>
      </c>
      <c r="I121" t="s">
        <v>743</v>
      </c>
      <c r="J121" t="s">
        <v>744</v>
      </c>
      <c r="K121" t="s">
        <v>546</v>
      </c>
      <c r="L121" s="784">
        <v>0</v>
      </c>
      <c r="M121" t="s">
        <v>745</v>
      </c>
      <c r="P121" t="s">
        <v>1887</v>
      </c>
      <c r="Q121" t="s">
        <v>575</v>
      </c>
      <c r="R121" t="s">
        <v>152</v>
      </c>
      <c r="S121" t="s">
        <v>146</v>
      </c>
      <c r="U121">
        <v>0</v>
      </c>
      <c r="V121" t="s">
        <v>544</v>
      </c>
      <c r="W121" t="s">
        <v>546</v>
      </c>
      <c r="X121" s="784">
        <v>16429121142.784708</v>
      </c>
    </row>
    <row r="122" spans="1:24">
      <c r="A122" t="s">
        <v>358</v>
      </c>
      <c r="B122" t="s">
        <v>671</v>
      </c>
      <c r="C122" t="s">
        <v>273</v>
      </c>
      <c r="D122" t="s">
        <v>128</v>
      </c>
      <c r="E122" t="s">
        <v>377</v>
      </c>
      <c r="F122" t="s">
        <v>383</v>
      </c>
      <c r="G122" t="s">
        <v>98</v>
      </c>
      <c r="H122" t="s">
        <v>98</v>
      </c>
      <c r="I122" t="s">
        <v>743</v>
      </c>
      <c r="J122" t="s">
        <v>744</v>
      </c>
      <c r="K122" t="s">
        <v>546</v>
      </c>
      <c r="L122" s="784">
        <v>0</v>
      </c>
      <c r="M122" t="s">
        <v>745</v>
      </c>
      <c r="P122" t="s">
        <v>1887</v>
      </c>
      <c r="Q122" t="s">
        <v>406</v>
      </c>
      <c r="R122" t="s">
        <v>148</v>
      </c>
      <c r="S122" t="s">
        <v>145</v>
      </c>
      <c r="U122">
        <v>1</v>
      </c>
      <c r="V122" t="s">
        <v>544</v>
      </c>
      <c r="W122" t="s">
        <v>542</v>
      </c>
      <c r="X122" s="784">
        <v>31684581.76217727</v>
      </c>
    </row>
    <row r="123" spans="1:24">
      <c r="A123" t="s">
        <v>358</v>
      </c>
      <c r="B123" t="s">
        <v>672</v>
      </c>
      <c r="C123" t="s">
        <v>274</v>
      </c>
      <c r="D123" t="s">
        <v>132</v>
      </c>
      <c r="E123" t="s">
        <v>377</v>
      </c>
      <c r="F123" t="s">
        <v>383</v>
      </c>
      <c r="G123" t="s">
        <v>98</v>
      </c>
      <c r="H123" t="s">
        <v>98</v>
      </c>
      <c r="I123" t="s">
        <v>743</v>
      </c>
      <c r="J123" t="s">
        <v>744</v>
      </c>
      <c r="K123" t="s">
        <v>546</v>
      </c>
      <c r="L123" s="784">
        <v>41400000</v>
      </c>
      <c r="M123" t="s">
        <v>745</v>
      </c>
      <c r="P123" t="s">
        <v>1887</v>
      </c>
      <c r="Q123" t="s">
        <v>406</v>
      </c>
      <c r="R123" t="s">
        <v>150</v>
      </c>
      <c r="S123" t="s">
        <v>145</v>
      </c>
      <c r="U123">
        <v>0</v>
      </c>
      <c r="V123" t="s">
        <v>544</v>
      </c>
      <c r="W123" t="s">
        <v>546</v>
      </c>
      <c r="X123" s="784">
        <v>1373621563.5182886</v>
      </c>
    </row>
    <row r="124" spans="1:24">
      <c r="A124" t="s">
        <v>358</v>
      </c>
      <c r="B124" t="s">
        <v>673</v>
      </c>
      <c r="C124" t="s">
        <v>275</v>
      </c>
      <c r="D124" t="s">
        <v>130</v>
      </c>
      <c r="E124" t="s">
        <v>377</v>
      </c>
      <c r="F124" t="s">
        <v>383</v>
      </c>
      <c r="G124" t="s">
        <v>98</v>
      </c>
      <c r="H124" t="s">
        <v>98</v>
      </c>
      <c r="I124" t="s">
        <v>743</v>
      </c>
      <c r="J124" t="s">
        <v>744</v>
      </c>
      <c r="K124" t="s">
        <v>546</v>
      </c>
      <c r="L124" s="784" t="s">
        <v>575</v>
      </c>
      <c r="M124" t="s">
        <v>745</v>
      </c>
      <c r="P124" t="s">
        <v>1887</v>
      </c>
      <c r="Q124" t="s">
        <v>575</v>
      </c>
      <c r="R124" t="s">
        <v>550</v>
      </c>
      <c r="S124" t="s">
        <v>146</v>
      </c>
      <c r="U124">
        <v>0</v>
      </c>
      <c r="V124" t="s">
        <v>541</v>
      </c>
      <c r="W124" t="s">
        <v>575</v>
      </c>
      <c r="X124" s="784">
        <v>24214370.889062837</v>
      </c>
    </row>
    <row r="125" spans="1:24">
      <c r="A125" t="s">
        <v>358</v>
      </c>
      <c r="B125" t="s">
        <v>674</v>
      </c>
      <c r="C125" t="s">
        <v>154</v>
      </c>
      <c r="D125" t="s">
        <v>130</v>
      </c>
      <c r="E125" t="s">
        <v>377</v>
      </c>
      <c r="F125" t="s">
        <v>383</v>
      </c>
      <c r="G125" t="s">
        <v>98</v>
      </c>
      <c r="H125" t="s">
        <v>98</v>
      </c>
      <c r="I125" t="s">
        <v>743</v>
      </c>
      <c r="J125" t="s">
        <v>744</v>
      </c>
      <c r="K125" t="s">
        <v>546</v>
      </c>
      <c r="L125" s="784" t="s">
        <v>575</v>
      </c>
      <c r="M125" t="s">
        <v>745</v>
      </c>
      <c r="P125" t="s">
        <v>1887</v>
      </c>
      <c r="Q125" t="s">
        <v>575</v>
      </c>
      <c r="R125" t="s">
        <v>152</v>
      </c>
      <c r="S125" t="s">
        <v>145</v>
      </c>
      <c r="U125">
        <v>0</v>
      </c>
      <c r="V125" t="s">
        <v>541</v>
      </c>
      <c r="W125" t="s">
        <v>548</v>
      </c>
      <c r="X125" s="784">
        <v>39941279.609447442</v>
      </c>
    </row>
    <row r="126" spans="1:24">
      <c r="A126" t="s">
        <v>358</v>
      </c>
      <c r="B126" t="s">
        <v>675</v>
      </c>
      <c r="C126" t="s">
        <v>155</v>
      </c>
      <c r="D126" t="s">
        <v>130</v>
      </c>
      <c r="E126" t="s">
        <v>377</v>
      </c>
      <c r="F126" t="s">
        <v>383</v>
      </c>
      <c r="G126" t="s">
        <v>98</v>
      </c>
      <c r="H126" t="s">
        <v>98</v>
      </c>
      <c r="I126" t="s">
        <v>743</v>
      </c>
      <c r="J126" t="s">
        <v>744</v>
      </c>
      <c r="K126" t="s">
        <v>546</v>
      </c>
      <c r="L126" s="784" t="s">
        <v>575</v>
      </c>
      <c r="M126" t="s">
        <v>745</v>
      </c>
      <c r="P126" t="s">
        <v>1887</v>
      </c>
      <c r="Q126" t="s">
        <v>575</v>
      </c>
      <c r="R126" t="s">
        <v>152</v>
      </c>
      <c r="S126" t="s">
        <v>145</v>
      </c>
      <c r="U126">
        <v>0</v>
      </c>
      <c r="V126" t="s">
        <v>541</v>
      </c>
      <c r="W126" t="s">
        <v>542</v>
      </c>
      <c r="X126" s="784">
        <v>24761675.260059897</v>
      </c>
    </row>
    <row r="127" spans="1:24">
      <c r="A127" t="s">
        <v>358</v>
      </c>
      <c r="B127" t="s">
        <v>676</v>
      </c>
      <c r="C127" t="s">
        <v>276</v>
      </c>
      <c r="D127" t="s">
        <v>131</v>
      </c>
      <c r="E127" t="s">
        <v>377</v>
      </c>
      <c r="F127" t="s">
        <v>383</v>
      </c>
      <c r="G127" t="s">
        <v>98</v>
      </c>
      <c r="H127" t="s">
        <v>98</v>
      </c>
      <c r="I127" t="s">
        <v>743</v>
      </c>
      <c r="J127" t="s">
        <v>744</v>
      </c>
      <c r="K127" t="s">
        <v>546</v>
      </c>
      <c r="L127" s="784">
        <v>0</v>
      </c>
      <c r="M127" t="s">
        <v>745</v>
      </c>
      <c r="P127" t="s">
        <v>1887</v>
      </c>
      <c r="Q127" t="s">
        <v>838</v>
      </c>
      <c r="R127" t="s">
        <v>150</v>
      </c>
      <c r="S127" t="s">
        <v>145</v>
      </c>
      <c r="U127">
        <v>0</v>
      </c>
      <c r="V127" t="s">
        <v>544</v>
      </c>
      <c r="W127" t="s">
        <v>546</v>
      </c>
      <c r="X127" s="784" t="s">
        <v>575</v>
      </c>
    </row>
    <row r="128" spans="1:24">
      <c r="A128" t="s">
        <v>358</v>
      </c>
      <c r="B128" t="s">
        <v>677</v>
      </c>
      <c r="C128" t="s">
        <v>277</v>
      </c>
      <c r="D128" t="s">
        <v>131</v>
      </c>
      <c r="E128" t="s">
        <v>377</v>
      </c>
      <c r="F128" t="s">
        <v>383</v>
      </c>
      <c r="G128" t="s">
        <v>98</v>
      </c>
      <c r="H128" t="s">
        <v>98</v>
      </c>
      <c r="I128" t="s">
        <v>743</v>
      </c>
      <c r="J128" t="s">
        <v>744</v>
      </c>
      <c r="K128" t="s">
        <v>546</v>
      </c>
      <c r="L128" s="784">
        <v>30400000</v>
      </c>
      <c r="M128" t="s">
        <v>745</v>
      </c>
      <c r="P128" t="s">
        <v>1887</v>
      </c>
      <c r="Q128" t="s">
        <v>406</v>
      </c>
      <c r="R128" t="s">
        <v>148</v>
      </c>
      <c r="S128" t="s">
        <v>145</v>
      </c>
      <c r="U128">
        <v>1</v>
      </c>
      <c r="V128" t="s">
        <v>544</v>
      </c>
      <c r="W128" t="s">
        <v>546</v>
      </c>
      <c r="X128" s="784">
        <v>577156172.71229994</v>
      </c>
    </row>
    <row r="129" spans="1:24">
      <c r="A129" t="s">
        <v>358</v>
      </c>
      <c r="B129" t="s">
        <v>678</v>
      </c>
      <c r="C129" t="s">
        <v>278</v>
      </c>
      <c r="D129" t="s">
        <v>126</v>
      </c>
      <c r="E129" t="s">
        <v>377</v>
      </c>
      <c r="F129" t="s">
        <v>383</v>
      </c>
      <c r="G129" t="s">
        <v>98</v>
      </c>
      <c r="H129" t="s">
        <v>98</v>
      </c>
      <c r="I129" t="s">
        <v>743</v>
      </c>
      <c r="J129" t="s">
        <v>744</v>
      </c>
      <c r="K129" t="s">
        <v>546</v>
      </c>
      <c r="L129" s="784" t="s">
        <v>575</v>
      </c>
      <c r="M129" t="s">
        <v>745</v>
      </c>
      <c r="P129" t="s">
        <v>1887</v>
      </c>
      <c r="Q129" t="s">
        <v>575</v>
      </c>
      <c r="R129" t="s">
        <v>152</v>
      </c>
      <c r="S129" t="s">
        <v>146</v>
      </c>
      <c r="U129">
        <v>0</v>
      </c>
      <c r="V129" t="s">
        <v>541</v>
      </c>
      <c r="W129" t="s">
        <v>575</v>
      </c>
      <c r="X129" s="784">
        <v>180052034.19851837</v>
      </c>
    </row>
    <row r="130" spans="1:24">
      <c r="A130" t="s">
        <v>358</v>
      </c>
      <c r="B130" t="s">
        <v>679</v>
      </c>
      <c r="C130" t="s">
        <v>279</v>
      </c>
      <c r="D130" t="s">
        <v>131</v>
      </c>
      <c r="E130" t="s">
        <v>377</v>
      </c>
      <c r="F130" t="s">
        <v>383</v>
      </c>
      <c r="G130" t="s">
        <v>98</v>
      </c>
      <c r="H130" t="s">
        <v>98</v>
      </c>
      <c r="I130" t="s">
        <v>743</v>
      </c>
      <c r="J130" t="s">
        <v>744</v>
      </c>
      <c r="K130" t="s">
        <v>546</v>
      </c>
      <c r="L130" s="784" t="s">
        <v>575</v>
      </c>
      <c r="M130" t="s">
        <v>745</v>
      </c>
      <c r="P130" t="s">
        <v>1887</v>
      </c>
      <c r="Q130" t="s">
        <v>575</v>
      </c>
      <c r="R130" t="s">
        <v>148</v>
      </c>
      <c r="S130" t="s">
        <v>145</v>
      </c>
      <c r="U130">
        <v>1</v>
      </c>
      <c r="V130" t="s">
        <v>544</v>
      </c>
      <c r="W130" t="s">
        <v>546</v>
      </c>
      <c r="X130" s="784" t="s">
        <v>575</v>
      </c>
    </row>
    <row r="131" spans="1:24">
      <c r="A131" t="s">
        <v>358</v>
      </c>
      <c r="B131" t="s">
        <v>680</v>
      </c>
      <c r="C131" t="s">
        <v>280</v>
      </c>
      <c r="D131" t="s">
        <v>127</v>
      </c>
      <c r="E131" t="s">
        <v>377</v>
      </c>
      <c r="F131" t="s">
        <v>383</v>
      </c>
      <c r="G131" t="s">
        <v>98</v>
      </c>
      <c r="H131" t="s">
        <v>98</v>
      </c>
      <c r="I131" t="s">
        <v>743</v>
      </c>
      <c r="J131" t="s">
        <v>744</v>
      </c>
      <c r="K131" t="s">
        <v>546</v>
      </c>
      <c r="L131" s="784">
        <v>5800000</v>
      </c>
      <c r="M131" t="s">
        <v>745</v>
      </c>
      <c r="P131" t="s">
        <v>1887</v>
      </c>
      <c r="Q131" t="s">
        <v>406</v>
      </c>
      <c r="R131" t="s">
        <v>150</v>
      </c>
      <c r="S131" t="s">
        <v>145</v>
      </c>
      <c r="U131">
        <v>0</v>
      </c>
      <c r="V131" t="s">
        <v>544</v>
      </c>
      <c r="W131" t="s">
        <v>542</v>
      </c>
      <c r="X131" s="784">
        <v>147296124.32232863</v>
      </c>
    </row>
    <row r="132" spans="1:24">
      <c r="A132" t="s">
        <v>358</v>
      </c>
      <c r="B132" t="s">
        <v>681</v>
      </c>
      <c r="C132" t="s">
        <v>156</v>
      </c>
      <c r="D132" t="s">
        <v>128</v>
      </c>
      <c r="E132" t="s">
        <v>377</v>
      </c>
      <c r="F132" t="s">
        <v>383</v>
      </c>
      <c r="G132" t="s">
        <v>98</v>
      </c>
      <c r="H132" t="s">
        <v>98</v>
      </c>
      <c r="I132" t="s">
        <v>743</v>
      </c>
      <c r="J132" t="s">
        <v>744</v>
      </c>
      <c r="K132" t="s">
        <v>546</v>
      </c>
      <c r="L132" s="784" t="s">
        <v>575</v>
      </c>
      <c r="M132" t="s">
        <v>745</v>
      </c>
      <c r="P132" t="s">
        <v>1887</v>
      </c>
      <c r="Q132" t="s">
        <v>575</v>
      </c>
      <c r="R132" t="s">
        <v>150</v>
      </c>
      <c r="S132" t="s">
        <v>145</v>
      </c>
      <c r="U132">
        <v>0</v>
      </c>
      <c r="V132" t="s">
        <v>544</v>
      </c>
      <c r="W132" t="s">
        <v>548</v>
      </c>
      <c r="X132" s="784">
        <v>890576536.83065879</v>
      </c>
    </row>
    <row r="133" spans="1:24">
      <c r="A133" t="s">
        <v>358</v>
      </c>
      <c r="B133" t="s">
        <v>682</v>
      </c>
      <c r="C133" t="s">
        <v>157</v>
      </c>
      <c r="D133" t="s">
        <v>126</v>
      </c>
      <c r="E133" t="s">
        <v>377</v>
      </c>
      <c r="F133" t="s">
        <v>383</v>
      </c>
      <c r="G133" t="s">
        <v>98</v>
      </c>
      <c r="H133" t="s">
        <v>98</v>
      </c>
      <c r="I133" t="s">
        <v>743</v>
      </c>
      <c r="J133" t="s">
        <v>744</v>
      </c>
      <c r="K133" t="s">
        <v>546</v>
      </c>
      <c r="L133" s="784" t="s">
        <v>575</v>
      </c>
      <c r="M133" t="s">
        <v>745</v>
      </c>
      <c r="P133" t="s">
        <v>1887</v>
      </c>
      <c r="Q133" t="s">
        <v>575</v>
      </c>
      <c r="R133" t="s">
        <v>152</v>
      </c>
      <c r="S133" t="s">
        <v>146</v>
      </c>
      <c r="U133">
        <v>0</v>
      </c>
      <c r="V133" t="s">
        <v>544</v>
      </c>
      <c r="W133" t="s">
        <v>575</v>
      </c>
      <c r="X133" s="784">
        <v>14611129792.346064</v>
      </c>
    </row>
    <row r="134" spans="1:24">
      <c r="A134" t="s">
        <v>358</v>
      </c>
      <c r="B134" t="s">
        <v>683</v>
      </c>
      <c r="C134" t="s">
        <v>281</v>
      </c>
      <c r="D134" t="s">
        <v>126</v>
      </c>
      <c r="E134" t="s">
        <v>377</v>
      </c>
      <c r="F134" t="s">
        <v>383</v>
      </c>
      <c r="G134" t="s">
        <v>98</v>
      </c>
      <c r="H134" t="s">
        <v>98</v>
      </c>
      <c r="I134" t="s">
        <v>743</v>
      </c>
      <c r="J134" t="s">
        <v>744</v>
      </c>
      <c r="K134" t="s">
        <v>546</v>
      </c>
      <c r="L134" s="784" t="s">
        <v>575</v>
      </c>
      <c r="M134" t="s">
        <v>745</v>
      </c>
      <c r="P134" t="s">
        <v>1887</v>
      </c>
      <c r="Q134" t="s">
        <v>575</v>
      </c>
      <c r="R134" t="s">
        <v>150</v>
      </c>
      <c r="S134" t="s">
        <v>145</v>
      </c>
      <c r="U134">
        <v>0</v>
      </c>
      <c r="V134" t="s">
        <v>541</v>
      </c>
      <c r="W134" t="s">
        <v>558</v>
      </c>
      <c r="X134" s="784">
        <v>72046877.233008593</v>
      </c>
    </row>
    <row r="135" spans="1:24">
      <c r="A135" t="s">
        <v>358</v>
      </c>
      <c r="B135" t="s">
        <v>684</v>
      </c>
      <c r="C135" t="s">
        <v>282</v>
      </c>
      <c r="D135" t="s">
        <v>129</v>
      </c>
      <c r="E135" t="s">
        <v>377</v>
      </c>
      <c r="F135" t="s">
        <v>383</v>
      </c>
      <c r="G135" t="s">
        <v>98</v>
      </c>
      <c r="H135" t="s">
        <v>98</v>
      </c>
      <c r="I135" t="s">
        <v>743</v>
      </c>
      <c r="J135" t="s">
        <v>744</v>
      </c>
      <c r="K135" t="s">
        <v>546</v>
      </c>
      <c r="L135" s="784">
        <v>32500000</v>
      </c>
      <c r="M135" t="s">
        <v>745</v>
      </c>
      <c r="P135" t="s">
        <v>1887</v>
      </c>
      <c r="Q135" t="s">
        <v>406</v>
      </c>
      <c r="R135" t="s">
        <v>148</v>
      </c>
      <c r="S135" t="s">
        <v>145</v>
      </c>
      <c r="U135">
        <v>0</v>
      </c>
      <c r="V135" t="s">
        <v>544</v>
      </c>
      <c r="W135" t="s">
        <v>542</v>
      </c>
      <c r="X135" s="784">
        <v>56248139.267255567</v>
      </c>
    </row>
    <row r="136" spans="1:24">
      <c r="A136" t="s">
        <v>358</v>
      </c>
      <c r="B136" t="s">
        <v>685</v>
      </c>
      <c r="C136" t="s">
        <v>283</v>
      </c>
      <c r="D136" t="s">
        <v>126</v>
      </c>
      <c r="E136" t="s">
        <v>377</v>
      </c>
      <c r="F136" t="s">
        <v>383</v>
      </c>
      <c r="G136" t="s">
        <v>98</v>
      </c>
      <c r="H136" t="s">
        <v>98</v>
      </c>
      <c r="I136" t="s">
        <v>743</v>
      </c>
      <c r="J136" t="s">
        <v>744</v>
      </c>
      <c r="K136" t="s">
        <v>546</v>
      </c>
      <c r="L136" s="784" t="s">
        <v>575</v>
      </c>
      <c r="M136" t="s">
        <v>745</v>
      </c>
      <c r="P136" t="s">
        <v>1887</v>
      </c>
      <c r="Q136" t="s">
        <v>575</v>
      </c>
      <c r="R136" t="s">
        <v>152</v>
      </c>
      <c r="S136" t="s">
        <v>145</v>
      </c>
      <c r="U136">
        <v>0</v>
      </c>
      <c r="V136" t="s">
        <v>541</v>
      </c>
      <c r="W136" t="s">
        <v>542</v>
      </c>
      <c r="X136" s="784">
        <v>15464031.712942109</v>
      </c>
    </row>
    <row r="137" spans="1:24">
      <c r="A137" t="s">
        <v>358</v>
      </c>
      <c r="B137" t="s">
        <v>686</v>
      </c>
      <c r="C137" t="s">
        <v>284</v>
      </c>
      <c r="D137" t="s">
        <v>130</v>
      </c>
      <c r="E137" t="s">
        <v>377</v>
      </c>
      <c r="F137" t="s">
        <v>383</v>
      </c>
      <c r="G137" t="s">
        <v>98</v>
      </c>
      <c r="H137" t="s">
        <v>98</v>
      </c>
      <c r="I137" t="s">
        <v>743</v>
      </c>
      <c r="J137" t="s">
        <v>744</v>
      </c>
      <c r="K137" t="s">
        <v>546</v>
      </c>
      <c r="L137" s="784" t="s">
        <v>575</v>
      </c>
      <c r="M137" t="s">
        <v>745</v>
      </c>
      <c r="P137" t="s">
        <v>1887</v>
      </c>
      <c r="Q137" t="s">
        <v>575</v>
      </c>
      <c r="R137" t="s">
        <v>550</v>
      </c>
      <c r="S137" t="s">
        <v>146</v>
      </c>
      <c r="U137">
        <v>0</v>
      </c>
      <c r="V137" t="s">
        <v>541</v>
      </c>
      <c r="W137" t="s">
        <v>546</v>
      </c>
      <c r="X137" s="784">
        <v>769564399.33249676</v>
      </c>
    </row>
    <row r="138" spans="1:24">
      <c r="A138" t="s">
        <v>358</v>
      </c>
      <c r="B138" t="s">
        <v>687</v>
      </c>
      <c r="C138" t="s">
        <v>285</v>
      </c>
      <c r="D138" t="s">
        <v>131</v>
      </c>
      <c r="E138" t="s">
        <v>377</v>
      </c>
      <c r="F138" t="s">
        <v>383</v>
      </c>
      <c r="G138" t="s">
        <v>98</v>
      </c>
      <c r="H138" t="s">
        <v>98</v>
      </c>
      <c r="I138" t="s">
        <v>743</v>
      </c>
      <c r="J138" t="s">
        <v>744</v>
      </c>
      <c r="K138" t="s">
        <v>546</v>
      </c>
      <c r="L138" s="784">
        <v>83000000</v>
      </c>
      <c r="M138" t="s">
        <v>745</v>
      </c>
      <c r="P138" t="s">
        <v>1887</v>
      </c>
      <c r="Q138" t="s">
        <v>406</v>
      </c>
      <c r="R138" t="s">
        <v>150</v>
      </c>
      <c r="S138" t="s">
        <v>145</v>
      </c>
      <c r="U138">
        <v>0</v>
      </c>
      <c r="V138" t="s">
        <v>544</v>
      </c>
      <c r="W138" t="s">
        <v>546</v>
      </c>
      <c r="X138" s="784">
        <v>1668954539.7630196</v>
      </c>
    </row>
    <row r="139" spans="1:24">
      <c r="A139" t="s">
        <v>358</v>
      </c>
      <c r="B139" t="s">
        <v>688</v>
      </c>
      <c r="C139" t="s">
        <v>286</v>
      </c>
      <c r="D139" t="s">
        <v>127</v>
      </c>
      <c r="E139" t="s">
        <v>377</v>
      </c>
      <c r="F139" t="s">
        <v>383</v>
      </c>
      <c r="G139" t="s">
        <v>98</v>
      </c>
      <c r="H139" t="s">
        <v>98</v>
      </c>
      <c r="I139" t="s">
        <v>743</v>
      </c>
      <c r="J139" t="s">
        <v>744</v>
      </c>
      <c r="K139" t="s">
        <v>546</v>
      </c>
      <c r="L139" s="784" t="s">
        <v>575</v>
      </c>
      <c r="M139" t="s">
        <v>745</v>
      </c>
      <c r="P139" t="s">
        <v>1887</v>
      </c>
      <c r="Q139" t="s">
        <v>575</v>
      </c>
      <c r="R139" t="s">
        <v>152</v>
      </c>
      <c r="S139" t="s">
        <v>146</v>
      </c>
      <c r="U139">
        <v>0</v>
      </c>
      <c r="V139" t="s">
        <v>544</v>
      </c>
      <c r="W139" t="s">
        <v>575</v>
      </c>
      <c r="X139" s="784">
        <v>24840920016.18832</v>
      </c>
    </row>
    <row r="140" spans="1:24">
      <c r="A140" t="s">
        <v>358</v>
      </c>
      <c r="B140" t="s">
        <v>689</v>
      </c>
      <c r="C140" t="s">
        <v>287</v>
      </c>
      <c r="D140" t="s">
        <v>127</v>
      </c>
      <c r="E140" t="s">
        <v>377</v>
      </c>
      <c r="F140" t="s">
        <v>383</v>
      </c>
      <c r="G140" t="s">
        <v>98</v>
      </c>
      <c r="H140" t="s">
        <v>98</v>
      </c>
      <c r="I140" t="s">
        <v>743</v>
      </c>
      <c r="J140" t="s">
        <v>744</v>
      </c>
      <c r="K140" t="s">
        <v>546</v>
      </c>
      <c r="L140" s="784">
        <v>0</v>
      </c>
      <c r="M140" t="s">
        <v>745</v>
      </c>
      <c r="P140" t="s">
        <v>1887</v>
      </c>
      <c r="Q140" t="s">
        <v>864</v>
      </c>
      <c r="R140" t="s">
        <v>152</v>
      </c>
      <c r="S140" t="s">
        <v>146</v>
      </c>
      <c r="U140">
        <v>0</v>
      </c>
      <c r="V140" t="s">
        <v>544</v>
      </c>
      <c r="W140" t="s">
        <v>546</v>
      </c>
      <c r="X140" s="784">
        <v>487888462.83720118</v>
      </c>
    </row>
    <row r="141" spans="1:24">
      <c r="A141" t="s">
        <v>358</v>
      </c>
      <c r="B141" t="s">
        <v>690</v>
      </c>
      <c r="C141" t="s">
        <v>288</v>
      </c>
      <c r="D141" t="s">
        <v>126</v>
      </c>
      <c r="E141" t="s">
        <v>377</v>
      </c>
      <c r="F141" t="s">
        <v>383</v>
      </c>
      <c r="G141" t="s">
        <v>98</v>
      </c>
      <c r="H141" t="s">
        <v>98</v>
      </c>
      <c r="I141" t="s">
        <v>743</v>
      </c>
      <c r="J141" t="s">
        <v>744</v>
      </c>
      <c r="K141" t="s">
        <v>546</v>
      </c>
      <c r="L141" s="784" t="s">
        <v>575</v>
      </c>
      <c r="M141" t="s">
        <v>745</v>
      </c>
      <c r="P141" t="s">
        <v>1887</v>
      </c>
      <c r="Q141" t="s">
        <v>575</v>
      </c>
      <c r="R141" t="s">
        <v>152</v>
      </c>
      <c r="S141" t="s">
        <v>145</v>
      </c>
      <c r="U141">
        <v>0</v>
      </c>
      <c r="V141" t="s">
        <v>541</v>
      </c>
      <c r="W141" t="s">
        <v>548</v>
      </c>
      <c r="X141" s="784">
        <v>6365061.1736073596</v>
      </c>
    </row>
    <row r="142" spans="1:24">
      <c r="A142" t="s">
        <v>358</v>
      </c>
      <c r="B142" t="s">
        <v>691</v>
      </c>
      <c r="C142" t="s">
        <v>289</v>
      </c>
      <c r="D142" t="s">
        <v>128</v>
      </c>
      <c r="E142" t="s">
        <v>377</v>
      </c>
      <c r="F142" t="s">
        <v>383</v>
      </c>
      <c r="G142" t="s">
        <v>98</v>
      </c>
      <c r="H142" t="s">
        <v>98</v>
      </c>
      <c r="I142" t="s">
        <v>743</v>
      </c>
      <c r="J142" t="s">
        <v>744</v>
      </c>
      <c r="K142" t="s">
        <v>546</v>
      </c>
      <c r="L142" s="784">
        <v>117000000</v>
      </c>
      <c r="M142" t="s">
        <v>745</v>
      </c>
      <c r="P142" t="s">
        <v>1887</v>
      </c>
      <c r="Q142" t="s">
        <v>406</v>
      </c>
      <c r="R142" t="s">
        <v>148</v>
      </c>
      <c r="S142" t="s">
        <v>145</v>
      </c>
      <c r="U142">
        <v>2</v>
      </c>
      <c r="V142" t="s">
        <v>544</v>
      </c>
      <c r="W142" t="s">
        <v>558</v>
      </c>
      <c r="X142" s="784">
        <v>291799092.90196139</v>
      </c>
    </row>
    <row r="143" spans="1:24">
      <c r="A143" t="s">
        <v>358</v>
      </c>
      <c r="B143" t="s">
        <v>692</v>
      </c>
      <c r="C143" t="s">
        <v>290</v>
      </c>
      <c r="D143" t="s">
        <v>127</v>
      </c>
      <c r="E143" t="s">
        <v>377</v>
      </c>
      <c r="F143" t="s">
        <v>383</v>
      </c>
      <c r="G143" t="s">
        <v>98</v>
      </c>
      <c r="H143" t="s">
        <v>98</v>
      </c>
      <c r="I143" t="s">
        <v>743</v>
      </c>
      <c r="J143" t="s">
        <v>744</v>
      </c>
      <c r="K143" t="s">
        <v>546</v>
      </c>
      <c r="L143" s="784">
        <v>150000000</v>
      </c>
      <c r="M143" t="s">
        <v>745</v>
      </c>
      <c r="P143" t="s">
        <v>1887</v>
      </c>
      <c r="Q143" t="s">
        <v>406</v>
      </c>
      <c r="R143" t="s">
        <v>150</v>
      </c>
      <c r="S143" t="s">
        <v>145</v>
      </c>
      <c r="U143">
        <v>0</v>
      </c>
      <c r="V143" t="s">
        <v>544</v>
      </c>
      <c r="W143" t="s">
        <v>546</v>
      </c>
      <c r="X143" s="784">
        <v>4844815340.2135534</v>
      </c>
    </row>
    <row r="144" spans="1:24">
      <c r="A144" t="s">
        <v>358</v>
      </c>
      <c r="B144" t="s">
        <v>693</v>
      </c>
      <c r="C144" t="s">
        <v>291</v>
      </c>
      <c r="D144" t="s">
        <v>130</v>
      </c>
      <c r="E144" t="s">
        <v>377</v>
      </c>
      <c r="F144" t="s">
        <v>383</v>
      </c>
      <c r="G144" t="s">
        <v>98</v>
      </c>
      <c r="H144" t="s">
        <v>98</v>
      </c>
      <c r="I144" t="s">
        <v>743</v>
      </c>
      <c r="J144" t="s">
        <v>744</v>
      </c>
      <c r="K144" t="s">
        <v>546</v>
      </c>
      <c r="L144" s="784" t="s">
        <v>575</v>
      </c>
      <c r="M144" t="s">
        <v>745</v>
      </c>
      <c r="P144" t="s">
        <v>1887</v>
      </c>
      <c r="Q144" t="s">
        <v>575</v>
      </c>
      <c r="R144" t="s">
        <v>550</v>
      </c>
      <c r="S144" t="s">
        <v>146</v>
      </c>
      <c r="U144">
        <v>0</v>
      </c>
      <c r="V144" t="s">
        <v>544</v>
      </c>
      <c r="W144" t="s">
        <v>575</v>
      </c>
      <c r="X144" s="784">
        <v>4001891446.6871672</v>
      </c>
    </row>
    <row r="145" spans="1:24">
      <c r="A145" t="s">
        <v>358</v>
      </c>
      <c r="B145" t="s">
        <v>694</v>
      </c>
      <c r="C145" t="s">
        <v>292</v>
      </c>
      <c r="D145" t="s">
        <v>127</v>
      </c>
      <c r="E145" t="s">
        <v>377</v>
      </c>
      <c r="F145" t="s">
        <v>383</v>
      </c>
      <c r="G145" t="s">
        <v>98</v>
      </c>
      <c r="H145" t="s">
        <v>98</v>
      </c>
      <c r="I145" t="s">
        <v>743</v>
      </c>
      <c r="J145" t="s">
        <v>744</v>
      </c>
      <c r="K145" t="s">
        <v>546</v>
      </c>
      <c r="L145" s="784" t="s">
        <v>575</v>
      </c>
      <c r="M145" t="s">
        <v>745</v>
      </c>
      <c r="P145" t="s">
        <v>1887</v>
      </c>
      <c r="Q145" t="s">
        <v>575</v>
      </c>
      <c r="R145" t="s">
        <v>150</v>
      </c>
      <c r="S145" t="s">
        <v>145</v>
      </c>
      <c r="U145">
        <v>0</v>
      </c>
      <c r="V145" t="s">
        <v>544</v>
      </c>
      <c r="W145" t="s">
        <v>558</v>
      </c>
      <c r="X145" s="784">
        <v>1019800630.5853213</v>
      </c>
    </row>
    <row r="146" spans="1:24">
      <c r="A146" t="s">
        <v>358</v>
      </c>
      <c r="B146" t="s">
        <v>695</v>
      </c>
      <c r="C146" t="s">
        <v>293</v>
      </c>
      <c r="D146" t="s">
        <v>126</v>
      </c>
      <c r="E146" t="s">
        <v>377</v>
      </c>
      <c r="F146" t="s">
        <v>383</v>
      </c>
      <c r="G146" t="s">
        <v>98</v>
      </c>
      <c r="H146" t="s">
        <v>98</v>
      </c>
      <c r="I146" t="s">
        <v>743</v>
      </c>
      <c r="J146" t="s">
        <v>744</v>
      </c>
      <c r="K146" t="s">
        <v>546</v>
      </c>
      <c r="L146" s="784" t="s">
        <v>575</v>
      </c>
      <c r="M146" t="s">
        <v>745</v>
      </c>
      <c r="P146" t="s">
        <v>1887</v>
      </c>
      <c r="Q146" t="s">
        <v>575</v>
      </c>
      <c r="R146" t="s">
        <v>150</v>
      </c>
      <c r="S146" t="s">
        <v>145</v>
      </c>
      <c r="U146">
        <v>0</v>
      </c>
      <c r="V146" t="s">
        <v>541</v>
      </c>
      <c r="W146" t="s">
        <v>562</v>
      </c>
      <c r="X146" s="784">
        <v>19578671.310841195</v>
      </c>
    </row>
    <row r="147" spans="1:24">
      <c r="A147" t="s">
        <v>358</v>
      </c>
      <c r="B147" t="s">
        <v>696</v>
      </c>
      <c r="C147" t="s">
        <v>294</v>
      </c>
      <c r="D147" t="s">
        <v>130</v>
      </c>
      <c r="E147" t="s">
        <v>377</v>
      </c>
      <c r="F147" t="s">
        <v>383</v>
      </c>
      <c r="G147" t="s">
        <v>98</v>
      </c>
      <c r="H147" t="s">
        <v>98</v>
      </c>
      <c r="I147" t="s">
        <v>743</v>
      </c>
      <c r="J147" t="s">
        <v>744</v>
      </c>
      <c r="K147" t="s">
        <v>546</v>
      </c>
      <c r="L147" s="784" t="s">
        <v>575</v>
      </c>
      <c r="M147" t="s">
        <v>745</v>
      </c>
      <c r="P147" t="s">
        <v>1887</v>
      </c>
      <c r="Q147" t="s">
        <v>575</v>
      </c>
      <c r="R147" t="s">
        <v>322</v>
      </c>
      <c r="S147" t="s">
        <v>146</v>
      </c>
      <c r="U147">
        <v>0</v>
      </c>
      <c r="V147" t="s">
        <v>544</v>
      </c>
      <c r="W147" t="s">
        <v>546</v>
      </c>
      <c r="X147" s="784">
        <v>3551452001.0684834</v>
      </c>
    </row>
    <row r="148" spans="1:24">
      <c r="A148" t="s">
        <v>358</v>
      </c>
      <c r="B148" t="s">
        <v>697</v>
      </c>
      <c r="C148" t="s">
        <v>295</v>
      </c>
      <c r="D148" t="s">
        <v>126</v>
      </c>
      <c r="E148" t="s">
        <v>377</v>
      </c>
      <c r="F148" t="s">
        <v>383</v>
      </c>
      <c r="G148" t="s">
        <v>98</v>
      </c>
      <c r="H148" t="s">
        <v>98</v>
      </c>
      <c r="I148" t="s">
        <v>743</v>
      </c>
      <c r="J148" t="s">
        <v>744</v>
      </c>
      <c r="K148" t="s">
        <v>546</v>
      </c>
      <c r="L148" s="784" t="s">
        <v>575</v>
      </c>
      <c r="M148" t="s">
        <v>745</v>
      </c>
      <c r="P148" t="s">
        <v>1887</v>
      </c>
      <c r="Q148" t="s">
        <v>575</v>
      </c>
      <c r="R148" t="s">
        <v>150</v>
      </c>
      <c r="S148" t="s">
        <v>145</v>
      </c>
      <c r="U148">
        <v>0</v>
      </c>
      <c r="V148" t="s">
        <v>544</v>
      </c>
      <c r="W148" t="s">
        <v>546</v>
      </c>
      <c r="X148" s="784">
        <v>6603048821.7575006</v>
      </c>
    </row>
    <row r="149" spans="1:24">
      <c r="A149" t="s">
        <v>358</v>
      </c>
      <c r="B149" t="s">
        <v>698</v>
      </c>
      <c r="C149" t="s">
        <v>296</v>
      </c>
      <c r="D149" t="s">
        <v>131</v>
      </c>
      <c r="E149" t="s">
        <v>377</v>
      </c>
      <c r="F149" t="s">
        <v>383</v>
      </c>
      <c r="G149" t="s">
        <v>98</v>
      </c>
      <c r="H149" t="s">
        <v>98</v>
      </c>
      <c r="I149" t="s">
        <v>743</v>
      </c>
      <c r="J149" t="s">
        <v>744</v>
      </c>
      <c r="K149" t="s">
        <v>546</v>
      </c>
      <c r="L149" s="784">
        <v>0</v>
      </c>
      <c r="M149" t="s">
        <v>745</v>
      </c>
      <c r="P149" t="s">
        <v>1887</v>
      </c>
      <c r="Q149" t="s">
        <v>406</v>
      </c>
      <c r="R149" t="s">
        <v>148</v>
      </c>
      <c r="S149" t="s">
        <v>145</v>
      </c>
      <c r="U149">
        <v>1</v>
      </c>
      <c r="V149" t="s">
        <v>544</v>
      </c>
      <c r="W149" t="s">
        <v>548</v>
      </c>
      <c r="X149" s="784" t="s">
        <v>575</v>
      </c>
    </row>
    <row r="150" spans="1:24">
      <c r="A150" t="s">
        <v>358</v>
      </c>
      <c r="B150" t="s">
        <v>699</v>
      </c>
      <c r="C150" t="s">
        <v>297</v>
      </c>
      <c r="D150" t="s">
        <v>128</v>
      </c>
      <c r="E150" t="s">
        <v>377</v>
      </c>
      <c r="F150" t="s">
        <v>383</v>
      </c>
      <c r="G150" t="s">
        <v>98</v>
      </c>
      <c r="H150" t="s">
        <v>98</v>
      </c>
      <c r="I150" t="s">
        <v>743</v>
      </c>
      <c r="J150" t="s">
        <v>744</v>
      </c>
      <c r="K150" t="s">
        <v>546</v>
      </c>
      <c r="L150" s="784">
        <v>9200000</v>
      </c>
      <c r="M150" t="s">
        <v>745</v>
      </c>
      <c r="P150" t="s">
        <v>1887</v>
      </c>
      <c r="Q150" t="s">
        <v>406</v>
      </c>
      <c r="R150" t="s">
        <v>150</v>
      </c>
      <c r="S150" t="s">
        <v>145</v>
      </c>
      <c r="U150">
        <v>0</v>
      </c>
      <c r="V150" t="s">
        <v>544</v>
      </c>
      <c r="W150" t="s">
        <v>542</v>
      </c>
      <c r="X150" s="784">
        <v>515352723.9821828</v>
      </c>
    </row>
    <row r="151" spans="1:24">
      <c r="A151" t="s">
        <v>358</v>
      </c>
      <c r="B151" t="s">
        <v>700</v>
      </c>
      <c r="C151" t="s">
        <v>298</v>
      </c>
      <c r="D151" t="s">
        <v>128</v>
      </c>
      <c r="E151" t="s">
        <v>377</v>
      </c>
      <c r="F151" t="s">
        <v>383</v>
      </c>
      <c r="G151" t="s">
        <v>98</v>
      </c>
      <c r="H151" t="s">
        <v>98</v>
      </c>
      <c r="I151" t="s">
        <v>743</v>
      </c>
      <c r="J151" t="s">
        <v>744</v>
      </c>
      <c r="K151" t="s">
        <v>546</v>
      </c>
      <c r="L151" s="784">
        <v>0</v>
      </c>
      <c r="M151" t="s">
        <v>745</v>
      </c>
      <c r="P151" t="s">
        <v>1887</v>
      </c>
      <c r="Q151" t="s">
        <v>838</v>
      </c>
      <c r="R151" t="s">
        <v>150</v>
      </c>
      <c r="S151" t="s">
        <v>145</v>
      </c>
      <c r="U151">
        <v>0</v>
      </c>
      <c r="V151" t="s">
        <v>544</v>
      </c>
      <c r="W151" t="s">
        <v>546</v>
      </c>
      <c r="X151" s="784">
        <v>566711742.22428358</v>
      </c>
    </row>
    <row r="152" spans="1:24">
      <c r="A152" t="s">
        <v>358</v>
      </c>
      <c r="B152" t="s">
        <v>540</v>
      </c>
      <c r="C152" t="s">
        <v>160</v>
      </c>
      <c r="D152" t="s">
        <v>132</v>
      </c>
      <c r="E152" t="s">
        <v>377</v>
      </c>
      <c r="F152" t="s">
        <v>383</v>
      </c>
      <c r="G152" t="s">
        <v>98</v>
      </c>
      <c r="H152" t="s">
        <v>98</v>
      </c>
      <c r="I152" t="s">
        <v>743</v>
      </c>
      <c r="J152" t="s">
        <v>379</v>
      </c>
      <c r="K152" t="s">
        <v>546</v>
      </c>
      <c r="L152" s="784">
        <v>33600000</v>
      </c>
      <c r="M152" t="s">
        <v>745</v>
      </c>
      <c r="P152" t="s">
        <v>1887</v>
      </c>
      <c r="Q152" t="s">
        <v>406</v>
      </c>
      <c r="R152" t="s">
        <v>148</v>
      </c>
      <c r="S152" t="s">
        <v>145</v>
      </c>
      <c r="U152">
        <v>1</v>
      </c>
      <c r="V152" t="s">
        <v>544</v>
      </c>
      <c r="W152" t="s">
        <v>542</v>
      </c>
      <c r="X152" s="784">
        <v>95829480.719269618</v>
      </c>
    </row>
    <row r="153" spans="1:24">
      <c r="A153" t="s">
        <v>358</v>
      </c>
      <c r="B153" t="s">
        <v>543</v>
      </c>
      <c r="C153" t="s">
        <v>161</v>
      </c>
      <c r="D153" t="s">
        <v>127</v>
      </c>
      <c r="E153" t="s">
        <v>377</v>
      </c>
      <c r="F153" t="s">
        <v>383</v>
      </c>
      <c r="G153" t="s">
        <v>98</v>
      </c>
      <c r="H153" t="s">
        <v>98</v>
      </c>
      <c r="I153" t="s">
        <v>743</v>
      </c>
      <c r="J153" t="s">
        <v>379</v>
      </c>
      <c r="K153" t="s">
        <v>546</v>
      </c>
      <c r="L153" s="784" t="s">
        <v>575</v>
      </c>
      <c r="M153" t="s">
        <v>745</v>
      </c>
      <c r="P153" t="s">
        <v>1887</v>
      </c>
      <c r="Q153" t="s">
        <v>575</v>
      </c>
      <c r="R153" t="s">
        <v>152</v>
      </c>
      <c r="S153" t="s">
        <v>146</v>
      </c>
      <c r="U153">
        <v>0</v>
      </c>
      <c r="V153" t="s">
        <v>544</v>
      </c>
      <c r="W153" t="s">
        <v>575</v>
      </c>
      <c r="X153" s="784">
        <v>427904035.52443534</v>
      </c>
    </row>
    <row r="154" spans="1:24">
      <c r="A154" t="s">
        <v>358</v>
      </c>
      <c r="B154" t="s">
        <v>545</v>
      </c>
      <c r="C154" t="s">
        <v>143</v>
      </c>
      <c r="D154" t="s">
        <v>131</v>
      </c>
      <c r="E154" t="s">
        <v>377</v>
      </c>
      <c r="F154" t="s">
        <v>383</v>
      </c>
      <c r="G154" t="s">
        <v>98</v>
      </c>
      <c r="H154" t="s">
        <v>98</v>
      </c>
      <c r="I154" t="s">
        <v>743</v>
      </c>
      <c r="J154" t="s">
        <v>379</v>
      </c>
      <c r="K154" t="s">
        <v>546</v>
      </c>
      <c r="L154" s="784" t="s">
        <v>575</v>
      </c>
      <c r="M154" t="s">
        <v>745</v>
      </c>
      <c r="P154" t="s">
        <v>1887</v>
      </c>
      <c r="Q154" t="s">
        <v>575</v>
      </c>
      <c r="R154" t="s">
        <v>150</v>
      </c>
      <c r="S154" t="s">
        <v>145</v>
      </c>
      <c r="U154">
        <v>0</v>
      </c>
      <c r="V154" t="s">
        <v>544</v>
      </c>
      <c r="W154" t="s">
        <v>546</v>
      </c>
      <c r="X154" s="784">
        <v>7113361022.7267885</v>
      </c>
    </row>
    <row r="155" spans="1:24">
      <c r="A155" t="s">
        <v>358</v>
      </c>
      <c r="B155" t="s">
        <v>547</v>
      </c>
      <c r="C155" t="s">
        <v>162</v>
      </c>
      <c r="D155" t="s">
        <v>128</v>
      </c>
      <c r="E155" t="s">
        <v>377</v>
      </c>
      <c r="F155" t="s">
        <v>383</v>
      </c>
      <c r="G155" t="s">
        <v>98</v>
      </c>
      <c r="H155" t="s">
        <v>98</v>
      </c>
      <c r="I155" t="s">
        <v>743</v>
      </c>
      <c r="J155" t="s">
        <v>379</v>
      </c>
      <c r="K155" t="s">
        <v>546</v>
      </c>
      <c r="L155" s="784">
        <v>43000000</v>
      </c>
      <c r="M155" t="s">
        <v>745</v>
      </c>
      <c r="P155" t="s">
        <v>1887</v>
      </c>
      <c r="Q155" t="s">
        <v>406</v>
      </c>
      <c r="R155" t="s">
        <v>150</v>
      </c>
      <c r="S155" t="s">
        <v>145</v>
      </c>
      <c r="U155">
        <v>0</v>
      </c>
      <c r="V155" t="s">
        <v>544</v>
      </c>
      <c r="W155" t="s">
        <v>548</v>
      </c>
      <c r="X155" s="784">
        <v>1131865946.5875781</v>
      </c>
    </row>
    <row r="156" spans="1:24">
      <c r="A156" t="s">
        <v>358</v>
      </c>
      <c r="B156" t="s">
        <v>549</v>
      </c>
      <c r="C156" t="s">
        <v>163</v>
      </c>
      <c r="D156" t="s">
        <v>130</v>
      </c>
      <c r="E156" t="s">
        <v>377</v>
      </c>
      <c r="F156" t="s">
        <v>383</v>
      </c>
      <c r="G156" t="s">
        <v>98</v>
      </c>
      <c r="H156" t="s">
        <v>98</v>
      </c>
      <c r="I156" t="s">
        <v>743</v>
      </c>
      <c r="J156" t="s">
        <v>379</v>
      </c>
      <c r="K156" t="s">
        <v>546</v>
      </c>
      <c r="L156" s="784" t="s">
        <v>575</v>
      </c>
      <c r="M156" t="s">
        <v>745</v>
      </c>
      <c r="P156" t="s">
        <v>1887</v>
      </c>
      <c r="Q156" t="s">
        <v>575</v>
      </c>
      <c r="R156" t="s">
        <v>550</v>
      </c>
      <c r="S156" t="s">
        <v>146</v>
      </c>
      <c r="U156">
        <v>0</v>
      </c>
      <c r="V156" t="s">
        <v>541</v>
      </c>
      <c r="W156" t="s">
        <v>575</v>
      </c>
      <c r="X156" s="784">
        <v>46777779.823447868</v>
      </c>
    </row>
    <row r="157" spans="1:24">
      <c r="A157" t="s">
        <v>358</v>
      </c>
      <c r="B157" t="s">
        <v>551</v>
      </c>
      <c r="C157" t="s">
        <v>164</v>
      </c>
      <c r="D157" t="s">
        <v>130</v>
      </c>
      <c r="E157" t="s">
        <v>377</v>
      </c>
      <c r="F157" t="s">
        <v>383</v>
      </c>
      <c r="G157" t="s">
        <v>98</v>
      </c>
      <c r="H157" t="s">
        <v>98</v>
      </c>
      <c r="I157" t="s">
        <v>743</v>
      </c>
      <c r="J157" t="s">
        <v>379</v>
      </c>
      <c r="K157" t="s">
        <v>546</v>
      </c>
      <c r="L157" s="784">
        <v>1000000</v>
      </c>
      <c r="M157" t="s">
        <v>745</v>
      </c>
      <c r="P157" t="s">
        <v>1887</v>
      </c>
      <c r="Q157" t="s">
        <v>406</v>
      </c>
      <c r="R157" t="s">
        <v>152</v>
      </c>
      <c r="S157" t="s">
        <v>146</v>
      </c>
      <c r="U157">
        <v>0</v>
      </c>
      <c r="V157" t="s">
        <v>544</v>
      </c>
      <c r="W157" t="s">
        <v>575</v>
      </c>
      <c r="X157" s="784">
        <v>30725305777.596794</v>
      </c>
    </row>
    <row r="158" spans="1:24">
      <c r="A158" t="s">
        <v>358</v>
      </c>
      <c r="B158" t="s">
        <v>553</v>
      </c>
      <c r="C158" t="s">
        <v>165</v>
      </c>
      <c r="D158" t="s">
        <v>127</v>
      </c>
      <c r="E158" t="s">
        <v>377</v>
      </c>
      <c r="F158" t="s">
        <v>383</v>
      </c>
      <c r="G158" t="s">
        <v>98</v>
      </c>
      <c r="H158" t="s">
        <v>98</v>
      </c>
      <c r="I158" t="s">
        <v>743</v>
      </c>
      <c r="J158" t="s">
        <v>379</v>
      </c>
      <c r="K158" t="s">
        <v>546</v>
      </c>
      <c r="L158" s="784" t="s">
        <v>575</v>
      </c>
      <c r="M158" t="s">
        <v>745</v>
      </c>
      <c r="P158" t="s">
        <v>1887</v>
      </c>
      <c r="Q158" t="s">
        <v>575</v>
      </c>
      <c r="R158" t="s">
        <v>152</v>
      </c>
      <c r="S158" t="s">
        <v>146</v>
      </c>
      <c r="U158">
        <v>0</v>
      </c>
      <c r="V158" t="s">
        <v>544</v>
      </c>
      <c r="W158" t="s">
        <v>575</v>
      </c>
      <c r="X158" s="784">
        <v>153815827.8380394</v>
      </c>
    </row>
    <row r="159" spans="1:24">
      <c r="A159" t="s">
        <v>358</v>
      </c>
      <c r="B159" t="s">
        <v>554</v>
      </c>
      <c r="C159" t="s">
        <v>166</v>
      </c>
      <c r="D159" t="s">
        <v>127</v>
      </c>
      <c r="E159" t="s">
        <v>377</v>
      </c>
      <c r="F159" t="s">
        <v>383</v>
      </c>
      <c r="G159" t="s">
        <v>98</v>
      </c>
      <c r="H159" t="s">
        <v>98</v>
      </c>
      <c r="I159" t="s">
        <v>743</v>
      </c>
      <c r="J159" t="s">
        <v>379</v>
      </c>
      <c r="K159" t="s">
        <v>546</v>
      </c>
      <c r="L159" s="784">
        <v>0</v>
      </c>
      <c r="M159" t="s">
        <v>745</v>
      </c>
      <c r="P159" t="s">
        <v>1887</v>
      </c>
      <c r="Q159" t="s">
        <v>575</v>
      </c>
      <c r="R159" t="s">
        <v>152</v>
      </c>
      <c r="S159" t="s">
        <v>146</v>
      </c>
      <c r="U159">
        <v>0</v>
      </c>
      <c r="V159" t="s">
        <v>544</v>
      </c>
      <c r="W159" t="s">
        <v>546</v>
      </c>
      <c r="X159" s="784">
        <v>437525105.31216973</v>
      </c>
    </row>
    <row r="160" spans="1:24">
      <c r="A160" t="s">
        <v>358</v>
      </c>
      <c r="B160" t="s">
        <v>555</v>
      </c>
      <c r="C160" t="s">
        <v>556</v>
      </c>
      <c r="D160" t="s">
        <v>130</v>
      </c>
      <c r="E160" t="s">
        <v>377</v>
      </c>
      <c r="F160" t="s">
        <v>383</v>
      </c>
      <c r="G160" t="s">
        <v>98</v>
      </c>
      <c r="H160" t="s">
        <v>98</v>
      </c>
      <c r="I160" t="s">
        <v>743</v>
      </c>
      <c r="J160" t="s">
        <v>379</v>
      </c>
      <c r="K160" t="s">
        <v>546</v>
      </c>
      <c r="L160" s="784" t="s">
        <v>575</v>
      </c>
      <c r="M160" t="s">
        <v>745</v>
      </c>
      <c r="P160" t="s">
        <v>1887</v>
      </c>
      <c r="Q160" t="s">
        <v>575</v>
      </c>
      <c r="R160" t="s">
        <v>550</v>
      </c>
      <c r="S160" t="s">
        <v>146</v>
      </c>
      <c r="U160">
        <v>0</v>
      </c>
      <c r="V160" t="s">
        <v>541</v>
      </c>
      <c r="W160" t="s">
        <v>575</v>
      </c>
      <c r="X160" s="784">
        <v>149463302.00602186</v>
      </c>
    </row>
    <row r="161" spans="1:24">
      <c r="A161" t="s">
        <v>358</v>
      </c>
      <c r="B161" t="s">
        <v>557</v>
      </c>
      <c r="C161" t="s">
        <v>167</v>
      </c>
      <c r="D161" t="s">
        <v>132</v>
      </c>
      <c r="E161" t="s">
        <v>377</v>
      </c>
      <c r="F161" t="s">
        <v>383</v>
      </c>
      <c r="G161" t="s">
        <v>98</v>
      </c>
      <c r="H161" t="s">
        <v>98</v>
      </c>
      <c r="I161" t="s">
        <v>743</v>
      </c>
      <c r="J161" t="s">
        <v>379</v>
      </c>
      <c r="K161" t="s">
        <v>546</v>
      </c>
      <c r="L161" s="784">
        <v>87700000</v>
      </c>
      <c r="M161" t="s">
        <v>745</v>
      </c>
      <c r="P161" t="s">
        <v>1887</v>
      </c>
      <c r="Q161" t="s">
        <v>406</v>
      </c>
      <c r="R161" t="s">
        <v>150</v>
      </c>
      <c r="S161" t="s">
        <v>145</v>
      </c>
      <c r="U161">
        <v>0</v>
      </c>
      <c r="V161" t="s">
        <v>544</v>
      </c>
      <c r="W161" t="s">
        <v>558</v>
      </c>
      <c r="X161" s="784">
        <v>1148322593.9600098</v>
      </c>
    </row>
    <row r="162" spans="1:24">
      <c r="A162" t="s">
        <v>358</v>
      </c>
      <c r="B162" t="s">
        <v>559</v>
      </c>
      <c r="C162" t="s">
        <v>168</v>
      </c>
      <c r="D162" t="s">
        <v>127</v>
      </c>
      <c r="E162" t="s">
        <v>377</v>
      </c>
      <c r="F162" t="s">
        <v>383</v>
      </c>
      <c r="G162" t="s">
        <v>98</v>
      </c>
      <c r="H162" t="s">
        <v>98</v>
      </c>
      <c r="I162" t="s">
        <v>743</v>
      </c>
      <c r="J162" t="s">
        <v>379</v>
      </c>
      <c r="K162" t="s">
        <v>546</v>
      </c>
      <c r="L162" s="784" t="s">
        <v>575</v>
      </c>
      <c r="M162" t="s">
        <v>745</v>
      </c>
      <c r="P162" t="s">
        <v>1887</v>
      </c>
      <c r="Q162" t="s">
        <v>575</v>
      </c>
      <c r="R162" t="s">
        <v>152</v>
      </c>
      <c r="S162" t="s">
        <v>146</v>
      </c>
      <c r="U162">
        <v>0</v>
      </c>
      <c r="V162" t="s">
        <v>544</v>
      </c>
      <c r="W162" t="s">
        <v>575</v>
      </c>
      <c r="X162" s="784">
        <v>2371102058.1093163</v>
      </c>
    </row>
    <row r="163" spans="1:24">
      <c r="A163" t="s">
        <v>358</v>
      </c>
      <c r="B163" t="s">
        <v>560</v>
      </c>
      <c r="C163" t="s">
        <v>169</v>
      </c>
      <c r="D163" t="s">
        <v>130</v>
      </c>
      <c r="E163" t="s">
        <v>377</v>
      </c>
      <c r="F163" t="s">
        <v>383</v>
      </c>
      <c r="G163" t="s">
        <v>98</v>
      </c>
      <c r="H163" t="s">
        <v>98</v>
      </c>
      <c r="I163" t="s">
        <v>743</v>
      </c>
      <c r="J163" t="s">
        <v>379</v>
      </c>
      <c r="K163" t="s">
        <v>546</v>
      </c>
      <c r="L163" s="784" t="s">
        <v>575</v>
      </c>
      <c r="M163" t="s">
        <v>745</v>
      </c>
      <c r="P163" t="s">
        <v>1887</v>
      </c>
      <c r="Q163" t="s">
        <v>575</v>
      </c>
      <c r="R163" t="s">
        <v>150</v>
      </c>
      <c r="S163" t="s">
        <v>146</v>
      </c>
      <c r="U163">
        <v>0</v>
      </c>
      <c r="V163" t="s">
        <v>541</v>
      </c>
      <c r="W163" t="s">
        <v>546</v>
      </c>
      <c r="X163" s="784">
        <v>75151620.005215243</v>
      </c>
    </row>
    <row r="164" spans="1:24">
      <c r="A164" t="s">
        <v>358</v>
      </c>
      <c r="B164" t="s">
        <v>561</v>
      </c>
      <c r="C164" t="s">
        <v>170</v>
      </c>
      <c r="D164" t="s">
        <v>129</v>
      </c>
      <c r="E164" t="s">
        <v>377</v>
      </c>
      <c r="F164" t="s">
        <v>383</v>
      </c>
      <c r="G164" t="s">
        <v>98</v>
      </c>
      <c r="H164" t="s">
        <v>98</v>
      </c>
      <c r="I164" t="s">
        <v>743</v>
      </c>
      <c r="J164" t="s">
        <v>379</v>
      </c>
      <c r="K164" t="s">
        <v>546</v>
      </c>
      <c r="L164" s="784">
        <v>5000000</v>
      </c>
      <c r="M164" t="s">
        <v>745</v>
      </c>
      <c r="P164" t="s">
        <v>1887</v>
      </c>
      <c r="Q164" t="s">
        <v>406</v>
      </c>
      <c r="R164" t="s">
        <v>150</v>
      </c>
      <c r="S164" t="s">
        <v>145</v>
      </c>
      <c r="U164">
        <v>0</v>
      </c>
      <c r="V164" t="s">
        <v>544</v>
      </c>
      <c r="W164" t="s">
        <v>562</v>
      </c>
      <c r="X164" s="784">
        <v>69958487.197715744</v>
      </c>
    </row>
    <row r="165" spans="1:24">
      <c r="A165" t="s">
        <v>358</v>
      </c>
      <c r="B165" t="s">
        <v>563</v>
      </c>
      <c r="C165" t="s">
        <v>171</v>
      </c>
      <c r="D165" t="s">
        <v>132</v>
      </c>
      <c r="E165" t="s">
        <v>377</v>
      </c>
      <c r="F165" t="s">
        <v>383</v>
      </c>
      <c r="G165" t="s">
        <v>98</v>
      </c>
      <c r="H165" t="s">
        <v>98</v>
      </c>
      <c r="I165" t="s">
        <v>743</v>
      </c>
      <c r="J165" t="s">
        <v>379</v>
      </c>
      <c r="K165" t="s">
        <v>546</v>
      </c>
      <c r="L165" s="784">
        <v>0</v>
      </c>
      <c r="M165" t="s">
        <v>745</v>
      </c>
      <c r="P165" t="s">
        <v>1887</v>
      </c>
      <c r="Q165" t="s">
        <v>406</v>
      </c>
      <c r="R165" t="s">
        <v>150</v>
      </c>
      <c r="S165" t="s">
        <v>145</v>
      </c>
      <c r="U165">
        <v>0</v>
      </c>
      <c r="V165" t="s">
        <v>544</v>
      </c>
      <c r="W165" t="s">
        <v>548</v>
      </c>
      <c r="X165" s="784">
        <v>61654608.560629159</v>
      </c>
    </row>
    <row r="166" spans="1:24">
      <c r="A166" t="s">
        <v>358</v>
      </c>
      <c r="B166" t="s">
        <v>564</v>
      </c>
      <c r="C166" t="s">
        <v>172</v>
      </c>
      <c r="D166" t="s">
        <v>130</v>
      </c>
      <c r="E166" t="s">
        <v>377</v>
      </c>
      <c r="F166" t="s">
        <v>383</v>
      </c>
      <c r="G166" t="s">
        <v>98</v>
      </c>
      <c r="H166" t="s">
        <v>98</v>
      </c>
      <c r="I166" t="s">
        <v>743</v>
      </c>
      <c r="J166" t="s">
        <v>379</v>
      </c>
      <c r="K166" t="s">
        <v>546</v>
      </c>
      <c r="L166" s="784">
        <v>0</v>
      </c>
      <c r="M166" t="s">
        <v>745</v>
      </c>
      <c r="P166" t="s">
        <v>1887</v>
      </c>
      <c r="Q166" t="s">
        <v>575</v>
      </c>
      <c r="R166" t="s">
        <v>150</v>
      </c>
      <c r="S166" t="s">
        <v>145</v>
      </c>
      <c r="U166">
        <v>0</v>
      </c>
      <c r="V166" t="s">
        <v>544</v>
      </c>
      <c r="W166" t="s">
        <v>546</v>
      </c>
      <c r="X166" s="784">
        <v>1806638707.7615163</v>
      </c>
    </row>
    <row r="167" spans="1:24">
      <c r="A167" t="s">
        <v>358</v>
      </c>
      <c r="B167" t="s">
        <v>565</v>
      </c>
      <c r="C167" t="s">
        <v>174</v>
      </c>
      <c r="D167" t="s">
        <v>127</v>
      </c>
      <c r="E167" t="s">
        <v>377</v>
      </c>
      <c r="F167" t="s">
        <v>383</v>
      </c>
      <c r="G167" t="s">
        <v>98</v>
      </c>
      <c r="H167" t="s">
        <v>98</v>
      </c>
      <c r="I167" t="s">
        <v>743</v>
      </c>
      <c r="J167" t="s">
        <v>379</v>
      </c>
      <c r="K167" t="s">
        <v>546</v>
      </c>
      <c r="L167" s="784" t="s">
        <v>575</v>
      </c>
      <c r="M167" t="s">
        <v>745</v>
      </c>
      <c r="P167" t="s">
        <v>1887</v>
      </c>
      <c r="Q167" t="s">
        <v>575</v>
      </c>
      <c r="R167" t="s">
        <v>152</v>
      </c>
      <c r="S167" t="s">
        <v>146</v>
      </c>
      <c r="U167">
        <v>0</v>
      </c>
      <c r="V167" t="s">
        <v>544</v>
      </c>
      <c r="W167" t="s">
        <v>546</v>
      </c>
      <c r="X167" s="784">
        <v>1252696525.0627904</v>
      </c>
    </row>
    <row r="168" spans="1:24">
      <c r="A168" t="s">
        <v>358</v>
      </c>
      <c r="B168" t="s">
        <v>566</v>
      </c>
      <c r="C168" t="s">
        <v>175</v>
      </c>
      <c r="D168" t="s">
        <v>128</v>
      </c>
      <c r="E168" t="s">
        <v>377</v>
      </c>
      <c r="F168" t="s">
        <v>383</v>
      </c>
      <c r="G168" t="s">
        <v>98</v>
      </c>
      <c r="H168" t="s">
        <v>98</v>
      </c>
      <c r="I168" t="s">
        <v>743</v>
      </c>
      <c r="J168" t="s">
        <v>379</v>
      </c>
      <c r="K168" t="s">
        <v>546</v>
      </c>
      <c r="L168" s="784" t="s">
        <v>575</v>
      </c>
      <c r="M168" t="s">
        <v>745</v>
      </c>
      <c r="P168" t="s">
        <v>1887</v>
      </c>
      <c r="Q168" t="s">
        <v>575</v>
      </c>
      <c r="R168" t="s">
        <v>152</v>
      </c>
      <c r="S168" t="s">
        <v>146</v>
      </c>
      <c r="U168">
        <v>0</v>
      </c>
      <c r="V168" t="s">
        <v>544</v>
      </c>
      <c r="W168" t="s">
        <v>575</v>
      </c>
      <c r="X168" s="784">
        <v>843425084.07334602</v>
      </c>
    </row>
    <row r="169" spans="1:24">
      <c r="A169" t="s">
        <v>358</v>
      </c>
      <c r="B169" t="s">
        <v>567</v>
      </c>
      <c r="C169" t="s">
        <v>144</v>
      </c>
      <c r="D169" t="s">
        <v>130</v>
      </c>
      <c r="E169" t="s">
        <v>377</v>
      </c>
      <c r="F169" t="s">
        <v>383</v>
      </c>
      <c r="G169" t="s">
        <v>98</v>
      </c>
      <c r="H169" t="s">
        <v>98</v>
      </c>
      <c r="I169" t="s">
        <v>743</v>
      </c>
      <c r="J169" t="s">
        <v>379</v>
      </c>
      <c r="K169" t="s">
        <v>546</v>
      </c>
      <c r="L169" s="784" t="s">
        <v>575</v>
      </c>
      <c r="M169" t="s">
        <v>745</v>
      </c>
      <c r="P169" t="s">
        <v>1887</v>
      </c>
      <c r="Q169" t="s">
        <v>575</v>
      </c>
      <c r="R169" t="s">
        <v>152</v>
      </c>
      <c r="S169" t="s">
        <v>146</v>
      </c>
      <c r="U169">
        <v>0</v>
      </c>
      <c r="V169" t="s">
        <v>544</v>
      </c>
      <c r="W169" t="s">
        <v>546</v>
      </c>
      <c r="X169" s="784">
        <v>74055620038.853683</v>
      </c>
    </row>
    <row r="170" spans="1:24">
      <c r="A170" t="s">
        <v>358</v>
      </c>
      <c r="B170" t="s">
        <v>568</v>
      </c>
      <c r="C170" t="s">
        <v>176</v>
      </c>
      <c r="D170" t="s">
        <v>127</v>
      </c>
      <c r="E170" t="s">
        <v>377</v>
      </c>
      <c r="F170" t="s">
        <v>383</v>
      </c>
      <c r="G170" t="s">
        <v>98</v>
      </c>
      <c r="H170" t="s">
        <v>98</v>
      </c>
      <c r="I170" t="s">
        <v>743</v>
      </c>
      <c r="J170" t="s">
        <v>379</v>
      </c>
      <c r="K170" t="s">
        <v>546</v>
      </c>
      <c r="L170" s="784" t="s">
        <v>575</v>
      </c>
      <c r="M170" t="s">
        <v>745</v>
      </c>
      <c r="P170" t="s">
        <v>1887</v>
      </c>
      <c r="Q170" t="s">
        <v>575</v>
      </c>
      <c r="R170" t="s">
        <v>152</v>
      </c>
      <c r="S170" t="s">
        <v>146</v>
      </c>
      <c r="U170">
        <v>0</v>
      </c>
      <c r="V170" t="s">
        <v>544</v>
      </c>
      <c r="W170" t="s">
        <v>575</v>
      </c>
      <c r="X170" s="784">
        <v>2803357765.5888777</v>
      </c>
    </row>
    <row r="171" spans="1:24">
      <c r="A171" t="s">
        <v>358</v>
      </c>
      <c r="B171" t="s">
        <v>569</v>
      </c>
      <c r="C171" t="s">
        <v>177</v>
      </c>
      <c r="D171" t="s">
        <v>129</v>
      </c>
      <c r="E171" t="s">
        <v>377</v>
      </c>
      <c r="F171" t="s">
        <v>383</v>
      </c>
      <c r="G171" t="s">
        <v>98</v>
      </c>
      <c r="H171" t="s">
        <v>98</v>
      </c>
      <c r="I171" t="s">
        <v>743</v>
      </c>
      <c r="J171" t="s">
        <v>379</v>
      </c>
      <c r="K171" t="s">
        <v>546</v>
      </c>
      <c r="L171" s="784" t="s">
        <v>575</v>
      </c>
      <c r="M171" t="s">
        <v>745</v>
      </c>
      <c r="P171" t="s">
        <v>1887</v>
      </c>
      <c r="Q171" t="s">
        <v>575</v>
      </c>
      <c r="R171" t="s">
        <v>148</v>
      </c>
      <c r="S171" t="s">
        <v>145</v>
      </c>
      <c r="U171">
        <v>2</v>
      </c>
      <c r="V171" t="s">
        <v>544</v>
      </c>
      <c r="W171" t="s">
        <v>562</v>
      </c>
      <c r="X171" s="784">
        <v>337927779.25510043</v>
      </c>
    </row>
    <row r="172" spans="1:24">
      <c r="A172" t="s">
        <v>358</v>
      </c>
      <c r="B172" t="s">
        <v>570</v>
      </c>
      <c r="C172" t="s">
        <v>178</v>
      </c>
      <c r="D172" t="s">
        <v>128</v>
      </c>
      <c r="E172" t="s">
        <v>377</v>
      </c>
      <c r="F172" t="s">
        <v>383</v>
      </c>
      <c r="G172" t="s">
        <v>98</v>
      </c>
      <c r="H172" t="s">
        <v>98</v>
      </c>
      <c r="I172" t="s">
        <v>743</v>
      </c>
      <c r="J172" t="s">
        <v>379</v>
      </c>
      <c r="K172" t="s">
        <v>546</v>
      </c>
      <c r="L172" s="784">
        <v>17800000</v>
      </c>
      <c r="M172" t="s">
        <v>745</v>
      </c>
      <c r="P172" t="s">
        <v>1887</v>
      </c>
      <c r="Q172" t="s">
        <v>406</v>
      </c>
      <c r="R172" t="s">
        <v>148</v>
      </c>
      <c r="S172" t="s">
        <v>145</v>
      </c>
      <c r="U172">
        <v>2</v>
      </c>
      <c r="V172" t="s">
        <v>544</v>
      </c>
      <c r="W172" t="s">
        <v>548</v>
      </c>
      <c r="X172" s="784">
        <v>65979512.47399316</v>
      </c>
    </row>
    <row r="173" spans="1:24">
      <c r="A173" t="s">
        <v>358</v>
      </c>
      <c r="B173" t="s">
        <v>571</v>
      </c>
      <c r="C173" t="s">
        <v>179</v>
      </c>
      <c r="D173" t="s">
        <v>129</v>
      </c>
      <c r="E173" t="s">
        <v>377</v>
      </c>
      <c r="F173" t="s">
        <v>383</v>
      </c>
      <c r="G173" t="s">
        <v>98</v>
      </c>
      <c r="H173" t="s">
        <v>98</v>
      </c>
      <c r="I173" t="s">
        <v>743</v>
      </c>
      <c r="J173" t="s">
        <v>379</v>
      </c>
      <c r="K173" t="s">
        <v>546</v>
      </c>
      <c r="L173" s="784">
        <v>4700000</v>
      </c>
      <c r="M173" t="s">
        <v>745</v>
      </c>
      <c r="P173" t="s">
        <v>1887</v>
      </c>
      <c r="Q173" t="s">
        <v>406</v>
      </c>
      <c r="R173" t="s">
        <v>150</v>
      </c>
      <c r="S173" t="s">
        <v>145</v>
      </c>
      <c r="U173">
        <v>0</v>
      </c>
      <c r="V173" t="s">
        <v>541</v>
      </c>
      <c r="W173" t="s">
        <v>542</v>
      </c>
      <c r="X173" s="784">
        <v>63748362.778827004</v>
      </c>
    </row>
    <row r="174" spans="1:24">
      <c r="A174" t="s">
        <v>358</v>
      </c>
      <c r="B174" t="s">
        <v>572</v>
      </c>
      <c r="C174" t="s">
        <v>180</v>
      </c>
      <c r="D174" t="s">
        <v>126</v>
      </c>
      <c r="E174" t="s">
        <v>377</v>
      </c>
      <c r="F174" t="s">
        <v>383</v>
      </c>
      <c r="G174" t="s">
        <v>98</v>
      </c>
      <c r="H174" t="s">
        <v>98</v>
      </c>
      <c r="I174" t="s">
        <v>743</v>
      </c>
      <c r="J174" t="s">
        <v>379</v>
      </c>
      <c r="K174" t="s">
        <v>546</v>
      </c>
      <c r="L174" s="784">
        <v>3500000</v>
      </c>
      <c r="M174" t="s">
        <v>745</v>
      </c>
      <c r="P174" t="s">
        <v>1887</v>
      </c>
      <c r="Q174" t="s">
        <v>406</v>
      </c>
      <c r="R174" t="s">
        <v>150</v>
      </c>
      <c r="S174" t="s">
        <v>145</v>
      </c>
      <c r="U174">
        <v>0</v>
      </c>
      <c r="V174" t="s">
        <v>544</v>
      </c>
      <c r="W174" t="s">
        <v>558</v>
      </c>
      <c r="X174" s="784">
        <v>313039649.45369786</v>
      </c>
    </row>
    <row r="175" spans="1:24">
      <c r="A175" t="s">
        <v>358</v>
      </c>
      <c r="B175" t="s">
        <v>573</v>
      </c>
      <c r="C175" t="s">
        <v>181</v>
      </c>
      <c r="D175" t="s">
        <v>129</v>
      </c>
      <c r="E175" t="s">
        <v>377</v>
      </c>
      <c r="F175" t="s">
        <v>383</v>
      </c>
      <c r="G175" t="s">
        <v>98</v>
      </c>
      <c r="H175" t="s">
        <v>98</v>
      </c>
      <c r="I175" t="s">
        <v>743</v>
      </c>
      <c r="J175" t="s">
        <v>379</v>
      </c>
      <c r="K175" t="s">
        <v>546</v>
      </c>
      <c r="L175" s="784">
        <v>18000000</v>
      </c>
      <c r="M175" t="s">
        <v>745</v>
      </c>
      <c r="P175" t="s">
        <v>1887</v>
      </c>
      <c r="Q175" t="s">
        <v>406</v>
      </c>
      <c r="R175" t="s">
        <v>150</v>
      </c>
      <c r="S175" t="s">
        <v>145</v>
      </c>
      <c r="U175">
        <v>2</v>
      </c>
      <c r="V175" t="s">
        <v>544</v>
      </c>
      <c r="W175" t="s">
        <v>542</v>
      </c>
      <c r="X175" s="784">
        <v>81361801.477472037</v>
      </c>
    </row>
    <row r="176" spans="1:24">
      <c r="A176" t="s">
        <v>358</v>
      </c>
      <c r="B176" t="s">
        <v>574</v>
      </c>
      <c r="C176" t="s">
        <v>182</v>
      </c>
      <c r="D176" t="s">
        <v>129</v>
      </c>
      <c r="E176" t="s">
        <v>377</v>
      </c>
      <c r="F176" t="s">
        <v>383</v>
      </c>
      <c r="G176" t="s">
        <v>98</v>
      </c>
      <c r="H176" t="s">
        <v>98</v>
      </c>
      <c r="I176" t="s">
        <v>743</v>
      </c>
      <c r="J176" t="s">
        <v>379</v>
      </c>
      <c r="K176" t="s">
        <v>546</v>
      </c>
      <c r="L176" s="784" t="s">
        <v>575</v>
      </c>
      <c r="M176" t="s">
        <v>745</v>
      </c>
      <c r="P176" t="s">
        <v>1887</v>
      </c>
      <c r="Q176" t="s">
        <v>575</v>
      </c>
      <c r="R176" t="s">
        <v>148</v>
      </c>
      <c r="S176" t="s">
        <v>145</v>
      </c>
      <c r="U176">
        <v>1</v>
      </c>
      <c r="V176" t="s">
        <v>544</v>
      </c>
      <c r="W176" t="s">
        <v>542</v>
      </c>
      <c r="X176" s="784" t="s">
        <v>575</v>
      </c>
    </row>
    <row r="177" spans="1:24">
      <c r="A177" t="s">
        <v>358</v>
      </c>
      <c r="B177" t="s">
        <v>576</v>
      </c>
      <c r="C177" t="s">
        <v>183</v>
      </c>
      <c r="D177" t="s">
        <v>129</v>
      </c>
      <c r="E177" t="s">
        <v>377</v>
      </c>
      <c r="F177" t="s">
        <v>383</v>
      </c>
      <c r="G177" t="s">
        <v>98</v>
      </c>
      <c r="H177" t="s">
        <v>98</v>
      </c>
      <c r="I177" t="s">
        <v>743</v>
      </c>
      <c r="J177" t="s">
        <v>379</v>
      </c>
      <c r="K177" t="s">
        <v>546</v>
      </c>
      <c r="L177" s="784">
        <v>9000000</v>
      </c>
      <c r="M177" t="s">
        <v>745</v>
      </c>
      <c r="P177" t="s">
        <v>1887</v>
      </c>
      <c r="Q177" t="s">
        <v>406</v>
      </c>
      <c r="R177" t="s">
        <v>148</v>
      </c>
      <c r="S177" t="s">
        <v>145</v>
      </c>
      <c r="U177">
        <v>1</v>
      </c>
      <c r="V177" t="s">
        <v>544</v>
      </c>
      <c r="W177" t="s">
        <v>542</v>
      </c>
      <c r="X177" s="784">
        <v>76939306.715636879</v>
      </c>
    </row>
    <row r="178" spans="1:24">
      <c r="A178" t="s">
        <v>358</v>
      </c>
      <c r="B178" t="s">
        <v>577</v>
      </c>
      <c r="C178" t="s">
        <v>184</v>
      </c>
      <c r="D178" t="s">
        <v>130</v>
      </c>
      <c r="E178" t="s">
        <v>377</v>
      </c>
      <c r="F178" t="s">
        <v>383</v>
      </c>
      <c r="G178" t="s">
        <v>98</v>
      </c>
      <c r="H178" t="s">
        <v>98</v>
      </c>
      <c r="I178" t="s">
        <v>743</v>
      </c>
      <c r="J178" t="s">
        <v>379</v>
      </c>
      <c r="K178" t="s">
        <v>546</v>
      </c>
      <c r="L178" s="784" t="s">
        <v>575</v>
      </c>
      <c r="M178" t="s">
        <v>745</v>
      </c>
      <c r="P178" t="s">
        <v>1887</v>
      </c>
      <c r="Q178" t="s">
        <v>575</v>
      </c>
      <c r="R178" t="s">
        <v>550</v>
      </c>
      <c r="S178" t="s">
        <v>146</v>
      </c>
      <c r="U178">
        <v>0</v>
      </c>
      <c r="V178" t="s">
        <v>544</v>
      </c>
      <c r="W178" t="s">
        <v>575</v>
      </c>
      <c r="X178" s="784">
        <v>13859708717.682571</v>
      </c>
    </row>
    <row r="179" spans="1:24">
      <c r="A179" t="s">
        <v>358</v>
      </c>
      <c r="B179" t="s">
        <v>578</v>
      </c>
      <c r="C179" t="s">
        <v>185</v>
      </c>
      <c r="D179" t="s">
        <v>126</v>
      </c>
      <c r="E179" t="s">
        <v>377</v>
      </c>
      <c r="F179" t="s">
        <v>383</v>
      </c>
      <c r="G179" t="s">
        <v>98</v>
      </c>
      <c r="H179" t="s">
        <v>98</v>
      </c>
      <c r="I179" t="s">
        <v>743</v>
      </c>
      <c r="J179" t="s">
        <v>379</v>
      </c>
      <c r="K179" t="s">
        <v>546</v>
      </c>
      <c r="L179" s="784" t="s">
        <v>575</v>
      </c>
      <c r="M179" t="s">
        <v>745</v>
      </c>
      <c r="P179" t="s">
        <v>1887</v>
      </c>
      <c r="Q179" t="s">
        <v>575</v>
      </c>
      <c r="R179" t="s">
        <v>152</v>
      </c>
      <c r="S179" t="s">
        <v>146</v>
      </c>
      <c r="U179">
        <v>0</v>
      </c>
      <c r="V179" t="s">
        <v>544</v>
      </c>
      <c r="W179" t="s">
        <v>575</v>
      </c>
      <c r="X179" s="784">
        <v>403567160707.7016</v>
      </c>
    </row>
    <row r="180" spans="1:24">
      <c r="A180" t="s">
        <v>358</v>
      </c>
      <c r="B180" t="s">
        <v>579</v>
      </c>
      <c r="C180" t="s">
        <v>186</v>
      </c>
      <c r="D180" t="s">
        <v>130</v>
      </c>
      <c r="E180" t="s">
        <v>377</v>
      </c>
      <c r="F180" t="s">
        <v>383</v>
      </c>
      <c r="G180" t="s">
        <v>98</v>
      </c>
      <c r="H180" t="s">
        <v>98</v>
      </c>
      <c r="I180" t="s">
        <v>743</v>
      </c>
      <c r="J180" t="s">
        <v>379</v>
      </c>
      <c r="K180" t="s">
        <v>546</v>
      </c>
      <c r="L180" s="784" t="s">
        <v>575</v>
      </c>
      <c r="M180" t="s">
        <v>745</v>
      </c>
      <c r="P180" t="s">
        <v>1887</v>
      </c>
      <c r="Q180" t="s">
        <v>575</v>
      </c>
      <c r="R180" t="s">
        <v>152</v>
      </c>
      <c r="S180" t="s">
        <v>146</v>
      </c>
      <c r="U180">
        <v>0</v>
      </c>
      <c r="V180" t="s">
        <v>544</v>
      </c>
      <c r="W180" t="s">
        <v>575</v>
      </c>
      <c r="X180" s="784">
        <v>18250225995.972618</v>
      </c>
    </row>
    <row r="181" spans="1:24">
      <c r="A181" t="s">
        <v>358</v>
      </c>
      <c r="B181" t="s">
        <v>580</v>
      </c>
      <c r="C181" t="s">
        <v>187</v>
      </c>
      <c r="D181" t="s">
        <v>128</v>
      </c>
      <c r="E181" t="s">
        <v>377</v>
      </c>
      <c r="F181" t="s">
        <v>383</v>
      </c>
      <c r="G181" t="s">
        <v>98</v>
      </c>
      <c r="H181" t="s">
        <v>98</v>
      </c>
      <c r="I181" t="s">
        <v>743</v>
      </c>
      <c r="J181" t="s">
        <v>379</v>
      </c>
      <c r="K181" t="s">
        <v>546</v>
      </c>
      <c r="L181" s="784">
        <v>12800000</v>
      </c>
      <c r="M181" t="s">
        <v>745</v>
      </c>
      <c r="P181" t="s">
        <v>1887</v>
      </c>
      <c r="Q181" t="s">
        <v>406</v>
      </c>
      <c r="R181" t="s">
        <v>150</v>
      </c>
      <c r="S181" t="s">
        <v>145</v>
      </c>
      <c r="U181">
        <v>0</v>
      </c>
      <c r="V181" t="s">
        <v>541</v>
      </c>
      <c r="W181" t="s">
        <v>562</v>
      </c>
      <c r="X181" s="784">
        <v>5027591.1682657599</v>
      </c>
    </row>
    <row r="182" spans="1:24">
      <c r="A182" t="s">
        <v>358</v>
      </c>
      <c r="B182" t="s">
        <v>581</v>
      </c>
      <c r="C182" t="s">
        <v>188</v>
      </c>
      <c r="D182" t="s">
        <v>129</v>
      </c>
      <c r="E182" t="s">
        <v>377</v>
      </c>
      <c r="F182" t="s">
        <v>383</v>
      </c>
      <c r="G182" t="s">
        <v>98</v>
      </c>
      <c r="H182" t="s">
        <v>98</v>
      </c>
      <c r="I182" t="s">
        <v>743</v>
      </c>
      <c r="J182" t="s">
        <v>379</v>
      </c>
      <c r="K182" t="s">
        <v>546</v>
      </c>
      <c r="L182" s="784">
        <v>50000000</v>
      </c>
      <c r="M182" t="s">
        <v>745</v>
      </c>
      <c r="P182" t="s">
        <v>1887</v>
      </c>
      <c r="Q182" t="s">
        <v>406</v>
      </c>
      <c r="R182" t="s">
        <v>148</v>
      </c>
      <c r="S182" t="s">
        <v>145</v>
      </c>
      <c r="U182">
        <v>3</v>
      </c>
      <c r="V182" t="s">
        <v>544</v>
      </c>
      <c r="W182" t="s">
        <v>562</v>
      </c>
      <c r="X182" s="784">
        <v>234645958.63289919</v>
      </c>
    </row>
    <row r="183" spans="1:24">
      <c r="A183" t="s">
        <v>358</v>
      </c>
      <c r="B183" t="s">
        <v>582</v>
      </c>
      <c r="C183" t="s">
        <v>189</v>
      </c>
      <c r="D183" t="s">
        <v>129</v>
      </c>
      <c r="E183" t="s">
        <v>377</v>
      </c>
      <c r="F183" t="s">
        <v>383</v>
      </c>
      <c r="G183" t="s">
        <v>98</v>
      </c>
      <c r="H183" t="s">
        <v>98</v>
      </c>
      <c r="I183" t="s">
        <v>743</v>
      </c>
      <c r="J183" t="s">
        <v>379</v>
      </c>
      <c r="K183" t="s">
        <v>546</v>
      </c>
      <c r="L183" s="784">
        <v>3000000</v>
      </c>
      <c r="M183" t="s">
        <v>745</v>
      </c>
      <c r="P183" t="s">
        <v>1887</v>
      </c>
      <c r="Q183" t="s">
        <v>406</v>
      </c>
      <c r="R183" t="s">
        <v>150</v>
      </c>
      <c r="S183" t="s">
        <v>145</v>
      </c>
      <c r="U183">
        <v>2</v>
      </c>
      <c r="V183" t="s">
        <v>544</v>
      </c>
      <c r="W183" t="s">
        <v>583</v>
      </c>
      <c r="X183" s="784">
        <v>91590910.247314155</v>
      </c>
    </row>
    <row r="184" spans="1:24">
      <c r="A184" t="s">
        <v>358</v>
      </c>
      <c r="B184" t="s">
        <v>584</v>
      </c>
      <c r="C184" t="s">
        <v>190</v>
      </c>
      <c r="D184" t="s">
        <v>126</v>
      </c>
      <c r="E184" t="s">
        <v>377</v>
      </c>
      <c r="F184" t="s">
        <v>383</v>
      </c>
      <c r="G184" t="s">
        <v>98</v>
      </c>
      <c r="H184" t="s">
        <v>98</v>
      </c>
      <c r="I184" t="s">
        <v>743</v>
      </c>
      <c r="J184" t="s">
        <v>379</v>
      </c>
      <c r="K184" t="s">
        <v>546</v>
      </c>
      <c r="L184" s="784" t="s">
        <v>575</v>
      </c>
      <c r="M184" t="s">
        <v>745</v>
      </c>
      <c r="P184" t="s">
        <v>1887</v>
      </c>
      <c r="Q184" t="s">
        <v>575</v>
      </c>
      <c r="R184" t="s">
        <v>322</v>
      </c>
      <c r="S184" t="s">
        <v>146</v>
      </c>
      <c r="U184">
        <v>0</v>
      </c>
      <c r="V184" t="s">
        <v>541</v>
      </c>
      <c r="W184" t="s">
        <v>546</v>
      </c>
      <c r="X184" s="784">
        <v>8560012.8840167802</v>
      </c>
    </row>
    <row r="185" spans="1:24">
      <c r="A185" t="s">
        <v>358</v>
      </c>
      <c r="B185" t="s">
        <v>585</v>
      </c>
      <c r="C185" t="s">
        <v>191</v>
      </c>
      <c r="D185" t="s">
        <v>130</v>
      </c>
      <c r="E185" t="s">
        <v>377</v>
      </c>
      <c r="F185" t="s">
        <v>383</v>
      </c>
      <c r="G185" t="s">
        <v>98</v>
      </c>
      <c r="H185" t="s">
        <v>98</v>
      </c>
      <c r="I185" t="s">
        <v>743</v>
      </c>
      <c r="J185" t="s">
        <v>379</v>
      </c>
      <c r="K185" t="s">
        <v>546</v>
      </c>
      <c r="L185" s="784" t="s">
        <v>575</v>
      </c>
      <c r="M185" t="s">
        <v>745</v>
      </c>
      <c r="P185" t="s">
        <v>1887</v>
      </c>
      <c r="Q185" t="s">
        <v>575</v>
      </c>
      <c r="R185" t="s">
        <v>152</v>
      </c>
      <c r="S185" t="s">
        <v>146</v>
      </c>
      <c r="U185">
        <v>0</v>
      </c>
      <c r="V185" t="s">
        <v>544</v>
      </c>
      <c r="W185" t="s">
        <v>546</v>
      </c>
      <c r="X185" s="784">
        <v>3292372960.3962669</v>
      </c>
    </row>
    <row r="186" spans="1:24">
      <c r="A186" t="s">
        <v>358</v>
      </c>
      <c r="B186" t="s">
        <v>586</v>
      </c>
      <c r="C186" t="s">
        <v>192</v>
      </c>
      <c r="D186" t="s">
        <v>129</v>
      </c>
      <c r="E186" t="s">
        <v>377</v>
      </c>
      <c r="F186" t="s">
        <v>383</v>
      </c>
      <c r="G186" t="s">
        <v>98</v>
      </c>
      <c r="H186" t="s">
        <v>98</v>
      </c>
      <c r="I186" t="s">
        <v>743</v>
      </c>
      <c r="J186" t="s">
        <v>379</v>
      </c>
      <c r="K186" t="s">
        <v>546</v>
      </c>
      <c r="L186" s="784">
        <v>31900000</v>
      </c>
      <c r="M186" t="s">
        <v>745</v>
      </c>
      <c r="P186" t="s">
        <v>1887</v>
      </c>
      <c r="Q186" t="s">
        <v>406</v>
      </c>
      <c r="R186" t="s">
        <v>150</v>
      </c>
      <c r="S186" t="s">
        <v>145</v>
      </c>
      <c r="U186">
        <v>0</v>
      </c>
      <c r="V186" t="s">
        <v>544</v>
      </c>
      <c r="W186" t="s">
        <v>562</v>
      </c>
      <c r="X186" s="784">
        <v>519209981.22981054</v>
      </c>
    </row>
    <row r="187" spans="1:24">
      <c r="A187" t="s">
        <v>358</v>
      </c>
      <c r="B187" t="s">
        <v>587</v>
      </c>
      <c r="C187" t="s">
        <v>193</v>
      </c>
      <c r="D187" t="s">
        <v>127</v>
      </c>
      <c r="E187" t="s">
        <v>377</v>
      </c>
      <c r="F187" t="s">
        <v>383</v>
      </c>
      <c r="G187" t="s">
        <v>98</v>
      </c>
      <c r="H187" t="s">
        <v>98</v>
      </c>
      <c r="I187" t="s">
        <v>743</v>
      </c>
      <c r="J187" t="s">
        <v>379</v>
      </c>
      <c r="K187" t="s">
        <v>546</v>
      </c>
      <c r="L187" s="784" t="s">
        <v>575</v>
      </c>
      <c r="M187" t="s">
        <v>745</v>
      </c>
      <c r="P187" t="s">
        <v>1887</v>
      </c>
      <c r="Q187" t="s">
        <v>575</v>
      </c>
      <c r="R187" t="s">
        <v>550</v>
      </c>
      <c r="S187" t="s">
        <v>146</v>
      </c>
      <c r="U187">
        <v>0</v>
      </c>
      <c r="V187" t="s">
        <v>544</v>
      </c>
      <c r="W187" t="s">
        <v>575</v>
      </c>
      <c r="X187" s="784">
        <v>3464739907.1604805</v>
      </c>
    </row>
    <row r="188" spans="1:24">
      <c r="A188" t="s">
        <v>358</v>
      </c>
      <c r="B188" t="s">
        <v>588</v>
      </c>
      <c r="C188" t="s">
        <v>147</v>
      </c>
      <c r="D188" t="s">
        <v>130</v>
      </c>
      <c r="E188" t="s">
        <v>377</v>
      </c>
      <c r="F188" t="s">
        <v>383</v>
      </c>
      <c r="G188" t="s">
        <v>98</v>
      </c>
      <c r="H188" t="s">
        <v>98</v>
      </c>
      <c r="I188" t="s">
        <v>743</v>
      </c>
      <c r="J188" t="s">
        <v>379</v>
      </c>
      <c r="K188" t="s">
        <v>546</v>
      </c>
      <c r="L188" s="784" t="s">
        <v>575</v>
      </c>
      <c r="M188" t="s">
        <v>745</v>
      </c>
      <c r="P188" t="s">
        <v>1887</v>
      </c>
      <c r="Q188" t="s">
        <v>575</v>
      </c>
      <c r="R188" t="s">
        <v>152</v>
      </c>
      <c r="S188" t="s">
        <v>146</v>
      </c>
      <c r="U188">
        <v>0</v>
      </c>
      <c r="V188" t="s">
        <v>541</v>
      </c>
      <c r="W188" t="s">
        <v>575</v>
      </c>
      <c r="X188" s="784">
        <v>9948521252.2569065</v>
      </c>
    </row>
    <row r="189" spans="1:24">
      <c r="A189" t="s">
        <v>358</v>
      </c>
      <c r="B189" t="s">
        <v>589</v>
      </c>
      <c r="C189" t="s">
        <v>194</v>
      </c>
      <c r="D189" t="s">
        <v>131</v>
      </c>
      <c r="E189" t="s">
        <v>377</v>
      </c>
      <c r="F189" t="s">
        <v>383</v>
      </c>
      <c r="G189" t="s">
        <v>98</v>
      </c>
      <c r="H189" t="s">
        <v>98</v>
      </c>
      <c r="I189" t="s">
        <v>743</v>
      </c>
      <c r="J189" t="s">
        <v>379</v>
      </c>
      <c r="K189" t="s">
        <v>546</v>
      </c>
      <c r="L189" s="784" t="s">
        <v>575</v>
      </c>
      <c r="M189" t="s">
        <v>745</v>
      </c>
      <c r="P189" t="s">
        <v>1887</v>
      </c>
      <c r="Q189" t="s">
        <v>575</v>
      </c>
      <c r="R189" t="s">
        <v>150</v>
      </c>
      <c r="S189" t="s">
        <v>145</v>
      </c>
      <c r="U189">
        <v>1</v>
      </c>
      <c r="V189" t="s">
        <v>544</v>
      </c>
      <c r="W189" t="s">
        <v>542</v>
      </c>
      <c r="X189" s="784">
        <v>33679192.765657313</v>
      </c>
    </row>
    <row r="190" spans="1:24">
      <c r="A190" t="s">
        <v>358</v>
      </c>
      <c r="B190" t="s">
        <v>590</v>
      </c>
      <c r="C190" t="s">
        <v>195</v>
      </c>
      <c r="D190" t="s">
        <v>130</v>
      </c>
      <c r="E190" t="s">
        <v>377</v>
      </c>
      <c r="F190" t="s">
        <v>383</v>
      </c>
      <c r="G190" t="s">
        <v>98</v>
      </c>
      <c r="H190" t="s">
        <v>98</v>
      </c>
      <c r="I190" t="s">
        <v>743</v>
      </c>
      <c r="J190" t="s">
        <v>379</v>
      </c>
      <c r="K190" t="s">
        <v>546</v>
      </c>
      <c r="L190" s="784" t="s">
        <v>575</v>
      </c>
      <c r="M190" t="s">
        <v>745</v>
      </c>
      <c r="P190" t="s">
        <v>1887</v>
      </c>
      <c r="Q190" t="s">
        <v>575</v>
      </c>
      <c r="R190" t="s">
        <v>152</v>
      </c>
      <c r="S190" t="s">
        <v>145</v>
      </c>
      <c r="U190">
        <v>0</v>
      </c>
      <c r="V190" t="s">
        <v>541</v>
      </c>
      <c r="W190" t="s">
        <v>548</v>
      </c>
      <c r="X190" s="784">
        <v>22784494.365742501</v>
      </c>
    </row>
    <row r="191" spans="1:24">
      <c r="A191" t="s">
        <v>358</v>
      </c>
      <c r="B191" t="s">
        <v>591</v>
      </c>
      <c r="C191" t="s">
        <v>196</v>
      </c>
      <c r="D191" t="s">
        <v>130</v>
      </c>
      <c r="E191" t="s">
        <v>377</v>
      </c>
      <c r="F191" t="s">
        <v>383</v>
      </c>
      <c r="G191" t="s">
        <v>98</v>
      </c>
      <c r="H191" t="s">
        <v>98</v>
      </c>
      <c r="I191" t="s">
        <v>743</v>
      </c>
      <c r="J191" t="s">
        <v>379</v>
      </c>
      <c r="K191" t="s">
        <v>546</v>
      </c>
      <c r="L191" s="784" t="s">
        <v>575</v>
      </c>
      <c r="M191" t="s">
        <v>745</v>
      </c>
      <c r="P191" t="s">
        <v>1887</v>
      </c>
      <c r="Q191" t="s">
        <v>575</v>
      </c>
      <c r="R191" t="s">
        <v>152</v>
      </c>
      <c r="S191" t="s">
        <v>146</v>
      </c>
      <c r="U191">
        <v>0</v>
      </c>
      <c r="V191" t="s">
        <v>541</v>
      </c>
      <c r="W191" t="s">
        <v>575</v>
      </c>
      <c r="X191" s="784">
        <v>2173208011.4858823</v>
      </c>
    </row>
    <row r="192" spans="1:24">
      <c r="A192" t="s">
        <v>358</v>
      </c>
      <c r="B192" t="s">
        <v>592</v>
      </c>
      <c r="C192" t="s">
        <v>197</v>
      </c>
      <c r="D192" t="s">
        <v>130</v>
      </c>
      <c r="E192" t="s">
        <v>377</v>
      </c>
      <c r="F192" t="s">
        <v>383</v>
      </c>
      <c r="G192" t="s">
        <v>98</v>
      </c>
      <c r="H192" t="s">
        <v>98</v>
      </c>
      <c r="I192" t="s">
        <v>743</v>
      </c>
      <c r="J192" t="s">
        <v>379</v>
      </c>
      <c r="K192" t="s">
        <v>546</v>
      </c>
      <c r="L192" s="784">
        <v>30100000</v>
      </c>
      <c r="M192" t="s">
        <v>745</v>
      </c>
      <c r="P192" t="s">
        <v>1887</v>
      </c>
      <c r="Q192" t="s">
        <v>406</v>
      </c>
      <c r="R192" t="s">
        <v>152</v>
      </c>
      <c r="S192" t="s">
        <v>146</v>
      </c>
      <c r="U192">
        <v>0</v>
      </c>
      <c r="V192" t="s">
        <v>544</v>
      </c>
      <c r="W192" t="s">
        <v>546</v>
      </c>
      <c r="X192" s="784">
        <v>4585736158.8323269</v>
      </c>
    </row>
    <row r="193" spans="1:24">
      <c r="A193" t="s">
        <v>358</v>
      </c>
      <c r="B193" t="s">
        <v>593</v>
      </c>
      <c r="C193" t="s">
        <v>198</v>
      </c>
      <c r="D193" t="s">
        <v>131</v>
      </c>
      <c r="E193" t="s">
        <v>377</v>
      </c>
      <c r="F193" t="s">
        <v>383</v>
      </c>
      <c r="G193" t="s">
        <v>98</v>
      </c>
      <c r="H193" t="s">
        <v>98</v>
      </c>
      <c r="I193" t="s">
        <v>743</v>
      </c>
      <c r="J193" t="s">
        <v>379</v>
      </c>
      <c r="K193" t="s">
        <v>546</v>
      </c>
      <c r="L193" s="784">
        <v>0</v>
      </c>
      <c r="M193" t="s">
        <v>745</v>
      </c>
      <c r="P193" t="s">
        <v>1887</v>
      </c>
      <c r="Q193" t="s">
        <v>575</v>
      </c>
      <c r="R193" t="s">
        <v>150</v>
      </c>
      <c r="S193" t="s">
        <v>145</v>
      </c>
      <c r="U193">
        <v>0</v>
      </c>
      <c r="V193" t="s">
        <v>544</v>
      </c>
      <c r="W193" t="s">
        <v>546</v>
      </c>
      <c r="X193" s="784">
        <v>3550291584.8645592</v>
      </c>
    </row>
    <row r="194" spans="1:24">
      <c r="A194" t="s">
        <v>358</v>
      </c>
      <c r="B194" t="s">
        <v>594</v>
      </c>
      <c r="C194" t="s">
        <v>199</v>
      </c>
      <c r="D194" t="s">
        <v>130</v>
      </c>
      <c r="E194" t="s">
        <v>377</v>
      </c>
      <c r="F194" t="s">
        <v>383</v>
      </c>
      <c r="G194" t="s">
        <v>98</v>
      </c>
      <c r="H194" t="s">
        <v>98</v>
      </c>
      <c r="I194" t="s">
        <v>743</v>
      </c>
      <c r="J194" t="s">
        <v>379</v>
      </c>
      <c r="K194" t="s">
        <v>546</v>
      </c>
      <c r="L194" s="784">
        <v>26000000</v>
      </c>
      <c r="M194" t="s">
        <v>745</v>
      </c>
      <c r="P194" t="s">
        <v>1887</v>
      </c>
      <c r="Q194" t="s">
        <v>406</v>
      </c>
      <c r="R194" t="s">
        <v>150</v>
      </c>
      <c r="S194" t="s">
        <v>145</v>
      </c>
      <c r="U194">
        <v>0</v>
      </c>
      <c r="V194" t="s">
        <v>544</v>
      </c>
      <c r="W194" t="s">
        <v>546</v>
      </c>
      <c r="X194" s="784">
        <v>1182840319.0410969</v>
      </c>
    </row>
    <row r="195" spans="1:24">
      <c r="A195" t="s">
        <v>358</v>
      </c>
      <c r="B195" t="s">
        <v>595</v>
      </c>
      <c r="C195" t="s">
        <v>200</v>
      </c>
      <c r="D195" t="s">
        <v>130</v>
      </c>
      <c r="E195" t="s">
        <v>377</v>
      </c>
      <c r="F195" t="s">
        <v>383</v>
      </c>
      <c r="G195" t="s">
        <v>98</v>
      </c>
      <c r="H195" t="s">
        <v>98</v>
      </c>
      <c r="I195" t="s">
        <v>743</v>
      </c>
      <c r="J195" t="s">
        <v>379</v>
      </c>
      <c r="K195" t="s">
        <v>546</v>
      </c>
      <c r="L195" s="784" t="s">
        <v>575</v>
      </c>
      <c r="M195" t="s">
        <v>745</v>
      </c>
      <c r="P195" t="s">
        <v>1887</v>
      </c>
      <c r="Q195" t="s">
        <v>575</v>
      </c>
      <c r="R195" t="s">
        <v>152</v>
      </c>
      <c r="S195" t="s">
        <v>146</v>
      </c>
      <c r="U195">
        <v>0</v>
      </c>
      <c r="V195" t="s">
        <v>544</v>
      </c>
      <c r="W195" t="s">
        <v>575</v>
      </c>
      <c r="X195" s="784">
        <v>81728347.604567245</v>
      </c>
    </row>
    <row r="196" spans="1:24">
      <c r="A196" t="s">
        <v>358</v>
      </c>
      <c r="B196" t="s">
        <v>596</v>
      </c>
      <c r="C196" t="s">
        <v>201</v>
      </c>
      <c r="D196" t="s">
        <v>128</v>
      </c>
      <c r="E196" t="s">
        <v>377</v>
      </c>
      <c r="F196" t="s">
        <v>383</v>
      </c>
      <c r="G196" t="s">
        <v>98</v>
      </c>
      <c r="H196" t="s">
        <v>98</v>
      </c>
      <c r="I196" t="s">
        <v>743</v>
      </c>
      <c r="J196" t="s">
        <v>379</v>
      </c>
      <c r="K196" t="s">
        <v>546</v>
      </c>
      <c r="L196" s="784" t="s">
        <v>575</v>
      </c>
      <c r="M196" t="s">
        <v>745</v>
      </c>
      <c r="P196" t="s">
        <v>1887</v>
      </c>
      <c r="Q196" t="s">
        <v>575</v>
      </c>
      <c r="R196" t="s">
        <v>148</v>
      </c>
      <c r="S196" t="s">
        <v>145</v>
      </c>
      <c r="U196">
        <v>2</v>
      </c>
      <c r="V196" t="s">
        <v>544</v>
      </c>
      <c r="W196" t="s">
        <v>546</v>
      </c>
      <c r="X196" s="784">
        <v>12787914.977715338</v>
      </c>
    </row>
    <row r="197" spans="1:24">
      <c r="A197" t="s">
        <v>358</v>
      </c>
      <c r="B197" t="s">
        <v>597</v>
      </c>
      <c r="C197" t="s">
        <v>202</v>
      </c>
      <c r="D197" t="s">
        <v>128</v>
      </c>
      <c r="E197" t="s">
        <v>377</v>
      </c>
      <c r="F197" t="s">
        <v>383</v>
      </c>
      <c r="G197" t="s">
        <v>98</v>
      </c>
      <c r="H197" t="s">
        <v>98</v>
      </c>
      <c r="I197" t="s">
        <v>743</v>
      </c>
      <c r="J197" t="s">
        <v>379</v>
      </c>
      <c r="K197" t="s">
        <v>546</v>
      </c>
      <c r="L197" s="784">
        <v>3700000</v>
      </c>
      <c r="M197" t="s">
        <v>745</v>
      </c>
      <c r="P197" t="s">
        <v>1887</v>
      </c>
      <c r="Q197" t="s">
        <v>406</v>
      </c>
      <c r="R197" t="s">
        <v>150</v>
      </c>
      <c r="S197" t="s">
        <v>145</v>
      </c>
      <c r="U197">
        <v>2</v>
      </c>
      <c r="V197" t="s">
        <v>544</v>
      </c>
      <c r="W197" t="s">
        <v>546</v>
      </c>
      <c r="X197" s="784">
        <v>101271737.65410839</v>
      </c>
    </row>
    <row r="198" spans="1:24">
      <c r="A198" t="s">
        <v>358</v>
      </c>
      <c r="B198" t="s">
        <v>598</v>
      </c>
      <c r="C198" t="s">
        <v>203</v>
      </c>
      <c r="D198" t="s">
        <v>128</v>
      </c>
      <c r="E198" t="s">
        <v>377</v>
      </c>
      <c r="F198" t="s">
        <v>383</v>
      </c>
      <c r="G198" t="s">
        <v>98</v>
      </c>
      <c r="H198" t="s">
        <v>98</v>
      </c>
      <c r="I198" t="s">
        <v>743</v>
      </c>
      <c r="J198" t="s">
        <v>379</v>
      </c>
      <c r="K198" t="s">
        <v>546</v>
      </c>
      <c r="L198" s="784">
        <v>167200000</v>
      </c>
      <c r="M198" t="s">
        <v>745</v>
      </c>
      <c r="P198" t="s">
        <v>1887</v>
      </c>
      <c r="Q198" t="s">
        <v>406</v>
      </c>
      <c r="R198" t="s">
        <v>148</v>
      </c>
      <c r="S198" t="s">
        <v>145</v>
      </c>
      <c r="U198">
        <v>3</v>
      </c>
      <c r="V198" t="s">
        <v>544</v>
      </c>
      <c r="W198" t="s">
        <v>542</v>
      </c>
      <c r="X198" s="784">
        <v>618344226.71759331</v>
      </c>
    </row>
    <row r="199" spans="1:24">
      <c r="A199" t="s">
        <v>358</v>
      </c>
      <c r="B199" t="s">
        <v>599</v>
      </c>
      <c r="C199" t="s">
        <v>204</v>
      </c>
      <c r="D199" t="s">
        <v>126</v>
      </c>
      <c r="E199" t="s">
        <v>377</v>
      </c>
      <c r="F199" t="s">
        <v>383</v>
      </c>
      <c r="G199" t="s">
        <v>98</v>
      </c>
      <c r="H199" t="s">
        <v>98</v>
      </c>
      <c r="I199" t="s">
        <v>743</v>
      </c>
      <c r="J199" t="s">
        <v>379</v>
      </c>
      <c r="K199" t="s">
        <v>546</v>
      </c>
      <c r="L199" s="784" t="s">
        <v>575</v>
      </c>
      <c r="M199" t="s">
        <v>745</v>
      </c>
      <c r="P199" t="s">
        <v>1887</v>
      </c>
      <c r="Q199" t="s">
        <v>575</v>
      </c>
      <c r="R199" t="s">
        <v>152</v>
      </c>
      <c r="S199" t="s">
        <v>145</v>
      </c>
      <c r="U199">
        <v>0</v>
      </c>
      <c r="V199" t="s">
        <v>541</v>
      </c>
      <c r="W199" t="s">
        <v>548</v>
      </c>
      <c r="X199" s="784">
        <v>129483872.95906857</v>
      </c>
    </row>
    <row r="200" spans="1:24">
      <c r="A200" t="s">
        <v>358</v>
      </c>
      <c r="B200" t="s">
        <v>600</v>
      </c>
      <c r="C200" t="s">
        <v>205</v>
      </c>
      <c r="D200" t="s">
        <v>129</v>
      </c>
      <c r="E200" t="s">
        <v>377</v>
      </c>
      <c r="F200" t="s">
        <v>383</v>
      </c>
      <c r="G200" t="s">
        <v>98</v>
      </c>
      <c r="H200" t="s">
        <v>98</v>
      </c>
      <c r="I200" t="s">
        <v>743</v>
      </c>
      <c r="J200" t="s">
        <v>379</v>
      </c>
      <c r="K200" t="s">
        <v>546</v>
      </c>
      <c r="L200" s="784">
        <v>2900000</v>
      </c>
      <c r="M200" t="s">
        <v>745</v>
      </c>
      <c r="P200" t="s">
        <v>1887</v>
      </c>
      <c r="Q200" t="s">
        <v>406</v>
      </c>
      <c r="R200" t="s">
        <v>152</v>
      </c>
      <c r="S200" t="s">
        <v>146</v>
      </c>
      <c r="U200">
        <v>0</v>
      </c>
      <c r="V200" t="s">
        <v>544</v>
      </c>
      <c r="W200" t="s">
        <v>546</v>
      </c>
      <c r="X200" s="784">
        <v>271184658.35014349</v>
      </c>
    </row>
    <row r="201" spans="1:24">
      <c r="A201" t="s">
        <v>358</v>
      </c>
      <c r="B201" t="s">
        <v>601</v>
      </c>
      <c r="C201" t="s">
        <v>206</v>
      </c>
      <c r="D201" t="s">
        <v>129</v>
      </c>
      <c r="E201" t="s">
        <v>377</v>
      </c>
      <c r="F201" t="s">
        <v>383</v>
      </c>
      <c r="G201" t="s">
        <v>98</v>
      </c>
      <c r="H201" t="s">
        <v>98</v>
      </c>
      <c r="I201" t="s">
        <v>743</v>
      </c>
      <c r="J201" t="s">
        <v>379</v>
      </c>
      <c r="K201" t="s">
        <v>546</v>
      </c>
      <c r="L201" s="784">
        <v>1600000</v>
      </c>
      <c r="M201" t="s">
        <v>745</v>
      </c>
      <c r="P201" t="s">
        <v>1887</v>
      </c>
      <c r="Q201" t="s">
        <v>406</v>
      </c>
      <c r="R201" t="s">
        <v>148</v>
      </c>
      <c r="S201" t="s">
        <v>145</v>
      </c>
      <c r="U201">
        <v>0</v>
      </c>
      <c r="V201" t="s">
        <v>544</v>
      </c>
      <c r="W201" t="s">
        <v>542</v>
      </c>
      <c r="X201" s="784">
        <v>15455265.086884515</v>
      </c>
    </row>
    <row r="202" spans="1:24">
      <c r="A202" t="s">
        <v>358</v>
      </c>
      <c r="B202" t="s">
        <v>602</v>
      </c>
      <c r="C202" t="s">
        <v>207</v>
      </c>
      <c r="D202" t="s">
        <v>127</v>
      </c>
      <c r="E202" t="s">
        <v>377</v>
      </c>
      <c r="F202" t="s">
        <v>383</v>
      </c>
      <c r="G202" t="s">
        <v>98</v>
      </c>
      <c r="H202" t="s">
        <v>98</v>
      </c>
      <c r="I202" t="s">
        <v>743</v>
      </c>
      <c r="J202" t="s">
        <v>379</v>
      </c>
      <c r="K202" t="s">
        <v>546</v>
      </c>
      <c r="L202" s="784">
        <v>1100000</v>
      </c>
      <c r="M202" t="s">
        <v>745</v>
      </c>
      <c r="P202" t="s">
        <v>1887</v>
      </c>
      <c r="Q202" t="s">
        <v>406</v>
      </c>
      <c r="R202" t="s">
        <v>152</v>
      </c>
      <c r="S202" t="s">
        <v>146</v>
      </c>
      <c r="U202">
        <v>0</v>
      </c>
      <c r="V202" t="s">
        <v>544</v>
      </c>
      <c r="W202" t="s">
        <v>546</v>
      </c>
      <c r="X202" s="784">
        <v>494021502.525527</v>
      </c>
    </row>
    <row r="203" spans="1:24">
      <c r="A203" t="s">
        <v>358</v>
      </c>
      <c r="B203" t="s">
        <v>603</v>
      </c>
      <c r="C203" t="s">
        <v>208</v>
      </c>
      <c r="D203" t="s">
        <v>129</v>
      </c>
      <c r="E203" t="s">
        <v>377</v>
      </c>
      <c r="F203" t="s">
        <v>383</v>
      </c>
      <c r="G203" t="s">
        <v>98</v>
      </c>
      <c r="H203" t="s">
        <v>98</v>
      </c>
      <c r="I203" t="s">
        <v>743</v>
      </c>
      <c r="J203" t="s">
        <v>379</v>
      </c>
      <c r="K203" t="s">
        <v>546</v>
      </c>
      <c r="L203" s="784">
        <v>7000000</v>
      </c>
      <c r="M203" t="s">
        <v>745</v>
      </c>
      <c r="P203" t="s">
        <v>1887</v>
      </c>
      <c r="Q203" t="s">
        <v>406</v>
      </c>
      <c r="R203" t="s">
        <v>150</v>
      </c>
      <c r="S203" t="s">
        <v>145</v>
      </c>
      <c r="U203">
        <v>0</v>
      </c>
      <c r="V203" t="s">
        <v>544</v>
      </c>
      <c r="W203" t="s">
        <v>542</v>
      </c>
      <c r="X203" s="784">
        <v>902005621.73836684</v>
      </c>
    </row>
    <row r="204" spans="1:24">
      <c r="A204" t="s">
        <v>358</v>
      </c>
      <c r="B204" t="s">
        <v>604</v>
      </c>
      <c r="C204" t="s">
        <v>209</v>
      </c>
      <c r="D204" t="s">
        <v>130</v>
      </c>
      <c r="E204" t="s">
        <v>377</v>
      </c>
      <c r="F204" t="s">
        <v>383</v>
      </c>
      <c r="G204" t="s">
        <v>98</v>
      </c>
      <c r="H204" t="s">
        <v>98</v>
      </c>
      <c r="I204" t="s">
        <v>743</v>
      </c>
      <c r="J204" t="s">
        <v>379</v>
      </c>
      <c r="K204" t="s">
        <v>546</v>
      </c>
      <c r="L204" s="784" t="s">
        <v>575</v>
      </c>
      <c r="M204" t="s">
        <v>745</v>
      </c>
      <c r="P204" t="s">
        <v>1887</v>
      </c>
      <c r="Q204" t="s">
        <v>575</v>
      </c>
      <c r="R204" t="s">
        <v>152</v>
      </c>
      <c r="S204" t="s">
        <v>145</v>
      </c>
      <c r="U204">
        <v>0</v>
      </c>
      <c r="V204" t="s">
        <v>541</v>
      </c>
      <c r="W204" t="s">
        <v>583</v>
      </c>
      <c r="X204" s="784">
        <v>20201670.142996579</v>
      </c>
    </row>
    <row r="205" spans="1:24">
      <c r="A205" t="s">
        <v>358</v>
      </c>
      <c r="B205" t="s">
        <v>605</v>
      </c>
      <c r="C205" t="s">
        <v>210</v>
      </c>
      <c r="D205" t="s">
        <v>130</v>
      </c>
      <c r="E205" t="s">
        <v>377</v>
      </c>
      <c r="F205" t="s">
        <v>383</v>
      </c>
      <c r="G205" t="s">
        <v>98</v>
      </c>
      <c r="H205" t="s">
        <v>98</v>
      </c>
      <c r="I205" t="s">
        <v>743</v>
      </c>
      <c r="J205" t="s">
        <v>379</v>
      </c>
      <c r="K205" t="s">
        <v>546</v>
      </c>
      <c r="L205" s="784" t="s">
        <v>575</v>
      </c>
      <c r="M205" t="s">
        <v>745</v>
      </c>
      <c r="P205" t="s">
        <v>1887</v>
      </c>
      <c r="Q205" t="s">
        <v>575</v>
      </c>
      <c r="R205" t="s">
        <v>152</v>
      </c>
      <c r="S205" t="s">
        <v>146</v>
      </c>
      <c r="U205">
        <v>0</v>
      </c>
      <c r="V205" t="s">
        <v>544</v>
      </c>
      <c r="W205" t="s">
        <v>575</v>
      </c>
      <c r="X205" s="784">
        <v>1612434649.6948864</v>
      </c>
    </row>
    <row r="206" spans="1:24">
      <c r="A206" t="s">
        <v>358</v>
      </c>
      <c r="B206" t="s">
        <v>606</v>
      </c>
      <c r="C206" t="s">
        <v>211</v>
      </c>
      <c r="D206" t="s">
        <v>129</v>
      </c>
      <c r="E206" t="s">
        <v>377</v>
      </c>
      <c r="F206" t="s">
        <v>383</v>
      </c>
      <c r="G206" t="s">
        <v>98</v>
      </c>
      <c r="H206" t="s">
        <v>98</v>
      </c>
      <c r="I206" t="s">
        <v>743</v>
      </c>
      <c r="J206" t="s">
        <v>379</v>
      </c>
      <c r="K206" t="s">
        <v>546</v>
      </c>
      <c r="L206" s="784">
        <v>10600000</v>
      </c>
      <c r="M206" t="s">
        <v>745</v>
      </c>
      <c r="P206" t="s">
        <v>1887</v>
      </c>
      <c r="Q206" t="s">
        <v>406</v>
      </c>
      <c r="R206" t="s">
        <v>148</v>
      </c>
      <c r="S206" t="s">
        <v>145</v>
      </c>
      <c r="U206">
        <v>0</v>
      </c>
      <c r="V206" t="s">
        <v>544</v>
      </c>
      <c r="W206" t="s">
        <v>562</v>
      </c>
      <c r="X206" s="784">
        <v>78203134.118229344</v>
      </c>
    </row>
    <row r="207" spans="1:24">
      <c r="A207" t="s">
        <v>358</v>
      </c>
      <c r="B207" t="s">
        <v>607</v>
      </c>
      <c r="C207" t="s">
        <v>212</v>
      </c>
      <c r="D207" t="s">
        <v>129</v>
      </c>
      <c r="E207" t="s">
        <v>377</v>
      </c>
      <c r="F207" t="s">
        <v>383</v>
      </c>
      <c r="G207" t="s">
        <v>98</v>
      </c>
      <c r="H207" t="s">
        <v>98</v>
      </c>
      <c r="I207" t="s">
        <v>743</v>
      </c>
      <c r="J207" t="s">
        <v>379</v>
      </c>
      <c r="K207" t="s">
        <v>546</v>
      </c>
      <c r="L207" s="784">
        <v>2100000</v>
      </c>
      <c r="M207" t="s">
        <v>745</v>
      </c>
      <c r="P207" t="s">
        <v>1887</v>
      </c>
      <c r="Q207" t="s">
        <v>406</v>
      </c>
      <c r="R207" t="s">
        <v>148</v>
      </c>
      <c r="S207" t="s">
        <v>145</v>
      </c>
      <c r="U207">
        <v>2</v>
      </c>
      <c r="V207" t="s">
        <v>541</v>
      </c>
      <c r="W207" t="s">
        <v>542</v>
      </c>
      <c r="X207" s="784">
        <v>9151637.7411015611</v>
      </c>
    </row>
    <row r="208" spans="1:24">
      <c r="A208" t="s">
        <v>358</v>
      </c>
      <c r="B208" t="s">
        <v>608</v>
      </c>
      <c r="C208" t="s">
        <v>213</v>
      </c>
      <c r="D208" t="s">
        <v>130</v>
      </c>
      <c r="E208" t="s">
        <v>377</v>
      </c>
      <c r="F208" t="s">
        <v>383</v>
      </c>
      <c r="G208" t="s">
        <v>98</v>
      </c>
      <c r="H208" t="s">
        <v>98</v>
      </c>
      <c r="I208" t="s">
        <v>743</v>
      </c>
      <c r="J208" t="s">
        <v>379</v>
      </c>
      <c r="K208" t="s">
        <v>546</v>
      </c>
      <c r="L208" s="784">
        <v>200000</v>
      </c>
      <c r="M208" t="s">
        <v>745</v>
      </c>
      <c r="P208" t="s">
        <v>1887</v>
      </c>
      <c r="Q208" t="s">
        <v>406</v>
      </c>
      <c r="R208" t="s">
        <v>152</v>
      </c>
      <c r="S208" t="s">
        <v>145</v>
      </c>
      <c r="U208">
        <v>0</v>
      </c>
      <c r="V208" t="s">
        <v>541</v>
      </c>
      <c r="W208" t="s">
        <v>562</v>
      </c>
      <c r="X208" s="784">
        <v>142455920.02856269</v>
      </c>
    </row>
    <row r="209" spans="1:24">
      <c r="A209" t="s">
        <v>358</v>
      </c>
      <c r="B209" t="s">
        <v>609</v>
      </c>
      <c r="C209" t="s">
        <v>214</v>
      </c>
      <c r="D209" t="s">
        <v>130</v>
      </c>
      <c r="E209" t="s">
        <v>377</v>
      </c>
      <c r="F209" t="s">
        <v>383</v>
      </c>
      <c r="G209" t="s">
        <v>98</v>
      </c>
      <c r="H209" t="s">
        <v>98</v>
      </c>
      <c r="I209" t="s">
        <v>743</v>
      </c>
      <c r="J209" t="s">
        <v>379</v>
      </c>
      <c r="K209" t="s">
        <v>546</v>
      </c>
      <c r="L209" s="784" t="s">
        <v>575</v>
      </c>
      <c r="M209" t="s">
        <v>745</v>
      </c>
      <c r="P209" t="s">
        <v>1887</v>
      </c>
      <c r="Q209" t="s">
        <v>575</v>
      </c>
      <c r="R209" t="s">
        <v>150</v>
      </c>
      <c r="S209" t="s">
        <v>145</v>
      </c>
      <c r="U209">
        <v>1</v>
      </c>
      <c r="V209" t="s">
        <v>541</v>
      </c>
      <c r="W209" t="s">
        <v>542</v>
      </c>
      <c r="X209" s="784">
        <v>85611818.171245083</v>
      </c>
    </row>
    <row r="210" spans="1:24">
      <c r="A210" t="s">
        <v>358</v>
      </c>
      <c r="B210" t="s">
        <v>610</v>
      </c>
      <c r="C210" t="s">
        <v>215</v>
      </c>
      <c r="D210" t="s">
        <v>130</v>
      </c>
      <c r="E210" t="s">
        <v>377</v>
      </c>
      <c r="F210" t="s">
        <v>383</v>
      </c>
      <c r="G210" t="s">
        <v>98</v>
      </c>
      <c r="H210" t="s">
        <v>98</v>
      </c>
      <c r="I210" t="s">
        <v>743</v>
      </c>
      <c r="J210" t="s">
        <v>379</v>
      </c>
      <c r="K210" t="s">
        <v>546</v>
      </c>
      <c r="L210" s="784">
        <v>13800000</v>
      </c>
      <c r="M210" t="s">
        <v>745</v>
      </c>
      <c r="P210" t="s">
        <v>1887</v>
      </c>
      <c r="Q210" t="s">
        <v>406</v>
      </c>
      <c r="R210" t="s">
        <v>150</v>
      </c>
      <c r="S210" t="s">
        <v>145</v>
      </c>
      <c r="U210">
        <v>0</v>
      </c>
      <c r="V210" t="s">
        <v>544</v>
      </c>
      <c r="W210" t="s">
        <v>558</v>
      </c>
      <c r="X210" s="784">
        <v>680289736.30082119</v>
      </c>
    </row>
    <row r="211" spans="1:24">
      <c r="A211" t="s">
        <v>358</v>
      </c>
      <c r="B211" t="s">
        <v>611</v>
      </c>
      <c r="C211" t="s">
        <v>216</v>
      </c>
      <c r="D211" t="s">
        <v>132</v>
      </c>
      <c r="E211" t="s">
        <v>377</v>
      </c>
      <c r="F211" t="s">
        <v>383</v>
      </c>
      <c r="G211" t="s">
        <v>98</v>
      </c>
      <c r="H211" t="s">
        <v>98</v>
      </c>
      <c r="I211" t="s">
        <v>743</v>
      </c>
      <c r="J211" t="s">
        <v>379</v>
      </c>
      <c r="K211" t="s">
        <v>546</v>
      </c>
      <c r="L211" s="784" t="s">
        <v>575</v>
      </c>
      <c r="M211" t="s">
        <v>745</v>
      </c>
      <c r="P211" t="s">
        <v>1887</v>
      </c>
      <c r="Q211" t="s">
        <v>575</v>
      </c>
      <c r="R211" t="s">
        <v>150</v>
      </c>
      <c r="S211" t="s">
        <v>145</v>
      </c>
      <c r="U211">
        <v>0</v>
      </c>
      <c r="V211" t="s">
        <v>544</v>
      </c>
      <c r="W211" t="s">
        <v>546</v>
      </c>
      <c r="X211" s="784">
        <v>26554332750.47023</v>
      </c>
    </row>
    <row r="212" spans="1:24">
      <c r="A212" t="s">
        <v>358</v>
      </c>
      <c r="B212" t="s">
        <v>612</v>
      </c>
      <c r="C212" t="s">
        <v>217</v>
      </c>
      <c r="D212" t="s">
        <v>126</v>
      </c>
      <c r="E212" t="s">
        <v>377</v>
      </c>
      <c r="F212" t="s">
        <v>383</v>
      </c>
      <c r="G212" t="s">
        <v>98</v>
      </c>
      <c r="H212" t="s">
        <v>98</v>
      </c>
      <c r="I212" t="s">
        <v>743</v>
      </c>
      <c r="J212" t="s">
        <v>379</v>
      </c>
      <c r="K212" t="s">
        <v>546</v>
      </c>
      <c r="L212" s="784">
        <v>258300000</v>
      </c>
      <c r="M212" t="s">
        <v>745</v>
      </c>
      <c r="P212" t="s">
        <v>1887</v>
      </c>
      <c r="Q212" t="s">
        <v>406</v>
      </c>
      <c r="R212" t="s">
        <v>150</v>
      </c>
      <c r="S212" t="s">
        <v>145</v>
      </c>
      <c r="U212">
        <v>0</v>
      </c>
      <c r="V212" t="s">
        <v>544</v>
      </c>
      <c r="W212" t="s">
        <v>546</v>
      </c>
      <c r="X212" s="784">
        <v>14745961064.890842</v>
      </c>
    </row>
    <row r="213" spans="1:24">
      <c r="A213" t="s">
        <v>358</v>
      </c>
      <c r="B213" t="s">
        <v>613</v>
      </c>
      <c r="C213" t="s">
        <v>149</v>
      </c>
      <c r="D213" t="s">
        <v>131</v>
      </c>
      <c r="E213" t="s">
        <v>377</v>
      </c>
      <c r="F213" t="s">
        <v>383</v>
      </c>
      <c r="G213" t="s">
        <v>98</v>
      </c>
      <c r="H213" t="s">
        <v>98</v>
      </c>
      <c r="I213" t="s">
        <v>743</v>
      </c>
      <c r="J213" t="s">
        <v>379</v>
      </c>
      <c r="K213" t="s">
        <v>546</v>
      </c>
      <c r="L213" s="784" t="s">
        <v>575</v>
      </c>
      <c r="M213" t="s">
        <v>745</v>
      </c>
      <c r="P213" t="s">
        <v>1887</v>
      </c>
      <c r="Q213" t="s">
        <v>575</v>
      </c>
      <c r="R213" t="s">
        <v>150</v>
      </c>
      <c r="S213" t="s">
        <v>146</v>
      </c>
      <c r="U213">
        <v>0</v>
      </c>
      <c r="V213" t="s">
        <v>544</v>
      </c>
      <c r="W213" t="s">
        <v>546</v>
      </c>
      <c r="X213" s="784">
        <v>18194076299.786381</v>
      </c>
    </row>
    <row r="214" spans="1:24">
      <c r="A214" t="s">
        <v>358</v>
      </c>
      <c r="B214" t="s">
        <v>614</v>
      </c>
      <c r="C214" t="s">
        <v>218</v>
      </c>
      <c r="D214" t="s">
        <v>131</v>
      </c>
      <c r="E214" t="s">
        <v>377</v>
      </c>
      <c r="F214" t="s">
        <v>383</v>
      </c>
      <c r="G214" t="s">
        <v>98</v>
      </c>
      <c r="H214" t="s">
        <v>98</v>
      </c>
      <c r="I214" t="s">
        <v>743</v>
      </c>
      <c r="J214" t="s">
        <v>379</v>
      </c>
      <c r="K214" t="s">
        <v>546</v>
      </c>
      <c r="L214" s="784">
        <v>25000000</v>
      </c>
      <c r="M214" t="s">
        <v>745</v>
      </c>
      <c r="P214" t="s">
        <v>1887</v>
      </c>
      <c r="Q214" t="s">
        <v>406</v>
      </c>
      <c r="R214" t="s">
        <v>152</v>
      </c>
      <c r="S214" t="s">
        <v>146</v>
      </c>
      <c r="U214">
        <v>0</v>
      </c>
      <c r="V214" t="s">
        <v>544</v>
      </c>
      <c r="W214" t="s">
        <v>546</v>
      </c>
      <c r="X214" s="784">
        <v>4428819387.769825</v>
      </c>
    </row>
    <row r="215" spans="1:24">
      <c r="A215" t="s">
        <v>358</v>
      </c>
      <c r="B215" t="s">
        <v>615</v>
      </c>
      <c r="C215" t="s">
        <v>219</v>
      </c>
      <c r="D215" t="s">
        <v>130</v>
      </c>
      <c r="E215" t="s">
        <v>377</v>
      </c>
      <c r="F215" t="s">
        <v>383</v>
      </c>
      <c r="G215" t="s">
        <v>98</v>
      </c>
      <c r="H215" t="s">
        <v>98</v>
      </c>
      <c r="I215" t="s">
        <v>743</v>
      </c>
      <c r="J215" t="s">
        <v>379</v>
      </c>
      <c r="K215" t="s">
        <v>546</v>
      </c>
      <c r="L215" s="784" t="s">
        <v>575</v>
      </c>
      <c r="M215" t="s">
        <v>745</v>
      </c>
      <c r="P215" t="s">
        <v>1887</v>
      </c>
      <c r="Q215" t="s">
        <v>575</v>
      </c>
      <c r="R215" t="s">
        <v>152</v>
      </c>
      <c r="S215" t="s">
        <v>146</v>
      </c>
      <c r="U215">
        <v>0</v>
      </c>
      <c r="V215" t="s">
        <v>541</v>
      </c>
      <c r="W215" t="s">
        <v>575</v>
      </c>
      <c r="X215" s="784">
        <v>611739560.62679195</v>
      </c>
    </row>
    <row r="216" spans="1:24">
      <c r="A216" t="s">
        <v>358</v>
      </c>
      <c r="B216" t="s">
        <v>616</v>
      </c>
      <c r="C216" t="s">
        <v>220</v>
      </c>
      <c r="D216" t="s">
        <v>131</v>
      </c>
      <c r="E216" t="s">
        <v>377</v>
      </c>
      <c r="F216" t="s">
        <v>383</v>
      </c>
      <c r="G216" t="s">
        <v>98</v>
      </c>
      <c r="H216" t="s">
        <v>98</v>
      </c>
      <c r="I216" t="s">
        <v>743</v>
      </c>
      <c r="J216" t="s">
        <v>379</v>
      </c>
      <c r="K216" t="s">
        <v>546</v>
      </c>
      <c r="L216" s="784">
        <v>1300000</v>
      </c>
      <c r="M216" t="s">
        <v>745</v>
      </c>
      <c r="P216" t="s">
        <v>1887</v>
      </c>
      <c r="Q216" t="s">
        <v>406</v>
      </c>
      <c r="R216" t="s">
        <v>152</v>
      </c>
      <c r="S216" t="s">
        <v>146</v>
      </c>
      <c r="U216">
        <v>0</v>
      </c>
      <c r="V216" t="s">
        <v>544</v>
      </c>
      <c r="W216" t="s">
        <v>546</v>
      </c>
      <c r="X216" s="784">
        <v>1617913383.0481031</v>
      </c>
    </row>
    <row r="217" spans="1:24">
      <c r="A217" t="s">
        <v>358</v>
      </c>
      <c r="B217" t="s">
        <v>617</v>
      </c>
      <c r="C217" t="s">
        <v>221</v>
      </c>
      <c r="D217" t="s">
        <v>127</v>
      </c>
      <c r="E217" t="s">
        <v>377</v>
      </c>
      <c r="F217" t="s">
        <v>383</v>
      </c>
      <c r="G217" t="s">
        <v>98</v>
      </c>
      <c r="H217" t="s">
        <v>98</v>
      </c>
      <c r="I217" t="s">
        <v>743</v>
      </c>
      <c r="J217" t="s">
        <v>379</v>
      </c>
      <c r="K217" t="s">
        <v>546</v>
      </c>
      <c r="L217" s="784" t="s">
        <v>575</v>
      </c>
      <c r="M217" t="s">
        <v>745</v>
      </c>
      <c r="P217" t="s">
        <v>1887</v>
      </c>
      <c r="Q217" t="s">
        <v>575</v>
      </c>
      <c r="R217" t="s">
        <v>152</v>
      </c>
      <c r="S217" t="s">
        <v>146</v>
      </c>
      <c r="U217">
        <v>0</v>
      </c>
      <c r="V217" t="s">
        <v>544</v>
      </c>
      <c r="W217" t="s">
        <v>575</v>
      </c>
      <c r="X217" s="784">
        <v>3074419112.4562683</v>
      </c>
    </row>
    <row r="218" spans="1:24">
      <c r="A218" t="s">
        <v>358</v>
      </c>
      <c r="B218" t="s">
        <v>618</v>
      </c>
      <c r="C218" t="s">
        <v>222</v>
      </c>
      <c r="D218" t="s">
        <v>128</v>
      </c>
      <c r="E218" t="s">
        <v>377</v>
      </c>
      <c r="F218" t="s">
        <v>383</v>
      </c>
      <c r="G218" t="s">
        <v>98</v>
      </c>
      <c r="H218" t="s">
        <v>98</v>
      </c>
      <c r="I218" t="s">
        <v>743</v>
      </c>
      <c r="J218" t="s">
        <v>379</v>
      </c>
      <c r="K218" t="s">
        <v>546</v>
      </c>
      <c r="L218" s="784">
        <v>18700000</v>
      </c>
      <c r="M218" t="s">
        <v>745</v>
      </c>
      <c r="P218" t="s">
        <v>1887</v>
      </c>
      <c r="Q218" t="s">
        <v>406</v>
      </c>
      <c r="R218" t="s">
        <v>150</v>
      </c>
      <c r="S218" t="s">
        <v>145</v>
      </c>
      <c r="U218">
        <v>0</v>
      </c>
      <c r="V218" t="s">
        <v>544</v>
      </c>
      <c r="W218" t="s">
        <v>542</v>
      </c>
      <c r="X218" s="784">
        <v>1914014279.8929913</v>
      </c>
    </row>
    <row r="219" spans="1:24">
      <c r="A219" t="s">
        <v>358</v>
      </c>
      <c r="B219" t="s">
        <v>619</v>
      </c>
      <c r="C219" t="s">
        <v>223</v>
      </c>
      <c r="D219" t="s">
        <v>126</v>
      </c>
      <c r="E219" t="s">
        <v>377</v>
      </c>
      <c r="F219" t="s">
        <v>383</v>
      </c>
      <c r="G219" t="s">
        <v>98</v>
      </c>
      <c r="H219" t="s">
        <v>98</v>
      </c>
      <c r="I219" t="s">
        <v>743</v>
      </c>
      <c r="J219" t="s">
        <v>379</v>
      </c>
      <c r="K219" t="s">
        <v>546</v>
      </c>
      <c r="L219" s="784" t="s">
        <v>575</v>
      </c>
      <c r="M219" t="s">
        <v>745</v>
      </c>
      <c r="P219" t="s">
        <v>1887</v>
      </c>
      <c r="Q219" t="s">
        <v>575</v>
      </c>
      <c r="R219" t="s">
        <v>150</v>
      </c>
      <c r="S219" t="s">
        <v>145</v>
      </c>
      <c r="U219">
        <v>0</v>
      </c>
      <c r="V219" t="s">
        <v>541</v>
      </c>
      <c r="W219" t="s">
        <v>542</v>
      </c>
      <c r="X219" s="784">
        <v>17422005.762907442</v>
      </c>
    </row>
    <row r="220" spans="1:24">
      <c r="A220" t="s">
        <v>358</v>
      </c>
      <c r="B220" t="s">
        <v>620</v>
      </c>
      <c r="C220" t="s">
        <v>224</v>
      </c>
      <c r="D220" t="s">
        <v>126</v>
      </c>
      <c r="E220" t="s">
        <v>377</v>
      </c>
      <c r="F220" t="s">
        <v>383</v>
      </c>
      <c r="G220" t="s">
        <v>98</v>
      </c>
      <c r="H220" t="s">
        <v>98</v>
      </c>
      <c r="I220" t="s">
        <v>743</v>
      </c>
      <c r="J220" t="s">
        <v>379</v>
      </c>
      <c r="K220" t="s">
        <v>546</v>
      </c>
      <c r="L220" s="784" t="s">
        <v>575</v>
      </c>
      <c r="M220" t="s">
        <v>745</v>
      </c>
      <c r="P220" t="s">
        <v>1887</v>
      </c>
      <c r="Q220" t="s">
        <v>575</v>
      </c>
      <c r="R220" t="s">
        <v>148</v>
      </c>
      <c r="S220" t="s">
        <v>145</v>
      </c>
      <c r="U220">
        <v>0</v>
      </c>
      <c r="V220" t="s">
        <v>544</v>
      </c>
      <c r="W220" t="s">
        <v>546</v>
      </c>
      <c r="X220" s="784" t="s">
        <v>575</v>
      </c>
    </row>
    <row r="221" spans="1:24">
      <c r="A221" t="s">
        <v>358</v>
      </c>
      <c r="B221" t="s">
        <v>621</v>
      </c>
      <c r="C221" t="s">
        <v>225</v>
      </c>
      <c r="D221" t="s">
        <v>127</v>
      </c>
      <c r="E221" t="s">
        <v>377</v>
      </c>
      <c r="F221" t="s">
        <v>383</v>
      </c>
      <c r="G221" t="s">
        <v>98</v>
      </c>
      <c r="H221" t="s">
        <v>98</v>
      </c>
      <c r="I221" t="s">
        <v>743</v>
      </c>
      <c r="J221" t="s">
        <v>379</v>
      </c>
      <c r="K221" t="s">
        <v>546</v>
      </c>
      <c r="L221" s="784">
        <v>2000000</v>
      </c>
      <c r="M221" t="s">
        <v>745</v>
      </c>
      <c r="P221" t="s">
        <v>1887</v>
      </c>
      <c r="Q221" t="s">
        <v>406</v>
      </c>
      <c r="R221" t="s">
        <v>152</v>
      </c>
      <c r="S221" t="s">
        <v>145</v>
      </c>
      <c r="U221">
        <v>0</v>
      </c>
      <c r="V221" t="s">
        <v>544</v>
      </c>
      <c r="W221" t="s">
        <v>548</v>
      </c>
      <c r="X221" s="784" t="s">
        <v>575</v>
      </c>
    </row>
    <row r="222" spans="1:24">
      <c r="A222" t="s">
        <v>358</v>
      </c>
      <c r="B222" t="s">
        <v>622</v>
      </c>
      <c r="C222" t="s">
        <v>226</v>
      </c>
      <c r="D222" t="s">
        <v>127</v>
      </c>
      <c r="E222" t="s">
        <v>377</v>
      </c>
      <c r="F222" t="s">
        <v>383</v>
      </c>
      <c r="G222" t="s">
        <v>98</v>
      </c>
      <c r="H222" t="s">
        <v>98</v>
      </c>
      <c r="I222" t="s">
        <v>743</v>
      </c>
      <c r="J222" t="s">
        <v>379</v>
      </c>
      <c r="K222" t="s">
        <v>546</v>
      </c>
      <c r="L222" s="784">
        <v>3000000</v>
      </c>
      <c r="M222" t="s">
        <v>745</v>
      </c>
      <c r="P222" t="s">
        <v>1887</v>
      </c>
      <c r="Q222" t="s">
        <v>406</v>
      </c>
      <c r="R222" t="s">
        <v>150</v>
      </c>
      <c r="S222" t="s">
        <v>145</v>
      </c>
      <c r="U222">
        <v>2</v>
      </c>
      <c r="V222" t="s">
        <v>544</v>
      </c>
      <c r="W222" t="s">
        <v>562</v>
      </c>
      <c r="X222" s="784">
        <v>231506834.84347546</v>
      </c>
    </row>
    <row r="223" spans="1:24">
      <c r="A223" t="s">
        <v>358</v>
      </c>
      <c r="B223" t="s">
        <v>623</v>
      </c>
      <c r="C223" t="s">
        <v>227</v>
      </c>
      <c r="D223" t="s">
        <v>126</v>
      </c>
      <c r="E223" t="s">
        <v>377</v>
      </c>
      <c r="F223" t="s">
        <v>383</v>
      </c>
      <c r="G223" t="s">
        <v>98</v>
      </c>
      <c r="H223" t="s">
        <v>98</v>
      </c>
      <c r="I223" t="s">
        <v>743</v>
      </c>
      <c r="J223" t="s">
        <v>379</v>
      </c>
      <c r="K223" t="s">
        <v>546</v>
      </c>
      <c r="L223" s="784">
        <v>5600000</v>
      </c>
      <c r="M223" t="s">
        <v>745</v>
      </c>
      <c r="P223" t="s">
        <v>1887</v>
      </c>
      <c r="Q223" t="s">
        <v>406</v>
      </c>
      <c r="R223" t="s">
        <v>150</v>
      </c>
      <c r="S223" t="s">
        <v>145</v>
      </c>
      <c r="U223">
        <v>0</v>
      </c>
      <c r="V223" t="s">
        <v>544</v>
      </c>
      <c r="W223" t="s">
        <v>542</v>
      </c>
      <c r="X223" s="784">
        <v>156059428.62944782</v>
      </c>
    </row>
    <row r="224" spans="1:24">
      <c r="A224" t="s">
        <v>358</v>
      </c>
      <c r="B224" t="s">
        <v>624</v>
      </c>
      <c r="C224" t="s">
        <v>228</v>
      </c>
      <c r="D224" t="s">
        <v>131</v>
      </c>
      <c r="E224" t="s">
        <v>377</v>
      </c>
      <c r="F224" t="s">
        <v>383</v>
      </c>
      <c r="G224" t="s">
        <v>98</v>
      </c>
      <c r="H224" t="s">
        <v>98</v>
      </c>
      <c r="I224" t="s">
        <v>743</v>
      </c>
      <c r="J224" t="s">
        <v>379</v>
      </c>
      <c r="K224" t="s">
        <v>546</v>
      </c>
      <c r="L224" s="784">
        <v>9000000</v>
      </c>
      <c r="M224" t="s">
        <v>745</v>
      </c>
      <c r="P224" t="s">
        <v>1887</v>
      </c>
      <c r="Q224" t="s">
        <v>406</v>
      </c>
      <c r="R224" t="s">
        <v>152</v>
      </c>
      <c r="S224" t="s">
        <v>146</v>
      </c>
      <c r="U224">
        <v>0</v>
      </c>
      <c r="V224" t="s">
        <v>544</v>
      </c>
      <c r="W224" t="s">
        <v>546</v>
      </c>
      <c r="X224" s="784">
        <v>2355391507.1635861</v>
      </c>
    </row>
    <row r="225" spans="1:24">
      <c r="A225" t="s">
        <v>358</v>
      </c>
      <c r="B225" t="s">
        <v>625</v>
      </c>
      <c r="C225" t="s">
        <v>229</v>
      </c>
      <c r="D225" t="s">
        <v>128</v>
      </c>
      <c r="E225" t="s">
        <v>377</v>
      </c>
      <c r="F225" t="s">
        <v>383</v>
      </c>
      <c r="G225" t="s">
        <v>98</v>
      </c>
      <c r="H225" t="s">
        <v>98</v>
      </c>
      <c r="I225" t="s">
        <v>743</v>
      </c>
      <c r="J225" t="s">
        <v>379</v>
      </c>
      <c r="K225" t="s">
        <v>546</v>
      </c>
      <c r="L225" s="784">
        <v>5500000</v>
      </c>
      <c r="M225" t="s">
        <v>745</v>
      </c>
      <c r="P225" t="s">
        <v>1887</v>
      </c>
      <c r="Q225" t="s">
        <v>406</v>
      </c>
      <c r="R225" t="s">
        <v>150</v>
      </c>
      <c r="S225" t="s">
        <v>145</v>
      </c>
      <c r="U225">
        <v>0</v>
      </c>
      <c r="V225" t="s">
        <v>544</v>
      </c>
      <c r="W225" t="s">
        <v>562</v>
      </c>
      <c r="X225" s="784">
        <v>152760919.7684873</v>
      </c>
    </row>
    <row r="226" spans="1:24">
      <c r="A226" t="s">
        <v>358</v>
      </c>
      <c r="B226" t="s">
        <v>626</v>
      </c>
      <c r="C226" t="s">
        <v>230</v>
      </c>
      <c r="D226" t="s">
        <v>129</v>
      </c>
      <c r="E226" t="s">
        <v>377</v>
      </c>
      <c r="F226" t="s">
        <v>383</v>
      </c>
      <c r="G226" t="s">
        <v>98</v>
      </c>
      <c r="H226" t="s">
        <v>98</v>
      </c>
      <c r="I226" t="s">
        <v>743</v>
      </c>
      <c r="J226" t="s">
        <v>379</v>
      </c>
      <c r="K226" t="s">
        <v>546</v>
      </c>
      <c r="L226" s="784">
        <v>1700000</v>
      </c>
      <c r="M226" t="s">
        <v>745</v>
      </c>
      <c r="P226" t="s">
        <v>1887</v>
      </c>
      <c r="Q226" t="s">
        <v>406</v>
      </c>
      <c r="R226" t="s">
        <v>148</v>
      </c>
      <c r="S226" t="s">
        <v>145</v>
      </c>
      <c r="U226">
        <v>0</v>
      </c>
      <c r="V226" t="s">
        <v>544</v>
      </c>
      <c r="W226" t="s">
        <v>542</v>
      </c>
      <c r="X226" s="784">
        <v>55072006.864440605</v>
      </c>
    </row>
    <row r="227" spans="1:24">
      <c r="A227" t="s">
        <v>358</v>
      </c>
      <c r="B227" t="s">
        <v>627</v>
      </c>
      <c r="C227" t="s">
        <v>231</v>
      </c>
      <c r="D227" t="s">
        <v>131</v>
      </c>
      <c r="E227" t="s">
        <v>377</v>
      </c>
      <c r="F227" t="s">
        <v>383</v>
      </c>
      <c r="G227" t="s">
        <v>98</v>
      </c>
      <c r="H227" t="s">
        <v>98</v>
      </c>
      <c r="I227" t="s">
        <v>743</v>
      </c>
      <c r="J227" t="s">
        <v>379</v>
      </c>
      <c r="K227" t="s">
        <v>546</v>
      </c>
      <c r="L227" s="784" t="s">
        <v>575</v>
      </c>
      <c r="M227" t="s">
        <v>745</v>
      </c>
      <c r="P227" t="s">
        <v>1887</v>
      </c>
      <c r="Q227" t="s">
        <v>575</v>
      </c>
      <c r="R227" t="s">
        <v>152</v>
      </c>
      <c r="S227" t="s">
        <v>146</v>
      </c>
      <c r="U227">
        <v>0</v>
      </c>
      <c r="V227" t="s">
        <v>544</v>
      </c>
      <c r="W227" t="s">
        <v>546</v>
      </c>
      <c r="X227" s="784" t="s">
        <v>575</v>
      </c>
    </row>
    <row r="228" spans="1:24">
      <c r="A228" t="s">
        <v>358</v>
      </c>
      <c r="B228" t="s">
        <v>628</v>
      </c>
      <c r="C228" t="s">
        <v>232</v>
      </c>
      <c r="D228" t="s">
        <v>128</v>
      </c>
      <c r="E228" t="s">
        <v>377</v>
      </c>
      <c r="F228" t="s">
        <v>383</v>
      </c>
      <c r="G228" t="s">
        <v>98</v>
      </c>
      <c r="H228" t="s">
        <v>98</v>
      </c>
      <c r="I228" t="s">
        <v>743</v>
      </c>
      <c r="J228" t="s">
        <v>379</v>
      </c>
      <c r="K228" t="s">
        <v>546</v>
      </c>
      <c r="L228" s="784">
        <v>58500000</v>
      </c>
      <c r="M228" t="s">
        <v>745</v>
      </c>
      <c r="P228" t="s">
        <v>1887</v>
      </c>
      <c r="Q228" t="s">
        <v>406</v>
      </c>
      <c r="R228" t="s">
        <v>148</v>
      </c>
      <c r="S228" t="s">
        <v>145</v>
      </c>
      <c r="U228">
        <v>2</v>
      </c>
      <c r="V228" t="s">
        <v>544</v>
      </c>
      <c r="W228" t="s">
        <v>562</v>
      </c>
      <c r="X228" s="784">
        <v>206914157.05429548</v>
      </c>
    </row>
    <row r="229" spans="1:24">
      <c r="A229" t="s">
        <v>358</v>
      </c>
      <c r="B229" t="s">
        <v>629</v>
      </c>
      <c r="C229" t="s">
        <v>233</v>
      </c>
      <c r="D229" t="s">
        <v>128</v>
      </c>
      <c r="E229" t="s">
        <v>377</v>
      </c>
      <c r="F229" t="s">
        <v>383</v>
      </c>
      <c r="G229" t="s">
        <v>98</v>
      </c>
      <c r="H229" t="s">
        <v>98</v>
      </c>
      <c r="I229" t="s">
        <v>743</v>
      </c>
      <c r="J229" t="s">
        <v>379</v>
      </c>
      <c r="K229" t="s">
        <v>546</v>
      </c>
      <c r="L229" s="784">
        <v>4700000</v>
      </c>
      <c r="M229" t="s">
        <v>745</v>
      </c>
      <c r="P229" t="s">
        <v>1887</v>
      </c>
      <c r="Q229" t="s">
        <v>406</v>
      </c>
      <c r="R229" t="s">
        <v>148</v>
      </c>
      <c r="S229" t="s">
        <v>145</v>
      </c>
      <c r="U229">
        <v>2</v>
      </c>
      <c r="V229" t="s">
        <v>544</v>
      </c>
      <c r="W229" t="s">
        <v>542</v>
      </c>
      <c r="X229" s="784">
        <v>185999915.02066413</v>
      </c>
    </row>
    <row r="230" spans="1:24">
      <c r="A230" t="s">
        <v>358</v>
      </c>
      <c r="B230" t="s">
        <v>630</v>
      </c>
      <c r="C230" t="s">
        <v>234</v>
      </c>
      <c r="D230" t="s">
        <v>126</v>
      </c>
      <c r="E230" t="s">
        <v>377</v>
      </c>
      <c r="F230" t="s">
        <v>383</v>
      </c>
      <c r="G230" t="s">
        <v>98</v>
      </c>
      <c r="H230" t="s">
        <v>98</v>
      </c>
      <c r="I230" t="s">
        <v>743</v>
      </c>
      <c r="J230" t="s">
        <v>379</v>
      </c>
      <c r="K230" t="s">
        <v>546</v>
      </c>
      <c r="L230" s="784" t="s">
        <v>575</v>
      </c>
      <c r="M230" t="s">
        <v>745</v>
      </c>
      <c r="P230" t="s">
        <v>1887</v>
      </c>
      <c r="Q230" t="s">
        <v>575</v>
      </c>
      <c r="R230" t="s">
        <v>152</v>
      </c>
      <c r="S230" t="s">
        <v>146</v>
      </c>
      <c r="U230">
        <v>0</v>
      </c>
      <c r="V230" t="s">
        <v>544</v>
      </c>
      <c r="W230" t="s">
        <v>575</v>
      </c>
      <c r="X230" s="784">
        <v>6893755763.2501726</v>
      </c>
    </row>
    <row r="231" spans="1:24">
      <c r="A231" t="s">
        <v>358</v>
      </c>
      <c r="B231" t="s">
        <v>631</v>
      </c>
      <c r="C231" t="s">
        <v>235</v>
      </c>
      <c r="D231" t="s">
        <v>132</v>
      </c>
      <c r="E231" t="s">
        <v>377</v>
      </c>
      <c r="F231" t="s">
        <v>383</v>
      </c>
      <c r="G231" t="s">
        <v>98</v>
      </c>
      <c r="H231" t="s">
        <v>98</v>
      </c>
      <c r="I231" t="s">
        <v>743</v>
      </c>
      <c r="J231" t="s">
        <v>379</v>
      </c>
      <c r="K231" t="s">
        <v>546</v>
      </c>
      <c r="L231" s="784" t="s">
        <v>575</v>
      </c>
      <c r="M231" t="s">
        <v>745</v>
      </c>
      <c r="P231" t="s">
        <v>1887</v>
      </c>
      <c r="Q231" t="s">
        <v>575</v>
      </c>
      <c r="R231" t="s">
        <v>152</v>
      </c>
      <c r="S231" t="s">
        <v>145</v>
      </c>
      <c r="U231">
        <v>0</v>
      </c>
      <c r="V231" t="s">
        <v>541</v>
      </c>
      <c r="W231" t="s">
        <v>542</v>
      </c>
      <c r="X231" s="784">
        <v>354560231.58276606</v>
      </c>
    </row>
    <row r="232" spans="1:24">
      <c r="A232" t="s">
        <v>358</v>
      </c>
      <c r="B232" t="s">
        <v>632</v>
      </c>
      <c r="C232" t="s">
        <v>236</v>
      </c>
      <c r="D232" t="s">
        <v>129</v>
      </c>
      <c r="E232" t="s">
        <v>377</v>
      </c>
      <c r="F232" t="s">
        <v>383</v>
      </c>
      <c r="G232" t="s">
        <v>98</v>
      </c>
      <c r="H232" t="s">
        <v>98</v>
      </c>
      <c r="I232" t="s">
        <v>743</v>
      </c>
      <c r="J232" t="s">
        <v>379</v>
      </c>
      <c r="K232" t="s">
        <v>546</v>
      </c>
      <c r="L232" s="784">
        <v>8000000</v>
      </c>
      <c r="M232" t="s">
        <v>745</v>
      </c>
      <c r="P232" t="s">
        <v>1887</v>
      </c>
      <c r="Q232" t="s">
        <v>406</v>
      </c>
      <c r="R232" t="s">
        <v>148</v>
      </c>
      <c r="S232" t="s">
        <v>145</v>
      </c>
      <c r="U232">
        <v>1</v>
      </c>
      <c r="V232" t="s">
        <v>544</v>
      </c>
      <c r="W232" t="s">
        <v>562</v>
      </c>
      <c r="X232" s="784">
        <v>188169167.56540567</v>
      </c>
    </row>
    <row r="233" spans="1:24">
      <c r="A233" t="s">
        <v>358</v>
      </c>
      <c r="B233" t="s">
        <v>633</v>
      </c>
      <c r="C233" t="s">
        <v>237</v>
      </c>
      <c r="D233" t="s">
        <v>126</v>
      </c>
      <c r="E233" t="s">
        <v>377</v>
      </c>
      <c r="F233" t="s">
        <v>383</v>
      </c>
      <c r="G233" t="s">
        <v>98</v>
      </c>
      <c r="H233" t="s">
        <v>98</v>
      </c>
      <c r="I233" t="s">
        <v>743</v>
      </c>
      <c r="J233" t="s">
        <v>379</v>
      </c>
      <c r="K233" t="s">
        <v>546</v>
      </c>
      <c r="L233" s="784" t="s">
        <v>575</v>
      </c>
      <c r="M233" t="s">
        <v>745</v>
      </c>
      <c r="P233" t="s">
        <v>1887</v>
      </c>
      <c r="Q233" t="s">
        <v>575</v>
      </c>
      <c r="R233" t="s">
        <v>152</v>
      </c>
      <c r="S233" t="s">
        <v>145</v>
      </c>
      <c r="U233">
        <v>0</v>
      </c>
      <c r="V233" t="s">
        <v>541</v>
      </c>
      <c r="W233" t="s">
        <v>575</v>
      </c>
      <c r="X233" s="784">
        <v>16312106.556340856</v>
      </c>
    </row>
    <row r="234" spans="1:24">
      <c r="A234" t="s">
        <v>358</v>
      </c>
      <c r="B234" t="s">
        <v>634</v>
      </c>
      <c r="C234" t="s">
        <v>238</v>
      </c>
      <c r="D234" t="s">
        <v>129</v>
      </c>
      <c r="E234" t="s">
        <v>377</v>
      </c>
      <c r="F234" t="s">
        <v>383</v>
      </c>
      <c r="G234" t="s">
        <v>98</v>
      </c>
      <c r="H234" t="s">
        <v>98</v>
      </c>
      <c r="I234" t="s">
        <v>743</v>
      </c>
      <c r="J234" t="s">
        <v>379</v>
      </c>
      <c r="K234" t="s">
        <v>546</v>
      </c>
      <c r="L234" s="784">
        <v>16399999.999999998</v>
      </c>
      <c r="M234" t="s">
        <v>745</v>
      </c>
      <c r="P234" t="s">
        <v>1887</v>
      </c>
      <c r="Q234" t="s">
        <v>406</v>
      </c>
      <c r="R234" t="s">
        <v>150</v>
      </c>
      <c r="S234" t="s">
        <v>145</v>
      </c>
      <c r="U234">
        <v>2</v>
      </c>
      <c r="V234" t="s">
        <v>544</v>
      </c>
      <c r="W234" t="s">
        <v>542</v>
      </c>
      <c r="X234" s="784">
        <v>86083833.534053758</v>
      </c>
    </row>
    <row r="235" spans="1:24">
      <c r="A235" t="s">
        <v>358</v>
      </c>
      <c r="B235" t="s">
        <v>635</v>
      </c>
      <c r="C235" t="s">
        <v>239</v>
      </c>
      <c r="D235" t="s">
        <v>128</v>
      </c>
      <c r="E235" t="s">
        <v>377</v>
      </c>
      <c r="F235" t="s">
        <v>383</v>
      </c>
      <c r="G235" t="s">
        <v>98</v>
      </c>
      <c r="H235" t="s">
        <v>98</v>
      </c>
      <c r="I235" t="s">
        <v>743</v>
      </c>
      <c r="J235" t="s">
        <v>379</v>
      </c>
      <c r="K235" t="s">
        <v>546</v>
      </c>
      <c r="L235" s="784">
        <v>0</v>
      </c>
      <c r="M235" t="s">
        <v>745</v>
      </c>
      <c r="P235" t="s">
        <v>1887</v>
      </c>
      <c r="Q235" t="s">
        <v>575</v>
      </c>
      <c r="R235" t="s">
        <v>152</v>
      </c>
      <c r="S235" t="s">
        <v>146</v>
      </c>
      <c r="U235">
        <v>0</v>
      </c>
      <c r="V235" t="s">
        <v>541</v>
      </c>
      <c r="W235" t="s">
        <v>546</v>
      </c>
      <c r="X235" s="784">
        <v>357220835.93762809</v>
      </c>
    </row>
    <row r="236" spans="1:24">
      <c r="A236" t="s">
        <v>358</v>
      </c>
      <c r="B236" t="s">
        <v>636</v>
      </c>
      <c r="C236" t="s">
        <v>240</v>
      </c>
      <c r="D236" t="s">
        <v>130</v>
      </c>
      <c r="E236" t="s">
        <v>377</v>
      </c>
      <c r="F236" t="s">
        <v>383</v>
      </c>
      <c r="G236" t="s">
        <v>98</v>
      </c>
      <c r="H236" t="s">
        <v>98</v>
      </c>
      <c r="I236" t="s">
        <v>743</v>
      </c>
      <c r="J236" t="s">
        <v>379</v>
      </c>
      <c r="K236" t="s">
        <v>546</v>
      </c>
      <c r="L236" s="784" t="s">
        <v>575</v>
      </c>
      <c r="M236" t="s">
        <v>745</v>
      </c>
      <c r="P236" t="s">
        <v>1887</v>
      </c>
      <c r="Q236" t="s">
        <v>575</v>
      </c>
      <c r="R236" t="s">
        <v>152</v>
      </c>
      <c r="S236" t="s">
        <v>146</v>
      </c>
      <c r="U236">
        <v>0</v>
      </c>
      <c r="V236" t="s">
        <v>544</v>
      </c>
      <c r="W236" t="s">
        <v>575</v>
      </c>
      <c r="X236" s="784">
        <v>32831598153.796387</v>
      </c>
    </row>
    <row r="237" spans="1:24">
      <c r="A237" t="s">
        <v>358</v>
      </c>
      <c r="B237" t="s">
        <v>637</v>
      </c>
      <c r="C237" t="s">
        <v>241</v>
      </c>
      <c r="D237" t="s">
        <v>126</v>
      </c>
      <c r="E237" t="s">
        <v>377</v>
      </c>
      <c r="F237" t="s">
        <v>383</v>
      </c>
      <c r="G237" t="s">
        <v>98</v>
      </c>
      <c r="H237" t="s">
        <v>98</v>
      </c>
      <c r="I237" t="s">
        <v>743</v>
      </c>
      <c r="J237" t="s">
        <v>379</v>
      </c>
      <c r="K237" t="s">
        <v>546</v>
      </c>
      <c r="L237" s="784" t="s">
        <v>575</v>
      </c>
      <c r="M237" t="s">
        <v>745</v>
      </c>
      <c r="P237" t="s">
        <v>1887</v>
      </c>
      <c r="Q237" t="s">
        <v>575</v>
      </c>
      <c r="R237" t="s">
        <v>150</v>
      </c>
      <c r="S237" t="s">
        <v>145</v>
      </c>
      <c r="U237">
        <v>0</v>
      </c>
      <c r="V237" t="s">
        <v>541</v>
      </c>
      <c r="W237" t="s">
        <v>542</v>
      </c>
      <c r="X237" s="784">
        <v>12329056.093798399</v>
      </c>
    </row>
    <row r="238" spans="1:24">
      <c r="A238" t="s">
        <v>358</v>
      </c>
      <c r="B238" t="s">
        <v>638</v>
      </c>
      <c r="C238" t="s">
        <v>242</v>
      </c>
      <c r="D238" t="s">
        <v>127</v>
      </c>
      <c r="E238" t="s">
        <v>377</v>
      </c>
      <c r="F238" t="s">
        <v>383</v>
      </c>
      <c r="G238" t="s">
        <v>98</v>
      </c>
      <c r="H238" t="s">
        <v>98</v>
      </c>
      <c r="I238" t="s">
        <v>743</v>
      </c>
      <c r="J238" t="s">
        <v>379</v>
      </c>
      <c r="K238" t="s">
        <v>546</v>
      </c>
      <c r="L238" s="784">
        <v>9800000</v>
      </c>
      <c r="M238" t="s">
        <v>745</v>
      </c>
      <c r="P238" t="s">
        <v>1887</v>
      </c>
      <c r="Q238" t="s">
        <v>406</v>
      </c>
      <c r="R238" t="s">
        <v>152</v>
      </c>
      <c r="S238" t="s">
        <v>145</v>
      </c>
      <c r="U238">
        <v>0</v>
      </c>
      <c r="V238" t="s">
        <v>544</v>
      </c>
      <c r="W238" t="s">
        <v>558</v>
      </c>
      <c r="X238" s="784">
        <v>426639742.85328001</v>
      </c>
    </row>
    <row r="239" spans="1:24">
      <c r="A239" t="s">
        <v>358</v>
      </c>
      <c r="B239" t="s">
        <v>639</v>
      </c>
      <c r="C239" t="s">
        <v>243</v>
      </c>
      <c r="D239" t="s">
        <v>126</v>
      </c>
      <c r="E239" t="s">
        <v>377</v>
      </c>
      <c r="F239" t="s">
        <v>383</v>
      </c>
      <c r="G239" t="s">
        <v>98</v>
      </c>
      <c r="H239" t="s">
        <v>98</v>
      </c>
      <c r="I239" t="s">
        <v>743</v>
      </c>
      <c r="J239" t="s">
        <v>379</v>
      </c>
      <c r="K239" t="s">
        <v>546</v>
      </c>
      <c r="L239" s="784">
        <v>25500000</v>
      </c>
      <c r="M239" t="s">
        <v>745</v>
      </c>
      <c r="P239" t="s">
        <v>1887</v>
      </c>
      <c r="Q239" t="s">
        <v>406</v>
      </c>
      <c r="R239" t="s">
        <v>150</v>
      </c>
      <c r="S239" t="s">
        <v>145</v>
      </c>
      <c r="U239">
        <v>0</v>
      </c>
      <c r="V239" t="s">
        <v>544</v>
      </c>
      <c r="W239" t="s">
        <v>548</v>
      </c>
      <c r="X239" s="784">
        <v>288519671.85870522</v>
      </c>
    </row>
    <row r="240" spans="1:24">
      <c r="A240" t="s">
        <v>358</v>
      </c>
      <c r="B240" t="s">
        <v>640</v>
      </c>
      <c r="C240" t="s">
        <v>244</v>
      </c>
      <c r="D240" t="s">
        <v>127</v>
      </c>
      <c r="E240" t="s">
        <v>377</v>
      </c>
      <c r="F240" t="s">
        <v>383</v>
      </c>
      <c r="G240" t="s">
        <v>98</v>
      </c>
      <c r="H240" t="s">
        <v>98</v>
      </c>
      <c r="I240" t="s">
        <v>743</v>
      </c>
      <c r="J240" t="s">
        <v>379</v>
      </c>
      <c r="K240" t="s">
        <v>546</v>
      </c>
      <c r="L240" s="784">
        <v>0</v>
      </c>
      <c r="M240" t="s">
        <v>745</v>
      </c>
      <c r="P240" t="s">
        <v>1887</v>
      </c>
      <c r="Q240" t="s">
        <v>575</v>
      </c>
      <c r="R240" t="s">
        <v>152</v>
      </c>
      <c r="S240" t="s">
        <v>146</v>
      </c>
      <c r="U240">
        <v>0</v>
      </c>
      <c r="V240" t="s">
        <v>544</v>
      </c>
      <c r="W240" t="s">
        <v>546</v>
      </c>
      <c r="X240" s="784">
        <v>275606560.78491527</v>
      </c>
    </row>
    <row r="241" spans="1:24">
      <c r="A241" t="s">
        <v>358</v>
      </c>
      <c r="B241" t="s">
        <v>641</v>
      </c>
      <c r="C241" t="s">
        <v>245</v>
      </c>
      <c r="D241" t="s">
        <v>131</v>
      </c>
      <c r="E241" t="s">
        <v>377</v>
      </c>
      <c r="F241" t="s">
        <v>383</v>
      </c>
      <c r="G241" t="s">
        <v>98</v>
      </c>
      <c r="H241" t="s">
        <v>98</v>
      </c>
      <c r="I241" t="s">
        <v>743</v>
      </c>
      <c r="J241" t="s">
        <v>379</v>
      </c>
      <c r="K241" t="s">
        <v>546</v>
      </c>
      <c r="L241" s="784" t="s">
        <v>575</v>
      </c>
      <c r="M241" t="s">
        <v>745</v>
      </c>
      <c r="P241" t="s">
        <v>1887</v>
      </c>
      <c r="Q241" t="s">
        <v>575</v>
      </c>
      <c r="R241" t="s">
        <v>150</v>
      </c>
      <c r="S241" t="s">
        <v>145</v>
      </c>
      <c r="U241">
        <v>0</v>
      </c>
      <c r="V241" t="s">
        <v>544</v>
      </c>
      <c r="W241" t="s">
        <v>546</v>
      </c>
      <c r="X241" s="784">
        <v>2530937679.3725696</v>
      </c>
    </row>
    <row r="242" spans="1:24">
      <c r="A242" t="s">
        <v>358</v>
      </c>
      <c r="B242" t="s">
        <v>642</v>
      </c>
      <c r="C242" t="s">
        <v>246</v>
      </c>
      <c r="D242" t="s">
        <v>128</v>
      </c>
      <c r="E242" t="s">
        <v>377</v>
      </c>
      <c r="F242" t="s">
        <v>383</v>
      </c>
      <c r="G242" t="s">
        <v>98</v>
      </c>
      <c r="H242" t="s">
        <v>98</v>
      </c>
      <c r="I242" t="s">
        <v>743</v>
      </c>
      <c r="J242" t="s">
        <v>379</v>
      </c>
      <c r="K242" t="s">
        <v>546</v>
      </c>
      <c r="L242" s="784">
        <v>25000000</v>
      </c>
      <c r="M242" t="s">
        <v>745</v>
      </c>
      <c r="P242" t="s">
        <v>1887</v>
      </c>
      <c r="Q242" t="s">
        <v>406</v>
      </c>
      <c r="R242" t="s">
        <v>148</v>
      </c>
      <c r="S242" t="s">
        <v>145</v>
      </c>
      <c r="U242">
        <v>0</v>
      </c>
      <c r="V242" t="s">
        <v>544</v>
      </c>
      <c r="W242" t="s">
        <v>583</v>
      </c>
      <c r="X242" s="784">
        <v>251432156.86255455</v>
      </c>
    </row>
    <row r="243" spans="1:24">
      <c r="A243" t="s">
        <v>358</v>
      </c>
      <c r="B243" t="s">
        <v>643</v>
      </c>
      <c r="C243" t="s">
        <v>247</v>
      </c>
      <c r="D243" t="s">
        <v>126</v>
      </c>
      <c r="E243" t="s">
        <v>377</v>
      </c>
      <c r="F243" t="s">
        <v>383</v>
      </c>
      <c r="G243" t="s">
        <v>98</v>
      </c>
      <c r="H243" t="s">
        <v>98</v>
      </c>
      <c r="I243" t="s">
        <v>743</v>
      </c>
      <c r="J243" t="s">
        <v>379</v>
      </c>
      <c r="K243" t="s">
        <v>546</v>
      </c>
      <c r="L243" s="784">
        <v>0</v>
      </c>
      <c r="M243" t="s">
        <v>745</v>
      </c>
      <c r="P243" t="s">
        <v>1887</v>
      </c>
      <c r="Q243" t="s">
        <v>575</v>
      </c>
      <c r="R243" t="s">
        <v>150</v>
      </c>
      <c r="S243" t="s">
        <v>145</v>
      </c>
      <c r="U243">
        <v>0</v>
      </c>
      <c r="V243" t="s">
        <v>544</v>
      </c>
      <c r="W243" t="s">
        <v>558</v>
      </c>
      <c r="X243" s="784">
        <v>471534500.60109437</v>
      </c>
    </row>
    <row r="244" spans="1:24">
      <c r="A244" t="s">
        <v>358</v>
      </c>
      <c r="B244" t="s">
        <v>644</v>
      </c>
      <c r="C244" t="s">
        <v>248</v>
      </c>
      <c r="D244" t="s">
        <v>128</v>
      </c>
      <c r="E244" t="s">
        <v>377</v>
      </c>
      <c r="F244" t="s">
        <v>383</v>
      </c>
      <c r="G244" t="s">
        <v>98</v>
      </c>
      <c r="H244" t="s">
        <v>98</v>
      </c>
      <c r="I244" t="s">
        <v>743</v>
      </c>
      <c r="J244" t="s">
        <v>379</v>
      </c>
      <c r="K244" t="s">
        <v>546</v>
      </c>
      <c r="L244" s="784" t="s">
        <v>575</v>
      </c>
      <c r="M244" t="s">
        <v>745</v>
      </c>
      <c r="P244" t="s">
        <v>1887</v>
      </c>
      <c r="Q244" t="s">
        <v>575</v>
      </c>
      <c r="R244" t="s">
        <v>152</v>
      </c>
      <c r="S244" t="s">
        <v>146</v>
      </c>
      <c r="U244">
        <v>0</v>
      </c>
      <c r="V244" t="s">
        <v>544</v>
      </c>
      <c r="W244" t="s">
        <v>575</v>
      </c>
      <c r="X244" s="784">
        <v>531677611.80447447</v>
      </c>
    </row>
    <row r="245" spans="1:24">
      <c r="A245" t="s">
        <v>358</v>
      </c>
      <c r="B245" t="s">
        <v>645</v>
      </c>
      <c r="C245" t="s">
        <v>249</v>
      </c>
      <c r="D245" t="s">
        <v>126</v>
      </c>
      <c r="E245" t="s">
        <v>377</v>
      </c>
      <c r="F245" t="s">
        <v>383</v>
      </c>
      <c r="G245" t="s">
        <v>98</v>
      </c>
      <c r="H245" t="s">
        <v>98</v>
      </c>
      <c r="I245" t="s">
        <v>743</v>
      </c>
      <c r="J245" t="s">
        <v>379</v>
      </c>
      <c r="K245" t="s">
        <v>546</v>
      </c>
      <c r="L245" s="784" t="s">
        <v>575</v>
      </c>
      <c r="M245" t="s">
        <v>745</v>
      </c>
      <c r="P245" t="s">
        <v>1887</v>
      </c>
      <c r="Q245" t="s">
        <v>575</v>
      </c>
      <c r="R245" t="s">
        <v>550</v>
      </c>
      <c r="S245" t="s">
        <v>146</v>
      </c>
      <c r="U245">
        <v>0</v>
      </c>
      <c r="V245" t="s">
        <v>541</v>
      </c>
      <c r="W245" t="s">
        <v>575</v>
      </c>
      <c r="X245" s="784">
        <v>8528751.6418357007</v>
      </c>
    </row>
    <row r="246" spans="1:24">
      <c r="A246" t="s">
        <v>358</v>
      </c>
      <c r="B246" t="s">
        <v>646</v>
      </c>
      <c r="C246" t="s">
        <v>250</v>
      </c>
      <c r="D246" t="s">
        <v>132</v>
      </c>
      <c r="E246" t="s">
        <v>377</v>
      </c>
      <c r="F246" t="s">
        <v>383</v>
      </c>
      <c r="G246" t="s">
        <v>98</v>
      </c>
      <c r="H246" t="s">
        <v>98</v>
      </c>
      <c r="I246" t="s">
        <v>743</v>
      </c>
      <c r="J246" t="s">
        <v>379</v>
      </c>
      <c r="K246" t="s">
        <v>546</v>
      </c>
      <c r="L246" s="784">
        <v>10900000</v>
      </c>
      <c r="M246" t="s">
        <v>745</v>
      </c>
      <c r="P246" t="s">
        <v>1887</v>
      </c>
      <c r="Q246" t="s">
        <v>406</v>
      </c>
      <c r="R246" t="s">
        <v>150</v>
      </c>
      <c r="S246" t="s">
        <v>145</v>
      </c>
      <c r="U246">
        <v>0</v>
      </c>
      <c r="V246" t="s">
        <v>544</v>
      </c>
      <c r="W246" t="s">
        <v>558</v>
      </c>
      <c r="X246" s="784">
        <v>407084543.19089872</v>
      </c>
    </row>
    <row r="247" spans="1:24">
      <c r="A247" t="s">
        <v>358</v>
      </c>
      <c r="B247" t="s">
        <v>647</v>
      </c>
      <c r="C247" t="s">
        <v>251</v>
      </c>
      <c r="D247" t="s">
        <v>130</v>
      </c>
      <c r="E247" t="s">
        <v>377</v>
      </c>
      <c r="F247" t="s">
        <v>383</v>
      </c>
      <c r="G247" t="s">
        <v>98</v>
      </c>
      <c r="H247" t="s">
        <v>98</v>
      </c>
      <c r="I247" t="s">
        <v>743</v>
      </c>
      <c r="J247" t="s">
        <v>379</v>
      </c>
      <c r="K247" t="s">
        <v>546</v>
      </c>
      <c r="L247" s="784" t="s">
        <v>575</v>
      </c>
      <c r="M247" t="s">
        <v>745</v>
      </c>
      <c r="P247" t="s">
        <v>1887</v>
      </c>
      <c r="Q247" t="s">
        <v>575</v>
      </c>
      <c r="R247" t="s">
        <v>150</v>
      </c>
      <c r="S247" t="s">
        <v>145</v>
      </c>
      <c r="U247">
        <v>0</v>
      </c>
      <c r="V247" t="s">
        <v>544</v>
      </c>
      <c r="W247" t="s">
        <v>562</v>
      </c>
      <c r="X247" s="784">
        <v>671998341.93592453</v>
      </c>
    </row>
    <row r="248" spans="1:24">
      <c r="A248" t="s">
        <v>358</v>
      </c>
      <c r="B248" t="s">
        <v>648</v>
      </c>
      <c r="C248" t="s">
        <v>252</v>
      </c>
      <c r="D248" t="s">
        <v>129</v>
      </c>
      <c r="E248" t="s">
        <v>377</v>
      </c>
      <c r="F248" t="s">
        <v>383</v>
      </c>
      <c r="G248" t="s">
        <v>98</v>
      </c>
      <c r="H248" t="s">
        <v>98</v>
      </c>
      <c r="I248" t="s">
        <v>743</v>
      </c>
      <c r="J248" t="s">
        <v>379</v>
      </c>
      <c r="K248" t="s">
        <v>546</v>
      </c>
      <c r="L248" s="784">
        <v>9400000</v>
      </c>
      <c r="M248" t="s">
        <v>745</v>
      </c>
      <c r="P248" t="s">
        <v>1887</v>
      </c>
      <c r="Q248" t="s">
        <v>406</v>
      </c>
      <c r="R248" t="s">
        <v>148</v>
      </c>
      <c r="S248" t="s">
        <v>145</v>
      </c>
      <c r="U248">
        <v>1</v>
      </c>
      <c r="V248" t="s">
        <v>544</v>
      </c>
      <c r="W248" t="s">
        <v>562</v>
      </c>
      <c r="X248" s="784">
        <v>226203289.67158964</v>
      </c>
    </row>
    <row r="249" spans="1:24">
      <c r="A249" t="s">
        <v>358</v>
      </c>
      <c r="B249" t="s">
        <v>649</v>
      </c>
      <c r="C249" t="s">
        <v>253</v>
      </c>
      <c r="D249" t="s">
        <v>129</v>
      </c>
      <c r="E249" t="s">
        <v>377</v>
      </c>
      <c r="F249" t="s">
        <v>383</v>
      </c>
      <c r="G249" t="s">
        <v>98</v>
      </c>
      <c r="H249" t="s">
        <v>98</v>
      </c>
      <c r="I249" t="s">
        <v>743</v>
      </c>
      <c r="J249" t="s">
        <v>379</v>
      </c>
      <c r="K249" t="s">
        <v>546</v>
      </c>
      <c r="L249" s="784">
        <v>76000000</v>
      </c>
      <c r="M249" t="s">
        <v>745</v>
      </c>
      <c r="P249" t="s">
        <v>1887</v>
      </c>
      <c r="Q249" t="s">
        <v>406</v>
      </c>
      <c r="R249" t="s">
        <v>150</v>
      </c>
      <c r="S249" t="s">
        <v>145</v>
      </c>
      <c r="U249">
        <v>3</v>
      </c>
      <c r="V249" t="s">
        <v>544</v>
      </c>
      <c r="W249" t="s">
        <v>548</v>
      </c>
      <c r="X249" s="784">
        <v>2438881113.1244688</v>
      </c>
    </row>
    <row r="250" spans="1:24">
      <c r="A250" t="s">
        <v>358</v>
      </c>
      <c r="B250" t="s">
        <v>650</v>
      </c>
      <c r="C250" t="s">
        <v>254</v>
      </c>
      <c r="D250" t="s">
        <v>127</v>
      </c>
      <c r="E250" t="s">
        <v>377</v>
      </c>
      <c r="F250" t="s">
        <v>383</v>
      </c>
      <c r="G250" t="s">
        <v>98</v>
      </c>
      <c r="H250" t="s">
        <v>98</v>
      </c>
      <c r="I250" t="s">
        <v>743</v>
      </c>
      <c r="J250" t="s">
        <v>379</v>
      </c>
      <c r="K250" t="s">
        <v>546</v>
      </c>
      <c r="L250" s="784">
        <v>500000</v>
      </c>
      <c r="M250" t="s">
        <v>745</v>
      </c>
      <c r="P250" t="s">
        <v>1887</v>
      </c>
      <c r="Q250" t="s">
        <v>406</v>
      </c>
      <c r="R250" t="s">
        <v>152</v>
      </c>
      <c r="S250" t="s">
        <v>146</v>
      </c>
      <c r="U250">
        <v>0</v>
      </c>
      <c r="V250" t="s">
        <v>544</v>
      </c>
      <c r="W250" t="s">
        <v>575</v>
      </c>
      <c r="X250" s="784">
        <v>476517795.73174149</v>
      </c>
    </row>
    <row r="251" spans="1:24">
      <c r="A251" t="s">
        <v>358</v>
      </c>
      <c r="B251" t="s">
        <v>651</v>
      </c>
      <c r="C251" t="s">
        <v>255</v>
      </c>
      <c r="D251" t="s">
        <v>132</v>
      </c>
      <c r="E251" t="s">
        <v>377</v>
      </c>
      <c r="F251" t="s">
        <v>383</v>
      </c>
      <c r="G251" t="s">
        <v>98</v>
      </c>
      <c r="H251" t="s">
        <v>98</v>
      </c>
      <c r="I251" t="s">
        <v>743</v>
      </c>
      <c r="J251" t="s">
        <v>379</v>
      </c>
      <c r="K251" t="s">
        <v>546</v>
      </c>
      <c r="L251" s="784">
        <v>0</v>
      </c>
      <c r="M251" t="s">
        <v>745</v>
      </c>
      <c r="P251" t="s">
        <v>1887</v>
      </c>
      <c r="Q251" t="s">
        <v>406</v>
      </c>
      <c r="R251" t="s">
        <v>150</v>
      </c>
      <c r="S251" t="s">
        <v>145</v>
      </c>
      <c r="U251">
        <v>0</v>
      </c>
      <c r="V251" t="s">
        <v>544</v>
      </c>
      <c r="W251" t="s">
        <v>548</v>
      </c>
      <c r="X251" s="784">
        <v>3233351297.7679496</v>
      </c>
    </row>
    <row r="252" spans="1:24">
      <c r="A252" t="s">
        <v>358</v>
      </c>
      <c r="B252" t="s">
        <v>652</v>
      </c>
      <c r="C252" t="s">
        <v>256</v>
      </c>
      <c r="D252" t="s">
        <v>130</v>
      </c>
      <c r="E252" t="s">
        <v>377</v>
      </c>
      <c r="F252" t="s">
        <v>383</v>
      </c>
      <c r="G252" t="s">
        <v>98</v>
      </c>
      <c r="H252" t="s">
        <v>98</v>
      </c>
      <c r="I252" t="s">
        <v>743</v>
      </c>
      <c r="J252" t="s">
        <v>379</v>
      </c>
      <c r="K252" t="s">
        <v>546</v>
      </c>
      <c r="L252" s="784" t="s">
        <v>575</v>
      </c>
      <c r="M252" t="s">
        <v>745</v>
      </c>
      <c r="P252" t="s">
        <v>1887</v>
      </c>
      <c r="Q252" t="s">
        <v>575</v>
      </c>
      <c r="R252" t="s">
        <v>550</v>
      </c>
      <c r="S252" t="s">
        <v>146</v>
      </c>
      <c r="U252">
        <v>0</v>
      </c>
      <c r="V252" t="s">
        <v>541</v>
      </c>
      <c r="W252" t="s">
        <v>575</v>
      </c>
      <c r="X252" s="784">
        <v>18180646.808608256</v>
      </c>
    </row>
    <row r="253" spans="1:24">
      <c r="A253" t="s">
        <v>358</v>
      </c>
      <c r="B253" t="s">
        <v>653</v>
      </c>
      <c r="C253" t="s">
        <v>257</v>
      </c>
      <c r="D253" t="s">
        <v>130</v>
      </c>
      <c r="E253" t="s">
        <v>377</v>
      </c>
      <c r="F253" t="s">
        <v>383</v>
      </c>
      <c r="G253" t="s">
        <v>98</v>
      </c>
      <c r="H253" t="s">
        <v>98</v>
      </c>
      <c r="I253" t="s">
        <v>743</v>
      </c>
      <c r="J253" t="s">
        <v>379</v>
      </c>
      <c r="K253" t="s">
        <v>546</v>
      </c>
      <c r="L253" s="784">
        <v>0</v>
      </c>
      <c r="M253" t="s">
        <v>745</v>
      </c>
      <c r="P253" t="s">
        <v>1887</v>
      </c>
      <c r="Q253" t="s">
        <v>575</v>
      </c>
      <c r="R253" t="s">
        <v>152</v>
      </c>
      <c r="S253" t="s">
        <v>146</v>
      </c>
      <c r="U253">
        <v>0</v>
      </c>
      <c r="V253" t="s">
        <v>544</v>
      </c>
      <c r="W253" t="s">
        <v>546</v>
      </c>
      <c r="X253" s="784">
        <v>3020530707.3485303</v>
      </c>
    </row>
    <row r="254" spans="1:24">
      <c r="A254" t="s">
        <v>358</v>
      </c>
      <c r="B254" t="s">
        <v>654</v>
      </c>
      <c r="C254" t="s">
        <v>258</v>
      </c>
      <c r="D254" t="s">
        <v>126</v>
      </c>
      <c r="E254" t="s">
        <v>377</v>
      </c>
      <c r="F254" t="s">
        <v>383</v>
      </c>
      <c r="G254" t="s">
        <v>98</v>
      </c>
      <c r="H254" t="s">
        <v>98</v>
      </c>
      <c r="I254" t="s">
        <v>743</v>
      </c>
      <c r="J254" t="s">
        <v>379</v>
      </c>
      <c r="K254" t="s">
        <v>546</v>
      </c>
      <c r="L254" s="784">
        <v>10000000</v>
      </c>
      <c r="M254" t="s">
        <v>745</v>
      </c>
      <c r="P254" t="s">
        <v>1887</v>
      </c>
      <c r="Q254" t="s">
        <v>406</v>
      </c>
      <c r="R254" t="s">
        <v>150</v>
      </c>
      <c r="S254" t="s">
        <v>145</v>
      </c>
      <c r="U254">
        <v>1</v>
      </c>
      <c r="V254" t="s">
        <v>541</v>
      </c>
      <c r="W254" t="s">
        <v>542</v>
      </c>
      <c r="X254" s="784">
        <v>384406316.46074712</v>
      </c>
    </row>
    <row r="255" spans="1:24">
      <c r="A255" t="s">
        <v>358</v>
      </c>
      <c r="B255" t="s">
        <v>655</v>
      </c>
      <c r="C255" t="s">
        <v>259</v>
      </c>
      <c r="D255" t="s">
        <v>130</v>
      </c>
      <c r="E255" t="s">
        <v>377</v>
      </c>
      <c r="F255" t="s">
        <v>383</v>
      </c>
      <c r="G255" t="s">
        <v>98</v>
      </c>
      <c r="H255" t="s">
        <v>98</v>
      </c>
      <c r="I255" t="s">
        <v>743</v>
      </c>
      <c r="J255" t="s">
        <v>379</v>
      </c>
      <c r="K255" t="s">
        <v>546</v>
      </c>
      <c r="L255" s="784" t="s">
        <v>575</v>
      </c>
      <c r="M255" t="s">
        <v>745</v>
      </c>
      <c r="P255" t="s">
        <v>1887</v>
      </c>
      <c r="Q255" t="s">
        <v>575</v>
      </c>
      <c r="R255" t="s">
        <v>152</v>
      </c>
      <c r="S255" t="s">
        <v>146</v>
      </c>
      <c r="U255">
        <v>0</v>
      </c>
      <c r="V255" t="s">
        <v>544</v>
      </c>
      <c r="W255" t="s">
        <v>575</v>
      </c>
      <c r="X255" s="784">
        <v>1218747108.9554784</v>
      </c>
    </row>
    <row r="256" spans="1:24">
      <c r="A256" t="s">
        <v>358</v>
      </c>
      <c r="B256" t="s">
        <v>656</v>
      </c>
      <c r="C256" t="s">
        <v>260</v>
      </c>
      <c r="D256" t="s">
        <v>130</v>
      </c>
      <c r="E256" t="s">
        <v>377</v>
      </c>
      <c r="F256" t="s">
        <v>383</v>
      </c>
      <c r="G256" t="s">
        <v>98</v>
      </c>
      <c r="H256" t="s">
        <v>98</v>
      </c>
      <c r="I256" t="s">
        <v>743</v>
      </c>
      <c r="J256" t="s">
        <v>379</v>
      </c>
      <c r="K256" t="s">
        <v>546</v>
      </c>
      <c r="L256" s="784">
        <v>500000000</v>
      </c>
      <c r="M256" t="s">
        <v>745</v>
      </c>
      <c r="P256" t="s">
        <v>1887</v>
      </c>
      <c r="Q256" t="s">
        <v>406</v>
      </c>
      <c r="R256" t="s">
        <v>152</v>
      </c>
      <c r="S256" t="s">
        <v>146</v>
      </c>
      <c r="U256">
        <v>0</v>
      </c>
      <c r="V256" t="s">
        <v>544</v>
      </c>
      <c r="W256" t="s">
        <v>575</v>
      </c>
      <c r="X256" s="784">
        <v>7392665952.5895758</v>
      </c>
    </row>
    <row r="257" spans="1:24">
      <c r="A257" t="s">
        <v>358</v>
      </c>
      <c r="B257" t="s">
        <v>657</v>
      </c>
      <c r="C257" t="s">
        <v>261</v>
      </c>
      <c r="D257" t="s">
        <v>126</v>
      </c>
      <c r="E257" t="s">
        <v>377</v>
      </c>
      <c r="F257" t="s">
        <v>383</v>
      </c>
      <c r="G257" t="s">
        <v>98</v>
      </c>
      <c r="H257" t="s">
        <v>98</v>
      </c>
      <c r="I257" t="s">
        <v>743</v>
      </c>
      <c r="J257" t="s">
        <v>379</v>
      </c>
      <c r="K257" t="s">
        <v>546</v>
      </c>
      <c r="L257" s="784">
        <v>27000000</v>
      </c>
      <c r="M257" t="s">
        <v>745</v>
      </c>
      <c r="P257" t="s">
        <v>1887</v>
      </c>
      <c r="Q257" t="s">
        <v>406</v>
      </c>
      <c r="R257" t="s">
        <v>150</v>
      </c>
      <c r="S257" t="s">
        <v>145</v>
      </c>
      <c r="U257">
        <v>0</v>
      </c>
      <c r="V257" t="s">
        <v>544</v>
      </c>
      <c r="W257" t="s">
        <v>546</v>
      </c>
      <c r="X257" s="784">
        <v>4754985988.6004429</v>
      </c>
    </row>
    <row r="258" spans="1:24">
      <c r="A258" t="s">
        <v>358</v>
      </c>
      <c r="B258" t="s">
        <v>658</v>
      </c>
      <c r="C258" t="s">
        <v>262</v>
      </c>
      <c r="D258" t="s">
        <v>127</v>
      </c>
      <c r="E258" t="s">
        <v>377</v>
      </c>
      <c r="F258" t="s">
        <v>383</v>
      </c>
      <c r="G258" t="s">
        <v>98</v>
      </c>
      <c r="H258" t="s">
        <v>98</v>
      </c>
      <c r="I258" t="s">
        <v>743</v>
      </c>
      <c r="J258" t="s">
        <v>379</v>
      </c>
      <c r="K258" t="s">
        <v>546</v>
      </c>
      <c r="L258" s="784" t="s">
        <v>575</v>
      </c>
      <c r="M258" t="s">
        <v>745</v>
      </c>
      <c r="P258" t="s">
        <v>1887</v>
      </c>
      <c r="Q258" t="s">
        <v>575</v>
      </c>
      <c r="R258" t="s">
        <v>550</v>
      </c>
      <c r="S258" t="s">
        <v>146</v>
      </c>
      <c r="U258">
        <v>0</v>
      </c>
      <c r="V258" t="s">
        <v>544</v>
      </c>
      <c r="W258" t="s">
        <v>575</v>
      </c>
      <c r="X258" s="784">
        <v>26422210443.037273</v>
      </c>
    </row>
    <row r="259" spans="1:24">
      <c r="A259" t="s">
        <v>358</v>
      </c>
      <c r="B259" t="s">
        <v>659</v>
      </c>
      <c r="C259" t="s">
        <v>151</v>
      </c>
      <c r="D259" t="s">
        <v>127</v>
      </c>
      <c r="E259" t="s">
        <v>377</v>
      </c>
      <c r="F259" t="s">
        <v>383</v>
      </c>
      <c r="G259" t="s">
        <v>98</v>
      </c>
      <c r="H259" t="s">
        <v>98</v>
      </c>
      <c r="I259" t="s">
        <v>743</v>
      </c>
      <c r="J259" t="s">
        <v>379</v>
      </c>
      <c r="K259" t="s">
        <v>546</v>
      </c>
      <c r="L259" s="784" t="s">
        <v>575</v>
      </c>
      <c r="M259" t="s">
        <v>745</v>
      </c>
      <c r="P259" t="s">
        <v>1887</v>
      </c>
      <c r="Q259" t="s">
        <v>575</v>
      </c>
      <c r="R259" t="s">
        <v>152</v>
      </c>
      <c r="S259" t="s">
        <v>146</v>
      </c>
      <c r="U259">
        <v>0</v>
      </c>
      <c r="V259" t="s">
        <v>544</v>
      </c>
      <c r="W259" t="s">
        <v>575</v>
      </c>
      <c r="X259" s="784">
        <v>10696495313.15033</v>
      </c>
    </row>
    <row r="260" spans="1:24">
      <c r="A260" t="s">
        <v>358</v>
      </c>
      <c r="B260" t="s">
        <v>660</v>
      </c>
      <c r="C260" t="s">
        <v>263</v>
      </c>
      <c r="D260" t="s">
        <v>127</v>
      </c>
      <c r="E260" t="s">
        <v>377</v>
      </c>
      <c r="F260" t="s">
        <v>383</v>
      </c>
      <c r="G260" t="s">
        <v>98</v>
      </c>
      <c r="H260" t="s">
        <v>98</v>
      </c>
      <c r="I260" t="s">
        <v>743</v>
      </c>
      <c r="J260" t="s">
        <v>379</v>
      </c>
      <c r="K260" t="s">
        <v>546</v>
      </c>
      <c r="L260" s="784" t="s">
        <v>575</v>
      </c>
      <c r="M260" t="s">
        <v>745</v>
      </c>
      <c r="P260" t="s">
        <v>1887</v>
      </c>
      <c r="Q260" t="s">
        <v>575</v>
      </c>
      <c r="R260" t="s">
        <v>152</v>
      </c>
      <c r="S260" t="s">
        <v>146</v>
      </c>
      <c r="U260">
        <v>0</v>
      </c>
      <c r="V260" t="s">
        <v>544</v>
      </c>
      <c r="W260" t="s">
        <v>575</v>
      </c>
      <c r="X260" s="784">
        <v>52769713433.240509</v>
      </c>
    </row>
    <row r="261" spans="1:24">
      <c r="A261" t="s">
        <v>358</v>
      </c>
      <c r="B261" t="s">
        <v>661</v>
      </c>
      <c r="C261" t="s">
        <v>264</v>
      </c>
      <c r="D261" t="s">
        <v>128</v>
      </c>
      <c r="E261" t="s">
        <v>377</v>
      </c>
      <c r="F261" t="s">
        <v>383</v>
      </c>
      <c r="G261" t="s">
        <v>98</v>
      </c>
      <c r="H261" t="s">
        <v>98</v>
      </c>
      <c r="I261" t="s">
        <v>743</v>
      </c>
      <c r="J261" t="s">
        <v>379</v>
      </c>
      <c r="K261" t="s">
        <v>546</v>
      </c>
      <c r="L261" s="784">
        <v>7400000</v>
      </c>
      <c r="M261" t="s">
        <v>745</v>
      </c>
      <c r="P261" t="s">
        <v>1887</v>
      </c>
      <c r="Q261" t="s">
        <v>406</v>
      </c>
      <c r="R261" t="s">
        <v>148</v>
      </c>
      <c r="S261" t="s">
        <v>145</v>
      </c>
      <c r="U261">
        <v>0</v>
      </c>
      <c r="V261" t="s">
        <v>544</v>
      </c>
      <c r="W261" t="s">
        <v>562</v>
      </c>
      <c r="X261" s="784">
        <v>225799814.51943746</v>
      </c>
    </row>
    <row r="262" spans="1:24">
      <c r="A262" t="s">
        <v>358</v>
      </c>
      <c r="B262" t="s">
        <v>662</v>
      </c>
      <c r="C262" t="s">
        <v>265</v>
      </c>
      <c r="D262" t="s">
        <v>126</v>
      </c>
      <c r="E262" t="s">
        <v>377</v>
      </c>
      <c r="F262" t="s">
        <v>383</v>
      </c>
      <c r="G262" t="s">
        <v>98</v>
      </c>
      <c r="H262" t="s">
        <v>98</v>
      </c>
      <c r="I262" t="s">
        <v>743</v>
      </c>
      <c r="J262" t="s">
        <v>379</v>
      </c>
      <c r="K262" t="s">
        <v>546</v>
      </c>
      <c r="L262" s="784" t="s">
        <v>575</v>
      </c>
      <c r="M262" t="s">
        <v>745</v>
      </c>
      <c r="P262" t="s">
        <v>1887</v>
      </c>
      <c r="Q262" t="s">
        <v>575</v>
      </c>
      <c r="R262" t="s">
        <v>150</v>
      </c>
      <c r="S262" t="s">
        <v>145</v>
      </c>
      <c r="U262">
        <v>0</v>
      </c>
      <c r="V262" t="s">
        <v>541</v>
      </c>
      <c r="W262" t="s">
        <v>542</v>
      </c>
      <c r="X262" s="784">
        <v>32192988.027009469</v>
      </c>
    </row>
    <row r="263" spans="1:24">
      <c r="A263" t="s">
        <v>358</v>
      </c>
      <c r="B263" t="s">
        <v>663</v>
      </c>
      <c r="C263" t="s">
        <v>266</v>
      </c>
      <c r="D263" t="s">
        <v>129</v>
      </c>
      <c r="E263" t="s">
        <v>377</v>
      </c>
      <c r="F263" t="s">
        <v>383</v>
      </c>
      <c r="G263" t="s">
        <v>98</v>
      </c>
      <c r="H263" t="s">
        <v>98</v>
      </c>
      <c r="I263" t="s">
        <v>743</v>
      </c>
      <c r="J263" t="s">
        <v>379</v>
      </c>
      <c r="K263" t="s">
        <v>546</v>
      </c>
      <c r="L263" s="784">
        <v>1800000</v>
      </c>
      <c r="M263" t="s">
        <v>745</v>
      </c>
      <c r="P263" t="s">
        <v>1887</v>
      </c>
      <c r="Q263" t="s">
        <v>406</v>
      </c>
      <c r="R263" t="s">
        <v>150</v>
      </c>
      <c r="S263" t="s">
        <v>145</v>
      </c>
      <c r="U263">
        <v>0</v>
      </c>
      <c r="V263" t="s">
        <v>541</v>
      </c>
      <c r="W263" t="s">
        <v>583</v>
      </c>
      <c r="X263" s="784">
        <v>11633535.136477679</v>
      </c>
    </row>
    <row r="264" spans="1:24">
      <c r="A264" t="s">
        <v>358</v>
      </c>
      <c r="B264" t="s">
        <v>664</v>
      </c>
      <c r="C264" t="s">
        <v>267</v>
      </c>
      <c r="D264" t="s">
        <v>129</v>
      </c>
      <c r="E264" t="s">
        <v>377</v>
      </c>
      <c r="F264" t="s">
        <v>383</v>
      </c>
      <c r="G264" t="s">
        <v>98</v>
      </c>
      <c r="H264" t="s">
        <v>98</v>
      </c>
      <c r="I264" t="s">
        <v>743</v>
      </c>
      <c r="J264" t="s">
        <v>379</v>
      </c>
      <c r="K264" t="s">
        <v>546</v>
      </c>
      <c r="L264" s="784">
        <v>54900000</v>
      </c>
      <c r="M264" t="s">
        <v>745</v>
      </c>
      <c r="P264" t="s">
        <v>1887</v>
      </c>
      <c r="Q264" t="s">
        <v>406</v>
      </c>
      <c r="R264" t="s">
        <v>150</v>
      </c>
      <c r="S264" t="s">
        <v>145</v>
      </c>
      <c r="U264">
        <v>2</v>
      </c>
      <c r="V264" t="s">
        <v>544</v>
      </c>
      <c r="W264" t="s">
        <v>562</v>
      </c>
      <c r="X264" s="784">
        <v>222008693.93354639</v>
      </c>
    </row>
    <row r="265" spans="1:24">
      <c r="A265" t="s">
        <v>358</v>
      </c>
      <c r="B265" t="s">
        <v>665</v>
      </c>
      <c r="C265" t="s">
        <v>153</v>
      </c>
      <c r="D265" t="s">
        <v>127</v>
      </c>
      <c r="E265" t="s">
        <v>377</v>
      </c>
      <c r="F265" t="s">
        <v>383</v>
      </c>
      <c r="G265" t="s">
        <v>98</v>
      </c>
      <c r="H265" t="s">
        <v>98</v>
      </c>
      <c r="I265" t="s">
        <v>743</v>
      </c>
      <c r="J265" t="s">
        <v>379</v>
      </c>
      <c r="K265" t="s">
        <v>546</v>
      </c>
      <c r="L265" s="784" t="s">
        <v>575</v>
      </c>
      <c r="M265" t="s">
        <v>745</v>
      </c>
      <c r="P265" t="s">
        <v>1887</v>
      </c>
      <c r="Q265" t="s">
        <v>575</v>
      </c>
      <c r="R265" t="s">
        <v>152</v>
      </c>
      <c r="S265" t="s">
        <v>146</v>
      </c>
      <c r="U265">
        <v>0</v>
      </c>
      <c r="V265" t="s">
        <v>544</v>
      </c>
      <c r="W265" t="s">
        <v>575</v>
      </c>
      <c r="X265" s="784">
        <v>2564993795.1894679</v>
      </c>
    </row>
    <row r="266" spans="1:24">
      <c r="A266" t="s">
        <v>358</v>
      </c>
      <c r="B266" t="s">
        <v>666</v>
      </c>
      <c r="C266" t="s">
        <v>268</v>
      </c>
      <c r="D266" t="s">
        <v>128</v>
      </c>
      <c r="E266" t="s">
        <v>377</v>
      </c>
      <c r="F266" t="s">
        <v>383</v>
      </c>
      <c r="G266" t="s">
        <v>98</v>
      </c>
      <c r="H266" t="s">
        <v>98</v>
      </c>
      <c r="I266" t="s">
        <v>743</v>
      </c>
      <c r="J266" t="s">
        <v>379</v>
      </c>
      <c r="K266" t="s">
        <v>546</v>
      </c>
      <c r="L266" s="784">
        <v>0</v>
      </c>
      <c r="M266" t="s">
        <v>745</v>
      </c>
      <c r="P266" t="s">
        <v>1887</v>
      </c>
      <c r="Q266" t="s">
        <v>838</v>
      </c>
      <c r="R266" t="s">
        <v>550</v>
      </c>
      <c r="S266" t="s">
        <v>146</v>
      </c>
      <c r="U266">
        <v>0</v>
      </c>
      <c r="V266" t="s">
        <v>541</v>
      </c>
      <c r="W266" t="s">
        <v>546</v>
      </c>
      <c r="X266" s="784">
        <v>60237542.945069775</v>
      </c>
    </row>
    <row r="267" spans="1:24">
      <c r="A267" t="s">
        <v>358</v>
      </c>
      <c r="B267" t="s">
        <v>667</v>
      </c>
      <c r="C267" t="s">
        <v>269</v>
      </c>
      <c r="D267" t="s">
        <v>129</v>
      </c>
      <c r="E267" t="s">
        <v>377</v>
      </c>
      <c r="F267" t="s">
        <v>383</v>
      </c>
      <c r="G267" t="s">
        <v>98</v>
      </c>
      <c r="H267" t="s">
        <v>98</v>
      </c>
      <c r="I267" t="s">
        <v>743</v>
      </c>
      <c r="J267" t="s">
        <v>379</v>
      </c>
      <c r="K267" t="s">
        <v>546</v>
      </c>
      <c r="L267" s="784">
        <v>8500000</v>
      </c>
      <c r="M267" t="s">
        <v>745</v>
      </c>
      <c r="P267" t="s">
        <v>1887</v>
      </c>
      <c r="Q267" t="s">
        <v>406</v>
      </c>
      <c r="R267" t="s">
        <v>148</v>
      </c>
      <c r="S267" t="s">
        <v>145</v>
      </c>
      <c r="U267">
        <v>0</v>
      </c>
      <c r="V267" t="s">
        <v>544</v>
      </c>
      <c r="W267" t="s">
        <v>542</v>
      </c>
      <c r="X267" s="784">
        <v>63738640.538260505</v>
      </c>
    </row>
    <row r="268" spans="1:24">
      <c r="A268" t="s">
        <v>358</v>
      </c>
      <c r="B268" t="s">
        <v>668</v>
      </c>
      <c r="C268" t="s">
        <v>270</v>
      </c>
      <c r="D268" t="s">
        <v>126</v>
      </c>
      <c r="E268" t="s">
        <v>377</v>
      </c>
      <c r="F268" t="s">
        <v>383</v>
      </c>
      <c r="G268" t="s">
        <v>98</v>
      </c>
      <c r="H268" t="s">
        <v>98</v>
      </c>
      <c r="I268" t="s">
        <v>743</v>
      </c>
      <c r="J268" t="s">
        <v>379</v>
      </c>
      <c r="K268" t="s">
        <v>546</v>
      </c>
      <c r="L268" s="784" t="s">
        <v>575</v>
      </c>
      <c r="M268" t="s">
        <v>745</v>
      </c>
      <c r="P268" t="s">
        <v>1887</v>
      </c>
      <c r="Q268" t="s">
        <v>575</v>
      </c>
      <c r="R268" t="s">
        <v>150</v>
      </c>
      <c r="S268" t="s">
        <v>145</v>
      </c>
      <c r="U268">
        <v>0</v>
      </c>
      <c r="V268" t="s">
        <v>541</v>
      </c>
      <c r="W268" t="s">
        <v>562</v>
      </c>
      <c r="X268" s="784">
        <v>49012774.055630356</v>
      </c>
    </row>
    <row r="269" spans="1:24">
      <c r="A269" t="s">
        <v>358</v>
      </c>
      <c r="B269" t="s">
        <v>669</v>
      </c>
      <c r="C269" t="s">
        <v>271</v>
      </c>
      <c r="D269" t="s">
        <v>128</v>
      </c>
      <c r="E269" t="s">
        <v>377</v>
      </c>
      <c r="F269" t="s">
        <v>383</v>
      </c>
      <c r="G269" t="s">
        <v>98</v>
      </c>
      <c r="H269" t="s">
        <v>98</v>
      </c>
      <c r="I269" t="s">
        <v>743</v>
      </c>
      <c r="J269" t="s">
        <v>379</v>
      </c>
      <c r="K269" t="s">
        <v>546</v>
      </c>
      <c r="L269" s="784">
        <v>18000000</v>
      </c>
      <c r="M269" t="s">
        <v>745</v>
      </c>
      <c r="P269" t="s">
        <v>1887</v>
      </c>
      <c r="Q269" t="s">
        <v>406</v>
      </c>
      <c r="R269" t="s">
        <v>148</v>
      </c>
      <c r="S269" t="s">
        <v>145</v>
      </c>
      <c r="U269">
        <v>1</v>
      </c>
      <c r="V269" t="s">
        <v>544</v>
      </c>
      <c r="W269" t="s">
        <v>583</v>
      </c>
      <c r="X269" s="784" t="s">
        <v>575</v>
      </c>
    </row>
    <row r="270" spans="1:24">
      <c r="A270" t="s">
        <v>358</v>
      </c>
      <c r="B270" t="s">
        <v>670</v>
      </c>
      <c r="C270" t="s">
        <v>272</v>
      </c>
      <c r="D270" t="s">
        <v>128</v>
      </c>
      <c r="E270" t="s">
        <v>377</v>
      </c>
      <c r="F270" t="s">
        <v>383</v>
      </c>
      <c r="G270" t="s">
        <v>98</v>
      </c>
      <c r="H270" t="s">
        <v>98</v>
      </c>
      <c r="I270" t="s">
        <v>743</v>
      </c>
      <c r="J270" t="s">
        <v>379</v>
      </c>
      <c r="K270" t="s">
        <v>546</v>
      </c>
      <c r="L270" s="784">
        <v>0</v>
      </c>
      <c r="M270" t="s">
        <v>745</v>
      </c>
      <c r="P270" t="s">
        <v>1887</v>
      </c>
      <c r="Q270" t="s">
        <v>575</v>
      </c>
      <c r="R270" t="s">
        <v>152</v>
      </c>
      <c r="S270" t="s">
        <v>146</v>
      </c>
      <c r="U270">
        <v>0</v>
      </c>
      <c r="V270" t="s">
        <v>544</v>
      </c>
      <c r="W270" t="s">
        <v>546</v>
      </c>
      <c r="X270" s="784">
        <v>16429121142.784708</v>
      </c>
    </row>
    <row r="271" spans="1:24">
      <c r="A271" t="s">
        <v>358</v>
      </c>
      <c r="B271" t="s">
        <v>671</v>
      </c>
      <c r="C271" t="s">
        <v>273</v>
      </c>
      <c r="D271" t="s">
        <v>128</v>
      </c>
      <c r="E271" t="s">
        <v>377</v>
      </c>
      <c r="F271" t="s">
        <v>383</v>
      </c>
      <c r="G271" t="s">
        <v>98</v>
      </c>
      <c r="H271" t="s">
        <v>98</v>
      </c>
      <c r="I271" t="s">
        <v>743</v>
      </c>
      <c r="J271" t="s">
        <v>379</v>
      </c>
      <c r="K271" t="s">
        <v>546</v>
      </c>
      <c r="L271" s="784">
        <v>7500000</v>
      </c>
      <c r="M271" t="s">
        <v>745</v>
      </c>
      <c r="P271" t="s">
        <v>1887</v>
      </c>
      <c r="Q271" t="s">
        <v>406</v>
      </c>
      <c r="R271" t="s">
        <v>148</v>
      </c>
      <c r="S271" t="s">
        <v>145</v>
      </c>
      <c r="U271">
        <v>1</v>
      </c>
      <c r="V271" t="s">
        <v>544</v>
      </c>
      <c r="W271" t="s">
        <v>542</v>
      </c>
      <c r="X271" s="784">
        <v>31684581.76217727</v>
      </c>
    </row>
    <row r="272" spans="1:24">
      <c r="A272" t="s">
        <v>358</v>
      </c>
      <c r="B272" t="s">
        <v>672</v>
      </c>
      <c r="C272" t="s">
        <v>274</v>
      </c>
      <c r="D272" t="s">
        <v>132</v>
      </c>
      <c r="E272" t="s">
        <v>377</v>
      </c>
      <c r="F272" t="s">
        <v>383</v>
      </c>
      <c r="G272" t="s">
        <v>98</v>
      </c>
      <c r="H272" t="s">
        <v>98</v>
      </c>
      <c r="I272" t="s">
        <v>743</v>
      </c>
      <c r="J272" t="s">
        <v>379</v>
      </c>
      <c r="K272" t="s">
        <v>546</v>
      </c>
      <c r="L272" s="784">
        <v>39100000</v>
      </c>
      <c r="M272" t="s">
        <v>745</v>
      </c>
      <c r="P272" t="s">
        <v>1887</v>
      </c>
      <c r="Q272" t="s">
        <v>406</v>
      </c>
      <c r="R272" t="s">
        <v>150</v>
      </c>
      <c r="S272" t="s">
        <v>145</v>
      </c>
      <c r="U272">
        <v>0</v>
      </c>
      <c r="V272" t="s">
        <v>544</v>
      </c>
      <c r="W272" t="s">
        <v>546</v>
      </c>
      <c r="X272" s="784">
        <v>1373621563.5182886</v>
      </c>
    </row>
    <row r="273" spans="1:24">
      <c r="A273" t="s">
        <v>358</v>
      </c>
      <c r="B273" t="s">
        <v>673</v>
      </c>
      <c r="C273" t="s">
        <v>275</v>
      </c>
      <c r="D273" t="s">
        <v>130</v>
      </c>
      <c r="E273" t="s">
        <v>377</v>
      </c>
      <c r="F273" t="s">
        <v>383</v>
      </c>
      <c r="G273" t="s">
        <v>98</v>
      </c>
      <c r="H273" t="s">
        <v>98</v>
      </c>
      <c r="I273" t="s">
        <v>743</v>
      </c>
      <c r="J273" t="s">
        <v>379</v>
      </c>
      <c r="K273" t="s">
        <v>546</v>
      </c>
      <c r="L273" s="784" t="s">
        <v>575</v>
      </c>
      <c r="M273" t="s">
        <v>745</v>
      </c>
      <c r="P273" t="s">
        <v>1887</v>
      </c>
      <c r="Q273" t="s">
        <v>575</v>
      </c>
      <c r="R273" t="s">
        <v>550</v>
      </c>
      <c r="S273" t="s">
        <v>146</v>
      </c>
      <c r="U273">
        <v>0</v>
      </c>
      <c r="V273" t="s">
        <v>541</v>
      </c>
      <c r="W273" t="s">
        <v>575</v>
      </c>
      <c r="X273" s="784">
        <v>24214370.889062837</v>
      </c>
    </row>
    <row r="274" spans="1:24">
      <c r="A274" t="s">
        <v>358</v>
      </c>
      <c r="B274" t="s">
        <v>674</v>
      </c>
      <c r="C274" t="s">
        <v>154</v>
      </c>
      <c r="D274" t="s">
        <v>130</v>
      </c>
      <c r="E274" t="s">
        <v>377</v>
      </c>
      <c r="F274" t="s">
        <v>383</v>
      </c>
      <c r="G274" t="s">
        <v>98</v>
      </c>
      <c r="H274" t="s">
        <v>98</v>
      </c>
      <c r="I274" t="s">
        <v>743</v>
      </c>
      <c r="J274" t="s">
        <v>379</v>
      </c>
      <c r="K274" t="s">
        <v>546</v>
      </c>
      <c r="L274" s="784" t="s">
        <v>575</v>
      </c>
      <c r="M274" t="s">
        <v>745</v>
      </c>
      <c r="P274" t="s">
        <v>1887</v>
      </c>
      <c r="Q274" t="s">
        <v>575</v>
      </c>
      <c r="R274" t="s">
        <v>152</v>
      </c>
      <c r="S274" t="s">
        <v>145</v>
      </c>
      <c r="U274">
        <v>0</v>
      </c>
      <c r="V274" t="s">
        <v>541</v>
      </c>
      <c r="W274" t="s">
        <v>548</v>
      </c>
      <c r="X274" s="784">
        <v>39941279.609447442</v>
      </c>
    </row>
    <row r="275" spans="1:24">
      <c r="A275" t="s">
        <v>358</v>
      </c>
      <c r="B275" t="s">
        <v>675</v>
      </c>
      <c r="C275" t="s">
        <v>155</v>
      </c>
      <c r="D275" t="s">
        <v>130</v>
      </c>
      <c r="E275" t="s">
        <v>377</v>
      </c>
      <c r="F275" t="s">
        <v>383</v>
      </c>
      <c r="G275" t="s">
        <v>98</v>
      </c>
      <c r="H275" t="s">
        <v>98</v>
      </c>
      <c r="I275" t="s">
        <v>743</v>
      </c>
      <c r="J275" t="s">
        <v>379</v>
      </c>
      <c r="K275" t="s">
        <v>546</v>
      </c>
      <c r="L275" s="784" t="s">
        <v>575</v>
      </c>
      <c r="M275" t="s">
        <v>745</v>
      </c>
      <c r="P275" t="s">
        <v>1887</v>
      </c>
      <c r="Q275" t="s">
        <v>575</v>
      </c>
      <c r="R275" t="s">
        <v>152</v>
      </c>
      <c r="S275" t="s">
        <v>145</v>
      </c>
      <c r="U275">
        <v>0</v>
      </c>
      <c r="V275" t="s">
        <v>541</v>
      </c>
      <c r="W275" t="s">
        <v>542</v>
      </c>
      <c r="X275" s="784">
        <v>24761675.260059897</v>
      </c>
    </row>
    <row r="276" spans="1:24">
      <c r="A276" t="s">
        <v>358</v>
      </c>
      <c r="B276" t="s">
        <v>676</v>
      </c>
      <c r="C276" t="s">
        <v>276</v>
      </c>
      <c r="D276" t="s">
        <v>131</v>
      </c>
      <c r="E276" t="s">
        <v>377</v>
      </c>
      <c r="F276" t="s">
        <v>383</v>
      </c>
      <c r="G276" t="s">
        <v>98</v>
      </c>
      <c r="H276" t="s">
        <v>98</v>
      </c>
      <c r="I276" t="s">
        <v>743</v>
      </c>
      <c r="J276" t="s">
        <v>379</v>
      </c>
      <c r="K276" t="s">
        <v>546</v>
      </c>
      <c r="L276" s="784">
        <v>0</v>
      </c>
      <c r="M276" t="s">
        <v>745</v>
      </c>
      <c r="P276" t="s">
        <v>1887</v>
      </c>
      <c r="Q276" t="s">
        <v>838</v>
      </c>
      <c r="R276" t="s">
        <v>150</v>
      </c>
      <c r="S276" t="s">
        <v>145</v>
      </c>
      <c r="U276">
        <v>0</v>
      </c>
      <c r="V276" t="s">
        <v>544</v>
      </c>
      <c r="W276" t="s">
        <v>546</v>
      </c>
      <c r="X276" s="784" t="s">
        <v>575</v>
      </c>
    </row>
    <row r="277" spans="1:24">
      <c r="A277" t="s">
        <v>358</v>
      </c>
      <c r="B277" t="s">
        <v>677</v>
      </c>
      <c r="C277" t="s">
        <v>277</v>
      </c>
      <c r="D277" t="s">
        <v>131</v>
      </c>
      <c r="E277" t="s">
        <v>377</v>
      </c>
      <c r="F277" t="s">
        <v>383</v>
      </c>
      <c r="G277" t="s">
        <v>98</v>
      </c>
      <c r="H277" t="s">
        <v>98</v>
      </c>
      <c r="I277" t="s">
        <v>743</v>
      </c>
      <c r="J277" t="s">
        <v>379</v>
      </c>
      <c r="K277" t="s">
        <v>546</v>
      </c>
      <c r="L277" s="784">
        <v>49600000</v>
      </c>
      <c r="M277" t="s">
        <v>745</v>
      </c>
      <c r="P277" t="s">
        <v>1887</v>
      </c>
      <c r="Q277" t="s">
        <v>406</v>
      </c>
      <c r="R277" t="s">
        <v>148</v>
      </c>
      <c r="S277" t="s">
        <v>145</v>
      </c>
      <c r="U277">
        <v>1</v>
      </c>
      <c r="V277" t="s">
        <v>544</v>
      </c>
      <c r="W277" t="s">
        <v>546</v>
      </c>
      <c r="X277" s="784">
        <v>577156172.71229994</v>
      </c>
    </row>
    <row r="278" spans="1:24">
      <c r="A278" t="s">
        <v>358</v>
      </c>
      <c r="B278" t="s">
        <v>678</v>
      </c>
      <c r="C278" t="s">
        <v>278</v>
      </c>
      <c r="D278" t="s">
        <v>126</v>
      </c>
      <c r="E278" t="s">
        <v>377</v>
      </c>
      <c r="F278" t="s">
        <v>383</v>
      </c>
      <c r="G278" t="s">
        <v>98</v>
      </c>
      <c r="H278" t="s">
        <v>98</v>
      </c>
      <c r="I278" t="s">
        <v>743</v>
      </c>
      <c r="J278" t="s">
        <v>379</v>
      </c>
      <c r="K278" t="s">
        <v>546</v>
      </c>
      <c r="L278" s="784" t="s">
        <v>575</v>
      </c>
      <c r="M278" t="s">
        <v>745</v>
      </c>
      <c r="P278" t="s">
        <v>1887</v>
      </c>
      <c r="Q278" t="s">
        <v>575</v>
      </c>
      <c r="R278" t="s">
        <v>152</v>
      </c>
      <c r="S278" t="s">
        <v>146</v>
      </c>
      <c r="U278">
        <v>0</v>
      </c>
      <c r="V278" t="s">
        <v>541</v>
      </c>
      <c r="W278" t="s">
        <v>575</v>
      </c>
      <c r="X278" s="784">
        <v>180052034.19851837</v>
      </c>
    </row>
    <row r="279" spans="1:24">
      <c r="A279" t="s">
        <v>358</v>
      </c>
      <c r="B279" t="s">
        <v>679</v>
      </c>
      <c r="C279" t="s">
        <v>279</v>
      </c>
      <c r="D279" t="s">
        <v>131</v>
      </c>
      <c r="E279" t="s">
        <v>377</v>
      </c>
      <c r="F279" t="s">
        <v>383</v>
      </c>
      <c r="G279" t="s">
        <v>98</v>
      </c>
      <c r="H279" t="s">
        <v>98</v>
      </c>
      <c r="I279" t="s">
        <v>743</v>
      </c>
      <c r="J279" t="s">
        <v>379</v>
      </c>
      <c r="K279" t="s">
        <v>546</v>
      </c>
      <c r="L279" s="784" t="s">
        <v>575</v>
      </c>
      <c r="M279" t="s">
        <v>745</v>
      </c>
      <c r="P279" t="s">
        <v>1887</v>
      </c>
      <c r="Q279" t="s">
        <v>575</v>
      </c>
      <c r="R279" t="s">
        <v>148</v>
      </c>
      <c r="S279" t="s">
        <v>145</v>
      </c>
      <c r="U279">
        <v>1</v>
      </c>
      <c r="V279" t="s">
        <v>544</v>
      </c>
      <c r="W279" t="s">
        <v>546</v>
      </c>
      <c r="X279" s="784" t="s">
        <v>575</v>
      </c>
    </row>
    <row r="280" spans="1:24">
      <c r="A280" t="s">
        <v>358</v>
      </c>
      <c r="B280" t="s">
        <v>680</v>
      </c>
      <c r="C280" t="s">
        <v>280</v>
      </c>
      <c r="D280" t="s">
        <v>127</v>
      </c>
      <c r="E280" t="s">
        <v>377</v>
      </c>
      <c r="F280" t="s">
        <v>383</v>
      </c>
      <c r="G280" t="s">
        <v>98</v>
      </c>
      <c r="H280" t="s">
        <v>98</v>
      </c>
      <c r="I280" t="s">
        <v>743</v>
      </c>
      <c r="J280" t="s">
        <v>379</v>
      </c>
      <c r="K280" t="s">
        <v>546</v>
      </c>
      <c r="L280" s="784">
        <v>2400000</v>
      </c>
      <c r="M280" t="s">
        <v>745</v>
      </c>
      <c r="P280" t="s">
        <v>1887</v>
      </c>
      <c r="Q280" t="s">
        <v>406</v>
      </c>
      <c r="R280" t="s">
        <v>150</v>
      </c>
      <c r="S280" t="s">
        <v>145</v>
      </c>
      <c r="U280">
        <v>0</v>
      </c>
      <c r="V280" t="s">
        <v>544</v>
      </c>
      <c r="W280" t="s">
        <v>542</v>
      </c>
      <c r="X280" s="784">
        <v>147296124.32232863</v>
      </c>
    </row>
    <row r="281" spans="1:24">
      <c r="A281" t="s">
        <v>358</v>
      </c>
      <c r="B281" t="s">
        <v>681</v>
      </c>
      <c r="C281" t="s">
        <v>156</v>
      </c>
      <c r="D281" t="s">
        <v>128</v>
      </c>
      <c r="E281" t="s">
        <v>377</v>
      </c>
      <c r="F281" t="s">
        <v>383</v>
      </c>
      <c r="G281" t="s">
        <v>98</v>
      </c>
      <c r="H281" t="s">
        <v>98</v>
      </c>
      <c r="I281" t="s">
        <v>743</v>
      </c>
      <c r="J281" t="s">
        <v>379</v>
      </c>
      <c r="K281" t="s">
        <v>546</v>
      </c>
      <c r="L281" s="784" t="s">
        <v>575</v>
      </c>
      <c r="M281" t="s">
        <v>745</v>
      </c>
      <c r="P281" t="s">
        <v>1887</v>
      </c>
      <c r="Q281" t="s">
        <v>575</v>
      </c>
      <c r="R281" t="s">
        <v>150</v>
      </c>
      <c r="S281" t="s">
        <v>145</v>
      </c>
      <c r="U281">
        <v>0</v>
      </c>
      <c r="V281" t="s">
        <v>544</v>
      </c>
      <c r="W281" t="s">
        <v>548</v>
      </c>
      <c r="X281" s="784">
        <v>890576536.83065879</v>
      </c>
    </row>
    <row r="282" spans="1:24">
      <c r="A282" t="s">
        <v>358</v>
      </c>
      <c r="B282" t="s">
        <v>682</v>
      </c>
      <c r="C282" t="s">
        <v>157</v>
      </c>
      <c r="D282" t="s">
        <v>126</v>
      </c>
      <c r="E282" t="s">
        <v>377</v>
      </c>
      <c r="F282" t="s">
        <v>383</v>
      </c>
      <c r="G282" t="s">
        <v>98</v>
      </c>
      <c r="H282" t="s">
        <v>98</v>
      </c>
      <c r="I282" t="s">
        <v>743</v>
      </c>
      <c r="J282" t="s">
        <v>379</v>
      </c>
      <c r="K282" t="s">
        <v>546</v>
      </c>
      <c r="L282" s="784" t="s">
        <v>575</v>
      </c>
      <c r="M282" t="s">
        <v>745</v>
      </c>
      <c r="P282" t="s">
        <v>1887</v>
      </c>
      <c r="Q282" t="s">
        <v>575</v>
      </c>
      <c r="R282" t="s">
        <v>152</v>
      </c>
      <c r="S282" t="s">
        <v>146</v>
      </c>
      <c r="U282">
        <v>0</v>
      </c>
      <c r="V282" t="s">
        <v>544</v>
      </c>
      <c r="W282" t="s">
        <v>575</v>
      </c>
      <c r="X282" s="784">
        <v>14611129792.346064</v>
      </c>
    </row>
    <row r="283" spans="1:24">
      <c r="A283" t="s">
        <v>358</v>
      </c>
      <c r="B283" t="s">
        <v>683</v>
      </c>
      <c r="C283" t="s">
        <v>281</v>
      </c>
      <c r="D283" t="s">
        <v>126</v>
      </c>
      <c r="E283" t="s">
        <v>377</v>
      </c>
      <c r="F283" t="s">
        <v>383</v>
      </c>
      <c r="G283" t="s">
        <v>98</v>
      </c>
      <c r="H283" t="s">
        <v>98</v>
      </c>
      <c r="I283" t="s">
        <v>743</v>
      </c>
      <c r="J283" t="s">
        <v>379</v>
      </c>
      <c r="K283" t="s">
        <v>546</v>
      </c>
      <c r="L283" s="784" t="s">
        <v>575</v>
      </c>
      <c r="M283" t="s">
        <v>745</v>
      </c>
      <c r="P283" t="s">
        <v>1887</v>
      </c>
      <c r="Q283" t="s">
        <v>575</v>
      </c>
      <c r="R283" t="s">
        <v>150</v>
      </c>
      <c r="S283" t="s">
        <v>145</v>
      </c>
      <c r="U283">
        <v>0</v>
      </c>
      <c r="V283" t="s">
        <v>541</v>
      </c>
      <c r="W283" t="s">
        <v>558</v>
      </c>
      <c r="X283" s="784">
        <v>72046877.233008593</v>
      </c>
    </row>
    <row r="284" spans="1:24">
      <c r="A284" t="s">
        <v>358</v>
      </c>
      <c r="B284" t="s">
        <v>684</v>
      </c>
      <c r="C284" t="s">
        <v>282</v>
      </c>
      <c r="D284" t="s">
        <v>129</v>
      </c>
      <c r="E284" t="s">
        <v>377</v>
      </c>
      <c r="F284" t="s">
        <v>383</v>
      </c>
      <c r="G284" t="s">
        <v>98</v>
      </c>
      <c r="H284" t="s">
        <v>98</v>
      </c>
      <c r="I284" t="s">
        <v>743</v>
      </c>
      <c r="J284" t="s">
        <v>379</v>
      </c>
      <c r="K284" t="s">
        <v>546</v>
      </c>
      <c r="L284" s="784">
        <v>21600000</v>
      </c>
      <c r="M284" t="s">
        <v>745</v>
      </c>
      <c r="P284" t="s">
        <v>1887</v>
      </c>
      <c r="Q284" t="s">
        <v>406</v>
      </c>
      <c r="R284" t="s">
        <v>148</v>
      </c>
      <c r="S284" t="s">
        <v>145</v>
      </c>
      <c r="U284">
        <v>0</v>
      </c>
      <c r="V284" t="s">
        <v>544</v>
      </c>
      <c r="W284" t="s">
        <v>542</v>
      </c>
      <c r="X284" s="784">
        <v>56248139.267255567</v>
      </c>
    </row>
    <row r="285" spans="1:24">
      <c r="A285" t="s">
        <v>358</v>
      </c>
      <c r="B285" t="s">
        <v>685</v>
      </c>
      <c r="C285" t="s">
        <v>283</v>
      </c>
      <c r="D285" t="s">
        <v>126</v>
      </c>
      <c r="E285" t="s">
        <v>377</v>
      </c>
      <c r="F285" t="s">
        <v>383</v>
      </c>
      <c r="G285" t="s">
        <v>98</v>
      </c>
      <c r="H285" t="s">
        <v>98</v>
      </c>
      <c r="I285" t="s">
        <v>743</v>
      </c>
      <c r="J285" t="s">
        <v>379</v>
      </c>
      <c r="K285" t="s">
        <v>546</v>
      </c>
      <c r="L285" s="784" t="s">
        <v>575</v>
      </c>
      <c r="M285" t="s">
        <v>745</v>
      </c>
      <c r="P285" t="s">
        <v>1887</v>
      </c>
      <c r="Q285" t="s">
        <v>575</v>
      </c>
      <c r="R285" t="s">
        <v>152</v>
      </c>
      <c r="S285" t="s">
        <v>145</v>
      </c>
      <c r="U285">
        <v>0</v>
      </c>
      <c r="V285" t="s">
        <v>541</v>
      </c>
      <c r="W285" t="s">
        <v>542</v>
      </c>
      <c r="X285" s="784">
        <v>15464031.712942109</v>
      </c>
    </row>
    <row r="286" spans="1:24">
      <c r="A286" t="s">
        <v>358</v>
      </c>
      <c r="B286" t="s">
        <v>686</v>
      </c>
      <c r="C286" t="s">
        <v>284</v>
      </c>
      <c r="D286" t="s">
        <v>130</v>
      </c>
      <c r="E286" t="s">
        <v>377</v>
      </c>
      <c r="F286" t="s">
        <v>383</v>
      </c>
      <c r="G286" t="s">
        <v>98</v>
      </c>
      <c r="H286" t="s">
        <v>98</v>
      </c>
      <c r="I286" t="s">
        <v>743</v>
      </c>
      <c r="J286" t="s">
        <v>379</v>
      </c>
      <c r="K286" t="s">
        <v>546</v>
      </c>
      <c r="L286" s="784" t="s">
        <v>575</v>
      </c>
      <c r="M286" t="s">
        <v>745</v>
      </c>
      <c r="P286" t="s">
        <v>1887</v>
      </c>
      <c r="Q286" t="s">
        <v>575</v>
      </c>
      <c r="R286" t="s">
        <v>550</v>
      </c>
      <c r="S286" t="s">
        <v>146</v>
      </c>
      <c r="U286">
        <v>0</v>
      </c>
      <c r="V286" t="s">
        <v>541</v>
      </c>
      <c r="W286" t="s">
        <v>546</v>
      </c>
      <c r="X286" s="784">
        <v>769564399.33249676</v>
      </c>
    </row>
    <row r="287" spans="1:24">
      <c r="A287" t="s">
        <v>358</v>
      </c>
      <c r="B287" t="s">
        <v>687</v>
      </c>
      <c r="C287" t="s">
        <v>285</v>
      </c>
      <c r="D287" t="s">
        <v>131</v>
      </c>
      <c r="E287" t="s">
        <v>377</v>
      </c>
      <c r="F287" t="s">
        <v>383</v>
      </c>
      <c r="G287" t="s">
        <v>98</v>
      </c>
      <c r="H287" t="s">
        <v>98</v>
      </c>
      <c r="I287" t="s">
        <v>743</v>
      </c>
      <c r="J287" t="s">
        <v>379</v>
      </c>
      <c r="K287" t="s">
        <v>546</v>
      </c>
      <c r="L287" s="784">
        <v>9300000</v>
      </c>
      <c r="M287" t="s">
        <v>745</v>
      </c>
      <c r="P287" t="s">
        <v>1887</v>
      </c>
      <c r="Q287" t="s">
        <v>406</v>
      </c>
      <c r="R287" t="s">
        <v>150</v>
      </c>
      <c r="S287" t="s">
        <v>145</v>
      </c>
      <c r="U287">
        <v>0</v>
      </c>
      <c r="V287" t="s">
        <v>544</v>
      </c>
      <c r="W287" t="s">
        <v>546</v>
      </c>
      <c r="X287" s="784">
        <v>1668954539.7630196</v>
      </c>
    </row>
    <row r="288" spans="1:24">
      <c r="A288" t="s">
        <v>358</v>
      </c>
      <c r="B288" t="s">
        <v>688</v>
      </c>
      <c r="C288" t="s">
        <v>286</v>
      </c>
      <c r="D288" t="s">
        <v>127</v>
      </c>
      <c r="E288" t="s">
        <v>377</v>
      </c>
      <c r="F288" t="s">
        <v>383</v>
      </c>
      <c r="G288" t="s">
        <v>98</v>
      </c>
      <c r="H288" t="s">
        <v>98</v>
      </c>
      <c r="I288" t="s">
        <v>743</v>
      </c>
      <c r="J288" t="s">
        <v>379</v>
      </c>
      <c r="K288" t="s">
        <v>546</v>
      </c>
      <c r="L288" s="784" t="s">
        <v>575</v>
      </c>
      <c r="M288" t="s">
        <v>745</v>
      </c>
      <c r="P288" t="s">
        <v>1887</v>
      </c>
      <c r="Q288" t="s">
        <v>575</v>
      </c>
      <c r="R288" t="s">
        <v>152</v>
      </c>
      <c r="S288" t="s">
        <v>146</v>
      </c>
      <c r="U288">
        <v>0</v>
      </c>
      <c r="V288" t="s">
        <v>544</v>
      </c>
      <c r="W288" t="s">
        <v>575</v>
      </c>
      <c r="X288" s="784">
        <v>24840920016.18832</v>
      </c>
    </row>
    <row r="289" spans="1:24">
      <c r="A289" t="s">
        <v>358</v>
      </c>
      <c r="B289" t="s">
        <v>689</v>
      </c>
      <c r="C289" t="s">
        <v>287</v>
      </c>
      <c r="D289" t="s">
        <v>127</v>
      </c>
      <c r="E289" t="s">
        <v>377</v>
      </c>
      <c r="F289" t="s">
        <v>383</v>
      </c>
      <c r="G289" t="s">
        <v>98</v>
      </c>
      <c r="H289" t="s">
        <v>98</v>
      </c>
      <c r="I289" t="s">
        <v>743</v>
      </c>
      <c r="J289" t="s">
        <v>379</v>
      </c>
      <c r="K289" t="s">
        <v>546</v>
      </c>
      <c r="L289" s="784">
        <v>0</v>
      </c>
      <c r="M289" t="s">
        <v>745</v>
      </c>
      <c r="P289" t="s">
        <v>1887</v>
      </c>
      <c r="Q289" t="s">
        <v>864</v>
      </c>
      <c r="R289" t="s">
        <v>152</v>
      </c>
      <c r="S289" t="s">
        <v>146</v>
      </c>
      <c r="U289">
        <v>0</v>
      </c>
      <c r="V289" t="s">
        <v>544</v>
      </c>
      <c r="W289" t="s">
        <v>546</v>
      </c>
      <c r="X289" s="784">
        <v>487888462.83720118</v>
      </c>
    </row>
    <row r="290" spans="1:24">
      <c r="A290" t="s">
        <v>358</v>
      </c>
      <c r="B290" t="s">
        <v>690</v>
      </c>
      <c r="C290" t="s">
        <v>288</v>
      </c>
      <c r="D290" t="s">
        <v>126</v>
      </c>
      <c r="E290" t="s">
        <v>377</v>
      </c>
      <c r="F290" t="s">
        <v>383</v>
      </c>
      <c r="G290" t="s">
        <v>98</v>
      </c>
      <c r="H290" t="s">
        <v>98</v>
      </c>
      <c r="I290" t="s">
        <v>743</v>
      </c>
      <c r="J290" t="s">
        <v>379</v>
      </c>
      <c r="K290" t="s">
        <v>546</v>
      </c>
      <c r="L290" s="784" t="s">
        <v>575</v>
      </c>
      <c r="M290" t="s">
        <v>745</v>
      </c>
      <c r="P290" t="s">
        <v>1887</v>
      </c>
      <c r="Q290" t="s">
        <v>575</v>
      </c>
      <c r="R290" t="s">
        <v>152</v>
      </c>
      <c r="S290" t="s">
        <v>145</v>
      </c>
      <c r="U290">
        <v>0</v>
      </c>
      <c r="V290" t="s">
        <v>541</v>
      </c>
      <c r="W290" t="s">
        <v>548</v>
      </c>
      <c r="X290" s="784">
        <v>6365061.1736073596</v>
      </c>
    </row>
    <row r="291" spans="1:24">
      <c r="A291" t="s">
        <v>358</v>
      </c>
      <c r="B291" t="s">
        <v>691</v>
      </c>
      <c r="C291" t="s">
        <v>289</v>
      </c>
      <c r="D291" t="s">
        <v>128</v>
      </c>
      <c r="E291" t="s">
        <v>377</v>
      </c>
      <c r="F291" t="s">
        <v>383</v>
      </c>
      <c r="G291" t="s">
        <v>98</v>
      </c>
      <c r="H291" t="s">
        <v>98</v>
      </c>
      <c r="I291" t="s">
        <v>743</v>
      </c>
      <c r="J291" t="s">
        <v>379</v>
      </c>
      <c r="K291" t="s">
        <v>546</v>
      </c>
      <c r="L291" s="784">
        <v>20150000</v>
      </c>
      <c r="M291" t="s">
        <v>745</v>
      </c>
      <c r="P291" t="s">
        <v>1887</v>
      </c>
      <c r="Q291" t="s">
        <v>406</v>
      </c>
      <c r="R291" t="s">
        <v>148</v>
      </c>
      <c r="S291" t="s">
        <v>145</v>
      </c>
      <c r="U291">
        <v>2</v>
      </c>
      <c r="V291" t="s">
        <v>544</v>
      </c>
      <c r="W291" t="s">
        <v>558</v>
      </c>
      <c r="X291" s="784">
        <v>291799092.90196139</v>
      </c>
    </row>
    <row r="292" spans="1:24">
      <c r="A292" t="s">
        <v>358</v>
      </c>
      <c r="B292" t="s">
        <v>692</v>
      </c>
      <c r="C292" t="s">
        <v>290</v>
      </c>
      <c r="D292" t="s">
        <v>127</v>
      </c>
      <c r="E292" t="s">
        <v>377</v>
      </c>
      <c r="F292" t="s">
        <v>383</v>
      </c>
      <c r="G292" t="s">
        <v>98</v>
      </c>
      <c r="H292" t="s">
        <v>98</v>
      </c>
      <c r="I292" t="s">
        <v>743</v>
      </c>
      <c r="J292" t="s">
        <v>379</v>
      </c>
      <c r="K292" t="s">
        <v>546</v>
      </c>
      <c r="L292" s="784">
        <v>70000000</v>
      </c>
      <c r="M292" t="s">
        <v>745</v>
      </c>
      <c r="P292" t="s">
        <v>1887</v>
      </c>
      <c r="Q292" t="s">
        <v>406</v>
      </c>
      <c r="R292" t="s">
        <v>150</v>
      </c>
      <c r="S292" t="s">
        <v>145</v>
      </c>
      <c r="U292">
        <v>0</v>
      </c>
      <c r="V292" t="s">
        <v>544</v>
      </c>
      <c r="W292" t="s">
        <v>546</v>
      </c>
      <c r="X292" s="784">
        <v>4844815340.2135534</v>
      </c>
    </row>
    <row r="293" spans="1:24">
      <c r="A293" t="s">
        <v>358</v>
      </c>
      <c r="B293" t="s">
        <v>693</v>
      </c>
      <c r="C293" t="s">
        <v>291</v>
      </c>
      <c r="D293" t="s">
        <v>130</v>
      </c>
      <c r="E293" t="s">
        <v>377</v>
      </c>
      <c r="F293" t="s">
        <v>383</v>
      </c>
      <c r="G293" t="s">
        <v>98</v>
      </c>
      <c r="H293" t="s">
        <v>98</v>
      </c>
      <c r="I293" t="s">
        <v>743</v>
      </c>
      <c r="J293" t="s">
        <v>379</v>
      </c>
      <c r="K293" t="s">
        <v>546</v>
      </c>
      <c r="L293" s="784" t="s">
        <v>575</v>
      </c>
      <c r="M293" t="s">
        <v>745</v>
      </c>
      <c r="P293" t="s">
        <v>1887</v>
      </c>
      <c r="Q293" t="s">
        <v>575</v>
      </c>
      <c r="R293" t="s">
        <v>550</v>
      </c>
      <c r="S293" t="s">
        <v>146</v>
      </c>
      <c r="U293">
        <v>0</v>
      </c>
      <c r="V293" t="s">
        <v>544</v>
      </c>
      <c r="W293" t="s">
        <v>575</v>
      </c>
      <c r="X293" s="784">
        <v>4001891446.6871672</v>
      </c>
    </row>
    <row r="294" spans="1:24">
      <c r="A294" t="s">
        <v>358</v>
      </c>
      <c r="B294" t="s">
        <v>694</v>
      </c>
      <c r="C294" t="s">
        <v>292</v>
      </c>
      <c r="D294" t="s">
        <v>127</v>
      </c>
      <c r="E294" t="s">
        <v>377</v>
      </c>
      <c r="F294" t="s">
        <v>383</v>
      </c>
      <c r="G294" t="s">
        <v>98</v>
      </c>
      <c r="H294" t="s">
        <v>98</v>
      </c>
      <c r="I294" t="s">
        <v>743</v>
      </c>
      <c r="J294" t="s">
        <v>379</v>
      </c>
      <c r="K294" t="s">
        <v>546</v>
      </c>
      <c r="L294" s="784" t="s">
        <v>575</v>
      </c>
      <c r="M294" t="s">
        <v>745</v>
      </c>
      <c r="P294" t="s">
        <v>1887</v>
      </c>
      <c r="Q294" t="s">
        <v>575</v>
      </c>
      <c r="R294" t="s">
        <v>150</v>
      </c>
      <c r="S294" t="s">
        <v>145</v>
      </c>
      <c r="U294">
        <v>0</v>
      </c>
      <c r="V294" t="s">
        <v>544</v>
      </c>
      <c r="W294" t="s">
        <v>558</v>
      </c>
      <c r="X294" s="784">
        <v>1019800630.5853213</v>
      </c>
    </row>
    <row r="295" spans="1:24">
      <c r="A295" t="s">
        <v>358</v>
      </c>
      <c r="B295" t="s">
        <v>695</v>
      </c>
      <c r="C295" t="s">
        <v>293</v>
      </c>
      <c r="D295" t="s">
        <v>126</v>
      </c>
      <c r="E295" t="s">
        <v>377</v>
      </c>
      <c r="F295" t="s">
        <v>383</v>
      </c>
      <c r="G295" t="s">
        <v>98</v>
      </c>
      <c r="H295" t="s">
        <v>98</v>
      </c>
      <c r="I295" t="s">
        <v>743</v>
      </c>
      <c r="J295" t="s">
        <v>379</v>
      </c>
      <c r="K295" t="s">
        <v>546</v>
      </c>
      <c r="L295" s="784" t="s">
        <v>575</v>
      </c>
      <c r="M295" t="s">
        <v>745</v>
      </c>
      <c r="P295" t="s">
        <v>1887</v>
      </c>
      <c r="Q295" t="s">
        <v>575</v>
      </c>
      <c r="R295" t="s">
        <v>150</v>
      </c>
      <c r="S295" t="s">
        <v>145</v>
      </c>
      <c r="U295">
        <v>0</v>
      </c>
      <c r="V295" t="s">
        <v>541</v>
      </c>
      <c r="W295" t="s">
        <v>562</v>
      </c>
      <c r="X295" s="784">
        <v>19578671.310841195</v>
      </c>
    </row>
    <row r="296" spans="1:24">
      <c r="A296" t="s">
        <v>358</v>
      </c>
      <c r="B296" t="s">
        <v>696</v>
      </c>
      <c r="C296" t="s">
        <v>294</v>
      </c>
      <c r="D296" t="s">
        <v>130</v>
      </c>
      <c r="E296" t="s">
        <v>377</v>
      </c>
      <c r="F296" t="s">
        <v>383</v>
      </c>
      <c r="G296" t="s">
        <v>98</v>
      </c>
      <c r="H296" t="s">
        <v>98</v>
      </c>
      <c r="I296" t="s">
        <v>743</v>
      </c>
      <c r="J296" t="s">
        <v>379</v>
      </c>
      <c r="K296" t="s">
        <v>546</v>
      </c>
      <c r="L296" s="784" t="s">
        <v>575</v>
      </c>
      <c r="M296" t="s">
        <v>745</v>
      </c>
      <c r="P296" t="s">
        <v>1887</v>
      </c>
      <c r="Q296" t="s">
        <v>575</v>
      </c>
      <c r="R296" t="s">
        <v>322</v>
      </c>
      <c r="S296" t="s">
        <v>146</v>
      </c>
      <c r="U296">
        <v>0</v>
      </c>
      <c r="V296" t="s">
        <v>544</v>
      </c>
      <c r="W296" t="s">
        <v>546</v>
      </c>
      <c r="X296" s="784">
        <v>3551452001.0684834</v>
      </c>
    </row>
    <row r="297" spans="1:24">
      <c r="A297" t="s">
        <v>358</v>
      </c>
      <c r="B297" t="s">
        <v>697</v>
      </c>
      <c r="C297" t="s">
        <v>295</v>
      </c>
      <c r="D297" t="s">
        <v>126</v>
      </c>
      <c r="E297" t="s">
        <v>377</v>
      </c>
      <c r="F297" t="s">
        <v>383</v>
      </c>
      <c r="G297" t="s">
        <v>98</v>
      </c>
      <c r="H297" t="s">
        <v>98</v>
      </c>
      <c r="I297" t="s">
        <v>743</v>
      </c>
      <c r="J297" t="s">
        <v>379</v>
      </c>
      <c r="K297" t="s">
        <v>546</v>
      </c>
      <c r="L297" s="784" t="s">
        <v>575</v>
      </c>
      <c r="M297" t="s">
        <v>745</v>
      </c>
      <c r="P297" t="s">
        <v>1887</v>
      </c>
      <c r="Q297" t="s">
        <v>575</v>
      </c>
      <c r="R297" t="s">
        <v>150</v>
      </c>
      <c r="S297" t="s">
        <v>145</v>
      </c>
      <c r="U297">
        <v>0</v>
      </c>
      <c r="V297" t="s">
        <v>544</v>
      </c>
      <c r="W297" t="s">
        <v>546</v>
      </c>
      <c r="X297" s="784">
        <v>6603048821.7575006</v>
      </c>
    </row>
    <row r="298" spans="1:24">
      <c r="A298" t="s">
        <v>358</v>
      </c>
      <c r="B298" t="s">
        <v>698</v>
      </c>
      <c r="C298" t="s">
        <v>296</v>
      </c>
      <c r="D298" t="s">
        <v>131</v>
      </c>
      <c r="E298" t="s">
        <v>377</v>
      </c>
      <c r="F298" t="s">
        <v>383</v>
      </c>
      <c r="G298" t="s">
        <v>98</v>
      </c>
      <c r="H298" t="s">
        <v>98</v>
      </c>
      <c r="I298" t="s">
        <v>743</v>
      </c>
      <c r="J298" t="s">
        <v>379</v>
      </c>
      <c r="K298" t="s">
        <v>546</v>
      </c>
      <c r="L298" s="784">
        <v>17800000</v>
      </c>
      <c r="M298" t="s">
        <v>745</v>
      </c>
      <c r="P298" t="s">
        <v>1887</v>
      </c>
      <c r="Q298" t="s">
        <v>406</v>
      </c>
      <c r="R298" t="s">
        <v>148</v>
      </c>
      <c r="S298" t="s">
        <v>145</v>
      </c>
      <c r="U298">
        <v>1</v>
      </c>
      <c r="V298" t="s">
        <v>544</v>
      </c>
      <c r="W298" t="s">
        <v>548</v>
      </c>
      <c r="X298" s="784" t="s">
        <v>575</v>
      </c>
    </row>
    <row r="299" spans="1:24">
      <c r="A299" t="s">
        <v>358</v>
      </c>
      <c r="B299" t="s">
        <v>699</v>
      </c>
      <c r="C299" t="s">
        <v>297</v>
      </c>
      <c r="D299" t="s">
        <v>128</v>
      </c>
      <c r="E299" t="s">
        <v>377</v>
      </c>
      <c r="F299" t="s">
        <v>383</v>
      </c>
      <c r="G299" t="s">
        <v>98</v>
      </c>
      <c r="H299" t="s">
        <v>98</v>
      </c>
      <c r="I299" t="s">
        <v>743</v>
      </c>
      <c r="J299" t="s">
        <v>379</v>
      </c>
      <c r="K299" t="s">
        <v>546</v>
      </c>
      <c r="L299" s="784">
        <v>11800000</v>
      </c>
      <c r="M299" t="s">
        <v>745</v>
      </c>
      <c r="P299" t="s">
        <v>1887</v>
      </c>
      <c r="Q299" t="s">
        <v>406</v>
      </c>
      <c r="R299" t="s">
        <v>150</v>
      </c>
      <c r="S299" t="s">
        <v>145</v>
      </c>
      <c r="U299">
        <v>0</v>
      </c>
      <c r="V299" t="s">
        <v>544</v>
      </c>
      <c r="W299" t="s">
        <v>542</v>
      </c>
      <c r="X299" s="784">
        <v>515352723.9821828</v>
      </c>
    </row>
    <row r="300" spans="1:24">
      <c r="A300" t="s">
        <v>358</v>
      </c>
      <c r="B300" t="s">
        <v>700</v>
      </c>
      <c r="C300" t="s">
        <v>298</v>
      </c>
      <c r="D300" t="s">
        <v>128</v>
      </c>
      <c r="E300" t="s">
        <v>377</v>
      </c>
      <c r="F300" t="s">
        <v>383</v>
      </c>
      <c r="G300" t="s">
        <v>98</v>
      </c>
      <c r="H300" t="s">
        <v>98</v>
      </c>
      <c r="I300" t="s">
        <v>743</v>
      </c>
      <c r="J300" t="s">
        <v>379</v>
      </c>
      <c r="K300" t="s">
        <v>546</v>
      </c>
      <c r="L300" s="784">
        <v>0</v>
      </c>
      <c r="M300" t="s">
        <v>745</v>
      </c>
      <c r="P300" t="s">
        <v>1887</v>
      </c>
      <c r="Q300" t="s">
        <v>838</v>
      </c>
      <c r="R300" t="s">
        <v>150</v>
      </c>
      <c r="S300" t="s">
        <v>145</v>
      </c>
      <c r="U300">
        <v>0</v>
      </c>
      <c r="V300" t="s">
        <v>544</v>
      </c>
      <c r="W300" t="s">
        <v>546</v>
      </c>
      <c r="X300" s="784">
        <v>566711742.22428358</v>
      </c>
    </row>
    <row r="301" spans="1:24">
      <c r="A301" t="s">
        <v>358</v>
      </c>
      <c r="B301" t="s">
        <v>540</v>
      </c>
      <c r="C301" t="s">
        <v>160</v>
      </c>
      <c r="D301" t="s">
        <v>132</v>
      </c>
      <c r="E301" t="s">
        <v>377</v>
      </c>
      <c r="F301" t="s">
        <v>383</v>
      </c>
      <c r="G301" t="s">
        <v>98</v>
      </c>
      <c r="H301" t="s">
        <v>98</v>
      </c>
      <c r="I301" t="s">
        <v>743</v>
      </c>
      <c r="J301" t="s">
        <v>746</v>
      </c>
      <c r="K301" t="s">
        <v>546</v>
      </c>
      <c r="L301" s="784">
        <v>8600000</v>
      </c>
      <c r="M301" t="s">
        <v>745</v>
      </c>
      <c r="P301" t="s">
        <v>1887</v>
      </c>
      <c r="Q301" t="s">
        <v>406</v>
      </c>
      <c r="R301" t="s">
        <v>148</v>
      </c>
      <c r="S301" t="s">
        <v>145</v>
      </c>
      <c r="U301">
        <v>1</v>
      </c>
      <c r="V301" t="s">
        <v>544</v>
      </c>
      <c r="W301" t="s">
        <v>542</v>
      </c>
      <c r="X301" s="784">
        <v>95829480.719269618</v>
      </c>
    </row>
    <row r="302" spans="1:24">
      <c r="A302" t="s">
        <v>358</v>
      </c>
      <c r="B302" t="s">
        <v>543</v>
      </c>
      <c r="C302" t="s">
        <v>161</v>
      </c>
      <c r="D302" t="s">
        <v>127</v>
      </c>
      <c r="E302" t="s">
        <v>377</v>
      </c>
      <c r="F302" t="s">
        <v>383</v>
      </c>
      <c r="G302" t="s">
        <v>98</v>
      </c>
      <c r="H302" t="s">
        <v>98</v>
      </c>
      <c r="I302" t="s">
        <v>743</v>
      </c>
      <c r="J302" t="s">
        <v>746</v>
      </c>
      <c r="K302" t="s">
        <v>546</v>
      </c>
      <c r="L302" s="784" t="s">
        <v>575</v>
      </c>
      <c r="M302" t="s">
        <v>745</v>
      </c>
      <c r="P302" t="s">
        <v>1887</v>
      </c>
      <c r="Q302" t="s">
        <v>575</v>
      </c>
      <c r="R302" t="s">
        <v>152</v>
      </c>
      <c r="S302" t="s">
        <v>146</v>
      </c>
      <c r="U302">
        <v>0</v>
      </c>
      <c r="V302" t="s">
        <v>544</v>
      </c>
      <c r="W302" t="s">
        <v>575</v>
      </c>
      <c r="X302" s="784">
        <v>427904035.52443534</v>
      </c>
    </row>
    <row r="303" spans="1:24">
      <c r="A303" t="s">
        <v>358</v>
      </c>
      <c r="B303" t="s">
        <v>545</v>
      </c>
      <c r="C303" t="s">
        <v>143</v>
      </c>
      <c r="D303" t="s">
        <v>131</v>
      </c>
      <c r="E303" t="s">
        <v>377</v>
      </c>
      <c r="F303" t="s">
        <v>383</v>
      </c>
      <c r="G303" t="s">
        <v>98</v>
      </c>
      <c r="H303" t="s">
        <v>98</v>
      </c>
      <c r="I303" t="s">
        <v>743</v>
      </c>
      <c r="J303" t="s">
        <v>746</v>
      </c>
      <c r="K303" t="s">
        <v>546</v>
      </c>
      <c r="L303" s="784" t="s">
        <v>575</v>
      </c>
      <c r="M303" t="s">
        <v>745</v>
      </c>
      <c r="P303" t="s">
        <v>1887</v>
      </c>
      <c r="Q303" t="s">
        <v>575</v>
      </c>
      <c r="R303" t="s">
        <v>150</v>
      </c>
      <c r="S303" t="s">
        <v>145</v>
      </c>
      <c r="U303">
        <v>0</v>
      </c>
      <c r="V303" t="s">
        <v>544</v>
      </c>
      <c r="W303" t="s">
        <v>546</v>
      </c>
      <c r="X303" s="784">
        <v>7113361022.7267885</v>
      </c>
    </row>
    <row r="304" spans="1:24">
      <c r="A304" t="s">
        <v>358</v>
      </c>
      <c r="B304" t="s">
        <v>547</v>
      </c>
      <c r="C304" t="s">
        <v>162</v>
      </c>
      <c r="D304" t="s">
        <v>128</v>
      </c>
      <c r="E304" t="s">
        <v>377</v>
      </c>
      <c r="F304" t="s">
        <v>383</v>
      </c>
      <c r="G304" t="s">
        <v>98</v>
      </c>
      <c r="H304" t="s">
        <v>98</v>
      </c>
      <c r="I304" t="s">
        <v>743</v>
      </c>
      <c r="J304" t="s">
        <v>746</v>
      </c>
      <c r="K304" t="s">
        <v>546</v>
      </c>
      <c r="L304" s="784">
        <v>17000000</v>
      </c>
      <c r="M304" t="s">
        <v>745</v>
      </c>
      <c r="P304" t="s">
        <v>1887</v>
      </c>
      <c r="Q304" t="s">
        <v>406</v>
      </c>
      <c r="R304" t="s">
        <v>150</v>
      </c>
      <c r="S304" t="s">
        <v>145</v>
      </c>
      <c r="U304">
        <v>0</v>
      </c>
      <c r="V304" t="s">
        <v>544</v>
      </c>
      <c r="W304" t="s">
        <v>548</v>
      </c>
      <c r="X304" s="784">
        <v>1131865946.5875781</v>
      </c>
    </row>
    <row r="305" spans="1:24">
      <c r="A305" t="s">
        <v>358</v>
      </c>
      <c r="B305" t="s">
        <v>549</v>
      </c>
      <c r="C305" t="s">
        <v>163</v>
      </c>
      <c r="D305" t="s">
        <v>130</v>
      </c>
      <c r="E305" t="s">
        <v>377</v>
      </c>
      <c r="F305" t="s">
        <v>383</v>
      </c>
      <c r="G305" t="s">
        <v>98</v>
      </c>
      <c r="H305" t="s">
        <v>98</v>
      </c>
      <c r="I305" t="s">
        <v>743</v>
      </c>
      <c r="J305" t="s">
        <v>746</v>
      </c>
      <c r="K305" t="s">
        <v>546</v>
      </c>
      <c r="L305" s="784" t="s">
        <v>575</v>
      </c>
      <c r="M305" t="s">
        <v>745</v>
      </c>
      <c r="P305" t="s">
        <v>1887</v>
      </c>
      <c r="Q305" t="s">
        <v>575</v>
      </c>
      <c r="R305" t="s">
        <v>550</v>
      </c>
      <c r="S305" t="s">
        <v>146</v>
      </c>
      <c r="U305">
        <v>0</v>
      </c>
      <c r="V305" t="s">
        <v>541</v>
      </c>
      <c r="W305" t="s">
        <v>575</v>
      </c>
      <c r="X305" s="784">
        <v>46777779.823447868</v>
      </c>
    </row>
    <row r="306" spans="1:24">
      <c r="A306" t="s">
        <v>358</v>
      </c>
      <c r="B306" t="s">
        <v>551</v>
      </c>
      <c r="C306" t="s">
        <v>164</v>
      </c>
      <c r="D306" t="s">
        <v>130</v>
      </c>
      <c r="E306" t="s">
        <v>377</v>
      </c>
      <c r="F306" t="s">
        <v>383</v>
      </c>
      <c r="G306" t="s">
        <v>98</v>
      </c>
      <c r="H306" t="s">
        <v>98</v>
      </c>
      <c r="I306" t="s">
        <v>743</v>
      </c>
      <c r="J306" t="s">
        <v>746</v>
      </c>
      <c r="K306" t="s">
        <v>546</v>
      </c>
      <c r="L306" s="784">
        <v>1000000</v>
      </c>
      <c r="M306" t="s">
        <v>745</v>
      </c>
      <c r="P306" t="s">
        <v>1887</v>
      </c>
      <c r="Q306" t="s">
        <v>406</v>
      </c>
      <c r="R306" t="s">
        <v>152</v>
      </c>
      <c r="S306" t="s">
        <v>146</v>
      </c>
      <c r="U306">
        <v>0</v>
      </c>
      <c r="V306" t="s">
        <v>544</v>
      </c>
      <c r="W306" t="s">
        <v>575</v>
      </c>
      <c r="X306" s="784">
        <v>30725305777.596794</v>
      </c>
    </row>
    <row r="307" spans="1:24">
      <c r="A307" t="s">
        <v>358</v>
      </c>
      <c r="B307" t="s">
        <v>553</v>
      </c>
      <c r="C307" t="s">
        <v>165</v>
      </c>
      <c r="D307" t="s">
        <v>127</v>
      </c>
      <c r="E307" t="s">
        <v>377</v>
      </c>
      <c r="F307" t="s">
        <v>383</v>
      </c>
      <c r="G307" t="s">
        <v>98</v>
      </c>
      <c r="H307" t="s">
        <v>98</v>
      </c>
      <c r="I307" t="s">
        <v>743</v>
      </c>
      <c r="J307" t="s">
        <v>746</v>
      </c>
      <c r="K307" t="s">
        <v>546</v>
      </c>
      <c r="L307" s="784" t="s">
        <v>575</v>
      </c>
      <c r="M307" t="s">
        <v>745</v>
      </c>
      <c r="P307" t="s">
        <v>1887</v>
      </c>
      <c r="Q307" t="s">
        <v>575</v>
      </c>
      <c r="R307" t="s">
        <v>152</v>
      </c>
      <c r="S307" t="s">
        <v>146</v>
      </c>
      <c r="U307">
        <v>0</v>
      </c>
      <c r="V307" t="s">
        <v>544</v>
      </c>
      <c r="W307" t="s">
        <v>575</v>
      </c>
      <c r="X307" s="784">
        <v>153815827.8380394</v>
      </c>
    </row>
    <row r="308" spans="1:24">
      <c r="A308" t="s">
        <v>358</v>
      </c>
      <c r="B308" t="s">
        <v>554</v>
      </c>
      <c r="C308" t="s">
        <v>166</v>
      </c>
      <c r="D308" t="s">
        <v>127</v>
      </c>
      <c r="E308" t="s">
        <v>377</v>
      </c>
      <c r="F308" t="s">
        <v>383</v>
      </c>
      <c r="G308" t="s">
        <v>98</v>
      </c>
      <c r="H308" t="s">
        <v>98</v>
      </c>
      <c r="I308" t="s">
        <v>743</v>
      </c>
      <c r="J308" t="s">
        <v>746</v>
      </c>
      <c r="K308" t="s">
        <v>546</v>
      </c>
      <c r="L308" s="784">
        <v>0</v>
      </c>
      <c r="M308" t="s">
        <v>745</v>
      </c>
      <c r="P308" t="s">
        <v>1887</v>
      </c>
      <c r="Q308" t="s">
        <v>575</v>
      </c>
      <c r="R308" t="s">
        <v>152</v>
      </c>
      <c r="S308" t="s">
        <v>146</v>
      </c>
      <c r="U308">
        <v>0</v>
      </c>
      <c r="V308" t="s">
        <v>544</v>
      </c>
      <c r="W308" t="s">
        <v>546</v>
      </c>
      <c r="X308" s="784">
        <v>437525105.31216973</v>
      </c>
    </row>
    <row r="309" spans="1:24">
      <c r="A309" t="s">
        <v>358</v>
      </c>
      <c r="B309" t="s">
        <v>555</v>
      </c>
      <c r="C309" t="s">
        <v>556</v>
      </c>
      <c r="D309" t="s">
        <v>130</v>
      </c>
      <c r="E309" t="s">
        <v>377</v>
      </c>
      <c r="F309" t="s">
        <v>383</v>
      </c>
      <c r="G309" t="s">
        <v>98</v>
      </c>
      <c r="H309" t="s">
        <v>98</v>
      </c>
      <c r="I309" t="s">
        <v>743</v>
      </c>
      <c r="J309" t="s">
        <v>746</v>
      </c>
      <c r="K309" t="s">
        <v>546</v>
      </c>
      <c r="L309" s="784" t="s">
        <v>575</v>
      </c>
      <c r="M309" t="s">
        <v>745</v>
      </c>
      <c r="P309" t="s">
        <v>1887</v>
      </c>
      <c r="Q309" t="s">
        <v>575</v>
      </c>
      <c r="R309" t="s">
        <v>550</v>
      </c>
      <c r="S309" t="s">
        <v>146</v>
      </c>
      <c r="U309">
        <v>0</v>
      </c>
      <c r="V309" t="s">
        <v>541</v>
      </c>
      <c r="W309" t="s">
        <v>575</v>
      </c>
      <c r="X309" s="784">
        <v>149463302.00602186</v>
      </c>
    </row>
    <row r="310" spans="1:24">
      <c r="A310" t="s">
        <v>358</v>
      </c>
      <c r="B310" t="s">
        <v>557</v>
      </c>
      <c r="C310" t="s">
        <v>167</v>
      </c>
      <c r="D310" t="s">
        <v>132</v>
      </c>
      <c r="E310" t="s">
        <v>377</v>
      </c>
      <c r="F310" t="s">
        <v>383</v>
      </c>
      <c r="G310" t="s">
        <v>98</v>
      </c>
      <c r="H310" t="s">
        <v>98</v>
      </c>
      <c r="I310" t="s">
        <v>743</v>
      </c>
      <c r="J310" t="s">
        <v>746</v>
      </c>
      <c r="K310" t="s">
        <v>546</v>
      </c>
      <c r="L310" s="784">
        <v>0</v>
      </c>
      <c r="M310" t="s">
        <v>745</v>
      </c>
      <c r="P310" t="s">
        <v>1887</v>
      </c>
      <c r="Q310" t="s">
        <v>406</v>
      </c>
      <c r="R310" t="s">
        <v>150</v>
      </c>
      <c r="S310" t="s">
        <v>145</v>
      </c>
      <c r="U310">
        <v>0</v>
      </c>
      <c r="V310" t="s">
        <v>544</v>
      </c>
      <c r="W310" t="s">
        <v>558</v>
      </c>
      <c r="X310" s="784">
        <v>1148322593.9600098</v>
      </c>
    </row>
    <row r="311" spans="1:24">
      <c r="A311" t="s">
        <v>358</v>
      </c>
      <c r="B311" t="s">
        <v>559</v>
      </c>
      <c r="C311" t="s">
        <v>168</v>
      </c>
      <c r="D311" t="s">
        <v>127</v>
      </c>
      <c r="E311" t="s">
        <v>377</v>
      </c>
      <c r="F311" t="s">
        <v>383</v>
      </c>
      <c r="G311" t="s">
        <v>98</v>
      </c>
      <c r="H311" t="s">
        <v>98</v>
      </c>
      <c r="I311" t="s">
        <v>743</v>
      </c>
      <c r="J311" t="s">
        <v>746</v>
      </c>
      <c r="K311" t="s">
        <v>546</v>
      </c>
      <c r="L311" s="784" t="s">
        <v>575</v>
      </c>
      <c r="M311" t="s">
        <v>745</v>
      </c>
      <c r="P311" t="s">
        <v>1887</v>
      </c>
      <c r="Q311" t="s">
        <v>575</v>
      </c>
      <c r="R311" t="s">
        <v>152</v>
      </c>
      <c r="S311" t="s">
        <v>146</v>
      </c>
      <c r="U311">
        <v>0</v>
      </c>
      <c r="V311" t="s">
        <v>544</v>
      </c>
      <c r="W311" t="s">
        <v>575</v>
      </c>
      <c r="X311" s="784">
        <v>2371102058.1093163</v>
      </c>
    </row>
    <row r="312" spans="1:24">
      <c r="A312" t="s">
        <v>358</v>
      </c>
      <c r="B312" t="s">
        <v>560</v>
      </c>
      <c r="C312" t="s">
        <v>169</v>
      </c>
      <c r="D312" t="s">
        <v>130</v>
      </c>
      <c r="E312" t="s">
        <v>377</v>
      </c>
      <c r="F312" t="s">
        <v>383</v>
      </c>
      <c r="G312" t="s">
        <v>98</v>
      </c>
      <c r="H312" t="s">
        <v>98</v>
      </c>
      <c r="I312" t="s">
        <v>743</v>
      </c>
      <c r="J312" t="s">
        <v>746</v>
      </c>
      <c r="K312" t="s">
        <v>546</v>
      </c>
      <c r="L312" s="784" t="s">
        <v>575</v>
      </c>
      <c r="M312" t="s">
        <v>745</v>
      </c>
      <c r="P312" t="s">
        <v>1887</v>
      </c>
      <c r="Q312" t="s">
        <v>575</v>
      </c>
      <c r="R312" t="s">
        <v>150</v>
      </c>
      <c r="S312" t="s">
        <v>146</v>
      </c>
      <c r="U312">
        <v>0</v>
      </c>
      <c r="V312" t="s">
        <v>541</v>
      </c>
      <c r="W312" t="s">
        <v>546</v>
      </c>
      <c r="X312" s="784">
        <v>75151620.005215243</v>
      </c>
    </row>
    <row r="313" spans="1:24">
      <c r="A313" t="s">
        <v>358</v>
      </c>
      <c r="B313" t="s">
        <v>561</v>
      </c>
      <c r="C313" t="s">
        <v>170</v>
      </c>
      <c r="D313" t="s">
        <v>129</v>
      </c>
      <c r="E313" t="s">
        <v>377</v>
      </c>
      <c r="F313" t="s">
        <v>383</v>
      </c>
      <c r="G313" t="s">
        <v>98</v>
      </c>
      <c r="H313" t="s">
        <v>98</v>
      </c>
      <c r="I313" t="s">
        <v>743</v>
      </c>
      <c r="J313" t="s">
        <v>746</v>
      </c>
      <c r="K313" t="s">
        <v>546</v>
      </c>
      <c r="L313" s="784">
        <v>0</v>
      </c>
      <c r="M313" t="s">
        <v>745</v>
      </c>
      <c r="P313" t="s">
        <v>1887</v>
      </c>
      <c r="Q313" t="s">
        <v>406</v>
      </c>
      <c r="R313" t="s">
        <v>150</v>
      </c>
      <c r="S313" t="s">
        <v>145</v>
      </c>
      <c r="U313">
        <v>0</v>
      </c>
      <c r="V313" t="s">
        <v>544</v>
      </c>
      <c r="W313" t="s">
        <v>562</v>
      </c>
      <c r="X313" s="784">
        <v>69958487.197715744</v>
      </c>
    </row>
    <row r="314" spans="1:24">
      <c r="A314" t="s">
        <v>358</v>
      </c>
      <c r="B314" t="s">
        <v>563</v>
      </c>
      <c r="C314" t="s">
        <v>171</v>
      </c>
      <c r="D314" t="s">
        <v>132</v>
      </c>
      <c r="E314" t="s">
        <v>377</v>
      </c>
      <c r="F314" t="s">
        <v>383</v>
      </c>
      <c r="G314" t="s">
        <v>98</v>
      </c>
      <c r="H314" t="s">
        <v>98</v>
      </c>
      <c r="I314" t="s">
        <v>743</v>
      </c>
      <c r="J314" t="s">
        <v>746</v>
      </c>
      <c r="K314" t="s">
        <v>546</v>
      </c>
      <c r="L314" s="784">
        <v>0</v>
      </c>
      <c r="M314" t="s">
        <v>745</v>
      </c>
      <c r="P314" t="s">
        <v>1887</v>
      </c>
      <c r="Q314" t="s">
        <v>406</v>
      </c>
      <c r="R314" t="s">
        <v>150</v>
      </c>
      <c r="S314" t="s">
        <v>145</v>
      </c>
      <c r="U314">
        <v>0</v>
      </c>
      <c r="V314" t="s">
        <v>544</v>
      </c>
      <c r="W314" t="s">
        <v>548</v>
      </c>
      <c r="X314" s="784">
        <v>61654608.560629159</v>
      </c>
    </row>
    <row r="315" spans="1:24">
      <c r="A315" t="s">
        <v>358</v>
      </c>
      <c r="B315" t="s">
        <v>564</v>
      </c>
      <c r="C315" t="s">
        <v>172</v>
      </c>
      <c r="D315" t="s">
        <v>130</v>
      </c>
      <c r="E315" t="s">
        <v>377</v>
      </c>
      <c r="F315" t="s">
        <v>383</v>
      </c>
      <c r="G315" t="s">
        <v>98</v>
      </c>
      <c r="H315" t="s">
        <v>98</v>
      </c>
      <c r="I315" t="s">
        <v>743</v>
      </c>
      <c r="J315" t="s">
        <v>746</v>
      </c>
      <c r="K315" t="s">
        <v>546</v>
      </c>
      <c r="L315" s="784">
        <v>0</v>
      </c>
      <c r="M315" t="s">
        <v>745</v>
      </c>
      <c r="P315" t="s">
        <v>1887</v>
      </c>
      <c r="Q315" t="s">
        <v>575</v>
      </c>
      <c r="R315" t="s">
        <v>150</v>
      </c>
      <c r="S315" t="s">
        <v>145</v>
      </c>
      <c r="U315">
        <v>0</v>
      </c>
      <c r="V315" t="s">
        <v>544</v>
      </c>
      <c r="W315" t="s">
        <v>546</v>
      </c>
      <c r="X315" s="784">
        <v>1806638707.7615163</v>
      </c>
    </row>
    <row r="316" spans="1:24">
      <c r="A316" t="s">
        <v>358</v>
      </c>
      <c r="B316" t="s">
        <v>565</v>
      </c>
      <c r="C316" t="s">
        <v>174</v>
      </c>
      <c r="D316" t="s">
        <v>127</v>
      </c>
      <c r="E316" t="s">
        <v>377</v>
      </c>
      <c r="F316" t="s">
        <v>383</v>
      </c>
      <c r="G316" t="s">
        <v>98</v>
      </c>
      <c r="H316" t="s">
        <v>98</v>
      </c>
      <c r="I316" t="s">
        <v>743</v>
      </c>
      <c r="J316" t="s">
        <v>746</v>
      </c>
      <c r="K316" t="s">
        <v>546</v>
      </c>
      <c r="L316" s="784" t="s">
        <v>575</v>
      </c>
      <c r="M316" t="s">
        <v>745</v>
      </c>
      <c r="P316" t="s">
        <v>1887</v>
      </c>
      <c r="Q316" t="s">
        <v>575</v>
      </c>
      <c r="R316" t="s">
        <v>152</v>
      </c>
      <c r="S316" t="s">
        <v>146</v>
      </c>
      <c r="U316">
        <v>0</v>
      </c>
      <c r="V316" t="s">
        <v>544</v>
      </c>
      <c r="W316" t="s">
        <v>546</v>
      </c>
      <c r="X316" s="784">
        <v>1252696525.0627904</v>
      </c>
    </row>
    <row r="317" spans="1:24">
      <c r="A317" t="s">
        <v>358</v>
      </c>
      <c r="B317" t="s">
        <v>566</v>
      </c>
      <c r="C317" t="s">
        <v>175</v>
      </c>
      <c r="D317" t="s">
        <v>128</v>
      </c>
      <c r="E317" t="s">
        <v>377</v>
      </c>
      <c r="F317" t="s">
        <v>383</v>
      </c>
      <c r="G317" t="s">
        <v>98</v>
      </c>
      <c r="H317" t="s">
        <v>98</v>
      </c>
      <c r="I317" t="s">
        <v>743</v>
      </c>
      <c r="J317" t="s">
        <v>746</v>
      </c>
      <c r="K317" t="s">
        <v>546</v>
      </c>
      <c r="L317" s="784" t="s">
        <v>575</v>
      </c>
      <c r="M317" t="s">
        <v>745</v>
      </c>
      <c r="P317" t="s">
        <v>1887</v>
      </c>
      <c r="Q317" t="s">
        <v>575</v>
      </c>
      <c r="R317" t="s">
        <v>152</v>
      </c>
      <c r="S317" t="s">
        <v>146</v>
      </c>
      <c r="U317">
        <v>0</v>
      </c>
      <c r="V317" t="s">
        <v>544</v>
      </c>
      <c r="W317" t="s">
        <v>575</v>
      </c>
      <c r="X317" s="784">
        <v>843425084.07334602</v>
      </c>
    </row>
    <row r="318" spans="1:24">
      <c r="A318" t="s">
        <v>358</v>
      </c>
      <c r="B318" t="s">
        <v>567</v>
      </c>
      <c r="C318" t="s">
        <v>144</v>
      </c>
      <c r="D318" t="s">
        <v>130</v>
      </c>
      <c r="E318" t="s">
        <v>377</v>
      </c>
      <c r="F318" t="s">
        <v>383</v>
      </c>
      <c r="G318" t="s">
        <v>98</v>
      </c>
      <c r="H318" t="s">
        <v>98</v>
      </c>
      <c r="I318" t="s">
        <v>743</v>
      </c>
      <c r="J318" t="s">
        <v>746</v>
      </c>
      <c r="K318" t="s">
        <v>546</v>
      </c>
      <c r="L318" s="784" t="s">
        <v>575</v>
      </c>
      <c r="M318" t="s">
        <v>745</v>
      </c>
      <c r="P318" t="s">
        <v>1887</v>
      </c>
      <c r="Q318" t="s">
        <v>575</v>
      </c>
      <c r="R318" t="s">
        <v>152</v>
      </c>
      <c r="S318" t="s">
        <v>146</v>
      </c>
      <c r="U318">
        <v>0</v>
      </c>
      <c r="V318" t="s">
        <v>544</v>
      </c>
      <c r="W318" t="s">
        <v>546</v>
      </c>
      <c r="X318" s="784">
        <v>74055620038.853683</v>
      </c>
    </row>
    <row r="319" spans="1:24">
      <c r="A319" t="s">
        <v>358</v>
      </c>
      <c r="B319" t="s">
        <v>568</v>
      </c>
      <c r="C319" t="s">
        <v>176</v>
      </c>
      <c r="D319" t="s">
        <v>127</v>
      </c>
      <c r="E319" t="s">
        <v>377</v>
      </c>
      <c r="F319" t="s">
        <v>383</v>
      </c>
      <c r="G319" t="s">
        <v>98</v>
      </c>
      <c r="H319" t="s">
        <v>98</v>
      </c>
      <c r="I319" t="s">
        <v>743</v>
      </c>
      <c r="J319" t="s">
        <v>746</v>
      </c>
      <c r="K319" t="s">
        <v>546</v>
      </c>
      <c r="L319" s="784" t="s">
        <v>575</v>
      </c>
      <c r="M319" t="s">
        <v>745</v>
      </c>
      <c r="P319" t="s">
        <v>1887</v>
      </c>
      <c r="Q319" t="s">
        <v>575</v>
      </c>
      <c r="R319" t="s">
        <v>152</v>
      </c>
      <c r="S319" t="s">
        <v>146</v>
      </c>
      <c r="U319">
        <v>0</v>
      </c>
      <c r="V319" t="s">
        <v>544</v>
      </c>
      <c r="W319" t="s">
        <v>575</v>
      </c>
      <c r="X319" s="784">
        <v>2803357765.5888777</v>
      </c>
    </row>
    <row r="320" spans="1:24">
      <c r="A320" t="s">
        <v>358</v>
      </c>
      <c r="B320" t="s">
        <v>569</v>
      </c>
      <c r="C320" t="s">
        <v>177</v>
      </c>
      <c r="D320" t="s">
        <v>129</v>
      </c>
      <c r="E320" t="s">
        <v>377</v>
      </c>
      <c r="F320" t="s">
        <v>383</v>
      </c>
      <c r="G320" t="s">
        <v>98</v>
      </c>
      <c r="H320" t="s">
        <v>98</v>
      </c>
      <c r="I320" t="s">
        <v>743</v>
      </c>
      <c r="J320" t="s">
        <v>746</v>
      </c>
      <c r="K320" t="s">
        <v>546</v>
      </c>
      <c r="L320" s="784" t="s">
        <v>575</v>
      </c>
      <c r="M320" t="s">
        <v>745</v>
      </c>
      <c r="P320" t="s">
        <v>1887</v>
      </c>
      <c r="Q320" t="s">
        <v>575</v>
      </c>
      <c r="R320" t="s">
        <v>148</v>
      </c>
      <c r="S320" t="s">
        <v>145</v>
      </c>
      <c r="U320">
        <v>2</v>
      </c>
      <c r="V320" t="s">
        <v>544</v>
      </c>
      <c r="W320" t="s">
        <v>562</v>
      </c>
      <c r="X320" s="784">
        <v>337927779.25510043</v>
      </c>
    </row>
    <row r="321" spans="1:24">
      <c r="A321" t="s">
        <v>358</v>
      </c>
      <c r="B321" t="s">
        <v>570</v>
      </c>
      <c r="C321" t="s">
        <v>178</v>
      </c>
      <c r="D321" t="s">
        <v>128</v>
      </c>
      <c r="E321" t="s">
        <v>377</v>
      </c>
      <c r="F321" t="s">
        <v>383</v>
      </c>
      <c r="G321" t="s">
        <v>98</v>
      </c>
      <c r="H321" t="s">
        <v>98</v>
      </c>
      <c r="I321" t="s">
        <v>743</v>
      </c>
      <c r="J321" t="s">
        <v>746</v>
      </c>
      <c r="K321" t="s">
        <v>546</v>
      </c>
      <c r="L321" s="784">
        <v>20900000</v>
      </c>
      <c r="M321" t="s">
        <v>745</v>
      </c>
      <c r="P321" t="s">
        <v>1887</v>
      </c>
      <c r="Q321" t="s">
        <v>406</v>
      </c>
      <c r="R321" t="s">
        <v>148</v>
      </c>
      <c r="S321" t="s">
        <v>145</v>
      </c>
      <c r="U321">
        <v>2</v>
      </c>
      <c r="V321" t="s">
        <v>544</v>
      </c>
      <c r="W321" t="s">
        <v>548</v>
      </c>
      <c r="X321" s="784">
        <v>65979512.47399316</v>
      </c>
    </row>
    <row r="322" spans="1:24">
      <c r="A322" t="s">
        <v>358</v>
      </c>
      <c r="B322" t="s">
        <v>571</v>
      </c>
      <c r="C322" t="s">
        <v>179</v>
      </c>
      <c r="D322" t="s">
        <v>129</v>
      </c>
      <c r="E322" t="s">
        <v>377</v>
      </c>
      <c r="F322" t="s">
        <v>383</v>
      </c>
      <c r="G322" t="s">
        <v>98</v>
      </c>
      <c r="H322" t="s">
        <v>98</v>
      </c>
      <c r="I322" t="s">
        <v>743</v>
      </c>
      <c r="J322" t="s">
        <v>746</v>
      </c>
      <c r="K322" t="s">
        <v>546</v>
      </c>
      <c r="L322" s="784">
        <v>1700000</v>
      </c>
      <c r="M322" t="s">
        <v>745</v>
      </c>
      <c r="P322" t="s">
        <v>1887</v>
      </c>
      <c r="Q322" t="s">
        <v>406</v>
      </c>
      <c r="R322" t="s">
        <v>150</v>
      </c>
      <c r="S322" t="s">
        <v>145</v>
      </c>
      <c r="U322">
        <v>0</v>
      </c>
      <c r="V322" t="s">
        <v>541</v>
      </c>
      <c r="W322" t="s">
        <v>542</v>
      </c>
      <c r="X322" s="784">
        <v>63748362.778827004</v>
      </c>
    </row>
    <row r="323" spans="1:24">
      <c r="A323" t="s">
        <v>358</v>
      </c>
      <c r="B323" t="s">
        <v>572</v>
      </c>
      <c r="C323" t="s">
        <v>180</v>
      </c>
      <c r="D323" t="s">
        <v>126</v>
      </c>
      <c r="E323" t="s">
        <v>377</v>
      </c>
      <c r="F323" t="s">
        <v>383</v>
      </c>
      <c r="G323" t="s">
        <v>98</v>
      </c>
      <c r="H323" t="s">
        <v>98</v>
      </c>
      <c r="I323" t="s">
        <v>743</v>
      </c>
      <c r="J323" t="s">
        <v>746</v>
      </c>
      <c r="K323" t="s">
        <v>546</v>
      </c>
      <c r="L323" s="784">
        <v>0</v>
      </c>
      <c r="M323" t="s">
        <v>745</v>
      </c>
      <c r="P323" t="s">
        <v>1887</v>
      </c>
      <c r="Q323" t="s">
        <v>406</v>
      </c>
      <c r="R323" t="s">
        <v>150</v>
      </c>
      <c r="S323" t="s">
        <v>145</v>
      </c>
      <c r="U323">
        <v>0</v>
      </c>
      <c r="V323" t="s">
        <v>544</v>
      </c>
      <c r="W323" t="s">
        <v>558</v>
      </c>
      <c r="X323" s="784">
        <v>313039649.45369786</v>
      </c>
    </row>
    <row r="324" spans="1:24">
      <c r="A324" t="s">
        <v>358</v>
      </c>
      <c r="B324" t="s">
        <v>573</v>
      </c>
      <c r="C324" t="s">
        <v>181</v>
      </c>
      <c r="D324" t="s">
        <v>129</v>
      </c>
      <c r="E324" t="s">
        <v>377</v>
      </c>
      <c r="F324" t="s">
        <v>383</v>
      </c>
      <c r="G324" t="s">
        <v>98</v>
      </c>
      <c r="H324" t="s">
        <v>98</v>
      </c>
      <c r="I324" t="s">
        <v>743</v>
      </c>
      <c r="J324" t="s">
        <v>746</v>
      </c>
      <c r="K324" t="s">
        <v>546</v>
      </c>
      <c r="L324" s="784">
        <v>11000000</v>
      </c>
      <c r="M324" t="s">
        <v>745</v>
      </c>
      <c r="P324" t="s">
        <v>1887</v>
      </c>
      <c r="Q324" t="s">
        <v>406</v>
      </c>
      <c r="R324" t="s">
        <v>150</v>
      </c>
      <c r="S324" t="s">
        <v>145</v>
      </c>
      <c r="U324">
        <v>2</v>
      </c>
      <c r="V324" t="s">
        <v>544</v>
      </c>
      <c r="W324" t="s">
        <v>542</v>
      </c>
      <c r="X324" s="784">
        <v>81361801.477472037</v>
      </c>
    </row>
    <row r="325" spans="1:24">
      <c r="A325" t="s">
        <v>358</v>
      </c>
      <c r="B325" t="s">
        <v>574</v>
      </c>
      <c r="C325" t="s">
        <v>182</v>
      </c>
      <c r="D325" t="s">
        <v>129</v>
      </c>
      <c r="E325" t="s">
        <v>377</v>
      </c>
      <c r="F325" t="s">
        <v>383</v>
      </c>
      <c r="G325" t="s">
        <v>98</v>
      </c>
      <c r="H325" t="s">
        <v>98</v>
      </c>
      <c r="I325" t="s">
        <v>743</v>
      </c>
      <c r="J325" t="s">
        <v>746</v>
      </c>
      <c r="K325" t="s">
        <v>546</v>
      </c>
      <c r="L325" s="784" t="s">
        <v>575</v>
      </c>
      <c r="M325" t="s">
        <v>745</v>
      </c>
      <c r="P325" t="s">
        <v>1887</v>
      </c>
      <c r="Q325" t="s">
        <v>575</v>
      </c>
      <c r="R325" t="s">
        <v>148</v>
      </c>
      <c r="S325" t="s">
        <v>145</v>
      </c>
      <c r="U325">
        <v>1</v>
      </c>
      <c r="V325" t="s">
        <v>544</v>
      </c>
      <c r="W325" t="s">
        <v>542</v>
      </c>
      <c r="X325" s="784" t="s">
        <v>575</v>
      </c>
    </row>
    <row r="326" spans="1:24">
      <c r="A326" t="s">
        <v>358</v>
      </c>
      <c r="B326" t="s">
        <v>576</v>
      </c>
      <c r="C326" t="s">
        <v>183</v>
      </c>
      <c r="D326" t="s">
        <v>129</v>
      </c>
      <c r="E326" t="s">
        <v>377</v>
      </c>
      <c r="F326" t="s">
        <v>383</v>
      </c>
      <c r="G326" t="s">
        <v>98</v>
      </c>
      <c r="H326" t="s">
        <v>98</v>
      </c>
      <c r="I326" t="s">
        <v>743</v>
      </c>
      <c r="J326" t="s">
        <v>746</v>
      </c>
      <c r="K326" t="s">
        <v>546</v>
      </c>
      <c r="L326" s="784">
        <v>3000000</v>
      </c>
      <c r="M326" t="s">
        <v>745</v>
      </c>
      <c r="P326" t="s">
        <v>1887</v>
      </c>
      <c r="Q326" t="s">
        <v>406</v>
      </c>
      <c r="R326" t="s">
        <v>148</v>
      </c>
      <c r="S326" t="s">
        <v>145</v>
      </c>
      <c r="U326">
        <v>1</v>
      </c>
      <c r="V326" t="s">
        <v>544</v>
      </c>
      <c r="W326" t="s">
        <v>542</v>
      </c>
      <c r="X326" s="784">
        <v>76939306.715636879</v>
      </c>
    </row>
    <row r="327" spans="1:24">
      <c r="A327" t="s">
        <v>358</v>
      </c>
      <c r="B327" t="s">
        <v>577</v>
      </c>
      <c r="C327" t="s">
        <v>184</v>
      </c>
      <c r="D327" t="s">
        <v>130</v>
      </c>
      <c r="E327" t="s">
        <v>377</v>
      </c>
      <c r="F327" t="s">
        <v>383</v>
      </c>
      <c r="G327" t="s">
        <v>98</v>
      </c>
      <c r="H327" t="s">
        <v>98</v>
      </c>
      <c r="I327" t="s">
        <v>743</v>
      </c>
      <c r="J327" t="s">
        <v>746</v>
      </c>
      <c r="K327" t="s">
        <v>546</v>
      </c>
      <c r="L327" s="784" t="s">
        <v>575</v>
      </c>
      <c r="M327" t="s">
        <v>745</v>
      </c>
      <c r="P327" t="s">
        <v>1887</v>
      </c>
      <c r="Q327" t="s">
        <v>575</v>
      </c>
      <c r="R327" t="s">
        <v>550</v>
      </c>
      <c r="S327" t="s">
        <v>146</v>
      </c>
      <c r="U327">
        <v>0</v>
      </c>
      <c r="V327" t="s">
        <v>544</v>
      </c>
      <c r="W327" t="s">
        <v>575</v>
      </c>
      <c r="X327" s="784">
        <v>13859708717.682571</v>
      </c>
    </row>
    <row r="328" spans="1:24">
      <c r="A328" t="s">
        <v>358</v>
      </c>
      <c r="B328" t="s">
        <v>578</v>
      </c>
      <c r="C328" t="s">
        <v>185</v>
      </c>
      <c r="D328" t="s">
        <v>126</v>
      </c>
      <c r="E328" t="s">
        <v>377</v>
      </c>
      <c r="F328" t="s">
        <v>383</v>
      </c>
      <c r="G328" t="s">
        <v>98</v>
      </c>
      <c r="H328" t="s">
        <v>98</v>
      </c>
      <c r="I328" t="s">
        <v>743</v>
      </c>
      <c r="J328" t="s">
        <v>746</v>
      </c>
      <c r="K328" t="s">
        <v>546</v>
      </c>
      <c r="L328" s="784" t="s">
        <v>575</v>
      </c>
      <c r="M328" t="s">
        <v>745</v>
      </c>
      <c r="P328" t="s">
        <v>1887</v>
      </c>
      <c r="Q328" t="s">
        <v>575</v>
      </c>
      <c r="R328" t="s">
        <v>152</v>
      </c>
      <c r="S328" t="s">
        <v>146</v>
      </c>
      <c r="U328">
        <v>0</v>
      </c>
      <c r="V328" t="s">
        <v>544</v>
      </c>
      <c r="W328" t="s">
        <v>575</v>
      </c>
      <c r="X328" s="784">
        <v>403567160707.7016</v>
      </c>
    </row>
    <row r="329" spans="1:24">
      <c r="A329" t="s">
        <v>358</v>
      </c>
      <c r="B329" t="s">
        <v>579</v>
      </c>
      <c r="C329" t="s">
        <v>186</v>
      </c>
      <c r="D329" t="s">
        <v>130</v>
      </c>
      <c r="E329" t="s">
        <v>377</v>
      </c>
      <c r="F329" t="s">
        <v>383</v>
      </c>
      <c r="G329" t="s">
        <v>98</v>
      </c>
      <c r="H329" t="s">
        <v>98</v>
      </c>
      <c r="I329" t="s">
        <v>743</v>
      </c>
      <c r="J329" t="s">
        <v>746</v>
      </c>
      <c r="K329" t="s">
        <v>546</v>
      </c>
      <c r="L329" s="784" t="s">
        <v>575</v>
      </c>
      <c r="M329" t="s">
        <v>745</v>
      </c>
      <c r="P329" t="s">
        <v>1887</v>
      </c>
      <c r="Q329" t="s">
        <v>575</v>
      </c>
      <c r="R329" t="s">
        <v>152</v>
      </c>
      <c r="S329" t="s">
        <v>146</v>
      </c>
      <c r="U329">
        <v>0</v>
      </c>
      <c r="V329" t="s">
        <v>544</v>
      </c>
      <c r="W329" t="s">
        <v>575</v>
      </c>
      <c r="X329" s="784">
        <v>18250225995.972618</v>
      </c>
    </row>
    <row r="330" spans="1:24">
      <c r="A330" t="s">
        <v>358</v>
      </c>
      <c r="B330" t="s">
        <v>580</v>
      </c>
      <c r="C330" t="s">
        <v>187</v>
      </c>
      <c r="D330" t="s">
        <v>128</v>
      </c>
      <c r="E330" t="s">
        <v>377</v>
      </c>
      <c r="F330" t="s">
        <v>383</v>
      </c>
      <c r="G330" t="s">
        <v>98</v>
      </c>
      <c r="H330" t="s">
        <v>98</v>
      </c>
      <c r="I330" t="s">
        <v>743</v>
      </c>
      <c r="J330" t="s">
        <v>746</v>
      </c>
      <c r="K330" t="s">
        <v>546</v>
      </c>
      <c r="L330" s="784">
        <v>2700000</v>
      </c>
      <c r="M330" t="s">
        <v>745</v>
      </c>
      <c r="P330" t="s">
        <v>1887</v>
      </c>
      <c r="Q330" t="s">
        <v>406</v>
      </c>
      <c r="R330" t="s">
        <v>150</v>
      </c>
      <c r="S330" t="s">
        <v>145</v>
      </c>
      <c r="U330">
        <v>0</v>
      </c>
      <c r="V330" t="s">
        <v>541</v>
      </c>
      <c r="W330" t="s">
        <v>562</v>
      </c>
      <c r="X330" s="784">
        <v>5027591.1682657599</v>
      </c>
    </row>
    <row r="331" spans="1:24">
      <c r="A331" t="s">
        <v>358</v>
      </c>
      <c r="B331" t="s">
        <v>581</v>
      </c>
      <c r="C331" t="s">
        <v>188</v>
      </c>
      <c r="D331" t="s">
        <v>129</v>
      </c>
      <c r="E331" t="s">
        <v>377</v>
      </c>
      <c r="F331" t="s">
        <v>383</v>
      </c>
      <c r="G331" t="s">
        <v>98</v>
      </c>
      <c r="H331" t="s">
        <v>98</v>
      </c>
      <c r="I331" t="s">
        <v>743</v>
      </c>
      <c r="J331" t="s">
        <v>746</v>
      </c>
      <c r="K331" t="s">
        <v>546</v>
      </c>
      <c r="L331" s="784">
        <v>65000000</v>
      </c>
      <c r="M331" t="s">
        <v>745</v>
      </c>
      <c r="P331" t="s">
        <v>1887</v>
      </c>
      <c r="Q331" t="s">
        <v>406</v>
      </c>
      <c r="R331" t="s">
        <v>148</v>
      </c>
      <c r="S331" t="s">
        <v>145</v>
      </c>
      <c r="U331">
        <v>3</v>
      </c>
      <c r="V331" t="s">
        <v>544</v>
      </c>
      <c r="W331" t="s">
        <v>562</v>
      </c>
      <c r="X331" s="784">
        <v>234645958.63289919</v>
      </c>
    </row>
    <row r="332" spans="1:24">
      <c r="A332" t="s">
        <v>358</v>
      </c>
      <c r="B332" t="s">
        <v>582</v>
      </c>
      <c r="C332" t="s">
        <v>189</v>
      </c>
      <c r="D332" t="s">
        <v>129</v>
      </c>
      <c r="E332" t="s">
        <v>377</v>
      </c>
      <c r="F332" t="s">
        <v>383</v>
      </c>
      <c r="G332" t="s">
        <v>98</v>
      </c>
      <c r="H332" t="s">
        <v>98</v>
      </c>
      <c r="I332" t="s">
        <v>743</v>
      </c>
      <c r="J332" t="s">
        <v>746</v>
      </c>
      <c r="K332" t="s">
        <v>546</v>
      </c>
      <c r="L332" s="784">
        <v>1900000</v>
      </c>
      <c r="M332" t="s">
        <v>745</v>
      </c>
      <c r="P332" t="s">
        <v>1887</v>
      </c>
      <c r="Q332" t="s">
        <v>406</v>
      </c>
      <c r="R332" t="s">
        <v>150</v>
      </c>
      <c r="S332" t="s">
        <v>145</v>
      </c>
      <c r="U332">
        <v>2</v>
      </c>
      <c r="V332" t="s">
        <v>544</v>
      </c>
      <c r="W332" t="s">
        <v>583</v>
      </c>
      <c r="X332" s="784">
        <v>91590910.247314155</v>
      </c>
    </row>
    <row r="333" spans="1:24">
      <c r="A333" t="s">
        <v>358</v>
      </c>
      <c r="B333" t="s">
        <v>584</v>
      </c>
      <c r="C333" t="s">
        <v>190</v>
      </c>
      <c r="D333" t="s">
        <v>126</v>
      </c>
      <c r="E333" t="s">
        <v>377</v>
      </c>
      <c r="F333" t="s">
        <v>383</v>
      </c>
      <c r="G333" t="s">
        <v>98</v>
      </c>
      <c r="H333" t="s">
        <v>98</v>
      </c>
      <c r="I333" t="s">
        <v>743</v>
      </c>
      <c r="J333" t="s">
        <v>746</v>
      </c>
      <c r="K333" t="s">
        <v>546</v>
      </c>
      <c r="L333" s="784" t="s">
        <v>575</v>
      </c>
      <c r="M333" t="s">
        <v>745</v>
      </c>
      <c r="P333" t="s">
        <v>1887</v>
      </c>
      <c r="Q333" t="s">
        <v>575</v>
      </c>
      <c r="R333" t="s">
        <v>322</v>
      </c>
      <c r="S333" t="s">
        <v>146</v>
      </c>
      <c r="U333">
        <v>0</v>
      </c>
      <c r="V333" t="s">
        <v>541</v>
      </c>
      <c r="W333" t="s">
        <v>546</v>
      </c>
      <c r="X333" s="784">
        <v>8560012.8840167802</v>
      </c>
    </row>
    <row r="334" spans="1:24">
      <c r="A334" t="s">
        <v>358</v>
      </c>
      <c r="B334" t="s">
        <v>585</v>
      </c>
      <c r="C334" t="s">
        <v>191</v>
      </c>
      <c r="D334" t="s">
        <v>130</v>
      </c>
      <c r="E334" t="s">
        <v>377</v>
      </c>
      <c r="F334" t="s">
        <v>383</v>
      </c>
      <c r="G334" t="s">
        <v>98</v>
      </c>
      <c r="H334" t="s">
        <v>98</v>
      </c>
      <c r="I334" t="s">
        <v>743</v>
      </c>
      <c r="J334" t="s">
        <v>746</v>
      </c>
      <c r="K334" t="s">
        <v>546</v>
      </c>
      <c r="L334" s="784" t="s">
        <v>575</v>
      </c>
      <c r="M334" t="s">
        <v>745</v>
      </c>
      <c r="P334" t="s">
        <v>1887</v>
      </c>
      <c r="Q334" t="s">
        <v>575</v>
      </c>
      <c r="R334" t="s">
        <v>152</v>
      </c>
      <c r="S334" t="s">
        <v>146</v>
      </c>
      <c r="U334">
        <v>0</v>
      </c>
      <c r="V334" t="s">
        <v>544</v>
      </c>
      <c r="W334" t="s">
        <v>546</v>
      </c>
      <c r="X334" s="784">
        <v>3292372960.3962669</v>
      </c>
    </row>
    <row r="335" spans="1:24">
      <c r="A335" t="s">
        <v>358</v>
      </c>
      <c r="B335" t="s">
        <v>586</v>
      </c>
      <c r="C335" t="s">
        <v>192</v>
      </c>
      <c r="D335" t="s">
        <v>129</v>
      </c>
      <c r="E335" t="s">
        <v>377</v>
      </c>
      <c r="F335" t="s">
        <v>383</v>
      </c>
      <c r="G335" t="s">
        <v>98</v>
      </c>
      <c r="H335" t="s">
        <v>98</v>
      </c>
      <c r="I335" t="s">
        <v>743</v>
      </c>
      <c r="J335" t="s">
        <v>746</v>
      </c>
      <c r="K335" t="s">
        <v>546</v>
      </c>
      <c r="L335" s="784">
        <v>5100000</v>
      </c>
      <c r="M335" t="s">
        <v>745</v>
      </c>
      <c r="P335" t="s">
        <v>1887</v>
      </c>
      <c r="Q335" t="s">
        <v>406</v>
      </c>
      <c r="R335" t="s">
        <v>150</v>
      </c>
      <c r="S335" t="s">
        <v>145</v>
      </c>
      <c r="U335">
        <v>0</v>
      </c>
      <c r="V335" t="s">
        <v>544</v>
      </c>
      <c r="W335" t="s">
        <v>562</v>
      </c>
      <c r="X335" s="784">
        <v>519209981.22981054</v>
      </c>
    </row>
    <row r="336" spans="1:24">
      <c r="A336" t="s">
        <v>358</v>
      </c>
      <c r="B336" t="s">
        <v>587</v>
      </c>
      <c r="C336" t="s">
        <v>193</v>
      </c>
      <c r="D336" t="s">
        <v>127</v>
      </c>
      <c r="E336" t="s">
        <v>377</v>
      </c>
      <c r="F336" t="s">
        <v>383</v>
      </c>
      <c r="G336" t="s">
        <v>98</v>
      </c>
      <c r="H336" t="s">
        <v>98</v>
      </c>
      <c r="I336" t="s">
        <v>743</v>
      </c>
      <c r="J336" t="s">
        <v>746</v>
      </c>
      <c r="K336" t="s">
        <v>546</v>
      </c>
      <c r="L336" s="784" t="s">
        <v>575</v>
      </c>
      <c r="M336" t="s">
        <v>745</v>
      </c>
      <c r="P336" t="s">
        <v>1887</v>
      </c>
      <c r="Q336" t="s">
        <v>575</v>
      </c>
      <c r="R336" t="s">
        <v>550</v>
      </c>
      <c r="S336" t="s">
        <v>146</v>
      </c>
      <c r="U336">
        <v>0</v>
      </c>
      <c r="V336" t="s">
        <v>544</v>
      </c>
      <c r="W336" t="s">
        <v>575</v>
      </c>
      <c r="X336" s="784">
        <v>3464739907.1604805</v>
      </c>
    </row>
    <row r="337" spans="1:24">
      <c r="A337" t="s">
        <v>358</v>
      </c>
      <c r="B337" t="s">
        <v>588</v>
      </c>
      <c r="C337" t="s">
        <v>147</v>
      </c>
      <c r="D337" t="s">
        <v>130</v>
      </c>
      <c r="E337" t="s">
        <v>377</v>
      </c>
      <c r="F337" t="s">
        <v>383</v>
      </c>
      <c r="G337" t="s">
        <v>98</v>
      </c>
      <c r="H337" t="s">
        <v>98</v>
      </c>
      <c r="I337" t="s">
        <v>743</v>
      </c>
      <c r="J337" t="s">
        <v>746</v>
      </c>
      <c r="K337" t="s">
        <v>546</v>
      </c>
      <c r="L337" s="784" t="s">
        <v>575</v>
      </c>
      <c r="M337" t="s">
        <v>745</v>
      </c>
      <c r="P337" t="s">
        <v>1887</v>
      </c>
      <c r="Q337" t="s">
        <v>575</v>
      </c>
      <c r="R337" t="s">
        <v>152</v>
      </c>
      <c r="S337" t="s">
        <v>146</v>
      </c>
      <c r="U337">
        <v>0</v>
      </c>
      <c r="V337" t="s">
        <v>541</v>
      </c>
      <c r="W337" t="s">
        <v>575</v>
      </c>
      <c r="X337" s="784">
        <v>9948521252.2569065</v>
      </c>
    </row>
    <row r="338" spans="1:24">
      <c r="A338" t="s">
        <v>358</v>
      </c>
      <c r="B338" t="s">
        <v>589</v>
      </c>
      <c r="C338" t="s">
        <v>194</v>
      </c>
      <c r="D338" t="s">
        <v>131</v>
      </c>
      <c r="E338" t="s">
        <v>377</v>
      </c>
      <c r="F338" t="s">
        <v>383</v>
      </c>
      <c r="G338" t="s">
        <v>98</v>
      </c>
      <c r="H338" t="s">
        <v>98</v>
      </c>
      <c r="I338" t="s">
        <v>743</v>
      </c>
      <c r="J338" t="s">
        <v>746</v>
      </c>
      <c r="K338" t="s">
        <v>546</v>
      </c>
      <c r="L338" s="784" t="s">
        <v>575</v>
      </c>
      <c r="M338" t="s">
        <v>745</v>
      </c>
      <c r="P338" t="s">
        <v>1887</v>
      </c>
      <c r="Q338" t="s">
        <v>575</v>
      </c>
      <c r="R338" t="s">
        <v>150</v>
      </c>
      <c r="S338" t="s">
        <v>145</v>
      </c>
      <c r="U338">
        <v>1</v>
      </c>
      <c r="V338" t="s">
        <v>544</v>
      </c>
      <c r="W338" t="s">
        <v>542</v>
      </c>
      <c r="X338" s="784">
        <v>33679192.765657313</v>
      </c>
    </row>
    <row r="339" spans="1:24">
      <c r="A339" t="s">
        <v>358</v>
      </c>
      <c r="B339" t="s">
        <v>590</v>
      </c>
      <c r="C339" t="s">
        <v>195</v>
      </c>
      <c r="D339" t="s">
        <v>130</v>
      </c>
      <c r="E339" t="s">
        <v>377</v>
      </c>
      <c r="F339" t="s">
        <v>383</v>
      </c>
      <c r="G339" t="s">
        <v>98</v>
      </c>
      <c r="H339" t="s">
        <v>98</v>
      </c>
      <c r="I339" t="s">
        <v>743</v>
      </c>
      <c r="J339" t="s">
        <v>746</v>
      </c>
      <c r="K339" t="s">
        <v>546</v>
      </c>
      <c r="L339" s="784" t="s">
        <v>575</v>
      </c>
      <c r="M339" t="s">
        <v>745</v>
      </c>
      <c r="P339" t="s">
        <v>1887</v>
      </c>
      <c r="Q339" t="s">
        <v>575</v>
      </c>
      <c r="R339" t="s">
        <v>152</v>
      </c>
      <c r="S339" t="s">
        <v>145</v>
      </c>
      <c r="U339">
        <v>0</v>
      </c>
      <c r="V339" t="s">
        <v>541</v>
      </c>
      <c r="W339" t="s">
        <v>548</v>
      </c>
      <c r="X339" s="784">
        <v>22784494.365742501</v>
      </c>
    </row>
    <row r="340" spans="1:24">
      <c r="A340" t="s">
        <v>358</v>
      </c>
      <c r="B340" t="s">
        <v>591</v>
      </c>
      <c r="C340" t="s">
        <v>196</v>
      </c>
      <c r="D340" t="s">
        <v>130</v>
      </c>
      <c r="E340" t="s">
        <v>377</v>
      </c>
      <c r="F340" t="s">
        <v>383</v>
      </c>
      <c r="G340" t="s">
        <v>98</v>
      </c>
      <c r="H340" t="s">
        <v>98</v>
      </c>
      <c r="I340" t="s">
        <v>743</v>
      </c>
      <c r="J340" t="s">
        <v>746</v>
      </c>
      <c r="K340" t="s">
        <v>546</v>
      </c>
      <c r="L340" s="784" t="s">
        <v>575</v>
      </c>
      <c r="M340" t="s">
        <v>745</v>
      </c>
      <c r="P340" t="s">
        <v>1887</v>
      </c>
      <c r="Q340" t="s">
        <v>575</v>
      </c>
      <c r="R340" t="s">
        <v>152</v>
      </c>
      <c r="S340" t="s">
        <v>146</v>
      </c>
      <c r="U340">
        <v>0</v>
      </c>
      <c r="V340" t="s">
        <v>541</v>
      </c>
      <c r="W340" t="s">
        <v>575</v>
      </c>
      <c r="X340" s="784">
        <v>2173208011.4858823</v>
      </c>
    </row>
    <row r="341" spans="1:24">
      <c r="A341" t="s">
        <v>358</v>
      </c>
      <c r="B341" t="s">
        <v>592</v>
      </c>
      <c r="C341" t="s">
        <v>197</v>
      </c>
      <c r="D341" t="s">
        <v>130</v>
      </c>
      <c r="E341" t="s">
        <v>377</v>
      </c>
      <c r="F341" t="s">
        <v>383</v>
      </c>
      <c r="G341" t="s">
        <v>98</v>
      </c>
      <c r="H341" t="s">
        <v>98</v>
      </c>
      <c r="I341" t="s">
        <v>743</v>
      </c>
      <c r="J341" t="s">
        <v>746</v>
      </c>
      <c r="K341" t="s">
        <v>546</v>
      </c>
      <c r="L341" s="784">
        <v>27700000</v>
      </c>
      <c r="M341" t="s">
        <v>745</v>
      </c>
      <c r="P341" t="s">
        <v>1887</v>
      </c>
      <c r="Q341" t="s">
        <v>406</v>
      </c>
      <c r="R341" t="s">
        <v>152</v>
      </c>
      <c r="S341" t="s">
        <v>146</v>
      </c>
      <c r="U341">
        <v>0</v>
      </c>
      <c r="V341" t="s">
        <v>544</v>
      </c>
      <c r="W341" t="s">
        <v>546</v>
      </c>
      <c r="X341" s="784">
        <v>4585736158.8323269</v>
      </c>
    </row>
    <row r="342" spans="1:24">
      <c r="A342" t="s">
        <v>358</v>
      </c>
      <c r="B342" t="s">
        <v>593</v>
      </c>
      <c r="C342" t="s">
        <v>198</v>
      </c>
      <c r="D342" t="s">
        <v>131</v>
      </c>
      <c r="E342" t="s">
        <v>377</v>
      </c>
      <c r="F342" t="s">
        <v>383</v>
      </c>
      <c r="G342" t="s">
        <v>98</v>
      </c>
      <c r="H342" t="s">
        <v>98</v>
      </c>
      <c r="I342" t="s">
        <v>743</v>
      </c>
      <c r="J342" t="s">
        <v>746</v>
      </c>
      <c r="K342" t="s">
        <v>546</v>
      </c>
      <c r="L342" s="784">
        <v>0</v>
      </c>
      <c r="M342" t="s">
        <v>745</v>
      </c>
      <c r="P342" t="s">
        <v>1887</v>
      </c>
      <c r="Q342" t="s">
        <v>575</v>
      </c>
      <c r="R342" t="s">
        <v>150</v>
      </c>
      <c r="S342" t="s">
        <v>145</v>
      </c>
      <c r="U342">
        <v>0</v>
      </c>
      <c r="V342" t="s">
        <v>544</v>
      </c>
      <c r="W342" t="s">
        <v>546</v>
      </c>
      <c r="X342" s="784">
        <v>3550291584.8645592</v>
      </c>
    </row>
    <row r="343" spans="1:24">
      <c r="A343" t="s">
        <v>358</v>
      </c>
      <c r="B343" t="s">
        <v>594</v>
      </c>
      <c r="C343" t="s">
        <v>199</v>
      </c>
      <c r="D343" t="s">
        <v>130</v>
      </c>
      <c r="E343" t="s">
        <v>377</v>
      </c>
      <c r="F343" t="s">
        <v>383</v>
      </c>
      <c r="G343" t="s">
        <v>98</v>
      </c>
      <c r="H343" t="s">
        <v>98</v>
      </c>
      <c r="I343" t="s">
        <v>743</v>
      </c>
      <c r="J343" t="s">
        <v>746</v>
      </c>
      <c r="K343" t="s">
        <v>546</v>
      </c>
      <c r="L343" s="784">
        <v>14000000</v>
      </c>
      <c r="M343" t="s">
        <v>745</v>
      </c>
      <c r="P343" t="s">
        <v>1887</v>
      </c>
      <c r="Q343" t="s">
        <v>406</v>
      </c>
      <c r="R343" t="s">
        <v>150</v>
      </c>
      <c r="S343" t="s">
        <v>145</v>
      </c>
      <c r="U343">
        <v>0</v>
      </c>
      <c r="V343" t="s">
        <v>544</v>
      </c>
      <c r="W343" t="s">
        <v>546</v>
      </c>
      <c r="X343" s="784">
        <v>1182840319.0410969</v>
      </c>
    </row>
    <row r="344" spans="1:24">
      <c r="A344" t="s">
        <v>358</v>
      </c>
      <c r="B344" t="s">
        <v>595</v>
      </c>
      <c r="C344" t="s">
        <v>200</v>
      </c>
      <c r="D344" t="s">
        <v>130</v>
      </c>
      <c r="E344" t="s">
        <v>377</v>
      </c>
      <c r="F344" t="s">
        <v>383</v>
      </c>
      <c r="G344" t="s">
        <v>98</v>
      </c>
      <c r="H344" t="s">
        <v>98</v>
      </c>
      <c r="I344" t="s">
        <v>743</v>
      </c>
      <c r="J344" t="s">
        <v>746</v>
      </c>
      <c r="K344" t="s">
        <v>546</v>
      </c>
      <c r="L344" s="784" t="s">
        <v>575</v>
      </c>
      <c r="M344" t="s">
        <v>745</v>
      </c>
      <c r="P344" t="s">
        <v>1887</v>
      </c>
      <c r="Q344" t="s">
        <v>575</v>
      </c>
      <c r="R344" t="s">
        <v>152</v>
      </c>
      <c r="S344" t="s">
        <v>146</v>
      </c>
      <c r="U344">
        <v>0</v>
      </c>
      <c r="V344" t="s">
        <v>544</v>
      </c>
      <c r="W344" t="s">
        <v>575</v>
      </c>
      <c r="X344" s="784">
        <v>81728347.604567245</v>
      </c>
    </row>
    <row r="345" spans="1:24">
      <c r="A345" t="s">
        <v>358</v>
      </c>
      <c r="B345" t="s">
        <v>596</v>
      </c>
      <c r="C345" t="s">
        <v>201</v>
      </c>
      <c r="D345" t="s">
        <v>128</v>
      </c>
      <c r="E345" t="s">
        <v>377</v>
      </c>
      <c r="F345" t="s">
        <v>383</v>
      </c>
      <c r="G345" t="s">
        <v>98</v>
      </c>
      <c r="H345" t="s">
        <v>98</v>
      </c>
      <c r="I345" t="s">
        <v>743</v>
      </c>
      <c r="J345" t="s">
        <v>746</v>
      </c>
      <c r="K345" t="s">
        <v>546</v>
      </c>
      <c r="L345" s="784" t="s">
        <v>575</v>
      </c>
      <c r="M345" t="s">
        <v>745</v>
      </c>
      <c r="P345" t="s">
        <v>1887</v>
      </c>
      <c r="Q345" t="s">
        <v>575</v>
      </c>
      <c r="R345" t="s">
        <v>148</v>
      </c>
      <c r="S345" t="s">
        <v>145</v>
      </c>
      <c r="U345">
        <v>2</v>
      </c>
      <c r="V345" t="s">
        <v>544</v>
      </c>
      <c r="W345" t="s">
        <v>546</v>
      </c>
      <c r="X345" s="784">
        <v>12787914.977715338</v>
      </c>
    </row>
    <row r="346" spans="1:24">
      <c r="A346" t="s">
        <v>358</v>
      </c>
      <c r="B346" t="s">
        <v>597</v>
      </c>
      <c r="C346" t="s">
        <v>202</v>
      </c>
      <c r="D346" t="s">
        <v>128</v>
      </c>
      <c r="E346" t="s">
        <v>377</v>
      </c>
      <c r="F346" t="s">
        <v>383</v>
      </c>
      <c r="G346" t="s">
        <v>98</v>
      </c>
      <c r="H346" t="s">
        <v>98</v>
      </c>
      <c r="I346" t="s">
        <v>743</v>
      </c>
      <c r="J346" t="s">
        <v>746</v>
      </c>
      <c r="K346" t="s">
        <v>546</v>
      </c>
      <c r="L346" s="784">
        <v>3500000</v>
      </c>
      <c r="M346" t="s">
        <v>745</v>
      </c>
      <c r="P346" t="s">
        <v>1887</v>
      </c>
      <c r="Q346" t="s">
        <v>406</v>
      </c>
      <c r="R346" t="s">
        <v>150</v>
      </c>
      <c r="S346" t="s">
        <v>145</v>
      </c>
      <c r="U346">
        <v>2</v>
      </c>
      <c r="V346" t="s">
        <v>544</v>
      </c>
      <c r="W346" t="s">
        <v>546</v>
      </c>
      <c r="X346" s="784">
        <v>101271737.65410839</v>
      </c>
    </row>
    <row r="347" spans="1:24">
      <c r="A347" t="s">
        <v>358</v>
      </c>
      <c r="B347" t="s">
        <v>598</v>
      </c>
      <c r="C347" t="s">
        <v>203</v>
      </c>
      <c r="D347" t="s">
        <v>128</v>
      </c>
      <c r="E347" t="s">
        <v>377</v>
      </c>
      <c r="F347" t="s">
        <v>383</v>
      </c>
      <c r="G347" t="s">
        <v>98</v>
      </c>
      <c r="H347" t="s">
        <v>98</v>
      </c>
      <c r="I347" t="s">
        <v>743</v>
      </c>
      <c r="J347" t="s">
        <v>746</v>
      </c>
      <c r="K347" t="s">
        <v>546</v>
      </c>
      <c r="L347" s="784">
        <v>48600000</v>
      </c>
      <c r="M347" t="s">
        <v>745</v>
      </c>
      <c r="P347" t="s">
        <v>1887</v>
      </c>
      <c r="Q347" t="s">
        <v>406</v>
      </c>
      <c r="R347" t="s">
        <v>148</v>
      </c>
      <c r="S347" t="s">
        <v>145</v>
      </c>
      <c r="U347">
        <v>3</v>
      </c>
      <c r="V347" t="s">
        <v>544</v>
      </c>
      <c r="W347" t="s">
        <v>542</v>
      </c>
      <c r="X347" s="784">
        <v>618344226.71759331</v>
      </c>
    </row>
    <row r="348" spans="1:24">
      <c r="A348" t="s">
        <v>358</v>
      </c>
      <c r="B348" t="s">
        <v>599</v>
      </c>
      <c r="C348" t="s">
        <v>204</v>
      </c>
      <c r="D348" t="s">
        <v>126</v>
      </c>
      <c r="E348" t="s">
        <v>377</v>
      </c>
      <c r="F348" t="s">
        <v>383</v>
      </c>
      <c r="G348" t="s">
        <v>98</v>
      </c>
      <c r="H348" t="s">
        <v>98</v>
      </c>
      <c r="I348" t="s">
        <v>743</v>
      </c>
      <c r="J348" t="s">
        <v>746</v>
      </c>
      <c r="K348" t="s">
        <v>546</v>
      </c>
      <c r="L348" s="784" t="s">
        <v>575</v>
      </c>
      <c r="M348" t="s">
        <v>745</v>
      </c>
      <c r="P348" t="s">
        <v>1887</v>
      </c>
      <c r="Q348" t="s">
        <v>575</v>
      </c>
      <c r="R348" t="s">
        <v>152</v>
      </c>
      <c r="S348" t="s">
        <v>145</v>
      </c>
      <c r="U348">
        <v>0</v>
      </c>
      <c r="V348" t="s">
        <v>541</v>
      </c>
      <c r="W348" t="s">
        <v>548</v>
      </c>
      <c r="X348" s="784">
        <v>129483872.95906857</v>
      </c>
    </row>
    <row r="349" spans="1:24">
      <c r="A349" t="s">
        <v>358</v>
      </c>
      <c r="B349" t="s">
        <v>600</v>
      </c>
      <c r="C349" t="s">
        <v>205</v>
      </c>
      <c r="D349" t="s">
        <v>129</v>
      </c>
      <c r="E349" t="s">
        <v>377</v>
      </c>
      <c r="F349" t="s">
        <v>383</v>
      </c>
      <c r="G349" t="s">
        <v>98</v>
      </c>
      <c r="H349" t="s">
        <v>98</v>
      </c>
      <c r="I349" t="s">
        <v>743</v>
      </c>
      <c r="J349" t="s">
        <v>746</v>
      </c>
      <c r="K349" t="s">
        <v>546</v>
      </c>
      <c r="L349" s="784">
        <v>1000000</v>
      </c>
      <c r="M349" t="s">
        <v>745</v>
      </c>
      <c r="P349" t="s">
        <v>1887</v>
      </c>
      <c r="Q349" t="s">
        <v>406</v>
      </c>
      <c r="R349" t="s">
        <v>152</v>
      </c>
      <c r="S349" t="s">
        <v>146</v>
      </c>
      <c r="U349">
        <v>0</v>
      </c>
      <c r="V349" t="s">
        <v>544</v>
      </c>
      <c r="W349" t="s">
        <v>546</v>
      </c>
      <c r="X349" s="784">
        <v>271184658.35014349</v>
      </c>
    </row>
    <row r="350" spans="1:24">
      <c r="A350" t="s">
        <v>358</v>
      </c>
      <c r="B350" t="s">
        <v>601</v>
      </c>
      <c r="C350" t="s">
        <v>206</v>
      </c>
      <c r="D350" t="s">
        <v>129</v>
      </c>
      <c r="E350" t="s">
        <v>377</v>
      </c>
      <c r="F350" t="s">
        <v>383</v>
      </c>
      <c r="G350" t="s">
        <v>98</v>
      </c>
      <c r="H350" t="s">
        <v>98</v>
      </c>
      <c r="I350" t="s">
        <v>743</v>
      </c>
      <c r="J350" t="s">
        <v>746</v>
      </c>
      <c r="K350" t="s">
        <v>546</v>
      </c>
      <c r="L350" s="784">
        <v>0</v>
      </c>
      <c r="M350" t="s">
        <v>745</v>
      </c>
      <c r="P350" t="s">
        <v>1887</v>
      </c>
      <c r="Q350" t="s">
        <v>406</v>
      </c>
      <c r="R350" t="s">
        <v>148</v>
      </c>
      <c r="S350" t="s">
        <v>145</v>
      </c>
      <c r="U350">
        <v>0</v>
      </c>
      <c r="V350" t="s">
        <v>544</v>
      </c>
      <c r="W350" t="s">
        <v>542</v>
      </c>
      <c r="X350" s="784">
        <v>15455265.086884515</v>
      </c>
    </row>
    <row r="351" spans="1:24">
      <c r="A351" t="s">
        <v>358</v>
      </c>
      <c r="B351" t="s">
        <v>602</v>
      </c>
      <c r="C351" t="s">
        <v>207</v>
      </c>
      <c r="D351" t="s">
        <v>127</v>
      </c>
      <c r="E351" t="s">
        <v>377</v>
      </c>
      <c r="F351" t="s">
        <v>383</v>
      </c>
      <c r="G351" t="s">
        <v>98</v>
      </c>
      <c r="H351" t="s">
        <v>98</v>
      </c>
      <c r="I351" t="s">
        <v>743</v>
      </c>
      <c r="J351" t="s">
        <v>746</v>
      </c>
      <c r="K351" t="s">
        <v>546</v>
      </c>
      <c r="L351" s="784">
        <v>500000</v>
      </c>
      <c r="M351" t="s">
        <v>745</v>
      </c>
      <c r="P351" t="s">
        <v>1887</v>
      </c>
      <c r="Q351" t="s">
        <v>406</v>
      </c>
      <c r="R351" t="s">
        <v>152</v>
      </c>
      <c r="S351" t="s">
        <v>146</v>
      </c>
      <c r="U351">
        <v>0</v>
      </c>
      <c r="V351" t="s">
        <v>544</v>
      </c>
      <c r="W351" t="s">
        <v>546</v>
      </c>
      <c r="X351" s="784">
        <v>494021502.525527</v>
      </c>
    </row>
    <row r="352" spans="1:24">
      <c r="A352" t="s">
        <v>358</v>
      </c>
      <c r="B352" t="s">
        <v>603</v>
      </c>
      <c r="C352" t="s">
        <v>208</v>
      </c>
      <c r="D352" t="s">
        <v>129</v>
      </c>
      <c r="E352" t="s">
        <v>377</v>
      </c>
      <c r="F352" t="s">
        <v>383</v>
      </c>
      <c r="G352" t="s">
        <v>98</v>
      </c>
      <c r="H352" t="s">
        <v>98</v>
      </c>
      <c r="I352" t="s">
        <v>743</v>
      </c>
      <c r="J352" t="s">
        <v>746</v>
      </c>
      <c r="K352" t="s">
        <v>546</v>
      </c>
      <c r="L352" s="784">
        <v>55800000</v>
      </c>
      <c r="M352" t="s">
        <v>745</v>
      </c>
      <c r="P352" t="s">
        <v>1887</v>
      </c>
      <c r="Q352" t="s">
        <v>406</v>
      </c>
      <c r="R352" t="s">
        <v>150</v>
      </c>
      <c r="S352" t="s">
        <v>145</v>
      </c>
      <c r="U352">
        <v>0</v>
      </c>
      <c r="V352" t="s">
        <v>544</v>
      </c>
      <c r="W352" t="s">
        <v>542</v>
      </c>
      <c r="X352" s="784">
        <v>902005621.73836684</v>
      </c>
    </row>
    <row r="353" spans="1:24">
      <c r="A353" t="s">
        <v>358</v>
      </c>
      <c r="B353" t="s">
        <v>604</v>
      </c>
      <c r="C353" t="s">
        <v>209</v>
      </c>
      <c r="D353" t="s">
        <v>130</v>
      </c>
      <c r="E353" t="s">
        <v>377</v>
      </c>
      <c r="F353" t="s">
        <v>383</v>
      </c>
      <c r="G353" t="s">
        <v>98</v>
      </c>
      <c r="H353" t="s">
        <v>98</v>
      </c>
      <c r="I353" t="s">
        <v>743</v>
      </c>
      <c r="J353" t="s">
        <v>746</v>
      </c>
      <c r="K353" t="s">
        <v>546</v>
      </c>
      <c r="L353" s="784" t="s">
        <v>575</v>
      </c>
      <c r="M353" t="s">
        <v>745</v>
      </c>
      <c r="P353" t="s">
        <v>1887</v>
      </c>
      <c r="Q353" t="s">
        <v>575</v>
      </c>
      <c r="R353" t="s">
        <v>152</v>
      </c>
      <c r="S353" t="s">
        <v>145</v>
      </c>
      <c r="U353">
        <v>0</v>
      </c>
      <c r="V353" t="s">
        <v>541</v>
      </c>
      <c r="W353" t="s">
        <v>583</v>
      </c>
      <c r="X353" s="784">
        <v>20201670.142996579</v>
      </c>
    </row>
    <row r="354" spans="1:24">
      <c r="A354" t="s">
        <v>358</v>
      </c>
      <c r="B354" t="s">
        <v>605</v>
      </c>
      <c r="C354" t="s">
        <v>210</v>
      </c>
      <c r="D354" t="s">
        <v>130</v>
      </c>
      <c r="E354" t="s">
        <v>377</v>
      </c>
      <c r="F354" t="s">
        <v>383</v>
      </c>
      <c r="G354" t="s">
        <v>98</v>
      </c>
      <c r="H354" t="s">
        <v>98</v>
      </c>
      <c r="I354" t="s">
        <v>743</v>
      </c>
      <c r="J354" t="s">
        <v>746</v>
      </c>
      <c r="K354" t="s">
        <v>546</v>
      </c>
      <c r="L354" s="784" t="s">
        <v>575</v>
      </c>
      <c r="M354" t="s">
        <v>745</v>
      </c>
      <c r="P354" t="s">
        <v>1887</v>
      </c>
      <c r="Q354" t="s">
        <v>575</v>
      </c>
      <c r="R354" t="s">
        <v>152</v>
      </c>
      <c r="S354" t="s">
        <v>146</v>
      </c>
      <c r="U354">
        <v>0</v>
      </c>
      <c r="V354" t="s">
        <v>544</v>
      </c>
      <c r="W354" t="s">
        <v>575</v>
      </c>
      <c r="X354" s="784">
        <v>1612434649.6948864</v>
      </c>
    </row>
    <row r="355" spans="1:24">
      <c r="A355" t="s">
        <v>358</v>
      </c>
      <c r="B355" t="s">
        <v>606</v>
      </c>
      <c r="C355" t="s">
        <v>211</v>
      </c>
      <c r="D355" t="s">
        <v>129</v>
      </c>
      <c r="E355" t="s">
        <v>377</v>
      </c>
      <c r="F355" t="s">
        <v>383</v>
      </c>
      <c r="G355" t="s">
        <v>98</v>
      </c>
      <c r="H355" t="s">
        <v>98</v>
      </c>
      <c r="I355" t="s">
        <v>743</v>
      </c>
      <c r="J355" t="s">
        <v>746</v>
      </c>
      <c r="K355" t="s">
        <v>546</v>
      </c>
      <c r="L355" s="784">
        <v>0</v>
      </c>
      <c r="M355" t="s">
        <v>745</v>
      </c>
      <c r="P355" t="s">
        <v>1887</v>
      </c>
      <c r="Q355" t="s">
        <v>406</v>
      </c>
      <c r="R355" t="s">
        <v>148</v>
      </c>
      <c r="S355" t="s">
        <v>145</v>
      </c>
      <c r="U355">
        <v>0</v>
      </c>
      <c r="V355" t="s">
        <v>544</v>
      </c>
      <c r="W355" t="s">
        <v>562</v>
      </c>
      <c r="X355" s="784">
        <v>78203134.118229344</v>
      </c>
    </row>
    <row r="356" spans="1:24">
      <c r="A356" t="s">
        <v>358</v>
      </c>
      <c r="B356" t="s">
        <v>607</v>
      </c>
      <c r="C356" t="s">
        <v>212</v>
      </c>
      <c r="D356" t="s">
        <v>129</v>
      </c>
      <c r="E356" t="s">
        <v>377</v>
      </c>
      <c r="F356" t="s">
        <v>383</v>
      </c>
      <c r="G356" t="s">
        <v>98</v>
      </c>
      <c r="H356" t="s">
        <v>98</v>
      </c>
      <c r="I356" t="s">
        <v>743</v>
      </c>
      <c r="J356" t="s">
        <v>746</v>
      </c>
      <c r="K356" t="s">
        <v>546</v>
      </c>
      <c r="L356" s="784">
        <v>300000</v>
      </c>
      <c r="M356" t="s">
        <v>745</v>
      </c>
      <c r="P356" t="s">
        <v>1887</v>
      </c>
      <c r="Q356" t="s">
        <v>406</v>
      </c>
      <c r="R356" t="s">
        <v>148</v>
      </c>
      <c r="S356" t="s">
        <v>145</v>
      </c>
      <c r="U356">
        <v>2</v>
      </c>
      <c r="V356" t="s">
        <v>541</v>
      </c>
      <c r="W356" t="s">
        <v>542</v>
      </c>
      <c r="X356" s="784">
        <v>9151637.7411015611</v>
      </c>
    </row>
    <row r="357" spans="1:24">
      <c r="A357" t="s">
        <v>358</v>
      </c>
      <c r="B357" t="s">
        <v>608</v>
      </c>
      <c r="C357" t="s">
        <v>213</v>
      </c>
      <c r="D357" t="s">
        <v>130</v>
      </c>
      <c r="E357" t="s">
        <v>377</v>
      </c>
      <c r="F357" t="s">
        <v>383</v>
      </c>
      <c r="G357" t="s">
        <v>98</v>
      </c>
      <c r="H357" t="s">
        <v>98</v>
      </c>
      <c r="I357" t="s">
        <v>743</v>
      </c>
      <c r="J357" t="s">
        <v>746</v>
      </c>
      <c r="K357" t="s">
        <v>546</v>
      </c>
      <c r="L357" s="784">
        <v>1500000</v>
      </c>
      <c r="M357" t="s">
        <v>745</v>
      </c>
      <c r="P357" t="s">
        <v>1887</v>
      </c>
      <c r="Q357" t="s">
        <v>406</v>
      </c>
      <c r="R357" t="s">
        <v>152</v>
      </c>
      <c r="S357" t="s">
        <v>145</v>
      </c>
      <c r="U357">
        <v>0</v>
      </c>
      <c r="V357" t="s">
        <v>541</v>
      </c>
      <c r="W357" t="s">
        <v>562</v>
      </c>
      <c r="X357" s="784">
        <v>142455920.02856269</v>
      </c>
    </row>
    <row r="358" spans="1:24">
      <c r="A358" t="s">
        <v>358</v>
      </c>
      <c r="B358" t="s">
        <v>609</v>
      </c>
      <c r="C358" t="s">
        <v>214</v>
      </c>
      <c r="D358" t="s">
        <v>130</v>
      </c>
      <c r="E358" t="s">
        <v>377</v>
      </c>
      <c r="F358" t="s">
        <v>383</v>
      </c>
      <c r="G358" t="s">
        <v>98</v>
      </c>
      <c r="H358" t="s">
        <v>98</v>
      </c>
      <c r="I358" t="s">
        <v>743</v>
      </c>
      <c r="J358" t="s">
        <v>746</v>
      </c>
      <c r="K358" t="s">
        <v>546</v>
      </c>
      <c r="L358" s="784" t="s">
        <v>575</v>
      </c>
      <c r="M358" t="s">
        <v>745</v>
      </c>
      <c r="P358" t="s">
        <v>1887</v>
      </c>
      <c r="Q358" t="s">
        <v>575</v>
      </c>
      <c r="R358" t="s">
        <v>150</v>
      </c>
      <c r="S358" t="s">
        <v>145</v>
      </c>
      <c r="U358">
        <v>1</v>
      </c>
      <c r="V358" t="s">
        <v>541</v>
      </c>
      <c r="W358" t="s">
        <v>542</v>
      </c>
      <c r="X358" s="784">
        <v>85611818.171245083</v>
      </c>
    </row>
    <row r="359" spans="1:24">
      <c r="A359" t="s">
        <v>358</v>
      </c>
      <c r="B359" t="s">
        <v>610</v>
      </c>
      <c r="C359" t="s">
        <v>215</v>
      </c>
      <c r="D359" t="s">
        <v>130</v>
      </c>
      <c r="E359" t="s">
        <v>377</v>
      </c>
      <c r="F359" t="s">
        <v>383</v>
      </c>
      <c r="G359" t="s">
        <v>98</v>
      </c>
      <c r="H359" t="s">
        <v>98</v>
      </c>
      <c r="I359" t="s">
        <v>743</v>
      </c>
      <c r="J359" t="s">
        <v>746</v>
      </c>
      <c r="K359" t="s">
        <v>546</v>
      </c>
      <c r="L359" s="784">
        <v>500000</v>
      </c>
      <c r="M359" t="s">
        <v>745</v>
      </c>
      <c r="P359" t="s">
        <v>1887</v>
      </c>
      <c r="Q359" t="s">
        <v>406</v>
      </c>
      <c r="R359" t="s">
        <v>150</v>
      </c>
      <c r="S359" t="s">
        <v>145</v>
      </c>
      <c r="U359">
        <v>0</v>
      </c>
      <c r="V359" t="s">
        <v>544</v>
      </c>
      <c r="W359" t="s">
        <v>558</v>
      </c>
      <c r="X359" s="784">
        <v>680289736.30082119</v>
      </c>
    </row>
    <row r="360" spans="1:24">
      <c r="A360" t="s">
        <v>358</v>
      </c>
      <c r="B360" t="s">
        <v>611</v>
      </c>
      <c r="C360" t="s">
        <v>216</v>
      </c>
      <c r="D360" t="s">
        <v>132</v>
      </c>
      <c r="E360" t="s">
        <v>377</v>
      </c>
      <c r="F360" t="s">
        <v>383</v>
      </c>
      <c r="G360" t="s">
        <v>98</v>
      </c>
      <c r="H360" t="s">
        <v>98</v>
      </c>
      <c r="I360" t="s">
        <v>743</v>
      </c>
      <c r="J360" t="s">
        <v>746</v>
      </c>
      <c r="K360" t="s">
        <v>546</v>
      </c>
      <c r="L360" s="784" t="s">
        <v>575</v>
      </c>
      <c r="M360" t="s">
        <v>745</v>
      </c>
      <c r="P360" t="s">
        <v>1887</v>
      </c>
      <c r="Q360" t="s">
        <v>575</v>
      </c>
      <c r="R360" t="s">
        <v>150</v>
      </c>
      <c r="S360" t="s">
        <v>145</v>
      </c>
      <c r="U360">
        <v>0</v>
      </c>
      <c r="V360" t="s">
        <v>544</v>
      </c>
      <c r="W360" t="s">
        <v>546</v>
      </c>
      <c r="X360" s="784">
        <v>26554332750.47023</v>
      </c>
    </row>
    <row r="361" spans="1:24">
      <c r="A361" t="s">
        <v>358</v>
      </c>
      <c r="B361" t="s">
        <v>612</v>
      </c>
      <c r="C361" t="s">
        <v>217</v>
      </c>
      <c r="D361" t="s">
        <v>126</v>
      </c>
      <c r="E361" t="s">
        <v>377</v>
      </c>
      <c r="F361" t="s">
        <v>383</v>
      </c>
      <c r="G361" t="s">
        <v>98</v>
      </c>
      <c r="H361" t="s">
        <v>98</v>
      </c>
      <c r="I361" t="s">
        <v>743</v>
      </c>
      <c r="J361" t="s">
        <v>746</v>
      </c>
      <c r="K361" t="s">
        <v>546</v>
      </c>
      <c r="L361" s="784">
        <v>251600000</v>
      </c>
      <c r="M361" t="s">
        <v>745</v>
      </c>
      <c r="P361" t="s">
        <v>1887</v>
      </c>
      <c r="Q361" t="s">
        <v>406</v>
      </c>
      <c r="R361" t="s">
        <v>150</v>
      </c>
      <c r="S361" t="s">
        <v>145</v>
      </c>
      <c r="U361">
        <v>0</v>
      </c>
      <c r="V361" t="s">
        <v>544</v>
      </c>
      <c r="W361" t="s">
        <v>546</v>
      </c>
      <c r="X361" s="784">
        <v>14745961064.890842</v>
      </c>
    </row>
    <row r="362" spans="1:24">
      <c r="A362" t="s">
        <v>358</v>
      </c>
      <c r="B362" t="s">
        <v>613</v>
      </c>
      <c r="C362" t="s">
        <v>149</v>
      </c>
      <c r="D362" t="s">
        <v>131</v>
      </c>
      <c r="E362" t="s">
        <v>377</v>
      </c>
      <c r="F362" t="s">
        <v>383</v>
      </c>
      <c r="G362" t="s">
        <v>98</v>
      </c>
      <c r="H362" t="s">
        <v>98</v>
      </c>
      <c r="I362" t="s">
        <v>743</v>
      </c>
      <c r="J362" t="s">
        <v>746</v>
      </c>
      <c r="K362" t="s">
        <v>546</v>
      </c>
      <c r="L362" s="784" t="s">
        <v>575</v>
      </c>
      <c r="M362" t="s">
        <v>745</v>
      </c>
      <c r="P362" t="s">
        <v>1887</v>
      </c>
      <c r="Q362" t="s">
        <v>575</v>
      </c>
      <c r="R362" t="s">
        <v>150</v>
      </c>
      <c r="S362" t="s">
        <v>146</v>
      </c>
      <c r="U362">
        <v>0</v>
      </c>
      <c r="V362" t="s">
        <v>544</v>
      </c>
      <c r="W362" t="s">
        <v>546</v>
      </c>
      <c r="X362" s="784">
        <v>18194076299.786381</v>
      </c>
    </row>
    <row r="363" spans="1:24">
      <c r="A363" t="s">
        <v>358</v>
      </c>
      <c r="B363" t="s">
        <v>614</v>
      </c>
      <c r="C363" t="s">
        <v>218</v>
      </c>
      <c r="D363" t="s">
        <v>131</v>
      </c>
      <c r="E363" t="s">
        <v>377</v>
      </c>
      <c r="F363" t="s">
        <v>383</v>
      </c>
      <c r="G363" t="s">
        <v>98</v>
      </c>
      <c r="H363" t="s">
        <v>98</v>
      </c>
      <c r="I363" t="s">
        <v>743</v>
      </c>
      <c r="J363" t="s">
        <v>746</v>
      </c>
      <c r="K363" t="s">
        <v>546</v>
      </c>
      <c r="L363" s="784">
        <v>3000000</v>
      </c>
      <c r="M363" t="s">
        <v>745</v>
      </c>
      <c r="P363" t="s">
        <v>1887</v>
      </c>
      <c r="Q363" t="s">
        <v>406</v>
      </c>
      <c r="R363" t="s">
        <v>152</v>
      </c>
      <c r="S363" t="s">
        <v>146</v>
      </c>
      <c r="U363">
        <v>0</v>
      </c>
      <c r="V363" t="s">
        <v>544</v>
      </c>
      <c r="W363" t="s">
        <v>546</v>
      </c>
      <c r="X363" s="784">
        <v>4428819387.769825</v>
      </c>
    </row>
    <row r="364" spans="1:24">
      <c r="A364" t="s">
        <v>358</v>
      </c>
      <c r="B364" t="s">
        <v>615</v>
      </c>
      <c r="C364" t="s">
        <v>219</v>
      </c>
      <c r="D364" t="s">
        <v>130</v>
      </c>
      <c r="E364" t="s">
        <v>377</v>
      </c>
      <c r="F364" t="s">
        <v>383</v>
      </c>
      <c r="G364" t="s">
        <v>98</v>
      </c>
      <c r="H364" t="s">
        <v>98</v>
      </c>
      <c r="I364" t="s">
        <v>743</v>
      </c>
      <c r="J364" t="s">
        <v>746</v>
      </c>
      <c r="K364" t="s">
        <v>546</v>
      </c>
      <c r="L364" s="784" t="s">
        <v>575</v>
      </c>
      <c r="M364" t="s">
        <v>745</v>
      </c>
      <c r="P364" t="s">
        <v>1887</v>
      </c>
      <c r="Q364" t="s">
        <v>575</v>
      </c>
      <c r="R364" t="s">
        <v>152</v>
      </c>
      <c r="S364" t="s">
        <v>146</v>
      </c>
      <c r="U364">
        <v>0</v>
      </c>
      <c r="V364" t="s">
        <v>541</v>
      </c>
      <c r="W364" t="s">
        <v>575</v>
      </c>
      <c r="X364" s="784">
        <v>611739560.62679195</v>
      </c>
    </row>
    <row r="365" spans="1:24">
      <c r="A365" t="s">
        <v>358</v>
      </c>
      <c r="B365" t="s">
        <v>616</v>
      </c>
      <c r="C365" t="s">
        <v>220</v>
      </c>
      <c r="D365" t="s">
        <v>131</v>
      </c>
      <c r="E365" t="s">
        <v>377</v>
      </c>
      <c r="F365" t="s">
        <v>383</v>
      </c>
      <c r="G365" t="s">
        <v>98</v>
      </c>
      <c r="H365" t="s">
        <v>98</v>
      </c>
      <c r="I365" t="s">
        <v>743</v>
      </c>
      <c r="J365" t="s">
        <v>746</v>
      </c>
      <c r="K365" t="s">
        <v>546</v>
      </c>
      <c r="L365" s="784">
        <v>2300000</v>
      </c>
      <c r="M365" t="s">
        <v>745</v>
      </c>
      <c r="P365" t="s">
        <v>1887</v>
      </c>
      <c r="Q365" t="s">
        <v>406</v>
      </c>
      <c r="R365" t="s">
        <v>152</v>
      </c>
      <c r="S365" t="s">
        <v>146</v>
      </c>
      <c r="U365">
        <v>0</v>
      </c>
      <c r="V365" t="s">
        <v>544</v>
      </c>
      <c r="W365" t="s">
        <v>546</v>
      </c>
      <c r="X365" s="784">
        <v>1617913383.0481031</v>
      </c>
    </row>
    <row r="366" spans="1:24">
      <c r="A366" t="s">
        <v>358</v>
      </c>
      <c r="B366" t="s">
        <v>617</v>
      </c>
      <c r="C366" t="s">
        <v>221</v>
      </c>
      <c r="D366" t="s">
        <v>127</v>
      </c>
      <c r="E366" t="s">
        <v>377</v>
      </c>
      <c r="F366" t="s">
        <v>383</v>
      </c>
      <c r="G366" t="s">
        <v>98</v>
      </c>
      <c r="H366" t="s">
        <v>98</v>
      </c>
      <c r="I366" t="s">
        <v>743</v>
      </c>
      <c r="J366" t="s">
        <v>746</v>
      </c>
      <c r="K366" t="s">
        <v>546</v>
      </c>
      <c r="L366" s="784" t="s">
        <v>575</v>
      </c>
      <c r="M366" t="s">
        <v>745</v>
      </c>
      <c r="P366" t="s">
        <v>1887</v>
      </c>
      <c r="Q366" t="s">
        <v>575</v>
      </c>
      <c r="R366" t="s">
        <v>152</v>
      </c>
      <c r="S366" t="s">
        <v>146</v>
      </c>
      <c r="U366">
        <v>0</v>
      </c>
      <c r="V366" t="s">
        <v>544</v>
      </c>
      <c r="W366" t="s">
        <v>575</v>
      </c>
      <c r="X366" s="784">
        <v>3074419112.4562683</v>
      </c>
    </row>
    <row r="367" spans="1:24">
      <c r="A367" t="s">
        <v>358</v>
      </c>
      <c r="B367" t="s">
        <v>618</v>
      </c>
      <c r="C367" t="s">
        <v>222</v>
      </c>
      <c r="D367" t="s">
        <v>128</v>
      </c>
      <c r="E367" t="s">
        <v>377</v>
      </c>
      <c r="F367" t="s">
        <v>383</v>
      </c>
      <c r="G367" t="s">
        <v>98</v>
      </c>
      <c r="H367" t="s">
        <v>98</v>
      </c>
      <c r="I367" t="s">
        <v>743</v>
      </c>
      <c r="J367" t="s">
        <v>746</v>
      </c>
      <c r="K367" t="s">
        <v>546</v>
      </c>
      <c r="L367" s="784">
        <v>3000000</v>
      </c>
      <c r="M367" t="s">
        <v>745</v>
      </c>
      <c r="P367" t="s">
        <v>1887</v>
      </c>
      <c r="Q367" t="s">
        <v>406</v>
      </c>
      <c r="R367" t="s">
        <v>150</v>
      </c>
      <c r="S367" t="s">
        <v>145</v>
      </c>
      <c r="U367">
        <v>0</v>
      </c>
      <c r="V367" t="s">
        <v>544</v>
      </c>
      <c r="W367" t="s">
        <v>542</v>
      </c>
      <c r="X367" s="784">
        <v>1914014279.8929913</v>
      </c>
    </row>
    <row r="368" spans="1:24">
      <c r="A368" t="s">
        <v>358</v>
      </c>
      <c r="B368" t="s">
        <v>619</v>
      </c>
      <c r="C368" t="s">
        <v>223</v>
      </c>
      <c r="D368" t="s">
        <v>126</v>
      </c>
      <c r="E368" t="s">
        <v>377</v>
      </c>
      <c r="F368" t="s">
        <v>383</v>
      </c>
      <c r="G368" t="s">
        <v>98</v>
      </c>
      <c r="H368" t="s">
        <v>98</v>
      </c>
      <c r="I368" t="s">
        <v>743</v>
      </c>
      <c r="J368" t="s">
        <v>746</v>
      </c>
      <c r="K368" t="s">
        <v>546</v>
      </c>
      <c r="L368" s="784" t="s">
        <v>575</v>
      </c>
      <c r="M368" t="s">
        <v>745</v>
      </c>
      <c r="P368" t="s">
        <v>1887</v>
      </c>
      <c r="Q368" t="s">
        <v>575</v>
      </c>
      <c r="R368" t="s">
        <v>150</v>
      </c>
      <c r="S368" t="s">
        <v>145</v>
      </c>
      <c r="U368">
        <v>0</v>
      </c>
      <c r="V368" t="s">
        <v>541</v>
      </c>
      <c r="W368" t="s">
        <v>542</v>
      </c>
      <c r="X368" s="784">
        <v>17422005.762907442</v>
      </c>
    </row>
    <row r="369" spans="1:24">
      <c r="A369" t="s">
        <v>358</v>
      </c>
      <c r="B369" t="s">
        <v>620</v>
      </c>
      <c r="C369" t="s">
        <v>224</v>
      </c>
      <c r="D369" t="s">
        <v>126</v>
      </c>
      <c r="E369" t="s">
        <v>377</v>
      </c>
      <c r="F369" t="s">
        <v>383</v>
      </c>
      <c r="G369" t="s">
        <v>98</v>
      </c>
      <c r="H369" t="s">
        <v>98</v>
      </c>
      <c r="I369" t="s">
        <v>743</v>
      </c>
      <c r="J369" t="s">
        <v>746</v>
      </c>
      <c r="K369" t="s">
        <v>546</v>
      </c>
      <c r="L369" s="784" t="s">
        <v>575</v>
      </c>
      <c r="M369" t="s">
        <v>745</v>
      </c>
      <c r="P369" t="s">
        <v>1887</v>
      </c>
      <c r="Q369" t="s">
        <v>575</v>
      </c>
      <c r="R369" t="s">
        <v>148</v>
      </c>
      <c r="S369" t="s">
        <v>145</v>
      </c>
      <c r="U369">
        <v>0</v>
      </c>
      <c r="V369" t="s">
        <v>544</v>
      </c>
      <c r="W369" t="s">
        <v>546</v>
      </c>
      <c r="X369" s="784" t="s">
        <v>575</v>
      </c>
    </row>
    <row r="370" spans="1:24">
      <c r="A370" t="s">
        <v>358</v>
      </c>
      <c r="B370" t="s">
        <v>621</v>
      </c>
      <c r="C370" t="s">
        <v>225</v>
      </c>
      <c r="D370" t="s">
        <v>127</v>
      </c>
      <c r="E370" t="s">
        <v>377</v>
      </c>
      <c r="F370" t="s">
        <v>383</v>
      </c>
      <c r="G370" t="s">
        <v>98</v>
      </c>
      <c r="H370" t="s">
        <v>98</v>
      </c>
      <c r="I370" t="s">
        <v>743</v>
      </c>
      <c r="J370" t="s">
        <v>746</v>
      </c>
      <c r="K370" t="s">
        <v>546</v>
      </c>
      <c r="L370" s="784">
        <v>13700000</v>
      </c>
      <c r="M370" t="s">
        <v>745</v>
      </c>
      <c r="P370" t="s">
        <v>1887</v>
      </c>
      <c r="Q370" t="s">
        <v>406</v>
      </c>
      <c r="R370" t="s">
        <v>152</v>
      </c>
      <c r="S370" t="s">
        <v>145</v>
      </c>
      <c r="U370">
        <v>0</v>
      </c>
      <c r="V370" t="s">
        <v>544</v>
      </c>
      <c r="W370" t="s">
        <v>548</v>
      </c>
      <c r="X370" s="784" t="s">
        <v>575</v>
      </c>
    </row>
    <row r="371" spans="1:24">
      <c r="A371" t="s">
        <v>358</v>
      </c>
      <c r="B371" t="s">
        <v>622</v>
      </c>
      <c r="C371" t="s">
        <v>226</v>
      </c>
      <c r="D371" t="s">
        <v>127</v>
      </c>
      <c r="E371" t="s">
        <v>377</v>
      </c>
      <c r="F371" t="s">
        <v>383</v>
      </c>
      <c r="G371" t="s">
        <v>98</v>
      </c>
      <c r="H371" t="s">
        <v>98</v>
      </c>
      <c r="I371" t="s">
        <v>743</v>
      </c>
      <c r="J371" t="s">
        <v>746</v>
      </c>
      <c r="K371" t="s">
        <v>546</v>
      </c>
      <c r="L371" s="784">
        <v>500000</v>
      </c>
      <c r="M371" t="s">
        <v>745</v>
      </c>
      <c r="P371" t="s">
        <v>1887</v>
      </c>
      <c r="Q371" t="s">
        <v>406</v>
      </c>
      <c r="R371" t="s">
        <v>150</v>
      </c>
      <c r="S371" t="s">
        <v>145</v>
      </c>
      <c r="U371">
        <v>2</v>
      </c>
      <c r="V371" t="s">
        <v>544</v>
      </c>
      <c r="W371" t="s">
        <v>562</v>
      </c>
      <c r="X371" s="784">
        <v>231506834.84347546</v>
      </c>
    </row>
    <row r="372" spans="1:24">
      <c r="A372" t="s">
        <v>358</v>
      </c>
      <c r="B372" t="s">
        <v>623</v>
      </c>
      <c r="C372" t="s">
        <v>227</v>
      </c>
      <c r="D372" t="s">
        <v>126</v>
      </c>
      <c r="E372" t="s">
        <v>377</v>
      </c>
      <c r="F372" t="s">
        <v>383</v>
      </c>
      <c r="G372" t="s">
        <v>98</v>
      </c>
      <c r="H372" t="s">
        <v>98</v>
      </c>
      <c r="I372" t="s">
        <v>743</v>
      </c>
      <c r="J372" t="s">
        <v>746</v>
      </c>
      <c r="K372" t="s">
        <v>546</v>
      </c>
      <c r="L372" s="784">
        <v>400000</v>
      </c>
      <c r="M372" t="s">
        <v>745</v>
      </c>
      <c r="P372" t="s">
        <v>1887</v>
      </c>
      <c r="Q372" t="s">
        <v>406</v>
      </c>
      <c r="R372" t="s">
        <v>150</v>
      </c>
      <c r="S372" t="s">
        <v>145</v>
      </c>
      <c r="U372">
        <v>0</v>
      </c>
      <c r="V372" t="s">
        <v>544</v>
      </c>
      <c r="W372" t="s">
        <v>542</v>
      </c>
      <c r="X372" s="784">
        <v>156059428.62944782</v>
      </c>
    </row>
    <row r="373" spans="1:24">
      <c r="A373" t="s">
        <v>358</v>
      </c>
      <c r="B373" t="s">
        <v>624</v>
      </c>
      <c r="C373" t="s">
        <v>228</v>
      </c>
      <c r="D373" t="s">
        <v>131</v>
      </c>
      <c r="E373" t="s">
        <v>377</v>
      </c>
      <c r="F373" t="s">
        <v>383</v>
      </c>
      <c r="G373" t="s">
        <v>98</v>
      </c>
      <c r="H373" t="s">
        <v>98</v>
      </c>
      <c r="I373" t="s">
        <v>743</v>
      </c>
      <c r="J373" t="s">
        <v>746</v>
      </c>
      <c r="K373" t="s">
        <v>546</v>
      </c>
      <c r="L373" s="784">
        <v>0</v>
      </c>
      <c r="M373" t="s">
        <v>745</v>
      </c>
      <c r="P373" t="s">
        <v>1887</v>
      </c>
      <c r="Q373" t="s">
        <v>406</v>
      </c>
      <c r="R373" t="s">
        <v>152</v>
      </c>
      <c r="S373" t="s">
        <v>146</v>
      </c>
      <c r="U373">
        <v>0</v>
      </c>
      <c r="V373" t="s">
        <v>544</v>
      </c>
      <c r="W373" t="s">
        <v>546</v>
      </c>
      <c r="X373" s="784">
        <v>2355391507.1635861</v>
      </c>
    </row>
    <row r="374" spans="1:24">
      <c r="A374" t="s">
        <v>358</v>
      </c>
      <c r="B374" t="s">
        <v>625</v>
      </c>
      <c r="C374" t="s">
        <v>229</v>
      </c>
      <c r="D374" t="s">
        <v>128</v>
      </c>
      <c r="E374" t="s">
        <v>377</v>
      </c>
      <c r="F374" t="s">
        <v>383</v>
      </c>
      <c r="G374" t="s">
        <v>98</v>
      </c>
      <c r="H374" t="s">
        <v>98</v>
      </c>
      <c r="I374" t="s">
        <v>743</v>
      </c>
      <c r="J374" t="s">
        <v>746</v>
      </c>
      <c r="K374" t="s">
        <v>546</v>
      </c>
      <c r="L374" s="784">
        <v>6000000</v>
      </c>
      <c r="M374" t="s">
        <v>745</v>
      </c>
      <c r="P374" t="s">
        <v>1887</v>
      </c>
      <c r="Q374" t="s">
        <v>406</v>
      </c>
      <c r="R374" t="s">
        <v>150</v>
      </c>
      <c r="S374" t="s">
        <v>145</v>
      </c>
      <c r="U374">
        <v>0</v>
      </c>
      <c r="V374" t="s">
        <v>544</v>
      </c>
      <c r="W374" t="s">
        <v>562</v>
      </c>
      <c r="X374" s="784">
        <v>152760919.7684873</v>
      </c>
    </row>
    <row r="375" spans="1:24">
      <c r="A375" t="s">
        <v>358</v>
      </c>
      <c r="B375" t="s">
        <v>626</v>
      </c>
      <c r="C375" t="s">
        <v>230</v>
      </c>
      <c r="D375" t="s">
        <v>129</v>
      </c>
      <c r="E375" t="s">
        <v>377</v>
      </c>
      <c r="F375" t="s">
        <v>383</v>
      </c>
      <c r="G375" t="s">
        <v>98</v>
      </c>
      <c r="H375" t="s">
        <v>98</v>
      </c>
      <c r="I375" t="s">
        <v>743</v>
      </c>
      <c r="J375" t="s">
        <v>746</v>
      </c>
      <c r="K375" t="s">
        <v>546</v>
      </c>
      <c r="L375" s="784">
        <v>1800000</v>
      </c>
      <c r="M375" t="s">
        <v>745</v>
      </c>
      <c r="P375" t="s">
        <v>1887</v>
      </c>
      <c r="Q375" t="s">
        <v>406</v>
      </c>
      <c r="R375" t="s">
        <v>148</v>
      </c>
      <c r="S375" t="s">
        <v>145</v>
      </c>
      <c r="U375">
        <v>0</v>
      </c>
      <c r="V375" t="s">
        <v>544</v>
      </c>
      <c r="W375" t="s">
        <v>542</v>
      </c>
      <c r="X375" s="784">
        <v>55072006.864440605</v>
      </c>
    </row>
    <row r="376" spans="1:24">
      <c r="A376" t="s">
        <v>358</v>
      </c>
      <c r="B376" t="s">
        <v>627</v>
      </c>
      <c r="C376" t="s">
        <v>231</v>
      </c>
      <c r="D376" t="s">
        <v>131</v>
      </c>
      <c r="E376" t="s">
        <v>377</v>
      </c>
      <c r="F376" t="s">
        <v>383</v>
      </c>
      <c r="G376" t="s">
        <v>98</v>
      </c>
      <c r="H376" t="s">
        <v>98</v>
      </c>
      <c r="I376" t="s">
        <v>743</v>
      </c>
      <c r="J376" t="s">
        <v>746</v>
      </c>
      <c r="K376" t="s">
        <v>546</v>
      </c>
      <c r="L376" s="784" t="s">
        <v>575</v>
      </c>
      <c r="M376" t="s">
        <v>745</v>
      </c>
      <c r="P376" t="s">
        <v>1887</v>
      </c>
      <c r="Q376" t="s">
        <v>575</v>
      </c>
      <c r="R376" t="s">
        <v>152</v>
      </c>
      <c r="S376" t="s">
        <v>146</v>
      </c>
      <c r="U376">
        <v>0</v>
      </c>
      <c r="V376" t="s">
        <v>544</v>
      </c>
      <c r="W376" t="s">
        <v>546</v>
      </c>
      <c r="X376" s="784" t="s">
        <v>575</v>
      </c>
    </row>
    <row r="377" spans="1:24">
      <c r="A377" t="s">
        <v>358</v>
      </c>
      <c r="B377" t="s">
        <v>628</v>
      </c>
      <c r="C377" t="s">
        <v>232</v>
      </c>
      <c r="D377" t="s">
        <v>128</v>
      </c>
      <c r="E377" t="s">
        <v>377</v>
      </c>
      <c r="F377" t="s">
        <v>383</v>
      </c>
      <c r="G377" t="s">
        <v>98</v>
      </c>
      <c r="H377" t="s">
        <v>98</v>
      </c>
      <c r="I377" t="s">
        <v>743</v>
      </c>
      <c r="J377" t="s">
        <v>746</v>
      </c>
      <c r="K377" t="s">
        <v>546</v>
      </c>
      <c r="L377" s="784">
        <v>2500000</v>
      </c>
      <c r="M377" t="s">
        <v>745</v>
      </c>
      <c r="P377" t="s">
        <v>1887</v>
      </c>
      <c r="Q377" t="s">
        <v>406</v>
      </c>
      <c r="R377" t="s">
        <v>148</v>
      </c>
      <c r="S377" t="s">
        <v>145</v>
      </c>
      <c r="U377">
        <v>2</v>
      </c>
      <c r="V377" t="s">
        <v>544</v>
      </c>
      <c r="W377" t="s">
        <v>562</v>
      </c>
      <c r="X377" s="784">
        <v>206914157.05429548</v>
      </c>
    </row>
    <row r="378" spans="1:24">
      <c r="A378" t="s">
        <v>358</v>
      </c>
      <c r="B378" t="s">
        <v>629</v>
      </c>
      <c r="C378" t="s">
        <v>233</v>
      </c>
      <c r="D378" t="s">
        <v>128</v>
      </c>
      <c r="E378" t="s">
        <v>377</v>
      </c>
      <c r="F378" t="s">
        <v>383</v>
      </c>
      <c r="G378" t="s">
        <v>98</v>
      </c>
      <c r="H378" t="s">
        <v>98</v>
      </c>
      <c r="I378" t="s">
        <v>743</v>
      </c>
      <c r="J378" t="s">
        <v>746</v>
      </c>
      <c r="K378" t="s">
        <v>546</v>
      </c>
      <c r="L378" s="784">
        <v>4000000</v>
      </c>
      <c r="M378" t="s">
        <v>745</v>
      </c>
      <c r="P378" t="s">
        <v>1887</v>
      </c>
      <c r="Q378" t="s">
        <v>406</v>
      </c>
      <c r="R378" t="s">
        <v>148</v>
      </c>
      <c r="S378" t="s">
        <v>145</v>
      </c>
      <c r="U378">
        <v>2</v>
      </c>
      <c r="V378" t="s">
        <v>544</v>
      </c>
      <c r="W378" t="s">
        <v>542</v>
      </c>
      <c r="X378" s="784">
        <v>185999915.02066413</v>
      </c>
    </row>
    <row r="379" spans="1:24">
      <c r="A379" t="s">
        <v>358</v>
      </c>
      <c r="B379" t="s">
        <v>630</v>
      </c>
      <c r="C379" t="s">
        <v>234</v>
      </c>
      <c r="D379" t="s">
        <v>126</v>
      </c>
      <c r="E379" t="s">
        <v>377</v>
      </c>
      <c r="F379" t="s">
        <v>383</v>
      </c>
      <c r="G379" t="s">
        <v>98</v>
      </c>
      <c r="H379" t="s">
        <v>98</v>
      </c>
      <c r="I379" t="s">
        <v>743</v>
      </c>
      <c r="J379" t="s">
        <v>746</v>
      </c>
      <c r="K379" t="s">
        <v>546</v>
      </c>
      <c r="L379" s="784" t="s">
        <v>575</v>
      </c>
      <c r="M379" t="s">
        <v>745</v>
      </c>
      <c r="P379" t="s">
        <v>1887</v>
      </c>
      <c r="Q379" t="s">
        <v>575</v>
      </c>
      <c r="R379" t="s">
        <v>152</v>
      </c>
      <c r="S379" t="s">
        <v>146</v>
      </c>
      <c r="U379">
        <v>0</v>
      </c>
      <c r="V379" t="s">
        <v>544</v>
      </c>
      <c r="W379" t="s">
        <v>575</v>
      </c>
      <c r="X379" s="784">
        <v>6893755763.2501726</v>
      </c>
    </row>
    <row r="380" spans="1:24">
      <c r="A380" t="s">
        <v>358</v>
      </c>
      <c r="B380" t="s">
        <v>631</v>
      </c>
      <c r="C380" t="s">
        <v>235</v>
      </c>
      <c r="D380" t="s">
        <v>132</v>
      </c>
      <c r="E380" t="s">
        <v>377</v>
      </c>
      <c r="F380" t="s">
        <v>383</v>
      </c>
      <c r="G380" t="s">
        <v>98</v>
      </c>
      <c r="H380" t="s">
        <v>98</v>
      </c>
      <c r="I380" t="s">
        <v>743</v>
      </c>
      <c r="J380" t="s">
        <v>746</v>
      </c>
      <c r="K380" t="s">
        <v>546</v>
      </c>
      <c r="L380" s="784" t="s">
        <v>575</v>
      </c>
      <c r="M380" t="s">
        <v>745</v>
      </c>
      <c r="P380" t="s">
        <v>1887</v>
      </c>
      <c r="Q380" t="s">
        <v>575</v>
      </c>
      <c r="R380" t="s">
        <v>152</v>
      </c>
      <c r="S380" t="s">
        <v>145</v>
      </c>
      <c r="U380">
        <v>0</v>
      </c>
      <c r="V380" t="s">
        <v>541</v>
      </c>
      <c r="W380" t="s">
        <v>542</v>
      </c>
      <c r="X380" s="784">
        <v>354560231.58276606</v>
      </c>
    </row>
    <row r="381" spans="1:24">
      <c r="A381" t="s">
        <v>358</v>
      </c>
      <c r="B381" t="s">
        <v>632</v>
      </c>
      <c r="C381" t="s">
        <v>236</v>
      </c>
      <c r="D381" t="s">
        <v>129</v>
      </c>
      <c r="E381" t="s">
        <v>377</v>
      </c>
      <c r="F381" t="s">
        <v>383</v>
      </c>
      <c r="G381" t="s">
        <v>98</v>
      </c>
      <c r="H381" t="s">
        <v>98</v>
      </c>
      <c r="I381" t="s">
        <v>743</v>
      </c>
      <c r="J381" t="s">
        <v>746</v>
      </c>
      <c r="K381" t="s">
        <v>546</v>
      </c>
      <c r="L381" s="784">
        <v>0</v>
      </c>
      <c r="M381" t="s">
        <v>745</v>
      </c>
      <c r="P381" t="s">
        <v>1887</v>
      </c>
      <c r="Q381" t="s">
        <v>406</v>
      </c>
      <c r="R381" t="s">
        <v>148</v>
      </c>
      <c r="S381" t="s">
        <v>145</v>
      </c>
      <c r="U381">
        <v>1</v>
      </c>
      <c r="V381" t="s">
        <v>544</v>
      </c>
      <c r="W381" t="s">
        <v>562</v>
      </c>
      <c r="X381" s="784">
        <v>188169167.56540567</v>
      </c>
    </row>
    <row r="382" spans="1:24">
      <c r="A382" t="s">
        <v>358</v>
      </c>
      <c r="B382" t="s">
        <v>633</v>
      </c>
      <c r="C382" t="s">
        <v>237</v>
      </c>
      <c r="D382" t="s">
        <v>126</v>
      </c>
      <c r="E382" t="s">
        <v>377</v>
      </c>
      <c r="F382" t="s">
        <v>383</v>
      </c>
      <c r="G382" t="s">
        <v>98</v>
      </c>
      <c r="H382" t="s">
        <v>98</v>
      </c>
      <c r="I382" t="s">
        <v>743</v>
      </c>
      <c r="J382" t="s">
        <v>746</v>
      </c>
      <c r="K382" t="s">
        <v>546</v>
      </c>
      <c r="L382" s="784" t="s">
        <v>575</v>
      </c>
      <c r="M382" t="s">
        <v>745</v>
      </c>
      <c r="P382" t="s">
        <v>1887</v>
      </c>
      <c r="Q382" t="s">
        <v>575</v>
      </c>
      <c r="R382" t="s">
        <v>152</v>
      </c>
      <c r="S382" t="s">
        <v>145</v>
      </c>
      <c r="U382">
        <v>0</v>
      </c>
      <c r="V382" t="s">
        <v>541</v>
      </c>
      <c r="W382" t="s">
        <v>575</v>
      </c>
      <c r="X382" s="784">
        <v>16312106.556340856</v>
      </c>
    </row>
    <row r="383" spans="1:24">
      <c r="A383" t="s">
        <v>358</v>
      </c>
      <c r="B383" t="s">
        <v>634</v>
      </c>
      <c r="C383" t="s">
        <v>238</v>
      </c>
      <c r="D383" t="s">
        <v>129</v>
      </c>
      <c r="E383" t="s">
        <v>377</v>
      </c>
      <c r="F383" t="s">
        <v>383</v>
      </c>
      <c r="G383" t="s">
        <v>98</v>
      </c>
      <c r="H383" t="s">
        <v>98</v>
      </c>
      <c r="I383" t="s">
        <v>743</v>
      </c>
      <c r="J383" t="s">
        <v>746</v>
      </c>
      <c r="K383" t="s">
        <v>546</v>
      </c>
      <c r="L383" s="784">
        <v>6900000</v>
      </c>
      <c r="M383" t="s">
        <v>745</v>
      </c>
      <c r="P383" t="s">
        <v>1887</v>
      </c>
      <c r="Q383" t="s">
        <v>406</v>
      </c>
      <c r="R383" t="s">
        <v>150</v>
      </c>
      <c r="S383" t="s">
        <v>145</v>
      </c>
      <c r="U383">
        <v>2</v>
      </c>
      <c r="V383" t="s">
        <v>544</v>
      </c>
      <c r="W383" t="s">
        <v>542</v>
      </c>
      <c r="X383" s="784">
        <v>86083833.534053758</v>
      </c>
    </row>
    <row r="384" spans="1:24">
      <c r="A384" t="s">
        <v>358</v>
      </c>
      <c r="B384" t="s">
        <v>635</v>
      </c>
      <c r="C384" t="s">
        <v>239</v>
      </c>
      <c r="D384" t="s">
        <v>128</v>
      </c>
      <c r="E384" t="s">
        <v>377</v>
      </c>
      <c r="F384" t="s">
        <v>383</v>
      </c>
      <c r="G384" t="s">
        <v>98</v>
      </c>
      <c r="H384" t="s">
        <v>98</v>
      </c>
      <c r="I384" t="s">
        <v>743</v>
      </c>
      <c r="J384" t="s">
        <v>746</v>
      </c>
      <c r="K384" t="s">
        <v>546</v>
      </c>
      <c r="L384" s="784">
        <v>0</v>
      </c>
      <c r="M384" t="s">
        <v>745</v>
      </c>
      <c r="P384" t="s">
        <v>1887</v>
      </c>
      <c r="Q384" t="s">
        <v>575</v>
      </c>
      <c r="R384" t="s">
        <v>152</v>
      </c>
      <c r="S384" t="s">
        <v>146</v>
      </c>
      <c r="U384">
        <v>0</v>
      </c>
      <c r="V384" t="s">
        <v>541</v>
      </c>
      <c r="W384" t="s">
        <v>546</v>
      </c>
      <c r="X384" s="784">
        <v>357220835.93762809</v>
      </c>
    </row>
    <row r="385" spans="1:24">
      <c r="A385" t="s">
        <v>358</v>
      </c>
      <c r="B385" t="s">
        <v>636</v>
      </c>
      <c r="C385" t="s">
        <v>240</v>
      </c>
      <c r="D385" t="s">
        <v>130</v>
      </c>
      <c r="E385" t="s">
        <v>377</v>
      </c>
      <c r="F385" t="s">
        <v>383</v>
      </c>
      <c r="G385" t="s">
        <v>98</v>
      </c>
      <c r="H385" t="s">
        <v>98</v>
      </c>
      <c r="I385" t="s">
        <v>743</v>
      </c>
      <c r="J385" t="s">
        <v>746</v>
      </c>
      <c r="K385" t="s">
        <v>546</v>
      </c>
      <c r="L385" s="784" t="s">
        <v>575</v>
      </c>
      <c r="M385" t="s">
        <v>745</v>
      </c>
      <c r="P385" t="s">
        <v>1887</v>
      </c>
      <c r="Q385" t="s">
        <v>575</v>
      </c>
      <c r="R385" t="s">
        <v>152</v>
      </c>
      <c r="S385" t="s">
        <v>146</v>
      </c>
      <c r="U385">
        <v>0</v>
      </c>
      <c r="V385" t="s">
        <v>544</v>
      </c>
      <c r="W385" t="s">
        <v>575</v>
      </c>
      <c r="X385" s="784">
        <v>32831598153.796387</v>
      </c>
    </row>
    <row r="386" spans="1:24">
      <c r="A386" t="s">
        <v>358</v>
      </c>
      <c r="B386" t="s">
        <v>637</v>
      </c>
      <c r="C386" t="s">
        <v>241</v>
      </c>
      <c r="D386" t="s">
        <v>126</v>
      </c>
      <c r="E386" t="s">
        <v>377</v>
      </c>
      <c r="F386" t="s">
        <v>383</v>
      </c>
      <c r="G386" t="s">
        <v>98</v>
      </c>
      <c r="H386" t="s">
        <v>98</v>
      </c>
      <c r="I386" t="s">
        <v>743</v>
      </c>
      <c r="J386" t="s">
        <v>746</v>
      </c>
      <c r="K386" t="s">
        <v>546</v>
      </c>
      <c r="L386" s="784" t="s">
        <v>575</v>
      </c>
      <c r="M386" t="s">
        <v>745</v>
      </c>
      <c r="P386" t="s">
        <v>1887</v>
      </c>
      <c r="Q386" t="s">
        <v>575</v>
      </c>
      <c r="R386" t="s">
        <v>150</v>
      </c>
      <c r="S386" t="s">
        <v>145</v>
      </c>
      <c r="U386">
        <v>0</v>
      </c>
      <c r="V386" t="s">
        <v>541</v>
      </c>
      <c r="W386" t="s">
        <v>542</v>
      </c>
      <c r="X386" s="784">
        <v>12329056.093798399</v>
      </c>
    </row>
    <row r="387" spans="1:24">
      <c r="A387" t="s">
        <v>358</v>
      </c>
      <c r="B387" t="s">
        <v>638</v>
      </c>
      <c r="C387" t="s">
        <v>242</v>
      </c>
      <c r="D387" t="s">
        <v>127</v>
      </c>
      <c r="E387" t="s">
        <v>377</v>
      </c>
      <c r="F387" t="s">
        <v>383</v>
      </c>
      <c r="G387" t="s">
        <v>98</v>
      </c>
      <c r="H387" t="s">
        <v>98</v>
      </c>
      <c r="I387" t="s">
        <v>743</v>
      </c>
      <c r="J387" t="s">
        <v>746</v>
      </c>
      <c r="K387" t="s">
        <v>546</v>
      </c>
      <c r="L387" s="784">
        <v>0</v>
      </c>
      <c r="M387" t="s">
        <v>745</v>
      </c>
      <c r="P387" t="s">
        <v>1887</v>
      </c>
      <c r="Q387" t="s">
        <v>406</v>
      </c>
      <c r="R387" t="s">
        <v>152</v>
      </c>
      <c r="S387" t="s">
        <v>145</v>
      </c>
      <c r="U387">
        <v>0</v>
      </c>
      <c r="V387" t="s">
        <v>544</v>
      </c>
      <c r="W387" t="s">
        <v>558</v>
      </c>
      <c r="X387" s="784">
        <v>426639742.85328001</v>
      </c>
    </row>
    <row r="388" spans="1:24">
      <c r="A388" t="s">
        <v>358</v>
      </c>
      <c r="B388" t="s">
        <v>639</v>
      </c>
      <c r="C388" t="s">
        <v>243</v>
      </c>
      <c r="D388" t="s">
        <v>126</v>
      </c>
      <c r="E388" t="s">
        <v>377</v>
      </c>
      <c r="F388" t="s">
        <v>383</v>
      </c>
      <c r="G388" t="s">
        <v>98</v>
      </c>
      <c r="H388" t="s">
        <v>98</v>
      </c>
      <c r="I388" t="s">
        <v>743</v>
      </c>
      <c r="J388" t="s">
        <v>746</v>
      </c>
      <c r="K388" t="s">
        <v>546</v>
      </c>
      <c r="L388" s="784">
        <v>6500000</v>
      </c>
      <c r="M388" t="s">
        <v>745</v>
      </c>
      <c r="P388" t="s">
        <v>1887</v>
      </c>
      <c r="Q388" t="s">
        <v>406</v>
      </c>
      <c r="R388" t="s">
        <v>150</v>
      </c>
      <c r="S388" t="s">
        <v>145</v>
      </c>
      <c r="U388">
        <v>0</v>
      </c>
      <c r="V388" t="s">
        <v>544</v>
      </c>
      <c r="W388" t="s">
        <v>548</v>
      </c>
      <c r="X388" s="784">
        <v>288519671.85870522</v>
      </c>
    </row>
    <row r="389" spans="1:24">
      <c r="A389" t="s">
        <v>358</v>
      </c>
      <c r="B389" t="s">
        <v>640</v>
      </c>
      <c r="C389" t="s">
        <v>244</v>
      </c>
      <c r="D389" t="s">
        <v>127</v>
      </c>
      <c r="E389" t="s">
        <v>377</v>
      </c>
      <c r="F389" t="s">
        <v>383</v>
      </c>
      <c r="G389" t="s">
        <v>98</v>
      </c>
      <c r="H389" t="s">
        <v>98</v>
      </c>
      <c r="I389" t="s">
        <v>743</v>
      </c>
      <c r="J389" t="s">
        <v>746</v>
      </c>
      <c r="K389" t="s">
        <v>546</v>
      </c>
      <c r="L389" s="784">
        <v>0</v>
      </c>
      <c r="M389" t="s">
        <v>745</v>
      </c>
      <c r="P389" t="s">
        <v>1887</v>
      </c>
      <c r="Q389" t="s">
        <v>575</v>
      </c>
      <c r="R389" t="s">
        <v>152</v>
      </c>
      <c r="S389" t="s">
        <v>146</v>
      </c>
      <c r="U389">
        <v>0</v>
      </c>
      <c r="V389" t="s">
        <v>544</v>
      </c>
      <c r="W389" t="s">
        <v>546</v>
      </c>
      <c r="X389" s="784">
        <v>275606560.78491527</v>
      </c>
    </row>
    <row r="390" spans="1:24">
      <c r="A390" t="s">
        <v>358</v>
      </c>
      <c r="B390" t="s">
        <v>641</v>
      </c>
      <c r="C390" t="s">
        <v>245</v>
      </c>
      <c r="D390" t="s">
        <v>131</v>
      </c>
      <c r="E390" t="s">
        <v>377</v>
      </c>
      <c r="F390" t="s">
        <v>383</v>
      </c>
      <c r="G390" t="s">
        <v>98</v>
      </c>
      <c r="H390" t="s">
        <v>98</v>
      </c>
      <c r="I390" t="s">
        <v>743</v>
      </c>
      <c r="J390" t="s">
        <v>746</v>
      </c>
      <c r="K390" t="s">
        <v>546</v>
      </c>
      <c r="L390" s="784" t="s">
        <v>575</v>
      </c>
      <c r="M390" t="s">
        <v>745</v>
      </c>
      <c r="P390" t="s">
        <v>1887</v>
      </c>
      <c r="Q390" t="s">
        <v>575</v>
      </c>
      <c r="R390" t="s">
        <v>150</v>
      </c>
      <c r="S390" t="s">
        <v>145</v>
      </c>
      <c r="U390">
        <v>0</v>
      </c>
      <c r="V390" t="s">
        <v>544</v>
      </c>
      <c r="W390" t="s">
        <v>546</v>
      </c>
      <c r="X390" s="784">
        <v>2530937679.3725696</v>
      </c>
    </row>
    <row r="391" spans="1:24">
      <c r="A391" t="s">
        <v>358</v>
      </c>
      <c r="B391" t="s">
        <v>642</v>
      </c>
      <c r="C391" t="s">
        <v>246</v>
      </c>
      <c r="D391" t="s">
        <v>128</v>
      </c>
      <c r="E391" t="s">
        <v>377</v>
      </c>
      <c r="F391" t="s">
        <v>383</v>
      </c>
      <c r="G391" t="s">
        <v>98</v>
      </c>
      <c r="H391" t="s">
        <v>98</v>
      </c>
      <c r="I391" t="s">
        <v>743</v>
      </c>
      <c r="J391" t="s">
        <v>746</v>
      </c>
      <c r="K391" t="s">
        <v>546</v>
      </c>
      <c r="L391" s="784">
        <v>20000000</v>
      </c>
      <c r="M391" t="s">
        <v>745</v>
      </c>
      <c r="P391" t="s">
        <v>1887</v>
      </c>
      <c r="Q391" t="s">
        <v>406</v>
      </c>
      <c r="R391" t="s">
        <v>148</v>
      </c>
      <c r="S391" t="s">
        <v>145</v>
      </c>
      <c r="U391">
        <v>0</v>
      </c>
      <c r="V391" t="s">
        <v>544</v>
      </c>
      <c r="W391" t="s">
        <v>583</v>
      </c>
      <c r="X391" s="784">
        <v>251432156.86255455</v>
      </c>
    </row>
    <row r="392" spans="1:24">
      <c r="A392" t="s">
        <v>358</v>
      </c>
      <c r="B392" t="s">
        <v>643</v>
      </c>
      <c r="C392" t="s">
        <v>247</v>
      </c>
      <c r="D392" t="s">
        <v>126</v>
      </c>
      <c r="E392" t="s">
        <v>377</v>
      </c>
      <c r="F392" t="s">
        <v>383</v>
      </c>
      <c r="G392" t="s">
        <v>98</v>
      </c>
      <c r="H392" t="s">
        <v>98</v>
      </c>
      <c r="I392" t="s">
        <v>743</v>
      </c>
      <c r="J392" t="s">
        <v>746</v>
      </c>
      <c r="K392" t="s">
        <v>546</v>
      </c>
      <c r="L392" s="784">
        <v>0</v>
      </c>
      <c r="M392" t="s">
        <v>745</v>
      </c>
      <c r="P392" t="s">
        <v>1887</v>
      </c>
      <c r="Q392" t="s">
        <v>575</v>
      </c>
      <c r="R392" t="s">
        <v>150</v>
      </c>
      <c r="S392" t="s">
        <v>145</v>
      </c>
      <c r="U392">
        <v>0</v>
      </c>
      <c r="V392" t="s">
        <v>544</v>
      </c>
      <c r="W392" t="s">
        <v>558</v>
      </c>
      <c r="X392" s="784">
        <v>471534500.60109437</v>
      </c>
    </row>
    <row r="393" spans="1:24">
      <c r="A393" t="s">
        <v>358</v>
      </c>
      <c r="B393" t="s">
        <v>644</v>
      </c>
      <c r="C393" t="s">
        <v>248</v>
      </c>
      <c r="D393" t="s">
        <v>128</v>
      </c>
      <c r="E393" t="s">
        <v>377</v>
      </c>
      <c r="F393" t="s">
        <v>383</v>
      </c>
      <c r="G393" t="s">
        <v>98</v>
      </c>
      <c r="H393" t="s">
        <v>98</v>
      </c>
      <c r="I393" t="s">
        <v>743</v>
      </c>
      <c r="J393" t="s">
        <v>746</v>
      </c>
      <c r="K393" t="s">
        <v>546</v>
      </c>
      <c r="L393" s="784" t="s">
        <v>575</v>
      </c>
      <c r="M393" t="s">
        <v>745</v>
      </c>
      <c r="P393" t="s">
        <v>1887</v>
      </c>
      <c r="Q393" t="s">
        <v>575</v>
      </c>
      <c r="R393" t="s">
        <v>152</v>
      </c>
      <c r="S393" t="s">
        <v>146</v>
      </c>
      <c r="U393">
        <v>0</v>
      </c>
      <c r="V393" t="s">
        <v>544</v>
      </c>
      <c r="W393" t="s">
        <v>575</v>
      </c>
      <c r="X393" s="784">
        <v>531677611.80447447</v>
      </c>
    </row>
    <row r="394" spans="1:24">
      <c r="A394" t="s">
        <v>358</v>
      </c>
      <c r="B394" t="s">
        <v>645</v>
      </c>
      <c r="C394" t="s">
        <v>249</v>
      </c>
      <c r="D394" t="s">
        <v>126</v>
      </c>
      <c r="E394" t="s">
        <v>377</v>
      </c>
      <c r="F394" t="s">
        <v>383</v>
      </c>
      <c r="G394" t="s">
        <v>98</v>
      </c>
      <c r="H394" t="s">
        <v>98</v>
      </c>
      <c r="I394" t="s">
        <v>743</v>
      </c>
      <c r="J394" t="s">
        <v>746</v>
      </c>
      <c r="K394" t="s">
        <v>546</v>
      </c>
      <c r="L394" s="784" t="s">
        <v>575</v>
      </c>
      <c r="M394" t="s">
        <v>745</v>
      </c>
      <c r="P394" t="s">
        <v>1887</v>
      </c>
      <c r="Q394" t="s">
        <v>575</v>
      </c>
      <c r="R394" t="s">
        <v>550</v>
      </c>
      <c r="S394" t="s">
        <v>146</v>
      </c>
      <c r="U394">
        <v>0</v>
      </c>
      <c r="V394" t="s">
        <v>541</v>
      </c>
      <c r="W394" t="s">
        <v>575</v>
      </c>
      <c r="X394" s="784">
        <v>8528751.6418357007</v>
      </c>
    </row>
    <row r="395" spans="1:24">
      <c r="A395" t="s">
        <v>358</v>
      </c>
      <c r="B395" t="s">
        <v>646</v>
      </c>
      <c r="C395" t="s">
        <v>250</v>
      </c>
      <c r="D395" t="s">
        <v>132</v>
      </c>
      <c r="E395" t="s">
        <v>377</v>
      </c>
      <c r="F395" t="s">
        <v>383</v>
      </c>
      <c r="G395" t="s">
        <v>98</v>
      </c>
      <c r="H395" t="s">
        <v>98</v>
      </c>
      <c r="I395" t="s">
        <v>743</v>
      </c>
      <c r="J395" t="s">
        <v>746</v>
      </c>
      <c r="K395" t="s">
        <v>546</v>
      </c>
      <c r="L395" s="784">
        <v>1500000</v>
      </c>
      <c r="M395" t="s">
        <v>745</v>
      </c>
      <c r="P395" t="s">
        <v>1887</v>
      </c>
      <c r="Q395" t="s">
        <v>406</v>
      </c>
      <c r="R395" t="s">
        <v>150</v>
      </c>
      <c r="S395" t="s">
        <v>145</v>
      </c>
      <c r="U395">
        <v>0</v>
      </c>
      <c r="V395" t="s">
        <v>544</v>
      </c>
      <c r="W395" t="s">
        <v>558</v>
      </c>
      <c r="X395" s="784">
        <v>407084543.19089872</v>
      </c>
    </row>
    <row r="396" spans="1:24">
      <c r="A396" t="s">
        <v>358</v>
      </c>
      <c r="B396" t="s">
        <v>647</v>
      </c>
      <c r="C396" t="s">
        <v>251</v>
      </c>
      <c r="D396" t="s">
        <v>130</v>
      </c>
      <c r="E396" t="s">
        <v>377</v>
      </c>
      <c r="F396" t="s">
        <v>383</v>
      </c>
      <c r="G396" t="s">
        <v>98</v>
      </c>
      <c r="H396" t="s">
        <v>98</v>
      </c>
      <c r="I396" t="s">
        <v>743</v>
      </c>
      <c r="J396" t="s">
        <v>746</v>
      </c>
      <c r="K396" t="s">
        <v>546</v>
      </c>
      <c r="L396" s="784" t="s">
        <v>575</v>
      </c>
      <c r="M396" t="s">
        <v>745</v>
      </c>
      <c r="P396" t="s">
        <v>1887</v>
      </c>
      <c r="Q396" t="s">
        <v>575</v>
      </c>
      <c r="R396" t="s">
        <v>150</v>
      </c>
      <c r="S396" t="s">
        <v>145</v>
      </c>
      <c r="U396">
        <v>0</v>
      </c>
      <c r="V396" t="s">
        <v>544</v>
      </c>
      <c r="W396" t="s">
        <v>562</v>
      </c>
      <c r="X396" s="784">
        <v>671998341.93592453</v>
      </c>
    </row>
    <row r="397" spans="1:24">
      <c r="A397" t="s">
        <v>358</v>
      </c>
      <c r="B397" t="s">
        <v>648</v>
      </c>
      <c r="C397" t="s">
        <v>252</v>
      </c>
      <c r="D397" t="s">
        <v>129</v>
      </c>
      <c r="E397" t="s">
        <v>377</v>
      </c>
      <c r="F397" t="s">
        <v>383</v>
      </c>
      <c r="G397" t="s">
        <v>98</v>
      </c>
      <c r="H397" t="s">
        <v>98</v>
      </c>
      <c r="I397" t="s">
        <v>743</v>
      </c>
      <c r="J397" t="s">
        <v>746</v>
      </c>
      <c r="K397" t="s">
        <v>546</v>
      </c>
      <c r="L397" s="784">
        <v>0</v>
      </c>
      <c r="M397" t="s">
        <v>745</v>
      </c>
      <c r="P397" t="s">
        <v>1887</v>
      </c>
      <c r="Q397" t="s">
        <v>406</v>
      </c>
      <c r="R397" t="s">
        <v>148</v>
      </c>
      <c r="S397" t="s">
        <v>145</v>
      </c>
      <c r="U397">
        <v>1</v>
      </c>
      <c r="V397" t="s">
        <v>544</v>
      </c>
      <c r="W397" t="s">
        <v>562</v>
      </c>
      <c r="X397" s="784">
        <v>226203289.67158964</v>
      </c>
    </row>
    <row r="398" spans="1:24">
      <c r="A398" t="s">
        <v>358</v>
      </c>
      <c r="B398" t="s">
        <v>649</v>
      </c>
      <c r="C398" t="s">
        <v>253</v>
      </c>
      <c r="D398" t="s">
        <v>129</v>
      </c>
      <c r="E398" t="s">
        <v>377</v>
      </c>
      <c r="F398" t="s">
        <v>383</v>
      </c>
      <c r="G398" t="s">
        <v>98</v>
      </c>
      <c r="H398" t="s">
        <v>98</v>
      </c>
      <c r="I398" t="s">
        <v>743</v>
      </c>
      <c r="J398" t="s">
        <v>746</v>
      </c>
      <c r="K398" t="s">
        <v>546</v>
      </c>
      <c r="L398" s="784">
        <v>80800000</v>
      </c>
      <c r="M398" t="s">
        <v>745</v>
      </c>
      <c r="P398" t="s">
        <v>1887</v>
      </c>
      <c r="Q398" t="s">
        <v>406</v>
      </c>
      <c r="R398" t="s">
        <v>150</v>
      </c>
      <c r="S398" t="s">
        <v>145</v>
      </c>
      <c r="U398">
        <v>3</v>
      </c>
      <c r="V398" t="s">
        <v>544</v>
      </c>
      <c r="W398" t="s">
        <v>548</v>
      </c>
      <c r="X398" s="784">
        <v>2438881113.1244688</v>
      </c>
    </row>
    <row r="399" spans="1:24">
      <c r="A399" t="s">
        <v>358</v>
      </c>
      <c r="B399" t="s">
        <v>650</v>
      </c>
      <c r="C399" t="s">
        <v>254</v>
      </c>
      <c r="D399" t="s">
        <v>127</v>
      </c>
      <c r="E399" t="s">
        <v>377</v>
      </c>
      <c r="F399" t="s">
        <v>383</v>
      </c>
      <c r="G399" t="s">
        <v>98</v>
      </c>
      <c r="H399" t="s">
        <v>98</v>
      </c>
      <c r="I399" t="s">
        <v>743</v>
      </c>
      <c r="J399" t="s">
        <v>746</v>
      </c>
      <c r="K399" t="s">
        <v>546</v>
      </c>
      <c r="L399" s="784">
        <v>1500000</v>
      </c>
      <c r="M399" t="s">
        <v>745</v>
      </c>
      <c r="P399" t="s">
        <v>1887</v>
      </c>
      <c r="Q399" t="s">
        <v>406</v>
      </c>
      <c r="R399" t="s">
        <v>152</v>
      </c>
      <c r="S399" t="s">
        <v>146</v>
      </c>
      <c r="U399">
        <v>0</v>
      </c>
      <c r="V399" t="s">
        <v>544</v>
      </c>
      <c r="W399" t="s">
        <v>575</v>
      </c>
      <c r="X399" s="784">
        <v>476517795.73174149</v>
      </c>
    </row>
    <row r="400" spans="1:24">
      <c r="A400" t="s">
        <v>358</v>
      </c>
      <c r="B400" t="s">
        <v>651</v>
      </c>
      <c r="C400" t="s">
        <v>255</v>
      </c>
      <c r="D400" t="s">
        <v>132</v>
      </c>
      <c r="E400" t="s">
        <v>377</v>
      </c>
      <c r="F400" t="s">
        <v>383</v>
      </c>
      <c r="G400" t="s">
        <v>98</v>
      </c>
      <c r="H400" t="s">
        <v>98</v>
      </c>
      <c r="I400" t="s">
        <v>743</v>
      </c>
      <c r="J400" t="s">
        <v>746</v>
      </c>
      <c r="K400" t="s">
        <v>546</v>
      </c>
      <c r="L400" s="784">
        <v>0</v>
      </c>
      <c r="M400" t="s">
        <v>745</v>
      </c>
      <c r="P400" t="s">
        <v>1887</v>
      </c>
      <c r="Q400" t="s">
        <v>406</v>
      </c>
      <c r="R400" t="s">
        <v>150</v>
      </c>
      <c r="S400" t="s">
        <v>145</v>
      </c>
      <c r="U400">
        <v>0</v>
      </c>
      <c r="V400" t="s">
        <v>544</v>
      </c>
      <c r="W400" t="s">
        <v>548</v>
      </c>
      <c r="X400" s="784">
        <v>3233351297.7679496</v>
      </c>
    </row>
    <row r="401" spans="1:24">
      <c r="A401" t="s">
        <v>358</v>
      </c>
      <c r="B401" t="s">
        <v>652</v>
      </c>
      <c r="C401" t="s">
        <v>256</v>
      </c>
      <c r="D401" t="s">
        <v>130</v>
      </c>
      <c r="E401" t="s">
        <v>377</v>
      </c>
      <c r="F401" t="s">
        <v>383</v>
      </c>
      <c r="G401" t="s">
        <v>98</v>
      </c>
      <c r="H401" t="s">
        <v>98</v>
      </c>
      <c r="I401" t="s">
        <v>743</v>
      </c>
      <c r="J401" t="s">
        <v>746</v>
      </c>
      <c r="K401" t="s">
        <v>546</v>
      </c>
      <c r="L401" s="784" t="s">
        <v>575</v>
      </c>
      <c r="M401" t="s">
        <v>745</v>
      </c>
      <c r="P401" t="s">
        <v>1887</v>
      </c>
      <c r="Q401" t="s">
        <v>575</v>
      </c>
      <c r="R401" t="s">
        <v>550</v>
      </c>
      <c r="S401" t="s">
        <v>146</v>
      </c>
      <c r="U401">
        <v>0</v>
      </c>
      <c r="V401" t="s">
        <v>541</v>
      </c>
      <c r="W401" t="s">
        <v>575</v>
      </c>
      <c r="X401" s="784">
        <v>18180646.808608256</v>
      </c>
    </row>
    <row r="402" spans="1:24">
      <c r="A402" t="s">
        <v>358</v>
      </c>
      <c r="B402" t="s">
        <v>653</v>
      </c>
      <c r="C402" t="s">
        <v>257</v>
      </c>
      <c r="D402" t="s">
        <v>130</v>
      </c>
      <c r="E402" t="s">
        <v>377</v>
      </c>
      <c r="F402" t="s">
        <v>383</v>
      </c>
      <c r="G402" t="s">
        <v>98</v>
      </c>
      <c r="H402" t="s">
        <v>98</v>
      </c>
      <c r="I402" t="s">
        <v>743</v>
      </c>
      <c r="J402" t="s">
        <v>746</v>
      </c>
      <c r="K402" t="s">
        <v>546</v>
      </c>
      <c r="L402" s="784">
        <v>0</v>
      </c>
      <c r="M402" t="s">
        <v>745</v>
      </c>
      <c r="P402" t="s">
        <v>1887</v>
      </c>
      <c r="Q402" t="s">
        <v>575</v>
      </c>
      <c r="R402" t="s">
        <v>152</v>
      </c>
      <c r="S402" t="s">
        <v>146</v>
      </c>
      <c r="U402">
        <v>0</v>
      </c>
      <c r="V402" t="s">
        <v>544</v>
      </c>
      <c r="W402" t="s">
        <v>546</v>
      </c>
      <c r="X402" s="784">
        <v>3020530707.3485303</v>
      </c>
    </row>
    <row r="403" spans="1:24">
      <c r="A403" t="s">
        <v>358</v>
      </c>
      <c r="B403" t="s">
        <v>654</v>
      </c>
      <c r="C403" t="s">
        <v>258</v>
      </c>
      <c r="D403" t="s">
        <v>126</v>
      </c>
      <c r="E403" t="s">
        <v>377</v>
      </c>
      <c r="F403" t="s">
        <v>383</v>
      </c>
      <c r="G403" t="s">
        <v>98</v>
      </c>
      <c r="H403" t="s">
        <v>98</v>
      </c>
      <c r="I403" t="s">
        <v>743</v>
      </c>
      <c r="J403" t="s">
        <v>746</v>
      </c>
      <c r="K403" t="s">
        <v>546</v>
      </c>
      <c r="L403" s="784">
        <v>20000000</v>
      </c>
      <c r="M403" t="s">
        <v>745</v>
      </c>
      <c r="P403" t="s">
        <v>1887</v>
      </c>
      <c r="Q403" t="s">
        <v>406</v>
      </c>
      <c r="R403" t="s">
        <v>150</v>
      </c>
      <c r="S403" t="s">
        <v>145</v>
      </c>
      <c r="U403">
        <v>1</v>
      </c>
      <c r="V403" t="s">
        <v>541</v>
      </c>
      <c r="W403" t="s">
        <v>542</v>
      </c>
      <c r="X403" s="784">
        <v>384406316.46074712</v>
      </c>
    </row>
    <row r="404" spans="1:24">
      <c r="A404" t="s">
        <v>358</v>
      </c>
      <c r="B404" t="s">
        <v>655</v>
      </c>
      <c r="C404" t="s">
        <v>259</v>
      </c>
      <c r="D404" t="s">
        <v>130</v>
      </c>
      <c r="E404" t="s">
        <v>377</v>
      </c>
      <c r="F404" t="s">
        <v>383</v>
      </c>
      <c r="G404" t="s">
        <v>98</v>
      </c>
      <c r="H404" t="s">
        <v>98</v>
      </c>
      <c r="I404" t="s">
        <v>743</v>
      </c>
      <c r="J404" t="s">
        <v>746</v>
      </c>
      <c r="K404" t="s">
        <v>546</v>
      </c>
      <c r="L404" s="784" t="s">
        <v>575</v>
      </c>
      <c r="M404" t="s">
        <v>745</v>
      </c>
      <c r="P404" t="s">
        <v>1887</v>
      </c>
      <c r="Q404" t="s">
        <v>575</v>
      </c>
      <c r="R404" t="s">
        <v>152</v>
      </c>
      <c r="S404" t="s">
        <v>146</v>
      </c>
      <c r="U404">
        <v>0</v>
      </c>
      <c r="V404" t="s">
        <v>544</v>
      </c>
      <c r="W404" t="s">
        <v>575</v>
      </c>
      <c r="X404" s="784">
        <v>1218747108.9554784</v>
      </c>
    </row>
    <row r="405" spans="1:24">
      <c r="A405" t="s">
        <v>358</v>
      </c>
      <c r="B405" t="s">
        <v>656</v>
      </c>
      <c r="C405" t="s">
        <v>260</v>
      </c>
      <c r="D405" t="s">
        <v>130</v>
      </c>
      <c r="E405" t="s">
        <v>377</v>
      </c>
      <c r="F405" t="s">
        <v>383</v>
      </c>
      <c r="G405" t="s">
        <v>98</v>
      </c>
      <c r="H405" t="s">
        <v>98</v>
      </c>
      <c r="I405" t="s">
        <v>743</v>
      </c>
      <c r="J405" t="s">
        <v>746</v>
      </c>
      <c r="K405" t="s">
        <v>546</v>
      </c>
      <c r="L405" s="784">
        <v>0</v>
      </c>
      <c r="M405" t="s">
        <v>745</v>
      </c>
      <c r="P405" t="s">
        <v>1887</v>
      </c>
      <c r="Q405" t="s">
        <v>406</v>
      </c>
      <c r="R405" t="s">
        <v>152</v>
      </c>
      <c r="S405" t="s">
        <v>146</v>
      </c>
      <c r="U405">
        <v>0</v>
      </c>
      <c r="V405" t="s">
        <v>544</v>
      </c>
      <c r="W405" t="s">
        <v>575</v>
      </c>
      <c r="X405" s="784">
        <v>7392665952.5895758</v>
      </c>
    </row>
    <row r="406" spans="1:24">
      <c r="A406" t="s">
        <v>358</v>
      </c>
      <c r="B406" t="s">
        <v>657</v>
      </c>
      <c r="C406" t="s">
        <v>261</v>
      </c>
      <c r="D406" t="s">
        <v>126</v>
      </c>
      <c r="E406" t="s">
        <v>377</v>
      </c>
      <c r="F406" t="s">
        <v>383</v>
      </c>
      <c r="G406" t="s">
        <v>98</v>
      </c>
      <c r="H406" t="s">
        <v>98</v>
      </c>
      <c r="I406" t="s">
        <v>743</v>
      </c>
      <c r="J406" t="s">
        <v>746</v>
      </c>
      <c r="K406" t="s">
        <v>546</v>
      </c>
      <c r="L406" s="784">
        <v>25000000</v>
      </c>
      <c r="M406" t="s">
        <v>745</v>
      </c>
      <c r="P406" t="s">
        <v>1887</v>
      </c>
      <c r="Q406" t="s">
        <v>406</v>
      </c>
      <c r="R406" t="s">
        <v>150</v>
      </c>
      <c r="S406" t="s">
        <v>145</v>
      </c>
      <c r="U406">
        <v>0</v>
      </c>
      <c r="V406" t="s">
        <v>544</v>
      </c>
      <c r="W406" t="s">
        <v>546</v>
      </c>
      <c r="X406" s="784">
        <v>4754985988.6004429</v>
      </c>
    </row>
    <row r="407" spans="1:24">
      <c r="A407" t="s">
        <v>358</v>
      </c>
      <c r="B407" t="s">
        <v>658</v>
      </c>
      <c r="C407" t="s">
        <v>262</v>
      </c>
      <c r="D407" t="s">
        <v>127</v>
      </c>
      <c r="E407" t="s">
        <v>377</v>
      </c>
      <c r="F407" t="s">
        <v>383</v>
      </c>
      <c r="G407" t="s">
        <v>98</v>
      </c>
      <c r="H407" t="s">
        <v>98</v>
      </c>
      <c r="I407" t="s">
        <v>743</v>
      </c>
      <c r="J407" t="s">
        <v>746</v>
      </c>
      <c r="K407" t="s">
        <v>546</v>
      </c>
      <c r="L407" s="784" t="s">
        <v>575</v>
      </c>
      <c r="M407" t="s">
        <v>745</v>
      </c>
      <c r="P407" t="s">
        <v>1887</v>
      </c>
      <c r="Q407" t="s">
        <v>575</v>
      </c>
      <c r="R407" t="s">
        <v>550</v>
      </c>
      <c r="S407" t="s">
        <v>146</v>
      </c>
      <c r="U407">
        <v>0</v>
      </c>
      <c r="V407" t="s">
        <v>544</v>
      </c>
      <c r="W407" t="s">
        <v>575</v>
      </c>
      <c r="X407" s="784">
        <v>26422210443.037273</v>
      </c>
    </row>
    <row r="408" spans="1:24">
      <c r="A408" t="s">
        <v>358</v>
      </c>
      <c r="B408" t="s">
        <v>659</v>
      </c>
      <c r="C408" t="s">
        <v>151</v>
      </c>
      <c r="D408" t="s">
        <v>127</v>
      </c>
      <c r="E408" t="s">
        <v>377</v>
      </c>
      <c r="F408" t="s">
        <v>383</v>
      </c>
      <c r="G408" t="s">
        <v>98</v>
      </c>
      <c r="H408" t="s">
        <v>98</v>
      </c>
      <c r="I408" t="s">
        <v>743</v>
      </c>
      <c r="J408" t="s">
        <v>746</v>
      </c>
      <c r="K408" t="s">
        <v>546</v>
      </c>
      <c r="L408" s="784" t="s">
        <v>575</v>
      </c>
      <c r="M408" t="s">
        <v>745</v>
      </c>
      <c r="P408" t="s">
        <v>1887</v>
      </c>
      <c r="Q408" t="s">
        <v>575</v>
      </c>
      <c r="R408" t="s">
        <v>152</v>
      </c>
      <c r="S408" t="s">
        <v>146</v>
      </c>
      <c r="U408">
        <v>0</v>
      </c>
      <c r="V408" t="s">
        <v>544</v>
      </c>
      <c r="W408" t="s">
        <v>575</v>
      </c>
      <c r="X408" s="784">
        <v>10696495313.15033</v>
      </c>
    </row>
    <row r="409" spans="1:24">
      <c r="A409" t="s">
        <v>358</v>
      </c>
      <c r="B409" t="s">
        <v>660</v>
      </c>
      <c r="C409" t="s">
        <v>263</v>
      </c>
      <c r="D409" t="s">
        <v>127</v>
      </c>
      <c r="E409" t="s">
        <v>377</v>
      </c>
      <c r="F409" t="s">
        <v>383</v>
      </c>
      <c r="G409" t="s">
        <v>98</v>
      </c>
      <c r="H409" t="s">
        <v>98</v>
      </c>
      <c r="I409" t="s">
        <v>743</v>
      </c>
      <c r="J409" t="s">
        <v>746</v>
      </c>
      <c r="K409" t="s">
        <v>546</v>
      </c>
      <c r="L409" s="784" t="s">
        <v>575</v>
      </c>
      <c r="M409" t="s">
        <v>745</v>
      </c>
      <c r="P409" t="s">
        <v>1887</v>
      </c>
      <c r="Q409" t="s">
        <v>575</v>
      </c>
      <c r="R409" t="s">
        <v>152</v>
      </c>
      <c r="S409" t="s">
        <v>146</v>
      </c>
      <c r="U409">
        <v>0</v>
      </c>
      <c r="V409" t="s">
        <v>544</v>
      </c>
      <c r="W409" t="s">
        <v>575</v>
      </c>
      <c r="X409" s="784">
        <v>52769713433.240509</v>
      </c>
    </row>
    <row r="410" spans="1:24">
      <c r="A410" t="s">
        <v>358</v>
      </c>
      <c r="B410" t="s">
        <v>661</v>
      </c>
      <c r="C410" t="s">
        <v>264</v>
      </c>
      <c r="D410" t="s">
        <v>128</v>
      </c>
      <c r="E410" t="s">
        <v>377</v>
      </c>
      <c r="F410" t="s">
        <v>383</v>
      </c>
      <c r="G410" t="s">
        <v>98</v>
      </c>
      <c r="H410" t="s">
        <v>98</v>
      </c>
      <c r="I410" t="s">
        <v>743</v>
      </c>
      <c r="J410" t="s">
        <v>746</v>
      </c>
      <c r="K410" t="s">
        <v>546</v>
      </c>
      <c r="L410" s="784">
        <v>19000000</v>
      </c>
      <c r="M410" t="s">
        <v>745</v>
      </c>
      <c r="P410" t="s">
        <v>1887</v>
      </c>
      <c r="Q410" t="s">
        <v>406</v>
      </c>
      <c r="R410" t="s">
        <v>148</v>
      </c>
      <c r="S410" t="s">
        <v>145</v>
      </c>
      <c r="U410">
        <v>0</v>
      </c>
      <c r="V410" t="s">
        <v>544</v>
      </c>
      <c r="W410" t="s">
        <v>562</v>
      </c>
      <c r="X410" s="784">
        <v>225799814.51943746</v>
      </c>
    </row>
    <row r="411" spans="1:24">
      <c r="A411" t="s">
        <v>358</v>
      </c>
      <c r="B411" t="s">
        <v>662</v>
      </c>
      <c r="C411" t="s">
        <v>265</v>
      </c>
      <c r="D411" t="s">
        <v>126</v>
      </c>
      <c r="E411" t="s">
        <v>377</v>
      </c>
      <c r="F411" t="s">
        <v>383</v>
      </c>
      <c r="G411" t="s">
        <v>98</v>
      </c>
      <c r="H411" t="s">
        <v>98</v>
      </c>
      <c r="I411" t="s">
        <v>743</v>
      </c>
      <c r="J411" t="s">
        <v>746</v>
      </c>
      <c r="K411" t="s">
        <v>546</v>
      </c>
      <c r="L411" s="784" t="s">
        <v>575</v>
      </c>
      <c r="M411" t="s">
        <v>745</v>
      </c>
      <c r="P411" t="s">
        <v>1887</v>
      </c>
      <c r="Q411" t="s">
        <v>575</v>
      </c>
      <c r="R411" t="s">
        <v>150</v>
      </c>
      <c r="S411" t="s">
        <v>145</v>
      </c>
      <c r="U411">
        <v>0</v>
      </c>
      <c r="V411" t="s">
        <v>541</v>
      </c>
      <c r="W411" t="s">
        <v>542</v>
      </c>
      <c r="X411" s="784">
        <v>32192988.027009469</v>
      </c>
    </row>
    <row r="412" spans="1:24">
      <c r="A412" t="s">
        <v>358</v>
      </c>
      <c r="B412" t="s">
        <v>663</v>
      </c>
      <c r="C412" t="s">
        <v>266</v>
      </c>
      <c r="D412" t="s">
        <v>129</v>
      </c>
      <c r="E412" t="s">
        <v>377</v>
      </c>
      <c r="F412" t="s">
        <v>383</v>
      </c>
      <c r="G412" t="s">
        <v>98</v>
      </c>
      <c r="H412" t="s">
        <v>98</v>
      </c>
      <c r="I412" t="s">
        <v>743</v>
      </c>
      <c r="J412" t="s">
        <v>746</v>
      </c>
      <c r="K412" t="s">
        <v>546</v>
      </c>
      <c r="L412" s="784">
        <v>3000000</v>
      </c>
      <c r="M412" t="s">
        <v>745</v>
      </c>
      <c r="P412" t="s">
        <v>1887</v>
      </c>
      <c r="Q412" t="s">
        <v>406</v>
      </c>
      <c r="R412" t="s">
        <v>150</v>
      </c>
      <c r="S412" t="s">
        <v>145</v>
      </c>
      <c r="U412">
        <v>0</v>
      </c>
      <c r="V412" t="s">
        <v>541</v>
      </c>
      <c r="W412" t="s">
        <v>583</v>
      </c>
      <c r="X412" s="784">
        <v>11633535.136477679</v>
      </c>
    </row>
    <row r="413" spans="1:24">
      <c r="A413" t="s">
        <v>358</v>
      </c>
      <c r="B413" t="s">
        <v>664</v>
      </c>
      <c r="C413" t="s">
        <v>267</v>
      </c>
      <c r="D413" t="s">
        <v>129</v>
      </c>
      <c r="E413" t="s">
        <v>377</v>
      </c>
      <c r="F413" t="s">
        <v>383</v>
      </c>
      <c r="G413" t="s">
        <v>98</v>
      </c>
      <c r="H413" t="s">
        <v>98</v>
      </c>
      <c r="I413" t="s">
        <v>743</v>
      </c>
      <c r="J413" t="s">
        <v>746</v>
      </c>
      <c r="K413" t="s">
        <v>546</v>
      </c>
      <c r="L413" s="784">
        <v>3000000</v>
      </c>
      <c r="M413" t="s">
        <v>745</v>
      </c>
      <c r="P413" t="s">
        <v>1887</v>
      </c>
      <c r="Q413" t="s">
        <v>406</v>
      </c>
      <c r="R413" t="s">
        <v>150</v>
      </c>
      <c r="S413" t="s">
        <v>145</v>
      </c>
      <c r="U413">
        <v>2</v>
      </c>
      <c r="V413" t="s">
        <v>544</v>
      </c>
      <c r="W413" t="s">
        <v>562</v>
      </c>
      <c r="X413" s="784">
        <v>222008693.93354639</v>
      </c>
    </row>
    <row r="414" spans="1:24">
      <c r="A414" t="s">
        <v>358</v>
      </c>
      <c r="B414" t="s">
        <v>665</v>
      </c>
      <c r="C414" t="s">
        <v>153</v>
      </c>
      <c r="D414" t="s">
        <v>127</v>
      </c>
      <c r="E414" t="s">
        <v>377</v>
      </c>
      <c r="F414" t="s">
        <v>383</v>
      </c>
      <c r="G414" t="s">
        <v>98</v>
      </c>
      <c r="H414" t="s">
        <v>98</v>
      </c>
      <c r="I414" t="s">
        <v>743</v>
      </c>
      <c r="J414" t="s">
        <v>746</v>
      </c>
      <c r="K414" t="s">
        <v>546</v>
      </c>
      <c r="L414" s="784" t="s">
        <v>575</v>
      </c>
      <c r="M414" t="s">
        <v>745</v>
      </c>
      <c r="P414" t="s">
        <v>1887</v>
      </c>
      <c r="Q414" t="s">
        <v>575</v>
      </c>
      <c r="R414" t="s">
        <v>152</v>
      </c>
      <c r="S414" t="s">
        <v>146</v>
      </c>
      <c r="U414">
        <v>0</v>
      </c>
      <c r="V414" t="s">
        <v>544</v>
      </c>
      <c r="W414" t="s">
        <v>575</v>
      </c>
      <c r="X414" s="784">
        <v>2564993795.1894679</v>
      </c>
    </row>
    <row r="415" spans="1:24">
      <c r="A415" t="s">
        <v>358</v>
      </c>
      <c r="B415" t="s">
        <v>666</v>
      </c>
      <c r="C415" t="s">
        <v>268</v>
      </c>
      <c r="D415" t="s">
        <v>128</v>
      </c>
      <c r="E415" t="s">
        <v>377</v>
      </c>
      <c r="F415" t="s">
        <v>383</v>
      </c>
      <c r="G415" t="s">
        <v>98</v>
      </c>
      <c r="H415" t="s">
        <v>98</v>
      </c>
      <c r="I415" t="s">
        <v>743</v>
      </c>
      <c r="J415" t="s">
        <v>746</v>
      </c>
      <c r="K415" t="s">
        <v>546</v>
      </c>
      <c r="L415" s="784">
        <v>0</v>
      </c>
      <c r="M415" t="s">
        <v>745</v>
      </c>
      <c r="P415" t="s">
        <v>1887</v>
      </c>
      <c r="Q415" t="s">
        <v>838</v>
      </c>
      <c r="R415" t="s">
        <v>550</v>
      </c>
      <c r="S415" t="s">
        <v>146</v>
      </c>
      <c r="U415">
        <v>0</v>
      </c>
      <c r="V415" t="s">
        <v>541</v>
      </c>
      <c r="W415" t="s">
        <v>546</v>
      </c>
      <c r="X415" s="784">
        <v>60237542.945069775</v>
      </c>
    </row>
    <row r="416" spans="1:24">
      <c r="A416" t="s">
        <v>358</v>
      </c>
      <c r="B416" t="s">
        <v>667</v>
      </c>
      <c r="C416" t="s">
        <v>269</v>
      </c>
      <c r="D416" t="s">
        <v>129</v>
      </c>
      <c r="E416" t="s">
        <v>377</v>
      </c>
      <c r="F416" t="s">
        <v>383</v>
      </c>
      <c r="G416" t="s">
        <v>98</v>
      </c>
      <c r="H416" t="s">
        <v>98</v>
      </c>
      <c r="I416" t="s">
        <v>743</v>
      </c>
      <c r="J416" t="s">
        <v>746</v>
      </c>
      <c r="K416" t="s">
        <v>546</v>
      </c>
      <c r="L416" s="784">
        <v>1700000</v>
      </c>
      <c r="M416" t="s">
        <v>745</v>
      </c>
      <c r="P416" t="s">
        <v>1887</v>
      </c>
      <c r="Q416" t="s">
        <v>406</v>
      </c>
      <c r="R416" t="s">
        <v>148</v>
      </c>
      <c r="S416" t="s">
        <v>145</v>
      </c>
      <c r="U416">
        <v>0</v>
      </c>
      <c r="V416" t="s">
        <v>544</v>
      </c>
      <c r="W416" t="s">
        <v>542</v>
      </c>
      <c r="X416" s="784">
        <v>63738640.538260505</v>
      </c>
    </row>
    <row r="417" spans="1:24">
      <c r="A417" t="s">
        <v>358</v>
      </c>
      <c r="B417" t="s">
        <v>668</v>
      </c>
      <c r="C417" t="s">
        <v>270</v>
      </c>
      <c r="D417" t="s">
        <v>126</v>
      </c>
      <c r="E417" t="s">
        <v>377</v>
      </c>
      <c r="F417" t="s">
        <v>383</v>
      </c>
      <c r="G417" t="s">
        <v>98</v>
      </c>
      <c r="H417" t="s">
        <v>98</v>
      </c>
      <c r="I417" t="s">
        <v>743</v>
      </c>
      <c r="J417" t="s">
        <v>746</v>
      </c>
      <c r="K417" t="s">
        <v>546</v>
      </c>
      <c r="L417" s="784" t="s">
        <v>575</v>
      </c>
      <c r="M417" t="s">
        <v>745</v>
      </c>
      <c r="P417" t="s">
        <v>1887</v>
      </c>
      <c r="Q417" t="s">
        <v>575</v>
      </c>
      <c r="R417" t="s">
        <v>150</v>
      </c>
      <c r="S417" t="s">
        <v>145</v>
      </c>
      <c r="U417">
        <v>0</v>
      </c>
      <c r="V417" t="s">
        <v>541</v>
      </c>
      <c r="W417" t="s">
        <v>562</v>
      </c>
      <c r="X417" s="784">
        <v>49012774.055630356</v>
      </c>
    </row>
    <row r="418" spans="1:24">
      <c r="A418" t="s">
        <v>358</v>
      </c>
      <c r="B418" t="s">
        <v>669</v>
      </c>
      <c r="C418" t="s">
        <v>271</v>
      </c>
      <c r="D418" t="s">
        <v>128</v>
      </c>
      <c r="E418" t="s">
        <v>377</v>
      </c>
      <c r="F418" t="s">
        <v>383</v>
      </c>
      <c r="G418" t="s">
        <v>98</v>
      </c>
      <c r="H418" t="s">
        <v>98</v>
      </c>
      <c r="I418" t="s">
        <v>743</v>
      </c>
      <c r="J418" t="s">
        <v>746</v>
      </c>
      <c r="K418" t="s">
        <v>546</v>
      </c>
      <c r="L418" s="784">
        <v>14000000</v>
      </c>
      <c r="M418" t="s">
        <v>745</v>
      </c>
      <c r="P418" t="s">
        <v>1887</v>
      </c>
      <c r="Q418" t="s">
        <v>406</v>
      </c>
      <c r="R418" t="s">
        <v>148</v>
      </c>
      <c r="S418" t="s">
        <v>145</v>
      </c>
      <c r="U418">
        <v>1</v>
      </c>
      <c r="V418" t="s">
        <v>544</v>
      </c>
      <c r="W418" t="s">
        <v>583</v>
      </c>
      <c r="X418" s="784" t="s">
        <v>575</v>
      </c>
    </row>
    <row r="419" spans="1:24">
      <c r="A419" t="s">
        <v>358</v>
      </c>
      <c r="B419" t="s">
        <v>670</v>
      </c>
      <c r="C419" t="s">
        <v>272</v>
      </c>
      <c r="D419" t="s">
        <v>128</v>
      </c>
      <c r="E419" t="s">
        <v>377</v>
      </c>
      <c r="F419" t="s">
        <v>383</v>
      </c>
      <c r="G419" t="s">
        <v>98</v>
      </c>
      <c r="H419" t="s">
        <v>98</v>
      </c>
      <c r="I419" t="s">
        <v>743</v>
      </c>
      <c r="J419" t="s">
        <v>746</v>
      </c>
      <c r="K419" t="s">
        <v>546</v>
      </c>
      <c r="L419" s="784">
        <v>0</v>
      </c>
      <c r="M419" t="s">
        <v>745</v>
      </c>
      <c r="P419" t="s">
        <v>1887</v>
      </c>
      <c r="Q419" t="s">
        <v>575</v>
      </c>
      <c r="R419" t="s">
        <v>152</v>
      </c>
      <c r="S419" t="s">
        <v>146</v>
      </c>
      <c r="U419">
        <v>0</v>
      </c>
      <c r="V419" t="s">
        <v>544</v>
      </c>
      <c r="W419" t="s">
        <v>546</v>
      </c>
      <c r="X419" s="784">
        <v>16429121142.784708</v>
      </c>
    </row>
    <row r="420" spans="1:24">
      <c r="A420" t="s">
        <v>358</v>
      </c>
      <c r="B420" t="s">
        <v>671</v>
      </c>
      <c r="C420" t="s">
        <v>273</v>
      </c>
      <c r="D420" t="s">
        <v>128</v>
      </c>
      <c r="E420" t="s">
        <v>377</v>
      </c>
      <c r="F420" t="s">
        <v>383</v>
      </c>
      <c r="G420" t="s">
        <v>98</v>
      </c>
      <c r="H420" t="s">
        <v>98</v>
      </c>
      <c r="I420" t="s">
        <v>743</v>
      </c>
      <c r="J420" t="s">
        <v>746</v>
      </c>
      <c r="K420" t="s">
        <v>546</v>
      </c>
      <c r="L420" s="784">
        <v>56400000</v>
      </c>
      <c r="M420" t="s">
        <v>745</v>
      </c>
      <c r="P420" t="s">
        <v>1887</v>
      </c>
      <c r="Q420" t="s">
        <v>406</v>
      </c>
      <c r="R420" t="s">
        <v>148</v>
      </c>
      <c r="S420" t="s">
        <v>145</v>
      </c>
      <c r="U420">
        <v>1</v>
      </c>
      <c r="V420" t="s">
        <v>544</v>
      </c>
      <c r="W420" t="s">
        <v>542</v>
      </c>
      <c r="X420" s="784">
        <v>31684581.76217727</v>
      </c>
    </row>
    <row r="421" spans="1:24">
      <c r="A421" t="s">
        <v>358</v>
      </c>
      <c r="B421" t="s">
        <v>672</v>
      </c>
      <c r="C421" t="s">
        <v>274</v>
      </c>
      <c r="D421" t="s">
        <v>132</v>
      </c>
      <c r="E421" t="s">
        <v>377</v>
      </c>
      <c r="F421" t="s">
        <v>383</v>
      </c>
      <c r="G421" t="s">
        <v>98</v>
      </c>
      <c r="H421" t="s">
        <v>98</v>
      </c>
      <c r="I421" t="s">
        <v>743</v>
      </c>
      <c r="J421" t="s">
        <v>746</v>
      </c>
      <c r="K421" t="s">
        <v>546</v>
      </c>
      <c r="L421" s="784">
        <v>0</v>
      </c>
      <c r="M421" t="s">
        <v>745</v>
      </c>
      <c r="P421" t="s">
        <v>1887</v>
      </c>
      <c r="Q421" t="s">
        <v>406</v>
      </c>
      <c r="R421" t="s">
        <v>150</v>
      </c>
      <c r="S421" t="s">
        <v>145</v>
      </c>
      <c r="U421">
        <v>0</v>
      </c>
      <c r="V421" t="s">
        <v>544</v>
      </c>
      <c r="W421" t="s">
        <v>546</v>
      </c>
      <c r="X421" s="784">
        <v>1373621563.5182886</v>
      </c>
    </row>
    <row r="422" spans="1:24">
      <c r="A422" t="s">
        <v>358</v>
      </c>
      <c r="B422" t="s">
        <v>673</v>
      </c>
      <c r="C422" t="s">
        <v>275</v>
      </c>
      <c r="D422" t="s">
        <v>130</v>
      </c>
      <c r="E422" t="s">
        <v>377</v>
      </c>
      <c r="F422" t="s">
        <v>383</v>
      </c>
      <c r="G422" t="s">
        <v>98</v>
      </c>
      <c r="H422" t="s">
        <v>98</v>
      </c>
      <c r="I422" t="s">
        <v>743</v>
      </c>
      <c r="J422" t="s">
        <v>746</v>
      </c>
      <c r="K422" t="s">
        <v>546</v>
      </c>
      <c r="L422" s="784" t="s">
        <v>575</v>
      </c>
      <c r="M422" t="s">
        <v>745</v>
      </c>
      <c r="P422" t="s">
        <v>1887</v>
      </c>
      <c r="Q422" t="s">
        <v>575</v>
      </c>
      <c r="R422" t="s">
        <v>550</v>
      </c>
      <c r="S422" t="s">
        <v>146</v>
      </c>
      <c r="U422">
        <v>0</v>
      </c>
      <c r="V422" t="s">
        <v>541</v>
      </c>
      <c r="W422" t="s">
        <v>575</v>
      </c>
      <c r="X422" s="784">
        <v>24214370.889062837</v>
      </c>
    </row>
    <row r="423" spans="1:24">
      <c r="A423" t="s">
        <v>358</v>
      </c>
      <c r="B423" t="s">
        <v>674</v>
      </c>
      <c r="C423" t="s">
        <v>154</v>
      </c>
      <c r="D423" t="s">
        <v>130</v>
      </c>
      <c r="E423" t="s">
        <v>377</v>
      </c>
      <c r="F423" t="s">
        <v>383</v>
      </c>
      <c r="G423" t="s">
        <v>98</v>
      </c>
      <c r="H423" t="s">
        <v>98</v>
      </c>
      <c r="I423" t="s">
        <v>743</v>
      </c>
      <c r="J423" t="s">
        <v>746</v>
      </c>
      <c r="K423" t="s">
        <v>546</v>
      </c>
      <c r="L423" s="784" t="s">
        <v>575</v>
      </c>
      <c r="M423" t="s">
        <v>745</v>
      </c>
      <c r="P423" t="s">
        <v>1887</v>
      </c>
      <c r="Q423" t="s">
        <v>575</v>
      </c>
      <c r="R423" t="s">
        <v>152</v>
      </c>
      <c r="S423" t="s">
        <v>145</v>
      </c>
      <c r="U423">
        <v>0</v>
      </c>
      <c r="V423" t="s">
        <v>541</v>
      </c>
      <c r="W423" t="s">
        <v>548</v>
      </c>
      <c r="X423" s="784">
        <v>39941279.609447442</v>
      </c>
    </row>
    <row r="424" spans="1:24">
      <c r="A424" t="s">
        <v>358</v>
      </c>
      <c r="B424" t="s">
        <v>675</v>
      </c>
      <c r="C424" t="s">
        <v>155</v>
      </c>
      <c r="D424" t="s">
        <v>130</v>
      </c>
      <c r="E424" t="s">
        <v>377</v>
      </c>
      <c r="F424" t="s">
        <v>383</v>
      </c>
      <c r="G424" t="s">
        <v>98</v>
      </c>
      <c r="H424" t="s">
        <v>98</v>
      </c>
      <c r="I424" t="s">
        <v>743</v>
      </c>
      <c r="J424" t="s">
        <v>746</v>
      </c>
      <c r="K424" t="s">
        <v>546</v>
      </c>
      <c r="L424" s="784" t="s">
        <v>575</v>
      </c>
      <c r="M424" t="s">
        <v>745</v>
      </c>
      <c r="P424" t="s">
        <v>1887</v>
      </c>
      <c r="Q424" t="s">
        <v>575</v>
      </c>
      <c r="R424" t="s">
        <v>152</v>
      </c>
      <c r="S424" t="s">
        <v>145</v>
      </c>
      <c r="U424">
        <v>0</v>
      </c>
      <c r="V424" t="s">
        <v>541</v>
      </c>
      <c r="W424" t="s">
        <v>542</v>
      </c>
      <c r="X424" s="784">
        <v>24761675.260059897</v>
      </c>
    </row>
    <row r="425" spans="1:24">
      <c r="A425" t="s">
        <v>358</v>
      </c>
      <c r="B425" t="s">
        <v>676</v>
      </c>
      <c r="C425" t="s">
        <v>276</v>
      </c>
      <c r="D425" t="s">
        <v>131</v>
      </c>
      <c r="E425" t="s">
        <v>377</v>
      </c>
      <c r="F425" t="s">
        <v>383</v>
      </c>
      <c r="G425" t="s">
        <v>98</v>
      </c>
      <c r="H425" t="s">
        <v>98</v>
      </c>
      <c r="I425" t="s">
        <v>743</v>
      </c>
      <c r="J425" t="s">
        <v>746</v>
      </c>
      <c r="K425" t="s">
        <v>546</v>
      </c>
      <c r="L425" s="784">
        <v>0</v>
      </c>
      <c r="M425" t="s">
        <v>745</v>
      </c>
      <c r="P425" t="s">
        <v>1887</v>
      </c>
      <c r="Q425" t="s">
        <v>838</v>
      </c>
      <c r="R425" t="s">
        <v>150</v>
      </c>
      <c r="S425" t="s">
        <v>145</v>
      </c>
      <c r="U425">
        <v>0</v>
      </c>
      <c r="V425" t="s">
        <v>544</v>
      </c>
      <c r="W425" t="s">
        <v>546</v>
      </c>
      <c r="X425" s="784" t="s">
        <v>575</v>
      </c>
    </row>
    <row r="426" spans="1:24">
      <c r="A426" t="s">
        <v>358</v>
      </c>
      <c r="B426" t="s">
        <v>677</v>
      </c>
      <c r="C426" t="s">
        <v>277</v>
      </c>
      <c r="D426" t="s">
        <v>131</v>
      </c>
      <c r="E426" t="s">
        <v>377</v>
      </c>
      <c r="F426" t="s">
        <v>383</v>
      </c>
      <c r="G426" t="s">
        <v>98</v>
      </c>
      <c r="H426" t="s">
        <v>98</v>
      </c>
      <c r="I426" t="s">
        <v>743</v>
      </c>
      <c r="J426" t="s">
        <v>746</v>
      </c>
      <c r="K426" t="s">
        <v>546</v>
      </c>
      <c r="L426" s="784">
        <v>20900000</v>
      </c>
      <c r="M426" t="s">
        <v>745</v>
      </c>
      <c r="P426" t="s">
        <v>1887</v>
      </c>
      <c r="Q426" t="s">
        <v>406</v>
      </c>
      <c r="R426" t="s">
        <v>148</v>
      </c>
      <c r="S426" t="s">
        <v>145</v>
      </c>
      <c r="U426">
        <v>1</v>
      </c>
      <c r="V426" t="s">
        <v>544</v>
      </c>
      <c r="W426" t="s">
        <v>546</v>
      </c>
      <c r="X426" s="784">
        <v>577156172.71229994</v>
      </c>
    </row>
    <row r="427" spans="1:24">
      <c r="A427" t="s">
        <v>358</v>
      </c>
      <c r="B427" t="s">
        <v>678</v>
      </c>
      <c r="C427" t="s">
        <v>278</v>
      </c>
      <c r="D427" t="s">
        <v>126</v>
      </c>
      <c r="E427" t="s">
        <v>377</v>
      </c>
      <c r="F427" t="s">
        <v>383</v>
      </c>
      <c r="G427" t="s">
        <v>98</v>
      </c>
      <c r="H427" t="s">
        <v>98</v>
      </c>
      <c r="I427" t="s">
        <v>743</v>
      </c>
      <c r="J427" t="s">
        <v>746</v>
      </c>
      <c r="K427" t="s">
        <v>546</v>
      </c>
      <c r="L427" s="784" t="s">
        <v>575</v>
      </c>
      <c r="M427" t="s">
        <v>745</v>
      </c>
      <c r="P427" t="s">
        <v>1887</v>
      </c>
      <c r="Q427" t="s">
        <v>575</v>
      </c>
      <c r="R427" t="s">
        <v>152</v>
      </c>
      <c r="S427" t="s">
        <v>146</v>
      </c>
      <c r="U427">
        <v>0</v>
      </c>
      <c r="V427" t="s">
        <v>541</v>
      </c>
      <c r="W427" t="s">
        <v>575</v>
      </c>
      <c r="X427" s="784">
        <v>180052034.19851837</v>
      </c>
    </row>
    <row r="428" spans="1:24">
      <c r="A428" t="s">
        <v>358</v>
      </c>
      <c r="B428" t="s">
        <v>679</v>
      </c>
      <c r="C428" t="s">
        <v>279</v>
      </c>
      <c r="D428" t="s">
        <v>131</v>
      </c>
      <c r="E428" t="s">
        <v>377</v>
      </c>
      <c r="F428" t="s">
        <v>383</v>
      </c>
      <c r="G428" t="s">
        <v>98</v>
      </c>
      <c r="H428" t="s">
        <v>98</v>
      </c>
      <c r="I428" t="s">
        <v>743</v>
      </c>
      <c r="J428" t="s">
        <v>746</v>
      </c>
      <c r="K428" t="s">
        <v>546</v>
      </c>
      <c r="L428" s="784" t="s">
        <v>575</v>
      </c>
      <c r="M428" t="s">
        <v>745</v>
      </c>
      <c r="P428" t="s">
        <v>1887</v>
      </c>
      <c r="Q428" t="s">
        <v>575</v>
      </c>
      <c r="R428" t="s">
        <v>148</v>
      </c>
      <c r="S428" t="s">
        <v>145</v>
      </c>
      <c r="U428">
        <v>1</v>
      </c>
      <c r="V428" t="s">
        <v>544</v>
      </c>
      <c r="W428" t="s">
        <v>546</v>
      </c>
      <c r="X428" s="784" t="s">
        <v>575</v>
      </c>
    </row>
    <row r="429" spans="1:24">
      <c r="A429" t="s">
        <v>358</v>
      </c>
      <c r="B429" t="s">
        <v>680</v>
      </c>
      <c r="C429" t="s">
        <v>280</v>
      </c>
      <c r="D429" t="s">
        <v>127</v>
      </c>
      <c r="E429" t="s">
        <v>377</v>
      </c>
      <c r="F429" t="s">
        <v>383</v>
      </c>
      <c r="G429" t="s">
        <v>98</v>
      </c>
      <c r="H429" t="s">
        <v>98</v>
      </c>
      <c r="I429" t="s">
        <v>743</v>
      </c>
      <c r="J429" t="s">
        <v>746</v>
      </c>
      <c r="K429" t="s">
        <v>546</v>
      </c>
      <c r="L429" s="784">
        <v>500000</v>
      </c>
      <c r="M429" t="s">
        <v>745</v>
      </c>
      <c r="P429" t="s">
        <v>1887</v>
      </c>
      <c r="Q429" t="s">
        <v>406</v>
      </c>
      <c r="R429" t="s">
        <v>150</v>
      </c>
      <c r="S429" t="s">
        <v>145</v>
      </c>
      <c r="U429">
        <v>0</v>
      </c>
      <c r="V429" t="s">
        <v>544</v>
      </c>
      <c r="W429" t="s">
        <v>542</v>
      </c>
      <c r="X429" s="784">
        <v>147296124.32232863</v>
      </c>
    </row>
    <row r="430" spans="1:24">
      <c r="A430" t="s">
        <v>358</v>
      </c>
      <c r="B430" t="s">
        <v>681</v>
      </c>
      <c r="C430" t="s">
        <v>156</v>
      </c>
      <c r="D430" t="s">
        <v>128</v>
      </c>
      <c r="E430" t="s">
        <v>377</v>
      </c>
      <c r="F430" t="s">
        <v>383</v>
      </c>
      <c r="G430" t="s">
        <v>98</v>
      </c>
      <c r="H430" t="s">
        <v>98</v>
      </c>
      <c r="I430" t="s">
        <v>743</v>
      </c>
      <c r="J430" t="s">
        <v>746</v>
      </c>
      <c r="K430" t="s">
        <v>546</v>
      </c>
      <c r="L430" s="784" t="s">
        <v>575</v>
      </c>
      <c r="M430" t="s">
        <v>745</v>
      </c>
      <c r="P430" t="s">
        <v>1887</v>
      </c>
      <c r="Q430" t="s">
        <v>575</v>
      </c>
      <c r="R430" t="s">
        <v>150</v>
      </c>
      <c r="S430" t="s">
        <v>145</v>
      </c>
      <c r="U430">
        <v>0</v>
      </c>
      <c r="V430" t="s">
        <v>544</v>
      </c>
      <c r="W430" t="s">
        <v>548</v>
      </c>
      <c r="X430" s="784">
        <v>890576536.83065879</v>
      </c>
    </row>
    <row r="431" spans="1:24">
      <c r="A431" t="s">
        <v>358</v>
      </c>
      <c r="B431" t="s">
        <v>682</v>
      </c>
      <c r="C431" t="s">
        <v>157</v>
      </c>
      <c r="D431" t="s">
        <v>126</v>
      </c>
      <c r="E431" t="s">
        <v>377</v>
      </c>
      <c r="F431" t="s">
        <v>383</v>
      </c>
      <c r="G431" t="s">
        <v>98</v>
      </c>
      <c r="H431" t="s">
        <v>98</v>
      </c>
      <c r="I431" t="s">
        <v>743</v>
      </c>
      <c r="J431" t="s">
        <v>746</v>
      </c>
      <c r="K431" t="s">
        <v>546</v>
      </c>
      <c r="L431" s="784" t="s">
        <v>575</v>
      </c>
      <c r="M431" t="s">
        <v>745</v>
      </c>
      <c r="P431" t="s">
        <v>1887</v>
      </c>
      <c r="Q431" t="s">
        <v>575</v>
      </c>
      <c r="R431" t="s">
        <v>152</v>
      </c>
      <c r="S431" t="s">
        <v>146</v>
      </c>
      <c r="U431">
        <v>0</v>
      </c>
      <c r="V431" t="s">
        <v>544</v>
      </c>
      <c r="W431" t="s">
        <v>575</v>
      </c>
      <c r="X431" s="784">
        <v>14611129792.346064</v>
      </c>
    </row>
    <row r="432" spans="1:24">
      <c r="A432" t="s">
        <v>358</v>
      </c>
      <c r="B432" t="s">
        <v>683</v>
      </c>
      <c r="C432" t="s">
        <v>281</v>
      </c>
      <c r="D432" t="s">
        <v>126</v>
      </c>
      <c r="E432" t="s">
        <v>377</v>
      </c>
      <c r="F432" t="s">
        <v>383</v>
      </c>
      <c r="G432" t="s">
        <v>98</v>
      </c>
      <c r="H432" t="s">
        <v>98</v>
      </c>
      <c r="I432" t="s">
        <v>743</v>
      </c>
      <c r="J432" t="s">
        <v>746</v>
      </c>
      <c r="K432" t="s">
        <v>546</v>
      </c>
      <c r="L432" s="784" t="s">
        <v>575</v>
      </c>
      <c r="M432" t="s">
        <v>745</v>
      </c>
      <c r="P432" t="s">
        <v>1887</v>
      </c>
      <c r="Q432" t="s">
        <v>575</v>
      </c>
      <c r="R432" t="s">
        <v>150</v>
      </c>
      <c r="S432" t="s">
        <v>145</v>
      </c>
      <c r="U432">
        <v>0</v>
      </c>
      <c r="V432" t="s">
        <v>541</v>
      </c>
      <c r="W432" t="s">
        <v>558</v>
      </c>
      <c r="X432" s="784">
        <v>72046877.233008593</v>
      </c>
    </row>
    <row r="433" spans="1:24">
      <c r="A433" t="s">
        <v>358</v>
      </c>
      <c r="B433" t="s">
        <v>684</v>
      </c>
      <c r="C433" t="s">
        <v>282</v>
      </c>
      <c r="D433" t="s">
        <v>129</v>
      </c>
      <c r="E433" t="s">
        <v>377</v>
      </c>
      <c r="F433" t="s">
        <v>383</v>
      </c>
      <c r="G433" t="s">
        <v>98</v>
      </c>
      <c r="H433" t="s">
        <v>98</v>
      </c>
      <c r="I433" t="s">
        <v>743</v>
      </c>
      <c r="J433" t="s">
        <v>746</v>
      </c>
      <c r="K433" t="s">
        <v>546</v>
      </c>
      <c r="L433" s="784">
        <v>400000</v>
      </c>
      <c r="M433" t="s">
        <v>745</v>
      </c>
      <c r="P433" t="s">
        <v>1887</v>
      </c>
      <c r="Q433" t="s">
        <v>406</v>
      </c>
      <c r="R433" t="s">
        <v>148</v>
      </c>
      <c r="S433" t="s">
        <v>145</v>
      </c>
      <c r="U433">
        <v>0</v>
      </c>
      <c r="V433" t="s">
        <v>544</v>
      </c>
      <c r="W433" t="s">
        <v>542</v>
      </c>
      <c r="X433" s="784">
        <v>56248139.267255567</v>
      </c>
    </row>
    <row r="434" spans="1:24">
      <c r="A434" t="s">
        <v>358</v>
      </c>
      <c r="B434" t="s">
        <v>685</v>
      </c>
      <c r="C434" t="s">
        <v>283</v>
      </c>
      <c r="D434" t="s">
        <v>126</v>
      </c>
      <c r="E434" t="s">
        <v>377</v>
      </c>
      <c r="F434" t="s">
        <v>383</v>
      </c>
      <c r="G434" t="s">
        <v>98</v>
      </c>
      <c r="H434" t="s">
        <v>98</v>
      </c>
      <c r="I434" t="s">
        <v>743</v>
      </c>
      <c r="J434" t="s">
        <v>746</v>
      </c>
      <c r="K434" t="s">
        <v>546</v>
      </c>
      <c r="L434" s="784" t="s">
        <v>575</v>
      </c>
      <c r="M434" t="s">
        <v>745</v>
      </c>
      <c r="P434" t="s">
        <v>1887</v>
      </c>
      <c r="Q434" t="s">
        <v>575</v>
      </c>
      <c r="R434" t="s">
        <v>152</v>
      </c>
      <c r="S434" t="s">
        <v>145</v>
      </c>
      <c r="U434">
        <v>0</v>
      </c>
      <c r="V434" t="s">
        <v>541</v>
      </c>
      <c r="W434" t="s">
        <v>542</v>
      </c>
      <c r="X434" s="784">
        <v>15464031.712942109</v>
      </c>
    </row>
    <row r="435" spans="1:24">
      <c r="A435" t="s">
        <v>358</v>
      </c>
      <c r="B435" t="s">
        <v>686</v>
      </c>
      <c r="C435" t="s">
        <v>284</v>
      </c>
      <c r="D435" t="s">
        <v>130</v>
      </c>
      <c r="E435" t="s">
        <v>377</v>
      </c>
      <c r="F435" t="s">
        <v>383</v>
      </c>
      <c r="G435" t="s">
        <v>98</v>
      </c>
      <c r="H435" t="s">
        <v>98</v>
      </c>
      <c r="I435" t="s">
        <v>743</v>
      </c>
      <c r="J435" t="s">
        <v>746</v>
      </c>
      <c r="K435" t="s">
        <v>546</v>
      </c>
      <c r="L435" s="784" t="s">
        <v>575</v>
      </c>
      <c r="M435" t="s">
        <v>745</v>
      </c>
      <c r="P435" t="s">
        <v>1887</v>
      </c>
      <c r="Q435" t="s">
        <v>575</v>
      </c>
      <c r="R435" t="s">
        <v>550</v>
      </c>
      <c r="S435" t="s">
        <v>146</v>
      </c>
      <c r="U435">
        <v>0</v>
      </c>
      <c r="V435" t="s">
        <v>541</v>
      </c>
      <c r="W435" t="s">
        <v>546</v>
      </c>
      <c r="X435" s="784">
        <v>769564399.33249676</v>
      </c>
    </row>
    <row r="436" spans="1:24">
      <c r="A436" t="s">
        <v>358</v>
      </c>
      <c r="B436" t="s">
        <v>687</v>
      </c>
      <c r="C436" t="s">
        <v>285</v>
      </c>
      <c r="D436" t="s">
        <v>131</v>
      </c>
      <c r="E436" t="s">
        <v>377</v>
      </c>
      <c r="F436" t="s">
        <v>383</v>
      </c>
      <c r="G436" t="s">
        <v>98</v>
      </c>
      <c r="H436" t="s">
        <v>98</v>
      </c>
      <c r="I436" t="s">
        <v>743</v>
      </c>
      <c r="J436" t="s">
        <v>746</v>
      </c>
      <c r="K436" t="s">
        <v>546</v>
      </c>
      <c r="L436" s="784">
        <v>7800000</v>
      </c>
      <c r="M436" t="s">
        <v>745</v>
      </c>
      <c r="P436" t="s">
        <v>1887</v>
      </c>
      <c r="Q436" t="s">
        <v>406</v>
      </c>
      <c r="R436" t="s">
        <v>150</v>
      </c>
      <c r="S436" t="s">
        <v>145</v>
      </c>
      <c r="U436">
        <v>0</v>
      </c>
      <c r="V436" t="s">
        <v>544</v>
      </c>
      <c r="W436" t="s">
        <v>546</v>
      </c>
      <c r="X436" s="784">
        <v>1668954539.7630196</v>
      </c>
    </row>
    <row r="437" spans="1:24">
      <c r="A437" t="s">
        <v>358</v>
      </c>
      <c r="B437" t="s">
        <v>688</v>
      </c>
      <c r="C437" t="s">
        <v>286</v>
      </c>
      <c r="D437" t="s">
        <v>127</v>
      </c>
      <c r="E437" t="s">
        <v>377</v>
      </c>
      <c r="F437" t="s">
        <v>383</v>
      </c>
      <c r="G437" t="s">
        <v>98</v>
      </c>
      <c r="H437" t="s">
        <v>98</v>
      </c>
      <c r="I437" t="s">
        <v>743</v>
      </c>
      <c r="J437" t="s">
        <v>746</v>
      </c>
      <c r="K437" t="s">
        <v>546</v>
      </c>
      <c r="L437" s="784" t="s">
        <v>575</v>
      </c>
      <c r="M437" t="s">
        <v>745</v>
      </c>
      <c r="P437" t="s">
        <v>1887</v>
      </c>
      <c r="Q437" t="s">
        <v>575</v>
      </c>
      <c r="R437" t="s">
        <v>152</v>
      </c>
      <c r="S437" t="s">
        <v>146</v>
      </c>
      <c r="U437">
        <v>0</v>
      </c>
      <c r="V437" t="s">
        <v>544</v>
      </c>
      <c r="W437" t="s">
        <v>575</v>
      </c>
      <c r="X437" s="784">
        <v>24840920016.18832</v>
      </c>
    </row>
    <row r="438" spans="1:24">
      <c r="A438" t="s">
        <v>358</v>
      </c>
      <c r="B438" t="s">
        <v>689</v>
      </c>
      <c r="C438" t="s">
        <v>287</v>
      </c>
      <c r="D438" t="s">
        <v>127</v>
      </c>
      <c r="E438" t="s">
        <v>377</v>
      </c>
      <c r="F438" t="s">
        <v>383</v>
      </c>
      <c r="G438" t="s">
        <v>98</v>
      </c>
      <c r="H438" t="s">
        <v>98</v>
      </c>
      <c r="I438" t="s">
        <v>743</v>
      </c>
      <c r="J438" t="s">
        <v>746</v>
      </c>
      <c r="K438" t="s">
        <v>546</v>
      </c>
      <c r="L438" s="784">
        <v>0</v>
      </c>
      <c r="M438" t="s">
        <v>745</v>
      </c>
      <c r="P438" t="s">
        <v>1887</v>
      </c>
      <c r="Q438" t="s">
        <v>864</v>
      </c>
      <c r="R438" t="s">
        <v>152</v>
      </c>
      <c r="S438" t="s">
        <v>146</v>
      </c>
      <c r="U438">
        <v>0</v>
      </c>
      <c r="V438" t="s">
        <v>544</v>
      </c>
      <c r="W438" t="s">
        <v>546</v>
      </c>
      <c r="X438" s="784">
        <v>487888462.83720118</v>
      </c>
    </row>
    <row r="439" spans="1:24">
      <c r="A439" t="s">
        <v>358</v>
      </c>
      <c r="B439" t="s">
        <v>690</v>
      </c>
      <c r="C439" t="s">
        <v>288</v>
      </c>
      <c r="D439" t="s">
        <v>126</v>
      </c>
      <c r="E439" t="s">
        <v>377</v>
      </c>
      <c r="F439" t="s">
        <v>383</v>
      </c>
      <c r="G439" t="s">
        <v>98</v>
      </c>
      <c r="H439" t="s">
        <v>98</v>
      </c>
      <c r="I439" t="s">
        <v>743</v>
      </c>
      <c r="J439" t="s">
        <v>746</v>
      </c>
      <c r="K439" t="s">
        <v>546</v>
      </c>
      <c r="L439" s="784" t="s">
        <v>575</v>
      </c>
      <c r="M439" t="s">
        <v>745</v>
      </c>
      <c r="P439" t="s">
        <v>1887</v>
      </c>
      <c r="Q439" t="s">
        <v>575</v>
      </c>
      <c r="R439" t="s">
        <v>152</v>
      </c>
      <c r="S439" t="s">
        <v>145</v>
      </c>
      <c r="U439">
        <v>0</v>
      </c>
      <c r="V439" t="s">
        <v>541</v>
      </c>
      <c r="W439" t="s">
        <v>548</v>
      </c>
      <c r="X439" s="784">
        <v>6365061.1736073596</v>
      </c>
    </row>
    <row r="440" spans="1:24">
      <c r="A440" t="s">
        <v>358</v>
      </c>
      <c r="B440" t="s">
        <v>691</v>
      </c>
      <c r="C440" t="s">
        <v>289</v>
      </c>
      <c r="D440" t="s">
        <v>128</v>
      </c>
      <c r="E440" t="s">
        <v>377</v>
      </c>
      <c r="F440" t="s">
        <v>383</v>
      </c>
      <c r="G440" t="s">
        <v>98</v>
      </c>
      <c r="H440" t="s">
        <v>98</v>
      </c>
      <c r="I440" t="s">
        <v>743</v>
      </c>
      <c r="J440" t="s">
        <v>746</v>
      </c>
      <c r="K440" t="s">
        <v>546</v>
      </c>
      <c r="L440" s="784">
        <v>43150000</v>
      </c>
      <c r="M440" t="s">
        <v>745</v>
      </c>
      <c r="P440" t="s">
        <v>1887</v>
      </c>
      <c r="Q440" t="s">
        <v>406</v>
      </c>
      <c r="R440" t="s">
        <v>148</v>
      </c>
      <c r="S440" t="s">
        <v>145</v>
      </c>
      <c r="U440">
        <v>2</v>
      </c>
      <c r="V440" t="s">
        <v>544</v>
      </c>
      <c r="W440" t="s">
        <v>558</v>
      </c>
      <c r="X440" s="784">
        <v>291799092.90196139</v>
      </c>
    </row>
    <row r="441" spans="1:24">
      <c r="A441" t="s">
        <v>358</v>
      </c>
      <c r="B441" t="s">
        <v>692</v>
      </c>
      <c r="C441" t="s">
        <v>290</v>
      </c>
      <c r="D441" t="s">
        <v>127</v>
      </c>
      <c r="E441" t="s">
        <v>377</v>
      </c>
      <c r="F441" t="s">
        <v>383</v>
      </c>
      <c r="G441" t="s">
        <v>98</v>
      </c>
      <c r="H441" t="s">
        <v>98</v>
      </c>
      <c r="I441" t="s">
        <v>743</v>
      </c>
      <c r="J441" t="s">
        <v>746</v>
      </c>
      <c r="K441" t="s">
        <v>546</v>
      </c>
      <c r="L441" s="784">
        <v>20000000</v>
      </c>
      <c r="M441" t="s">
        <v>745</v>
      </c>
      <c r="P441" t="s">
        <v>1887</v>
      </c>
      <c r="Q441" t="s">
        <v>406</v>
      </c>
      <c r="R441" t="s">
        <v>150</v>
      </c>
      <c r="S441" t="s">
        <v>145</v>
      </c>
      <c r="U441">
        <v>0</v>
      </c>
      <c r="V441" t="s">
        <v>544</v>
      </c>
      <c r="W441" t="s">
        <v>546</v>
      </c>
      <c r="X441" s="784">
        <v>4844815340.2135534</v>
      </c>
    </row>
    <row r="442" spans="1:24">
      <c r="A442" t="s">
        <v>358</v>
      </c>
      <c r="B442" t="s">
        <v>693</v>
      </c>
      <c r="C442" t="s">
        <v>291</v>
      </c>
      <c r="D442" t="s">
        <v>130</v>
      </c>
      <c r="E442" t="s">
        <v>377</v>
      </c>
      <c r="F442" t="s">
        <v>383</v>
      </c>
      <c r="G442" t="s">
        <v>98</v>
      </c>
      <c r="H442" t="s">
        <v>98</v>
      </c>
      <c r="I442" t="s">
        <v>743</v>
      </c>
      <c r="J442" t="s">
        <v>746</v>
      </c>
      <c r="K442" t="s">
        <v>546</v>
      </c>
      <c r="L442" s="784" t="s">
        <v>575</v>
      </c>
      <c r="M442" t="s">
        <v>745</v>
      </c>
      <c r="P442" t="s">
        <v>1887</v>
      </c>
      <c r="Q442" t="s">
        <v>575</v>
      </c>
      <c r="R442" t="s">
        <v>550</v>
      </c>
      <c r="S442" t="s">
        <v>146</v>
      </c>
      <c r="U442">
        <v>0</v>
      </c>
      <c r="V442" t="s">
        <v>544</v>
      </c>
      <c r="W442" t="s">
        <v>575</v>
      </c>
      <c r="X442" s="784">
        <v>4001891446.6871672</v>
      </c>
    </row>
    <row r="443" spans="1:24">
      <c r="A443" t="s">
        <v>358</v>
      </c>
      <c r="B443" t="s">
        <v>694</v>
      </c>
      <c r="C443" t="s">
        <v>292</v>
      </c>
      <c r="D443" t="s">
        <v>127</v>
      </c>
      <c r="E443" t="s">
        <v>377</v>
      </c>
      <c r="F443" t="s">
        <v>383</v>
      </c>
      <c r="G443" t="s">
        <v>98</v>
      </c>
      <c r="H443" t="s">
        <v>98</v>
      </c>
      <c r="I443" t="s">
        <v>743</v>
      </c>
      <c r="J443" t="s">
        <v>746</v>
      </c>
      <c r="K443" t="s">
        <v>546</v>
      </c>
      <c r="L443" s="784" t="s">
        <v>575</v>
      </c>
      <c r="M443" t="s">
        <v>745</v>
      </c>
      <c r="P443" t="s">
        <v>1887</v>
      </c>
      <c r="Q443" t="s">
        <v>575</v>
      </c>
      <c r="R443" t="s">
        <v>150</v>
      </c>
      <c r="S443" t="s">
        <v>145</v>
      </c>
      <c r="U443">
        <v>0</v>
      </c>
      <c r="V443" t="s">
        <v>544</v>
      </c>
      <c r="W443" t="s">
        <v>558</v>
      </c>
      <c r="X443" s="784">
        <v>1019800630.5853213</v>
      </c>
    </row>
    <row r="444" spans="1:24">
      <c r="A444" t="s">
        <v>358</v>
      </c>
      <c r="B444" t="s">
        <v>695</v>
      </c>
      <c r="C444" t="s">
        <v>293</v>
      </c>
      <c r="D444" t="s">
        <v>126</v>
      </c>
      <c r="E444" t="s">
        <v>377</v>
      </c>
      <c r="F444" t="s">
        <v>383</v>
      </c>
      <c r="G444" t="s">
        <v>98</v>
      </c>
      <c r="H444" t="s">
        <v>98</v>
      </c>
      <c r="I444" t="s">
        <v>743</v>
      </c>
      <c r="J444" t="s">
        <v>746</v>
      </c>
      <c r="K444" t="s">
        <v>546</v>
      </c>
      <c r="L444" s="784" t="s">
        <v>575</v>
      </c>
      <c r="M444" t="s">
        <v>745</v>
      </c>
      <c r="P444" t="s">
        <v>1887</v>
      </c>
      <c r="Q444" t="s">
        <v>575</v>
      </c>
      <c r="R444" t="s">
        <v>150</v>
      </c>
      <c r="S444" t="s">
        <v>145</v>
      </c>
      <c r="U444">
        <v>0</v>
      </c>
      <c r="V444" t="s">
        <v>541</v>
      </c>
      <c r="W444" t="s">
        <v>562</v>
      </c>
      <c r="X444" s="784">
        <v>19578671.310841195</v>
      </c>
    </row>
    <row r="445" spans="1:24">
      <c r="A445" t="s">
        <v>358</v>
      </c>
      <c r="B445" t="s">
        <v>696</v>
      </c>
      <c r="C445" t="s">
        <v>294</v>
      </c>
      <c r="D445" t="s">
        <v>130</v>
      </c>
      <c r="E445" t="s">
        <v>377</v>
      </c>
      <c r="F445" t="s">
        <v>383</v>
      </c>
      <c r="G445" t="s">
        <v>98</v>
      </c>
      <c r="H445" t="s">
        <v>98</v>
      </c>
      <c r="I445" t="s">
        <v>743</v>
      </c>
      <c r="J445" t="s">
        <v>746</v>
      </c>
      <c r="K445" t="s">
        <v>546</v>
      </c>
      <c r="L445" s="784" t="s">
        <v>575</v>
      </c>
      <c r="M445" t="s">
        <v>745</v>
      </c>
      <c r="P445" t="s">
        <v>1887</v>
      </c>
      <c r="Q445" t="s">
        <v>575</v>
      </c>
      <c r="R445" t="s">
        <v>322</v>
      </c>
      <c r="S445" t="s">
        <v>146</v>
      </c>
      <c r="U445">
        <v>0</v>
      </c>
      <c r="V445" t="s">
        <v>544</v>
      </c>
      <c r="W445" t="s">
        <v>546</v>
      </c>
      <c r="X445" s="784">
        <v>3551452001.0684834</v>
      </c>
    </row>
    <row r="446" spans="1:24">
      <c r="A446" t="s">
        <v>358</v>
      </c>
      <c r="B446" t="s">
        <v>697</v>
      </c>
      <c r="C446" t="s">
        <v>295</v>
      </c>
      <c r="D446" t="s">
        <v>126</v>
      </c>
      <c r="E446" t="s">
        <v>377</v>
      </c>
      <c r="F446" t="s">
        <v>383</v>
      </c>
      <c r="G446" t="s">
        <v>98</v>
      </c>
      <c r="H446" t="s">
        <v>98</v>
      </c>
      <c r="I446" t="s">
        <v>743</v>
      </c>
      <c r="J446" t="s">
        <v>746</v>
      </c>
      <c r="K446" t="s">
        <v>546</v>
      </c>
      <c r="L446" s="784" t="s">
        <v>575</v>
      </c>
      <c r="M446" t="s">
        <v>745</v>
      </c>
      <c r="P446" t="s">
        <v>1887</v>
      </c>
      <c r="Q446" t="s">
        <v>575</v>
      </c>
      <c r="R446" t="s">
        <v>150</v>
      </c>
      <c r="S446" t="s">
        <v>145</v>
      </c>
      <c r="U446">
        <v>0</v>
      </c>
      <c r="V446" t="s">
        <v>544</v>
      </c>
      <c r="W446" t="s">
        <v>546</v>
      </c>
      <c r="X446" s="784">
        <v>6603048821.7575006</v>
      </c>
    </row>
    <row r="447" spans="1:24">
      <c r="A447" t="s">
        <v>358</v>
      </c>
      <c r="B447" t="s">
        <v>698</v>
      </c>
      <c r="C447" t="s">
        <v>296</v>
      </c>
      <c r="D447" t="s">
        <v>131</v>
      </c>
      <c r="E447" t="s">
        <v>377</v>
      </c>
      <c r="F447" t="s">
        <v>383</v>
      </c>
      <c r="G447" t="s">
        <v>98</v>
      </c>
      <c r="H447" t="s">
        <v>98</v>
      </c>
      <c r="I447" t="s">
        <v>743</v>
      </c>
      <c r="J447" t="s">
        <v>746</v>
      </c>
      <c r="K447" t="s">
        <v>546</v>
      </c>
      <c r="L447" s="784">
        <v>2300000</v>
      </c>
      <c r="M447" t="s">
        <v>745</v>
      </c>
      <c r="P447" t="s">
        <v>1887</v>
      </c>
      <c r="Q447" t="s">
        <v>406</v>
      </c>
      <c r="R447" t="s">
        <v>148</v>
      </c>
      <c r="S447" t="s">
        <v>145</v>
      </c>
      <c r="U447">
        <v>1</v>
      </c>
      <c r="V447" t="s">
        <v>544</v>
      </c>
      <c r="W447" t="s">
        <v>548</v>
      </c>
      <c r="X447" s="784" t="s">
        <v>575</v>
      </c>
    </row>
    <row r="448" spans="1:24">
      <c r="A448" t="s">
        <v>358</v>
      </c>
      <c r="B448" t="s">
        <v>699</v>
      </c>
      <c r="C448" t="s">
        <v>297</v>
      </c>
      <c r="D448" t="s">
        <v>128</v>
      </c>
      <c r="E448" t="s">
        <v>377</v>
      </c>
      <c r="F448" t="s">
        <v>383</v>
      </c>
      <c r="G448" t="s">
        <v>98</v>
      </c>
      <c r="H448" t="s">
        <v>98</v>
      </c>
      <c r="I448" t="s">
        <v>743</v>
      </c>
      <c r="J448" t="s">
        <v>746</v>
      </c>
      <c r="K448" t="s">
        <v>546</v>
      </c>
      <c r="L448" s="784">
        <v>3000000</v>
      </c>
      <c r="M448" t="s">
        <v>745</v>
      </c>
      <c r="P448" t="s">
        <v>1887</v>
      </c>
      <c r="Q448" t="s">
        <v>406</v>
      </c>
      <c r="R448" t="s">
        <v>150</v>
      </c>
      <c r="S448" t="s">
        <v>145</v>
      </c>
      <c r="U448">
        <v>0</v>
      </c>
      <c r="V448" t="s">
        <v>544</v>
      </c>
      <c r="W448" t="s">
        <v>542</v>
      </c>
      <c r="X448" s="784">
        <v>515352723.9821828</v>
      </c>
    </row>
    <row r="449" spans="1:24">
      <c r="A449" t="s">
        <v>358</v>
      </c>
      <c r="B449" t="s">
        <v>700</v>
      </c>
      <c r="C449" t="s">
        <v>298</v>
      </c>
      <c r="D449" t="s">
        <v>128</v>
      </c>
      <c r="E449" t="s">
        <v>377</v>
      </c>
      <c r="F449" t="s">
        <v>383</v>
      </c>
      <c r="G449" t="s">
        <v>98</v>
      </c>
      <c r="H449" t="s">
        <v>98</v>
      </c>
      <c r="I449" t="s">
        <v>743</v>
      </c>
      <c r="J449" t="s">
        <v>746</v>
      </c>
      <c r="K449" t="s">
        <v>546</v>
      </c>
      <c r="L449" s="784">
        <v>0</v>
      </c>
      <c r="M449" t="s">
        <v>745</v>
      </c>
      <c r="P449" t="s">
        <v>1887</v>
      </c>
      <c r="Q449" t="s">
        <v>838</v>
      </c>
      <c r="R449" t="s">
        <v>150</v>
      </c>
      <c r="S449" t="s">
        <v>145</v>
      </c>
      <c r="U449">
        <v>0</v>
      </c>
      <c r="V449" t="s">
        <v>544</v>
      </c>
      <c r="W449" t="s">
        <v>546</v>
      </c>
      <c r="X449" s="784">
        <v>566711742.22428358</v>
      </c>
    </row>
    <row r="450" spans="1:24">
      <c r="A450" t="s">
        <v>358</v>
      </c>
      <c r="B450" t="s">
        <v>540</v>
      </c>
      <c r="C450" t="s">
        <v>160</v>
      </c>
      <c r="D450" t="s">
        <v>132</v>
      </c>
      <c r="E450" t="s">
        <v>377</v>
      </c>
      <c r="F450" t="s">
        <v>383</v>
      </c>
      <c r="G450" t="s">
        <v>333</v>
      </c>
      <c r="H450" t="s">
        <v>333</v>
      </c>
      <c r="I450" t="s">
        <v>743</v>
      </c>
      <c r="J450" t="s">
        <v>744</v>
      </c>
      <c r="K450" t="s">
        <v>546</v>
      </c>
      <c r="L450" s="784">
        <v>43173076.92307692</v>
      </c>
      <c r="M450" t="s">
        <v>745</v>
      </c>
      <c r="P450" t="s">
        <v>1887</v>
      </c>
      <c r="Q450" t="s">
        <v>406</v>
      </c>
      <c r="R450" t="s">
        <v>148</v>
      </c>
      <c r="S450" t="s">
        <v>145</v>
      </c>
      <c r="U450">
        <v>1</v>
      </c>
      <c r="V450" t="s">
        <v>544</v>
      </c>
      <c r="W450" t="s">
        <v>542</v>
      </c>
      <c r="X450" s="784">
        <v>95829480.719269618</v>
      </c>
    </row>
    <row r="451" spans="1:24">
      <c r="A451" t="s">
        <v>358</v>
      </c>
      <c r="B451" t="s">
        <v>543</v>
      </c>
      <c r="C451" t="s">
        <v>161</v>
      </c>
      <c r="D451" t="s">
        <v>127</v>
      </c>
      <c r="E451" t="s">
        <v>377</v>
      </c>
      <c r="F451" t="s">
        <v>383</v>
      </c>
      <c r="G451" t="s">
        <v>333</v>
      </c>
      <c r="H451" t="s">
        <v>333</v>
      </c>
      <c r="I451" t="s">
        <v>743</v>
      </c>
      <c r="J451" t="s">
        <v>744</v>
      </c>
      <c r="K451" t="s">
        <v>546</v>
      </c>
      <c r="L451" s="784" t="s">
        <v>575</v>
      </c>
      <c r="M451" t="s">
        <v>745</v>
      </c>
      <c r="P451" t="s">
        <v>1887</v>
      </c>
      <c r="Q451" t="s">
        <v>575</v>
      </c>
      <c r="R451" t="s">
        <v>152</v>
      </c>
      <c r="S451" t="s">
        <v>146</v>
      </c>
      <c r="U451">
        <v>0</v>
      </c>
      <c r="V451" t="s">
        <v>544</v>
      </c>
      <c r="W451" t="s">
        <v>575</v>
      </c>
      <c r="X451" s="784">
        <v>427904035.52443534</v>
      </c>
    </row>
    <row r="452" spans="1:24">
      <c r="A452" t="s">
        <v>358</v>
      </c>
      <c r="B452" t="s">
        <v>545</v>
      </c>
      <c r="C452" t="s">
        <v>143</v>
      </c>
      <c r="D452" t="s">
        <v>131</v>
      </c>
      <c r="E452" t="s">
        <v>377</v>
      </c>
      <c r="F452" t="s">
        <v>383</v>
      </c>
      <c r="G452" t="s">
        <v>333</v>
      </c>
      <c r="H452" t="s">
        <v>333</v>
      </c>
      <c r="I452" t="s">
        <v>743</v>
      </c>
      <c r="J452" t="s">
        <v>744</v>
      </c>
      <c r="K452" t="s">
        <v>546</v>
      </c>
      <c r="L452" s="784" t="s">
        <v>575</v>
      </c>
      <c r="M452" t="s">
        <v>745</v>
      </c>
      <c r="P452" t="s">
        <v>1887</v>
      </c>
      <c r="Q452" t="s">
        <v>575</v>
      </c>
      <c r="R452" t="s">
        <v>150</v>
      </c>
      <c r="S452" t="s">
        <v>145</v>
      </c>
      <c r="U452">
        <v>0</v>
      </c>
      <c r="V452" t="s">
        <v>544</v>
      </c>
      <c r="W452" t="s">
        <v>546</v>
      </c>
      <c r="X452" s="784">
        <v>7113361022.7267885</v>
      </c>
    </row>
    <row r="453" spans="1:24">
      <c r="A453" t="s">
        <v>358</v>
      </c>
      <c r="B453" t="s">
        <v>547</v>
      </c>
      <c r="C453" t="s">
        <v>162</v>
      </c>
      <c r="D453" t="s">
        <v>128</v>
      </c>
      <c r="E453" t="s">
        <v>377</v>
      </c>
      <c r="F453" t="s">
        <v>383</v>
      </c>
      <c r="G453" t="s">
        <v>333</v>
      </c>
      <c r="H453" t="s">
        <v>333</v>
      </c>
      <c r="I453" t="s">
        <v>743</v>
      </c>
      <c r="J453" t="s">
        <v>744</v>
      </c>
      <c r="K453" t="s">
        <v>546</v>
      </c>
      <c r="L453" s="784" t="s">
        <v>575</v>
      </c>
      <c r="M453" t="s">
        <v>745</v>
      </c>
      <c r="P453" t="s">
        <v>1887</v>
      </c>
      <c r="Q453" t="s">
        <v>575</v>
      </c>
      <c r="R453" t="s">
        <v>150</v>
      </c>
      <c r="S453" t="s">
        <v>145</v>
      </c>
      <c r="U453">
        <v>0</v>
      </c>
      <c r="V453" t="s">
        <v>544</v>
      </c>
      <c r="W453" t="s">
        <v>548</v>
      </c>
      <c r="X453" s="784">
        <v>1131865946.5875781</v>
      </c>
    </row>
    <row r="454" spans="1:24">
      <c r="A454" t="s">
        <v>358</v>
      </c>
      <c r="B454" t="s">
        <v>549</v>
      </c>
      <c r="C454" t="s">
        <v>163</v>
      </c>
      <c r="D454" t="s">
        <v>130</v>
      </c>
      <c r="E454" t="s">
        <v>377</v>
      </c>
      <c r="F454" t="s">
        <v>383</v>
      </c>
      <c r="G454" t="s">
        <v>333</v>
      </c>
      <c r="H454" t="s">
        <v>333</v>
      </c>
      <c r="I454" t="s">
        <v>743</v>
      </c>
      <c r="J454" t="s">
        <v>744</v>
      </c>
      <c r="K454" t="s">
        <v>546</v>
      </c>
      <c r="L454" s="784" t="s">
        <v>575</v>
      </c>
      <c r="M454" t="s">
        <v>745</v>
      </c>
      <c r="P454" t="s">
        <v>1887</v>
      </c>
      <c r="Q454" t="s">
        <v>575</v>
      </c>
      <c r="R454" t="s">
        <v>550</v>
      </c>
      <c r="S454" t="s">
        <v>146</v>
      </c>
      <c r="U454">
        <v>0</v>
      </c>
      <c r="V454" t="s">
        <v>541</v>
      </c>
      <c r="W454" t="s">
        <v>575</v>
      </c>
      <c r="X454" s="784">
        <v>46777779.823447868</v>
      </c>
    </row>
    <row r="455" spans="1:24">
      <c r="A455" t="s">
        <v>358</v>
      </c>
      <c r="B455" t="s">
        <v>551</v>
      </c>
      <c r="C455" t="s">
        <v>164</v>
      </c>
      <c r="D455" t="s">
        <v>130</v>
      </c>
      <c r="E455" t="s">
        <v>377</v>
      </c>
      <c r="F455" t="s">
        <v>383</v>
      </c>
      <c r="G455" t="s">
        <v>333</v>
      </c>
      <c r="H455" t="s">
        <v>333</v>
      </c>
      <c r="I455" t="s">
        <v>743</v>
      </c>
      <c r="J455" t="s">
        <v>744</v>
      </c>
      <c r="K455" t="s">
        <v>546</v>
      </c>
      <c r="L455" s="784" t="s">
        <v>575</v>
      </c>
      <c r="M455" t="s">
        <v>745</v>
      </c>
      <c r="P455" t="s">
        <v>1887</v>
      </c>
      <c r="Q455" t="s">
        <v>575</v>
      </c>
      <c r="R455" t="s">
        <v>152</v>
      </c>
      <c r="S455" t="s">
        <v>146</v>
      </c>
      <c r="U455">
        <v>0</v>
      </c>
      <c r="V455" t="s">
        <v>544</v>
      </c>
      <c r="W455" t="s">
        <v>575</v>
      </c>
      <c r="X455" s="784">
        <v>30725305777.596794</v>
      </c>
    </row>
    <row r="456" spans="1:24">
      <c r="A456" t="s">
        <v>358</v>
      </c>
      <c r="B456" t="s">
        <v>553</v>
      </c>
      <c r="C456" t="s">
        <v>165</v>
      </c>
      <c r="D456" t="s">
        <v>127</v>
      </c>
      <c r="E456" t="s">
        <v>377</v>
      </c>
      <c r="F456" t="s">
        <v>383</v>
      </c>
      <c r="G456" t="s">
        <v>333</v>
      </c>
      <c r="H456" t="s">
        <v>333</v>
      </c>
      <c r="I456" t="s">
        <v>743</v>
      </c>
      <c r="J456" t="s">
        <v>744</v>
      </c>
      <c r="K456" t="s">
        <v>546</v>
      </c>
      <c r="L456" s="784" t="s">
        <v>575</v>
      </c>
      <c r="M456" t="s">
        <v>745</v>
      </c>
      <c r="P456" t="s">
        <v>1887</v>
      </c>
      <c r="Q456" t="s">
        <v>575</v>
      </c>
      <c r="R456" t="s">
        <v>152</v>
      </c>
      <c r="S456" t="s">
        <v>146</v>
      </c>
      <c r="U456">
        <v>0</v>
      </c>
      <c r="V456" t="s">
        <v>544</v>
      </c>
      <c r="W456" t="s">
        <v>575</v>
      </c>
      <c r="X456" s="784">
        <v>153815827.8380394</v>
      </c>
    </row>
    <row r="457" spans="1:24">
      <c r="A457" t="s">
        <v>358</v>
      </c>
      <c r="B457" t="s">
        <v>554</v>
      </c>
      <c r="C457" t="s">
        <v>166</v>
      </c>
      <c r="D457" t="s">
        <v>127</v>
      </c>
      <c r="E457" t="s">
        <v>377</v>
      </c>
      <c r="F457" t="s">
        <v>383</v>
      </c>
      <c r="G457" t="s">
        <v>333</v>
      </c>
      <c r="H457" t="s">
        <v>333</v>
      </c>
      <c r="I457" t="s">
        <v>743</v>
      </c>
      <c r="J457" t="s">
        <v>744</v>
      </c>
      <c r="K457" t="s">
        <v>546</v>
      </c>
      <c r="L457" s="784" t="s">
        <v>575</v>
      </c>
      <c r="M457" t="s">
        <v>745</v>
      </c>
      <c r="P457" t="s">
        <v>1887</v>
      </c>
      <c r="Q457" t="s">
        <v>575</v>
      </c>
      <c r="R457" t="s">
        <v>152</v>
      </c>
      <c r="S457" t="s">
        <v>146</v>
      </c>
      <c r="U457">
        <v>0</v>
      </c>
      <c r="V457" t="s">
        <v>544</v>
      </c>
      <c r="W457" t="s">
        <v>546</v>
      </c>
      <c r="X457" s="784">
        <v>437525105.31216973</v>
      </c>
    </row>
    <row r="458" spans="1:24">
      <c r="A458" t="s">
        <v>358</v>
      </c>
      <c r="B458" t="s">
        <v>555</v>
      </c>
      <c r="C458" t="s">
        <v>556</v>
      </c>
      <c r="D458" t="s">
        <v>130</v>
      </c>
      <c r="E458" t="s">
        <v>377</v>
      </c>
      <c r="F458" t="s">
        <v>383</v>
      </c>
      <c r="G458" t="s">
        <v>333</v>
      </c>
      <c r="H458" t="s">
        <v>333</v>
      </c>
      <c r="I458" t="s">
        <v>743</v>
      </c>
      <c r="J458" t="s">
        <v>744</v>
      </c>
      <c r="K458" t="s">
        <v>546</v>
      </c>
      <c r="L458" s="784" t="s">
        <v>575</v>
      </c>
      <c r="M458" t="s">
        <v>745</v>
      </c>
      <c r="P458" t="s">
        <v>1887</v>
      </c>
      <c r="Q458" t="s">
        <v>575</v>
      </c>
      <c r="R458" t="s">
        <v>550</v>
      </c>
      <c r="S458" t="s">
        <v>146</v>
      </c>
      <c r="U458">
        <v>0</v>
      </c>
      <c r="V458" t="s">
        <v>541</v>
      </c>
      <c r="W458" t="s">
        <v>575</v>
      </c>
      <c r="X458" s="784">
        <v>149463302.00602186</v>
      </c>
    </row>
    <row r="459" spans="1:24">
      <c r="A459" t="s">
        <v>358</v>
      </c>
      <c r="B459" t="s">
        <v>557</v>
      </c>
      <c r="C459" t="s">
        <v>167</v>
      </c>
      <c r="D459" t="s">
        <v>132</v>
      </c>
      <c r="E459" t="s">
        <v>377</v>
      </c>
      <c r="F459" t="s">
        <v>383</v>
      </c>
      <c r="G459" t="s">
        <v>333</v>
      </c>
      <c r="H459" t="s">
        <v>333</v>
      </c>
      <c r="I459" t="s">
        <v>743</v>
      </c>
      <c r="J459" t="s">
        <v>744</v>
      </c>
      <c r="K459" t="s">
        <v>546</v>
      </c>
      <c r="L459" s="784">
        <v>893080000</v>
      </c>
      <c r="M459" t="s">
        <v>745</v>
      </c>
      <c r="P459" t="s">
        <v>1887</v>
      </c>
      <c r="Q459" t="s">
        <v>406</v>
      </c>
      <c r="R459" t="s">
        <v>150</v>
      </c>
      <c r="S459" t="s">
        <v>145</v>
      </c>
      <c r="U459">
        <v>0</v>
      </c>
      <c r="V459" t="s">
        <v>544</v>
      </c>
      <c r="W459" t="s">
        <v>558</v>
      </c>
      <c r="X459" s="784">
        <v>1148322593.9600098</v>
      </c>
    </row>
    <row r="460" spans="1:24">
      <c r="A460" t="s">
        <v>358</v>
      </c>
      <c r="B460" t="s">
        <v>559</v>
      </c>
      <c r="C460" t="s">
        <v>168</v>
      </c>
      <c r="D460" t="s">
        <v>127</v>
      </c>
      <c r="E460" t="s">
        <v>377</v>
      </c>
      <c r="F460" t="s">
        <v>383</v>
      </c>
      <c r="G460" t="s">
        <v>333</v>
      </c>
      <c r="H460" t="s">
        <v>333</v>
      </c>
      <c r="I460" t="s">
        <v>743</v>
      </c>
      <c r="J460" t="s">
        <v>744</v>
      </c>
      <c r="K460" t="s">
        <v>546</v>
      </c>
      <c r="L460" s="784" t="s">
        <v>575</v>
      </c>
      <c r="M460" t="s">
        <v>745</v>
      </c>
      <c r="P460" t="s">
        <v>1887</v>
      </c>
      <c r="Q460" t="s">
        <v>575</v>
      </c>
      <c r="R460" t="s">
        <v>152</v>
      </c>
      <c r="S460" t="s">
        <v>146</v>
      </c>
      <c r="U460">
        <v>0</v>
      </c>
      <c r="V460" t="s">
        <v>544</v>
      </c>
      <c r="W460" t="s">
        <v>575</v>
      </c>
      <c r="X460" s="784">
        <v>2371102058.1093163</v>
      </c>
    </row>
    <row r="461" spans="1:24">
      <c r="A461" t="s">
        <v>358</v>
      </c>
      <c r="B461" t="s">
        <v>560</v>
      </c>
      <c r="C461" t="s">
        <v>169</v>
      </c>
      <c r="D461" t="s">
        <v>130</v>
      </c>
      <c r="E461" t="s">
        <v>377</v>
      </c>
      <c r="F461" t="s">
        <v>383</v>
      </c>
      <c r="G461" t="s">
        <v>333</v>
      </c>
      <c r="H461" t="s">
        <v>333</v>
      </c>
      <c r="I461" t="s">
        <v>743</v>
      </c>
      <c r="J461" t="s">
        <v>744</v>
      </c>
      <c r="K461" t="s">
        <v>546</v>
      </c>
      <c r="L461" s="784" t="s">
        <v>575</v>
      </c>
      <c r="M461" t="s">
        <v>745</v>
      </c>
      <c r="P461" t="s">
        <v>1887</v>
      </c>
      <c r="Q461" t="s">
        <v>575</v>
      </c>
      <c r="R461" t="s">
        <v>150</v>
      </c>
      <c r="S461" t="s">
        <v>146</v>
      </c>
      <c r="U461">
        <v>0</v>
      </c>
      <c r="V461" t="s">
        <v>541</v>
      </c>
      <c r="W461" t="s">
        <v>546</v>
      </c>
      <c r="X461" s="784">
        <v>75151620.005215243</v>
      </c>
    </row>
    <row r="462" spans="1:24">
      <c r="A462" t="s">
        <v>358</v>
      </c>
      <c r="B462" t="s">
        <v>561</v>
      </c>
      <c r="C462" t="s">
        <v>170</v>
      </c>
      <c r="D462" t="s">
        <v>129</v>
      </c>
      <c r="E462" t="s">
        <v>377</v>
      </c>
      <c r="F462" t="s">
        <v>383</v>
      </c>
      <c r="G462" t="s">
        <v>333</v>
      </c>
      <c r="H462" t="s">
        <v>333</v>
      </c>
      <c r="I462" t="s">
        <v>743</v>
      </c>
      <c r="J462" t="s">
        <v>744</v>
      </c>
      <c r="K462" t="s">
        <v>546</v>
      </c>
      <c r="L462" s="784" t="s">
        <v>575</v>
      </c>
      <c r="M462" t="s">
        <v>745</v>
      </c>
      <c r="P462" t="s">
        <v>1887</v>
      </c>
      <c r="Q462" t="s">
        <v>575</v>
      </c>
      <c r="R462" t="s">
        <v>150</v>
      </c>
      <c r="S462" t="s">
        <v>145</v>
      </c>
      <c r="U462">
        <v>0</v>
      </c>
      <c r="V462" t="s">
        <v>544</v>
      </c>
      <c r="W462" t="s">
        <v>562</v>
      </c>
      <c r="X462" s="784">
        <v>69958487.197715744</v>
      </c>
    </row>
    <row r="463" spans="1:24">
      <c r="A463" t="s">
        <v>358</v>
      </c>
      <c r="B463" t="s">
        <v>563</v>
      </c>
      <c r="C463" t="s">
        <v>171</v>
      </c>
      <c r="D463" t="s">
        <v>132</v>
      </c>
      <c r="E463" t="s">
        <v>377</v>
      </c>
      <c r="F463" t="s">
        <v>383</v>
      </c>
      <c r="G463" t="s">
        <v>333</v>
      </c>
      <c r="H463" t="s">
        <v>333</v>
      </c>
      <c r="I463" t="s">
        <v>743</v>
      </c>
      <c r="J463" t="s">
        <v>744</v>
      </c>
      <c r="K463" t="s">
        <v>546</v>
      </c>
      <c r="L463" s="784">
        <v>0</v>
      </c>
      <c r="M463" t="s">
        <v>745</v>
      </c>
      <c r="P463" t="s">
        <v>1887</v>
      </c>
      <c r="Q463" t="s">
        <v>838</v>
      </c>
      <c r="R463" t="s">
        <v>150</v>
      </c>
      <c r="S463" t="s">
        <v>145</v>
      </c>
      <c r="U463">
        <v>0</v>
      </c>
      <c r="V463" t="s">
        <v>544</v>
      </c>
      <c r="W463" t="s">
        <v>548</v>
      </c>
      <c r="X463" s="784">
        <v>61654608.560629159</v>
      </c>
    </row>
    <row r="464" spans="1:24">
      <c r="A464" t="s">
        <v>358</v>
      </c>
      <c r="B464" t="s">
        <v>564</v>
      </c>
      <c r="C464" t="s">
        <v>172</v>
      </c>
      <c r="D464" t="s">
        <v>130</v>
      </c>
      <c r="E464" t="s">
        <v>377</v>
      </c>
      <c r="F464" t="s">
        <v>383</v>
      </c>
      <c r="G464" t="s">
        <v>333</v>
      </c>
      <c r="H464" t="s">
        <v>333</v>
      </c>
      <c r="I464" t="s">
        <v>743</v>
      </c>
      <c r="J464" t="s">
        <v>744</v>
      </c>
      <c r="K464" t="s">
        <v>546</v>
      </c>
      <c r="L464" s="784" t="s">
        <v>575</v>
      </c>
      <c r="M464" t="s">
        <v>745</v>
      </c>
      <c r="P464" t="s">
        <v>1887</v>
      </c>
      <c r="Q464" t="s">
        <v>575</v>
      </c>
      <c r="R464" t="s">
        <v>150</v>
      </c>
      <c r="S464" t="s">
        <v>145</v>
      </c>
      <c r="U464">
        <v>0</v>
      </c>
      <c r="V464" t="s">
        <v>544</v>
      </c>
      <c r="W464" t="s">
        <v>546</v>
      </c>
      <c r="X464" s="784">
        <v>1806638707.7615163</v>
      </c>
    </row>
    <row r="465" spans="1:24">
      <c r="A465" t="s">
        <v>358</v>
      </c>
      <c r="B465" t="s">
        <v>565</v>
      </c>
      <c r="C465" t="s">
        <v>174</v>
      </c>
      <c r="D465" t="s">
        <v>127</v>
      </c>
      <c r="E465" t="s">
        <v>377</v>
      </c>
      <c r="F465" t="s">
        <v>383</v>
      </c>
      <c r="G465" t="s">
        <v>333</v>
      </c>
      <c r="H465" t="s">
        <v>333</v>
      </c>
      <c r="I465" t="s">
        <v>743</v>
      </c>
      <c r="J465" t="s">
        <v>744</v>
      </c>
      <c r="K465" t="s">
        <v>546</v>
      </c>
      <c r="L465" s="784" t="s">
        <v>575</v>
      </c>
      <c r="M465" t="s">
        <v>745</v>
      </c>
      <c r="P465" t="s">
        <v>1887</v>
      </c>
      <c r="Q465" t="s">
        <v>575</v>
      </c>
      <c r="R465" t="s">
        <v>152</v>
      </c>
      <c r="S465" t="s">
        <v>146</v>
      </c>
      <c r="U465">
        <v>0</v>
      </c>
      <c r="V465" t="s">
        <v>544</v>
      </c>
      <c r="W465" t="s">
        <v>546</v>
      </c>
      <c r="X465" s="784">
        <v>1252696525.0627904</v>
      </c>
    </row>
    <row r="466" spans="1:24">
      <c r="A466" t="s">
        <v>358</v>
      </c>
      <c r="B466" t="s">
        <v>566</v>
      </c>
      <c r="C466" t="s">
        <v>175</v>
      </c>
      <c r="D466" t="s">
        <v>128</v>
      </c>
      <c r="E466" t="s">
        <v>377</v>
      </c>
      <c r="F466" t="s">
        <v>383</v>
      </c>
      <c r="G466" t="s">
        <v>333</v>
      </c>
      <c r="H466" t="s">
        <v>333</v>
      </c>
      <c r="I466" t="s">
        <v>743</v>
      </c>
      <c r="J466" t="s">
        <v>744</v>
      </c>
      <c r="K466" t="s">
        <v>546</v>
      </c>
      <c r="L466" s="784" t="s">
        <v>575</v>
      </c>
      <c r="M466" t="s">
        <v>745</v>
      </c>
      <c r="P466" t="s">
        <v>1887</v>
      </c>
      <c r="Q466" t="s">
        <v>575</v>
      </c>
      <c r="R466" t="s">
        <v>152</v>
      </c>
      <c r="S466" t="s">
        <v>146</v>
      </c>
      <c r="U466">
        <v>0</v>
      </c>
      <c r="V466" t="s">
        <v>544</v>
      </c>
      <c r="W466" t="s">
        <v>575</v>
      </c>
      <c r="X466" s="784">
        <v>843425084.07334602</v>
      </c>
    </row>
    <row r="467" spans="1:24">
      <c r="A467" t="s">
        <v>358</v>
      </c>
      <c r="B467" t="s">
        <v>567</v>
      </c>
      <c r="C467" t="s">
        <v>144</v>
      </c>
      <c r="D467" t="s">
        <v>130</v>
      </c>
      <c r="E467" t="s">
        <v>377</v>
      </c>
      <c r="F467" t="s">
        <v>383</v>
      </c>
      <c r="G467" t="s">
        <v>333</v>
      </c>
      <c r="H467" t="s">
        <v>333</v>
      </c>
      <c r="I467" t="s">
        <v>743</v>
      </c>
      <c r="J467" t="s">
        <v>744</v>
      </c>
      <c r="K467" t="s">
        <v>546</v>
      </c>
      <c r="L467" s="784" t="s">
        <v>575</v>
      </c>
      <c r="M467" t="s">
        <v>745</v>
      </c>
      <c r="P467" t="s">
        <v>1887</v>
      </c>
      <c r="Q467" t="s">
        <v>575</v>
      </c>
      <c r="R467" t="s">
        <v>152</v>
      </c>
      <c r="S467" t="s">
        <v>146</v>
      </c>
      <c r="U467">
        <v>0</v>
      </c>
      <c r="V467" t="s">
        <v>544</v>
      </c>
      <c r="W467" t="s">
        <v>546</v>
      </c>
      <c r="X467" s="784">
        <v>74055620038.853683</v>
      </c>
    </row>
    <row r="468" spans="1:24">
      <c r="A468" t="s">
        <v>358</v>
      </c>
      <c r="B468" t="s">
        <v>568</v>
      </c>
      <c r="C468" t="s">
        <v>176</v>
      </c>
      <c r="D468" t="s">
        <v>127</v>
      </c>
      <c r="E468" t="s">
        <v>377</v>
      </c>
      <c r="F468" t="s">
        <v>383</v>
      </c>
      <c r="G468" t="s">
        <v>333</v>
      </c>
      <c r="H468" t="s">
        <v>333</v>
      </c>
      <c r="I468" t="s">
        <v>743</v>
      </c>
      <c r="J468" t="s">
        <v>744</v>
      </c>
      <c r="K468" t="s">
        <v>546</v>
      </c>
      <c r="L468" s="784" t="s">
        <v>575</v>
      </c>
      <c r="M468" t="s">
        <v>745</v>
      </c>
      <c r="P468" t="s">
        <v>1887</v>
      </c>
      <c r="Q468" t="s">
        <v>575</v>
      </c>
      <c r="R468" t="s">
        <v>152</v>
      </c>
      <c r="S468" t="s">
        <v>146</v>
      </c>
      <c r="U468">
        <v>0</v>
      </c>
      <c r="V468" t="s">
        <v>544</v>
      </c>
      <c r="W468" t="s">
        <v>575</v>
      </c>
      <c r="X468" s="784">
        <v>2803357765.5888777</v>
      </c>
    </row>
    <row r="469" spans="1:24">
      <c r="A469" t="s">
        <v>358</v>
      </c>
      <c r="B469" t="s">
        <v>569</v>
      </c>
      <c r="C469" t="s">
        <v>177</v>
      </c>
      <c r="D469" t="s">
        <v>129</v>
      </c>
      <c r="E469" t="s">
        <v>377</v>
      </c>
      <c r="F469" t="s">
        <v>383</v>
      </c>
      <c r="G469" t="s">
        <v>333</v>
      </c>
      <c r="H469" t="s">
        <v>333</v>
      </c>
      <c r="I469" t="s">
        <v>743</v>
      </c>
      <c r="J469" t="s">
        <v>744</v>
      </c>
      <c r="K469" t="s">
        <v>546</v>
      </c>
      <c r="L469" s="784" t="s">
        <v>575</v>
      </c>
      <c r="M469" t="s">
        <v>745</v>
      </c>
      <c r="P469" t="s">
        <v>1887</v>
      </c>
      <c r="Q469" t="s">
        <v>575</v>
      </c>
      <c r="R469" t="s">
        <v>148</v>
      </c>
      <c r="S469" t="s">
        <v>145</v>
      </c>
      <c r="U469">
        <v>2</v>
      </c>
      <c r="V469" t="s">
        <v>544</v>
      </c>
      <c r="W469" t="s">
        <v>562</v>
      </c>
      <c r="X469" s="784">
        <v>337927779.25510043</v>
      </c>
    </row>
    <row r="470" spans="1:24">
      <c r="A470" t="s">
        <v>358</v>
      </c>
      <c r="B470" t="s">
        <v>570</v>
      </c>
      <c r="C470" t="s">
        <v>178</v>
      </c>
      <c r="D470" t="s">
        <v>128</v>
      </c>
      <c r="E470" t="s">
        <v>377</v>
      </c>
      <c r="F470" t="s">
        <v>383</v>
      </c>
      <c r="G470" t="s">
        <v>333</v>
      </c>
      <c r="H470" t="s">
        <v>333</v>
      </c>
      <c r="I470" t="s">
        <v>743</v>
      </c>
      <c r="J470" t="s">
        <v>744</v>
      </c>
      <c r="K470" t="s">
        <v>546</v>
      </c>
      <c r="L470" s="784" t="s">
        <v>575</v>
      </c>
      <c r="M470" t="s">
        <v>745</v>
      </c>
      <c r="P470" t="s">
        <v>1887</v>
      </c>
      <c r="Q470" t="s">
        <v>575</v>
      </c>
      <c r="R470" t="s">
        <v>148</v>
      </c>
      <c r="S470" t="s">
        <v>145</v>
      </c>
      <c r="U470">
        <v>2</v>
      </c>
      <c r="V470" t="s">
        <v>544</v>
      </c>
      <c r="W470" t="s">
        <v>548</v>
      </c>
      <c r="X470" s="784">
        <v>65979512.47399316</v>
      </c>
    </row>
    <row r="471" spans="1:24">
      <c r="A471" t="s">
        <v>358</v>
      </c>
      <c r="B471" t="s">
        <v>571</v>
      </c>
      <c r="C471" t="s">
        <v>179</v>
      </c>
      <c r="D471" t="s">
        <v>129</v>
      </c>
      <c r="E471" t="s">
        <v>377</v>
      </c>
      <c r="F471" t="s">
        <v>383</v>
      </c>
      <c r="G471" t="s">
        <v>333</v>
      </c>
      <c r="H471" t="s">
        <v>333</v>
      </c>
      <c r="I471" t="s">
        <v>743</v>
      </c>
      <c r="J471" t="s">
        <v>744</v>
      </c>
      <c r="K471" t="s">
        <v>546</v>
      </c>
      <c r="L471" s="784" t="s">
        <v>575</v>
      </c>
      <c r="M471" t="s">
        <v>745</v>
      </c>
      <c r="P471" t="s">
        <v>1887</v>
      </c>
      <c r="Q471" t="s">
        <v>575</v>
      </c>
      <c r="R471" t="s">
        <v>150</v>
      </c>
      <c r="S471" t="s">
        <v>145</v>
      </c>
      <c r="U471">
        <v>0</v>
      </c>
      <c r="V471" t="s">
        <v>541</v>
      </c>
      <c r="W471" t="s">
        <v>542</v>
      </c>
      <c r="X471" s="784">
        <v>63748362.778827004</v>
      </c>
    </row>
    <row r="472" spans="1:24">
      <c r="A472" t="s">
        <v>358</v>
      </c>
      <c r="B472" t="s">
        <v>572</v>
      </c>
      <c r="C472" t="s">
        <v>180</v>
      </c>
      <c r="D472" t="s">
        <v>126</v>
      </c>
      <c r="E472" t="s">
        <v>377</v>
      </c>
      <c r="F472" t="s">
        <v>383</v>
      </c>
      <c r="G472" t="s">
        <v>333</v>
      </c>
      <c r="H472" t="s">
        <v>333</v>
      </c>
      <c r="I472" t="s">
        <v>743</v>
      </c>
      <c r="J472" t="s">
        <v>744</v>
      </c>
      <c r="K472" t="s">
        <v>546</v>
      </c>
      <c r="L472" s="784">
        <v>0</v>
      </c>
      <c r="M472" t="s">
        <v>745</v>
      </c>
      <c r="P472" t="s">
        <v>1887</v>
      </c>
      <c r="Q472" t="s">
        <v>838</v>
      </c>
      <c r="R472" t="s">
        <v>150</v>
      </c>
      <c r="S472" t="s">
        <v>145</v>
      </c>
      <c r="U472">
        <v>0</v>
      </c>
      <c r="V472" t="s">
        <v>544</v>
      </c>
      <c r="W472" t="s">
        <v>558</v>
      </c>
      <c r="X472" s="784">
        <v>313039649.45369786</v>
      </c>
    </row>
    <row r="473" spans="1:24">
      <c r="A473" t="s">
        <v>358</v>
      </c>
      <c r="B473" t="s">
        <v>573</v>
      </c>
      <c r="C473" t="s">
        <v>181</v>
      </c>
      <c r="D473" t="s">
        <v>129</v>
      </c>
      <c r="E473" t="s">
        <v>377</v>
      </c>
      <c r="F473" t="s">
        <v>383</v>
      </c>
      <c r="G473" t="s">
        <v>333</v>
      </c>
      <c r="H473" t="s">
        <v>333</v>
      </c>
      <c r="I473" t="s">
        <v>743</v>
      </c>
      <c r="J473" t="s">
        <v>744</v>
      </c>
      <c r="K473" t="s">
        <v>546</v>
      </c>
      <c r="L473" s="784" t="s">
        <v>575</v>
      </c>
      <c r="M473" t="s">
        <v>745</v>
      </c>
      <c r="P473" t="s">
        <v>1887</v>
      </c>
      <c r="Q473" t="s">
        <v>575</v>
      </c>
      <c r="R473" t="s">
        <v>150</v>
      </c>
      <c r="S473" t="s">
        <v>145</v>
      </c>
      <c r="U473">
        <v>2</v>
      </c>
      <c r="V473" t="s">
        <v>544</v>
      </c>
      <c r="W473" t="s">
        <v>542</v>
      </c>
      <c r="X473" s="784">
        <v>81361801.477472037</v>
      </c>
    </row>
    <row r="474" spans="1:24">
      <c r="A474" t="s">
        <v>358</v>
      </c>
      <c r="B474" t="s">
        <v>574</v>
      </c>
      <c r="C474" t="s">
        <v>182</v>
      </c>
      <c r="D474" t="s">
        <v>129</v>
      </c>
      <c r="E474" t="s">
        <v>377</v>
      </c>
      <c r="F474" t="s">
        <v>383</v>
      </c>
      <c r="G474" t="s">
        <v>333</v>
      </c>
      <c r="H474" t="s">
        <v>333</v>
      </c>
      <c r="I474" t="s">
        <v>743</v>
      </c>
      <c r="J474" t="s">
        <v>744</v>
      </c>
      <c r="K474" t="s">
        <v>546</v>
      </c>
      <c r="L474" s="784" t="s">
        <v>575</v>
      </c>
      <c r="M474" t="s">
        <v>745</v>
      </c>
      <c r="P474" t="s">
        <v>1887</v>
      </c>
      <c r="Q474" t="s">
        <v>575</v>
      </c>
      <c r="R474" t="s">
        <v>148</v>
      </c>
      <c r="S474" t="s">
        <v>145</v>
      </c>
      <c r="U474">
        <v>1</v>
      </c>
      <c r="V474" t="s">
        <v>544</v>
      </c>
      <c r="W474" t="s">
        <v>542</v>
      </c>
      <c r="X474" s="784" t="s">
        <v>575</v>
      </c>
    </row>
    <row r="475" spans="1:24">
      <c r="A475" t="s">
        <v>358</v>
      </c>
      <c r="B475" t="s">
        <v>576</v>
      </c>
      <c r="C475" t="s">
        <v>183</v>
      </c>
      <c r="D475" t="s">
        <v>129</v>
      </c>
      <c r="E475" t="s">
        <v>377</v>
      </c>
      <c r="F475" t="s">
        <v>383</v>
      </c>
      <c r="G475" t="s">
        <v>333</v>
      </c>
      <c r="H475" t="s">
        <v>333</v>
      </c>
      <c r="I475" t="s">
        <v>743</v>
      </c>
      <c r="J475" t="s">
        <v>744</v>
      </c>
      <c r="K475" t="s">
        <v>546</v>
      </c>
      <c r="L475" s="784" t="s">
        <v>575</v>
      </c>
      <c r="M475" t="s">
        <v>745</v>
      </c>
      <c r="P475" t="s">
        <v>1887</v>
      </c>
      <c r="Q475" t="s">
        <v>575</v>
      </c>
      <c r="R475" t="s">
        <v>148</v>
      </c>
      <c r="S475" t="s">
        <v>145</v>
      </c>
      <c r="U475">
        <v>1</v>
      </c>
      <c r="V475" t="s">
        <v>544</v>
      </c>
      <c r="W475" t="s">
        <v>542</v>
      </c>
      <c r="X475" s="784">
        <v>76939306.715636879</v>
      </c>
    </row>
    <row r="476" spans="1:24">
      <c r="A476" t="s">
        <v>358</v>
      </c>
      <c r="B476" t="s">
        <v>577</v>
      </c>
      <c r="C476" t="s">
        <v>184</v>
      </c>
      <c r="D476" t="s">
        <v>130</v>
      </c>
      <c r="E476" t="s">
        <v>377</v>
      </c>
      <c r="F476" t="s">
        <v>383</v>
      </c>
      <c r="G476" t="s">
        <v>333</v>
      </c>
      <c r="H476" t="s">
        <v>333</v>
      </c>
      <c r="I476" t="s">
        <v>743</v>
      </c>
      <c r="J476" t="s">
        <v>744</v>
      </c>
      <c r="K476" t="s">
        <v>546</v>
      </c>
      <c r="L476" s="784" t="s">
        <v>575</v>
      </c>
      <c r="M476" t="s">
        <v>745</v>
      </c>
      <c r="P476" t="s">
        <v>1887</v>
      </c>
      <c r="Q476" t="s">
        <v>575</v>
      </c>
      <c r="R476" t="s">
        <v>550</v>
      </c>
      <c r="S476" t="s">
        <v>146</v>
      </c>
      <c r="U476">
        <v>0</v>
      </c>
      <c r="V476" t="s">
        <v>544</v>
      </c>
      <c r="W476" t="s">
        <v>575</v>
      </c>
      <c r="X476" s="784">
        <v>13859708717.682571</v>
      </c>
    </row>
    <row r="477" spans="1:24">
      <c r="A477" t="s">
        <v>358</v>
      </c>
      <c r="B477" t="s">
        <v>578</v>
      </c>
      <c r="C477" t="s">
        <v>185</v>
      </c>
      <c r="D477" t="s">
        <v>126</v>
      </c>
      <c r="E477" t="s">
        <v>377</v>
      </c>
      <c r="F477" t="s">
        <v>383</v>
      </c>
      <c r="G477" t="s">
        <v>333</v>
      </c>
      <c r="H477" t="s">
        <v>333</v>
      </c>
      <c r="I477" t="s">
        <v>743</v>
      </c>
      <c r="J477" t="s">
        <v>744</v>
      </c>
      <c r="K477" t="s">
        <v>546</v>
      </c>
      <c r="L477" s="784" t="s">
        <v>575</v>
      </c>
      <c r="M477" t="s">
        <v>745</v>
      </c>
      <c r="P477" t="s">
        <v>1887</v>
      </c>
      <c r="Q477" t="s">
        <v>575</v>
      </c>
      <c r="R477" t="s">
        <v>152</v>
      </c>
      <c r="S477" t="s">
        <v>146</v>
      </c>
      <c r="U477">
        <v>0</v>
      </c>
      <c r="V477" t="s">
        <v>544</v>
      </c>
      <c r="W477" t="s">
        <v>575</v>
      </c>
      <c r="X477" s="784">
        <v>403567160707.7016</v>
      </c>
    </row>
    <row r="478" spans="1:24">
      <c r="A478" t="s">
        <v>358</v>
      </c>
      <c r="B478" t="s">
        <v>579</v>
      </c>
      <c r="C478" t="s">
        <v>186</v>
      </c>
      <c r="D478" t="s">
        <v>130</v>
      </c>
      <c r="E478" t="s">
        <v>377</v>
      </c>
      <c r="F478" t="s">
        <v>383</v>
      </c>
      <c r="G478" t="s">
        <v>333</v>
      </c>
      <c r="H478" t="s">
        <v>333</v>
      </c>
      <c r="I478" t="s">
        <v>743</v>
      </c>
      <c r="J478" t="s">
        <v>744</v>
      </c>
      <c r="K478" t="s">
        <v>546</v>
      </c>
      <c r="L478" s="784" t="s">
        <v>575</v>
      </c>
      <c r="M478" t="s">
        <v>745</v>
      </c>
      <c r="P478" t="s">
        <v>1887</v>
      </c>
      <c r="Q478" t="s">
        <v>575</v>
      </c>
      <c r="R478" t="s">
        <v>152</v>
      </c>
      <c r="S478" t="s">
        <v>146</v>
      </c>
      <c r="U478">
        <v>0</v>
      </c>
      <c r="V478" t="s">
        <v>544</v>
      </c>
      <c r="W478" t="s">
        <v>575</v>
      </c>
      <c r="X478" s="784">
        <v>18250225995.972618</v>
      </c>
    </row>
    <row r="479" spans="1:24">
      <c r="A479" t="s">
        <v>358</v>
      </c>
      <c r="B479" t="s">
        <v>580</v>
      </c>
      <c r="C479" t="s">
        <v>187</v>
      </c>
      <c r="D479" t="s">
        <v>128</v>
      </c>
      <c r="E479" t="s">
        <v>377</v>
      </c>
      <c r="F479" t="s">
        <v>383</v>
      </c>
      <c r="G479" t="s">
        <v>333</v>
      </c>
      <c r="H479" t="s">
        <v>333</v>
      </c>
      <c r="I479" t="s">
        <v>743</v>
      </c>
      <c r="J479" t="s">
        <v>744</v>
      </c>
      <c r="K479" t="s">
        <v>546</v>
      </c>
      <c r="L479" s="784" t="s">
        <v>575</v>
      </c>
      <c r="M479" t="s">
        <v>745</v>
      </c>
      <c r="P479" t="s">
        <v>1887</v>
      </c>
      <c r="Q479" t="s">
        <v>575</v>
      </c>
      <c r="R479" t="s">
        <v>150</v>
      </c>
      <c r="S479" t="s">
        <v>145</v>
      </c>
      <c r="U479">
        <v>0</v>
      </c>
      <c r="V479" t="s">
        <v>541</v>
      </c>
      <c r="W479" t="s">
        <v>562</v>
      </c>
      <c r="X479" s="784">
        <v>5027591.1682657599</v>
      </c>
    </row>
    <row r="480" spans="1:24">
      <c r="A480" t="s">
        <v>358</v>
      </c>
      <c r="B480" t="s">
        <v>581</v>
      </c>
      <c r="C480" t="s">
        <v>188</v>
      </c>
      <c r="D480" t="s">
        <v>129</v>
      </c>
      <c r="E480" t="s">
        <v>377</v>
      </c>
      <c r="F480" t="s">
        <v>383</v>
      </c>
      <c r="G480" t="s">
        <v>333</v>
      </c>
      <c r="H480" t="s">
        <v>333</v>
      </c>
      <c r="I480" t="s">
        <v>743</v>
      </c>
      <c r="J480" t="s">
        <v>744</v>
      </c>
      <c r="K480" t="s">
        <v>546</v>
      </c>
      <c r="L480" s="784" t="s">
        <v>575</v>
      </c>
      <c r="M480" t="s">
        <v>745</v>
      </c>
      <c r="P480" t="s">
        <v>1887</v>
      </c>
      <c r="Q480" t="s">
        <v>575</v>
      </c>
      <c r="R480" t="s">
        <v>148</v>
      </c>
      <c r="S480" t="s">
        <v>145</v>
      </c>
      <c r="U480">
        <v>3</v>
      </c>
      <c r="V480" t="s">
        <v>544</v>
      </c>
      <c r="W480" t="s">
        <v>562</v>
      </c>
      <c r="X480" s="784">
        <v>234645958.63289919</v>
      </c>
    </row>
    <row r="481" spans="1:24">
      <c r="A481" t="s">
        <v>358</v>
      </c>
      <c r="B481" t="s">
        <v>582</v>
      </c>
      <c r="C481" t="s">
        <v>189</v>
      </c>
      <c r="D481" t="s">
        <v>129</v>
      </c>
      <c r="E481" t="s">
        <v>377</v>
      </c>
      <c r="F481" t="s">
        <v>383</v>
      </c>
      <c r="G481" t="s">
        <v>333</v>
      </c>
      <c r="H481" t="s">
        <v>333</v>
      </c>
      <c r="I481" t="s">
        <v>743</v>
      </c>
      <c r="J481" t="s">
        <v>744</v>
      </c>
      <c r="K481" t="s">
        <v>546</v>
      </c>
      <c r="L481" s="784" t="s">
        <v>575</v>
      </c>
      <c r="M481" t="s">
        <v>745</v>
      </c>
      <c r="P481" t="s">
        <v>1887</v>
      </c>
      <c r="Q481" t="s">
        <v>575</v>
      </c>
      <c r="R481" t="s">
        <v>150</v>
      </c>
      <c r="S481" t="s">
        <v>145</v>
      </c>
      <c r="U481">
        <v>2</v>
      </c>
      <c r="V481" t="s">
        <v>544</v>
      </c>
      <c r="W481" t="s">
        <v>583</v>
      </c>
      <c r="X481" s="784">
        <v>91590910.247314155</v>
      </c>
    </row>
    <row r="482" spans="1:24">
      <c r="A482" t="s">
        <v>358</v>
      </c>
      <c r="B482" t="s">
        <v>584</v>
      </c>
      <c r="C482" t="s">
        <v>190</v>
      </c>
      <c r="D482" t="s">
        <v>126</v>
      </c>
      <c r="E482" t="s">
        <v>377</v>
      </c>
      <c r="F482" t="s">
        <v>383</v>
      </c>
      <c r="G482" t="s">
        <v>333</v>
      </c>
      <c r="H482" t="s">
        <v>333</v>
      </c>
      <c r="I482" t="s">
        <v>743</v>
      </c>
      <c r="J482" t="s">
        <v>744</v>
      </c>
      <c r="K482" t="s">
        <v>546</v>
      </c>
      <c r="L482" s="784" t="s">
        <v>575</v>
      </c>
      <c r="M482" t="s">
        <v>745</v>
      </c>
      <c r="P482" t="s">
        <v>1887</v>
      </c>
      <c r="Q482" t="s">
        <v>575</v>
      </c>
      <c r="R482" t="s">
        <v>322</v>
      </c>
      <c r="S482" t="s">
        <v>146</v>
      </c>
      <c r="U482">
        <v>0</v>
      </c>
      <c r="V482" t="s">
        <v>541</v>
      </c>
      <c r="W482" t="s">
        <v>546</v>
      </c>
      <c r="X482" s="784">
        <v>8560012.8840167802</v>
      </c>
    </row>
    <row r="483" spans="1:24">
      <c r="A483" t="s">
        <v>358</v>
      </c>
      <c r="B483" t="s">
        <v>585</v>
      </c>
      <c r="C483" t="s">
        <v>191</v>
      </c>
      <c r="D483" t="s">
        <v>130</v>
      </c>
      <c r="E483" t="s">
        <v>377</v>
      </c>
      <c r="F483" t="s">
        <v>383</v>
      </c>
      <c r="G483" t="s">
        <v>333</v>
      </c>
      <c r="H483" t="s">
        <v>333</v>
      </c>
      <c r="I483" t="s">
        <v>743</v>
      </c>
      <c r="J483" t="s">
        <v>744</v>
      </c>
      <c r="K483" t="s">
        <v>546</v>
      </c>
      <c r="L483" s="784" t="s">
        <v>575</v>
      </c>
      <c r="M483" t="s">
        <v>745</v>
      </c>
      <c r="P483" t="s">
        <v>1887</v>
      </c>
      <c r="Q483" t="s">
        <v>575</v>
      </c>
      <c r="R483" t="s">
        <v>152</v>
      </c>
      <c r="S483" t="s">
        <v>146</v>
      </c>
      <c r="U483">
        <v>0</v>
      </c>
      <c r="V483" t="s">
        <v>544</v>
      </c>
      <c r="W483" t="s">
        <v>546</v>
      </c>
      <c r="X483" s="784">
        <v>3292372960.3962669</v>
      </c>
    </row>
    <row r="484" spans="1:24">
      <c r="A484" t="s">
        <v>358</v>
      </c>
      <c r="B484" t="s">
        <v>586</v>
      </c>
      <c r="C484" t="s">
        <v>192</v>
      </c>
      <c r="D484" t="s">
        <v>129</v>
      </c>
      <c r="E484" t="s">
        <v>377</v>
      </c>
      <c r="F484" t="s">
        <v>383</v>
      </c>
      <c r="G484" t="s">
        <v>333</v>
      </c>
      <c r="H484" t="s">
        <v>333</v>
      </c>
      <c r="I484" t="s">
        <v>743</v>
      </c>
      <c r="J484" t="s">
        <v>744</v>
      </c>
      <c r="K484" t="s">
        <v>546</v>
      </c>
      <c r="L484" s="784" t="s">
        <v>575</v>
      </c>
      <c r="M484" t="s">
        <v>745</v>
      </c>
      <c r="P484" t="s">
        <v>1887</v>
      </c>
      <c r="Q484" t="s">
        <v>575</v>
      </c>
      <c r="R484" t="s">
        <v>150</v>
      </c>
      <c r="S484" t="s">
        <v>145</v>
      </c>
      <c r="U484">
        <v>0</v>
      </c>
      <c r="V484" t="s">
        <v>544</v>
      </c>
      <c r="W484" t="s">
        <v>562</v>
      </c>
      <c r="X484" s="784">
        <v>519209981.22981054</v>
      </c>
    </row>
    <row r="485" spans="1:24">
      <c r="A485" t="s">
        <v>358</v>
      </c>
      <c r="B485" t="s">
        <v>587</v>
      </c>
      <c r="C485" t="s">
        <v>193</v>
      </c>
      <c r="D485" t="s">
        <v>127</v>
      </c>
      <c r="E485" t="s">
        <v>377</v>
      </c>
      <c r="F485" t="s">
        <v>383</v>
      </c>
      <c r="G485" t="s">
        <v>333</v>
      </c>
      <c r="H485" t="s">
        <v>333</v>
      </c>
      <c r="I485" t="s">
        <v>743</v>
      </c>
      <c r="J485" t="s">
        <v>744</v>
      </c>
      <c r="K485" t="s">
        <v>546</v>
      </c>
      <c r="L485" s="784" t="s">
        <v>575</v>
      </c>
      <c r="M485" t="s">
        <v>745</v>
      </c>
      <c r="P485" t="s">
        <v>1887</v>
      </c>
      <c r="Q485" t="s">
        <v>575</v>
      </c>
      <c r="R485" t="s">
        <v>550</v>
      </c>
      <c r="S485" t="s">
        <v>146</v>
      </c>
      <c r="U485">
        <v>0</v>
      </c>
      <c r="V485" t="s">
        <v>544</v>
      </c>
      <c r="W485" t="s">
        <v>575</v>
      </c>
      <c r="X485" s="784">
        <v>3464739907.1604805</v>
      </c>
    </row>
    <row r="486" spans="1:24">
      <c r="A486" t="s">
        <v>358</v>
      </c>
      <c r="B486" t="s">
        <v>588</v>
      </c>
      <c r="C486" t="s">
        <v>147</v>
      </c>
      <c r="D486" t="s">
        <v>130</v>
      </c>
      <c r="E486" t="s">
        <v>377</v>
      </c>
      <c r="F486" t="s">
        <v>383</v>
      </c>
      <c r="G486" t="s">
        <v>333</v>
      </c>
      <c r="H486" t="s">
        <v>333</v>
      </c>
      <c r="I486" t="s">
        <v>743</v>
      </c>
      <c r="J486" t="s">
        <v>744</v>
      </c>
      <c r="K486" t="s">
        <v>546</v>
      </c>
      <c r="L486" s="784" t="s">
        <v>575</v>
      </c>
      <c r="M486" t="s">
        <v>745</v>
      </c>
      <c r="P486" t="s">
        <v>1887</v>
      </c>
      <c r="Q486" t="s">
        <v>575</v>
      </c>
      <c r="R486" t="s">
        <v>152</v>
      </c>
      <c r="S486" t="s">
        <v>146</v>
      </c>
      <c r="U486">
        <v>0</v>
      </c>
      <c r="V486" t="s">
        <v>541</v>
      </c>
      <c r="W486" t="s">
        <v>575</v>
      </c>
      <c r="X486" s="784">
        <v>9948521252.2569065</v>
      </c>
    </row>
    <row r="487" spans="1:24">
      <c r="A487" t="s">
        <v>358</v>
      </c>
      <c r="B487" t="s">
        <v>589</v>
      </c>
      <c r="C487" t="s">
        <v>194</v>
      </c>
      <c r="D487" t="s">
        <v>131</v>
      </c>
      <c r="E487" t="s">
        <v>377</v>
      </c>
      <c r="F487" t="s">
        <v>383</v>
      </c>
      <c r="G487" t="s">
        <v>333</v>
      </c>
      <c r="H487" t="s">
        <v>333</v>
      </c>
      <c r="I487" t="s">
        <v>743</v>
      </c>
      <c r="J487" t="s">
        <v>744</v>
      </c>
      <c r="K487" t="s">
        <v>546</v>
      </c>
      <c r="L487" s="784" t="s">
        <v>575</v>
      </c>
      <c r="M487" t="s">
        <v>745</v>
      </c>
      <c r="P487" t="s">
        <v>1887</v>
      </c>
      <c r="Q487" t="s">
        <v>575</v>
      </c>
      <c r="R487" t="s">
        <v>150</v>
      </c>
      <c r="S487" t="s">
        <v>145</v>
      </c>
      <c r="U487">
        <v>1</v>
      </c>
      <c r="V487" t="s">
        <v>544</v>
      </c>
      <c r="W487" t="s">
        <v>542</v>
      </c>
      <c r="X487" s="784">
        <v>33679192.765657313</v>
      </c>
    </row>
    <row r="488" spans="1:24">
      <c r="A488" t="s">
        <v>358</v>
      </c>
      <c r="B488" t="s">
        <v>590</v>
      </c>
      <c r="C488" t="s">
        <v>195</v>
      </c>
      <c r="D488" t="s">
        <v>130</v>
      </c>
      <c r="E488" t="s">
        <v>377</v>
      </c>
      <c r="F488" t="s">
        <v>383</v>
      </c>
      <c r="G488" t="s">
        <v>333</v>
      </c>
      <c r="H488" t="s">
        <v>333</v>
      </c>
      <c r="I488" t="s">
        <v>743</v>
      </c>
      <c r="J488" t="s">
        <v>744</v>
      </c>
      <c r="K488" t="s">
        <v>546</v>
      </c>
      <c r="L488" s="784" t="s">
        <v>575</v>
      </c>
      <c r="M488" t="s">
        <v>745</v>
      </c>
      <c r="P488" t="s">
        <v>1887</v>
      </c>
      <c r="Q488" t="s">
        <v>575</v>
      </c>
      <c r="R488" t="s">
        <v>152</v>
      </c>
      <c r="S488" t="s">
        <v>145</v>
      </c>
      <c r="U488">
        <v>0</v>
      </c>
      <c r="V488" t="s">
        <v>541</v>
      </c>
      <c r="W488" t="s">
        <v>548</v>
      </c>
      <c r="X488" s="784">
        <v>22784494.365742501</v>
      </c>
    </row>
    <row r="489" spans="1:24">
      <c r="A489" t="s">
        <v>358</v>
      </c>
      <c r="B489" t="s">
        <v>591</v>
      </c>
      <c r="C489" t="s">
        <v>196</v>
      </c>
      <c r="D489" t="s">
        <v>130</v>
      </c>
      <c r="E489" t="s">
        <v>377</v>
      </c>
      <c r="F489" t="s">
        <v>383</v>
      </c>
      <c r="G489" t="s">
        <v>333</v>
      </c>
      <c r="H489" t="s">
        <v>333</v>
      </c>
      <c r="I489" t="s">
        <v>743</v>
      </c>
      <c r="J489" t="s">
        <v>744</v>
      </c>
      <c r="K489" t="s">
        <v>546</v>
      </c>
      <c r="L489" s="784" t="s">
        <v>575</v>
      </c>
      <c r="M489" t="s">
        <v>745</v>
      </c>
      <c r="P489" t="s">
        <v>1887</v>
      </c>
      <c r="Q489" t="s">
        <v>575</v>
      </c>
      <c r="R489" t="s">
        <v>152</v>
      </c>
      <c r="S489" t="s">
        <v>146</v>
      </c>
      <c r="U489">
        <v>0</v>
      </c>
      <c r="V489" t="s">
        <v>541</v>
      </c>
      <c r="W489" t="s">
        <v>575</v>
      </c>
      <c r="X489" s="784">
        <v>2173208011.4858823</v>
      </c>
    </row>
    <row r="490" spans="1:24">
      <c r="A490" t="s">
        <v>358</v>
      </c>
      <c r="B490" t="s">
        <v>592</v>
      </c>
      <c r="C490" t="s">
        <v>197</v>
      </c>
      <c r="D490" t="s">
        <v>130</v>
      </c>
      <c r="E490" t="s">
        <v>377</v>
      </c>
      <c r="F490" t="s">
        <v>383</v>
      </c>
      <c r="G490" t="s">
        <v>333</v>
      </c>
      <c r="H490" t="s">
        <v>333</v>
      </c>
      <c r="I490" t="s">
        <v>743</v>
      </c>
      <c r="J490" t="s">
        <v>744</v>
      </c>
      <c r="K490" t="s">
        <v>546</v>
      </c>
      <c r="L490" s="784" t="s">
        <v>575</v>
      </c>
      <c r="M490" t="s">
        <v>745</v>
      </c>
      <c r="P490" t="s">
        <v>1887</v>
      </c>
      <c r="Q490" t="s">
        <v>575</v>
      </c>
      <c r="R490" t="s">
        <v>152</v>
      </c>
      <c r="S490" t="s">
        <v>146</v>
      </c>
      <c r="U490">
        <v>0</v>
      </c>
      <c r="V490" t="s">
        <v>544</v>
      </c>
      <c r="W490" t="s">
        <v>546</v>
      </c>
      <c r="X490" s="784">
        <v>4585736158.8323269</v>
      </c>
    </row>
    <row r="491" spans="1:24">
      <c r="A491" t="s">
        <v>358</v>
      </c>
      <c r="B491" t="s">
        <v>593</v>
      </c>
      <c r="C491" t="s">
        <v>198</v>
      </c>
      <c r="D491" t="s">
        <v>131</v>
      </c>
      <c r="E491" t="s">
        <v>377</v>
      </c>
      <c r="F491" t="s">
        <v>383</v>
      </c>
      <c r="G491" t="s">
        <v>333</v>
      </c>
      <c r="H491" t="s">
        <v>333</v>
      </c>
      <c r="I491" t="s">
        <v>743</v>
      </c>
      <c r="J491" t="s">
        <v>744</v>
      </c>
      <c r="K491" t="s">
        <v>546</v>
      </c>
      <c r="L491" s="784" t="s">
        <v>575</v>
      </c>
      <c r="M491" t="s">
        <v>745</v>
      </c>
      <c r="P491" t="s">
        <v>1887</v>
      </c>
      <c r="Q491" t="s">
        <v>575</v>
      </c>
      <c r="R491" t="s">
        <v>150</v>
      </c>
      <c r="S491" t="s">
        <v>145</v>
      </c>
      <c r="U491">
        <v>0</v>
      </c>
      <c r="V491" t="s">
        <v>544</v>
      </c>
      <c r="W491" t="s">
        <v>546</v>
      </c>
      <c r="X491" s="784">
        <v>3550291584.8645592</v>
      </c>
    </row>
    <row r="492" spans="1:24">
      <c r="A492" t="s">
        <v>358</v>
      </c>
      <c r="B492" t="s">
        <v>594</v>
      </c>
      <c r="C492" t="s">
        <v>199</v>
      </c>
      <c r="D492" t="s">
        <v>130</v>
      </c>
      <c r="E492" t="s">
        <v>377</v>
      </c>
      <c r="F492" t="s">
        <v>383</v>
      </c>
      <c r="G492" t="s">
        <v>333</v>
      </c>
      <c r="H492" t="s">
        <v>333</v>
      </c>
      <c r="I492" t="s">
        <v>743</v>
      </c>
      <c r="J492" t="s">
        <v>744</v>
      </c>
      <c r="K492" t="s">
        <v>546</v>
      </c>
      <c r="L492" s="784" t="s">
        <v>575</v>
      </c>
      <c r="M492" t="s">
        <v>745</v>
      </c>
      <c r="P492" t="s">
        <v>1887</v>
      </c>
      <c r="Q492" t="s">
        <v>575</v>
      </c>
      <c r="R492" t="s">
        <v>150</v>
      </c>
      <c r="S492" t="s">
        <v>145</v>
      </c>
      <c r="U492">
        <v>0</v>
      </c>
      <c r="V492" t="s">
        <v>544</v>
      </c>
      <c r="W492" t="s">
        <v>546</v>
      </c>
      <c r="X492" s="784">
        <v>1182840319.0410969</v>
      </c>
    </row>
    <row r="493" spans="1:24">
      <c r="A493" t="s">
        <v>358</v>
      </c>
      <c r="B493" t="s">
        <v>595</v>
      </c>
      <c r="C493" t="s">
        <v>200</v>
      </c>
      <c r="D493" t="s">
        <v>130</v>
      </c>
      <c r="E493" t="s">
        <v>377</v>
      </c>
      <c r="F493" t="s">
        <v>383</v>
      </c>
      <c r="G493" t="s">
        <v>333</v>
      </c>
      <c r="H493" t="s">
        <v>333</v>
      </c>
      <c r="I493" t="s">
        <v>743</v>
      </c>
      <c r="J493" t="s">
        <v>744</v>
      </c>
      <c r="K493" t="s">
        <v>546</v>
      </c>
      <c r="L493" s="784" t="s">
        <v>575</v>
      </c>
      <c r="M493" t="s">
        <v>745</v>
      </c>
      <c r="P493" t="s">
        <v>1887</v>
      </c>
      <c r="Q493" t="s">
        <v>575</v>
      </c>
      <c r="R493" t="s">
        <v>152</v>
      </c>
      <c r="S493" t="s">
        <v>146</v>
      </c>
      <c r="U493">
        <v>0</v>
      </c>
      <c r="V493" t="s">
        <v>544</v>
      </c>
      <c r="W493" t="s">
        <v>575</v>
      </c>
      <c r="X493" s="784">
        <v>81728347.604567245</v>
      </c>
    </row>
    <row r="494" spans="1:24">
      <c r="A494" t="s">
        <v>358</v>
      </c>
      <c r="B494" t="s">
        <v>596</v>
      </c>
      <c r="C494" t="s">
        <v>201</v>
      </c>
      <c r="D494" t="s">
        <v>128</v>
      </c>
      <c r="E494" t="s">
        <v>377</v>
      </c>
      <c r="F494" t="s">
        <v>383</v>
      </c>
      <c r="G494" t="s">
        <v>333</v>
      </c>
      <c r="H494" t="s">
        <v>333</v>
      </c>
      <c r="I494" t="s">
        <v>743</v>
      </c>
      <c r="J494" t="s">
        <v>744</v>
      </c>
      <c r="K494" t="s">
        <v>546</v>
      </c>
      <c r="L494" s="784" t="s">
        <v>575</v>
      </c>
      <c r="M494" t="s">
        <v>745</v>
      </c>
      <c r="P494" t="s">
        <v>1887</v>
      </c>
      <c r="Q494" t="s">
        <v>575</v>
      </c>
      <c r="R494" t="s">
        <v>148</v>
      </c>
      <c r="S494" t="s">
        <v>145</v>
      </c>
      <c r="U494">
        <v>2</v>
      </c>
      <c r="V494" t="s">
        <v>544</v>
      </c>
      <c r="W494" t="s">
        <v>546</v>
      </c>
      <c r="X494" s="784">
        <v>12787914.977715338</v>
      </c>
    </row>
    <row r="495" spans="1:24">
      <c r="A495" t="s">
        <v>358</v>
      </c>
      <c r="B495" t="s">
        <v>597</v>
      </c>
      <c r="C495" t="s">
        <v>202</v>
      </c>
      <c r="D495" t="s">
        <v>128</v>
      </c>
      <c r="E495" t="s">
        <v>377</v>
      </c>
      <c r="F495" t="s">
        <v>383</v>
      </c>
      <c r="G495" t="s">
        <v>333</v>
      </c>
      <c r="H495" t="s">
        <v>333</v>
      </c>
      <c r="I495" t="s">
        <v>743</v>
      </c>
      <c r="J495" t="s">
        <v>744</v>
      </c>
      <c r="K495" t="s">
        <v>546</v>
      </c>
      <c r="L495" s="784" t="s">
        <v>575</v>
      </c>
      <c r="M495" t="s">
        <v>745</v>
      </c>
      <c r="P495" t="s">
        <v>1887</v>
      </c>
      <c r="Q495" t="s">
        <v>575</v>
      </c>
      <c r="R495" t="s">
        <v>150</v>
      </c>
      <c r="S495" t="s">
        <v>145</v>
      </c>
      <c r="U495">
        <v>2</v>
      </c>
      <c r="V495" t="s">
        <v>544</v>
      </c>
      <c r="W495" t="s">
        <v>546</v>
      </c>
      <c r="X495" s="784">
        <v>101271737.65410839</v>
      </c>
    </row>
    <row r="496" spans="1:24">
      <c r="A496" t="s">
        <v>358</v>
      </c>
      <c r="B496" t="s">
        <v>598</v>
      </c>
      <c r="C496" t="s">
        <v>203</v>
      </c>
      <c r="D496" t="s">
        <v>128</v>
      </c>
      <c r="E496" t="s">
        <v>377</v>
      </c>
      <c r="F496" t="s">
        <v>383</v>
      </c>
      <c r="G496" t="s">
        <v>333</v>
      </c>
      <c r="H496" t="s">
        <v>333</v>
      </c>
      <c r="I496" t="s">
        <v>743</v>
      </c>
      <c r="J496" t="s">
        <v>744</v>
      </c>
      <c r="K496" t="s">
        <v>546</v>
      </c>
      <c r="L496" s="784" t="s">
        <v>575</v>
      </c>
      <c r="M496" t="s">
        <v>745</v>
      </c>
      <c r="P496" t="s">
        <v>1887</v>
      </c>
      <c r="Q496" t="s">
        <v>575</v>
      </c>
      <c r="R496" t="s">
        <v>148</v>
      </c>
      <c r="S496" t="s">
        <v>145</v>
      </c>
      <c r="U496">
        <v>3</v>
      </c>
      <c r="V496" t="s">
        <v>544</v>
      </c>
      <c r="W496" t="s">
        <v>542</v>
      </c>
      <c r="X496" s="784">
        <v>618344226.71759331</v>
      </c>
    </row>
    <row r="497" spans="1:24">
      <c r="A497" t="s">
        <v>358</v>
      </c>
      <c r="B497" t="s">
        <v>599</v>
      </c>
      <c r="C497" t="s">
        <v>204</v>
      </c>
      <c r="D497" t="s">
        <v>126</v>
      </c>
      <c r="E497" t="s">
        <v>377</v>
      </c>
      <c r="F497" t="s">
        <v>383</v>
      </c>
      <c r="G497" t="s">
        <v>333</v>
      </c>
      <c r="H497" t="s">
        <v>333</v>
      </c>
      <c r="I497" t="s">
        <v>743</v>
      </c>
      <c r="J497" t="s">
        <v>744</v>
      </c>
      <c r="K497" t="s">
        <v>546</v>
      </c>
      <c r="L497" s="784" t="s">
        <v>575</v>
      </c>
      <c r="M497" t="s">
        <v>745</v>
      </c>
      <c r="P497" t="s">
        <v>1887</v>
      </c>
      <c r="Q497" t="s">
        <v>575</v>
      </c>
      <c r="R497" t="s">
        <v>152</v>
      </c>
      <c r="S497" t="s">
        <v>145</v>
      </c>
      <c r="U497">
        <v>0</v>
      </c>
      <c r="V497" t="s">
        <v>541</v>
      </c>
      <c r="W497" t="s">
        <v>548</v>
      </c>
      <c r="X497" s="784">
        <v>129483872.95906857</v>
      </c>
    </row>
    <row r="498" spans="1:24">
      <c r="A498" t="s">
        <v>358</v>
      </c>
      <c r="B498" t="s">
        <v>600</v>
      </c>
      <c r="C498" t="s">
        <v>205</v>
      </c>
      <c r="D498" t="s">
        <v>129</v>
      </c>
      <c r="E498" t="s">
        <v>377</v>
      </c>
      <c r="F498" t="s">
        <v>383</v>
      </c>
      <c r="G498" t="s">
        <v>333</v>
      </c>
      <c r="H498" t="s">
        <v>333</v>
      </c>
      <c r="I498" t="s">
        <v>743</v>
      </c>
      <c r="J498" t="s">
        <v>744</v>
      </c>
      <c r="K498" t="s">
        <v>546</v>
      </c>
      <c r="L498" s="784" t="s">
        <v>575</v>
      </c>
      <c r="M498" t="s">
        <v>745</v>
      </c>
      <c r="P498" t="s">
        <v>1887</v>
      </c>
      <c r="Q498" t="s">
        <v>575</v>
      </c>
      <c r="R498" t="s">
        <v>152</v>
      </c>
      <c r="S498" t="s">
        <v>146</v>
      </c>
      <c r="U498">
        <v>0</v>
      </c>
      <c r="V498" t="s">
        <v>544</v>
      </c>
      <c r="W498" t="s">
        <v>546</v>
      </c>
      <c r="X498" s="784">
        <v>271184658.35014349</v>
      </c>
    </row>
    <row r="499" spans="1:24">
      <c r="A499" t="s">
        <v>358</v>
      </c>
      <c r="B499" t="s">
        <v>601</v>
      </c>
      <c r="C499" t="s">
        <v>206</v>
      </c>
      <c r="D499" t="s">
        <v>129</v>
      </c>
      <c r="E499" t="s">
        <v>377</v>
      </c>
      <c r="F499" t="s">
        <v>383</v>
      </c>
      <c r="G499" t="s">
        <v>333</v>
      </c>
      <c r="H499" t="s">
        <v>333</v>
      </c>
      <c r="I499" t="s">
        <v>743</v>
      </c>
      <c r="J499" t="s">
        <v>744</v>
      </c>
      <c r="K499" t="s">
        <v>546</v>
      </c>
      <c r="L499" s="784" t="s">
        <v>575</v>
      </c>
      <c r="M499" t="s">
        <v>745</v>
      </c>
      <c r="P499" t="s">
        <v>1887</v>
      </c>
      <c r="Q499" t="s">
        <v>575</v>
      </c>
      <c r="R499" t="s">
        <v>148</v>
      </c>
      <c r="S499" t="s">
        <v>145</v>
      </c>
      <c r="U499">
        <v>0</v>
      </c>
      <c r="V499" t="s">
        <v>544</v>
      </c>
      <c r="W499" t="s">
        <v>542</v>
      </c>
      <c r="X499" s="784">
        <v>15455265.086884515</v>
      </c>
    </row>
    <row r="500" spans="1:24">
      <c r="A500" t="s">
        <v>358</v>
      </c>
      <c r="B500" t="s">
        <v>602</v>
      </c>
      <c r="C500" t="s">
        <v>207</v>
      </c>
      <c r="D500" t="s">
        <v>127</v>
      </c>
      <c r="E500" t="s">
        <v>377</v>
      </c>
      <c r="F500" t="s">
        <v>383</v>
      </c>
      <c r="G500" t="s">
        <v>333</v>
      </c>
      <c r="H500" t="s">
        <v>333</v>
      </c>
      <c r="I500" t="s">
        <v>743</v>
      </c>
      <c r="J500" t="s">
        <v>744</v>
      </c>
      <c r="K500" t="s">
        <v>546</v>
      </c>
      <c r="L500" s="784">
        <v>13630000</v>
      </c>
      <c r="M500" t="s">
        <v>745</v>
      </c>
      <c r="P500" t="s">
        <v>1887</v>
      </c>
      <c r="Q500" t="s">
        <v>406</v>
      </c>
      <c r="R500" t="s">
        <v>152</v>
      </c>
      <c r="S500" t="s">
        <v>146</v>
      </c>
      <c r="U500">
        <v>0</v>
      </c>
      <c r="V500" t="s">
        <v>544</v>
      </c>
      <c r="W500" t="s">
        <v>546</v>
      </c>
      <c r="X500" s="784">
        <v>494021502.525527</v>
      </c>
    </row>
    <row r="501" spans="1:24">
      <c r="A501" t="s">
        <v>358</v>
      </c>
      <c r="B501" t="s">
        <v>603</v>
      </c>
      <c r="C501" t="s">
        <v>208</v>
      </c>
      <c r="D501" t="s">
        <v>129</v>
      </c>
      <c r="E501" t="s">
        <v>377</v>
      </c>
      <c r="F501" t="s">
        <v>383</v>
      </c>
      <c r="G501" t="s">
        <v>333</v>
      </c>
      <c r="H501" t="s">
        <v>333</v>
      </c>
      <c r="I501" t="s">
        <v>743</v>
      </c>
      <c r="J501" t="s">
        <v>744</v>
      </c>
      <c r="K501" t="s">
        <v>546</v>
      </c>
      <c r="L501" s="784" t="s">
        <v>575</v>
      </c>
      <c r="M501" t="s">
        <v>745</v>
      </c>
      <c r="P501" t="s">
        <v>1887</v>
      </c>
      <c r="Q501" t="s">
        <v>575</v>
      </c>
      <c r="R501" t="s">
        <v>150</v>
      </c>
      <c r="S501" t="s">
        <v>145</v>
      </c>
      <c r="U501">
        <v>0</v>
      </c>
      <c r="V501" t="s">
        <v>544</v>
      </c>
      <c r="W501" t="s">
        <v>542</v>
      </c>
      <c r="X501" s="784">
        <v>902005621.73836684</v>
      </c>
    </row>
    <row r="502" spans="1:24">
      <c r="A502" t="s">
        <v>358</v>
      </c>
      <c r="B502" t="s">
        <v>604</v>
      </c>
      <c r="C502" t="s">
        <v>209</v>
      </c>
      <c r="D502" t="s">
        <v>130</v>
      </c>
      <c r="E502" t="s">
        <v>377</v>
      </c>
      <c r="F502" t="s">
        <v>383</v>
      </c>
      <c r="G502" t="s">
        <v>333</v>
      </c>
      <c r="H502" t="s">
        <v>333</v>
      </c>
      <c r="I502" t="s">
        <v>743</v>
      </c>
      <c r="J502" t="s">
        <v>744</v>
      </c>
      <c r="K502" t="s">
        <v>546</v>
      </c>
      <c r="L502" s="784" t="s">
        <v>575</v>
      </c>
      <c r="M502" t="s">
        <v>745</v>
      </c>
      <c r="P502" t="s">
        <v>1887</v>
      </c>
      <c r="Q502" t="s">
        <v>575</v>
      </c>
      <c r="R502" t="s">
        <v>152</v>
      </c>
      <c r="S502" t="s">
        <v>145</v>
      </c>
      <c r="U502">
        <v>0</v>
      </c>
      <c r="V502" t="s">
        <v>541</v>
      </c>
      <c r="W502" t="s">
        <v>583</v>
      </c>
      <c r="X502" s="784">
        <v>20201670.142996579</v>
      </c>
    </row>
    <row r="503" spans="1:24">
      <c r="A503" t="s">
        <v>358</v>
      </c>
      <c r="B503" t="s">
        <v>605</v>
      </c>
      <c r="C503" t="s">
        <v>210</v>
      </c>
      <c r="D503" t="s">
        <v>130</v>
      </c>
      <c r="E503" t="s">
        <v>377</v>
      </c>
      <c r="F503" t="s">
        <v>383</v>
      </c>
      <c r="G503" t="s">
        <v>333</v>
      </c>
      <c r="H503" t="s">
        <v>333</v>
      </c>
      <c r="I503" t="s">
        <v>743</v>
      </c>
      <c r="J503" t="s">
        <v>744</v>
      </c>
      <c r="K503" t="s">
        <v>546</v>
      </c>
      <c r="L503" s="784" t="s">
        <v>575</v>
      </c>
      <c r="M503" t="s">
        <v>745</v>
      </c>
      <c r="P503" t="s">
        <v>1887</v>
      </c>
      <c r="Q503" t="s">
        <v>575</v>
      </c>
      <c r="R503" t="s">
        <v>152</v>
      </c>
      <c r="S503" t="s">
        <v>146</v>
      </c>
      <c r="U503">
        <v>0</v>
      </c>
      <c r="V503" t="s">
        <v>544</v>
      </c>
      <c r="W503" t="s">
        <v>575</v>
      </c>
      <c r="X503" s="784">
        <v>1612434649.6948864</v>
      </c>
    </row>
    <row r="504" spans="1:24">
      <c r="A504" t="s">
        <v>358</v>
      </c>
      <c r="B504" t="s">
        <v>606</v>
      </c>
      <c r="C504" t="s">
        <v>211</v>
      </c>
      <c r="D504" t="s">
        <v>129</v>
      </c>
      <c r="E504" t="s">
        <v>377</v>
      </c>
      <c r="F504" t="s">
        <v>383</v>
      </c>
      <c r="G504" t="s">
        <v>333</v>
      </c>
      <c r="H504" t="s">
        <v>333</v>
      </c>
      <c r="I504" t="s">
        <v>743</v>
      </c>
      <c r="J504" t="s">
        <v>744</v>
      </c>
      <c r="K504" t="s">
        <v>546</v>
      </c>
      <c r="L504" s="784" t="s">
        <v>575</v>
      </c>
      <c r="M504" t="s">
        <v>745</v>
      </c>
      <c r="P504" t="s">
        <v>1887</v>
      </c>
      <c r="Q504" t="s">
        <v>575</v>
      </c>
      <c r="R504" t="s">
        <v>148</v>
      </c>
      <c r="S504" t="s">
        <v>145</v>
      </c>
      <c r="U504">
        <v>0</v>
      </c>
      <c r="V504" t="s">
        <v>544</v>
      </c>
      <c r="W504" t="s">
        <v>562</v>
      </c>
      <c r="X504" s="784">
        <v>78203134.118229344</v>
      </c>
    </row>
    <row r="505" spans="1:24">
      <c r="A505" t="s">
        <v>358</v>
      </c>
      <c r="B505" t="s">
        <v>607</v>
      </c>
      <c r="C505" t="s">
        <v>212</v>
      </c>
      <c r="D505" t="s">
        <v>129</v>
      </c>
      <c r="E505" t="s">
        <v>377</v>
      </c>
      <c r="F505" t="s">
        <v>383</v>
      </c>
      <c r="G505" t="s">
        <v>333</v>
      </c>
      <c r="H505" t="s">
        <v>333</v>
      </c>
      <c r="I505" t="s">
        <v>743</v>
      </c>
      <c r="J505" t="s">
        <v>744</v>
      </c>
      <c r="K505" t="s">
        <v>546</v>
      </c>
      <c r="L505" s="784" t="s">
        <v>575</v>
      </c>
      <c r="M505" t="s">
        <v>745</v>
      </c>
      <c r="P505" t="s">
        <v>1887</v>
      </c>
      <c r="Q505" t="s">
        <v>575</v>
      </c>
      <c r="R505" t="s">
        <v>148</v>
      </c>
      <c r="S505" t="s">
        <v>145</v>
      </c>
      <c r="U505">
        <v>2</v>
      </c>
      <c r="V505" t="s">
        <v>541</v>
      </c>
      <c r="W505" t="s">
        <v>542</v>
      </c>
      <c r="X505" s="784">
        <v>9151637.7411015611</v>
      </c>
    </row>
    <row r="506" spans="1:24">
      <c r="A506" t="s">
        <v>358</v>
      </c>
      <c r="B506" t="s">
        <v>608</v>
      </c>
      <c r="C506" t="s">
        <v>213</v>
      </c>
      <c r="D506" t="s">
        <v>130</v>
      </c>
      <c r="E506" t="s">
        <v>377</v>
      </c>
      <c r="F506" t="s">
        <v>383</v>
      </c>
      <c r="G506" t="s">
        <v>333</v>
      </c>
      <c r="H506" t="s">
        <v>333</v>
      </c>
      <c r="I506" t="s">
        <v>743</v>
      </c>
      <c r="J506" t="s">
        <v>744</v>
      </c>
      <c r="K506" t="s">
        <v>546</v>
      </c>
      <c r="L506" s="784" t="s">
        <v>575</v>
      </c>
      <c r="M506" t="s">
        <v>745</v>
      </c>
      <c r="P506" t="s">
        <v>1887</v>
      </c>
      <c r="Q506" t="s">
        <v>575</v>
      </c>
      <c r="R506" t="s">
        <v>152</v>
      </c>
      <c r="S506" t="s">
        <v>145</v>
      </c>
      <c r="U506">
        <v>0</v>
      </c>
      <c r="V506" t="s">
        <v>541</v>
      </c>
      <c r="W506" t="s">
        <v>562</v>
      </c>
      <c r="X506" s="784">
        <v>142455920.02856269</v>
      </c>
    </row>
    <row r="507" spans="1:24">
      <c r="A507" t="s">
        <v>358</v>
      </c>
      <c r="B507" t="s">
        <v>609</v>
      </c>
      <c r="C507" t="s">
        <v>214</v>
      </c>
      <c r="D507" t="s">
        <v>130</v>
      </c>
      <c r="E507" t="s">
        <v>377</v>
      </c>
      <c r="F507" t="s">
        <v>383</v>
      </c>
      <c r="G507" t="s">
        <v>333</v>
      </c>
      <c r="H507" t="s">
        <v>333</v>
      </c>
      <c r="I507" t="s">
        <v>743</v>
      </c>
      <c r="J507" t="s">
        <v>744</v>
      </c>
      <c r="K507" t="s">
        <v>546</v>
      </c>
      <c r="L507" s="784" t="s">
        <v>575</v>
      </c>
      <c r="M507" t="s">
        <v>745</v>
      </c>
      <c r="P507" t="s">
        <v>1887</v>
      </c>
      <c r="Q507" t="s">
        <v>575</v>
      </c>
      <c r="R507" t="s">
        <v>150</v>
      </c>
      <c r="S507" t="s">
        <v>145</v>
      </c>
      <c r="U507">
        <v>1</v>
      </c>
      <c r="V507" t="s">
        <v>541</v>
      </c>
      <c r="W507" t="s">
        <v>542</v>
      </c>
      <c r="X507" s="784">
        <v>85611818.171245083</v>
      </c>
    </row>
    <row r="508" spans="1:24">
      <c r="A508" t="s">
        <v>358</v>
      </c>
      <c r="B508" t="s">
        <v>610</v>
      </c>
      <c r="C508" t="s">
        <v>215</v>
      </c>
      <c r="D508" t="s">
        <v>130</v>
      </c>
      <c r="E508" t="s">
        <v>377</v>
      </c>
      <c r="F508" t="s">
        <v>383</v>
      </c>
      <c r="G508" t="s">
        <v>333</v>
      </c>
      <c r="H508" t="s">
        <v>333</v>
      </c>
      <c r="I508" t="s">
        <v>743</v>
      </c>
      <c r="J508" t="s">
        <v>744</v>
      </c>
      <c r="K508" t="s">
        <v>546</v>
      </c>
      <c r="L508" s="784" t="s">
        <v>575</v>
      </c>
      <c r="M508" t="s">
        <v>745</v>
      </c>
      <c r="P508" t="s">
        <v>1887</v>
      </c>
      <c r="Q508" t="s">
        <v>575</v>
      </c>
      <c r="R508" t="s">
        <v>150</v>
      </c>
      <c r="S508" t="s">
        <v>145</v>
      </c>
      <c r="U508">
        <v>0</v>
      </c>
      <c r="V508" t="s">
        <v>544</v>
      </c>
      <c r="W508" t="s">
        <v>558</v>
      </c>
      <c r="X508" s="784">
        <v>680289736.30082119</v>
      </c>
    </row>
    <row r="509" spans="1:24">
      <c r="A509" t="s">
        <v>358</v>
      </c>
      <c r="B509" t="s">
        <v>611</v>
      </c>
      <c r="C509" t="s">
        <v>216</v>
      </c>
      <c r="D509" t="s">
        <v>132</v>
      </c>
      <c r="E509" t="s">
        <v>377</v>
      </c>
      <c r="F509" t="s">
        <v>383</v>
      </c>
      <c r="G509" t="s">
        <v>333</v>
      </c>
      <c r="H509" t="s">
        <v>333</v>
      </c>
      <c r="I509" t="s">
        <v>743</v>
      </c>
      <c r="J509" t="s">
        <v>744</v>
      </c>
      <c r="K509" t="s">
        <v>546</v>
      </c>
      <c r="L509" s="784">
        <v>0</v>
      </c>
      <c r="M509" t="s">
        <v>745</v>
      </c>
      <c r="P509" t="s">
        <v>1887</v>
      </c>
      <c r="Q509" t="s">
        <v>406</v>
      </c>
      <c r="R509" t="s">
        <v>150</v>
      </c>
      <c r="S509" t="s">
        <v>145</v>
      </c>
      <c r="U509">
        <v>0</v>
      </c>
      <c r="V509" t="s">
        <v>544</v>
      </c>
      <c r="W509" t="s">
        <v>546</v>
      </c>
      <c r="X509" s="784">
        <v>26554332750.47023</v>
      </c>
    </row>
    <row r="510" spans="1:24">
      <c r="A510" t="s">
        <v>358</v>
      </c>
      <c r="B510" t="s">
        <v>612</v>
      </c>
      <c r="C510" t="s">
        <v>217</v>
      </c>
      <c r="D510" t="s">
        <v>126</v>
      </c>
      <c r="E510" t="s">
        <v>377</v>
      </c>
      <c r="F510" t="s">
        <v>383</v>
      </c>
      <c r="G510" t="s">
        <v>333</v>
      </c>
      <c r="H510" t="s">
        <v>333</v>
      </c>
      <c r="I510" t="s">
        <v>743</v>
      </c>
      <c r="J510" t="s">
        <v>744</v>
      </c>
      <c r="K510" t="s">
        <v>546</v>
      </c>
      <c r="L510" s="784">
        <v>445270000</v>
      </c>
      <c r="M510" t="s">
        <v>745</v>
      </c>
      <c r="P510" t="s">
        <v>1887</v>
      </c>
      <c r="Q510" t="s">
        <v>406</v>
      </c>
      <c r="R510" t="s">
        <v>150</v>
      </c>
      <c r="S510" t="s">
        <v>145</v>
      </c>
      <c r="U510">
        <v>0</v>
      </c>
      <c r="V510" t="s">
        <v>544</v>
      </c>
      <c r="W510" t="s">
        <v>546</v>
      </c>
      <c r="X510" s="784">
        <v>14745961064.890842</v>
      </c>
    </row>
    <row r="511" spans="1:24">
      <c r="A511" t="s">
        <v>358</v>
      </c>
      <c r="B511" t="s">
        <v>613</v>
      </c>
      <c r="C511" t="s">
        <v>149</v>
      </c>
      <c r="D511" t="s">
        <v>131</v>
      </c>
      <c r="E511" t="s">
        <v>377</v>
      </c>
      <c r="F511" t="s">
        <v>383</v>
      </c>
      <c r="G511" t="s">
        <v>333</v>
      </c>
      <c r="H511" t="s">
        <v>333</v>
      </c>
      <c r="I511" t="s">
        <v>743</v>
      </c>
      <c r="J511" t="s">
        <v>744</v>
      </c>
      <c r="K511" t="s">
        <v>546</v>
      </c>
      <c r="L511" s="784" t="s">
        <v>575</v>
      </c>
      <c r="M511" t="s">
        <v>745</v>
      </c>
      <c r="P511" t="s">
        <v>1887</v>
      </c>
      <c r="Q511" t="s">
        <v>575</v>
      </c>
      <c r="R511" t="s">
        <v>150</v>
      </c>
      <c r="S511" t="s">
        <v>146</v>
      </c>
      <c r="U511">
        <v>0</v>
      </c>
      <c r="V511" t="s">
        <v>544</v>
      </c>
      <c r="W511" t="s">
        <v>546</v>
      </c>
      <c r="X511" s="784">
        <v>18194076299.786381</v>
      </c>
    </row>
    <row r="512" spans="1:24">
      <c r="A512" t="s">
        <v>358</v>
      </c>
      <c r="B512" t="s">
        <v>614</v>
      </c>
      <c r="C512" t="s">
        <v>218</v>
      </c>
      <c r="D512" t="s">
        <v>131</v>
      </c>
      <c r="E512" t="s">
        <v>377</v>
      </c>
      <c r="F512" t="s">
        <v>383</v>
      </c>
      <c r="G512" t="s">
        <v>333</v>
      </c>
      <c r="H512" t="s">
        <v>333</v>
      </c>
      <c r="I512" t="s">
        <v>743</v>
      </c>
      <c r="J512" t="s">
        <v>744</v>
      </c>
      <c r="K512" t="s">
        <v>546</v>
      </c>
      <c r="L512" s="784" t="s">
        <v>575</v>
      </c>
      <c r="M512" t="s">
        <v>745</v>
      </c>
      <c r="P512" t="s">
        <v>1887</v>
      </c>
      <c r="Q512" t="s">
        <v>575</v>
      </c>
      <c r="R512" t="s">
        <v>152</v>
      </c>
      <c r="S512" t="s">
        <v>146</v>
      </c>
      <c r="U512">
        <v>0</v>
      </c>
      <c r="V512" t="s">
        <v>544</v>
      </c>
      <c r="W512" t="s">
        <v>546</v>
      </c>
      <c r="X512" s="784">
        <v>4428819387.769825</v>
      </c>
    </row>
    <row r="513" spans="1:24">
      <c r="A513" t="s">
        <v>358</v>
      </c>
      <c r="B513" t="s">
        <v>615</v>
      </c>
      <c r="C513" t="s">
        <v>219</v>
      </c>
      <c r="D513" t="s">
        <v>130</v>
      </c>
      <c r="E513" t="s">
        <v>377</v>
      </c>
      <c r="F513" t="s">
        <v>383</v>
      </c>
      <c r="G513" t="s">
        <v>333</v>
      </c>
      <c r="H513" t="s">
        <v>333</v>
      </c>
      <c r="I513" t="s">
        <v>743</v>
      </c>
      <c r="J513" t="s">
        <v>744</v>
      </c>
      <c r="K513" t="s">
        <v>546</v>
      </c>
      <c r="L513" s="784" t="s">
        <v>575</v>
      </c>
      <c r="M513" t="s">
        <v>745</v>
      </c>
      <c r="P513" t="s">
        <v>1887</v>
      </c>
      <c r="Q513" t="s">
        <v>575</v>
      </c>
      <c r="R513" t="s">
        <v>152</v>
      </c>
      <c r="S513" t="s">
        <v>146</v>
      </c>
      <c r="U513">
        <v>0</v>
      </c>
      <c r="V513" t="s">
        <v>541</v>
      </c>
      <c r="W513" t="s">
        <v>575</v>
      </c>
      <c r="X513" s="784">
        <v>611739560.62679195</v>
      </c>
    </row>
    <row r="514" spans="1:24">
      <c r="A514" t="s">
        <v>358</v>
      </c>
      <c r="B514" t="s">
        <v>616</v>
      </c>
      <c r="C514" t="s">
        <v>220</v>
      </c>
      <c r="D514" t="s">
        <v>131</v>
      </c>
      <c r="E514" t="s">
        <v>377</v>
      </c>
      <c r="F514" t="s">
        <v>383</v>
      </c>
      <c r="G514" t="s">
        <v>333</v>
      </c>
      <c r="H514" t="s">
        <v>333</v>
      </c>
      <c r="I514" t="s">
        <v>743</v>
      </c>
      <c r="J514" t="s">
        <v>744</v>
      </c>
      <c r="K514" t="s">
        <v>546</v>
      </c>
      <c r="L514" s="784" t="s">
        <v>575</v>
      </c>
      <c r="M514" t="s">
        <v>745</v>
      </c>
      <c r="P514" t="s">
        <v>1887</v>
      </c>
      <c r="Q514" t="s">
        <v>575</v>
      </c>
      <c r="R514" t="s">
        <v>152</v>
      </c>
      <c r="S514" t="s">
        <v>146</v>
      </c>
      <c r="U514">
        <v>0</v>
      </c>
      <c r="V514" t="s">
        <v>544</v>
      </c>
      <c r="W514" t="s">
        <v>546</v>
      </c>
      <c r="X514" s="784">
        <v>1617913383.0481031</v>
      </c>
    </row>
    <row r="515" spans="1:24">
      <c r="A515" t="s">
        <v>358</v>
      </c>
      <c r="B515" t="s">
        <v>617</v>
      </c>
      <c r="C515" t="s">
        <v>221</v>
      </c>
      <c r="D515" t="s">
        <v>127</v>
      </c>
      <c r="E515" t="s">
        <v>377</v>
      </c>
      <c r="F515" t="s">
        <v>383</v>
      </c>
      <c r="G515" t="s">
        <v>333</v>
      </c>
      <c r="H515" t="s">
        <v>333</v>
      </c>
      <c r="I515" t="s">
        <v>743</v>
      </c>
      <c r="J515" t="s">
        <v>744</v>
      </c>
      <c r="K515" t="s">
        <v>546</v>
      </c>
      <c r="L515" s="784" t="s">
        <v>575</v>
      </c>
      <c r="M515" t="s">
        <v>745</v>
      </c>
      <c r="P515" t="s">
        <v>1887</v>
      </c>
      <c r="Q515" t="s">
        <v>575</v>
      </c>
      <c r="R515" t="s">
        <v>152</v>
      </c>
      <c r="S515" t="s">
        <v>146</v>
      </c>
      <c r="U515">
        <v>0</v>
      </c>
      <c r="V515" t="s">
        <v>544</v>
      </c>
      <c r="W515" t="s">
        <v>575</v>
      </c>
      <c r="X515" s="784">
        <v>3074419112.4562683</v>
      </c>
    </row>
    <row r="516" spans="1:24">
      <c r="A516" t="s">
        <v>358</v>
      </c>
      <c r="B516" t="s">
        <v>618</v>
      </c>
      <c r="C516" t="s">
        <v>222</v>
      </c>
      <c r="D516" t="s">
        <v>128</v>
      </c>
      <c r="E516" t="s">
        <v>377</v>
      </c>
      <c r="F516" t="s">
        <v>383</v>
      </c>
      <c r="G516" t="s">
        <v>333</v>
      </c>
      <c r="H516" t="s">
        <v>333</v>
      </c>
      <c r="I516" t="s">
        <v>743</v>
      </c>
      <c r="J516" t="s">
        <v>744</v>
      </c>
      <c r="K516" t="s">
        <v>546</v>
      </c>
      <c r="L516" s="784" t="s">
        <v>575</v>
      </c>
      <c r="M516" t="s">
        <v>745</v>
      </c>
      <c r="P516" t="s">
        <v>1887</v>
      </c>
      <c r="Q516" t="s">
        <v>575</v>
      </c>
      <c r="R516" t="s">
        <v>150</v>
      </c>
      <c r="S516" t="s">
        <v>145</v>
      </c>
      <c r="U516">
        <v>0</v>
      </c>
      <c r="V516" t="s">
        <v>544</v>
      </c>
      <c r="W516" t="s">
        <v>542</v>
      </c>
      <c r="X516" s="784">
        <v>1914014279.8929913</v>
      </c>
    </row>
    <row r="517" spans="1:24">
      <c r="A517" t="s">
        <v>358</v>
      </c>
      <c r="B517" t="s">
        <v>619</v>
      </c>
      <c r="C517" t="s">
        <v>223</v>
      </c>
      <c r="D517" t="s">
        <v>126</v>
      </c>
      <c r="E517" t="s">
        <v>377</v>
      </c>
      <c r="F517" t="s">
        <v>383</v>
      </c>
      <c r="G517" t="s">
        <v>333</v>
      </c>
      <c r="H517" t="s">
        <v>333</v>
      </c>
      <c r="I517" t="s">
        <v>743</v>
      </c>
      <c r="J517" t="s">
        <v>744</v>
      </c>
      <c r="K517" t="s">
        <v>546</v>
      </c>
      <c r="L517" s="784" t="s">
        <v>575</v>
      </c>
      <c r="M517" t="s">
        <v>745</v>
      </c>
      <c r="P517" t="s">
        <v>1887</v>
      </c>
      <c r="Q517" t="s">
        <v>575</v>
      </c>
      <c r="R517" t="s">
        <v>150</v>
      </c>
      <c r="S517" t="s">
        <v>145</v>
      </c>
      <c r="U517">
        <v>0</v>
      </c>
      <c r="V517" t="s">
        <v>541</v>
      </c>
      <c r="W517" t="s">
        <v>542</v>
      </c>
      <c r="X517" s="784">
        <v>17422005.762907442</v>
      </c>
    </row>
    <row r="518" spans="1:24">
      <c r="A518" t="s">
        <v>358</v>
      </c>
      <c r="B518" t="s">
        <v>620</v>
      </c>
      <c r="C518" t="s">
        <v>224</v>
      </c>
      <c r="D518" t="s">
        <v>126</v>
      </c>
      <c r="E518" t="s">
        <v>377</v>
      </c>
      <c r="F518" t="s">
        <v>383</v>
      </c>
      <c r="G518" t="s">
        <v>333</v>
      </c>
      <c r="H518" t="s">
        <v>333</v>
      </c>
      <c r="I518" t="s">
        <v>743</v>
      </c>
      <c r="J518" t="s">
        <v>744</v>
      </c>
      <c r="K518" t="s">
        <v>546</v>
      </c>
      <c r="L518" s="784" t="s">
        <v>575</v>
      </c>
      <c r="M518" t="s">
        <v>745</v>
      </c>
      <c r="P518" t="s">
        <v>1887</v>
      </c>
      <c r="Q518" t="s">
        <v>575</v>
      </c>
      <c r="R518" t="s">
        <v>148</v>
      </c>
      <c r="S518" t="s">
        <v>145</v>
      </c>
      <c r="U518">
        <v>0</v>
      </c>
      <c r="V518" t="s">
        <v>544</v>
      </c>
      <c r="W518" t="s">
        <v>546</v>
      </c>
      <c r="X518" s="784" t="s">
        <v>575</v>
      </c>
    </row>
    <row r="519" spans="1:24">
      <c r="A519" t="s">
        <v>358</v>
      </c>
      <c r="B519" t="s">
        <v>621</v>
      </c>
      <c r="C519" t="s">
        <v>225</v>
      </c>
      <c r="D519" t="s">
        <v>127</v>
      </c>
      <c r="E519" t="s">
        <v>377</v>
      </c>
      <c r="F519" t="s">
        <v>383</v>
      </c>
      <c r="G519" t="s">
        <v>333</v>
      </c>
      <c r="H519" t="s">
        <v>333</v>
      </c>
      <c r="I519" t="s">
        <v>743</v>
      </c>
      <c r="J519" t="s">
        <v>744</v>
      </c>
      <c r="K519" t="s">
        <v>546</v>
      </c>
      <c r="L519" s="784" t="s">
        <v>575</v>
      </c>
      <c r="M519" t="s">
        <v>745</v>
      </c>
      <c r="P519" t="s">
        <v>1887</v>
      </c>
      <c r="Q519" t="s">
        <v>575</v>
      </c>
      <c r="R519" t="s">
        <v>152</v>
      </c>
      <c r="S519" t="s">
        <v>145</v>
      </c>
      <c r="U519">
        <v>0</v>
      </c>
      <c r="V519" t="s">
        <v>544</v>
      </c>
      <c r="W519" t="s">
        <v>548</v>
      </c>
      <c r="X519" s="784" t="s">
        <v>575</v>
      </c>
    </row>
    <row r="520" spans="1:24">
      <c r="A520" t="s">
        <v>358</v>
      </c>
      <c r="B520" t="s">
        <v>622</v>
      </c>
      <c r="C520" t="s">
        <v>226</v>
      </c>
      <c r="D520" t="s">
        <v>127</v>
      </c>
      <c r="E520" t="s">
        <v>377</v>
      </c>
      <c r="F520" t="s">
        <v>383</v>
      </c>
      <c r="G520" t="s">
        <v>333</v>
      </c>
      <c r="H520" t="s">
        <v>333</v>
      </c>
      <c r="I520" t="s">
        <v>743</v>
      </c>
      <c r="J520" t="s">
        <v>744</v>
      </c>
      <c r="K520" t="s">
        <v>546</v>
      </c>
      <c r="L520" s="784" t="s">
        <v>575</v>
      </c>
      <c r="M520" t="s">
        <v>745</v>
      </c>
      <c r="P520" t="s">
        <v>1887</v>
      </c>
      <c r="Q520" t="s">
        <v>575</v>
      </c>
      <c r="R520" t="s">
        <v>150</v>
      </c>
      <c r="S520" t="s">
        <v>145</v>
      </c>
      <c r="U520">
        <v>2</v>
      </c>
      <c r="V520" t="s">
        <v>544</v>
      </c>
      <c r="W520" t="s">
        <v>562</v>
      </c>
      <c r="X520" s="784">
        <v>231506834.84347546</v>
      </c>
    </row>
    <row r="521" spans="1:24">
      <c r="A521" t="s">
        <v>358</v>
      </c>
      <c r="B521" t="s">
        <v>623</v>
      </c>
      <c r="C521" t="s">
        <v>227</v>
      </c>
      <c r="D521" t="s">
        <v>126</v>
      </c>
      <c r="E521" t="s">
        <v>377</v>
      </c>
      <c r="F521" t="s">
        <v>383</v>
      </c>
      <c r="G521" t="s">
        <v>333</v>
      </c>
      <c r="H521" t="s">
        <v>333</v>
      </c>
      <c r="I521" t="s">
        <v>743</v>
      </c>
      <c r="J521" t="s">
        <v>744</v>
      </c>
      <c r="K521" t="s">
        <v>546</v>
      </c>
      <c r="L521" s="784" t="s">
        <v>575</v>
      </c>
      <c r="M521" t="s">
        <v>745</v>
      </c>
      <c r="P521" t="s">
        <v>1887</v>
      </c>
      <c r="Q521" t="s">
        <v>575</v>
      </c>
      <c r="R521" t="s">
        <v>150</v>
      </c>
      <c r="S521" t="s">
        <v>145</v>
      </c>
      <c r="U521">
        <v>0</v>
      </c>
      <c r="V521" t="s">
        <v>544</v>
      </c>
      <c r="W521" t="s">
        <v>542</v>
      </c>
      <c r="X521" s="784">
        <v>156059428.62944782</v>
      </c>
    </row>
    <row r="522" spans="1:24">
      <c r="A522" t="s">
        <v>358</v>
      </c>
      <c r="B522" t="s">
        <v>624</v>
      </c>
      <c r="C522" t="s">
        <v>228</v>
      </c>
      <c r="D522" t="s">
        <v>131</v>
      </c>
      <c r="E522" t="s">
        <v>377</v>
      </c>
      <c r="F522" t="s">
        <v>383</v>
      </c>
      <c r="G522" t="s">
        <v>333</v>
      </c>
      <c r="H522" t="s">
        <v>333</v>
      </c>
      <c r="I522" t="s">
        <v>743</v>
      </c>
      <c r="J522" t="s">
        <v>744</v>
      </c>
      <c r="K522" t="s">
        <v>546</v>
      </c>
      <c r="L522" s="784" t="s">
        <v>575</v>
      </c>
      <c r="M522" t="s">
        <v>745</v>
      </c>
      <c r="P522" t="s">
        <v>1887</v>
      </c>
      <c r="Q522" t="s">
        <v>575</v>
      </c>
      <c r="R522" t="s">
        <v>152</v>
      </c>
      <c r="S522" t="s">
        <v>146</v>
      </c>
      <c r="U522">
        <v>0</v>
      </c>
      <c r="V522" t="s">
        <v>544</v>
      </c>
      <c r="W522" t="s">
        <v>546</v>
      </c>
      <c r="X522" s="784">
        <v>2355391507.1635861</v>
      </c>
    </row>
    <row r="523" spans="1:24">
      <c r="A523" t="s">
        <v>358</v>
      </c>
      <c r="B523" t="s">
        <v>625</v>
      </c>
      <c r="C523" t="s">
        <v>229</v>
      </c>
      <c r="D523" t="s">
        <v>128</v>
      </c>
      <c r="E523" t="s">
        <v>377</v>
      </c>
      <c r="F523" t="s">
        <v>383</v>
      </c>
      <c r="G523" t="s">
        <v>333</v>
      </c>
      <c r="H523" t="s">
        <v>333</v>
      </c>
      <c r="I523" t="s">
        <v>743</v>
      </c>
      <c r="J523" t="s">
        <v>744</v>
      </c>
      <c r="K523" t="s">
        <v>546</v>
      </c>
      <c r="L523" s="784" t="s">
        <v>575</v>
      </c>
      <c r="M523" t="s">
        <v>745</v>
      </c>
      <c r="P523" t="s">
        <v>1887</v>
      </c>
      <c r="Q523" t="s">
        <v>575</v>
      </c>
      <c r="R523" t="s">
        <v>150</v>
      </c>
      <c r="S523" t="s">
        <v>145</v>
      </c>
      <c r="U523">
        <v>0</v>
      </c>
      <c r="V523" t="s">
        <v>544</v>
      </c>
      <c r="W523" t="s">
        <v>562</v>
      </c>
      <c r="X523" s="784">
        <v>152760919.7684873</v>
      </c>
    </row>
    <row r="524" spans="1:24">
      <c r="A524" t="s">
        <v>358</v>
      </c>
      <c r="B524" t="s">
        <v>626</v>
      </c>
      <c r="C524" t="s">
        <v>230</v>
      </c>
      <c r="D524" t="s">
        <v>129</v>
      </c>
      <c r="E524" t="s">
        <v>377</v>
      </c>
      <c r="F524" t="s">
        <v>383</v>
      </c>
      <c r="G524" t="s">
        <v>333</v>
      </c>
      <c r="H524" t="s">
        <v>333</v>
      </c>
      <c r="I524" t="s">
        <v>743</v>
      </c>
      <c r="J524" t="s">
        <v>744</v>
      </c>
      <c r="K524" t="s">
        <v>546</v>
      </c>
      <c r="L524" s="784" t="s">
        <v>575</v>
      </c>
      <c r="M524" t="s">
        <v>745</v>
      </c>
      <c r="P524" t="s">
        <v>1887</v>
      </c>
      <c r="Q524" t="s">
        <v>575</v>
      </c>
      <c r="R524" t="s">
        <v>148</v>
      </c>
      <c r="S524" t="s">
        <v>145</v>
      </c>
      <c r="U524">
        <v>0</v>
      </c>
      <c r="V524" t="s">
        <v>544</v>
      </c>
      <c r="W524" t="s">
        <v>542</v>
      </c>
      <c r="X524" s="784">
        <v>55072006.864440605</v>
      </c>
    </row>
    <row r="525" spans="1:24">
      <c r="A525" t="s">
        <v>358</v>
      </c>
      <c r="B525" t="s">
        <v>627</v>
      </c>
      <c r="C525" t="s">
        <v>231</v>
      </c>
      <c r="D525" t="s">
        <v>131</v>
      </c>
      <c r="E525" t="s">
        <v>377</v>
      </c>
      <c r="F525" t="s">
        <v>383</v>
      </c>
      <c r="G525" t="s">
        <v>333</v>
      </c>
      <c r="H525" t="s">
        <v>333</v>
      </c>
      <c r="I525" t="s">
        <v>743</v>
      </c>
      <c r="J525" t="s">
        <v>744</v>
      </c>
      <c r="K525" t="s">
        <v>546</v>
      </c>
      <c r="L525" s="784" t="s">
        <v>575</v>
      </c>
      <c r="M525" t="s">
        <v>745</v>
      </c>
      <c r="P525" t="s">
        <v>1887</v>
      </c>
      <c r="Q525" t="s">
        <v>575</v>
      </c>
      <c r="R525" t="s">
        <v>152</v>
      </c>
      <c r="S525" t="s">
        <v>146</v>
      </c>
      <c r="U525">
        <v>0</v>
      </c>
      <c r="V525" t="s">
        <v>544</v>
      </c>
      <c r="W525" t="s">
        <v>546</v>
      </c>
      <c r="X525" s="784" t="s">
        <v>575</v>
      </c>
    </row>
    <row r="526" spans="1:24">
      <c r="A526" t="s">
        <v>358</v>
      </c>
      <c r="B526" t="s">
        <v>628</v>
      </c>
      <c r="C526" t="s">
        <v>232</v>
      </c>
      <c r="D526" t="s">
        <v>128</v>
      </c>
      <c r="E526" t="s">
        <v>377</v>
      </c>
      <c r="F526" t="s">
        <v>383</v>
      </c>
      <c r="G526" t="s">
        <v>333</v>
      </c>
      <c r="H526" t="s">
        <v>333</v>
      </c>
      <c r="I526" t="s">
        <v>743</v>
      </c>
      <c r="J526" t="s">
        <v>744</v>
      </c>
      <c r="K526" t="s">
        <v>546</v>
      </c>
      <c r="L526" s="784" t="s">
        <v>575</v>
      </c>
      <c r="M526" t="s">
        <v>745</v>
      </c>
      <c r="P526" t="s">
        <v>1887</v>
      </c>
      <c r="Q526" t="s">
        <v>575</v>
      </c>
      <c r="R526" t="s">
        <v>148</v>
      </c>
      <c r="S526" t="s">
        <v>145</v>
      </c>
      <c r="U526">
        <v>2</v>
      </c>
      <c r="V526" t="s">
        <v>544</v>
      </c>
      <c r="W526" t="s">
        <v>562</v>
      </c>
      <c r="X526" s="784">
        <v>206914157.05429548</v>
      </c>
    </row>
    <row r="527" spans="1:24">
      <c r="A527" t="s">
        <v>358</v>
      </c>
      <c r="B527" t="s">
        <v>629</v>
      </c>
      <c r="C527" t="s">
        <v>233</v>
      </c>
      <c r="D527" t="s">
        <v>128</v>
      </c>
      <c r="E527" t="s">
        <v>377</v>
      </c>
      <c r="F527" t="s">
        <v>383</v>
      </c>
      <c r="G527" t="s">
        <v>333</v>
      </c>
      <c r="H527" t="s">
        <v>333</v>
      </c>
      <c r="I527" t="s">
        <v>743</v>
      </c>
      <c r="J527" t="s">
        <v>744</v>
      </c>
      <c r="K527" t="s">
        <v>546</v>
      </c>
      <c r="L527" s="784" t="s">
        <v>575</v>
      </c>
      <c r="M527" t="s">
        <v>745</v>
      </c>
      <c r="P527" t="s">
        <v>1887</v>
      </c>
      <c r="Q527" t="s">
        <v>575</v>
      </c>
      <c r="R527" t="s">
        <v>148</v>
      </c>
      <c r="S527" t="s">
        <v>145</v>
      </c>
      <c r="U527">
        <v>2</v>
      </c>
      <c r="V527" t="s">
        <v>544</v>
      </c>
      <c r="W527" t="s">
        <v>542</v>
      </c>
      <c r="X527" s="784">
        <v>185999915.02066413</v>
      </c>
    </row>
    <row r="528" spans="1:24">
      <c r="A528" t="s">
        <v>358</v>
      </c>
      <c r="B528" t="s">
        <v>630</v>
      </c>
      <c r="C528" t="s">
        <v>234</v>
      </c>
      <c r="D528" t="s">
        <v>126</v>
      </c>
      <c r="E528" t="s">
        <v>377</v>
      </c>
      <c r="F528" t="s">
        <v>383</v>
      </c>
      <c r="G528" t="s">
        <v>333</v>
      </c>
      <c r="H528" t="s">
        <v>333</v>
      </c>
      <c r="I528" t="s">
        <v>743</v>
      </c>
      <c r="J528" t="s">
        <v>744</v>
      </c>
      <c r="K528" t="s">
        <v>546</v>
      </c>
      <c r="L528" s="784" t="s">
        <v>575</v>
      </c>
      <c r="M528" t="s">
        <v>745</v>
      </c>
      <c r="P528" t="s">
        <v>1887</v>
      </c>
      <c r="Q528" t="s">
        <v>575</v>
      </c>
      <c r="R528" t="s">
        <v>152</v>
      </c>
      <c r="S528" t="s">
        <v>146</v>
      </c>
      <c r="U528">
        <v>0</v>
      </c>
      <c r="V528" t="s">
        <v>544</v>
      </c>
      <c r="W528" t="s">
        <v>575</v>
      </c>
      <c r="X528" s="784">
        <v>6893755763.2501726</v>
      </c>
    </row>
    <row r="529" spans="1:24">
      <c r="A529" t="s">
        <v>358</v>
      </c>
      <c r="B529" t="s">
        <v>631</v>
      </c>
      <c r="C529" t="s">
        <v>235</v>
      </c>
      <c r="D529" t="s">
        <v>132</v>
      </c>
      <c r="E529" t="s">
        <v>377</v>
      </c>
      <c r="F529" t="s">
        <v>383</v>
      </c>
      <c r="G529" t="s">
        <v>333</v>
      </c>
      <c r="H529" t="s">
        <v>333</v>
      </c>
      <c r="I529" t="s">
        <v>743</v>
      </c>
      <c r="J529" t="s">
        <v>744</v>
      </c>
      <c r="K529" t="s">
        <v>546</v>
      </c>
      <c r="L529" s="784">
        <v>0</v>
      </c>
      <c r="M529" t="s">
        <v>745</v>
      </c>
      <c r="P529" t="s">
        <v>1887</v>
      </c>
      <c r="Q529" t="s">
        <v>838</v>
      </c>
      <c r="R529" t="s">
        <v>152</v>
      </c>
      <c r="S529" t="s">
        <v>145</v>
      </c>
      <c r="U529">
        <v>0</v>
      </c>
      <c r="V529" t="s">
        <v>541</v>
      </c>
      <c r="W529" t="s">
        <v>542</v>
      </c>
      <c r="X529" s="784">
        <v>354560231.58276606</v>
      </c>
    </row>
    <row r="530" spans="1:24">
      <c r="A530" t="s">
        <v>358</v>
      </c>
      <c r="B530" t="s">
        <v>632</v>
      </c>
      <c r="C530" t="s">
        <v>236</v>
      </c>
      <c r="D530" t="s">
        <v>129</v>
      </c>
      <c r="E530" t="s">
        <v>377</v>
      </c>
      <c r="F530" t="s">
        <v>383</v>
      </c>
      <c r="G530" t="s">
        <v>333</v>
      </c>
      <c r="H530" t="s">
        <v>333</v>
      </c>
      <c r="I530" t="s">
        <v>743</v>
      </c>
      <c r="J530" t="s">
        <v>744</v>
      </c>
      <c r="K530" t="s">
        <v>546</v>
      </c>
      <c r="L530" s="784" t="s">
        <v>575</v>
      </c>
      <c r="M530" t="s">
        <v>745</v>
      </c>
      <c r="P530" t="s">
        <v>1887</v>
      </c>
      <c r="Q530" t="s">
        <v>575</v>
      </c>
      <c r="R530" t="s">
        <v>148</v>
      </c>
      <c r="S530" t="s">
        <v>145</v>
      </c>
      <c r="U530">
        <v>1</v>
      </c>
      <c r="V530" t="s">
        <v>544</v>
      </c>
      <c r="W530" t="s">
        <v>562</v>
      </c>
      <c r="X530" s="784">
        <v>188169167.56540567</v>
      </c>
    </row>
    <row r="531" spans="1:24">
      <c r="A531" t="s">
        <v>358</v>
      </c>
      <c r="B531" t="s">
        <v>633</v>
      </c>
      <c r="C531" t="s">
        <v>237</v>
      </c>
      <c r="D531" t="s">
        <v>126</v>
      </c>
      <c r="E531" t="s">
        <v>377</v>
      </c>
      <c r="F531" t="s">
        <v>383</v>
      </c>
      <c r="G531" t="s">
        <v>333</v>
      </c>
      <c r="H531" t="s">
        <v>333</v>
      </c>
      <c r="I531" t="s">
        <v>743</v>
      </c>
      <c r="J531" t="s">
        <v>744</v>
      </c>
      <c r="K531" t="s">
        <v>546</v>
      </c>
      <c r="L531" s="784" t="s">
        <v>575</v>
      </c>
      <c r="M531" t="s">
        <v>745</v>
      </c>
      <c r="P531" t="s">
        <v>1887</v>
      </c>
      <c r="Q531" t="s">
        <v>575</v>
      </c>
      <c r="R531" t="s">
        <v>152</v>
      </c>
      <c r="S531" t="s">
        <v>145</v>
      </c>
      <c r="U531">
        <v>0</v>
      </c>
      <c r="V531" t="s">
        <v>541</v>
      </c>
      <c r="W531" t="s">
        <v>575</v>
      </c>
      <c r="X531" s="784">
        <v>16312106.556340856</v>
      </c>
    </row>
    <row r="532" spans="1:24">
      <c r="A532" t="s">
        <v>358</v>
      </c>
      <c r="B532" t="s">
        <v>634</v>
      </c>
      <c r="C532" t="s">
        <v>238</v>
      </c>
      <c r="D532" t="s">
        <v>129</v>
      </c>
      <c r="E532" t="s">
        <v>377</v>
      </c>
      <c r="F532" t="s">
        <v>383</v>
      </c>
      <c r="G532" t="s">
        <v>333</v>
      </c>
      <c r="H532" t="s">
        <v>333</v>
      </c>
      <c r="I532" t="s">
        <v>743</v>
      </c>
      <c r="J532" t="s">
        <v>744</v>
      </c>
      <c r="K532" t="s">
        <v>546</v>
      </c>
      <c r="L532" s="784" t="s">
        <v>575</v>
      </c>
      <c r="M532" t="s">
        <v>745</v>
      </c>
      <c r="P532" t="s">
        <v>1887</v>
      </c>
      <c r="Q532" t="s">
        <v>575</v>
      </c>
      <c r="R532" t="s">
        <v>150</v>
      </c>
      <c r="S532" t="s">
        <v>145</v>
      </c>
      <c r="U532">
        <v>2</v>
      </c>
      <c r="V532" t="s">
        <v>544</v>
      </c>
      <c r="W532" t="s">
        <v>542</v>
      </c>
      <c r="X532" s="784">
        <v>86083833.534053758</v>
      </c>
    </row>
    <row r="533" spans="1:24">
      <c r="A533" t="s">
        <v>358</v>
      </c>
      <c r="B533" t="s">
        <v>635</v>
      </c>
      <c r="C533" t="s">
        <v>239</v>
      </c>
      <c r="D533" t="s">
        <v>128</v>
      </c>
      <c r="E533" t="s">
        <v>377</v>
      </c>
      <c r="F533" t="s">
        <v>383</v>
      </c>
      <c r="G533" t="s">
        <v>333</v>
      </c>
      <c r="H533" t="s">
        <v>333</v>
      </c>
      <c r="I533" t="s">
        <v>743</v>
      </c>
      <c r="J533" t="s">
        <v>744</v>
      </c>
      <c r="K533" t="s">
        <v>546</v>
      </c>
      <c r="L533" s="784" t="s">
        <v>575</v>
      </c>
      <c r="M533" t="s">
        <v>745</v>
      </c>
      <c r="P533" t="s">
        <v>1887</v>
      </c>
      <c r="Q533" t="s">
        <v>575</v>
      </c>
      <c r="R533" t="s">
        <v>152</v>
      </c>
      <c r="S533" t="s">
        <v>146</v>
      </c>
      <c r="U533">
        <v>0</v>
      </c>
      <c r="V533" t="s">
        <v>541</v>
      </c>
      <c r="W533" t="s">
        <v>546</v>
      </c>
      <c r="X533" s="784">
        <v>357220835.93762809</v>
      </c>
    </row>
    <row r="534" spans="1:24">
      <c r="A534" t="s">
        <v>358</v>
      </c>
      <c r="B534" t="s">
        <v>636</v>
      </c>
      <c r="C534" t="s">
        <v>240</v>
      </c>
      <c r="D534" t="s">
        <v>130</v>
      </c>
      <c r="E534" t="s">
        <v>377</v>
      </c>
      <c r="F534" t="s">
        <v>383</v>
      </c>
      <c r="G534" t="s">
        <v>333</v>
      </c>
      <c r="H534" t="s">
        <v>333</v>
      </c>
      <c r="I534" t="s">
        <v>743</v>
      </c>
      <c r="J534" t="s">
        <v>744</v>
      </c>
      <c r="K534" t="s">
        <v>546</v>
      </c>
      <c r="L534" s="784" t="s">
        <v>575</v>
      </c>
      <c r="M534" t="s">
        <v>745</v>
      </c>
      <c r="P534" t="s">
        <v>1887</v>
      </c>
      <c r="Q534" t="s">
        <v>575</v>
      </c>
      <c r="R534" t="s">
        <v>152</v>
      </c>
      <c r="S534" t="s">
        <v>146</v>
      </c>
      <c r="U534">
        <v>0</v>
      </c>
      <c r="V534" t="s">
        <v>544</v>
      </c>
      <c r="W534" t="s">
        <v>575</v>
      </c>
      <c r="X534" s="784">
        <v>32831598153.796387</v>
      </c>
    </row>
    <row r="535" spans="1:24">
      <c r="A535" t="s">
        <v>358</v>
      </c>
      <c r="B535" t="s">
        <v>637</v>
      </c>
      <c r="C535" t="s">
        <v>241</v>
      </c>
      <c r="D535" t="s">
        <v>126</v>
      </c>
      <c r="E535" t="s">
        <v>377</v>
      </c>
      <c r="F535" t="s">
        <v>383</v>
      </c>
      <c r="G535" t="s">
        <v>333</v>
      </c>
      <c r="H535" t="s">
        <v>333</v>
      </c>
      <c r="I535" t="s">
        <v>743</v>
      </c>
      <c r="J535" t="s">
        <v>744</v>
      </c>
      <c r="K535" t="s">
        <v>546</v>
      </c>
      <c r="L535" s="784" t="s">
        <v>575</v>
      </c>
      <c r="M535" t="s">
        <v>745</v>
      </c>
      <c r="P535" t="s">
        <v>1887</v>
      </c>
      <c r="Q535" t="s">
        <v>575</v>
      </c>
      <c r="R535" t="s">
        <v>150</v>
      </c>
      <c r="S535" t="s">
        <v>145</v>
      </c>
      <c r="U535">
        <v>0</v>
      </c>
      <c r="V535" t="s">
        <v>541</v>
      </c>
      <c r="W535" t="s">
        <v>542</v>
      </c>
      <c r="X535" s="784">
        <v>12329056.093798399</v>
      </c>
    </row>
    <row r="536" spans="1:24">
      <c r="A536" t="s">
        <v>358</v>
      </c>
      <c r="B536" t="s">
        <v>638</v>
      </c>
      <c r="C536" t="s">
        <v>242</v>
      </c>
      <c r="D536" t="s">
        <v>127</v>
      </c>
      <c r="E536" t="s">
        <v>377</v>
      </c>
      <c r="F536" t="s">
        <v>383</v>
      </c>
      <c r="G536" t="s">
        <v>333</v>
      </c>
      <c r="H536" t="s">
        <v>333</v>
      </c>
      <c r="I536" t="s">
        <v>743</v>
      </c>
      <c r="J536" t="s">
        <v>744</v>
      </c>
      <c r="K536" t="s">
        <v>546</v>
      </c>
      <c r="L536" s="784" t="s">
        <v>575</v>
      </c>
      <c r="M536" t="s">
        <v>745</v>
      </c>
      <c r="P536" t="s">
        <v>1887</v>
      </c>
      <c r="Q536" t="s">
        <v>575</v>
      </c>
      <c r="R536" t="s">
        <v>152</v>
      </c>
      <c r="S536" t="s">
        <v>145</v>
      </c>
      <c r="U536">
        <v>0</v>
      </c>
      <c r="V536" t="s">
        <v>544</v>
      </c>
      <c r="W536" t="s">
        <v>558</v>
      </c>
      <c r="X536" s="784">
        <v>426639742.85328001</v>
      </c>
    </row>
    <row r="537" spans="1:24">
      <c r="A537" t="s">
        <v>358</v>
      </c>
      <c r="B537" t="s">
        <v>639</v>
      </c>
      <c r="C537" t="s">
        <v>243</v>
      </c>
      <c r="D537" t="s">
        <v>126</v>
      </c>
      <c r="E537" t="s">
        <v>377</v>
      </c>
      <c r="F537" t="s">
        <v>383</v>
      </c>
      <c r="G537" t="s">
        <v>333</v>
      </c>
      <c r="H537" t="s">
        <v>333</v>
      </c>
      <c r="I537" t="s">
        <v>743</v>
      </c>
      <c r="J537" t="s">
        <v>744</v>
      </c>
      <c r="K537" t="s">
        <v>546</v>
      </c>
      <c r="L537" s="784">
        <v>38300000</v>
      </c>
      <c r="M537" t="s">
        <v>745</v>
      </c>
      <c r="P537" t="s">
        <v>1887</v>
      </c>
      <c r="Q537" t="s">
        <v>406</v>
      </c>
      <c r="R537" t="s">
        <v>150</v>
      </c>
      <c r="S537" t="s">
        <v>145</v>
      </c>
      <c r="U537">
        <v>0</v>
      </c>
      <c r="V537" t="s">
        <v>544</v>
      </c>
      <c r="W537" t="s">
        <v>548</v>
      </c>
      <c r="X537" s="784">
        <v>288519671.85870522</v>
      </c>
    </row>
    <row r="538" spans="1:24">
      <c r="A538" t="s">
        <v>358</v>
      </c>
      <c r="B538" t="s">
        <v>640</v>
      </c>
      <c r="C538" t="s">
        <v>244</v>
      </c>
      <c r="D538" t="s">
        <v>127</v>
      </c>
      <c r="E538" t="s">
        <v>377</v>
      </c>
      <c r="F538" t="s">
        <v>383</v>
      </c>
      <c r="G538" t="s">
        <v>333</v>
      </c>
      <c r="H538" t="s">
        <v>333</v>
      </c>
      <c r="I538" t="s">
        <v>743</v>
      </c>
      <c r="J538" t="s">
        <v>744</v>
      </c>
      <c r="K538" t="s">
        <v>546</v>
      </c>
      <c r="L538" s="784" t="s">
        <v>575</v>
      </c>
      <c r="M538" t="s">
        <v>745</v>
      </c>
      <c r="P538" t="s">
        <v>1887</v>
      </c>
      <c r="Q538" t="s">
        <v>575</v>
      </c>
      <c r="R538" t="s">
        <v>152</v>
      </c>
      <c r="S538" t="s">
        <v>146</v>
      </c>
      <c r="U538">
        <v>0</v>
      </c>
      <c r="V538" t="s">
        <v>544</v>
      </c>
      <c r="W538" t="s">
        <v>546</v>
      </c>
      <c r="X538" s="784">
        <v>275606560.78491527</v>
      </c>
    </row>
    <row r="539" spans="1:24">
      <c r="A539" t="s">
        <v>358</v>
      </c>
      <c r="B539" t="s">
        <v>641</v>
      </c>
      <c r="C539" t="s">
        <v>245</v>
      </c>
      <c r="D539" t="s">
        <v>131</v>
      </c>
      <c r="E539" t="s">
        <v>377</v>
      </c>
      <c r="F539" t="s">
        <v>383</v>
      </c>
      <c r="G539" t="s">
        <v>333</v>
      </c>
      <c r="H539" t="s">
        <v>333</v>
      </c>
      <c r="I539" t="s">
        <v>743</v>
      </c>
      <c r="J539" t="s">
        <v>744</v>
      </c>
      <c r="K539" t="s">
        <v>546</v>
      </c>
      <c r="L539" s="784" t="s">
        <v>575</v>
      </c>
      <c r="M539" t="s">
        <v>745</v>
      </c>
      <c r="P539" t="s">
        <v>1887</v>
      </c>
      <c r="Q539" t="s">
        <v>575</v>
      </c>
      <c r="R539" t="s">
        <v>150</v>
      </c>
      <c r="S539" t="s">
        <v>145</v>
      </c>
      <c r="U539">
        <v>0</v>
      </c>
      <c r="V539" t="s">
        <v>544</v>
      </c>
      <c r="W539" t="s">
        <v>546</v>
      </c>
      <c r="X539" s="784">
        <v>2530937679.3725696</v>
      </c>
    </row>
    <row r="540" spans="1:24">
      <c r="A540" t="s">
        <v>358</v>
      </c>
      <c r="B540" t="s">
        <v>642</v>
      </c>
      <c r="C540" t="s">
        <v>246</v>
      </c>
      <c r="D540" t="s">
        <v>128</v>
      </c>
      <c r="E540" t="s">
        <v>377</v>
      </c>
      <c r="F540" t="s">
        <v>383</v>
      </c>
      <c r="G540" t="s">
        <v>333</v>
      </c>
      <c r="H540" t="s">
        <v>333</v>
      </c>
      <c r="I540" t="s">
        <v>743</v>
      </c>
      <c r="J540" t="s">
        <v>744</v>
      </c>
      <c r="K540" t="s">
        <v>546</v>
      </c>
      <c r="L540" s="784" t="s">
        <v>575</v>
      </c>
      <c r="M540" t="s">
        <v>745</v>
      </c>
      <c r="P540" t="s">
        <v>1887</v>
      </c>
      <c r="Q540" t="s">
        <v>575</v>
      </c>
      <c r="R540" t="s">
        <v>148</v>
      </c>
      <c r="S540" t="s">
        <v>145</v>
      </c>
      <c r="U540">
        <v>0</v>
      </c>
      <c r="V540" t="s">
        <v>544</v>
      </c>
      <c r="W540" t="s">
        <v>583</v>
      </c>
      <c r="X540" s="784">
        <v>251432156.86255455</v>
      </c>
    </row>
    <row r="541" spans="1:24">
      <c r="A541" t="s">
        <v>358</v>
      </c>
      <c r="B541" t="s">
        <v>643</v>
      </c>
      <c r="C541" t="s">
        <v>247</v>
      </c>
      <c r="D541" t="s">
        <v>126</v>
      </c>
      <c r="E541" t="s">
        <v>377</v>
      </c>
      <c r="F541" t="s">
        <v>383</v>
      </c>
      <c r="G541" t="s">
        <v>333</v>
      </c>
      <c r="H541" t="s">
        <v>333</v>
      </c>
      <c r="I541" t="s">
        <v>743</v>
      </c>
      <c r="J541" t="s">
        <v>744</v>
      </c>
      <c r="K541" t="s">
        <v>546</v>
      </c>
      <c r="L541" s="784" t="s">
        <v>575</v>
      </c>
      <c r="M541" t="s">
        <v>745</v>
      </c>
      <c r="P541" t="s">
        <v>1887</v>
      </c>
      <c r="Q541" t="s">
        <v>575</v>
      </c>
      <c r="R541" t="s">
        <v>150</v>
      </c>
      <c r="S541" t="s">
        <v>145</v>
      </c>
      <c r="U541">
        <v>0</v>
      </c>
      <c r="V541" t="s">
        <v>544</v>
      </c>
      <c r="W541" t="s">
        <v>558</v>
      </c>
      <c r="X541" s="784">
        <v>471534500.60109437</v>
      </c>
    </row>
    <row r="542" spans="1:24">
      <c r="A542" t="s">
        <v>358</v>
      </c>
      <c r="B542" t="s">
        <v>644</v>
      </c>
      <c r="C542" t="s">
        <v>248</v>
      </c>
      <c r="D542" t="s">
        <v>128</v>
      </c>
      <c r="E542" t="s">
        <v>377</v>
      </c>
      <c r="F542" t="s">
        <v>383</v>
      </c>
      <c r="G542" t="s">
        <v>333</v>
      </c>
      <c r="H542" t="s">
        <v>333</v>
      </c>
      <c r="I542" t="s">
        <v>743</v>
      </c>
      <c r="J542" t="s">
        <v>744</v>
      </c>
      <c r="K542" t="s">
        <v>546</v>
      </c>
      <c r="L542" s="784" t="s">
        <v>575</v>
      </c>
      <c r="M542" t="s">
        <v>745</v>
      </c>
      <c r="P542" t="s">
        <v>1887</v>
      </c>
      <c r="Q542" t="s">
        <v>575</v>
      </c>
      <c r="R542" t="s">
        <v>152</v>
      </c>
      <c r="S542" t="s">
        <v>146</v>
      </c>
      <c r="U542">
        <v>0</v>
      </c>
      <c r="V542" t="s">
        <v>544</v>
      </c>
      <c r="W542" t="s">
        <v>575</v>
      </c>
      <c r="X542" s="784">
        <v>531677611.80447447</v>
      </c>
    </row>
    <row r="543" spans="1:24">
      <c r="A543" t="s">
        <v>358</v>
      </c>
      <c r="B543" t="s">
        <v>645</v>
      </c>
      <c r="C543" t="s">
        <v>249</v>
      </c>
      <c r="D543" t="s">
        <v>126</v>
      </c>
      <c r="E543" t="s">
        <v>377</v>
      </c>
      <c r="F543" t="s">
        <v>383</v>
      </c>
      <c r="G543" t="s">
        <v>333</v>
      </c>
      <c r="H543" t="s">
        <v>333</v>
      </c>
      <c r="I543" t="s">
        <v>743</v>
      </c>
      <c r="J543" t="s">
        <v>744</v>
      </c>
      <c r="K543" t="s">
        <v>546</v>
      </c>
      <c r="L543" s="784" t="s">
        <v>575</v>
      </c>
      <c r="M543" t="s">
        <v>745</v>
      </c>
      <c r="P543" t="s">
        <v>1887</v>
      </c>
      <c r="Q543" t="s">
        <v>575</v>
      </c>
      <c r="R543" t="s">
        <v>550</v>
      </c>
      <c r="S543" t="s">
        <v>146</v>
      </c>
      <c r="U543">
        <v>0</v>
      </c>
      <c r="V543" t="s">
        <v>541</v>
      </c>
      <c r="W543" t="s">
        <v>575</v>
      </c>
      <c r="X543" s="784">
        <v>8528751.6418357007</v>
      </c>
    </row>
    <row r="544" spans="1:24">
      <c r="A544" t="s">
        <v>358</v>
      </c>
      <c r="B544" t="s">
        <v>646</v>
      </c>
      <c r="C544" t="s">
        <v>250</v>
      </c>
      <c r="D544" t="s">
        <v>132</v>
      </c>
      <c r="E544" t="s">
        <v>377</v>
      </c>
      <c r="F544" t="s">
        <v>383</v>
      </c>
      <c r="G544" t="s">
        <v>333</v>
      </c>
      <c r="H544" t="s">
        <v>333</v>
      </c>
      <c r="I544" t="s">
        <v>743</v>
      </c>
      <c r="J544" t="s">
        <v>744</v>
      </c>
      <c r="K544" t="s">
        <v>546</v>
      </c>
      <c r="L544" s="784">
        <v>159000000</v>
      </c>
      <c r="M544" t="s">
        <v>745</v>
      </c>
      <c r="P544" t="s">
        <v>1887</v>
      </c>
      <c r="Q544" t="s">
        <v>406</v>
      </c>
      <c r="R544" t="s">
        <v>150</v>
      </c>
      <c r="S544" t="s">
        <v>145</v>
      </c>
      <c r="U544">
        <v>0</v>
      </c>
      <c r="V544" t="s">
        <v>544</v>
      </c>
      <c r="W544" t="s">
        <v>558</v>
      </c>
      <c r="X544" s="784">
        <v>407084543.19089872</v>
      </c>
    </row>
    <row r="545" spans="1:24">
      <c r="A545" t="s">
        <v>358</v>
      </c>
      <c r="B545" t="s">
        <v>647</v>
      </c>
      <c r="C545" t="s">
        <v>251</v>
      </c>
      <c r="D545" t="s">
        <v>130</v>
      </c>
      <c r="E545" t="s">
        <v>377</v>
      </c>
      <c r="F545" t="s">
        <v>383</v>
      </c>
      <c r="G545" t="s">
        <v>333</v>
      </c>
      <c r="H545" t="s">
        <v>333</v>
      </c>
      <c r="I545" t="s">
        <v>743</v>
      </c>
      <c r="J545" t="s">
        <v>744</v>
      </c>
      <c r="K545" t="s">
        <v>546</v>
      </c>
      <c r="L545" s="784" t="s">
        <v>575</v>
      </c>
      <c r="M545" t="s">
        <v>745</v>
      </c>
      <c r="P545" t="s">
        <v>1887</v>
      </c>
      <c r="Q545" t="s">
        <v>575</v>
      </c>
      <c r="R545" t="s">
        <v>150</v>
      </c>
      <c r="S545" t="s">
        <v>145</v>
      </c>
      <c r="U545">
        <v>0</v>
      </c>
      <c r="V545" t="s">
        <v>544</v>
      </c>
      <c r="W545" t="s">
        <v>562</v>
      </c>
      <c r="X545" s="784">
        <v>671998341.93592453</v>
      </c>
    </row>
    <row r="546" spans="1:24">
      <c r="A546" t="s">
        <v>358</v>
      </c>
      <c r="B546" t="s">
        <v>648</v>
      </c>
      <c r="C546" t="s">
        <v>252</v>
      </c>
      <c r="D546" t="s">
        <v>129</v>
      </c>
      <c r="E546" t="s">
        <v>377</v>
      </c>
      <c r="F546" t="s">
        <v>383</v>
      </c>
      <c r="G546" t="s">
        <v>333</v>
      </c>
      <c r="H546" t="s">
        <v>333</v>
      </c>
      <c r="I546" t="s">
        <v>743</v>
      </c>
      <c r="J546" t="s">
        <v>744</v>
      </c>
      <c r="K546" t="s">
        <v>546</v>
      </c>
      <c r="L546" s="784" t="s">
        <v>575</v>
      </c>
      <c r="M546" t="s">
        <v>745</v>
      </c>
      <c r="P546" t="s">
        <v>1887</v>
      </c>
      <c r="Q546" t="s">
        <v>575</v>
      </c>
      <c r="R546" t="s">
        <v>148</v>
      </c>
      <c r="S546" t="s">
        <v>145</v>
      </c>
      <c r="U546">
        <v>1</v>
      </c>
      <c r="V546" t="s">
        <v>544</v>
      </c>
      <c r="W546" t="s">
        <v>562</v>
      </c>
      <c r="X546" s="784">
        <v>226203289.67158964</v>
      </c>
    </row>
    <row r="547" spans="1:24">
      <c r="A547" t="s">
        <v>358</v>
      </c>
      <c r="B547" t="s">
        <v>649</v>
      </c>
      <c r="C547" t="s">
        <v>253</v>
      </c>
      <c r="D547" t="s">
        <v>129</v>
      </c>
      <c r="E547" t="s">
        <v>377</v>
      </c>
      <c r="F547" t="s">
        <v>383</v>
      </c>
      <c r="G547" t="s">
        <v>333</v>
      </c>
      <c r="H547" t="s">
        <v>333</v>
      </c>
      <c r="I547" t="s">
        <v>743</v>
      </c>
      <c r="J547" t="s">
        <v>744</v>
      </c>
      <c r="K547" t="s">
        <v>546</v>
      </c>
      <c r="L547" s="784" t="s">
        <v>575</v>
      </c>
      <c r="M547" t="s">
        <v>745</v>
      </c>
      <c r="P547" t="s">
        <v>1887</v>
      </c>
      <c r="Q547" t="s">
        <v>575</v>
      </c>
      <c r="R547" t="s">
        <v>150</v>
      </c>
      <c r="S547" t="s">
        <v>145</v>
      </c>
      <c r="U547">
        <v>3</v>
      </c>
      <c r="V547" t="s">
        <v>544</v>
      </c>
      <c r="W547" t="s">
        <v>548</v>
      </c>
      <c r="X547" s="784">
        <v>2438881113.1244688</v>
      </c>
    </row>
    <row r="548" spans="1:24">
      <c r="A548" t="s">
        <v>358</v>
      </c>
      <c r="B548" t="s">
        <v>650</v>
      </c>
      <c r="C548" t="s">
        <v>254</v>
      </c>
      <c r="D548" t="s">
        <v>127</v>
      </c>
      <c r="E548" t="s">
        <v>377</v>
      </c>
      <c r="F548" t="s">
        <v>383</v>
      </c>
      <c r="G548" t="s">
        <v>333</v>
      </c>
      <c r="H548" t="s">
        <v>333</v>
      </c>
      <c r="I548" t="s">
        <v>743</v>
      </c>
      <c r="J548" t="s">
        <v>744</v>
      </c>
      <c r="K548" t="s">
        <v>546</v>
      </c>
      <c r="L548" s="784" t="s">
        <v>575</v>
      </c>
      <c r="M548" t="s">
        <v>745</v>
      </c>
      <c r="P548" t="s">
        <v>1887</v>
      </c>
      <c r="Q548" t="s">
        <v>575</v>
      </c>
      <c r="R548" t="s">
        <v>152</v>
      </c>
      <c r="S548" t="s">
        <v>146</v>
      </c>
      <c r="U548">
        <v>0</v>
      </c>
      <c r="V548" t="s">
        <v>544</v>
      </c>
      <c r="W548" t="s">
        <v>575</v>
      </c>
      <c r="X548" s="784">
        <v>476517795.73174149</v>
      </c>
    </row>
    <row r="549" spans="1:24">
      <c r="A549" t="s">
        <v>358</v>
      </c>
      <c r="B549" t="s">
        <v>651</v>
      </c>
      <c r="C549" t="s">
        <v>255</v>
      </c>
      <c r="D549" t="s">
        <v>132</v>
      </c>
      <c r="E549" t="s">
        <v>377</v>
      </c>
      <c r="F549" t="s">
        <v>383</v>
      </c>
      <c r="G549" t="s">
        <v>333</v>
      </c>
      <c r="H549" t="s">
        <v>333</v>
      </c>
      <c r="I549" t="s">
        <v>743</v>
      </c>
      <c r="J549" t="s">
        <v>744</v>
      </c>
      <c r="K549" t="s">
        <v>546</v>
      </c>
      <c r="L549" s="784">
        <v>491700000</v>
      </c>
      <c r="M549" t="s">
        <v>745</v>
      </c>
      <c r="P549" t="s">
        <v>1887</v>
      </c>
      <c r="Q549" t="s">
        <v>406</v>
      </c>
      <c r="R549" t="s">
        <v>150</v>
      </c>
      <c r="S549" t="s">
        <v>145</v>
      </c>
      <c r="U549">
        <v>0</v>
      </c>
      <c r="V549" t="s">
        <v>544</v>
      </c>
      <c r="W549" t="s">
        <v>548</v>
      </c>
      <c r="X549" s="784">
        <v>3233351297.7679496</v>
      </c>
    </row>
    <row r="550" spans="1:24">
      <c r="A550" t="s">
        <v>358</v>
      </c>
      <c r="B550" t="s">
        <v>652</v>
      </c>
      <c r="C550" t="s">
        <v>256</v>
      </c>
      <c r="D550" t="s">
        <v>130</v>
      </c>
      <c r="E550" t="s">
        <v>377</v>
      </c>
      <c r="F550" t="s">
        <v>383</v>
      </c>
      <c r="G550" t="s">
        <v>333</v>
      </c>
      <c r="H550" t="s">
        <v>333</v>
      </c>
      <c r="I550" t="s">
        <v>743</v>
      </c>
      <c r="J550" t="s">
        <v>744</v>
      </c>
      <c r="K550" t="s">
        <v>546</v>
      </c>
      <c r="L550" s="784" t="s">
        <v>575</v>
      </c>
      <c r="M550" t="s">
        <v>745</v>
      </c>
      <c r="P550" t="s">
        <v>1887</v>
      </c>
      <c r="Q550" t="s">
        <v>575</v>
      </c>
      <c r="R550" t="s">
        <v>550</v>
      </c>
      <c r="S550" t="s">
        <v>146</v>
      </c>
      <c r="U550">
        <v>0</v>
      </c>
      <c r="V550" t="s">
        <v>541</v>
      </c>
      <c r="W550" t="s">
        <v>575</v>
      </c>
      <c r="X550" s="784">
        <v>18180646.808608256</v>
      </c>
    </row>
    <row r="551" spans="1:24">
      <c r="A551" t="s">
        <v>358</v>
      </c>
      <c r="B551" t="s">
        <v>653</v>
      </c>
      <c r="C551" t="s">
        <v>257</v>
      </c>
      <c r="D551" t="s">
        <v>130</v>
      </c>
      <c r="E551" t="s">
        <v>377</v>
      </c>
      <c r="F551" t="s">
        <v>383</v>
      </c>
      <c r="G551" t="s">
        <v>333</v>
      </c>
      <c r="H551" t="s">
        <v>333</v>
      </c>
      <c r="I551" t="s">
        <v>743</v>
      </c>
      <c r="J551" t="s">
        <v>744</v>
      </c>
      <c r="K551" t="s">
        <v>546</v>
      </c>
      <c r="L551" s="784" t="s">
        <v>575</v>
      </c>
      <c r="M551" t="s">
        <v>745</v>
      </c>
      <c r="P551" t="s">
        <v>1887</v>
      </c>
      <c r="Q551" t="s">
        <v>575</v>
      </c>
      <c r="R551" t="s">
        <v>152</v>
      </c>
      <c r="S551" t="s">
        <v>146</v>
      </c>
      <c r="U551">
        <v>0</v>
      </c>
      <c r="V551" t="s">
        <v>544</v>
      </c>
      <c r="W551" t="s">
        <v>546</v>
      </c>
      <c r="X551" s="784">
        <v>3020530707.3485303</v>
      </c>
    </row>
    <row r="552" spans="1:24">
      <c r="A552" t="s">
        <v>358</v>
      </c>
      <c r="B552" t="s">
        <v>654</v>
      </c>
      <c r="C552" t="s">
        <v>258</v>
      </c>
      <c r="D552" t="s">
        <v>126</v>
      </c>
      <c r="E552" t="s">
        <v>377</v>
      </c>
      <c r="F552" t="s">
        <v>383</v>
      </c>
      <c r="G552" t="s">
        <v>333</v>
      </c>
      <c r="H552" t="s">
        <v>333</v>
      </c>
      <c r="I552" t="s">
        <v>743</v>
      </c>
      <c r="J552" t="s">
        <v>744</v>
      </c>
      <c r="K552" t="s">
        <v>546</v>
      </c>
      <c r="L552" s="784" t="s">
        <v>575</v>
      </c>
      <c r="M552" t="s">
        <v>745</v>
      </c>
      <c r="P552" t="s">
        <v>1887</v>
      </c>
      <c r="Q552" t="s">
        <v>575</v>
      </c>
      <c r="R552" t="s">
        <v>150</v>
      </c>
      <c r="S552" t="s">
        <v>145</v>
      </c>
      <c r="U552">
        <v>1</v>
      </c>
      <c r="V552" t="s">
        <v>541</v>
      </c>
      <c r="W552" t="s">
        <v>542</v>
      </c>
      <c r="X552" s="784">
        <v>384406316.46074712</v>
      </c>
    </row>
    <row r="553" spans="1:24">
      <c r="A553" t="s">
        <v>358</v>
      </c>
      <c r="B553" t="s">
        <v>655</v>
      </c>
      <c r="C553" t="s">
        <v>259</v>
      </c>
      <c r="D553" t="s">
        <v>130</v>
      </c>
      <c r="E553" t="s">
        <v>377</v>
      </c>
      <c r="F553" t="s">
        <v>383</v>
      </c>
      <c r="G553" t="s">
        <v>333</v>
      </c>
      <c r="H553" t="s">
        <v>333</v>
      </c>
      <c r="I553" t="s">
        <v>743</v>
      </c>
      <c r="J553" t="s">
        <v>744</v>
      </c>
      <c r="K553" t="s">
        <v>546</v>
      </c>
      <c r="L553" s="784" t="s">
        <v>575</v>
      </c>
      <c r="M553" t="s">
        <v>745</v>
      </c>
      <c r="P553" t="s">
        <v>1887</v>
      </c>
      <c r="Q553" t="s">
        <v>575</v>
      </c>
      <c r="R553" t="s">
        <v>152</v>
      </c>
      <c r="S553" t="s">
        <v>146</v>
      </c>
      <c r="U553">
        <v>0</v>
      </c>
      <c r="V553" t="s">
        <v>544</v>
      </c>
      <c r="W553" t="s">
        <v>575</v>
      </c>
      <c r="X553" s="784">
        <v>1218747108.9554784</v>
      </c>
    </row>
    <row r="554" spans="1:24">
      <c r="A554" t="s">
        <v>358</v>
      </c>
      <c r="B554" t="s">
        <v>656</v>
      </c>
      <c r="C554" t="s">
        <v>260</v>
      </c>
      <c r="D554" t="s">
        <v>130</v>
      </c>
      <c r="E554" t="s">
        <v>377</v>
      </c>
      <c r="F554" t="s">
        <v>383</v>
      </c>
      <c r="G554" t="s">
        <v>333</v>
      </c>
      <c r="H554" t="s">
        <v>333</v>
      </c>
      <c r="I554" t="s">
        <v>743</v>
      </c>
      <c r="J554" t="s">
        <v>744</v>
      </c>
      <c r="K554" t="s">
        <v>546</v>
      </c>
      <c r="L554" s="784" t="s">
        <v>575</v>
      </c>
      <c r="M554" t="s">
        <v>745</v>
      </c>
      <c r="P554" t="s">
        <v>1887</v>
      </c>
      <c r="Q554" t="s">
        <v>575</v>
      </c>
      <c r="R554" t="s">
        <v>152</v>
      </c>
      <c r="S554" t="s">
        <v>146</v>
      </c>
      <c r="U554">
        <v>0</v>
      </c>
      <c r="V554" t="s">
        <v>544</v>
      </c>
      <c r="W554" t="s">
        <v>575</v>
      </c>
      <c r="X554" s="784">
        <v>7392665952.5895758</v>
      </c>
    </row>
    <row r="555" spans="1:24">
      <c r="A555" t="s">
        <v>358</v>
      </c>
      <c r="B555" t="s">
        <v>657</v>
      </c>
      <c r="C555" t="s">
        <v>261</v>
      </c>
      <c r="D555" t="s">
        <v>126</v>
      </c>
      <c r="E555" t="s">
        <v>377</v>
      </c>
      <c r="F555" t="s">
        <v>383</v>
      </c>
      <c r="G555" t="s">
        <v>333</v>
      </c>
      <c r="H555" t="s">
        <v>333</v>
      </c>
      <c r="I555" t="s">
        <v>743</v>
      </c>
      <c r="J555" t="s">
        <v>744</v>
      </c>
      <c r="K555" t="s">
        <v>546</v>
      </c>
      <c r="L555" s="784">
        <v>662500000</v>
      </c>
      <c r="M555" t="s">
        <v>745</v>
      </c>
      <c r="P555" t="s">
        <v>1887</v>
      </c>
      <c r="Q555" t="s">
        <v>406</v>
      </c>
      <c r="R555" t="s">
        <v>150</v>
      </c>
      <c r="S555" t="s">
        <v>145</v>
      </c>
      <c r="U555">
        <v>0</v>
      </c>
      <c r="V555" t="s">
        <v>544</v>
      </c>
      <c r="W555" t="s">
        <v>546</v>
      </c>
      <c r="X555" s="784">
        <v>4754985988.6004429</v>
      </c>
    </row>
    <row r="556" spans="1:24">
      <c r="A556" t="s">
        <v>358</v>
      </c>
      <c r="B556" t="s">
        <v>658</v>
      </c>
      <c r="C556" t="s">
        <v>262</v>
      </c>
      <c r="D556" t="s">
        <v>127</v>
      </c>
      <c r="E556" t="s">
        <v>377</v>
      </c>
      <c r="F556" t="s">
        <v>383</v>
      </c>
      <c r="G556" t="s">
        <v>333</v>
      </c>
      <c r="H556" t="s">
        <v>333</v>
      </c>
      <c r="I556" t="s">
        <v>743</v>
      </c>
      <c r="J556" t="s">
        <v>744</v>
      </c>
      <c r="K556" t="s">
        <v>546</v>
      </c>
      <c r="L556" s="784" t="s">
        <v>575</v>
      </c>
      <c r="M556" t="s">
        <v>745</v>
      </c>
      <c r="P556" t="s">
        <v>1887</v>
      </c>
      <c r="Q556" t="s">
        <v>575</v>
      </c>
      <c r="R556" t="s">
        <v>550</v>
      </c>
      <c r="S556" t="s">
        <v>146</v>
      </c>
      <c r="U556">
        <v>0</v>
      </c>
      <c r="V556" t="s">
        <v>544</v>
      </c>
      <c r="W556" t="s">
        <v>575</v>
      </c>
      <c r="X556" s="784">
        <v>26422210443.037273</v>
      </c>
    </row>
    <row r="557" spans="1:24">
      <c r="A557" t="s">
        <v>358</v>
      </c>
      <c r="B557" t="s">
        <v>659</v>
      </c>
      <c r="C557" t="s">
        <v>151</v>
      </c>
      <c r="D557" t="s">
        <v>127</v>
      </c>
      <c r="E557" t="s">
        <v>377</v>
      </c>
      <c r="F557" t="s">
        <v>383</v>
      </c>
      <c r="G557" t="s">
        <v>333</v>
      </c>
      <c r="H557" t="s">
        <v>333</v>
      </c>
      <c r="I557" t="s">
        <v>743</v>
      </c>
      <c r="J557" t="s">
        <v>744</v>
      </c>
      <c r="K557" t="s">
        <v>546</v>
      </c>
      <c r="L557" s="784" t="s">
        <v>575</v>
      </c>
      <c r="M557" t="s">
        <v>745</v>
      </c>
      <c r="P557" t="s">
        <v>1887</v>
      </c>
      <c r="Q557" t="s">
        <v>575</v>
      </c>
      <c r="R557" t="s">
        <v>152</v>
      </c>
      <c r="S557" t="s">
        <v>146</v>
      </c>
      <c r="U557">
        <v>0</v>
      </c>
      <c r="V557" t="s">
        <v>544</v>
      </c>
      <c r="W557" t="s">
        <v>575</v>
      </c>
      <c r="X557" s="784">
        <v>10696495313.15033</v>
      </c>
    </row>
    <row r="558" spans="1:24">
      <c r="A558" t="s">
        <v>358</v>
      </c>
      <c r="B558" t="s">
        <v>660</v>
      </c>
      <c r="C558" t="s">
        <v>263</v>
      </c>
      <c r="D558" t="s">
        <v>127</v>
      </c>
      <c r="E558" t="s">
        <v>377</v>
      </c>
      <c r="F558" t="s">
        <v>383</v>
      </c>
      <c r="G558" t="s">
        <v>333</v>
      </c>
      <c r="H558" t="s">
        <v>333</v>
      </c>
      <c r="I558" t="s">
        <v>743</v>
      </c>
      <c r="J558" t="s">
        <v>744</v>
      </c>
      <c r="K558" t="s">
        <v>546</v>
      </c>
      <c r="L558" s="784" t="s">
        <v>575</v>
      </c>
      <c r="M558" t="s">
        <v>745</v>
      </c>
      <c r="P558" t="s">
        <v>1887</v>
      </c>
      <c r="Q558" t="s">
        <v>575</v>
      </c>
      <c r="R558" t="s">
        <v>152</v>
      </c>
      <c r="S558" t="s">
        <v>146</v>
      </c>
      <c r="U558">
        <v>0</v>
      </c>
      <c r="V558" t="s">
        <v>544</v>
      </c>
      <c r="W558" t="s">
        <v>575</v>
      </c>
      <c r="X558" s="784">
        <v>52769713433.240509</v>
      </c>
    </row>
    <row r="559" spans="1:24">
      <c r="A559" t="s">
        <v>358</v>
      </c>
      <c r="B559" t="s">
        <v>661</v>
      </c>
      <c r="C559" t="s">
        <v>264</v>
      </c>
      <c r="D559" t="s">
        <v>128</v>
      </c>
      <c r="E559" t="s">
        <v>377</v>
      </c>
      <c r="F559" t="s">
        <v>383</v>
      </c>
      <c r="G559" t="s">
        <v>333</v>
      </c>
      <c r="H559" t="s">
        <v>333</v>
      </c>
      <c r="I559" t="s">
        <v>743</v>
      </c>
      <c r="J559" t="s">
        <v>744</v>
      </c>
      <c r="K559" t="s">
        <v>546</v>
      </c>
      <c r="L559" s="784" t="s">
        <v>575</v>
      </c>
      <c r="M559" t="s">
        <v>745</v>
      </c>
      <c r="P559" t="s">
        <v>1887</v>
      </c>
      <c r="Q559" t="s">
        <v>575</v>
      </c>
      <c r="R559" t="s">
        <v>148</v>
      </c>
      <c r="S559" t="s">
        <v>145</v>
      </c>
      <c r="U559">
        <v>0</v>
      </c>
      <c r="V559" t="s">
        <v>544</v>
      </c>
      <c r="W559" t="s">
        <v>562</v>
      </c>
      <c r="X559" s="784">
        <v>225799814.51943746</v>
      </c>
    </row>
    <row r="560" spans="1:24">
      <c r="A560" t="s">
        <v>358</v>
      </c>
      <c r="B560" t="s">
        <v>662</v>
      </c>
      <c r="C560" t="s">
        <v>265</v>
      </c>
      <c r="D560" t="s">
        <v>126</v>
      </c>
      <c r="E560" t="s">
        <v>377</v>
      </c>
      <c r="F560" t="s">
        <v>383</v>
      </c>
      <c r="G560" t="s">
        <v>333</v>
      </c>
      <c r="H560" t="s">
        <v>333</v>
      </c>
      <c r="I560" t="s">
        <v>743</v>
      </c>
      <c r="J560" t="s">
        <v>744</v>
      </c>
      <c r="K560" t="s">
        <v>546</v>
      </c>
      <c r="L560" s="784">
        <v>2290000</v>
      </c>
      <c r="M560" t="s">
        <v>745</v>
      </c>
      <c r="P560" t="s">
        <v>1887</v>
      </c>
      <c r="Q560" t="s">
        <v>406</v>
      </c>
      <c r="R560" t="s">
        <v>150</v>
      </c>
      <c r="S560" t="s">
        <v>145</v>
      </c>
      <c r="U560">
        <v>0</v>
      </c>
      <c r="V560" t="s">
        <v>541</v>
      </c>
      <c r="W560" t="s">
        <v>542</v>
      </c>
      <c r="X560" s="784">
        <v>32192988.027009469</v>
      </c>
    </row>
    <row r="561" spans="1:24">
      <c r="A561" t="s">
        <v>358</v>
      </c>
      <c r="B561" t="s">
        <v>663</v>
      </c>
      <c r="C561" t="s">
        <v>266</v>
      </c>
      <c r="D561" t="s">
        <v>129</v>
      </c>
      <c r="E561" t="s">
        <v>377</v>
      </c>
      <c r="F561" t="s">
        <v>383</v>
      </c>
      <c r="G561" t="s">
        <v>333</v>
      </c>
      <c r="H561" t="s">
        <v>333</v>
      </c>
      <c r="I561" t="s">
        <v>743</v>
      </c>
      <c r="J561" t="s">
        <v>744</v>
      </c>
      <c r="K561" t="s">
        <v>546</v>
      </c>
      <c r="L561" s="784" t="s">
        <v>575</v>
      </c>
      <c r="M561" t="s">
        <v>745</v>
      </c>
      <c r="P561" t="s">
        <v>1887</v>
      </c>
      <c r="Q561" t="s">
        <v>575</v>
      </c>
      <c r="R561" t="s">
        <v>150</v>
      </c>
      <c r="S561" t="s">
        <v>145</v>
      </c>
      <c r="U561">
        <v>0</v>
      </c>
      <c r="V561" t="s">
        <v>541</v>
      </c>
      <c r="W561" t="s">
        <v>583</v>
      </c>
      <c r="X561" s="784">
        <v>11633535.136477679</v>
      </c>
    </row>
    <row r="562" spans="1:24">
      <c r="A562" t="s">
        <v>358</v>
      </c>
      <c r="B562" t="s">
        <v>664</v>
      </c>
      <c r="C562" t="s">
        <v>267</v>
      </c>
      <c r="D562" t="s">
        <v>129</v>
      </c>
      <c r="E562" t="s">
        <v>377</v>
      </c>
      <c r="F562" t="s">
        <v>383</v>
      </c>
      <c r="G562" t="s">
        <v>333</v>
      </c>
      <c r="H562" t="s">
        <v>333</v>
      </c>
      <c r="I562" t="s">
        <v>743</v>
      </c>
      <c r="J562" t="s">
        <v>744</v>
      </c>
      <c r="K562" t="s">
        <v>546</v>
      </c>
      <c r="L562" s="784" t="s">
        <v>575</v>
      </c>
      <c r="M562" t="s">
        <v>745</v>
      </c>
      <c r="P562" t="s">
        <v>1887</v>
      </c>
      <c r="Q562" t="s">
        <v>575</v>
      </c>
      <c r="R562" t="s">
        <v>150</v>
      </c>
      <c r="S562" t="s">
        <v>145</v>
      </c>
      <c r="U562">
        <v>2</v>
      </c>
      <c r="V562" t="s">
        <v>544</v>
      </c>
      <c r="W562" t="s">
        <v>562</v>
      </c>
      <c r="X562" s="784">
        <v>222008693.93354639</v>
      </c>
    </row>
    <row r="563" spans="1:24">
      <c r="A563" t="s">
        <v>358</v>
      </c>
      <c r="B563" t="s">
        <v>665</v>
      </c>
      <c r="C563" t="s">
        <v>153</v>
      </c>
      <c r="D563" t="s">
        <v>127</v>
      </c>
      <c r="E563" t="s">
        <v>377</v>
      </c>
      <c r="F563" t="s">
        <v>383</v>
      </c>
      <c r="G563" t="s">
        <v>333</v>
      </c>
      <c r="H563" t="s">
        <v>333</v>
      </c>
      <c r="I563" t="s">
        <v>743</v>
      </c>
      <c r="J563" t="s">
        <v>744</v>
      </c>
      <c r="K563" t="s">
        <v>546</v>
      </c>
      <c r="L563" s="784" t="s">
        <v>575</v>
      </c>
      <c r="M563" t="s">
        <v>745</v>
      </c>
      <c r="P563" t="s">
        <v>1887</v>
      </c>
      <c r="Q563" t="s">
        <v>575</v>
      </c>
      <c r="R563" t="s">
        <v>152</v>
      </c>
      <c r="S563" t="s">
        <v>146</v>
      </c>
      <c r="U563">
        <v>0</v>
      </c>
      <c r="V563" t="s">
        <v>544</v>
      </c>
      <c r="W563" t="s">
        <v>575</v>
      </c>
      <c r="X563" s="784">
        <v>2564993795.1894679</v>
      </c>
    </row>
    <row r="564" spans="1:24">
      <c r="A564" t="s">
        <v>358</v>
      </c>
      <c r="B564" t="s">
        <v>666</v>
      </c>
      <c r="C564" t="s">
        <v>268</v>
      </c>
      <c r="D564" t="s">
        <v>128</v>
      </c>
      <c r="E564" t="s">
        <v>377</v>
      </c>
      <c r="F564" t="s">
        <v>383</v>
      </c>
      <c r="G564" t="s">
        <v>333</v>
      </c>
      <c r="H564" t="s">
        <v>333</v>
      </c>
      <c r="I564" t="s">
        <v>743</v>
      </c>
      <c r="J564" t="s">
        <v>744</v>
      </c>
      <c r="K564" t="s">
        <v>546</v>
      </c>
      <c r="L564" s="784" t="s">
        <v>575</v>
      </c>
      <c r="M564" t="s">
        <v>745</v>
      </c>
      <c r="P564" t="s">
        <v>1887</v>
      </c>
      <c r="Q564" t="s">
        <v>575</v>
      </c>
      <c r="R564" t="s">
        <v>550</v>
      </c>
      <c r="S564" t="s">
        <v>146</v>
      </c>
      <c r="U564">
        <v>0</v>
      </c>
      <c r="V564" t="s">
        <v>541</v>
      </c>
      <c r="W564" t="s">
        <v>546</v>
      </c>
      <c r="X564" s="784">
        <v>60237542.945069775</v>
      </c>
    </row>
    <row r="565" spans="1:24">
      <c r="A565" t="s">
        <v>358</v>
      </c>
      <c r="B565" t="s">
        <v>667</v>
      </c>
      <c r="C565" t="s">
        <v>269</v>
      </c>
      <c r="D565" t="s">
        <v>129</v>
      </c>
      <c r="E565" t="s">
        <v>377</v>
      </c>
      <c r="F565" t="s">
        <v>383</v>
      </c>
      <c r="G565" t="s">
        <v>333</v>
      </c>
      <c r="H565" t="s">
        <v>333</v>
      </c>
      <c r="I565" t="s">
        <v>743</v>
      </c>
      <c r="J565" t="s">
        <v>744</v>
      </c>
      <c r="K565" t="s">
        <v>546</v>
      </c>
      <c r="L565" s="784" t="s">
        <v>575</v>
      </c>
      <c r="M565" t="s">
        <v>745</v>
      </c>
      <c r="P565" t="s">
        <v>1887</v>
      </c>
      <c r="Q565" t="s">
        <v>575</v>
      </c>
      <c r="R565" t="s">
        <v>148</v>
      </c>
      <c r="S565" t="s">
        <v>145</v>
      </c>
      <c r="U565">
        <v>0</v>
      </c>
      <c r="V565" t="s">
        <v>544</v>
      </c>
      <c r="W565" t="s">
        <v>542</v>
      </c>
      <c r="X565" s="784">
        <v>63738640.538260505</v>
      </c>
    </row>
    <row r="566" spans="1:24">
      <c r="A566" t="s">
        <v>358</v>
      </c>
      <c r="B566" t="s">
        <v>668</v>
      </c>
      <c r="C566" t="s">
        <v>270</v>
      </c>
      <c r="D566" t="s">
        <v>126</v>
      </c>
      <c r="E566" t="s">
        <v>377</v>
      </c>
      <c r="F566" t="s">
        <v>383</v>
      </c>
      <c r="G566" t="s">
        <v>333</v>
      </c>
      <c r="H566" t="s">
        <v>333</v>
      </c>
      <c r="I566" t="s">
        <v>743</v>
      </c>
      <c r="J566" t="s">
        <v>744</v>
      </c>
      <c r="K566" t="s">
        <v>546</v>
      </c>
      <c r="L566" s="784" t="s">
        <v>575</v>
      </c>
      <c r="M566" t="s">
        <v>745</v>
      </c>
      <c r="P566" t="s">
        <v>1887</v>
      </c>
      <c r="Q566" t="s">
        <v>575</v>
      </c>
      <c r="R566" t="s">
        <v>150</v>
      </c>
      <c r="S566" t="s">
        <v>145</v>
      </c>
      <c r="U566">
        <v>0</v>
      </c>
      <c r="V566" t="s">
        <v>541</v>
      </c>
      <c r="W566" t="s">
        <v>562</v>
      </c>
      <c r="X566" s="784">
        <v>49012774.055630356</v>
      </c>
    </row>
    <row r="567" spans="1:24">
      <c r="A567" t="s">
        <v>358</v>
      </c>
      <c r="B567" t="s">
        <v>669</v>
      </c>
      <c r="C567" t="s">
        <v>271</v>
      </c>
      <c r="D567" t="s">
        <v>128</v>
      </c>
      <c r="E567" t="s">
        <v>377</v>
      </c>
      <c r="F567" t="s">
        <v>383</v>
      </c>
      <c r="G567" t="s">
        <v>333</v>
      </c>
      <c r="H567" t="s">
        <v>333</v>
      </c>
      <c r="I567" t="s">
        <v>743</v>
      </c>
      <c r="J567" t="s">
        <v>744</v>
      </c>
      <c r="K567" t="s">
        <v>546</v>
      </c>
      <c r="L567" s="784" t="s">
        <v>575</v>
      </c>
      <c r="M567" t="s">
        <v>745</v>
      </c>
      <c r="P567" t="s">
        <v>1887</v>
      </c>
      <c r="Q567" t="s">
        <v>575</v>
      </c>
      <c r="R567" t="s">
        <v>148</v>
      </c>
      <c r="S567" t="s">
        <v>145</v>
      </c>
      <c r="U567">
        <v>1</v>
      </c>
      <c r="V567" t="s">
        <v>544</v>
      </c>
      <c r="W567" t="s">
        <v>583</v>
      </c>
      <c r="X567" s="784" t="s">
        <v>575</v>
      </c>
    </row>
    <row r="568" spans="1:24">
      <c r="A568" t="s">
        <v>358</v>
      </c>
      <c r="B568" t="s">
        <v>670</v>
      </c>
      <c r="C568" t="s">
        <v>272</v>
      </c>
      <c r="D568" t="s">
        <v>128</v>
      </c>
      <c r="E568" t="s">
        <v>377</v>
      </c>
      <c r="F568" t="s">
        <v>383</v>
      </c>
      <c r="G568" t="s">
        <v>333</v>
      </c>
      <c r="H568" t="s">
        <v>333</v>
      </c>
      <c r="I568" t="s">
        <v>743</v>
      </c>
      <c r="J568" t="s">
        <v>744</v>
      </c>
      <c r="K568" t="s">
        <v>546</v>
      </c>
      <c r="L568" s="784" t="s">
        <v>575</v>
      </c>
      <c r="M568" t="s">
        <v>745</v>
      </c>
      <c r="P568" t="s">
        <v>1887</v>
      </c>
      <c r="Q568" t="s">
        <v>575</v>
      </c>
      <c r="R568" t="s">
        <v>152</v>
      </c>
      <c r="S568" t="s">
        <v>146</v>
      </c>
      <c r="U568">
        <v>0</v>
      </c>
      <c r="V568" t="s">
        <v>544</v>
      </c>
      <c r="W568" t="s">
        <v>546</v>
      </c>
      <c r="X568" s="784">
        <v>16429121142.784708</v>
      </c>
    </row>
    <row r="569" spans="1:24">
      <c r="A569" t="s">
        <v>358</v>
      </c>
      <c r="B569" t="s">
        <v>671</v>
      </c>
      <c r="C569" t="s">
        <v>273</v>
      </c>
      <c r="D569" t="s">
        <v>128</v>
      </c>
      <c r="E569" t="s">
        <v>377</v>
      </c>
      <c r="F569" t="s">
        <v>383</v>
      </c>
      <c r="G569" t="s">
        <v>333</v>
      </c>
      <c r="H569" t="s">
        <v>333</v>
      </c>
      <c r="I569" t="s">
        <v>743</v>
      </c>
      <c r="J569" t="s">
        <v>744</v>
      </c>
      <c r="K569" t="s">
        <v>546</v>
      </c>
      <c r="L569" s="784" t="s">
        <v>575</v>
      </c>
      <c r="M569" t="s">
        <v>745</v>
      </c>
      <c r="P569" t="s">
        <v>1887</v>
      </c>
      <c r="Q569" t="s">
        <v>575</v>
      </c>
      <c r="R569" t="s">
        <v>148</v>
      </c>
      <c r="S569" t="s">
        <v>145</v>
      </c>
      <c r="U569">
        <v>1</v>
      </c>
      <c r="V569" t="s">
        <v>544</v>
      </c>
      <c r="W569" t="s">
        <v>542</v>
      </c>
      <c r="X569" s="784">
        <v>31684581.76217727</v>
      </c>
    </row>
    <row r="570" spans="1:24">
      <c r="A570" t="s">
        <v>358</v>
      </c>
      <c r="B570" t="s">
        <v>672</v>
      </c>
      <c r="C570" t="s">
        <v>274</v>
      </c>
      <c r="D570" t="s">
        <v>132</v>
      </c>
      <c r="E570" t="s">
        <v>377</v>
      </c>
      <c r="F570" t="s">
        <v>383</v>
      </c>
      <c r="G570" t="s">
        <v>333</v>
      </c>
      <c r="H570" t="s">
        <v>333</v>
      </c>
      <c r="I570" t="s">
        <v>743</v>
      </c>
      <c r="J570" t="s">
        <v>744</v>
      </c>
      <c r="K570" t="s">
        <v>546</v>
      </c>
      <c r="L570" s="784">
        <v>84000000</v>
      </c>
      <c r="M570" t="s">
        <v>745</v>
      </c>
      <c r="P570" t="s">
        <v>1887</v>
      </c>
      <c r="Q570" t="s">
        <v>406</v>
      </c>
      <c r="R570" t="s">
        <v>150</v>
      </c>
      <c r="S570" t="s">
        <v>145</v>
      </c>
      <c r="U570">
        <v>0</v>
      </c>
      <c r="V570" t="s">
        <v>544</v>
      </c>
      <c r="W570" t="s">
        <v>546</v>
      </c>
      <c r="X570" s="784">
        <v>1373621563.5182886</v>
      </c>
    </row>
    <row r="571" spans="1:24">
      <c r="A571" t="s">
        <v>358</v>
      </c>
      <c r="B571" t="s">
        <v>673</v>
      </c>
      <c r="C571" t="s">
        <v>275</v>
      </c>
      <c r="D571" t="s">
        <v>130</v>
      </c>
      <c r="E571" t="s">
        <v>377</v>
      </c>
      <c r="F571" t="s">
        <v>383</v>
      </c>
      <c r="G571" t="s">
        <v>333</v>
      </c>
      <c r="H571" t="s">
        <v>333</v>
      </c>
      <c r="I571" t="s">
        <v>743</v>
      </c>
      <c r="J571" t="s">
        <v>744</v>
      </c>
      <c r="K571" t="s">
        <v>546</v>
      </c>
      <c r="L571" s="784" t="s">
        <v>575</v>
      </c>
      <c r="M571" t="s">
        <v>745</v>
      </c>
      <c r="P571" t="s">
        <v>1887</v>
      </c>
      <c r="Q571" t="s">
        <v>575</v>
      </c>
      <c r="R571" t="s">
        <v>550</v>
      </c>
      <c r="S571" t="s">
        <v>146</v>
      </c>
      <c r="U571">
        <v>0</v>
      </c>
      <c r="V571" t="s">
        <v>541</v>
      </c>
      <c r="W571" t="s">
        <v>575</v>
      </c>
      <c r="X571" s="784">
        <v>24214370.889062837</v>
      </c>
    </row>
    <row r="572" spans="1:24">
      <c r="A572" t="s">
        <v>358</v>
      </c>
      <c r="B572" t="s">
        <v>674</v>
      </c>
      <c r="C572" t="s">
        <v>154</v>
      </c>
      <c r="D572" t="s">
        <v>130</v>
      </c>
      <c r="E572" t="s">
        <v>377</v>
      </c>
      <c r="F572" t="s">
        <v>383</v>
      </c>
      <c r="G572" t="s">
        <v>333</v>
      </c>
      <c r="H572" t="s">
        <v>333</v>
      </c>
      <c r="I572" t="s">
        <v>743</v>
      </c>
      <c r="J572" t="s">
        <v>744</v>
      </c>
      <c r="K572" t="s">
        <v>546</v>
      </c>
      <c r="L572" s="784" t="s">
        <v>575</v>
      </c>
      <c r="M572" t="s">
        <v>745</v>
      </c>
      <c r="P572" t="s">
        <v>1887</v>
      </c>
      <c r="Q572" t="s">
        <v>575</v>
      </c>
      <c r="R572" t="s">
        <v>152</v>
      </c>
      <c r="S572" t="s">
        <v>145</v>
      </c>
      <c r="U572">
        <v>0</v>
      </c>
      <c r="V572" t="s">
        <v>541</v>
      </c>
      <c r="W572" t="s">
        <v>548</v>
      </c>
      <c r="X572" s="784">
        <v>39941279.609447442</v>
      </c>
    </row>
    <row r="573" spans="1:24">
      <c r="A573" t="s">
        <v>358</v>
      </c>
      <c r="B573" t="s">
        <v>675</v>
      </c>
      <c r="C573" t="s">
        <v>155</v>
      </c>
      <c r="D573" t="s">
        <v>130</v>
      </c>
      <c r="E573" t="s">
        <v>377</v>
      </c>
      <c r="F573" t="s">
        <v>383</v>
      </c>
      <c r="G573" t="s">
        <v>333</v>
      </c>
      <c r="H573" t="s">
        <v>333</v>
      </c>
      <c r="I573" t="s">
        <v>743</v>
      </c>
      <c r="J573" t="s">
        <v>744</v>
      </c>
      <c r="K573" t="s">
        <v>546</v>
      </c>
      <c r="L573" s="784" t="s">
        <v>575</v>
      </c>
      <c r="M573" t="s">
        <v>745</v>
      </c>
      <c r="P573" t="s">
        <v>1887</v>
      </c>
      <c r="Q573" t="s">
        <v>575</v>
      </c>
      <c r="R573" t="s">
        <v>152</v>
      </c>
      <c r="S573" t="s">
        <v>145</v>
      </c>
      <c r="U573">
        <v>0</v>
      </c>
      <c r="V573" t="s">
        <v>541</v>
      </c>
      <c r="W573" t="s">
        <v>542</v>
      </c>
      <c r="X573" s="784">
        <v>24761675.260059897</v>
      </c>
    </row>
    <row r="574" spans="1:24">
      <c r="A574" t="s">
        <v>358</v>
      </c>
      <c r="B574" t="s">
        <v>676</v>
      </c>
      <c r="C574" t="s">
        <v>276</v>
      </c>
      <c r="D574" t="s">
        <v>131</v>
      </c>
      <c r="E574" t="s">
        <v>377</v>
      </c>
      <c r="F574" t="s">
        <v>383</v>
      </c>
      <c r="G574" t="s">
        <v>333</v>
      </c>
      <c r="H574" t="s">
        <v>333</v>
      </c>
      <c r="I574" t="s">
        <v>743</v>
      </c>
      <c r="J574" t="s">
        <v>744</v>
      </c>
      <c r="K574" t="s">
        <v>546</v>
      </c>
      <c r="L574" s="784" t="s">
        <v>575</v>
      </c>
      <c r="M574" t="s">
        <v>745</v>
      </c>
      <c r="P574" t="s">
        <v>1887</v>
      </c>
      <c r="Q574" t="s">
        <v>575</v>
      </c>
      <c r="R574" t="s">
        <v>150</v>
      </c>
      <c r="S574" t="s">
        <v>145</v>
      </c>
      <c r="U574">
        <v>0</v>
      </c>
      <c r="V574" t="s">
        <v>544</v>
      </c>
      <c r="W574" t="s">
        <v>546</v>
      </c>
      <c r="X574" s="784" t="s">
        <v>575</v>
      </c>
    </row>
    <row r="575" spans="1:24">
      <c r="A575" t="s">
        <v>358</v>
      </c>
      <c r="B575" t="s">
        <v>677</v>
      </c>
      <c r="C575" t="s">
        <v>277</v>
      </c>
      <c r="D575" t="s">
        <v>131</v>
      </c>
      <c r="E575" t="s">
        <v>377</v>
      </c>
      <c r="F575" t="s">
        <v>383</v>
      </c>
      <c r="G575" t="s">
        <v>333</v>
      </c>
      <c r="H575" t="s">
        <v>333</v>
      </c>
      <c r="I575" t="s">
        <v>743</v>
      </c>
      <c r="J575" t="s">
        <v>744</v>
      </c>
      <c r="K575" t="s">
        <v>546</v>
      </c>
      <c r="L575" s="784" t="s">
        <v>575</v>
      </c>
      <c r="M575" t="s">
        <v>745</v>
      </c>
      <c r="P575" t="s">
        <v>1887</v>
      </c>
      <c r="Q575" t="s">
        <v>575</v>
      </c>
      <c r="R575" t="s">
        <v>148</v>
      </c>
      <c r="S575" t="s">
        <v>145</v>
      </c>
      <c r="U575">
        <v>1</v>
      </c>
      <c r="V575" t="s">
        <v>544</v>
      </c>
      <c r="W575" t="s">
        <v>546</v>
      </c>
      <c r="X575" s="784">
        <v>577156172.71229994</v>
      </c>
    </row>
    <row r="576" spans="1:24">
      <c r="A576" t="s">
        <v>358</v>
      </c>
      <c r="B576" t="s">
        <v>678</v>
      </c>
      <c r="C576" t="s">
        <v>278</v>
      </c>
      <c r="D576" t="s">
        <v>126</v>
      </c>
      <c r="E576" t="s">
        <v>377</v>
      </c>
      <c r="F576" t="s">
        <v>383</v>
      </c>
      <c r="G576" t="s">
        <v>333</v>
      </c>
      <c r="H576" t="s">
        <v>333</v>
      </c>
      <c r="I576" t="s">
        <v>743</v>
      </c>
      <c r="J576" t="s">
        <v>744</v>
      </c>
      <c r="K576" t="s">
        <v>546</v>
      </c>
      <c r="L576" s="784" t="s">
        <v>575</v>
      </c>
      <c r="M576" t="s">
        <v>745</v>
      </c>
      <c r="P576" t="s">
        <v>1887</v>
      </c>
      <c r="Q576" t="s">
        <v>575</v>
      </c>
      <c r="R576" t="s">
        <v>152</v>
      </c>
      <c r="S576" t="s">
        <v>146</v>
      </c>
      <c r="U576">
        <v>0</v>
      </c>
      <c r="V576" t="s">
        <v>541</v>
      </c>
      <c r="W576" t="s">
        <v>575</v>
      </c>
      <c r="X576" s="784">
        <v>180052034.19851837</v>
      </c>
    </row>
    <row r="577" spans="1:24">
      <c r="A577" t="s">
        <v>358</v>
      </c>
      <c r="B577" t="s">
        <v>679</v>
      </c>
      <c r="C577" t="s">
        <v>279</v>
      </c>
      <c r="D577" t="s">
        <v>131</v>
      </c>
      <c r="E577" t="s">
        <v>377</v>
      </c>
      <c r="F577" t="s">
        <v>383</v>
      </c>
      <c r="G577" t="s">
        <v>333</v>
      </c>
      <c r="H577" t="s">
        <v>333</v>
      </c>
      <c r="I577" t="s">
        <v>743</v>
      </c>
      <c r="J577" t="s">
        <v>744</v>
      </c>
      <c r="K577" t="s">
        <v>546</v>
      </c>
      <c r="L577" s="784" t="s">
        <v>575</v>
      </c>
      <c r="M577" t="s">
        <v>745</v>
      </c>
      <c r="P577" t="s">
        <v>1887</v>
      </c>
      <c r="Q577" t="s">
        <v>575</v>
      </c>
      <c r="R577" t="s">
        <v>148</v>
      </c>
      <c r="S577" t="s">
        <v>145</v>
      </c>
      <c r="U577">
        <v>1</v>
      </c>
      <c r="V577" t="s">
        <v>544</v>
      </c>
      <c r="W577" t="s">
        <v>546</v>
      </c>
      <c r="X577" s="784" t="s">
        <v>575</v>
      </c>
    </row>
    <row r="578" spans="1:24">
      <c r="A578" t="s">
        <v>358</v>
      </c>
      <c r="B578" t="s">
        <v>680</v>
      </c>
      <c r="C578" t="s">
        <v>280</v>
      </c>
      <c r="D578" t="s">
        <v>127</v>
      </c>
      <c r="E578" t="s">
        <v>377</v>
      </c>
      <c r="F578" t="s">
        <v>383</v>
      </c>
      <c r="G578" t="s">
        <v>333</v>
      </c>
      <c r="H578" t="s">
        <v>333</v>
      </c>
      <c r="I578" t="s">
        <v>743</v>
      </c>
      <c r="J578" t="s">
        <v>744</v>
      </c>
      <c r="K578" t="s">
        <v>546</v>
      </c>
      <c r="L578" s="784">
        <v>21800000</v>
      </c>
      <c r="M578" t="s">
        <v>745</v>
      </c>
      <c r="P578" t="s">
        <v>1887</v>
      </c>
      <c r="Q578" t="s">
        <v>406</v>
      </c>
      <c r="R578" t="s">
        <v>150</v>
      </c>
      <c r="S578" t="s">
        <v>145</v>
      </c>
      <c r="U578">
        <v>0</v>
      </c>
      <c r="V578" t="s">
        <v>544</v>
      </c>
      <c r="W578" t="s">
        <v>542</v>
      </c>
      <c r="X578" s="784">
        <v>147296124.32232863</v>
      </c>
    </row>
    <row r="579" spans="1:24">
      <c r="A579" t="s">
        <v>358</v>
      </c>
      <c r="B579" t="s">
        <v>681</v>
      </c>
      <c r="C579" t="s">
        <v>156</v>
      </c>
      <c r="D579" t="s">
        <v>128</v>
      </c>
      <c r="E579" t="s">
        <v>377</v>
      </c>
      <c r="F579" t="s">
        <v>383</v>
      </c>
      <c r="G579" t="s">
        <v>333</v>
      </c>
      <c r="H579" t="s">
        <v>333</v>
      </c>
      <c r="I579" t="s">
        <v>743</v>
      </c>
      <c r="J579" t="s">
        <v>744</v>
      </c>
      <c r="K579" t="s">
        <v>546</v>
      </c>
      <c r="L579" s="784" t="s">
        <v>575</v>
      </c>
      <c r="M579" t="s">
        <v>745</v>
      </c>
      <c r="P579" t="s">
        <v>1887</v>
      </c>
      <c r="Q579" t="s">
        <v>575</v>
      </c>
      <c r="R579" t="s">
        <v>150</v>
      </c>
      <c r="S579" t="s">
        <v>145</v>
      </c>
      <c r="U579">
        <v>0</v>
      </c>
      <c r="V579" t="s">
        <v>544</v>
      </c>
      <c r="W579" t="s">
        <v>548</v>
      </c>
      <c r="X579" s="784">
        <v>890576536.83065879</v>
      </c>
    </row>
    <row r="580" spans="1:24">
      <c r="A580" t="s">
        <v>358</v>
      </c>
      <c r="B580" t="s">
        <v>682</v>
      </c>
      <c r="C580" t="s">
        <v>157</v>
      </c>
      <c r="D580" t="s">
        <v>126</v>
      </c>
      <c r="E580" t="s">
        <v>377</v>
      </c>
      <c r="F580" t="s">
        <v>383</v>
      </c>
      <c r="G580" t="s">
        <v>333</v>
      </c>
      <c r="H580" t="s">
        <v>333</v>
      </c>
      <c r="I580" t="s">
        <v>743</v>
      </c>
      <c r="J580" t="s">
        <v>744</v>
      </c>
      <c r="K580" t="s">
        <v>546</v>
      </c>
      <c r="L580" s="784" t="s">
        <v>575</v>
      </c>
      <c r="M580" t="s">
        <v>745</v>
      </c>
      <c r="P580" t="s">
        <v>1887</v>
      </c>
      <c r="Q580" t="s">
        <v>575</v>
      </c>
      <c r="R580" t="s">
        <v>152</v>
      </c>
      <c r="S580" t="s">
        <v>146</v>
      </c>
      <c r="U580">
        <v>0</v>
      </c>
      <c r="V580" t="s">
        <v>544</v>
      </c>
      <c r="W580" t="s">
        <v>575</v>
      </c>
      <c r="X580" s="784">
        <v>14611129792.346064</v>
      </c>
    </row>
    <row r="581" spans="1:24">
      <c r="A581" t="s">
        <v>358</v>
      </c>
      <c r="B581" t="s">
        <v>683</v>
      </c>
      <c r="C581" t="s">
        <v>281</v>
      </c>
      <c r="D581" t="s">
        <v>126</v>
      </c>
      <c r="E581" t="s">
        <v>377</v>
      </c>
      <c r="F581" t="s">
        <v>383</v>
      </c>
      <c r="G581" t="s">
        <v>333</v>
      </c>
      <c r="H581" t="s">
        <v>333</v>
      </c>
      <c r="I581" t="s">
        <v>743</v>
      </c>
      <c r="J581" t="s">
        <v>744</v>
      </c>
      <c r="K581" t="s">
        <v>546</v>
      </c>
      <c r="L581" s="784" t="s">
        <v>575</v>
      </c>
      <c r="M581" t="s">
        <v>745</v>
      </c>
      <c r="P581" t="s">
        <v>1887</v>
      </c>
      <c r="Q581" t="s">
        <v>575</v>
      </c>
      <c r="R581" t="s">
        <v>150</v>
      </c>
      <c r="S581" t="s">
        <v>145</v>
      </c>
      <c r="U581">
        <v>0</v>
      </c>
      <c r="V581" t="s">
        <v>541</v>
      </c>
      <c r="W581" t="s">
        <v>558</v>
      </c>
      <c r="X581" s="784">
        <v>72046877.233008593</v>
      </c>
    </row>
    <row r="582" spans="1:24">
      <c r="A582" t="s">
        <v>358</v>
      </c>
      <c r="B582" t="s">
        <v>684</v>
      </c>
      <c r="C582" t="s">
        <v>282</v>
      </c>
      <c r="D582" t="s">
        <v>129</v>
      </c>
      <c r="E582" t="s">
        <v>377</v>
      </c>
      <c r="F582" t="s">
        <v>383</v>
      </c>
      <c r="G582" t="s">
        <v>333</v>
      </c>
      <c r="H582" t="s">
        <v>333</v>
      </c>
      <c r="I582" t="s">
        <v>743</v>
      </c>
      <c r="J582" t="s">
        <v>744</v>
      </c>
      <c r="K582" t="s">
        <v>546</v>
      </c>
      <c r="L582" s="784" t="s">
        <v>575</v>
      </c>
      <c r="M582" t="s">
        <v>745</v>
      </c>
      <c r="P582" t="s">
        <v>1887</v>
      </c>
      <c r="Q582" t="s">
        <v>575</v>
      </c>
      <c r="R582" t="s">
        <v>148</v>
      </c>
      <c r="S582" t="s">
        <v>145</v>
      </c>
      <c r="U582">
        <v>0</v>
      </c>
      <c r="V582" t="s">
        <v>544</v>
      </c>
      <c r="W582" t="s">
        <v>542</v>
      </c>
      <c r="X582" s="784">
        <v>56248139.267255567</v>
      </c>
    </row>
    <row r="583" spans="1:24">
      <c r="A583" t="s">
        <v>358</v>
      </c>
      <c r="B583" t="s">
        <v>685</v>
      </c>
      <c r="C583" t="s">
        <v>283</v>
      </c>
      <c r="D583" t="s">
        <v>126</v>
      </c>
      <c r="E583" t="s">
        <v>377</v>
      </c>
      <c r="F583" t="s">
        <v>383</v>
      </c>
      <c r="G583" t="s">
        <v>333</v>
      </c>
      <c r="H583" t="s">
        <v>333</v>
      </c>
      <c r="I583" t="s">
        <v>743</v>
      </c>
      <c r="J583" t="s">
        <v>744</v>
      </c>
      <c r="K583" t="s">
        <v>546</v>
      </c>
      <c r="L583" s="784">
        <v>1230000</v>
      </c>
      <c r="M583" t="s">
        <v>745</v>
      </c>
      <c r="P583" t="s">
        <v>1887</v>
      </c>
      <c r="Q583" t="s">
        <v>406</v>
      </c>
      <c r="R583" t="s">
        <v>152</v>
      </c>
      <c r="S583" t="s">
        <v>145</v>
      </c>
      <c r="U583">
        <v>0</v>
      </c>
      <c r="V583" t="s">
        <v>541</v>
      </c>
      <c r="W583" t="s">
        <v>542</v>
      </c>
      <c r="X583" s="784">
        <v>15464031.712942109</v>
      </c>
    </row>
    <row r="584" spans="1:24">
      <c r="A584" t="s">
        <v>358</v>
      </c>
      <c r="B584" t="s">
        <v>686</v>
      </c>
      <c r="C584" t="s">
        <v>284</v>
      </c>
      <c r="D584" t="s">
        <v>130</v>
      </c>
      <c r="E584" t="s">
        <v>377</v>
      </c>
      <c r="F584" t="s">
        <v>383</v>
      </c>
      <c r="G584" t="s">
        <v>333</v>
      </c>
      <c r="H584" t="s">
        <v>333</v>
      </c>
      <c r="I584" t="s">
        <v>743</v>
      </c>
      <c r="J584" t="s">
        <v>744</v>
      </c>
      <c r="K584" t="s">
        <v>546</v>
      </c>
      <c r="L584" s="784" t="s">
        <v>575</v>
      </c>
      <c r="M584" t="s">
        <v>745</v>
      </c>
      <c r="P584" t="s">
        <v>1887</v>
      </c>
      <c r="Q584" t="s">
        <v>575</v>
      </c>
      <c r="R584" t="s">
        <v>550</v>
      </c>
      <c r="S584" t="s">
        <v>146</v>
      </c>
      <c r="U584">
        <v>0</v>
      </c>
      <c r="V584" t="s">
        <v>541</v>
      </c>
      <c r="W584" t="s">
        <v>546</v>
      </c>
      <c r="X584" s="784">
        <v>769564399.33249676</v>
      </c>
    </row>
    <row r="585" spans="1:24">
      <c r="A585" t="s">
        <v>358</v>
      </c>
      <c r="B585" t="s">
        <v>687</v>
      </c>
      <c r="C585" t="s">
        <v>285</v>
      </c>
      <c r="D585" t="s">
        <v>131</v>
      </c>
      <c r="E585" t="s">
        <v>377</v>
      </c>
      <c r="F585" t="s">
        <v>383</v>
      </c>
      <c r="G585" t="s">
        <v>333</v>
      </c>
      <c r="H585" t="s">
        <v>333</v>
      </c>
      <c r="I585" t="s">
        <v>743</v>
      </c>
      <c r="J585" t="s">
        <v>744</v>
      </c>
      <c r="K585" t="s">
        <v>546</v>
      </c>
      <c r="L585" s="784" t="s">
        <v>575</v>
      </c>
      <c r="M585" t="s">
        <v>745</v>
      </c>
      <c r="P585" t="s">
        <v>1887</v>
      </c>
      <c r="Q585" t="s">
        <v>575</v>
      </c>
      <c r="R585" t="s">
        <v>150</v>
      </c>
      <c r="S585" t="s">
        <v>145</v>
      </c>
      <c r="U585">
        <v>0</v>
      </c>
      <c r="V585" t="s">
        <v>544</v>
      </c>
      <c r="W585" t="s">
        <v>546</v>
      </c>
      <c r="X585" s="784">
        <v>1668954539.7630196</v>
      </c>
    </row>
    <row r="586" spans="1:24">
      <c r="A586" t="s">
        <v>358</v>
      </c>
      <c r="B586" t="s">
        <v>688</v>
      </c>
      <c r="C586" t="s">
        <v>286</v>
      </c>
      <c r="D586" t="s">
        <v>127</v>
      </c>
      <c r="E586" t="s">
        <v>377</v>
      </c>
      <c r="F586" t="s">
        <v>383</v>
      </c>
      <c r="G586" t="s">
        <v>333</v>
      </c>
      <c r="H586" t="s">
        <v>333</v>
      </c>
      <c r="I586" t="s">
        <v>743</v>
      </c>
      <c r="J586" t="s">
        <v>744</v>
      </c>
      <c r="K586" t="s">
        <v>546</v>
      </c>
      <c r="L586" s="784" t="s">
        <v>575</v>
      </c>
      <c r="M586" t="s">
        <v>745</v>
      </c>
      <c r="P586" t="s">
        <v>1887</v>
      </c>
      <c r="Q586" t="s">
        <v>575</v>
      </c>
      <c r="R586" t="s">
        <v>152</v>
      </c>
      <c r="S586" t="s">
        <v>146</v>
      </c>
      <c r="U586">
        <v>0</v>
      </c>
      <c r="V586" t="s">
        <v>544</v>
      </c>
      <c r="W586" t="s">
        <v>575</v>
      </c>
      <c r="X586" s="784">
        <v>24840920016.18832</v>
      </c>
    </row>
    <row r="587" spans="1:24">
      <c r="A587" t="s">
        <v>358</v>
      </c>
      <c r="B587" t="s">
        <v>689</v>
      </c>
      <c r="C587" t="s">
        <v>287</v>
      </c>
      <c r="D587" t="s">
        <v>127</v>
      </c>
      <c r="E587" t="s">
        <v>377</v>
      </c>
      <c r="F587" t="s">
        <v>383</v>
      </c>
      <c r="G587" t="s">
        <v>333</v>
      </c>
      <c r="H587" t="s">
        <v>333</v>
      </c>
      <c r="I587" t="s">
        <v>743</v>
      </c>
      <c r="J587" t="s">
        <v>744</v>
      </c>
      <c r="K587" t="s">
        <v>546</v>
      </c>
      <c r="L587" s="784" t="s">
        <v>575</v>
      </c>
      <c r="M587" t="s">
        <v>745</v>
      </c>
      <c r="P587" t="s">
        <v>1887</v>
      </c>
      <c r="Q587" t="s">
        <v>575</v>
      </c>
      <c r="R587" t="s">
        <v>152</v>
      </c>
      <c r="S587" t="s">
        <v>146</v>
      </c>
      <c r="U587">
        <v>0</v>
      </c>
      <c r="V587" t="s">
        <v>544</v>
      </c>
      <c r="W587" t="s">
        <v>546</v>
      </c>
      <c r="X587" s="784">
        <v>487888462.83720118</v>
      </c>
    </row>
    <row r="588" spans="1:24">
      <c r="A588" t="s">
        <v>358</v>
      </c>
      <c r="B588" t="s">
        <v>690</v>
      </c>
      <c r="C588" t="s">
        <v>288</v>
      </c>
      <c r="D588" t="s">
        <v>126</v>
      </c>
      <c r="E588" t="s">
        <v>377</v>
      </c>
      <c r="F588" t="s">
        <v>383</v>
      </c>
      <c r="G588" t="s">
        <v>333</v>
      </c>
      <c r="H588" t="s">
        <v>333</v>
      </c>
      <c r="I588" t="s">
        <v>743</v>
      </c>
      <c r="J588" t="s">
        <v>744</v>
      </c>
      <c r="K588" t="s">
        <v>546</v>
      </c>
      <c r="L588" s="784">
        <v>150000</v>
      </c>
      <c r="M588" t="s">
        <v>745</v>
      </c>
      <c r="P588" t="s">
        <v>1887</v>
      </c>
      <c r="Q588" t="s">
        <v>406</v>
      </c>
      <c r="R588" t="s">
        <v>152</v>
      </c>
      <c r="S588" t="s">
        <v>145</v>
      </c>
      <c r="U588">
        <v>0</v>
      </c>
      <c r="V588" t="s">
        <v>541</v>
      </c>
      <c r="W588" t="s">
        <v>548</v>
      </c>
      <c r="X588" s="784">
        <v>6365061.1736073596</v>
      </c>
    </row>
    <row r="589" spans="1:24">
      <c r="A589" t="s">
        <v>358</v>
      </c>
      <c r="B589" t="s">
        <v>691</v>
      </c>
      <c r="C589" t="s">
        <v>289</v>
      </c>
      <c r="D589" t="s">
        <v>128</v>
      </c>
      <c r="E589" t="s">
        <v>377</v>
      </c>
      <c r="F589" t="s">
        <v>383</v>
      </c>
      <c r="G589" t="s">
        <v>333</v>
      </c>
      <c r="H589" t="s">
        <v>333</v>
      </c>
      <c r="I589" t="s">
        <v>743</v>
      </c>
      <c r="J589" t="s">
        <v>744</v>
      </c>
      <c r="K589" t="s">
        <v>546</v>
      </c>
      <c r="L589" s="784" t="s">
        <v>575</v>
      </c>
      <c r="M589" t="s">
        <v>745</v>
      </c>
      <c r="P589" t="s">
        <v>1887</v>
      </c>
      <c r="Q589" t="s">
        <v>575</v>
      </c>
      <c r="R589" t="s">
        <v>148</v>
      </c>
      <c r="S589" t="s">
        <v>145</v>
      </c>
      <c r="U589">
        <v>2</v>
      </c>
      <c r="V589" t="s">
        <v>544</v>
      </c>
      <c r="W589" t="s">
        <v>558</v>
      </c>
      <c r="X589" s="784">
        <v>291799092.90196139</v>
      </c>
    </row>
    <row r="590" spans="1:24">
      <c r="A590" t="s">
        <v>358</v>
      </c>
      <c r="B590" t="s">
        <v>692</v>
      </c>
      <c r="C590" t="s">
        <v>290</v>
      </c>
      <c r="D590" t="s">
        <v>127</v>
      </c>
      <c r="E590" t="s">
        <v>377</v>
      </c>
      <c r="F590" t="s">
        <v>383</v>
      </c>
      <c r="G590" t="s">
        <v>333</v>
      </c>
      <c r="H590" t="s">
        <v>333</v>
      </c>
      <c r="I590" t="s">
        <v>743</v>
      </c>
      <c r="J590" t="s">
        <v>744</v>
      </c>
      <c r="K590" t="s">
        <v>546</v>
      </c>
      <c r="L590" s="784" t="s">
        <v>575</v>
      </c>
      <c r="M590" t="s">
        <v>745</v>
      </c>
      <c r="P590" t="s">
        <v>1887</v>
      </c>
      <c r="Q590" t="s">
        <v>575</v>
      </c>
      <c r="R590" t="s">
        <v>150</v>
      </c>
      <c r="S590" t="s">
        <v>145</v>
      </c>
      <c r="U590">
        <v>0</v>
      </c>
      <c r="V590" t="s">
        <v>544</v>
      </c>
      <c r="W590" t="s">
        <v>546</v>
      </c>
      <c r="X590" s="784">
        <v>4844815340.2135534</v>
      </c>
    </row>
    <row r="591" spans="1:24">
      <c r="A591" t="s">
        <v>358</v>
      </c>
      <c r="B591" t="s">
        <v>693</v>
      </c>
      <c r="C591" t="s">
        <v>291</v>
      </c>
      <c r="D591" t="s">
        <v>130</v>
      </c>
      <c r="E591" t="s">
        <v>377</v>
      </c>
      <c r="F591" t="s">
        <v>383</v>
      </c>
      <c r="G591" t="s">
        <v>333</v>
      </c>
      <c r="H591" t="s">
        <v>333</v>
      </c>
      <c r="I591" t="s">
        <v>743</v>
      </c>
      <c r="J591" t="s">
        <v>744</v>
      </c>
      <c r="K591" t="s">
        <v>546</v>
      </c>
      <c r="L591" s="784" t="s">
        <v>575</v>
      </c>
      <c r="M591" t="s">
        <v>745</v>
      </c>
      <c r="P591" t="s">
        <v>1887</v>
      </c>
      <c r="Q591" t="s">
        <v>575</v>
      </c>
      <c r="R591" t="s">
        <v>550</v>
      </c>
      <c r="S591" t="s">
        <v>146</v>
      </c>
      <c r="U591">
        <v>0</v>
      </c>
      <c r="V591" t="s">
        <v>544</v>
      </c>
      <c r="W591" t="s">
        <v>575</v>
      </c>
      <c r="X591" s="784">
        <v>4001891446.6871672</v>
      </c>
    </row>
    <row r="592" spans="1:24">
      <c r="A592" t="s">
        <v>358</v>
      </c>
      <c r="B592" t="s">
        <v>694</v>
      </c>
      <c r="C592" t="s">
        <v>292</v>
      </c>
      <c r="D592" t="s">
        <v>127</v>
      </c>
      <c r="E592" t="s">
        <v>377</v>
      </c>
      <c r="F592" t="s">
        <v>383</v>
      </c>
      <c r="G592" t="s">
        <v>333</v>
      </c>
      <c r="H592" t="s">
        <v>333</v>
      </c>
      <c r="I592" t="s">
        <v>743</v>
      </c>
      <c r="J592" t="s">
        <v>744</v>
      </c>
      <c r="K592" t="s">
        <v>546</v>
      </c>
      <c r="L592" s="784" t="s">
        <v>575</v>
      </c>
      <c r="M592" t="s">
        <v>745</v>
      </c>
      <c r="P592" t="s">
        <v>1887</v>
      </c>
      <c r="Q592" t="s">
        <v>575</v>
      </c>
      <c r="R592" t="s">
        <v>150</v>
      </c>
      <c r="S592" t="s">
        <v>145</v>
      </c>
      <c r="U592">
        <v>0</v>
      </c>
      <c r="V592" t="s">
        <v>544</v>
      </c>
      <c r="W592" t="s">
        <v>558</v>
      </c>
      <c r="X592" s="784">
        <v>1019800630.5853213</v>
      </c>
    </row>
    <row r="593" spans="1:24">
      <c r="A593" t="s">
        <v>358</v>
      </c>
      <c r="B593" t="s">
        <v>695</v>
      </c>
      <c r="C593" t="s">
        <v>293</v>
      </c>
      <c r="D593" t="s">
        <v>126</v>
      </c>
      <c r="E593" t="s">
        <v>377</v>
      </c>
      <c r="F593" t="s">
        <v>383</v>
      </c>
      <c r="G593" t="s">
        <v>333</v>
      </c>
      <c r="H593" t="s">
        <v>333</v>
      </c>
      <c r="I593" t="s">
        <v>743</v>
      </c>
      <c r="J593" t="s">
        <v>744</v>
      </c>
      <c r="K593" t="s">
        <v>546</v>
      </c>
      <c r="L593" s="784">
        <v>720000</v>
      </c>
      <c r="M593" t="s">
        <v>745</v>
      </c>
      <c r="P593" t="s">
        <v>1887</v>
      </c>
      <c r="Q593" t="s">
        <v>406</v>
      </c>
      <c r="R593" t="s">
        <v>150</v>
      </c>
      <c r="S593" t="s">
        <v>145</v>
      </c>
      <c r="U593">
        <v>0</v>
      </c>
      <c r="V593" t="s">
        <v>541</v>
      </c>
      <c r="W593" t="s">
        <v>562</v>
      </c>
      <c r="X593" s="784">
        <v>19578671.310841195</v>
      </c>
    </row>
    <row r="594" spans="1:24">
      <c r="A594" t="s">
        <v>358</v>
      </c>
      <c r="B594" t="s">
        <v>696</v>
      </c>
      <c r="C594" t="s">
        <v>294</v>
      </c>
      <c r="D594" t="s">
        <v>130</v>
      </c>
      <c r="E594" t="s">
        <v>377</v>
      </c>
      <c r="F594" t="s">
        <v>383</v>
      </c>
      <c r="G594" t="s">
        <v>333</v>
      </c>
      <c r="H594" t="s">
        <v>333</v>
      </c>
      <c r="I594" t="s">
        <v>743</v>
      </c>
      <c r="J594" t="s">
        <v>744</v>
      </c>
      <c r="K594" t="s">
        <v>546</v>
      </c>
      <c r="L594" s="784" t="s">
        <v>575</v>
      </c>
      <c r="M594" t="s">
        <v>745</v>
      </c>
      <c r="P594" t="s">
        <v>1887</v>
      </c>
      <c r="Q594" t="s">
        <v>575</v>
      </c>
      <c r="R594" t="s">
        <v>322</v>
      </c>
      <c r="S594" t="s">
        <v>146</v>
      </c>
      <c r="U594">
        <v>0</v>
      </c>
      <c r="V594" t="s">
        <v>544</v>
      </c>
      <c r="W594" t="s">
        <v>546</v>
      </c>
      <c r="X594" s="784">
        <v>3551452001.0684834</v>
      </c>
    </row>
    <row r="595" spans="1:24">
      <c r="A595" t="s">
        <v>358</v>
      </c>
      <c r="B595" t="s">
        <v>697</v>
      </c>
      <c r="C595" t="s">
        <v>295</v>
      </c>
      <c r="D595" t="s">
        <v>126</v>
      </c>
      <c r="E595" t="s">
        <v>377</v>
      </c>
      <c r="F595" t="s">
        <v>383</v>
      </c>
      <c r="G595" t="s">
        <v>333</v>
      </c>
      <c r="H595" t="s">
        <v>333</v>
      </c>
      <c r="I595" t="s">
        <v>743</v>
      </c>
      <c r="J595" t="s">
        <v>744</v>
      </c>
      <c r="K595" t="s">
        <v>546</v>
      </c>
      <c r="L595" s="784" t="s">
        <v>575</v>
      </c>
      <c r="M595" t="s">
        <v>745</v>
      </c>
      <c r="P595" t="s">
        <v>1887</v>
      </c>
      <c r="Q595" t="s">
        <v>575</v>
      </c>
      <c r="R595" t="s">
        <v>150</v>
      </c>
      <c r="S595" t="s">
        <v>145</v>
      </c>
      <c r="U595">
        <v>0</v>
      </c>
      <c r="V595" t="s">
        <v>544</v>
      </c>
      <c r="W595" t="s">
        <v>546</v>
      </c>
      <c r="X595" s="784">
        <v>6603048821.7575006</v>
      </c>
    </row>
    <row r="596" spans="1:24">
      <c r="A596" t="s">
        <v>358</v>
      </c>
      <c r="B596" t="s">
        <v>698</v>
      </c>
      <c r="C596" t="s">
        <v>296</v>
      </c>
      <c r="D596" t="s">
        <v>131</v>
      </c>
      <c r="E596" t="s">
        <v>377</v>
      </c>
      <c r="F596" t="s">
        <v>383</v>
      </c>
      <c r="G596" t="s">
        <v>333</v>
      </c>
      <c r="H596" t="s">
        <v>333</v>
      </c>
      <c r="I596" t="s">
        <v>743</v>
      </c>
      <c r="J596" t="s">
        <v>744</v>
      </c>
      <c r="K596" t="s">
        <v>546</v>
      </c>
      <c r="L596" s="784" t="s">
        <v>575</v>
      </c>
      <c r="M596" t="s">
        <v>745</v>
      </c>
      <c r="P596" t="s">
        <v>1887</v>
      </c>
      <c r="Q596" t="s">
        <v>575</v>
      </c>
      <c r="R596" t="s">
        <v>148</v>
      </c>
      <c r="S596" t="s">
        <v>145</v>
      </c>
      <c r="U596">
        <v>1</v>
      </c>
      <c r="V596" t="s">
        <v>544</v>
      </c>
      <c r="W596" t="s">
        <v>548</v>
      </c>
      <c r="X596" s="784" t="s">
        <v>575</v>
      </c>
    </row>
    <row r="597" spans="1:24">
      <c r="A597" t="s">
        <v>358</v>
      </c>
      <c r="B597" t="s">
        <v>699</v>
      </c>
      <c r="C597" t="s">
        <v>297</v>
      </c>
      <c r="D597" t="s">
        <v>128</v>
      </c>
      <c r="E597" t="s">
        <v>377</v>
      </c>
      <c r="F597" t="s">
        <v>383</v>
      </c>
      <c r="G597" t="s">
        <v>333</v>
      </c>
      <c r="H597" t="s">
        <v>333</v>
      </c>
      <c r="I597" t="s">
        <v>743</v>
      </c>
      <c r="J597" t="s">
        <v>744</v>
      </c>
      <c r="K597" t="s">
        <v>546</v>
      </c>
      <c r="L597" s="784" t="s">
        <v>575</v>
      </c>
      <c r="M597" t="s">
        <v>745</v>
      </c>
      <c r="P597" t="s">
        <v>1887</v>
      </c>
      <c r="Q597" t="s">
        <v>575</v>
      </c>
      <c r="R597" t="s">
        <v>150</v>
      </c>
      <c r="S597" t="s">
        <v>145</v>
      </c>
      <c r="U597">
        <v>0</v>
      </c>
      <c r="V597" t="s">
        <v>544</v>
      </c>
      <c r="W597" t="s">
        <v>542</v>
      </c>
      <c r="X597" s="784">
        <v>515352723.9821828</v>
      </c>
    </row>
    <row r="598" spans="1:24">
      <c r="A598" t="s">
        <v>358</v>
      </c>
      <c r="B598" t="s">
        <v>700</v>
      </c>
      <c r="C598" t="s">
        <v>298</v>
      </c>
      <c r="D598" t="s">
        <v>128</v>
      </c>
      <c r="E598" t="s">
        <v>377</v>
      </c>
      <c r="F598" t="s">
        <v>383</v>
      </c>
      <c r="G598" t="s">
        <v>333</v>
      </c>
      <c r="H598" t="s">
        <v>333</v>
      </c>
      <c r="I598" t="s">
        <v>743</v>
      </c>
      <c r="J598" t="s">
        <v>744</v>
      </c>
      <c r="K598" t="s">
        <v>546</v>
      </c>
      <c r="L598" s="784" t="s">
        <v>575</v>
      </c>
      <c r="M598" t="s">
        <v>745</v>
      </c>
      <c r="P598" t="s">
        <v>1887</v>
      </c>
      <c r="Q598" t="s">
        <v>575</v>
      </c>
      <c r="R598" t="s">
        <v>150</v>
      </c>
      <c r="S598" t="s">
        <v>145</v>
      </c>
      <c r="U598">
        <v>0</v>
      </c>
      <c r="V598" t="s">
        <v>544</v>
      </c>
      <c r="W598" t="s">
        <v>546</v>
      </c>
      <c r="X598" s="784">
        <v>566711742.22428358</v>
      </c>
    </row>
    <row r="599" spans="1:24">
      <c r="A599" t="s">
        <v>358</v>
      </c>
      <c r="B599" t="s">
        <v>540</v>
      </c>
      <c r="C599" t="s">
        <v>160</v>
      </c>
      <c r="D599" t="s">
        <v>132</v>
      </c>
      <c r="E599" t="s">
        <v>377</v>
      </c>
      <c r="F599" t="s">
        <v>383</v>
      </c>
      <c r="G599" t="s">
        <v>333</v>
      </c>
      <c r="H599" t="s">
        <v>333</v>
      </c>
      <c r="I599" t="s">
        <v>743</v>
      </c>
      <c r="J599" t="s">
        <v>379</v>
      </c>
      <c r="K599" t="s">
        <v>546</v>
      </c>
      <c r="L599" s="784">
        <v>2019230.7692307692</v>
      </c>
      <c r="M599" t="s">
        <v>745</v>
      </c>
      <c r="P599" t="s">
        <v>1887</v>
      </c>
      <c r="Q599" t="s">
        <v>406</v>
      </c>
      <c r="R599" t="s">
        <v>148</v>
      </c>
      <c r="S599" t="s">
        <v>145</v>
      </c>
      <c r="U599">
        <v>1</v>
      </c>
      <c r="V599" t="s">
        <v>544</v>
      </c>
      <c r="W599" t="s">
        <v>542</v>
      </c>
      <c r="X599" s="784">
        <v>95829480.719269618</v>
      </c>
    </row>
    <row r="600" spans="1:24">
      <c r="A600" t="s">
        <v>358</v>
      </c>
      <c r="B600" t="s">
        <v>543</v>
      </c>
      <c r="C600" t="s">
        <v>161</v>
      </c>
      <c r="D600" t="s">
        <v>127</v>
      </c>
      <c r="E600" t="s">
        <v>377</v>
      </c>
      <c r="F600" t="s">
        <v>383</v>
      </c>
      <c r="G600" t="s">
        <v>333</v>
      </c>
      <c r="H600" t="s">
        <v>333</v>
      </c>
      <c r="I600" t="s">
        <v>743</v>
      </c>
      <c r="J600" t="s">
        <v>379</v>
      </c>
      <c r="K600" t="s">
        <v>546</v>
      </c>
      <c r="L600" s="784" t="s">
        <v>575</v>
      </c>
      <c r="M600" t="s">
        <v>745</v>
      </c>
      <c r="P600" t="s">
        <v>1887</v>
      </c>
      <c r="Q600" t="s">
        <v>575</v>
      </c>
      <c r="R600" t="s">
        <v>152</v>
      </c>
      <c r="S600" t="s">
        <v>146</v>
      </c>
      <c r="U600">
        <v>0</v>
      </c>
      <c r="V600" t="s">
        <v>544</v>
      </c>
      <c r="W600" t="s">
        <v>575</v>
      </c>
      <c r="X600" s="784">
        <v>427904035.52443534</v>
      </c>
    </row>
    <row r="601" spans="1:24">
      <c r="A601" t="s">
        <v>358</v>
      </c>
      <c r="B601" t="s">
        <v>545</v>
      </c>
      <c r="C601" t="s">
        <v>143</v>
      </c>
      <c r="D601" t="s">
        <v>131</v>
      </c>
      <c r="E601" t="s">
        <v>377</v>
      </c>
      <c r="F601" t="s">
        <v>383</v>
      </c>
      <c r="G601" t="s">
        <v>333</v>
      </c>
      <c r="H601" t="s">
        <v>333</v>
      </c>
      <c r="I601" t="s">
        <v>743</v>
      </c>
      <c r="J601" t="s">
        <v>379</v>
      </c>
      <c r="K601" t="s">
        <v>546</v>
      </c>
      <c r="L601" s="784" t="s">
        <v>575</v>
      </c>
      <c r="M601" t="s">
        <v>745</v>
      </c>
      <c r="P601" t="s">
        <v>1887</v>
      </c>
      <c r="Q601" t="s">
        <v>575</v>
      </c>
      <c r="R601" t="s">
        <v>150</v>
      </c>
      <c r="S601" t="s">
        <v>145</v>
      </c>
      <c r="U601">
        <v>0</v>
      </c>
      <c r="V601" t="s">
        <v>544</v>
      </c>
      <c r="W601" t="s">
        <v>546</v>
      </c>
      <c r="X601" s="784">
        <v>7113361022.7267885</v>
      </c>
    </row>
    <row r="602" spans="1:24">
      <c r="A602" t="s">
        <v>358</v>
      </c>
      <c r="B602" t="s">
        <v>547</v>
      </c>
      <c r="C602" t="s">
        <v>162</v>
      </c>
      <c r="D602" t="s">
        <v>128</v>
      </c>
      <c r="E602" t="s">
        <v>377</v>
      </c>
      <c r="F602" t="s">
        <v>383</v>
      </c>
      <c r="G602" t="s">
        <v>333</v>
      </c>
      <c r="H602" t="s">
        <v>333</v>
      </c>
      <c r="I602" t="s">
        <v>743</v>
      </c>
      <c r="J602" t="s">
        <v>379</v>
      </c>
      <c r="K602" t="s">
        <v>546</v>
      </c>
      <c r="L602" s="784" t="s">
        <v>575</v>
      </c>
      <c r="M602" t="s">
        <v>745</v>
      </c>
      <c r="P602" t="s">
        <v>1887</v>
      </c>
      <c r="Q602" t="s">
        <v>575</v>
      </c>
      <c r="R602" t="s">
        <v>150</v>
      </c>
      <c r="S602" t="s">
        <v>145</v>
      </c>
      <c r="U602">
        <v>0</v>
      </c>
      <c r="V602" t="s">
        <v>544</v>
      </c>
      <c r="W602" t="s">
        <v>548</v>
      </c>
      <c r="X602" s="784">
        <v>1131865946.5875781</v>
      </c>
    </row>
    <row r="603" spans="1:24">
      <c r="A603" t="s">
        <v>358</v>
      </c>
      <c r="B603" t="s">
        <v>549</v>
      </c>
      <c r="C603" t="s">
        <v>163</v>
      </c>
      <c r="D603" t="s">
        <v>130</v>
      </c>
      <c r="E603" t="s">
        <v>377</v>
      </c>
      <c r="F603" t="s">
        <v>383</v>
      </c>
      <c r="G603" t="s">
        <v>333</v>
      </c>
      <c r="H603" t="s">
        <v>333</v>
      </c>
      <c r="I603" t="s">
        <v>743</v>
      </c>
      <c r="J603" t="s">
        <v>379</v>
      </c>
      <c r="K603" t="s">
        <v>546</v>
      </c>
      <c r="L603" s="784" t="s">
        <v>575</v>
      </c>
      <c r="M603" t="s">
        <v>745</v>
      </c>
      <c r="P603" t="s">
        <v>1887</v>
      </c>
      <c r="Q603" t="s">
        <v>575</v>
      </c>
      <c r="R603" t="s">
        <v>550</v>
      </c>
      <c r="S603" t="s">
        <v>146</v>
      </c>
      <c r="U603">
        <v>0</v>
      </c>
      <c r="V603" t="s">
        <v>541</v>
      </c>
      <c r="W603" t="s">
        <v>575</v>
      </c>
      <c r="X603" s="784">
        <v>46777779.823447868</v>
      </c>
    </row>
    <row r="604" spans="1:24">
      <c r="A604" t="s">
        <v>358</v>
      </c>
      <c r="B604" t="s">
        <v>551</v>
      </c>
      <c r="C604" t="s">
        <v>164</v>
      </c>
      <c r="D604" t="s">
        <v>130</v>
      </c>
      <c r="E604" t="s">
        <v>377</v>
      </c>
      <c r="F604" t="s">
        <v>383</v>
      </c>
      <c r="G604" t="s">
        <v>333</v>
      </c>
      <c r="H604" t="s">
        <v>333</v>
      </c>
      <c r="I604" t="s">
        <v>743</v>
      </c>
      <c r="J604" t="s">
        <v>379</v>
      </c>
      <c r="K604" t="s">
        <v>546</v>
      </c>
      <c r="L604" s="784" t="s">
        <v>575</v>
      </c>
      <c r="M604" t="s">
        <v>745</v>
      </c>
      <c r="P604" t="s">
        <v>1887</v>
      </c>
      <c r="Q604" t="s">
        <v>575</v>
      </c>
      <c r="R604" t="s">
        <v>152</v>
      </c>
      <c r="S604" t="s">
        <v>146</v>
      </c>
      <c r="U604">
        <v>0</v>
      </c>
      <c r="V604" t="s">
        <v>544</v>
      </c>
      <c r="W604" t="s">
        <v>575</v>
      </c>
      <c r="X604" s="784">
        <v>30725305777.596794</v>
      </c>
    </row>
    <row r="605" spans="1:24">
      <c r="A605" t="s">
        <v>358</v>
      </c>
      <c r="B605" t="s">
        <v>553</v>
      </c>
      <c r="C605" t="s">
        <v>165</v>
      </c>
      <c r="D605" t="s">
        <v>127</v>
      </c>
      <c r="E605" t="s">
        <v>377</v>
      </c>
      <c r="F605" t="s">
        <v>383</v>
      </c>
      <c r="G605" t="s">
        <v>333</v>
      </c>
      <c r="H605" t="s">
        <v>333</v>
      </c>
      <c r="I605" t="s">
        <v>743</v>
      </c>
      <c r="J605" t="s">
        <v>379</v>
      </c>
      <c r="K605" t="s">
        <v>546</v>
      </c>
      <c r="L605" s="784" t="s">
        <v>575</v>
      </c>
      <c r="M605" t="s">
        <v>745</v>
      </c>
      <c r="P605" t="s">
        <v>1887</v>
      </c>
      <c r="Q605" t="s">
        <v>575</v>
      </c>
      <c r="R605" t="s">
        <v>152</v>
      </c>
      <c r="S605" t="s">
        <v>146</v>
      </c>
      <c r="U605">
        <v>0</v>
      </c>
      <c r="V605" t="s">
        <v>544</v>
      </c>
      <c r="W605" t="s">
        <v>575</v>
      </c>
      <c r="X605" s="784">
        <v>153815827.8380394</v>
      </c>
    </row>
    <row r="606" spans="1:24">
      <c r="A606" t="s">
        <v>358</v>
      </c>
      <c r="B606" t="s">
        <v>554</v>
      </c>
      <c r="C606" t="s">
        <v>166</v>
      </c>
      <c r="D606" t="s">
        <v>127</v>
      </c>
      <c r="E606" t="s">
        <v>377</v>
      </c>
      <c r="F606" t="s">
        <v>383</v>
      </c>
      <c r="G606" t="s">
        <v>333</v>
      </c>
      <c r="H606" t="s">
        <v>333</v>
      </c>
      <c r="I606" t="s">
        <v>743</v>
      </c>
      <c r="J606" t="s">
        <v>379</v>
      </c>
      <c r="K606" t="s">
        <v>546</v>
      </c>
      <c r="L606" s="784" t="s">
        <v>575</v>
      </c>
      <c r="M606" t="s">
        <v>745</v>
      </c>
      <c r="P606" t="s">
        <v>1887</v>
      </c>
      <c r="Q606" t="s">
        <v>575</v>
      </c>
      <c r="R606" t="s">
        <v>152</v>
      </c>
      <c r="S606" t="s">
        <v>146</v>
      </c>
      <c r="U606">
        <v>0</v>
      </c>
      <c r="V606" t="s">
        <v>544</v>
      </c>
      <c r="W606" t="s">
        <v>546</v>
      </c>
      <c r="X606" s="784">
        <v>437525105.31216973</v>
      </c>
    </row>
    <row r="607" spans="1:24">
      <c r="A607" t="s">
        <v>358</v>
      </c>
      <c r="B607" t="s">
        <v>555</v>
      </c>
      <c r="C607" t="s">
        <v>556</v>
      </c>
      <c r="D607" t="s">
        <v>130</v>
      </c>
      <c r="E607" t="s">
        <v>377</v>
      </c>
      <c r="F607" t="s">
        <v>383</v>
      </c>
      <c r="G607" t="s">
        <v>333</v>
      </c>
      <c r="H607" t="s">
        <v>333</v>
      </c>
      <c r="I607" t="s">
        <v>743</v>
      </c>
      <c r="J607" t="s">
        <v>379</v>
      </c>
      <c r="K607" t="s">
        <v>546</v>
      </c>
      <c r="L607" s="784" t="s">
        <v>575</v>
      </c>
      <c r="M607" t="s">
        <v>745</v>
      </c>
      <c r="P607" t="s">
        <v>1887</v>
      </c>
      <c r="Q607" t="s">
        <v>575</v>
      </c>
      <c r="R607" t="s">
        <v>550</v>
      </c>
      <c r="S607" t="s">
        <v>146</v>
      </c>
      <c r="U607">
        <v>0</v>
      </c>
      <c r="V607" t="s">
        <v>541</v>
      </c>
      <c r="W607" t="s">
        <v>575</v>
      </c>
      <c r="X607" s="784">
        <v>149463302.00602186</v>
      </c>
    </row>
    <row r="608" spans="1:24">
      <c r="A608" t="s">
        <v>358</v>
      </c>
      <c r="B608" t="s">
        <v>557</v>
      </c>
      <c r="C608" t="s">
        <v>167</v>
      </c>
      <c r="D608" t="s">
        <v>132</v>
      </c>
      <c r="E608" t="s">
        <v>377</v>
      </c>
      <c r="F608" t="s">
        <v>383</v>
      </c>
      <c r="G608" t="s">
        <v>333</v>
      </c>
      <c r="H608" t="s">
        <v>333</v>
      </c>
      <c r="I608" t="s">
        <v>743</v>
      </c>
      <c r="J608" t="s">
        <v>379</v>
      </c>
      <c r="K608" t="s">
        <v>546</v>
      </c>
      <c r="L608" s="784">
        <v>0</v>
      </c>
      <c r="M608" t="s">
        <v>745</v>
      </c>
      <c r="P608" t="s">
        <v>1887</v>
      </c>
      <c r="Q608" t="s">
        <v>406</v>
      </c>
      <c r="R608" t="s">
        <v>150</v>
      </c>
      <c r="S608" t="s">
        <v>145</v>
      </c>
      <c r="U608">
        <v>0</v>
      </c>
      <c r="V608" t="s">
        <v>544</v>
      </c>
      <c r="W608" t="s">
        <v>558</v>
      </c>
      <c r="X608" s="784">
        <v>1148322593.9600098</v>
      </c>
    </row>
    <row r="609" spans="1:24">
      <c r="A609" t="s">
        <v>358</v>
      </c>
      <c r="B609" t="s">
        <v>559</v>
      </c>
      <c r="C609" t="s">
        <v>168</v>
      </c>
      <c r="D609" t="s">
        <v>127</v>
      </c>
      <c r="E609" t="s">
        <v>377</v>
      </c>
      <c r="F609" t="s">
        <v>383</v>
      </c>
      <c r="G609" t="s">
        <v>333</v>
      </c>
      <c r="H609" t="s">
        <v>333</v>
      </c>
      <c r="I609" t="s">
        <v>743</v>
      </c>
      <c r="J609" t="s">
        <v>379</v>
      </c>
      <c r="K609" t="s">
        <v>546</v>
      </c>
      <c r="L609" s="784" t="s">
        <v>575</v>
      </c>
      <c r="M609" t="s">
        <v>745</v>
      </c>
      <c r="P609" t="s">
        <v>1887</v>
      </c>
      <c r="Q609" t="s">
        <v>575</v>
      </c>
      <c r="R609" t="s">
        <v>152</v>
      </c>
      <c r="S609" t="s">
        <v>146</v>
      </c>
      <c r="U609">
        <v>0</v>
      </c>
      <c r="V609" t="s">
        <v>544</v>
      </c>
      <c r="W609" t="s">
        <v>575</v>
      </c>
      <c r="X609" s="784">
        <v>2371102058.1093163</v>
      </c>
    </row>
    <row r="610" spans="1:24">
      <c r="A610" t="s">
        <v>358</v>
      </c>
      <c r="B610" t="s">
        <v>560</v>
      </c>
      <c r="C610" t="s">
        <v>169</v>
      </c>
      <c r="D610" t="s">
        <v>130</v>
      </c>
      <c r="E610" t="s">
        <v>377</v>
      </c>
      <c r="F610" t="s">
        <v>383</v>
      </c>
      <c r="G610" t="s">
        <v>333</v>
      </c>
      <c r="H610" t="s">
        <v>333</v>
      </c>
      <c r="I610" t="s">
        <v>743</v>
      </c>
      <c r="J610" t="s">
        <v>379</v>
      </c>
      <c r="K610" t="s">
        <v>546</v>
      </c>
      <c r="L610" s="784" t="s">
        <v>575</v>
      </c>
      <c r="M610" t="s">
        <v>745</v>
      </c>
      <c r="P610" t="s">
        <v>1887</v>
      </c>
      <c r="Q610" t="s">
        <v>575</v>
      </c>
      <c r="R610" t="s">
        <v>150</v>
      </c>
      <c r="S610" t="s">
        <v>146</v>
      </c>
      <c r="U610">
        <v>0</v>
      </c>
      <c r="V610" t="s">
        <v>541</v>
      </c>
      <c r="W610" t="s">
        <v>546</v>
      </c>
      <c r="X610" s="784">
        <v>75151620.005215243</v>
      </c>
    </row>
    <row r="611" spans="1:24">
      <c r="A611" t="s">
        <v>358</v>
      </c>
      <c r="B611" t="s">
        <v>561</v>
      </c>
      <c r="C611" t="s">
        <v>170</v>
      </c>
      <c r="D611" t="s">
        <v>129</v>
      </c>
      <c r="E611" t="s">
        <v>377</v>
      </c>
      <c r="F611" t="s">
        <v>383</v>
      </c>
      <c r="G611" t="s">
        <v>333</v>
      </c>
      <c r="H611" t="s">
        <v>333</v>
      </c>
      <c r="I611" t="s">
        <v>743</v>
      </c>
      <c r="J611" t="s">
        <v>379</v>
      </c>
      <c r="K611" t="s">
        <v>546</v>
      </c>
      <c r="L611" s="784" t="s">
        <v>575</v>
      </c>
      <c r="M611" t="s">
        <v>745</v>
      </c>
      <c r="P611" t="s">
        <v>1887</v>
      </c>
      <c r="Q611" t="s">
        <v>575</v>
      </c>
      <c r="R611" t="s">
        <v>150</v>
      </c>
      <c r="S611" t="s">
        <v>145</v>
      </c>
      <c r="U611">
        <v>0</v>
      </c>
      <c r="V611" t="s">
        <v>544</v>
      </c>
      <c r="W611" t="s">
        <v>562</v>
      </c>
      <c r="X611" s="784">
        <v>69958487.197715744</v>
      </c>
    </row>
    <row r="612" spans="1:24">
      <c r="A612" t="s">
        <v>358</v>
      </c>
      <c r="B612" t="s">
        <v>563</v>
      </c>
      <c r="C612" t="s">
        <v>171</v>
      </c>
      <c r="D612" t="s">
        <v>132</v>
      </c>
      <c r="E612" t="s">
        <v>377</v>
      </c>
      <c r="F612" t="s">
        <v>383</v>
      </c>
      <c r="G612" t="s">
        <v>333</v>
      </c>
      <c r="H612" t="s">
        <v>333</v>
      </c>
      <c r="I612" t="s">
        <v>743</v>
      </c>
      <c r="J612" t="s">
        <v>379</v>
      </c>
      <c r="K612" t="s">
        <v>546</v>
      </c>
      <c r="L612" s="784">
        <v>0</v>
      </c>
      <c r="M612" t="s">
        <v>745</v>
      </c>
      <c r="P612" t="s">
        <v>1887</v>
      </c>
      <c r="Q612" t="s">
        <v>838</v>
      </c>
      <c r="R612" t="s">
        <v>150</v>
      </c>
      <c r="S612" t="s">
        <v>145</v>
      </c>
      <c r="U612">
        <v>0</v>
      </c>
      <c r="V612" t="s">
        <v>544</v>
      </c>
      <c r="W612" t="s">
        <v>548</v>
      </c>
      <c r="X612" s="784">
        <v>61654608.560629159</v>
      </c>
    </row>
    <row r="613" spans="1:24">
      <c r="A613" t="s">
        <v>358</v>
      </c>
      <c r="B613" t="s">
        <v>564</v>
      </c>
      <c r="C613" t="s">
        <v>172</v>
      </c>
      <c r="D613" t="s">
        <v>130</v>
      </c>
      <c r="E613" t="s">
        <v>377</v>
      </c>
      <c r="F613" t="s">
        <v>383</v>
      </c>
      <c r="G613" t="s">
        <v>333</v>
      </c>
      <c r="H613" t="s">
        <v>333</v>
      </c>
      <c r="I613" t="s">
        <v>743</v>
      </c>
      <c r="J613" t="s">
        <v>379</v>
      </c>
      <c r="K613" t="s">
        <v>546</v>
      </c>
      <c r="L613" s="784" t="s">
        <v>575</v>
      </c>
      <c r="M613" t="s">
        <v>745</v>
      </c>
      <c r="P613" t="s">
        <v>1887</v>
      </c>
      <c r="Q613" t="s">
        <v>575</v>
      </c>
      <c r="R613" t="s">
        <v>150</v>
      </c>
      <c r="S613" t="s">
        <v>145</v>
      </c>
      <c r="U613">
        <v>0</v>
      </c>
      <c r="V613" t="s">
        <v>544</v>
      </c>
      <c r="W613" t="s">
        <v>546</v>
      </c>
      <c r="X613" s="784">
        <v>1806638707.7615163</v>
      </c>
    </row>
    <row r="614" spans="1:24">
      <c r="A614" t="s">
        <v>358</v>
      </c>
      <c r="B614" t="s">
        <v>565</v>
      </c>
      <c r="C614" t="s">
        <v>174</v>
      </c>
      <c r="D614" t="s">
        <v>127</v>
      </c>
      <c r="E614" t="s">
        <v>377</v>
      </c>
      <c r="F614" t="s">
        <v>383</v>
      </c>
      <c r="G614" t="s">
        <v>333</v>
      </c>
      <c r="H614" t="s">
        <v>333</v>
      </c>
      <c r="I614" t="s">
        <v>743</v>
      </c>
      <c r="J614" t="s">
        <v>379</v>
      </c>
      <c r="K614" t="s">
        <v>546</v>
      </c>
      <c r="L614" s="784" t="s">
        <v>575</v>
      </c>
      <c r="M614" t="s">
        <v>745</v>
      </c>
      <c r="P614" t="s">
        <v>1887</v>
      </c>
      <c r="Q614" t="s">
        <v>575</v>
      </c>
      <c r="R614" t="s">
        <v>152</v>
      </c>
      <c r="S614" t="s">
        <v>146</v>
      </c>
      <c r="U614">
        <v>0</v>
      </c>
      <c r="V614" t="s">
        <v>544</v>
      </c>
      <c r="W614" t="s">
        <v>546</v>
      </c>
      <c r="X614" s="784">
        <v>1252696525.0627904</v>
      </c>
    </row>
    <row r="615" spans="1:24">
      <c r="A615" t="s">
        <v>358</v>
      </c>
      <c r="B615" t="s">
        <v>566</v>
      </c>
      <c r="C615" t="s">
        <v>175</v>
      </c>
      <c r="D615" t="s">
        <v>128</v>
      </c>
      <c r="E615" t="s">
        <v>377</v>
      </c>
      <c r="F615" t="s">
        <v>383</v>
      </c>
      <c r="G615" t="s">
        <v>333</v>
      </c>
      <c r="H615" t="s">
        <v>333</v>
      </c>
      <c r="I615" t="s">
        <v>743</v>
      </c>
      <c r="J615" t="s">
        <v>379</v>
      </c>
      <c r="K615" t="s">
        <v>546</v>
      </c>
      <c r="L615" s="784" t="s">
        <v>575</v>
      </c>
      <c r="M615" t="s">
        <v>745</v>
      </c>
      <c r="P615" t="s">
        <v>1887</v>
      </c>
      <c r="Q615" t="s">
        <v>575</v>
      </c>
      <c r="R615" t="s">
        <v>152</v>
      </c>
      <c r="S615" t="s">
        <v>146</v>
      </c>
      <c r="U615">
        <v>0</v>
      </c>
      <c r="V615" t="s">
        <v>544</v>
      </c>
      <c r="W615" t="s">
        <v>575</v>
      </c>
      <c r="X615" s="784">
        <v>843425084.07334602</v>
      </c>
    </row>
    <row r="616" spans="1:24">
      <c r="A616" t="s">
        <v>358</v>
      </c>
      <c r="B616" t="s">
        <v>567</v>
      </c>
      <c r="C616" t="s">
        <v>144</v>
      </c>
      <c r="D616" t="s">
        <v>130</v>
      </c>
      <c r="E616" t="s">
        <v>377</v>
      </c>
      <c r="F616" t="s">
        <v>383</v>
      </c>
      <c r="G616" t="s">
        <v>333</v>
      </c>
      <c r="H616" t="s">
        <v>333</v>
      </c>
      <c r="I616" t="s">
        <v>743</v>
      </c>
      <c r="J616" t="s">
        <v>379</v>
      </c>
      <c r="K616" t="s">
        <v>546</v>
      </c>
      <c r="L616" s="784" t="s">
        <v>575</v>
      </c>
      <c r="M616" t="s">
        <v>745</v>
      </c>
      <c r="P616" t="s">
        <v>1887</v>
      </c>
      <c r="Q616" t="s">
        <v>575</v>
      </c>
      <c r="R616" t="s">
        <v>152</v>
      </c>
      <c r="S616" t="s">
        <v>146</v>
      </c>
      <c r="U616">
        <v>0</v>
      </c>
      <c r="V616" t="s">
        <v>544</v>
      </c>
      <c r="W616" t="s">
        <v>546</v>
      </c>
      <c r="X616" s="784">
        <v>74055620038.853683</v>
      </c>
    </row>
    <row r="617" spans="1:24">
      <c r="A617" t="s">
        <v>358</v>
      </c>
      <c r="B617" t="s">
        <v>568</v>
      </c>
      <c r="C617" t="s">
        <v>176</v>
      </c>
      <c r="D617" t="s">
        <v>127</v>
      </c>
      <c r="E617" t="s">
        <v>377</v>
      </c>
      <c r="F617" t="s">
        <v>383</v>
      </c>
      <c r="G617" t="s">
        <v>333</v>
      </c>
      <c r="H617" t="s">
        <v>333</v>
      </c>
      <c r="I617" t="s">
        <v>743</v>
      </c>
      <c r="J617" t="s">
        <v>379</v>
      </c>
      <c r="K617" t="s">
        <v>546</v>
      </c>
      <c r="L617" s="784" t="s">
        <v>575</v>
      </c>
      <c r="M617" t="s">
        <v>745</v>
      </c>
      <c r="P617" t="s">
        <v>1887</v>
      </c>
      <c r="Q617" t="s">
        <v>575</v>
      </c>
      <c r="R617" t="s">
        <v>152</v>
      </c>
      <c r="S617" t="s">
        <v>146</v>
      </c>
      <c r="U617">
        <v>0</v>
      </c>
      <c r="V617" t="s">
        <v>544</v>
      </c>
      <c r="W617" t="s">
        <v>575</v>
      </c>
      <c r="X617" s="784">
        <v>2803357765.5888777</v>
      </c>
    </row>
    <row r="618" spans="1:24">
      <c r="A618" t="s">
        <v>358</v>
      </c>
      <c r="B618" t="s">
        <v>569</v>
      </c>
      <c r="C618" t="s">
        <v>177</v>
      </c>
      <c r="D618" t="s">
        <v>129</v>
      </c>
      <c r="E618" t="s">
        <v>377</v>
      </c>
      <c r="F618" t="s">
        <v>383</v>
      </c>
      <c r="G618" t="s">
        <v>333</v>
      </c>
      <c r="H618" t="s">
        <v>333</v>
      </c>
      <c r="I618" t="s">
        <v>743</v>
      </c>
      <c r="J618" t="s">
        <v>379</v>
      </c>
      <c r="K618" t="s">
        <v>546</v>
      </c>
      <c r="L618" s="784" t="s">
        <v>575</v>
      </c>
      <c r="M618" t="s">
        <v>745</v>
      </c>
      <c r="P618" t="s">
        <v>1887</v>
      </c>
      <c r="Q618" t="s">
        <v>575</v>
      </c>
      <c r="R618" t="s">
        <v>148</v>
      </c>
      <c r="S618" t="s">
        <v>145</v>
      </c>
      <c r="U618">
        <v>2</v>
      </c>
      <c r="V618" t="s">
        <v>544</v>
      </c>
      <c r="W618" t="s">
        <v>562</v>
      </c>
      <c r="X618" s="784">
        <v>337927779.25510043</v>
      </c>
    </row>
    <row r="619" spans="1:24">
      <c r="A619" t="s">
        <v>358</v>
      </c>
      <c r="B619" t="s">
        <v>570</v>
      </c>
      <c r="C619" t="s">
        <v>178</v>
      </c>
      <c r="D619" t="s">
        <v>128</v>
      </c>
      <c r="E619" t="s">
        <v>377</v>
      </c>
      <c r="F619" t="s">
        <v>383</v>
      </c>
      <c r="G619" t="s">
        <v>333</v>
      </c>
      <c r="H619" t="s">
        <v>333</v>
      </c>
      <c r="I619" t="s">
        <v>743</v>
      </c>
      <c r="J619" t="s">
        <v>379</v>
      </c>
      <c r="K619" t="s">
        <v>546</v>
      </c>
      <c r="L619" s="784" t="s">
        <v>575</v>
      </c>
      <c r="M619" t="s">
        <v>745</v>
      </c>
      <c r="P619" t="s">
        <v>1887</v>
      </c>
      <c r="Q619" t="s">
        <v>575</v>
      </c>
      <c r="R619" t="s">
        <v>148</v>
      </c>
      <c r="S619" t="s">
        <v>145</v>
      </c>
      <c r="U619">
        <v>2</v>
      </c>
      <c r="V619" t="s">
        <v>544</v>
      </c>
      <c r="W619" t="s">
        <v>548</v>
      </c>
      <c r="X619" s="784">
        <v>65979512.47399316</v>
      </c>
    </row>
    <row r="620" spans="1:24">
      <c r="A620" t="s">
        <v>358</v>
      </c>
      <c r="B620" t="s">
        <v>571</v>
      </c>
      <c r="C620" t="s">
        <v>179</v>
      </c>
      <c r="D620" t="s">
        <v>129</v>
      </c>
      <c r="E620" t="s">
        <v>377</v>
      </c>
      <c r="F620" t="s">
        <v>383</v>
      </c>
      <c r="G620" t="s">
        <v>333</v>
      </c>
      <c r="H620" t="s">
        <v>333</v>
      </c>
      <c r="I620" t="s">
        <v>743</v>
      </c>
      <c r="J620" t="s">
        <v>379</v>
      </c>
      <c r="K620" t="s">
        <v>546</v>
      </c>
      <c r="L620" s="784" t="s">
        <v>575</v>
      </c>
      <c r="M620" t="s">
        <v>745</v>
      </c>
      <c r="P620" t="s">
        <v>1887</v>
      </c>
      <c r="Q620" t="s">
        <v>575</v>
      </c>
      <c r="R620" t="s">
        <v>150</v>
      </c>
      <c r="S620" t="s">
        <v>145</v>
      </c>
      <c r="U620">
        <v>0</v>
      </c>
      <c r="V620" t="s">
        <v>541</v>
      </c>
      <c r="W620" t="s">
        <v>542</v>
      </c>
      <c r="X620" s="784">
        <v>63748362.778827004</v>
      </c>
    </row>
    <row r="621" spans="1:24">
      <c r="A621" t="s">
        <v>358</v>
      </c>
      <c r="B621" t="s">
        <v>572</v>
      </c>
      <c r="C621" t="s">
        <v>180</v>
      </c>
      <c r="D621" t="s">
        <v>126</v>
      </c>
      <c r="E621" t="s">
        <v>377</v>
      </c>
      <c r="F621" t="s">
        <v>383</v>
      </c>
      <c r="G621" t="s">
        <v>333</v>
      </c>
      <c r="H621" t="s">
        <v>333</v>
      </c>
      <c r="I621" t="s">
        <v>743</v>
      </c>
      <c r="J621" t="s">
        <v>379</v>
      </c>
      <c r="K621" t="s">
        <v>546</v>
      </c>
      <c r="L621" s="784">
        <v>0</v>
      </c>
      <c r="M621" t="s">
        <v>745</v>
      </c>
      <c r="P621" t="s">
        <v>1887</v>
      </c>
      <c r="Q621" t="s">
        <v>838</v>
      </c>
      <c r="R621" t="s">
        <v>150</v>
      </c>
      <c r="S621" t="s">
        <v>145</v>
      </c>
      <c r="U621">
        <v>0</v>
      </c>
      <c r="V621" t="s">
        <v>544</v>
      </c>
      <c r="W621" t="s">
        <v>558</v>
      </c>
      <c r="X621" s="784">
        <v>313039649.45369786</v>
      </c>
    </row>
    <row r="622" spans="1:24">
      <c r="A622" t="s">
        <v>358</v>
      </c>
      <c r="B622" t="s">
        <v>573</v>
      </c>
      <c r="C622" t="s">
        <v>181</v>
      </c>
      <c r="D622" t="s">
        <v>129</v>
      </c>
      <c r="E622" t="s">
        <v>377</v>
      </c>
      <c r="F622" t="s">
        <v>383</v>
      </c>
      <c r="G622" t="s">
        <v>333</v>
      </c>
      <c r="H622" t="s">
        <v>333</v>
      </c>
      <c r="I622" t="s">
        <v>743</v>
      </c>
      <c r="J622" t="s">
        <v>379</v>
      </c>
      <c r="K622" t="s">
        <v>546</v>
      </c>
      <c r="L622" s="784" t="s">
        <v>575</v>
      </c>
      <c r="M622" t="s">
        <v>745</v>
      </c>
      <c r="P622" t="s">
        <v>1887</v>
      </c>
      <c r="Q622" t="s">
        <v>575</v>
      </c>
      <c r="R622" t="s">
        <v>150</v>
      </c>
      <c r="S622" t="s">
        <v>145</v>
      </c>
      <c r="U622">
        <v>2</v>
      </c>
      <c r="V622" t="s">
        <v>544</v>
      </c>
      <c r="W622" t="s">
        <v>542</v>
      </c>
      <c r="X622" s="784">
        <v>81361801.477472037</v>
      </c>
    </row>
    <row r="623" spans="1:24">
      <c r="A623" t="s">
        <v>358</v>
      </c>
      <c r="B623" t="s">
        <v>574</v>
      </c>
      <c r="C623" t="s">
        <v>182</v>
      </c>
      <c r="D623" t="s">
        <v>129</v>
      </c>
      <c r="E623" t="s">
        <v>377</v>
      </c>
      <c r="F623" t="s">
        <v>383</v>
      </c>
      <c r="G623" t="s">
        <v>333</v>
      </c>
      <c r="H623" t="s">
        <v>333</v>
      </c>
      <c r="I623" t="s">
        <v>743</v>
      </c>
      <c r="J623" t="s">
        <v>379</v>
      </c>
      <c r="K623" t="s">
        <v>546</v>
      </c>
      <c r="L623" s="784" t="s">
        <v>575</v>
      </c>
      <c r="M623" t="s">
        <v>745</v>
      </c>
      <c r="P623" t="s">
        <v>1887</v>
      </c>
      <c r="Q623" t="s">
        <v>575</v>
      </c>
      <c r="R623" t="s">
        <v>148</v>
      </c>
      <c r="S623" t="s">
        <v>145</v>
      </c>
      <c r="U623">
        <v>1</v>
      </c>
      <c r="V623" t="s">
        <v>544</v>
      </c>
      <c r="W623" t="s">
        <v>542</v>
      </c>
      <c r="X623" s="784" t="s">
        <v>575</v>
      </c>
    </row>
    <row r="624" spans="1:24">
      <c r="A624" t="s">
        <v>358</v>
      </c>
      <c r="B624" t="s">
        <v>576</v>
      </c>
      <c r="C624" t="s">
        <v>183</v>
      </c>
      <c r="D624" t="s">
        <v>129</v>
      </c>
      <c r="E624" t="s">
        <v>377</v>
      </c>
      <c r="F624" t="s">
        <v>383</v>
      </c>
      <c r="G624" t="s">
        <v>333</v>
      </c>
      <c r="H624" t="s">
        <v>333</v>
      </c>
      <c r="I624" t="s">
        <v>743</v>
      </c>
      <c r="J624" t="s">
        <v>379</v>
      </c>
      <c r="K624" t="s">
        <v>546</v>
      </c>
      <c r="L624" s="784" t="s">
        <v>575</v>
      </c>
      <c r="M624" t="s">
        <v>745</v>
      </c>
      <c r="P624" t="s">
        <v>1887</v>
      </c>
      <c r="Q624" t="s">
        <v>575</v>
      </c>
      <c r="R624" t="s">
        <v>148</v>
      </c>
      <c r="S624" t="s">
        <v>145</v>
      </c>
      <c r="U624">
        <v>1</v>
      </c>
      <c r="V624" t="s">
        <v>544</v>
      </c>
      <c r="W624" t="s">
        <v>542</v>
      </c>
      <c r="X624" s="784">
        <v>76939306.715636879</v>
      </c>
    </row>
    <row r="625" spans="1:24">
      <c r="A625" t="s">
        <v>358</v>
      </c>
      <c r="B625" t="s">
        <v>577</v>
      </c>
      <c r="C625" t="s">
        <v>184</v>
      </c>
      <c r="D625" t="s">
        <v>130</v>
      </c>
      <c r="E625" t="s">
        <v>377</v>
      </c>
      <c r="F625" t="s">
        <v>383</v>
      </c>
      <c r="G625" t="s">
        <v>333</v>
      </c>
      <c r="H625" t="s">
        <v>333</v>
      </c>
      <c r="I625" t="s">
        <v>743</v>
      </c>
      <c r="J625" t="s">
        <v>379</v>
      </c>
      <c r="K625" t="s">
        <v>546</v>
      </c>
      <c r="L625" s="784" t="s">
        <v>575</v>
      </c>
      <c r="M625" t="s">
        <v>745</v>
      </c>
      <c r="P625" t="s">
        <v>1887</v>
      </c>
      <c r="Q625" t="s">
        <v>575</v>
      </c>
      <c r="R625" t="s">
        <v>550</v>
      </c>
      <c r="S625" t="s">
        <v>146</v>
      </c>
      <c r="U625">
        <v>0</v>
      </c>
      <c r="V625" t="s">
        <v>544</v>
      </c>
      <c r="W625" t="s">
        <v>575</v>
      </c>
      <c r="X625" s="784">
        <v>13859708717.682571</v>
      </c>
    </row>
    <row r="626" spans="1:24">
      <c r="A626" t="s">
        <v>358</v>
      </c>
      <c r="B626" t="s">
        <v>578</v>
      </c>
      <c r="C626" t="s">
        <v>185</v>
      </c>
      <c r="D626" t="s">
        <v>126</v>
      </c>
      <c r="E626" t="s">
        <v>377</v>
      </c>
      <c r="F626" t="s">
        <v>383</v>
      </c>
      <c r="G626" t="s">
        <v>333</v>
      </c>
      <c r="H626" t="s">
        <v>333</v>
      </c>
      <c r="I626" t="s">
        <v>743</v>
      </c>
      <c r="J626" t="s">
        <v>379</v>
      </c>
      <c r="K626" t="s">
        <v>546</v>
      </c>
      <c r="L626" s="784" t="s">
        <v>575</v>
      </c>
      <c r="M626" t="s">
        <v>745</v>
      </c>
      <c r="P626" t="s">
        <v>1887</v>
      </c>
      <c r="Q626" t="s">
        <v>575</v>
      </c>
      <c r="R626" t="s">
        <v>152</v>
      </c>
      <c r="S626" t="s">
        <v>146</v>
      </c>
      <c r="U626">
        <v>0</v>
      </c>
      <c r="V626" t="s">
        <v>544</v>
      </c>
      <c r="W626" t="s">
        <v>575</v>
      </c>
      <c r="X626" s="784">
        <v>403567160707.7016</v>
      </c>
    </row>
    <row r="627" spans="1:24">
      <c r="A627" t="s">
        <v>358</v>
      </c>
      <c r="B627" t="s">
        <v>579</v>
      </c>
      <c r="C627" t="s">
        <v>186</v>
      </c>
      <c r="D627" t="s">
        <v>130</v>
      </c>
      <c r="E627" t="s">
        <v>377</v>
      </c>
      <c r="F627" t="s">
        <v>383</v>
      </c>
      <c r="G627" t="s">
        <v>333</v>
      </c>
      <c r="H627" t="s">
        <v>333</v>
      </c>
      <c r="I627" t="s">
        <v>743</v>
      </c>
      <c r="J627" t="s">
        <v>379</v>
      </c>
      <c r="K627" t="s">
        <v>546</v>
      </c>
      <c r="L627" s="784" t="s">
        <v>575</v>
      </c>
      <c r="M627" t="s">
        <v>745</v>
      </c>
      <c r="P627" t="s">
        <v>1887</v>
      </c>
      <c r="Q627" t="s">
        <v>575</v>
      </c>
      <c r="R627" t="s">
        <v>152</v>
      </c>
      <c r="S627" t="s">
        <v>146</v>
      </c>
      <c r="U627">
        <v>0</v>
      </c>
      <c r="V627" t="s">
        <v>544</v>
      </c>
      <c r="W627" t="s">
        <v>575</v>
      </c>
      <c r="X627" s="784">
        <v>18250225995.972618</v>
      </c>
    </row>
    <row r="628" spans="1:24">
      <c r="A628" t="s">
        <v>358</v>
      </c>
      <c r="B628" t="s">
        <v>580</v>
      </c>
      <c r="C628" t="s">
        <v>187</v>
      </c>
      <c r="D628" t="s">
        <v>128</v>
      </c>
      <c r="E628" t="s">
        <v>377</v>
      </c>
      <c r="F628" t="s">
        <v>383</v>
      </c>
      <c r="G628" t="s">
        <v>333</v>
      </c>
      <c r="H628" t="s">
        <v>333</v>
      </c>
      <c r="I628" t="s">
        <v>743</v>
      </c>
      <c r="J628" t="s">
        <v>379</v>
      </c>
      <c r="K628" t="s">
        <v>546</v>
      </c>
      <c r="L628" s="784" t="s">
        <v>575</v>
      </c>
      <c r="M628" t="s">
        <v>745</v>
      </c>
      <c r="P628" t="s">
        <v>1887</v>
      </c>
      <c r="Q628" t="s">
        <v>575</v>
      </c>
      <c r="R628" t="s">
        <v>150</v>
      </c>
      <c r="S628" t="s">
        <v>145</v>
      </c>
      <c r="U628">
        <v>0</v>
      </c>
      <c r="V628" t="s">
        <v>541</v>
      </c>
      <c r="W628" t="s">
        <v>562</v>
      </c>
      <c r="X628" s="784">
        <v>5027591.1682657599</v>
      </c>
    </row>
    <row r="629" spans="1:24">
      <c r="A629" t="s">
        <v>358</v>
      </c>
      <c r="B629" t="s">
        <v>581</v>
      </c>
      <c r="C629" t="s">
        <v>188</v>
      </c>
      <c r="D629" t="s">
        <v>129</v>
      </c>
      <c r="E629" t="s">
        <v>377</v>
      </c>
      <c r="F629" t="s">
        <v>383</v>
      </c>
      <c r="G629" t="s">
        <v>333</v>
      </c>
      <c r="H629" t="s">
        <v>333</v>
      </c>
      <c r="I629" t="s">
        <v>743</v>
      </c>
      <c r="J629" t="s">
        <v>379</v>
      </c>
      <c r="K629" t="s">
        <v>546</v>
      </c>
      <c r="L629" s="784" t="s">
        <v>575</v>
      </c>
      <c r="M629" t="s">
        <v>745</v>
      </c>
      <c r="P629" t="s">
        <v>1887</v>
      </c>
      <c r="Q629" t="s">
        <v>575</v>
      </c>
      <c r="R629" t="s">
        <v>148</v>
      </c>
      <c r="S629" t="s">
        <v>145</v>
      </c>
      <c r="U629">
        <v>3</v>
      </c>
      <c r="V629" t="s">
        <v>544</v>
      </c>
      <c r="W629" t="s">
        <v>562</v>
      </c>
      <c r="X629" s="784">
        <v>234645958.63289919</v>
      </c>
    </row>
    <row r="630" spans="1:24">
      <c r="A630" t="s">
        <v>358</v>
      </c>
      <c r="B630" t="s">
        <v>582</v>
      </c>
      <c r="C630" t="s">
        <v>189</v>
      </c>
      <c r="D630" t="s">
        <v>129</v>
      </c>
      <c r="E630" t="s">
        <v>377</v>
      </c>
      <c r="F630" t="s">
        <v>383</v>
      </c>
      <c r="G630" t="s">
        <v>333</v>
      </c>
      <c r="H630" t="s">
        <v>333</v>
      </c>
      <c r="I630" t="s">
        <v>743</v>
      </c>
      <c r="J630" t="s">
        <v>379</v>
      </c>
      <c r="K630" t="s">
        <v>546</v>
      </c>
      <c r="L630" s="784" t="s">
        <v>575</v>
      </c>
      <c r="M630" t="s">
        <v>745</v>
      </c>
      <c r="P630" t="s">
        <v>1887</v>
      </c>
      <c r="Q630" t="s">
        <v>575</v>
      </c>
      <c r="R630" t="s">
        <v>150</v>
      </c>
      <c r="S630" t="s">
        <v>145</v>
      </c>
      <c r="U630">
        <v>2</v>
      </c>
      <c r="V630" t="s">
        <v>544</v>
      </c>
      <c r="W630" t="s">
        <v>583</v>
      </c>
      <c r="X630" s="784">
        <v>91590910.247314155</v>
      </c>
    </row>
    <row r="631" spans="1:24">
      <c r="A631" t="s">
        <v>358</v>
      </c>
      <c r="B631" t="s">
        <v>584</v>
      </c>
      <c r="C631" t="s">
        <v>190</v>
      </c>
      <c r="D631" t="s">
        <v>126</v>
      </c>
      <c r="E631" t="s">
        <v>377</v>
      </c>
      <c r="F631" t="s">
        <v>383</v>
      </c>
      <c r="G631" t="s">
        <v>333</v>
      </c>
      <c r="H631" t="s">
        <v>333</v>
      </c>
      <c r="I631" t="s">
        <v>743</v>
      </c>
      <c r="J631" t="s">
        <v>379</v>
      </c>
      <c r="K631" t="s">
        <v>546</v>
      </c>
      <c r="L631" s="784" t="s">
        <v>575</v>
      </c>
      <c r="M631" t="s">
        <v>745</v>
      </c>
      <c r="P631" t="s">
        <v>1887</v>
      </c>
      <c r="Q631" t="s">
        <v>575</v>
      </c>
      <c r="R631" t="s">
        <v>322</v>
      </c>
      <c r="S631" t="s">
        <v>146</v>
      </c>
      <c r="U631">
        <v>0</v>
      </c>
      <c r="V631" t="s">
        <v>541</v>
      </c>
      <c r="W631" t="s">
        <v>546</v>
      </c>
      <c r="X631" s="784">
        <v>8560012.8840167802</v>
      </c>
    </row>
    <row r="632" spans="1:24">
      <c r="A632" t="s">
        <v>358</v>
      </c>
      <c r="B632" t="s">
        <v>585</v>
      </c>
      <c r="C632" t="s">
        <v>191</v>
      </c>
      <c r="D632" t="s">
        <v>130</v>
      </c>
      <c r="E632" t="s">
        <v>377</v>
      </c>
      <c r="F632" t="s">
        <v>383</v>
      </c>
      <c r="G632" t="s">
        <v>333</v>
      </c>
      <c r="H632" t="s">
        <v>333</v>
      </c>
      <c r="I632" t="s">
        <v>743</v>
      </c>
      <c r="J632" t="s">
        <v>379</v>
      </c>
      <c r="K632" t="s">
        <v>546</v>
      </c>
      <c r="L632" s="784" t="s">
        <v>575</v>
      </c>
      <c r="M632" t="s">
        <v>745</v>
      </c>
      <c r="P632" t="s">
        <v>1887</v>
      </c>
      <c r="Q632" t="s">
        <v>575</v>
      </c>
      <c r="R632" t="s">
        <v>152</v>
      </c>
      <c r="S632" t="s">
        <v>146</v>
      </c>
      <c r="U632">
        <v>0</v>
      </c>
      <c r="V632" t="s">
        <v>544</v>
      </c>
      <c r="W632" t="s">
        <v>546</v>
      </c>
      <c r="X632" s="784">
        <v>3292372960.3962669</v>
      </c>
    </row>
    <row r="633" spans="1:24">
      <c r="A633" t="s">
        <v>358</v>
      </c>
      <c r="B633" t="s">
        <v>586</v>
      </c>
      <c r="C633" t="s">
        <v>192</v>
      </c>
      <c r="D633" t="s">
        <v>129</v>
      </c>
      <c r="E633" t="s">
        <v>377</v>
      </c>
      <c r="F633" t="s">
        <v>383</v>
      </c>
      <c r="G633" t="s">
        <v>333</v>
      </c>
      <c r="H633" t="s">
        <v>333</v>
      </c>
      <c r="I633" t="s">
        <v>743</v>
      </c>
      <c r="J633" t="s">
        <v>379</v>
      </c>
      <c r="K633" t="s">
        <v>546</v>
      </c>
      <c r="L633" s="784" t="s">
        <v>575</v>
      </c>
      <c r="M633" t="s">
        <v>745</v>
      </c>
      <c r="P633" t="s">
        <v>1887</v>
      </c>
      <c r="Q633" t="s">
        <v>575</v>
      </c>
      <c r="R633" t="s">
        <v>150</v>
      </c>
      <c r="S633" t="s">
        <v>145</v>
      </c>
      <c r="U633">
        <v>0</v>
      </c>
      <c r="V633" t="s">
        <v>544</v>
      </c>
      <c r="W633" t="s">
        <v>562</v>
      </c>
      <c r="X633" s="784">
        <v>519209981.22981054</v>
      </c>
    </row>
    <row r="634" spans="1:24">
      <c r="A634" t="s">
        <v>358</v>
      </c>
      <c r="B634" t="s">
        <v>587</v>
      </c>
      <c r="C634" t="s">
        <v>193</v>
      </c>
      <c r="D634" t="s">
        <v>127</v>
      </c>
      <c r="E634" t="s">
        <v>377</v>
      </c>
      <c r="F634" t="s">
        <v>383</v>
      </c>
      <c r="G634" t="s">
        <v>333</v>
      </c>
      <c r="H634" t="s">
        <v>333</v>
      </c>
      <c r="I634" t="s">
        <v>743</v>
      </c>
      <c r="J634" t="s">
        <v>379</v>
      </c>
      <c r="K634" t="s">
        <v>546</v>
      </c>
      <c r="L634" s="784" t="s">
        <v>575</v>
      </c>
      <c r="M634" t="s">
        <v>745</v>
      </c>
      <c r="P634" t="s">
        <v>1887</v>
      </c>
      <c r="Q634" t="s">
        <v>575</v>
      </c>
      <c r="R634" t="s">
        <v>550</v>
      </c>
      <c r="S634" t="s">
        <v>146</v>
      </c>
      <c r="U634">
        <v>0</v>
      </c>
      <c r="V634" t="s">
        <v>544</v>
      </c>
      <c r="W634" t="s">
        <v>575</v>
      </c>
      <c r="X634" s="784">
        <v>3464739907.1604805</v>
      </c>
    </row>
    <row r="635" spans="1:24">
      <c r="A635" t="s">
        <v>358</v>
      </c>
      <c r="B635" t="s">
        <v>588</v>
      </c>
      <c r="C635" t="s">
        <v>147</v>
      </c>
      <c r="D635" t="s">
        <v>130</v>
      </c>
      <c r="E635" t="s">
        <v>377</v>
      </c>
      <c r="F635" t="s">
        <v>383</v>
      </c>
      <c r="G635" t="s">
        <v>333</v>
      </c>
      <c r="H635" t="s">
        <v>333</v>
      </c>
      <c r="I635" t="s">
        <v>743</v>
      </c>
      <c r="J635" t="s">
        <v>379</v>
      </c>
      <c r="K635" t="s">
        <v>546</v>
      </c>
      <c r="L635" s="784" t="s">
        <v>575</v>
      </c>
      <c r="M635" t="s">
        <v>745</v>
      </c>
      <c r="P635" t="s">
        <v>1887</v>
      </c>
      <c r="Q635" t="s">
        <v>575</v>
      </c>
      <c r="R635" t="s">
        <v>152</v>
      </c>
      <c r="S635" t="s">
        <v>146</v>
      </c>
      <c r="U635">
        <v>0</v>
      </c>
      <c r="V635" t="s">
        <v>541</v>
      </c>
      <c r="W635" t="s">
        <v>575</v>
      </c>
      <c r="X635" s="784">
        <v>9948521252.2569065</v>
      </c>
    </row>
    <row r="636" spans="1:24">
      <c r="A636" t="s">
        <v>358</v>
      </c>
      <c r="B636" t="s">
        <v>589</v>
      </c>
      <c r="C636" t="s">
        <v>194</v>
      </c>
      <c r="D636" t="s">
        <v>131</v>
      </c>
      <c r="E636" t="s">
        <v>377</v>
      </c>
      <c r="F636" t="s">
        <v>383</v>
      </c>
      <c r="G636" t="s">
        <v>333</v>
      </c>
      <c r="H636" t="s">
        <v>333</v>
      </c>
      <c r="I636" t="s">
        <v>743</v>
      </c>
      <c r="J636" t="s">
        <v>379</v>
      </c>
      <c r="K636" t="s">
        <v>546</v>
      </c>
      <c r="L636" s="784" t="s">
        <v>575</v>
      </c>
      <c r="M636" t="s">
        <v>745</v>
      </c>
      <c r="P636" t="s">
        <v>1887</v>
      </c>
      <c r="Q636" t="s">
        <v>575</v>
      </c>
      <c r="R636" t="s">
        <v>150</v>
      </c>
      <c r="S636" t="s">
        <v>145</v>
      </c>
      <c r="U636">
        <v>1</v>
      </c>
      <c r="V636" t="s">
        <v>544</v>
      </c>
      <c r="W636" t="s">
        <v>542</v>
      </c>
      <c r="X636" s="784">
        <v>33679192.765657313</v>
      </c>
    </row>
    <row r="637" spans="1:24">
      <c r="A637" t="s">
        <v>358</v>
      </c>
      <c r="B637" t="s">
        <v>590</v>
      </c>
      <c r="C637" t="s">
        <v>195</v>
      </c>
      <c r="D637" t="s">
        <v>130</v>
      </c>
      <c r="E637" t="s">
        <v>377</v>
      </c>
      <c r="F637" t="s">
        <v>383</v>
      </c>
      <c r="G637" t="s">
        <v>333</v>
      </c>
      <c r="H637" t="s">
        <v>333</v>
      </c>
      <c r="I637" t="s">
        <v>743</v>
      </c>
      <c r="J637" t="s">
        <v>379</v>
      </c>
      <c r="K637" t="s">
        <v>546</v>
      </c>
      <c r="L637" s="784" t="s">
        <v>575</v>
      </c>
      <c r="M637" t="s">
        <v>745</v>
      </c>
      <c r="P637" t="s">
        <v>1887</v>
      </c>
      <c r="Q637" t="s">
        <v>575</v>
      </c>
      <c r="R637" t="s">
        <v>152</v>
      </c>
      <c r="S637" t="s">
        <v>145</v>
      </c>
      <c r="U637">
        <v>0</v>
      </c>
      <c r="V637" t="s">
        <v>541</v>
      </c>
      <c r="W637" t="s">
        <v>548</v>
      </c>
      <c r="X637" s="784">
        <v>22784494.365742501</v>
      </c>
    </row>
    <row r="638" spans="1:24">
      <c r="A638" t="s">
        <v>358</v>
      </c>
      <c r="B638" t="s">
        <v>591</v>
      </c>
      <c r="C638" t="s">
        <v>196</v>
      </c>
      <c r="D638" t="s">
        <v>130</v>
      </c>
      <c r="E638" t="s">
        <v>377</v>
      </c>
      <c r="F638" t="s">
        <v>383</v>
      </c>
      <c r="G638" t="s">
        <v>333</v>
      </c>
      <c r="H638" t="s">
        <v>333</v>
      </c>
      <c r="I638" t="s">
        <v>743</v>
      </c>
      <c r="J638" t="s">
        <v>379</v>
      </c>
      <c r="K638" t="s">
        <v>546</v>
      </c>
      <c r="L638" s="784" t="s">
        <v>575</v>
      </c>
      <c r="M638" t="s">
        <v>745</v>
      </c>
      <c r="P638" t="s">
        <v>1887</v>
      </c>
      <c r="Q638" t="s">
        <v>575</v>
      </c>
      <c r="R638" t="s">
        <v>152</v>
      </c>
      <c r="S638" t="s">
        <v>146</v>
      </c>
      <c r="U638">
        <v>0</v>
      </c>
      <c r="V638" t="s">
        <v>541</v>
      </c>
      <c r="W638" t="s">
        <v>575</v>
      </c>
      <c r="X638" s="784">
        <v>2173208011.4858823</v>
      </c>
    </row>
    <row r="639" spans="1:24">
      <c r="A639" t="s">
        <v>358</v>
      </c>
      <c r="B639" t="s">
        <v>592</v>
      </c>
      <c r="C639" t="s">
        <v>197</v>
      </c>
      <c r="D639" t="s">
        <v>130</v>
      </c>
      <c r="E639" t="s">
        <v>377</v>
      </c>
      <c r="F639" t="s">
        <v>383</v>
      </c>
      <c r="G639" t="s">
        <v>333</v>
      </c>
      <c r="H639" t="s">
        <v>333</v>
      </c>
      <c r="I639" t="s">
        <v>743</v>
      </c>
      <c r="J639" t="s">
        <v>379</v>
      </c>
      <c r="K639" t="s">
        <v>546</v>
      </c>
      <c r="L639" s="784" t="s">
        <v>575</v>
      </c>
      <c r="M639" t="s">
        <v>745</v>
      </c>
      <c r="P639" t="s">
        <v>1887</v>
      </c>
      <c r="Q639" t="s">
        <v>575</v>
      </c>
      <c r="R639" t="s">
        <v>152</v>
      </c>
      <c r="S639" t="s">
        <v>146</v>
      </c>
      <c r="U639">
        <v>0</v>
      </c>
      <c r="V639" t="s">
        <v>544</v>
      </c>
      <c r="W639" t="s">
        <v>546</v>
      </c>
      <c r="X639" s="784">
        <v>4585736158.8323269</v>
      </c>
    </row>
    <row r="640" spans="1:24">
      <c r="A640" t="s">
        <v>358</v>
      </c>
      <c r="B640" t="s">
        <v>593</v>
      </c>
      <c r="C640" t="s">
        <v>198</v>
      </c>
      <c r="D640" t="s">
        <v>131</v>
      </c>
      <c r="E640" t="s">
        <v>377</v>
      </c>
      <c r="F640" t="s">
        <v>383</v>
      </c>
      <c r="G640" t="s">
        <v>333</v>
      </c>
      <c r="H640" t="s">
        <v>333</v>
      </c>
      <c r="I640" t="s">
        <v>743</v>
      </c>
      <c r="J640" t="s">
        <v>379</v>
      </c>
      <c r="K640" t="s">
        <v>546</v>
      </c>
      <c r="L640" s="784" t="s">
        <v>575</v>
      </c>
      <c r="M640" t="s">
        <v>745</v>
      </c>
      <c r="P640" t="s">
        <v>1887</v>
      </c>
      <c r="Q640" t="s">
        <v>575</v>
      </c>
      <c r="R640" t="s">
        <v>150</v>
      </c>
      <c r="S640" t="s">
        <v>145</v>
      </c>
      <c r="U640">
        <v>0</v>
      </c>
      <c r="V640" t="s">
        <v>544</v>
      </c>
      <c r="W640" t="s">
        <v>546</v>
      </c>
      <c r="X640" s="784">
        <v>3550291584.8645592</v>
      </c>
    </row>
    <row r="641" spans="1:24">
      <c r="A641" t="s">
        <v>358</v>
      </c>
      <c r="B641" t="s">
        <v>594</v>
      </c>
      <c r="C641" t="s">
        <v>199</v>
      </c>
      <c r="D641" t="s">
        <v>130</v>
      </c>
      <c r="E641" t="s">
        <v>377</v>
      </c>
      <c r="F641" t="s">
        <v>383</v>
      </c>
      <c r="G641" t="s">
        <v>333</v>
      </c>
      <c r="H641" t="s">
        <v>333</v>
      </c>
      <c r="I641" t="s">
        <v>743</v>
      </c>
      <c r="J641" t="s">
        <v>379</v>
      </c>
      <c r="K641" t="s">
        <v>546</v>
      </c>
      <c r="L641" s="784" t="s">
        <v>575</v>
      </c>
      <c r="M641" t="s">
        <v>745</v>
      </c>
      <c r="P641" t="s">
        <v>1887</v>
      </c>
      <c r="Q641" t="s">
        <v>575</v>
      </c>
      <c r="R641" t="s">
        <v>150</v>
      </c>
      <c r="S641" t="s">
        <v>145</v>
      </c>
      <c r="U641">
        <v>0</v>
      </c>
      <c r="V641" t="s">
        <v>544</v>
      </c>
      <c r="W641" t="s">
        <v>546</v>
      </c>
      <c r="X641" s="784">
        <v>1182840319.0410969</v>
      </c>
    </row>
    <row r="642" spans="1:24">
      <c r="A642" t="s">
        <v>358</v>
      </c>
      <c r="B642" t="s">
        <v>595</v>
      </c>
      <c r="C642" t="s">
        <v>200</v>
      </c>
      <c r="D642" t="s">
        <v>130</v>
      </c>
      <c r="E642" t="s">
        <v>377</v>
      </c>
      <c r="F642" t="s">
        <v>383</v>
      </c>
      <c r="G642" t="s">
        <v>333</v>
      </c>
      <c r="H642" t="s">
        <v>333</v>
      </c>
      <c r="I642" t="s">
        <v>743</v>
      </c>
      <c r="J642" t="s">
        <v>379</v>
      </c>
      <c r="K642" t="s">
        <v>546</v>
      </c>
      <c r="L642" s="784" t="s">
        <v>575</v>
      </c>
      <c r="M642" t="s">
        <v>745</v>
      </c>
      <c r="P642" t="s">
        <v>1887</v>
      </c>
      <c r="Q642" t="s">
        <v>575</v>
      </c>
      <c r="R642" t="s">
        <v>152</v>
      </c>
      <c r="S642" t="s">
        <v>146</v>
      </c>
      <c r="U642">
        <v>0</v>
      </c>
      <c r="V642" t="s">
        <v>544</v>
      </c>
      <c r="W642" t="s">
        <v>575</v>
      </c>
      <c r="X642" s="784">
        <v>81728347.604567245</v>
      </c>
    </row>
    <row r="643" spans="1:24">
      <c r="A643" t="s">
        <v>358</v>
      </c>
      <c r="B643" t="s">
        <v>596</v>
      </c>
      <c r="C643" t="s">
        <v>201</v>
      </c>
      <c r="D643" t="s">
        <v>128</v>
      </c>
      <c r="E643" t="s">
        <v>377</v>
      </c>
      <c r="F643" t="s">
        <v>383</v>
      </c>
      <c r="G643" t="s">
        <v>333</v>
      </c>
      <c r="H643" t="s">
        <v>333</v>
      </c>
      <c r="I643" t="s">
        <v>743</v>
      </c>
      <c r="J643" t="s">
        <v>379</v>
      </c>
      <c r="K643" t="s">
        <v>546</v>
      </c>
      <c r="L643" s="784" t="s">
        <v>575</v>
      </c>
      <c r="M643" t="s">
        <v>745</v>
      </c>
      <c r="P643" t="s">
        <v>1887</v>
      </c>
      <c r="Q643" t="s">
        <v>575</v>
      </c>
      <c r="R643" t="s">
        <v>148</v>
      </c>
      <c r="S643" t="s">
        <v>145</v>
      </c>
      <c r="U643">
        <v>2</v>
      </c>
      <c r="V643" t="s">
        <v>544</v>
      </c>
      <c r="W643" t="s">
        <v>546</v>
      </c>
      <c r="X643" s="784">
        <v>12787914.977715338</v>
      </c>
    </row>
    <row r="644" spans="1:24">
      <c r="A644" t="s">
        <v>358</v>
      </c>
      <c r="B644" t="s">
        <v>597</v>
      </c>
      <c r="C644" t="s">
        <v>202</v>
      </c>
      <c r="D644" t="s">
        <v>128</v>
      </c>
      <c r="E644" t="s">
        <v>377</v>
      </c>
      <c r="F644" t="s">
        <v>383</v>
      </c>
      <c r="G644" t="s">
        <v>333</v>
      </c>
      <c r="H644" t="s">
        <v>333</v>
      </c>
      <c r="I644" t="s">
        <v>743</v>
      </c>
      <c r="J644" t="s">
        <v>379</v>
      </c>
      <c r="K644" t="s">
        <v>546</v>
      </c>
      <c r="L644" s="784" t="s">
        <v>575</v>
      </c>
      <c r="M644" t="s">
        <v>745</v>
      </c>
      <c r="P644" t="s">
        <v>1887</v>
      </c>
      <c r="Q644" t="s">
        <v>575</v>
      </c>
      <c r="R644" t="s">
        <v>150</v>
      </c>
      <c r="S644" t="s">
        <v>145</v>
      </c>
      <c r="U644">
        <v>2</v>
      </c>
      <c r="V644" t="s">
        <v>544</v>
      </c>
      <c r="W644" t="s">
        <v>546</v>
      </c>
      <c r="X644" s="784">
        <v>101271737.65410839</v>
      </c>
    </row>
    <row r="645" spans="1:24">
      <c r="A645" t="s">
        <v>358</v>
      </c>
      <c r="B645" t="s">
        <v>598</v>
      </c>
      <c r="C645" t="s">
        <v>203</v>
      </c>
      <c r="D645" t="s">
        <v>128</v>
      </c>
      <c r="E645" t="s">
        <v>377</v>
      </c>
      <c r="F645" t="s">
        <v>383</v>
      </c>
      <c r="G645" t="s">
        <v>333</v>
      </c>
      <c r="H645" t="s">
        <v>333</v>
      </c>
      <c r="I645" t="s">
        <v>743</v>
      </c>
      <c r="J645" t="s">
        <v>379</v>
      </c>
      <c r="K645" t="s">
        <v>546</v>
      </c>
      <c r="L645" s="784" t="s">
        <v>575</v>
      </c>
      <c r="M645" t="s">
        <v>745</v>
      </c>
      <c r="P645" t="s">
        <v>1887</v>
      </c>
      <c r="Q645" t="s">
        <v>575</v>
      </c>
      <c r="R645" t="s">
        <v>148</v>
      </c>
      <c r="S645" t="s">
        <v>145</v>
      </c>
      <c r="U645">
        <v>3</v>
      </c>
      <c r="V645" t="s">
        <v>544</v>
      </c>
      <c r="W645" t="s">
        <v>542</v>
      </c>
      <c r="X645" s="784">
        <v>618344226.71759331</v>
      </c>
    </row>
    <row r="646" spans="1:24">
      <c r="A646" t="s">
        <v>358</v>
      </c>
      <c r="B646" t="s">
        <v>599</v>
      </c>
      <c r="C646" t="s">
        <v>204</v>
      </c>
      <c r="D646" t="s">
        <v>126</v>
      </c>
      <c r="E646" t="s">
        <v>377</v>
      </c>
      <c r="F646" t="s">
        <v>383</v>
      </c>
      <c r="G646" t="s">
        <v>333</v>
      </c>
      <c r="H646" t="s">
        <v>333</v>
      </c>
      <c r="I646" t="s">
        <v>743</v>
      </c>
      <c r="J646" t="s">
        <v>379</v>
      </c>
      <c r="K646" t="s">
        <v>546</v>
      </c>
      <c r="L646" s="784" t="s">
        <v>575</v>
      </c>
      <c r="M646" t="s">
        <v>745</v>
      </c>
      <c r="P646" t="s">
        <v>1887</v>
      </c>
      <c r="Q646" t="s">
        <v>575</v>
      </c>
      <c r="R646" t="s">
        <v>152</v>
      </c>
      <c r="S646" t="s">
        <v>145</v>
      </c>
      <c r="U646">
        <v>0</v>
      </c>
      <c r="V646" t="s">
        <v>541</v>
      </c>
      <c r="W646" t="s">
        <v>548</v>
      </c>
      <c r="X646" s="784">
        <v>129483872.95906857</v>
      </c>
    </row>
    <row r="647" spans="1:24">
      <c r="A647" t="s">
        <v>358</v>
      </c>
      <c r="B647" t="s">
        <v>600</v>
      </c>
      <c r="C647" t="s">
        <v>205</v>
      </c>
      <c r="D647" t="s">
        <v>129</v>
      </c>
      <c r="E647" t="s">
        <v>377</v>
      </c>
      <c r="F647" t="s">
        <v>383</v>
      </c>
      <c r="G647" t="s">
        <v>333</v>
      </c>
      <c r="H647" t="s">
        <v>333</v>
      </c>
      <c r="I647" t="s">
        <v>743</v>
      </c>
      <c r="J647" t="s">
        <v>379</v>
      </c>
      <c r="K647" t="s">
        <v>546</v>
      </c>
      <c r="L647" s="784" t="s">
        <v>575</v>
      </c>
      <c r="M647" t="s">
        <v>745</v>
      </c>
      <c r="P647" t="s">
        <v>1887</v>
      </c>
      <c r="Q647" t="s">
        <v>575</v>
      </c>
      <c r="R647" t="s">
        <v>152</v>
      </c>
      <c r="S647" t="s">
        <v>146</v>
      </c>
      <c r="U647">
        <v>0</v>
      </c>
      <c r="V647" t="s">
        <v>544</v>
      </c>
      <c r="W647" t="s">
        <v>546</v>
      </c>
      <c r="X647" s="784">
        <v>271184658.35014349</v>
      </c>
    </row>
    <row r="648" spans="1:24">
      <c r="A648" t="s">
        <v>358</v>
      </c>
      <c r="B648" t="s">
        <v>601</v>
      </c>
      <c r="C648" t="s">
        <v>206</v>
      </c>
      <c r="D648" t="s">
        <v>129</v>
      </c>
      <c r="E648" t="s">
        <v>377</v>
      </c>
      <c r="F648" t="s">
        <v>383</v>
      </c>
      <c r="G648" t="s">
        <v>333</v>
      </c>
      <c r="H648" t="s">
        <v>333</v>
      </c>
      <c r="I648" t="s">
        <v>743</v>
      </c>
      <c r="J648" t="s">
        <v>379</v>
      </c>
      <c r="K648" t="s">
        <v>546</v>
      </c>
      <c r="L648" s="784" t="s">
        <v>575</v>
      </c>
      <c r="M648" t="s">
        <v>745</v>
      </c>
      <c r="P648" t="s">
        <v>1887</v>
      </c>
      <c r="Q648" t="s">
        <v>575</v>
      </c>
      <c r="R648" t="s">
        <v>148</v>
      </c>
      <c r="S648" t="s">
        <v>145</v>
      </c>
      <c r="U648">
        <v>0</v>
      </c>
      <c r="V648" t="s">
        <v>544</v>
      </c>
      <c r="W648" t="s">
        <v>542</v>
      </c>
      <c r="X648" s="784">
        <v>15455265.086884515</v>
      </c>
    </row>
    <row r="649" spans="1:24">
      <c r="A649" t="s">
        <v>358</v>
      </c>
      <c r="B649" t="s">
        <v>602</v>
      </c>
      <c r="C649" t="s">
        <v>207</v>
      </c>
      <c r="D649" t="s">
        <v>127</v>
      </c>
      <c r="E649" t="s">
        <v>377</v>
      </c>
      <c r="F649" t="s">
        <v>383</v>
      </c>
      <c r="G649" t="s">
        <v>333</v>
      </c>
      <c r="H649" t="s">
        <v>333</v>
      </c>
      <c r="I649" t="s">
        <v>743</v>
      </c>
      <c r="J649" t="s">
        <v>379</v>
      </c>
      <c r="K649" t="s">
        <v>546</v>
      </c>
      <c r="L649" s="784">
        <v>0</v>
      </c>
      <c r="M649" t="s">
        <v>745</v>
      </c>
      <c r="P649" t="s">
        <v>1887</v>
      </c>
      <c r="Q649" t="s">
        <v>406</v>
      </c>
      <c r="R649" t="s">
        <v>152</v>
      </c>
      <c r="S649" t="s">
        <v>146</v>
      </c>
      <c r="U649">
        <v>0</v>
      </c>
      <c r="V649" t="s">
        <v>544</v>
      </c>
      <c r="W649" t="s">
        <v>546</v>
      </c>
      <c r="X649" s="784">
        <v>494021502.525527</v>
      </c>
    </row>
    <row r="650" spans="1:24">
      <c r="A650" t="s">
        <v>358</v>
      </c>
      <c r="B650" t="s">
        <v>603</v>
      </c>
      <c r="C650" t="s">
        <v>208</v>
      </c>
      <c r="D650" t="s">
        <v>129</v>
      </c>
      <c r="E650" t="s">
        <v>377</v>
      </c>
      <c r="F650" t="s">
        <v>383</v>
      </c>
      <c r="G650" t="s">
        <v>333</v>
      </c>
      <c r="H650" t="s">
        <v>333</v>
      </c>
      <c r="I650" t="s">
        <v>743</v>
      </c>
      <c r="J650" t="s">
        <v>379</v>
      </c>
      <c r="K650" t="s">
        <v>546</v>
      </c>
      <c r="L650" s="784" t="s">
        <v>575</v>
      </c>
      <c r="M650" t="s">
        <v>745</v>
      </c>
      <c r="P650" t="s">
        <v>1887</v>
      </c>
      <c r="Q650" t="s">
        <v>575</v>
      </c>
      <c r="R650" t="s">
        <v>150</v>
      </c>
      <c r="S650" t="s">
        <v>145</v>
      </c>
      <c r="U650">
        <v>0</v>
      </c>
      <c r="V650" t="s">
        <v>544</v>
      </c>
      <c r="W650" t="s">
        <v>542</v>
      </c>
      <c r="X650" s="784">
        <v>902005621.73836684</v>
      </c>
    </row>
    <row r="651" spans="1:24">
      <c r="A651" t="s">
        <v>358</v>
      </c>
      <c r="B651" t="s">
        <v>604</v>
      </c>
      <c r="C651" t="s">
        <v>209</v>
      </c>
      <c r="D651" t="s">
        <v>130</v>
      </c>
      <c r="E651" t="s">
        <v>377</v>
      </c>
      <c r="F651" t="s">
        <v>383</v>
      </c>
      <c r="G651" t="s">
        <v>333</v>
      </c>
      <c r="H651" t="s">
        <v>333</v>
      </c>
      <c r="I651" t="s">
        <v>743</v>
      </c>
      <c r="J651" t="s">
        <v>379</v>
      </c>
      <c r="K651" t="s">
        <v>546</v>
      </c>
      <c r="L651" s="784" t="s">
        <v>575</v>
      </c>
      <c r="M651" t="s">
        <v>745</v>
      </c>
      <c r="P651" t="s">
        <v>1887</v>
      </c>
      <c r="Q651" t="s">
        <v>575</v>
      </c>
      <c r="R651" t="s">
        <v>152</v>
      </c>
      <c r="S651" t="s">
        <v>145</v>
      </c>
      <c r="U651">
        <v>0</v>
      </c>
      <c r="V651" t="s">
        <v>541</v>
      </c>
      <c r="W651" t="s">
        <v>583</v>
      </c>
      <c r="X651" s="784">
        <v>20201670.142996579</v>
      </c>
    </row>
    <row r="652" spans="1:24">
      <c r="A652" t="s">
        <v>358</v>
      </c>
      <c r="B652" t="s">
        <v>605</v>
      </c>
      <c r="C652" t="s">
        <v>210</v>
      </c>
      <c r="D652" t="s">
        <v>130</v>
      </c>
      <c r="E652" t="s">
        <v>377</v>
      </c>
      <c r="F652" t="s">
        <v>383</v>
      </c>
      <c r="G652" t="s">
        <v>333</v>
      </c>
      <c r="H652" t="s">
        <v>333</v>
      </c>
      <c r="I652" t="s">
        <v>743</v>
      </c>
      <c r="J652" t="s">
        <v>379</v>
      </c>
      <c r="K652" t="s">
        <v>546</v>
      </c>
      <c r="L652" s="784" t="s">
        <v>575</v>
      </c>
      <c r="M652" t="s">
        <v>745</v>
      </c>
      <c r="P652" t="s">
        <v>1887</v>
      </c>
      <c r="Q652" t="s">
        <v>575</v>
      </c>
      <c r="R652" t="s">
        <v>152</v>
      </c>
      <c r="S652" t="s">
        <v>146</v>
      </c>
      <c r="U652">
        <v>0</v>
      </c>
      <c r="V652" t="s">
        <v>544</v>
      </c>
      <c r="W652" t="s">
        <v>575</v>
      </c>
      <c r="X652" s="784">
        <v>1612434649.6948864</v>
      </c>
    </row>
    <row r="653" spans="1:24">
      <c r="A653" t="s">
        <v>358</v>
      </c>
      <c r="B653" t="s">
        <v>606</v>
      </c>
      <c r="C653" t="s">
        <v>211</v>
      </c>
      <c r="D653" t="s">
        <v>129</v>
      </c>
      <c r="E653" t="s">
        <v>377</v>
      </c>
      <c r="F653" t="s">
        <v>383</v>
      </c>
      <c r="G653" t="s">
        <v>333</v>
      </c>
      <c r="H653" t="s">
        <v>333</v>
      </c>
      <c r="I653" t="s">
        <v>743</v>
      </c>
      <c r="J653" t="s">
        <v>379</v>
      </c>
      <c r="K653" t="s">
        <v>546</v>
      </c>
      <c r="L653" s="784" t="s">
        <v>575</v>
      </c>
      <c r="M653" t="s">
        <v>745</v>
      </c>
      <c r="P653" t="s">
        <v>1887</v>
      </c>
      <c r="Q653" t="s">
        <v>575</v>
      </c>
      <c r="R653" t="s">
        <v>148</v>
      </c>
      <c r="S653" t="s">
        <v>145</v>
      </c>
      <c r="U653">
        <v>0</v>
      </c>
      <c r="V653" t="s">
        <v>544</v>
      </c>
      <c r="W653" t="s">
        <v>562</v>
      </c>
      <c r="X653" s="784">
        <v>78203134.118229344</v>
      </c>
    </row>
    <row r="654" spans="1:24">
      <c r="A654" t="s">
        <v>358</v>
      </c>
      <c r="B654" t="s">
        <v>607</v>
      </c>
      <c r="C654" t="s">
        <v>212</v>
      </c>
      <c r="D654" t="s">
        <v>129</v>
      </c>
      <c r="E654" t="s">
        <v>377</v>
      </c>
      <c r="F654" t="s">
        <v>383</v>
      </c>
      <c r="G654" t="s">
        <v>333</v>
      </c>
      <c r="H654" t="s">
        <v>333</v>
      </c>
      <c r="I654" t="s">
        <v>743</v>
      </c>
      <c r="J654" t="s">
        <v>379</v>
      </c>
      <c r="K654" t="s">
        <v>546</v>
      </c>
      <c r="L654" s="784" t="s">
        <v>575</v>
      </c>
      <c r="M654" t="s">
        <v>745</v>
      </c>
      <c r="P654" t="s">
        <v>1887</v>
      </c>
      <c r="Q654" t="s">
        <v>575</v>
      </c>
      <c r="R654" t="s">
        <v>148</v>
      </c>
      <c r="S654" t="s">
        <v>145</v>
      </c>
      <c r="U654">
        <v>2</v>
      </c>
      <c r="V654" t="s">
        <v>541</v>
      </c>
      <c r="W654" t="s">
        <v>542</v>
      </c>
      <c r="X654" s="784">
        <v>9151637.7411015611</v>
      </c>
    </row>
    <row r="655" spans="1:24">
      <c r="A655" t="s">
        <v>358</v>
      </c>
      <c r="B655" t="s">
        <v>608</v>
      </c>
      <c r="C655" t="s">
        <v>213</v>
      </c>
      <c r="D655" t="s">
        <v>130</v>
      </c>
      <c r="E655" t="s">
        <v>377</v>
      </c>
      <c r="F655" t="s">
        <v>383</v>
      </c>
      <c r="G655" t="s">
        <v>333</v>
      </c>
      <c r="H655" t="s">
        <v>333</v>
      </c>
      <c r="I655" t="s">
        <v>743</v>
      </c>
      <c r="J655" t="s">
        <v>379</v>
      </c>
      <c r="K655" t="s">
        <v>546</v>
      </c>
      <c r="L655" s="784" t="s">
        <v>575</v>
      </c>
      <c r="M655" t="s">
        <v>745</v>
      </c>
      <c r="P655" t="s">
        <v>1887</v>
      </c>
      <c r="Q655" t="s">
        <v>575</v>
      </c>
      <c r="R655" t="s">
        <v>152</v>
      </c>
      <c r="S655" t="s">
        <v>145</v>
      </c>
      <c r="U655">
        <v>0</v>
      </c>
      <c r="V655" t="s">
        <v>541</v>
      </c>
      <c r="W655" t="s">
        <v>562</v>
      </c>
      <c r="X655" s="784">
        <v>142455920.02856269</v>
      </c>
    </row>
    <row r="656" spans="1:24">
      <c r="A656" t="s">
        <v>358</v>
      </c>
      <c r="B656" t="s">
        <v>609</v>
      </c>
      <c r="C656" t="s">
        <v>214</v>
      </c>
      <c r="D656" t="s">
        <v>130</v>
      </c>
      <c r="E656" t="s">
        <v>377</v>
      </c>
      <c r="F656" t="s">
        <v>383</v>
      </c>
      <c r="G656" t="s">
        <v>333</v>
      </c>
      <c r="H656" t="s">
        <v>333</v>
      </c>
      <c r="I656" t="s">
        <v>743</v>
      </c>
      <c r="J656" t="s">
        <v>379</v>
      </c>
      <c r="K656" t="s">
        <v>546</v>
      </c>
      <c r="L656" s="784" t="s">
        <v>575</v>
      </c>
      <c r="M656" t="s">
        <v>745</v>
      </c>
      <c r="P656" t="s">
        <v>1887</v>
      </c>
      <c r="Q656" t="s">
        <v>575</v>
      </c>
      <c r="R656" t="s">
        <v>150</v>
      </c>
      <c r="S656" t="s">
        <v>145</v>
      </c>
      <c r="U656">
        <v>1</v>
      </c>
      <c r="V656" t="s">
        <v>541</v>
      </c>
      <c r="W656" t="s">
        <v>542</v>
      </c>
      <c r="X656" s="784">
        <v>85611818.171245083</v>
      </c>
    </row>
    <row r="657" spans="1:24">
      <c r="A657" t="s">
        <v>358</v>
      </c>
      <c r="B657" t="s">
        <v>610</v>
      </c>
      <c r="C657" t="s">
        <v>215</v>
      </c>
      <c r="D657" t="s">
        <v>130</v>
      </c>
      <c r="E657" t="s">
        <v>377</v>
      </c>
      <c r="F657" t="s">
        <v>383</v>
      </c>
      <c r="G657" t="s">
        <v>333</v>
      </c>
      <c r="H657" t="s">
        <v>333</v>
      </c>
      <c r="I657" t="s">
        <v>743</v>
      </c>
      <c r="J657" t="s">
        <v>379</v>
      </c>
      <c r="K657" t="s">
        <v>546</v>
      </c>
      <c r="L657" s="784" t="s">
        <v>575</v>
      </c>
      <c r="M657" t="s">
        <v>745</v>
      </c>
      <c r="P657" t="s">
        <v>1887</v>
      </c>
      <c r="Q657" t="s">
        <v>575</v>
      </c>
      <c r="R657" t="s">
        <v>150</v>
      </c>
      <c r="S657" t="s">
        <v>145</v>
      </c>
      <c r="U657">
        <v>0</v>
      </c>
      <c r="V657" t="s">
        <v>544</v>
      </c>
      <c r="W657" t="s">
        <v>558</v>
      </c>
      <c r="X657" s="784">
        <v>680289736.30082119</v>
      </c>
    </row>
    <row r="658" spans="1:24">
      <c r="A658" t="s">
        <v>358</v>
      </c>
      <c r="B658" t="s">
        <v>611</v>
      </c>
      <c r="C658" t="s">
        <v>216</v>
      </c>
      <c r="D658" t="s">
        <v>132</v>
      </c>
      <c r="E658" t="s">
        <v>377</v>
      </c>
      <c r="F658" t="s">
        <v>383</v>
      </c>
      <c r="G658" t="s">
        <v>333</v>
      </c>
      <c r="H658" t="s">
        <v>333</v>
      </c>
      <c r="I658" t="s">
        <v>743</v>
      </c>
      <c r="J658" t="s">
        <v>379</v>
      </c>
      <c r="K658" t="s">
        <v>546</v>
      </c>
      <c r="L658" s="784">
        <v>7000000</v>
      </c>
      <c r="M658" t="s">
        <v>745</v>
      </c>
      <c r="P658" t="s">
        <v>1887</v>
      </c>
      <c r="Q658" t="s">
        <v>406</v>
      </c>
      <c r="R658" t="s">
        <v>150</v>
      </c>
      <c r="S658" t="s">
        <v>145</v>
      </c>
      <c r="U658">
        <v>0</v>
      </c>
      <c r="V658" t="s">
        <v>544</v>
      </c>
      <c r="W658" t="s">
        <v>546</v>
      </c>
      <c r="X658" s="784">
        <v>26554332750.47023</v>
      </c>
    </row>
    <row r="659" spans="1:24">
      <c r="A659" t="s">
        <v>358</v>
      </c>
      <c r="B659" t="s">
        <v>612</v>
      </c>
      <c r="C659" t="s">
        <v>217</v>
      </c>
      <c r="D659" t="s">
        <v>126</v>
      </c>
      <c r="E659" t="s">
        <v>377</v>
      </c>
      <c r="F659" t="s">
        <v>383</v>
      </c>
      <c r="G659" t="s">
        <v>333</v>
      </c>
      <c r="H659" t="s">
        <v>333</v>
      </c>
      <c r="I659" t="s">
        <v>743</v>
      </c>
      <c r="J659" t="s">
        <v>379</v>
      </c>
      <c r="K659" t="s">
        <v>546</v>
      </c>
      <c r="L659" s="784">
        <v>0</v>
      </c>
      <c r="M659" t="s">
        <v>745</v>
      </c>
      <c r="P659" t="s">
        <v>1887</v>
      </c>
      <c r="Q659" t="s">
        <v>406</v>
      </c>
      <c r="R659" t="s">
        <v>150</v>
      </c>
      <c r="S659" t="s">
        <v>145</v>
      </c>
      <c r="U659">
        <v>0</v>
      </c>
      <c r="V659" t="s">
        <v>544</v>
      </c>
      <c r="W659" t="s">
        <v>546</v>
      </c>
      <c r="X659" s="784">
        <v>14745961064.890842</v>
      </c>
    </row>
    <row r="660" spans="1:24">
      <c r="A660" t="s">
        <v>358</v>
      </c>
      <c r="B660" t="s">
        <v>613</v>
      </c>
      <c r="C660" t="s">
        <v>149</v>
      </c>
      <c r="D660" t="s">
        <v>131</v>
      </c>
      <c r="E660" t="s">
        <v>377</v>
      </c>
      <c r="F660" t="s">
        <v>383</v>
      </c>
      <c r="G660" t="s">
        <v>333</v>
      </c>
      <c r="H660" t="s">
        <v>333</v>
      </c>
      <c r="I660" t="s">
        <v>743</v>
      </c>
      <c r="J660" t="s">
        <v>379</v>
      </c>
      <c r="K660" t="s">
        <v>546</v>
      </c>
      <c r="L660" s="784" t="s">
        <v>575</v>
      </c>
      <c r="M660" t="s">
        <v>745</v>
      </c>
      <c r="P660" t="s">
        <v>1887</v>
      </c>
      <c r="Q660" t="s">
        <v>575</v>
      </c>
      <c r="R660" t="s">
        <v>150</v>
      </c>
      <c r="S660" t="s">
        <v>146</v>
      </c>
      <c r="U660">
        <v>0</v>
      </c>
      <c r="V660" t="s">
        <v>544</v>
      </c>
      <c r="W660" t="s">
        <v>546</v>
      </c>
      <c r="X660" s="784">
        <v>18194076299.786381</v>
      </c>
    </row>
    <row r="661" spans="1:24">
      <c r="A661" t="s">
        <v>358</v>
      </c>
      <c r="B661" t="s">
        <v>614</v>
      </c>
      <c r="C661" t="s">
        <v>218</v>
      </c>
      <c r="D661" t="s">
        <v>131</v>
      </c>
      <c r="E661" t="s">
        <v>377</v>
      </c>
      <c r="F661" t="s">
        <v>383</v>
      </c>
      <c r="G661" t="s">
        <v>333</v>
      </c>
      <c r="H661" t="s">
        <v>333</v>
      </c>
      <c r="I661" t="s">
        <v>743</v>
      </c>
      <c r="J661" t="s">
        <v>379</v>
      </c>
      <c r="K661" t="s">
        <v>546</v>
      </c>
      <c r="L661" s="784" t="s">
        <v>575</v>
      </c>
      <c r="M661" t="s">
        <v>745</v>
      </c>
      <c r="P661" t="s">
        <v>1887</v>
      </c>
      <c r="Q661" t="s">
        <v>575</v>
      </c>
      <c r="R661" t="s">
        <v>152</v>
      </c>
      <c r="S661" t="s">
        <v>146</v>
      </c>
      <c r="U661">
        <v>0</v>
      </c>
      <c r="V661" t="s">
        <v>544</v>
      </c>
      <c r="W661" t="s">
        <v>546</v>
      </c>
      <c r="X661" s="784">
        <v>4428819387.769825</v>
      </c>
    </row>
    <row r="662" spans="1:24">
      <c r="A662" t="s">
        <v>358</v>
      </c>
      <c r="B662" t="s">
        <v>615</v>
      </c>
      <c r="C662" t="s">
        <v>219</v>
      </c>
      <c r="D662" t="s">
        <v>130</v>
      </c>
      <c r="E662" t="s">
        <v>377</v>
      </c>
      <c r="F662" t="s">
        <v>383</v>
      </c>
      <c r="G662" t="s">
        <v>333</v>
      </c>
      <c r="H662" t="s">
        <v>333</v>
      </c>
      <c r="I662" t="s">
        <v>743</v>
      </c>
      <c r="J662" t="s">
        <v>379</v>
      </c>
      <c r="K662" t="s">
        <v>546</v>
      </c>
      <c r="L662" s="784" t="s">
        <v>575</v>
      </c>
      <c r="M662" t="s">
        <v>745</v>
      </c>
      <c r="P662" t="s">
        <v>1887</v>
      </c>
      <c r="Q662" t="s">
        <v>575</v>
      </c>
      <c r="R662" t="s">
        <v>152</v>
      </c>
      <c r="S662" t="s">
        <v>146</v>
      </c>
      <c r="U662">
        <v>0</v>
      </c>
      <c r="V662" t="s">
        <v>541</v>
      </c>
      <c r="W662" t="s">
        <v>575</v>
      </c>
      <c r="X662" s="784">
        <v>611739560.62679195</v>
      </c>
    </row>
    <row r="663" spans="1:24">
      <c r="A663" t="s">
        <v>358</v>
      </c>
      <c r="B663" t="s">
        <v>616</v>
      </c>
      <c r="C663" t="s">
        <v>220</v>
      </c>
      <c r="D663" t="s">
        <v>131</v>
      </c>
      <c r="E663" t="s">
        <v>377</v>
      </c>
      <c r="F663" t="s">
        <v>383</v>
      </c>
      <c r="G663" t="s">
        <v>333</v>
      </c>
      <c r="H663" t="s">
        <v>333</v>
      </c>
      <c r="I663" t="s">
        <v>743</v>
      </c>
      <c r="J663" t="s">
        <v>379</v>
      </c>
      <c r="K663" t="s">
        <v>546</v>
      </c>
      <c r="L663" s="784" t="s">
        <v>575</v>
      </c>
      <c r="M663" t="s">
        <v>745</v>
      </c>
      <c r="P663" t="s">
        <v>1887</v>
      </c>
      <c r="Q663" t="s">
        <v>575</v>
      </c>
      <c r="R663" t="s">
        <v>152</v>
      </c>
      <c r="S663" t="s">
        <v>146</v>
      </c>
      <c r="U663">
        <v>0</v>
      </c>
      <c r="V663" t="s">
        <v>544</v>
      </c>
      <c r="W663" t="s">
        <v>546</v>
      </c>
      <c r="X663" s="784">
        <v>1617913383.0481031</v>
      </c>
    </row>
    <row r="664" spans="1:24">
      <c r="A664" t="s">
        <v>358</v>
      </c>
      <c r="B664" t="s">
        <v>617</v>
      </c>
      <c r="C664" t="s">
        <v>221</v>
      </c>
      <c r="D664" t="s">
        <v>127</v>
      </c>
      <c r="E664" t="s">
        <v>377</v>
      </c>
      <c r="F664" t="s">
        <v>383</v>
      </c>
      <c r="G664" t="s">
        <v>333</v>
      </c>
      <c r="H664" t="s">
        <v>333</v>
      </c>
      <c r="I664" t="s">
        <v>743</v>
      </c>
      <c r="J664" t="s">
        <v>379</v>
      </c>
      <c r="K664" t="s">
        <v>546</v>
      </c>
      <c r="L664" s="784" t="s">
        <v>575</v>
      </c>
      <c r="M664" t="s">
        <v>745</v>
      </c>
      <c r="P664" t="s">
        <v>1887</v>
      </c>
      <c r="Q664" t="s">
        <v>575</v>
      </c>
      <c r="R664" t="s">
        <v>152</v>
      </c>
      <c r="S664" t="s">
        <v>146</v>
      </c>
      <c r="U664">
        <v>0</v>
      </c>
      <c r="V664" t="s">
        <v>544</v>
      </c>
      <c r="W664" t="s">
        <v>575</v>
      </c>
      <c r="X664" s="784">
        <v>3074419112.4562683</v>
      </c>
    </row>
    <row r="665" spans="1:24">
      <c r="A665" t="s">
        <v>358</v>
      </c>
      <c r="B665" t="s">
        <v>618</v>
      </c>
      <c r="C665" t="s">
        <v>222</v>
      </c>
      <c r="D665" t="s">
        <v>128</v>
      </c>
      <c r="E665" t="s">
        <v>377</v>
      </c>
      <c r="F665" t="s">
        <v>383</v>
      </c>
      <c r="G665" t="s">
        <v>333</v>
      </c>
      <c r="H665" t="s">
        <v>333</v>
      </c>
      <c r="I665" t="s">
        <v>743</v>
      </c>
      <c r="J665" t="s">
        <v>379</v>
      </c>
      <c r="K665" t="s">
        <v>546</v>
      </c>
      <c r="L665" s="784" t="s">
        <v>575</v>
      </c>
      <c r="M665" t="s">
        <v>745</v>
      </c>
      <c r="P665" t="s">
        <v>1887</v>
      </c>
      <c r="Q665" t="s">
        <v>575</v>
      </c>
      <c r="R665" t="s">
        <v>150</v>
      </c>
      <c r="S665" t="s">
        <v>145</v>
      </c>
      <c r="U665">
        <v>0</v>
      </c>
      <c r="V665" t="s">
        <v>544</v>
      </c>
      <c r="W665" t="s">
        <v>542</v>
      </c>
      <c r="X665" s="784">
        <v>1914014279.8929913</v>
      </c>
    </row>
    <row r="666" spans="1:24">
      <c r="A666" t="s">
        <v>358</v>
      </c>
      <c r="B666" t="s">
        <v>619</v>
      </c>
      <c r="C666" t="s">
        <v>223</v>
      </c>
      <c r="D666" t="s">
        <v>126</v>
      </c>
      <c r="E666" t="s">
        <v>377</v>
      </c>
      <c r="F666" t="s">
        <v>383</v>
      </c>
      <c r="G666" t="s">
        <v>333</v>
      </c>
      <c r="H666" t="s">
        <v>333</v>
      </c>
      <c r="I666" t="s">
        <v>743</v>
      </c>
      <c r="J666" t="s">
        <v>379</v>
      </c>
      <c r="K666" t="s">
        <v>546</v>
      </c>
      <c r="L666" s="784" t="s">
        <v>575</v>
      </c>
      <c r="M666" t="s">
        <v>745</v>
      </c>
      <c r="P666" t="s">
        <v>1887</v>
      </c>
      <c r="Q666" t="s">
        <v>575</v>
      </c>
      <c r="R666" t="s">
        <v>150</v>
      </c>
      <c r="S666" t="s">
        <v>145</v>
      </c>
      <c r="U666">
        <v>0</v>
      </c>
      <c r="V666" t="s">
        <v>541</v>
      </c>
      <c r="W666" t="s">
        <v>542</v>
      </c>
      <c r="X666" s="784">
        <v>17422005.762907442</v>
      </c>
    </row>
    <row r="667" spans="1:24">
      <c r="A667" t="s">
        <v>358</v>
      </c>
      <c r="B667" t="s">
        <v>620</v>
      </c>
      <c r="C667" t="s">
        <v>224</v>
      </c>
      <c r="D667" t="s">
        <v>126</v>
      </c>
      <c r="E667" t="s">
        <v>377</v>
      </c>
      <c r="F667" t="s">
        <v>383</v>
      </c>
      <c r="G667" t="s">
        <v>333</v>
      </c>
      <c r="H667" t="s">
        <v>333</v>
      </c>
      <c r="I667" t="s">
        <v>743</v>
      </c>
      <c r="J667" t="s">
        <v>379</v>
      </c>
      <c r="K667" t="s">
        <v>546</v>
      </c>
      <c r="L667" s="784" t="s">
        <v>575</v>
      </c>
      <c r="M667" t="s">
        <v>745</v>
      </c>
      <c r="P667" t="s">
        <v>1887</v>
      </c>
      <c r="Q667" t="s">
        <v>575</v>
      </c>
      <c r="R667" t="s">
        <v>148</v>
      </c>
      <c r="S667" t="s">
        <v>145</v>
      </c>
      <c r="U667">
        <v>0</v>
      </c>
      <c r="V667" t="s">
        <v>544</v>
      </c>
      <c r="W667" t="s">
        <v>546</v>
      </c>
      <c r="X667" s="784" t="s">
        <v>575</v>
      </c>
    </row>
    <row r="668" spans="1:24">
      <c r="A668" t="s">
        <v>358</v>
      </c>
      <c r="B668" t="s">
        <v>621</v>
      </c>
      <c r="C668" t="s">
        <v>225</v>
      </c>
      <c r="D668" t="s">
        <v>127</v>
      </c>
      <c r="E668" t="s">
        <v>377</v>
      </c>
      <c r="F668" t="s">
        <v>383</v>
      </c>
      <c r="G668" t="s">
        <v>333</v>
      </c>
      <c r="H668" t="s">
        <v>333</v>
      </c>
      <c r="I668" t="s">
        <v>743</v>
      </c>
      <c r="J668" t="s">
        <v>379</v>
      </c>
      <c r="K668" t="s">
        <v>546</v>
      </c>
      <c r="L668" s="784" t="s">
        <v>575</v>
      </c>
      <c r="M668" t="s">
        <v>745</v>
      </c>
      <c r="P668" t="s">
        <v>1887</v>
      </c>
      <c r="Q668" t="s">
        <v>575</v>
      </c>
      <c r="R668" t="s">
        <v>152</v>
      </c>
      <c r="S668" t="s">
        <v>145</v>
      </c>
      <c r="U668">
        <v>0</v>
      </c>
      <c r="V668" t="s">
        <v>544</v>
      </c>
      <c r="W668" t="s">
        <v>548</v>
      </c>
      <c r="X668" s="784" t="s">
        <v>575</v>
      </c>
    </row>
    <row r="669" spans="1:24">
      <c r="A669" t="s">
        <v>358</v>
      </c>
      <c r="B669" t="s">
        <v>622</v>
      </c>
      <c r="C669" t="s">
        <v>226</v>
      </c>
      <c r="D669" t="s">
        <v>127</v>
      </c>
      <c r="E669" t="s">
        <v>377</v>
      </c>
      <c r="F669" t="s">
        <v>383</v>
      </c>
      <c r="G669" t="s">
        <v>333</v>
      </c>
      <c r="H669" t="s">
        <v>333</v>
      </c>
      <c r="I669" t="s">
        <v>743</v>
      </c>
      <c r="J669" t="s">
        <v>379</v>
      </c>
      <c r="K669" t="s">
        <v>546</v>
      </c>
      <c r="L669" s="784" t="s">
        <v>575</v>
      </c>
      <c r="M669" t="s">
        <v>745</v>
      </c>
      <c r="P669" t="s">
        <v>1887</v>
      </c>
      <c r="Q669" t="s">
        <v>575</v>
      </c>
      <c r="R669" t="s">
        <v>150</v>
      </c>
      <c r="S669" t="s">
        <v>145</v>
      </c>
      <c r="U669">
        <v>2</v>
      </c>
      <c r="V669" t="s">
        <v>544</v>
      </c>
      <c r="W669" t="s">
        <v>562</v>
      </c>
      <c r="X669" s="784">
        <v>231506834.84347546</v>
      </c>
    </row>
    <row r="670" spans="1:24">
      <c r="A670" t="s">
        <v>358</v>
      </c>
      <c r="B670" t="s">
        <v>623</v>
      </c>
      <c r="C670" t="s">
        <v>227</v>
      </c>
      <c r="D670" t="s">
        <v>126</v>
      </c>
      <c r="E670" t="s">
        <v>377</v>
      </c>
      <c r="F670" t="s">
        <v>383</v>
      </c>
      <c r="G670" t="s">
        <v>333</v>
      </c>
      <c r="H670" t="s">
        <v>333</v>
      </c>
      <c r="I670" t="s">
        <v>743</v>
      </c>
      <c r="J670" t="s">
        <v>379</v>
      </c>
      <c r="K670" t="s">
        <v>546</v>
      </c>
      <c r="L670" s="784" t="s">
        <v>575</v>
      </c>
      <c r="M670" t="s">
        <v>745</v>
      </c>
      <c r="P670" t="s">
        <v>1887</v>
      </c>
      <c r="Q670" t="s">
        <v>575</v>
      </c>
      <c r="R670" t="s">
        <v>150</v>
      </c>
      <c r="S670" t="s">
        <v>145</v>
      </c>
      <c r="U670">
        <v>0</v>
      </c>
      <c r="V670" t="s">
        <v>544</v>
      </c>
      <c r="W670" t="s">
        <v>542</v>
      </c>
      <c r="X670" s="784">
        <v>156059428.62944782</v>
      </c>
    </row>
    <row r="671" spans="1:24">
      <c r="A671" t="s">
        <v>358</v>
      </c>
      <c r="B671" t="s">
        <v>624</v>
      </c>
      <c r="C671" t="s">
        <v>228</v>
      </c>
      <c r="D671" t="s">
        <v>131</v>
      </c>
      <c r="E671" t="s">
        <v>377</v>
      </c>
      <c r="F671" t="s">
        <v>383</v>
      </c>
      <c r="G671" t="s">
        <v>333</v>
      </c>
      <c r="H671" t="s">
        <v>333</v>
      </c>
      <c r="I671" t="s">
        <v>743</v>
      </c>
      <c r="J671" t="s">
        <v>379</v>
      </c>
      <c r="K671" t="s">
        <v>546</v>
      </c>
      <c r="L671" s="784" t="s">
        <v>575</v>
      </c>
      <c r="M671" t="s">
        <v>745</v>
      </c>
      <c r="P671" t="s">
        <v>1887</v>
      </c>
      <c r="Q671" t="s">
        <v>575</v>
      </c>
      <c r="R671" t="s">
        <v>152</v>
      </c>
      <c r="S671" t="s">
        <v>146</v>
      </c>
      <c r="U671">
        <v>0</v>
      </c>
      <c r="V671" t="s">
        <v>544</v>
      </c>
      <c r="W671" t="s">
        <v>546</v>
      </c>
      <c r="X671" s="784">
        <v>2355391507.1635861</v>
      </c>
    </row>
    <row r="672" spans="1:24">
      <c r="A672" t="s">
        <v>358</v>
      </c>
      <c r="B672" t="s">
        <v>625</v>
      </c>
      <c r="C672" t="s">
        <v>229</v>
      </c>
      <c r="D672" t="s">
        <v>128</v>
      </c>
      <c r="E672" t="s">
        <v>377</v>
      </c>
      <c r="F672" t="s">
        <v>383</v>
      </c>
      <c r="G672" t="s">
        <v>333</v>
      </c>
      <c r="H672" t="s">
        <v>333</v>
      </c>
      <c r="I672" t="s">
        <v>743</v>
      </c>
      <c r="J672" t="s">
        <v>379</v>
      </c>
      <c r="K672" t="s">
        <v>546</v>
      </c>
      <c r="L672" s="784" t="s">
        <v>575</v>
      </c>
      <c r="M672" t="s">
        <v>745</v>
      </c>
      <c r="P672" t="s">
        <v>1887</v>
      </c>
      <c r="Q672" t="s">
        <v>575</v>
      </c>
      <c r="R672" t="s">
        <v>150</v>
      </c>
      <c r="S672" t="s">
        <v>145</v>
      </c>
      <c r="U672">
        <v>0</v>
      </c>
      <c r="V672" t="s">
        <v>544</v>
      </c>
      <c r="W672" t="s">
        <v>562</v>
      </c>
      <c r="X672" s="784">
        <v>152760919.7684873</v>
      </c>
    </row>
    <row r="673" spans="1:24">
      <c r="A673" t="s">
        <v>358</v>
      </c>
      <c r="B673" t="s">
        <v>626</v>
      </c>
      <c r="C673" t="s">
        <v>230</v>
      </c>
      <c r="D673" t="s">
        <v>129</v>
      </c>
      <c r="E673" t="s">
        <v>377</v>
      </c>
      <c r="F673" t="s">
        <v>383</v>
      </c>
      <c r="G673" t="s">
        <v>333</v>
      </c>
      <c r="H673" t="s">
        <v>333</v>
      </c>
      <c r="I673" t="s">
        <v>743</v>
      </c>
      <c r="J673" t="s">
        <v>379</v>
      </c>
      <c r="K673" t="s">
        <v>546</v>
      </c>
      <c r="L673" s="784" t="s">
        <v>575</v>
      </c>
      <c r="M673" t="s">
        <v>745</v>
      </c>
      <c r="P673" t="s">
        <v>1887</v>
      </c>
      <c r="Q673" t="s">
        <v>575</v>
      </c>
      <c r="R673" t="s">
        <v>148</v>
      </c>
      <c r="S673" t="s">
        <v>145</v>
      </c>
      <c r="U673">
        <v>0</v>
      </c>
      <c r="V673" t="s">
        <v>544</v>
      </c>
      <c r="W673" t="s">
        <v>542</v>
      </c>
      <c r="X673" s="784">
        <v>55072006.864440605</v>
      </c>
    </row>
    <row r="674" spans="1:24">
      <c r="A674" t="s">
        <v>358</v>
      </c>
      <c r="B674" t="s">
        <v>627</v>
      </c>
      <c r="C674" t="s">
        <v>231</v>
      </c>
      <c r="D674" t="s">
        <v>131</v>
      </c>
      <c r="E674" t="s">
        <v>377</v>
      </c>
      <c r="F674" t="s">
        <v>383</v>
      </c>
      <c r="G674" t="s">
        <v>333</v>
      </c>
      <c r="H674" t="s">
        <v>333</v>
      </c>
      <c r="I674" t="s">
        <v>743</v>
      </c>
      <c r="J674" t="s">
        <v>379</v>
      </c>
      <c r="K674" t="s">
        <v>546</v>
      </c>
      <c r="L674" s="784" t="s">
        <v>575</v>
      </c>
      <c r="M674" t="s">
        <v>745</v>
      </c>
      <c r="P674" t="s">
        <v>1887</v>
      </c>
      <c r="Q674" t="s">
        <v>575</v>
      </c>
      <c r="R674" t="s">
        <v>152</v>
      </c>
      <c r="S674" t="s">
        <v>146</v>
      </c>
      <c r="U674">
        <v>0</v>
      </c>
      <c r="V674" t="s">
        <v>544</v>
      </c>
      <c r="W674" t="s">
        <v>546</v>
      </c>
      <c r="X674" s="784" t="s">
        <v>575</v>
      </c>
    </row>
    <row r="675" spans="1:24">
      <c r="A675" t="s">
        <v>358</v>
      </c>
      <c r="B675" t="s">
        <v>628</v>
      </c>
      <c r="C675" t="s">
        <v>232</v>
      </c>
      <c r="D675" t="s">
        <v>128</v>
      </c>
      <c r="E675" t="s">
        <v>377</v>
      </c>
      <c r="F675" t="s">
        <v>383</v>
      </c>
      <c r="G675" t="s">
        <v>333</v>
      </c>
      <c r="H675" t="s">
        <v>333</v>
      </c>
      <c r="I675" t="s">
        <v>743</v>
      </c>
      <c r="J675" t="s">
        <v>379</v>
      </c>
      <c r="K675" t="s">
        <v>546</v>
      </c>
      <c r="L675" s="784" t="s">
        <v>575</v>
      </c>
      <c r="M675" t="s">
        <v>745</v>
      </c>
      <c r="P675" t="s">
        <v>1887</v>
      </c>
      <c r="Q675" t="s">
        <v>575</v>
      </c>
      <c r="R675" t="s">
        <v>148</v>
      </c>
      <c r="S675" t="s">
        <v>145</v>
      </c>
      <c r="U675">
        <v>2</v>
      </c>
      <c r="V675" t="s">
        <v>544</v>
      </c>
      <c r="W675" t="s">
        <v>562</v>
      </c>
      <c r="X675" s="784">
        <v>206914157.05429548</v>
      </c>
    </row>
    <row r="676" spans="1:24">
      <c r="A676" t="s">
        <v>358</v>
      </c>
      <c r="B676" t="s">
        <v>629</v>
      </c>
      <c r="C676" t="s">
        <v>233</v>
      </c>
      <c r="D676" t="s">
        <v>128</v>
      </c>
      <c r="E676" t="s">
        <v>377</v>
      </c>
      <c r="F676" t="s">
        <v>383</v>
      </c>
      <c r="G676" t="s">
        <v>333</v>
      </c>
      <c r="H676" t="s">
        <v>333</v>
      </c>
      <c r="I676" t="s">
        <v>743</v>
      </c>
      <c r="J676" t="s">
        <v>379</v>
      </c>
      <c r="K676" t="s">
        <v>546</v>
      </c>
      <c r="L676" s="784" t="s">
        <v>575</v>
      </c>
      <c r="M676" t="s">
        <v>745</v>
      </c>
      <c r="P676" t="s">
        <v>1887</v>
      </c>
      <c r="Q676" t="s">
        <v>575</v>
      </c>
      <c r="R676" t="s">
        <v>148</v>
      </c>
      <c r="S676" t="s">
        <v>145</v>
      </c>
      <c r="U676">
        <v>2</v>
      </c>
      <c r="V676" t="s">
        <v>544</v>
      </c>
      <c r="W676" t="s">
        <v>542</v>
      </c>
      <c r="X676" s="784">
        <v>185999915.02066413</v>
      </c>
    </row>
    <row r="677" spans="1:24">
      <c r="A677" t="s">
        <v>358</v>
      </c>
      <c r="B677" t="s">
        <v>630</v>
      </c>
      <c r="C677" t="s">
        <v>234</v>
      </c>
      <c r="D677" t="s">
        <v>126</v>
      </c>
      <c r="E677" t="s">
        <v>377</v>
      </c>
      <c r="F677" t="s">
        <v>383</v>
      </c>
      <c r="G677" t="s">
        <v>333</v>
      </c>
      <c r="H677" t="s">
        <v>333</v>
      </c>
      <c r="I677" t="s">
        <v>743</v>
      </c>
      <c r="J677" t="s">
        <v>379</v>
      </c>
      <c r="K677" t="s">
        <v>546</v>
      </c>
      <c r="L677" s="784" t="s">
        <v>575</v>
      </c>
      <c r="M677" t="s">
        <v>745</v>
      </c>
      <c r="P677" t="s">
        <v>1887</v>
      </c>
      <c r="Q677" t="s">
        <v>575</v>
      </c>
      <c r="R677" t="s">
        <v>152</v>
      </c>
      <c r="S677" t="s">
        <v>146</v>
      </c>
      <c r="U677">
        <v>0</v>
      </c>
      <c r="V677" t="s">
        <v>544</v>
      </c>
      <c r="W677" t="s">
        <v>575</v>
      </c>
      <c r="X677" s="784">
        <v>6893755763.2501726</v>
      </c>
    </row>
    <row r="678" spans="1:24">
      <c r="A678" t="s">
        <v>358</v>
      </c>
      <c r="B678" t="s">
        <v>631</v>
      </c>
      <c r="C678" t="s">
        <v>235</v>
      </c>
      <c r="D678" t="s">
        <v>132</v>
      </c>
      <c r="E678" t="s">
        <v>377</v>
      </c>
      <c r="F678" t="s">
        <v>383</v>
      </c>
      <c r="G678" t="s">
        <v>333</v>
      </c>
      <c r="H678" t="s">
        <v>333</v>
      </c>
      <c r="I678" t="s">
        <v>743</v>
      </c>
      <c r="J678" t="s">
        <v>379</v>
      </c>
      <c r="K678" t="s">
        <v>546</v>
      </c>
      <c r="L678" s="784">
        <v>0</v>
      </c>
      <c r="M678" t="s">
        <v>745</v>
      </c>
      <c r="P678" t="s">
        <v>1887</v>
      </c>
      <c r="Q678" t="s">
        <v>838</v>
      </c>
      <c r="R678" t="s">
        <v>152</v>
      </c>
      <c r="S678" t="s">
        <v>145</v>
      </c>
      <c r="U678">
        <v>0</v>
      </c>
      <c r="V678" t="s">
        <v>541</v>
      </c>
      <c r="W678" t="s">
        <v>542</v>
      </c>
      <c r="X678" s="784">
        <v>354560231.58276606</v>
      </c>
    </row>
    <row r="679" spans="1:24">
      <c r="A679" t="s">
        <v>358</v>
      </c>
      <c r="B679" t="s">
        <v>632</v>
      </c>
      <c r="C679" t="s">
        <v>236</v>
      </c>
      <c r="D679" t="s">
        <v>129</v>
      </c>
      <c r="E679" t="s">
        <v>377</v>
      </c>
      <c r="F679" t="s">
        <v>383</v>
      </c>
      <c r="G679" t="s">
        <v>333</v>
      </c>
      <c r="H679" t="s">
        <v>333</v>
      </c>
      <c r="I679" t="s">
        <v>743</v>
      </c>
      <c r="J679" t="s">
        <v>379</v>
      </c>
      <c r="K679" t="s">
        <v>546</v>
      </c>
      <c r="L679" s="784" t="s">
        <v>575</v>
      </c>
      <c r="M679" t="s">
        <v>745</v>
      </c>
      <c r="P679" t="s">
        <v>1887</v>
      </c>
      <c r="Q679" t="s">
        <v>575</v>
      </c>
      <c r="R679" t="s">
        <v>148</v>
      </c>
      <c r="S679" t="s">
        <v>145</v>
      </c>
      <c r="U679">
        <v>1</v>
      </c>
      <c r="V679" t="s">
        <v>544</v>
      </c>
      <c r="W679" t="s">
        <v>562</v>
      </c>
      <c r="X679" s="784">
        <v>188169167.56540567</v>
      </c>
    </row>
    <row r="680" spans="1:24">
      <c r="A680" t="s">
        <v>358</v>
      </c>
      <c r="B680" t="s">
        <v>633</v>
      </c>
      <c r="C680" t="s">
        <v>237</v>
      </c>
      <c r="D680" t="s">
        <v>126</v>
      </c>
      <c r="E680" t="s">
        <v>377</v>
      </c>
      <c r="F680" t="s">
        <v>383</v>
      </c>
      <c r="G680" t="s">
        <v>333</v>
      </c>
      <c r="H680" t="s">
        <v>333</v>
      </c>
      <c r="I680" t="s">
        <v>743</v>
      </c>
      <c r="J680" t="s">
        <v>379</v>
      </c>
      <c r="K680" t="s">
        <v>546</v>
      </c>
      <c r="L680" s="784" t="s">
        <v>575</v>
      </c>
      <c r="M680" t="s">
        <v>745</v>
      </c>
      <c r="P680" t="s">
        <v>1887</v>
      </c>
      <c r="Q680" t="s">
        <v>575</v>
      </c>
      <c r="R680" t="s">
        <v>152</v>
      </c>
      <c r="S680" t="s">
        <v>145</v>
      </c>
      <c r="U680">
        <v>0</v>
      </c>
      <c r="V680" t="s">
        <v>541</v>
      </c>
      <c r="W680" t="s">
        <v>575</v>
      </c>
      <c r="X680" s="784">
        <v>16312106.556340856</v>
      </c>
    </row>
    <row r="681" spans="1:24">
      <c r="A681" t="s">
        <v>358</v>
      </c>
      <c r="B681" t="s">
        <v>634</v>
      </c>
      <c r="C681" t="s">
        <v>238</v>
      </c>
      <c r="D681" t="s">
        <v>129</v>
      </c>
      <c r="E681" t="s">
        <v>377</v>
      </c>
      <c r="F681" t="s">
        <v>383</v>
      </c>
      <c r="G681" t="s">
        <v>333</v>
      </c>
      <c r="H681" t="s">
        <v>333</v>
      </c>
      <c r="I681" t="s">
        <v>743</v>
      </c>
      <c r="J681" t="s">
        <v>379</v>
      </c>
      <c r="K681" t="s">
        <v>546</v>
      </c>
      <c r="L681" s="784" t="s">
        <v>575</v>
      </c>
      <c r="M681" t="s">
        <v>745</v>
      </c>
      <c r="P681" t="s">
        <v>1887</v>
      </c>
      <c r="Q681" t="s">
        <v>575</v>
      </c>
      <c r="R681" t="s">
        <v>150</v>
      </c>
      <c r="S681" t="s">
        <v>145</v>
      </c>
      <c r="U681">
        <v>2</v>
      </c>
      <c r="V681" t="s">
        <v>544</v>
      </c>
      <c r="W681" t="s">
        <v>542</v>
      </c>
      <c r="X681" s="784">
        <v>86083833.534053758</v>
      </c>
    </row>
    <row r="682" spans="1:24">
      <c r="A682" t="s">
        <v>358</v>
      </c>
      <c r="B682" t="s">
        <v>635</v>
      </c>
      <c r="C682" t="s">
        <v>239</v>
      </c>
      <c r="D682" t="s">
        <v>128</v>
      </c>
      <c r="E682" t="s">
        <v>377</v>
      </c>
      <c r="F682" t="s">
        <v>383</v>
      </c>
      <c r="G682" t="s">
        <v>333</v>
      </c>
      <c r="H682" t="s">
        <v>333</v>
      </c>
      <c r="I682" t="s">
        <v>743</v>
      </c>
      <c r="J682" t="s">
        <v>379</v>
      </c>
      <c r="K682" t="s">
        <v>546</v>
      </c>
      <c r="L682" s="784" t="s">
        <v>575</v>
      </c>
      <c r="M682" t="s">
        <v>745</v>
      </c>
      <c r="P682" t="s">
        <v>1887</v>
      </c>
      <c r="Q682" t="s">
        <v>575</v>
      </c>
      <c r="R682" t="s">
        <v>152</v>
      </c>
      <c r="S682" t="s">
        <v>146</v>
      </c>
      <c r="U682">
        <v>0</v>
      </c>
      <c r="V682" t="s">
        <v>541</v>
      </c>
      <c r="W682" t="s">
        <v>546</v>
      </c>
      <c r="X682" s="784">
        <v>357220835.93762809</v>
      </c>
    </row>
    <row r="683" spans="1:24">
      <c r="A683" t="s">
        <v>358</v>
      </c>
      <c r="B683" t="s">
        <v>636</v>
      </c>
      <c r="C683" t="s">
        <v>240</v>
      </c>
      <c r="D683" t="s">
        <v>130</v>
      </c>
      <c r="E683" t="s">
        <v>377</v>
      </c>
      <c r="F683" t="s">
        <v>383</v>
      </c>
      <c r="G683" t="s">
        <v>333</v>
      </c>
      <c r="H683" t="s">
        <v>333</v>
      </c>
      <c r="I683" t="s">
        <v>743</v>
      </c>
      <c r="J683" t="s">
        <v>379</v>
      </c>
      <c r="K683" t="s">
        <v>546</v>
      </c>
      <c r="L683" s="784" t="s">
        <v>575</v>
      </c>
      <c r="M683" t="s">
        <v>745</v>
      </c>
      <c r="P683" t="s">
        <v>1887</v>
      </c>
      <c r="Q683" t="s">
        <v>575</v>
      </c>
      <c r="R683" t="s">
        <v>152</v>
      </c>
      <c r="S683" t="s">
        <v>146</v>
      </c>
      <c r="U683">
        <v>0</v>
      </c>
      <c r="V683" t="s">
        <v>544</v>
      </c>
      <c r="W683" t="s">
        <v>575</v>
      </c>
      <c r="X683" s="784">
        <v>32831598153.796387</v>
      </c>
    </row>
    <row r="684" spans="1:24">
      <c r="A684" t="s">
        <v>358</v>
      </c>
      <c r="B684" t="s">
        <v>637</v>
      </c>
      <c r="C684" t="s">
        <v>241</v>
      </c>
      <c r="D684" t="s">
        <v>126</v>
      </c>
      <c r="E684" t="s">
        <v>377</v>
      </c>
      <c r="F684" t="s">
        <v>383</v>
      </c>
      <c r="G684" t="s">
        <v>333</v>
      </c>
      <c r="H684" t="s">
        <v>333</v>
      </c>
      <c r="I684" t="s">
        <v>743</v>
      </c>
      <c r="J684" t="s">
        <v>379</v>
      </c>
      <c r="K684" t="s">
        <v>546</v>
      </c>
      <c r="L684" s="784" t="s">
        <v>575</v>
      </c>
      <c r="M684" t="s">
        <v>745</v>
      </c>
      <c r="P684" t="s">
        <v>1887</v>
      </c>
      <c r="Q684" t="s">
        <v>575</v>
      </c>
      <c r="R684" t="s">
        <v>150</v>
      </c>
      <c r="S684" t="s">
        <v>145</v>
      </c>
      <c r="U684">
        <v>0</v>
      </c>
      <c r="V684" t="s">
        <v>541</v>
      </c>
      <c r="W684" t="s">
        <v>542</v>
      </c>
      <c r="X684" s="784">
        <v>12329056.093798399</v>
      </c>
    </row>
    <row r="685" spans="1:24">
      <c r="A685" t="s">
        <v>358</v>
      </c>
      <c r="B685" t="s">
        <v>638</v>
      </c>
      <c r="C685" t="s">
        <v>242</v>
      </c>
      <c r="D685" t="s">
        <v>127</v>
      </c>
      <c r="E685" t="s">
        <v>377</v>
      </c>
      <c r="F685" t="s">
        <v>383</v>
      </c>
      <c r="G685" t="s">
        <v>333</v>
      </c>
      <c r="H685" t="s">
        <v>333</v>
      </c>
      <c r="I685" t="s">
        <v>743</v>
      </c>
      <c r="J685" t="s">
        <v>379</v>
      </c>
      <c r="K685" t="s">
        <v>546</v>
      </c>
      <c r="L685" s="784" t="s">
        <v>575</v>
      </c>
      <c r="M685" t="s">
        <v>745</v>
      </c>
      <c r="P685" t="s">
        <v>1887</v>
      </c>
      <c r="Q685" t="s">
        <v>575</v>
      </c>
      <c r="R685" t="s">
        <v>152</v>
      </c>
      <c r="S685" t="s">
        <v>145</v>
      </c>
      <c r="U685">
        <v>0</v>
      </c>
      <c r="V685" t="s">
        <v>544</v>
      </c>
      <c r="W685" t="s">
        <v>558</v>
      </c>
      <c r="X685" s="784">
        <v>426639742.85328001</v>
      </c>
    </row>
    <row r="686" spans="1:24">
      <c r="A686" t="s">
        <v>358</v>
      </c>
      <c r="B686" t="s">
        <v>639</v>
      </c>
      <c r="C686" t="s">
        <v>243</v>
      </c>
      <c r="D686" t="s">
        <v>126</v>
      </c>
      <c r="E686" t="s">
        <v>377</v>
      </c>
      <c r="F686" t="s">
        <v>383</v>
      </c>
      <c r="G686" t="s">
        <v>333</v>
      </c>
      <c r="H686" t="s">
        <v>333</v>
      </c>
      <c r="I686" t="s">
        <v>743</v>
      </c>
      <c r="J686" t="s">
        <v>379</v>
      </c>
      <c r="K686" t="s">
        <v>546</v>
      </c>
      <c r="L686" s="784">
        <v>0</v>
      </c>
      <c r="M686" t="s">
        <v>745</v>
      </c>
      <c r="P686" t="s">
        <v>1887</v>
      </c>
      <c r="Q686" t="s">
        <v>406</v>
      </c>
      <c r="R686" t="s">
        <v>150</v>
      </c>
      <c r="S686" t="s">
        <v>145</v>
      </c>
      <c r="U686">
        <v>0</v>
      </c>
      <c r="V686" t="s">
        <v>544</v>
      </c>
      <c r="W686" t="s">
        <v>548</v>
      </c>
      <c r="X686" s="784">
        <v>288519671.85870522</v>
      </c>
    </row>
    <row r="687" spans="1:24">
      <c r="A687" t="s">
        <v>358</v>
      </c>
      <c r="B687" t="s">
        <v>640</v>
      </c>
      <c r="C687" t="s">
        <v>244</v>
      </c>
      <c r="D687" t="s">
        <v>127</v>
      </c>
      <c r="E687" t="s">
        <v>377</v>
      </c>
      <c r="F687" t="s">
        <v>383</v>
      </c>
      <c r="G687" t="s">
        <v>333</v>
      </c>
      <c r="H687" t="s">
        <v>333</v>
      </c>
      <c r="I687" t="s">
        <v>743</v>
      </c>
      <c r="J687" t="s">
        <v>379</v>
      </c>
      <c r="K687" t="s">
        <v>546</v>
      </c>
      <c r="L687" s="784" t="s">
        <v>575</v>
      </c>
      <c r="M687" t="s">
        <v>745</v>
      </c>
      <c r="P687" t="s">
        <v>1887</v>
      </c>
      <c r="Q687" t="s">
        <v>575</v>
      </c>
      <c r="R687" t="s">
        <v>152</v>
      </c>
      <c r="S687" t="s">
        <v>146</v>
      </c>
      <c r="U687">
        <v>0</v>
      </c>
      <c r="V687" t="s">
        <v>544</v>
      </c>
      <c r="W687" t="s">
        <v>546</v>
      </c>
      <c r="X687" s="784">
        <v>275606560.78491527</v>
      </c>
    </row>
    <row r="688" spans="1:24">
      <c r="A688" t="s">
        <v>358</v>
      </c>
      <c r="B688" t="s">
        <v>641</v>
      </c>
      <c r="C688" t="s">
        <v>245</v>
      </c>
      <c r="D688" t="s">
        <v>131</v>
      </c>
      <c r="E688" t="s">
        <v>377</v>
      </c>
      <c r="F688" t="s">
        <v>383</v>
      </c>
      <c r="G688" t="s">
        <v>333</v>
      </c>
      <c r="H688" t="s">
        <v>333</v>
      </c>
      <c r="I688" t="s">
        <v>743</v>
      </c>
      <c r="J688" t="s">
        <v>379</v>
      </c>
      <c r="K688" t="s">
        <v>546</v>
      </c>
      <c r="L688" s="784" t="s">
        <v>575</v>
      </c>
      <c r="M688" t="s">
        <v>745</v>
      </c>
      <c r="P688" t="s">
        <v>1887</v>
      </c>
      <c r="Q688" t="s">
        <v>575</v>
      </c>
      <c r="R688" t="s">
        <v>150</v>
      </c>
      <c r="S688" t="s">
        <v>145</v>
      </c>
      <c r="U688">
        <v>0</v>
      </c>
      <c r="V688" t="s">
        <v>544</v>
      </c>
      <c r="W688" t="s">
        <v>546</v>
      </c>
      <c r="X688" s="784">
        <v>2530937679.3725696</v>
      </c>
    </row>
    <row r="689" spans="1:24">
      <c r="A689" t="s">
        <v>358</v>
      </c>
      <c r="B689" t="s">
        <v>642</v>
      </c>
      <c r="C689" t="s">
        <v>246</v>
      </c>
      <c r="D689" t="s">
        <v>128</v>
      </c>
      <c r="E689" t="s">
        <v>377</v>
      </c>
      <c r="F689" t="s">
        <v>383</v>
      </c>
      <c r="G689" t="s">
        <v>333</v>
      </c>
      <c r="H689" t="s">
        <v>333</v>
      </c>
      <c r="I689" t="s">
        <v>743</v>
      </c>
      <c r="J689" t="s">
        <v>379</v>
      </c>
      <c r="K689" t="s">
        <v>546</v>
      </c>
      <c r="L689" s="784" t="s">
        <v>575</v>
      </c>
      <c r="M689" t="s">
        <v>745</v>
      </c>
      <c r="P689" t="s">
        <v>1887</v>
      </c>
      <c r="Q689" t="s">
        <v>575</v>
      </c>
      <c r="R689" t="s">
        <v>148</v>
      </c>
      <c r="S689" t="s">
        <v>145</v>
      </c>
      <c r="U689">
        <v>0</v>
      </c>
      <c r="V689" t="s">
        <v>544</v>
      </c>
      <c r="W689" t="s">
        <v>583</v>
      </c>
      <c r="X689" s="784">
        <v>251432156.86255455</v>
      </c>
    </row>
    <row r="690" spans="1:24">
      <c r="A690" t="s">
        <v>358</v>
      </c>
      <c r="B690" t="s">
        <v>643</v>
      </c>
      <c r="C690" t="s">
        <v>247</v>
      </c>
      <c r="D690" t="s">
        <v>126</v>
      </c>
      <c r="E690" t="s">
        <v>377</v>
      </c>
      <c r="F690" t="s">
        <v>383</v>
      </c>
      <c r="G690" t="s">
        <v>333</v>
      </c>
      <c r="H690" t="s">
        <v>333</v>
      </c>
      <c r="I690" t="s">
        <v>743</v>
      </c>
      <c r="J690" t="s">
        <v>379</v>
      </c>
      <c r="K690" t="s">
        <v>546</v>
      </c>
      <c r="L690" s="784" t="s">
        <v>575</v>
      </c>
      <c r="M690" t="s">
        <v>745</v>
      </c>
      <c r="P690" t="s">
        <v>1887</v>
      </c>
      <c r="Q690" t="s">
        <v>575</v>
      </c>
      <c r="R690" t="s">
        <v>150</v>
      </c>
      <c r="S690" t="s">
        <v>145</v>
      </c>
      <c r="U690">
        <v>0</v>
      </c>
      <c r="V690" t="s">
        <v>544</v>
      </c>
      <c r="W690" t="s">
        <v>558</v>
      </c>
      <c r="X690" s="784">
        <v>471534500.60109437</v>
      </c>
    </row>
    <row r="691" spans="1:24">
      <c r="A691" t="s">
        <v>358</v>
      </c>
      <c r="B691" t="s">
        <v>644</v>
      </c>
      <c r="C691" t="s">
        <v>248</v>
      </c>
      <c r="D691" t="s">
        <v>128</v>
      </c>
      <c r="E691" t="s">
        <v>377</v>
      </c>
      <c r="F691" t="s">
        <v>383</v>
      </c>
      <c r="G691" t="s">
        <v>333</v>
      </c>
      <c r="H691" t="s">
        <v>333</v>
      </c>
      <c r="I691" t="s">
        <v>743</v>
      </c>
      <c r="J691" t="s">
        <v>379</v>
      </c>
      <c r="K691" t="s">
        <v>546</v>
      </c>
      <c r="L691" s="784" t="s">
        <v>575</v>
      </c>
      <c r="M691" t="s">
        <v>745</v>
      </c>
      <c r="P691" t="s">
        <v>1887</v>
      </c>
      <c r="Q691" t="s">
        <v>575</v>
      </c>
      <c r="R691" t="s">
        <v>152</v>
      </c>
      <c r="S691" t="s">
        <v>146</v>
      </c>
      <c r="U691">
        <v>0</v>
      </c>
      <c r="V691" t="s">
        <v>544</v>
      </c>
      <c r="W691" t="s">
        <v>575</v>
      </c>
      <c r="X691" s="784">
        <v>531677611.80447447</v>
      </c>
    </row>
    <row r="692" spans="1:24">
      <c r="A692" t="s">
        <v>358</v>
      </c>
      <c r="B692" t="s">
        <v>645</v>
      </c>
      <c r="C692" t="s">
        <v>249</v>
      </c>
      <c r="D692" t="s">
        <v>126</v>
      </c>
      <c r="E692" t="s">
        <v>377</v>
      </c>
      <c r="F692" t="s">
        <v>383</v>
      </c>
      <c r="G692" t="s">
        <v>333</v>
      </c>
      <c r="H692" t="s">
        <v>333</v>
      </c>
      <c r="I692" t="s">
        <v>743</v>
      </c>
      <c r="J692" t="s">
        <v>379</v>
      </c>
      <c r="K692" t="s">
        <v>546</v>
      </c>
      <c r="L692" s="784" t="s">
        <v>575</v>
      </c>
      <c r="M692" t="s">
        <v>745</v>
      </c>
      <c r="P692" t="s">
        <v>1887</v>
      </c>
      <c r="Q692" t="s">
        <v>575</v>
      </c>
      <c r="R692" t="s">
        <v>550</v>
      </c>
      <c r="S692" t="s">
        <v>146</v>
      </c>
      <c r="U692">
        <v>0</v>
      </c>
      <c r="V692" t="s">
        <v>541</v>
      </c>
      <c r="W692" t="s">
        <v>575</v>
      </c>
      <c r="X692" s="784">
        <v>8528751.6418357007</v>
      </c>
    </row>
    <row r="693" spans="1:24">
      <c r="A693" t="s">
        <v>358</v>
      </c>
      <c r="B693" t="s">
        <v>646</v>
      </c>
      <c r="C693" t="s">
        <v>250</v>
      </c>
      <c r="D693" t="s">
        <v>132</v>
      </c>
      <c r="E693" t="s">
        <v>377</v>
      </c>
      <c r="F693" t="s">
        <v>383</v>
      </c>
      <c r="G693" t="s">
        <v>333</v>
      </c>
      <c r="H693" t="s">
        <v>333</v>
      </c>
      <c r="I693" t="s">
        <v>743</v>
      </c>
      <c r="J693" t="s">
        <v>379</v>
      </c>
      <c r="K693" t="s">
        <v>546</v>
      </c>
      <c r="L693" s="784">
        <v>0</v>
      </c>
      <c r="M693" t="s">
        <v>745</v>
      </c>
      <c r="P693" t="s">
        <v>1887</v>
      </c>
      <c r="Q693" t="s">
        <v>406</v>
      </c>
      <c r="R693" t="s">
        <v>150</v>
      </c>
      <c r="S693" t="s">
        <v>145</v>
      </c>
      <c r="U693">
        <v>0</v>
      </c>
      <c r="V693" t="s">
        <v>544</v>
      </c>
      <c r="W693" t="s">
        <v>558</v>
      </c>
      <c r="X693" s="784">
        <v>407084543.19089872</v>
      </c>
    </row>
    <row r="694" spans="1:24">
      <c r="A694" t="s">
        <v>358</v>
      </c>
      <c r="B694" t="s">
        <v>647</v>
      </c>
      <c r="C694" t="s">
        <v>251</v>
      </c>
      <c r="D694" t="s">
        <v>130</v>
      </c>
      <c r="E694" t="s">
        <v>377</v>
      </c>
      <c r="F694" t="s">
        <v>383</v>
      </c>
      <c r="G694" t="s">
        <v>333</v>
      </c>
      <c r="H694" t="s">
        <v>333</v>
      </c>
      <c r="I694" t="s">
        <v>743</v>
      </c>
      <c r="J694" t="s">
        <v>379</v>
      </c>
      <c r="K694" t="s">
        <v>546</v>
      </c>
      <c r="L694" s="784" t="s">
        <v>575</v>
      </c>
      <c r="M694" t="s">
        <v>745</v>
      </c>
      <c r="P694" t="s">
        <v>1887</v>
      </c>
      <c r="Q694" t="s">
        <v>575</v>
      </c>
      <c r="R694" t="s">
        <v>150</v>
      </c>
      <c r="S694" t="s">
        <v>145</v>
      </c>
      <c r="U694">
        <v>0</v>
      </c>
      <c r="V694" t="s">
        <v>544</v>
      </c>
      <c r="W694" t="s">
        <v>562</v>
      </c>
      <c r="X694" s="784">
        <v>671998341.93592453</v>
      </c>
    </row>
    <row r="695" spans="1:24">
      <c r="A695" t="s">
        <v>358</v>
      </c>
      <c r="B695" t="s">
        <v>648</v>
      </c>
      <c r="C695" t="s">
        <v>252</v>
      </c>
      <c r="D695" t="s">
        <v>129</v>
      </c>
      <c r="E695" t="s">
        <v>377</v>
      </c>
      <c r="F695" t="s">
        <v>383</v>
      </c>
      <c r="G695" t="s">
        <v>333</v>
      </c>
      <c r="H695" t="s">
        <v>333</v>
      </c>
      <c r="I695" t="s">
        <v>743</v>
      </c>
      <c r="J695" t="s">
        <v>379</v>
      </c>
      <c r="K695" t="s">
        <v>546</v>
      </c>
      <c r="L695" s="784" t="s">
        <v>575</v>
      </c>
      <c r="M695" t="s">
        <v>745</v>
      </c>
      <c r="P695" t="s">
        <v>1887</v>
      </c>
      <c r="Q695" t="s">
        <v>575</v>
      </c>
      <c r="R695" t="s">
        <v>148</v>
      </c>
      <c r="S695" t="s">
        <v>145</v>
      </c>
      <c r="U695">
        <v>1</v>
      </c>
      <c r="V695" t="s">
        <v>544</v>
      </c>
      <c r="W695" t="s">
        <v>562</v>
      </c>
      <c r="X695" s="784">
        <v>226203289.67158964</v>
      </c>
    </row>
    <row r="696" spans="1:24">
      <c r="A696" t="s">
        <v>358</v>
      </c>
      <c r="B696" t="s">
        <v>649</v>
      </c>
      <c r="C696" t="s">
        <v>253</v>
      </c>
      <c r="D696" t="s">
        <v>129</v>
      </c>
      <c r="E696" t="s">
        <v>377</v>
      </c>
      <c r="F696" t="s">
        <v>383</v>
      </c>
      <c r="G696" t="s">
        <v>333</v>
      </c>
      <c r="H696" t="s">
        <v>333</v>
      </c>
      <c r="I696" t="s">
        <v>743</v>
      </c>
      <c r="J696" t="s">
        <v>379</v>
      </c>
      <c r="K696" t="s">
        <v>546</v>
      </c>
      <c r="L696" s="784" t="s">
        <v>575</v>
      </c>
      <c r="M696" t="s">
        <v>745</v>
      </c>
      <c r="P696" t="s">
        <v>1887</v>
      </c>
      <c r="Q696" t="s">
        <v>575</v>
      </c>
      <c r="R696" t="s">
        <v>150</v>
      </c>
      <c r="S696" t="s">
        <v>145</v>
      </c>
      <c r="U696">
        <v>3</v>
      </c>
      <c r="V696" t="s">
        <v>544</v>
      </c>
      <c r="W696" t="s">
        <v>548</v>
      </c>
      <c r="X696" s="784">
        <v>2438881113.1244688</v>
      </c>
    </row>
    <row r="697" spans="1:24">
      <c r="A697" t="s">
        <v>358</v>
      </c>
      <c r="B697" t="s">
        <v>650</v>
      </c>
      <c r="C697" t="s">
        <v>254</v>
      </c>
      <c r="D697" t="s">
        <v>127</v>
      </c>
      <c r="E697" t="s">
        <v>377</v>
      </c>
      <c r="F697" t="s">
        <v>383</v>
      </c>
      <c r="G697" t="s">
        <v>333</v>
      </c>
      <c r="H697" t="s">
        <v>333</v>
      </c>
      <c r="I697" t="s">
        <v>743</v>
      </c>
      <c r="J697" t="s">
        <v>379</v>
      </c>
      <c r="K697" t="s">
        <v>546</v>
      </c>
      <c r="L697" s="784" t="s">
        <v>575</v>
      </c>
      <c r="M697" t="s">
        <v>745</v>
      </c>
      <c r="P697" t="s">
        <v>1887</v>
      </c>
      <c r="Q697" t="s">
        <v>575</v>
      </c>
      <c r="R697" t="s">
        <v>152</v>
      </c>
      <c r="S697" t="s">
        <v>146</v>
      </c>
      <c r="U697">
        <v>0</v>
      </c>
      <c r="V697" t="s">
        <v>544</v>
      </c>
      <c r="W697" t="s">
        <v>575</v>
      </c>
      <c r="X697" s="784">
        <v>476517795.73174149</v>
      </c>
    </row>
    <row r="698" spans="1:24">
      <c r="A698" t="s">
        <v>358</v>
      </c>
      <c r="B698" t="s">
        <v>651</v>
      </c>
      <c r="C698" t="s">
        <v>255</v>
      </c>
      <c r="D698" t="s">
        <v>132</v>
      </c>
      <c r="E698" t="s">
        <v>377</v>
      </c>
      <c r="F698" t="s">
        <v>383</v>
      </c>
      <c r="G698" t="s">
        <v>333</v>
      </c>
      <c r="H698" t="s">
        <v>333</v>
      </c>
      <c r="I698" t="s">
        <v>743</v>
      </c>
      <c r="J698" t="s">
        <v>379</v>
      </c>
      <c r="K698" t="s">
        <v>546</v>
      </c>
      <c r="L698" s="784">
        <v>0</v>
      </c>
      <c r="M698" t="s">
        <v>745</v>
      </c>
      <c r="P698" t="s">
        <v>1887</v>
      </c>
      <c r="Q698" t="s">
        <v>406</v>
      </c>
      <c r="R698" t="s">
        <v>150</v>
      </c>
      <c r="S698" t="s">
        <v>145</v>
      </c>
      <c r="U698">
        <v>0</v>
      </c>
      <c r="V698" t="s">
        <v>544</v>
      </c>
      <c r="W698" t="s">
        <v>548</v>
      </c>
      <c r="X698" s="784">
        <v>3233351297.7679496</v>
      </c>
    </row>
    <row r="699" spans="1:24">
      <c r="A699" t="s">
        <v>358</v>
      </c>
      <c r="B699" t="s">
        <v>652</v>
      </c>
      <c r="C699" t="s">
        <v>256</v>
      </c>
      <c r="D699" t="s">
        <v>130</v>
      </c>
      <c r="E699" t="s">
        <v>377</v>
      </c>
      <c r="F699" t="s">
        <v>383</v>
      </c>
      <c r="G699" t="s">
        <v>333</v>
      </c>
      <c r="H699" t="s">
        <v>333</v>
      </c>
      <c r="I699" t="s">
        <v>743</v>
      </c>
      <c r="J699" t="s">
        <v>379</v>
      </c>
      <c r="K699" t="s">
        <v>546</v>
      </c>
      <c r="L699" s="784" t="s">
        <v>575</v>
      </c>
      <c r="M699" t="s">
        <v>745</v>
      </c>
      <c r="P699" t="s">
        <v>1887</v>
      </c>
      <c r="Q699" t="s">
        <v>575</v>
      </c>
      <c r="R699" t="s">
        <v>550</v>
      </c>
      <c r="S699" t="s">
        <v>146</v>
      </c>
      <c r="U699">
        <v>0</v>
      </c>
      <c r="V699" t="s">
        <v>541</v>
      </c>
      <c r="W699" t="s">
        <v>575</v>
      </c>
      <c r="X699" s="784">
        <v>18180646.808608256</v>
      </c>
    </row>
    <row r="700" spans="1:24">
      <c r="A700" t="s">
        <v>358</v>
      </c>
      <c r="B700" t="s">
        <v>653</v>
      </c>
      <c r="C700" t="s">
        <v>257</v>
      </c>
      <c r="D700" t="s">
        <v>130</v>
      </c>
      <c r="E700" t="s">
        <v>377</v>
      </c>
      <c r="F700" t="s">
        <v>383</v>
      </c>
      <c r="G700" t="s">
        <v>333</v>
      </c>
      <c r="H700" t="s">
        <v>333</v>
      </c>
      <c r="I700" t="s">
        <v>743</v>
      </c>
      <c r="J700" t="s">
        <v>379</v>
      </c>
      <c r="K700" t="s">
        <v>546</v>
      </c>
      <c r="L700" s="784" t="s">
        <v>575</v>
      </c>
      <c r="M700" t="s">
        <v>745</v>
      </c>
      <c r="P700" t="s">
        <v>1887</v>
      </c>
      <c r="Q700" t="s">
        <v>575</v>
      </c>
      <c r="R700" t="s">
        <v>152</v>
      </c>
      <c r="S700" t="s">
        <v>146</v>
      </c>
      <c r="U700">
        <v>0</v>
      </c>
      <c r="V700" t="s">
        <v>544</v>
      </c>
      <c r="W700" t="s">
        <v>546</v>
      </c>
      <c r="X700" s="784">
        <v>3020530707.3485303</v>
      </c>
    </row>
    <row r="701" spans="1:24">
      <c r="A701" t="s">
        <v>358</v>
      </c>
      <c r="B701" t="s">
        <v>654</v>
      </c>
      <c r="C701" t="s">
        <v>258</v>
      </c>
      <c r="D701" t="s">
        <v>126</v>
      </c>
      <c r="E701" t="s">
        <v>377</v>
      </c>
      <c r="F701" t="s">
        <v>383</v>
      </c>
      <c r="G701" t="s">
        <v>333</v>
      </c>
      <c r="H701" t="s">
        <v>333</v>
      </c>
      <c r="I701" t="s">
        <v>743</v>
      </c>
      <c r="J701" t="s">
        <v>379</v>
      </c>
      <c r="K701" t="s">
        <v>546</v>
      </c>
      <c r="L701" s="784" t="s">
        <v>575</v>
      </c>
      <c r="M701" t="s">
        <v>745</v>
      </c>
      <c r="P701" t="s">
        <v>1887</v>
      </c>
      <c r="Q701" t="s">
        <v>575</v>
      </c>
      <c r="R701" t="s">
        <v>150</v>
      </c>
      <c r="S701" t="s">
        <v>145</v>
      </c>
      <c r="U701">
        <v>1</v>
      </c>
      <c r="V701" t="s">
        <v>541</v>
      </c>
      <c r="W701" t="s">
        <v>542</v>
      </c>
      <c r="X701" s="784">
        <v>384406316.46074712</v>
      </c>
    </row>
    <row r="702" spans="1:24">
      <c r="A702" t="s">
        <v>358</v>
      </c>
      <c r="B702" t="s">
        <v>655</v>
      </c>
      <c r="C702" t="s">
        <v>259</v>
      </c>
      <c r="D702" t="s">
        <v>130</v>
      </c>
      <c r="E702" t="s">
        <v>377</v>
      </c>
      <c r="F702" t="s">
        <v>383</v>
      </c>
      <c r="G702" t="s">
        <v>333</v>
      </c>
      <c r="H702" t="s">
        <v>333</v>
      </c>
      <c r="I702" t="s">
        <v>743</v>
      </c>
      <c r="J702" t="s">
        <v>379</v>
      </c>
      <c r="K702" t="s">
        <v>546</v>
      </c>
      <c r="L702" s="784" t="s">
        <v>575</v>
      </c>
      <c r="M702" t="s">
        <v>745</v>
      </c>
      <c r="P702" t="s">
        <v>1887</v>
      </c>
      <c r="Q702" t="s">
        <v>575</v>
      </c>
      <c r="R702" t="s">
        <v>152</v>
      </c>
      <c r="S702" t="s">
        <v>146</v>
      </c>
      <c r="U702">
        <v>0</v>
      </c>
      <c r="V702" t="s">
        <v>544</v>
      </c>
      <c r="W702" t="s">
        <v>575</v>
      </c>
      <c r="X702" s="784">
        <v>1218747108.9554784</v>
      </c>
    </row>
    <row r="703" spans="1:24">
      <c r="A703" t="s">
        <v>358</v>
      </c>
      <c r="B703" t="s">
        <v>656</v>
      </c>
      <c r="C703" t="s">
        <v>260</v>
      </c>
      <c r="D703" t="s">
        <v>130</v>
      </c>
      <c r="E703" t="s">
        <v>377</v>
      </c>
      <c r="F703" t="s">
        <v>383</v>
      </c>
      <c r="G703" t="s">
        <v>333</v>
      </c>
      <c r="H703" t="s">
        <v>333</v>
      </c>
      <c r="I703" t="s">
        <v>743</v>
      </c>
      <c r="J703" t="s">
        <v>379</v>
      </c>
      <c r="K703" t="s">
        <v>546</v>
      </c>
      <c r="L703" s="784" t="s">
        <v>575</v>
      </c>
      <c r="M703" t="s">
        <v>745</v>
      </c>
      <c r="P703" t="s">
        <v>1887</v>
      </c>
      <c r="Q703" t="s">
        <v>575</v>
      </c>
      <c r="R703" t="s">
        <v>152</v>
      </c>
      <c r="S703" t="s">
        <v>146</v>
      </c>
      <c r="U703">
        <v>0</v>
      </c>
      <c r="V703" t="s">
        <v>544</v>
      </c>
      <c r="W703" t="s">
        <v>575</v>
      </c>
      <c r="X703" s="784">
        <v>7392665952.5895758</v>
      </c>
    </row>
    <row r="704" spans="1:24">
      <c r="A704" t="s">
        <v>358</v>
      </c>
      <c r="B704" t="s">
        <v>657</v>
      </c>
      <c r="C704" t="s">
        <v>261</v>
      </c>
      <c r="D704" t="s">
        <v>126</v>
      </c>
      <c r="E704" t="s">
        <v>377</v>
      </c>
      <c r="F704" t="s">
        <v>383</v>
      </c>
      <c r="G704" t="s">
        <v>333</v>
      </c>
      <c r="H704" t="s">
        <v>333</v>
      </c>
      <c r="I704" t="s">
        <v>743</v>
      </c>
      <c r="J704" t="s">
        <v>379</v>
      </c>
      <c r="K704" t="s">
        <v>546</v>
      </c>
      <c r="L704" s="784">
        <v>0</v>
      </c>
      <c r="M704" t="s">
        <v>745</v>
      </c>
      <c r="P704" t="s">
        <v>1887</v>
      </c>
      <c r="Q704" t="s">
        <v>406</v>
      </c>
      <c r="R704" t="s">
        <v>150</v>
      </c>
      <c r="S704" t="s">
        <v>145</v>
      </c>
      <c r="U704">
        <v>0</v>
      </c>
      <c r="V704" t="s">
        <v>544</v>
      </c>
      <c r="W704" t="s">
        <v>546</v>
      </c>
      <c r="X704" s="784">
        <v>4754985988.6004429</v>
      </c>
    </row>
    <row r="705" spans="1:24">
      <c r="A705" t="s">
        <v>358</v>
      </c>
      <c r="B705" t="s">
        <v>658</v>
      </c>
      <c r="C705" t="s">
        <v>262</v>
      </c>
      <c r="D705" t="s">
        <v>127</v>
      </c>
      <c r="E705" t="s">
        <v>377</v>
      </c>
      <c r="F705" t="s">
        <v>383</v>
      </c>
      <c r="G705" t="s">
        <v>333</v>
      </c>
      <c r="H705" t="s">
        <v>333</v>
      </c>
      <c r="I705" t="s">
        <v>743</v>
      </c>
      <c r="J705" t="s">
        <v>379</v>
      </c>
      <c r="K705" t="s">
        <v>546</v>
      </c>
      <c r="L705" s="784" t="s">
        <v>575</v>
      </c>
      <c r="M705" t="s">
        <v>745</v>
      </c>
      <c r="P705" t="s">
        <v>1887</v>
      </c>
      <c r="Q705" t="s">
        <v>575</v>
      </c>
      <c r="R705" t="s">
        <v>550</v>
      </c>
      <c r="S705" t="s">
        <v>146</v>
      </c>
      <c r="U705">
        <v>0</v>
      </c>
      <c r="V705" t="s">
        <v>544</v>
      </c>
      <c r="W705" t="s">
        <v>575</v>
      </c>
      <c r="X705" s="784">
        <v>26422210443.037273</v>
      </c>
    </row>
    <row r="706" spans="1:24">
      <c r="A706" t="s">
        <v>358</v>
      </c>
      <c r="B706" t="s">
        <v>659</v>
      </c>
      <c r="C706" t="s">
        <v>151</v>
      </c>
      <c r="D706" t="s">
        <v>127</v>
      </c>
      <c r="E706" t="s">
        <v>377</v>
      </c>
      <c r="F706" t="s">
        <v>383</v>
      </c>
      <c r="G706" t="s">
        <v>333</v>
      </c>
      <c r="H706" t="s">
        <v>333</v>
      </c>
      <c r="I706" t="s">
        <v>743</v>
      </c>
      <c r="J706" t="s">
        <v>379</v>
      </c>
      <c r="K706" t="s">
        <v>546</v>
      </c>
      <c r="L706" s="784" t="s">
        <v>575</v>
      </c>
      <c r="M706" t="s">
        <v>745</v>
      </c>
      <c r="P706" t="s">
        <v>1887</v>
      </c>
      <c r="Q706" t="s">
        <v>575</v>
      </c>
      <c r="R706" t="s">
        <v>152</v>
      </c>
      <c r="S706" t="s">
        <v>146</v>
      </c>
      <c r="U706">
        <v>0</v>
      </c>
      <c r="V706" t="s">
        <v>544</v>
      </c>
      <c r="W706" t="s">
        <v>575</v>
      </c>
      <c r="X706" s="784">
        <v>10696495313.15033</v>
      </c>
    </row>
    <row r="707" spans="1:24">
      <c r="A707" t="s">
        <v>358</v>
      </c>
      <c r="B707" t="s">
        <v>660</v>
      </c>
      <c r="C707" t="s">
        <v>263</v>
      </c>
      <c r="D707" t="s">
        <v>127</v>
      </c>
      <c r="E707" t="s">
        <v>377</v>
      </c>
      <c r="F707" t="s">
        <v>383</v>
      </c>
      <c r="G707" t="s">
        <v>333</v>
      </c>
      <c r="H707" t="s">
        <v>333</v>
      </c>
      <c r="I707" t="s">
        <v>743</v>
      </c>
      <c r="J707" t="s">
        <v>379</v>
      </c>
      <c r="K707" t="s">
        <v>546</v>
      </c>
      <c r="L707" s="784" t="s">
        <v>575</v>
      </c>
      <c r="M707" t="s">
        <v>745</v>
      </c>
      <c r="P707" t="s">
        <v>1887</v>
      </c>
      <c r="Q707" t="s">
        <v>575</v>
      </c>
      <c r="R707" t="s">
        <v>152</v>
      </c>
      <c r="S707" t="s">
        <v>146</v>
      </c>
      <c r="U707">
        <v>0</v>
      </c>
      <c r="V707" t="s">
        <v>544</v>
      </c>
      <c r="W707" t="s">
        <v>575</v>
      </c>
      <c r="X707" s="784">
        <v>52769713433.240509</v>
      </c>
    </row>
    <row r="708" spans="1:24">
      <c r="A708" t="s">
        <v>358</v>
      </c>
      <c r="B708" t="s">
        <v>661</v>
      </c>
      <c r="C708" t="s">
        <v>264</v>
      </c>
      <c r="D708" t="s">
        <v>128</v>
      </c>
      <c r="E708" t="s">
        <v>377</v>
      </c>
      <c r="F708" t="s">
        <v>383</v>
      </c>
      <c r="G708" t="s">
        <v>333</v>
      </c>
      <c r="H708" t="s">
        <v>333</v>
      </c>
      <c r="I708" t="s">
        <v>743</v>
      </c>
      <c r="J708" t="s">
        <v>379</v>
      </c>
      <c r="K708" t="s">
        <v>546</v>
      </c>
      <c r="L708" s="784" t="s">
        <v>575</v>
      </c>
      <c r="M708" t="s">
        <v>745</v>
      </c>
      <c r="P708" t="s">
        <v>1887</v>
      </c>
      <c r="Q708" t="s">
        <v>575</v>
      </c>
      <c r="R708" t="s">
        <v>148</v>
      </c>
      <c r="S708" t="s">
        <v>145</v>
      </c>
      <c r="U708">
        <v>0</v>
      </c>
      <c r="V708" t="s">
        <v>544</v>
      </c>
      <c r="W708" t="s">
        <v>562</v>
      </c>
      <c r="X708" s="784">
        <v>225799814.51943746</v>
      </c>
    </row>
    <row r="709" spans="1:24">
      <c r="A709" t="s">
        <v>358</v>
      </c>
      <c r="B709" t="s">
        <v>662</v>
      </c>
      <c r="C709" t="s">
        <v>265</v>
      </c>
      <c r="D709" t="s">
        <v>126</v>
      </c>
      <c r="E709" t="s">
        <v>377</v>
      </c>
      <c r="F709" t="s">
        <v>383</v>
      </c>
      <c r="G709" t="s">
        <v>333</v>
      </c>
      <c r="H709" t="s">
        <v>333</v>
      </c>
      <c r="I709" t="s">
        <v>743</v>
      </c>
      <c r="J709" t="s">
        <v>379</v>
      </c>
      <c r="K709" t="s">
        <v>546</v>
      </c>
      <c r="L709" s="784">
        <v>3160000</v>
      </c>
      <c r="M709" t="s">
        <v>745</v>
      </c>
      <c r="P709" t="s">
        <v>1887</v>
      </c>
      <c r="Q709" t="s">
        <v>406</v>
      </c>
      <c r="R709" t="s">
        <v>150</v>
      </c>
      <c r="S709" t="s">
        <v>145</v>
      </c>
      <c r="U709">
        <v>0</v>
      </c>
      <c r="V709" t="s">
        <v>541</v>
      </c>
      <c r="W709" t="s">
        <v>542</v>
      </c>
      <c r="X709" s="784">
        <v>32192988.027009469</v>
      </c>
    </row>
    <row r="710" spans="1:24">
      <c r="A710" t="s">
        <v>358</v>
      </c>
      <c r="B710" t="s">
        <v>663</v>
      </c>
      <c r="C710" t="s">
        <v>266</v>
      </c>
      <c r="D710" t="s">
        <v>129</v>
      </c>
      <c r="E710" t="s">
        <v>377</v>
      </c>
      <c r="F710" t="s">
        <v>383</v>
      </c>
      <c r="G710" t="s">
        <v>333</v>
      </c>
      <c r="H710" t="s">
        <v>333</v>
      </c>
      <c r="I710" t="s">
        <v>743</v>
      </c>
      <c r="J710" t="s">
        <v>379</v>
      </c>
      <c r="K710" t="s">
        <v>546</v>
      </c>
      <c r="L710" s="784" t="s">
        <v>575</v>
      </c>
      <c r="M710" t="s">
        <v>745</v>
      </c>
      <c r="P710" t="s">
        <v>1887</v>
      </c>
      <c r="Q710" t="s">
        <v>575</v>
      </c>
      <c r="R710" t="s">
        <v>150</v>
      </c>
      <c r="S710" t="s">
        <v>145</v>
      </c>
      <c r="U710">
        <v>0</v>
      </c>
      <c r="V710" t="s">
        <v>541</v>
      </c>
      <c r="W710" t="s">
        <v>583</v>
      </c>
      <c r="X710" s="784">
        <v>11633535.136477679</v>
      </c>
    </row>
    <row r="711" spans="1:24">
      <c r="A711" t="s">
        <v>358</v>
      </c>
      <c r="B711" t="s">
        <v>664</v>
      </c>
      <c r="C711" t="s">
        <v>267</v>
      </c>
      <c r="D711" t="s">
        <v>129</v>
      </c>
      <c r="E711" t="s">
        <v>377</v>
      </c>
      <c r="F711" t="s">
        <v>383</v>
      </c>
      <c r="G711" t="s">
        <v>333</v>
      </c>
      <c r="H711" t="s">
        <v>333</v>
      </c>
      <c r="I711" t="s">
        <v>743</v>
      </c>
      <c r="J711" t="s">
        <v>379</v>
      </c>
      <c r="K711" t="s">
        <v>546</v>
      </c>
      <c r="L711" s="784" t="s">
        <v>575</v>
      </c>
      <c r="M711" t="s">
        <v>745</v>
      </c>
      <c r="P711" t="s">
        <v>1887</v>
      </c>
      <c r="Q711" t="s">
        <v>575</v>
      </c>
      <c r="R711" t="s">
        <v>150</v>
      </c>
      <c r="S711" t="s">
        <v>145</v>
      </c>
      <c r="U711">
        <v>2</v>
      </c>
      <c r="V711" t="s">
        <v>544</v>
      </c>
      <c r="W711" t="s">
        <v>562</v>
      </c>
      <c r="X711" s="784">
        <v>222008693.93354639</v>
      </c>
    </row>
    <row r="712" spans="1:24">
      <c r="A712" t="s">
        <v>358</v>
      </c>
      <c r="B712" t="s">
        <v>665</v>
      </c>
      <c r="C712" t="s">
        <v>153</v>
      </c>
      <c r="D712" t="s">
        <v>127</v>
      </c>
      <c r="E712" t="s">
        <v>377</v>
      </c>
      <c r="F712" t="s">
        <v>383</v>
      </c>
      <c r="G712" t="s">
        <v>333</v>
      </c>
      <c r="H712" t="s">
        <v>333</v>
      </c>
      <c r="I712" t="s">
        <v>743</v>
      </c>
      <c r="J712" t="s">
        <v>379</v>
      </c>
      <c r="K712" t="s">
        <v>546</v>
      </c>
      <c r="L712" s="784" t="s">
        <v>575</v>
      </c>
      <c r="M712" t="s">
        <v>745</v>
      </c>
      <c r="P712" t="s">
        <v>1887</v>
      </c>
      <c r="Q712" t="s">
        <v>575</v>
      </c>
      <c r="R712" t="s">
        <v>152</v>
      </c>
      <c r="S712" t="s">
        <v>146</v>
      </c>
      <c r="U712">
        <v>0</v>
      </c>
      <c r="V712" t="s">
        <v>544</v>
      </c>
      <c r="W712" t="s">
        <v>575</v>
      </c>
      <c r="X712" s="784">
        <v>2564993795.1894679</v>
      </c>
    </row>
    <row r="713" spans="1:24">
      <c r="A713" t="s">
        <v>358</v>
      </c>
      <c r="B713" t="s">
        <v>666</v>
      </c>
      <c r="C713" t="s">
        <v>268</v>
      </c>
      <c r="D713" t="s">
        <v>128</v>
      </c>
      <c r="E713" t="s">
        <v>377</v>
      </c>
      <c r="F713" t="s">
        <v>383</v>
      </c>
      <c r="G713" t="s">
        <v>333</v>
      </c>
      <c r="H713" t="s">
        <v>333</v>
      </c>
      <c r="I713" t="s">
        <v>743</v>
      </c>
      <c r="J713" t="s">
        <v>379</v>
      </c>
      <c r="K713" t="s">
        <v>546</v>
      </c>
      <c r="L713" s="784" t="s">
        <v>575</v>
      </c>
      <c r="M713" t="s">
        <v>745</v>
      </c>
      <c r="P713" t="s">
        <v>1887</v>
      </c>
      <c r="Q713" t="s">
        <v>575</v>
      </c>
      <c r="R713" t="s">
        <v>550</v>
      </c>
      <c r="S713" t="s">
        <v>146</v>
      </c>
      <c r="U713">
        <v>0</v>
      </c>
      <c r="V713" t="s">
        <v>541</v>
      </c>
      <c r="W713" t="s">
        <v>546</v>
      </c>
      <c r="X713" s="784">
        <v>60237542.945069775</v>
      </c>
    </row>
    <row r="714" spans="1:24">
      <c r="A714" t="s">
        <v>358</v>
      </c>
      <c r="B714" t="s">
        <v>667</v>
      </c>
      <c r="C714" t="s">
        <v>269</v>
      </c>
      <c r="D714" t="s">
        <v>129</v>
      </c>
      <c r="E714" t="s">
        <v>377</v>
      </c>
      <c r="F714" t="s">
        <v>383</v>
      </c>
      <c r="G714" t="s">
        <v>333</v>
      </c>
      <c r="H714" t="s">
        <v>333</v>
      </c>
      <c r="I714" t="s">
        <v>743</v>
      </c>
      <c r="J714" t="s">
        <v>379</v>
      </c>
      <c r="K714" t="s">
        <v>546</v>
      </c>
      <c r="L714" s="784" t="s">
        <v>575</v>
      </c>
      <c r="M714" t="s">
        <v>745</v>
      </c>
      <c r="P714" t="s">
        <v>1887</v>
      </c>
      <c r="Q714" t="s">
        <v>575</v>
      </c>
      <c r="R714" t="s">
        <v>148</v>
      </c>
      <c r="S714" t="s">
        <v>145</v>
      </c>
      <c r="U714">
        <v>0</v>
      </c>
      <c r="V714" t="s">
        <v>544</v>
      </c>
      <c r="W714" t="s">
        <v>542</v>
      </c>
      <c r="X714" s="784">
        <v>63738640.538260505</v>
      </c>
    </row>
    <row r="715" spans="1:24">
      <c r="A715" t="s">
        <v>358</v>
      </c>
      <c r="B715" t="s">
        <v>668</v>
      </c>
      <c r="C715" t="s">
        <v>270</v>
      </c>
      <c r="D715" t="s">
        <v>126</v>
      </c>
      <c r="E715" t="s">
        <v>377</v>
      </c>
      <c r="F715" t="s">
        <v>383</v>
      </c>
      <c r="G715" t="s">
        <v>333</v>
      </c>
      <c r="H715" t="s">
        <v>333</v>
      </c>
      <c r="I715" t="s">
        <v>743</v>
      </c>
      <c r="J715" t="s">
        <v>379</v>
      </c>
      <c r="K715" t="s">
        <v>546</v>
      </c>
      <c r="L715" s="784" t="s">
        <v>575</v>
      </c>
      <c r="M715" t="s">
        <v>745</v>
      </c>
      <c r="P715" t="s">
        <v>1887</v>
      </c>
      <c r="Q715" t="s">
        <v>575</v>
      </c>
      <c r="R715" t="s">
        <v>150</v>
      </c>
      <c r="S715" t="s">
        <v>145</v>
      </c>
      <c r="U715">
        <v>0</v>
      </c>
      <c r="V715" t="s">
        <v>541</v>
      </c>
      <c r="W715" t="s">
        <v>562</v>
      </c>
      <c r="X715" s="784">
        <v>49012774.055630356</v>
      </c>
    </row>
    <row r="716" spans="1:24">
      <c r="A716" t="s">
        <v>358</v>
      </c>
      <c r="B716" t="s">
        <v>669</v>
      </c>
      <c r="C716" t="s">
        <v>271</v>
      </c>
      <c r="D716" t="s">
        <v>128</v>
      </c>
      <c r="E716" t="s">
        <v>377</v>
      </c>
      <c r="F716" t="s">
        <v>383</v>
      </c>
      <c r="G716" t="s">
        <v>333</v>
      </c>
      <c r="H716" t="s">
        <v>333</v>
      </c>
      <c r="I716" t="s">
        <v>743</v>
      </c>
      <c r="J716" t="s">
        <v>379</v>
      </c>
      <c r="K716" t="s">
        <v>546</v>
      </c>
      <c r="L716" s="784" t="s">
        <v>575</v>
      </c>
      <c r="M716" t="s">
        <v>745</v>
      </c>
      <c r="P716" t="s">
        <v>1887</v>
      </c>
      <c r="Q716" t="s">
        <v>575</v>
      </c>
      <c r="R716" t="s">
        <v>148</v>
      </c>
      <c r="S716" t="s">
        <v>145</v>
      </c>
      <c r="U716">
        <v>1</v>
      </c>
      <c r="V716" t="s">
        <v>544</v>
      </c>
      <c r="W716" t="s">
        <v>583</v>
      </c>
      <c r="X716" s="784" t="s">
        <v>575</v>
      </c>
    </row>
    <row r="717" spans="1:24">
      <c r="A717" t="s">
        <v>358</v>
      </c>
      <c r="B717" t="s">
        <v>670</v>
      </c>
      <c r="C717" t="s">
        <v>272</v>
      </c>
      <c r="D717" t="s">
        <v>128</v>
      </c>
      <c r="E717" t="s">
        <v>377</v>
      </c>
      <c r="F717" t="s">
        <v>383</v>
      </c>
      <c r="G717" t="s">
        <v>333</v>
      </c>
      <c r="H717" t="s">
        <v>333</v>
      </c>
      <c r="I717" t="s">
        <v>743</v>
      </c>
      <c r="J717" t="s">
        <v>379</v>
      </c>
      <c r="K717" t="s">
        <v>546</v>
      </c>
      <c r="L717" s="784" t="s">
        <v>575</v>
      </c>
      <c r="M717" t="s">
        <v>745</v>
      </c>
      <c r="P717" t="s">
        <v>1887</v>
      </c>
      <c r="Q717" t="s">
        <v>575</v>
      </c>
      <c r="R717" t="s">
        <v>152</v>
      </c>
      <c r="S717" t="s">
        <v>146</v>
      </c>
      <c r="U717">
        <v>0</v>
      </c>
      <c r="V717" t="s">
        <v>544</v>
      </c>
      <c r="W717" t="s">
        <v>546</v>
      </c>
      <c r="X717" s="784">
        <v>16429121142.784708</v>
      </c>
    </row>
    <row r="718" spans="1:24">
      <c r="A718" t="s">
        <v>358</v>
      </c>
      <c r="B718" t="s">
        <v>671</v>
      </c>
      <c r="C718" t="s">
        <v>273</v>
      </c>
      <c r="D718" t="s">
        <v>128</v>
      </c>
      <c r="E718" t="s">
        <v>377</v>
      </c>
      <c r="F718" t="s">
        <v>383</v>
      </c>
      <c r="G718" t="s">
        <v>333</v>
      </c>
      <c r="H718" t="s">
        <v>333</v>
      </c>
      <c r="I718" t="s">
        <v>743</v>
      </c>
      <c r="J718" t="s">
        <v>379</v>
      </c>
      <c r="K718" t="s">
        <v>546</v>
      </c>
      <c r="L718" s="784" t="s">
        <v>575</v>
      </c>
      <c r="M718" t="s">
        <v>745</v>
      </c>
      <c r="P718" t="s">
        <v>1887</v>
      </c>
      <c r="Q718" t="s">
        <v>575</v>
      </c>
      <c r="R718" t="s">
        <v>148</v>
      </c>
      <c r="S718" t="s">
        <v>145</v>
      </c>
      <c r="U718">
        <v>1</v>
      </c>
      <c r="V718" t="s">
        <v>544</v>
      </c>
      <c r="W718" t="s">
        <v>542</v>
      </c>
      <c r="X718" s="784">
        <v>31684581.76217727</v>
      </c>
    </row>
    <row r="719" spans="1:24">
      <c r="A719" t="s">
        <v>358</v>
      </c>
      <c r="B719" t="s">
        <v>672</v>
      </c>
      <c r="C719" t="s">
        <v>274</v>
      </c>
      <c r="D719" t="s">
        <v>132</v>
      </c>
      <c r="E719" t="s">
        <v>377</v>
      </c>
      <c r="F719" t="s">
        <v>383</v>
      </c>
      <c r="G719" t="s">
        <v>333</v>
      </c>
      <c r="H719" t="s">
        <v>333</v>
      </c>
      <c r="I719" t="s">
        <v>743</v>
      </c>
      <c r="J719" t="s">
        <v>379</v>
      </c>
      <c r="K719" t="s">
        <v>546</v>
      </c>
      <c r="L719" s="784">
        <v>48970000</v>
      </c>
      <c r="M719" t="s">
        <v>745</v>
      </c>
      <c r="P719" t="s">
        <v>1887</v>
      </c>
      <c r="Q719" t="s">
        <v>406</v>
      </c>
      <c r="R719" t="s">
        <v>150</v>
      </c>
      <c r="S719" t="s">
        <v>145</v>
      </c>
      <c r="U719">
        <v>0</v>
      </c>
      <c r="V719" t="s">
        <v>544</v>
      </c>
      <c r="W719" t="s">
        <v>546</v>
      </c>
      <c r="X719" s="784">
        <v>1373621563.5182886</v>
      </c>
    </row>
    <row r="720" spans="1:24">
      <c r="A720" t="s">
        <v>358</v>
      </c>
      <c r="B720" t="s">
        <v>673</v>
      </c>
      <c r="C720" t="s">
        <v>275</v>
      </c>
      <c r="D720" t="s">
        <v>130</v>
      </c>
      <c r="E720" t="s">
        <v>377</v>
      </c>
      <c r="F720" t="s">
        <v>383</v>
      </c>
      <c r="G720" t="s">
        <v>333</v>
      </c>
      <c r="H720" t="s">
        <v>333</v>
      </c>
      <c r="I720" t="s">
        <v>743</v>
      </c>
      <c r="J720" t="s">
        <v>379</v>
      </c>
      <c r="K720" t="s">
        <v>546</v>
      </c>
      <c r="L720" s="784" t="s">
        <v>575</v>
      </c>
      <c r="M720" t="s">
        <v>745</v>
      </c>
      <c r="P720" t="s">
        <v>1887</v>
      </c>
      <c r="Q720" t="s">
        <v>575</v>
      </c>
      <c r="R720" t="s">
        <v>550</v>
      </c>
      <c r="S720" t="s">
        <v>146</v>
      </c>
      <c r="U720">
        <v>0</v>
      </c>
      <c r="V720" t="s">
        <v>541</v>
      </c>
      <c r="W720" t="s">
        <v>575</v>
      </c>
      <c r="X720" s="784">
        <v>24214370.889062837</v>
      </c>
    </row>
    <row r="721" spans="1:24">
      <c r="A721" t="s">
        <v>358</v>
      </c>
      <c r="B721" t="s">
        <v>674</v>
      </c>
      <c r="C721" t="s">
        <v>154</v>
      </c>
      <c r="D721" t="s">
        <v>130</v>
      </c>
      <c r="E721" t="s">
        <v>377</v>
      </c>
      <c r="F721" t="s">
        <v>383</v>
      </c>
      <c r="G721" t="s">
        <v>333</v>
      </c>
      <c r="H721" t="s">
        <v>333</v>
      </c>
      <c r="I721" t="s">
        <v>743</v>
      </c>
      <c r="J721" t="s">
        <v>379</v>
      </c>
      <c r="K721" t="s">
        <v>546</v>
      </c>
      <c r="L721" s="784" t="s">
        <v>575</v>
      </c>
      <c r="M721" t="s">
        <v>745</v>
      </c>
      <c r="P721" t="s">
        <v>1887</v>
      </c>
      <c r="Q721" t="s">
        <v>575</v>
      </c>
      <c r="R721" t="s">
        <v>152</v>
      </c>
      <c r="S721" t="s">
        <v>145</v>
      </c>
      <c r="U721">
        <v>0</v>
      </c>
      <c r="V721" t="s">
        <v>541</v>
      </c>
      <c r="W721" t="s">
        <v>548</v>
      </c>
      <c r="X721" s="784">
        <v>39941279.609447442</v>
      </c>
    </row>
    <row r="722" spans="1:24">
      <c r="A722" t="s">
        <v>358</v>
      </c>
      <c r="B722" t="s">
        <v>675</v>
      </c>
      <c r="C722" t="s">
        <v>155</v>
      </c>
      <c r="D722" t="s">
        <v>130</v>
      </c>
      <c r="E722" t="s">
        <v>377</v>
      </c>
      <c r="F722" t="s">
        <v>383</v>
      </c>
      <c r="G722" t="s">
        <v>333</v>
      </c>
      <c r="H722" t="s">
        <v>333</v>
      </c>
      <c r="I722" t="s">
        <v>743</v>
      </c>
      <c r="J722" t="s">
        <v>379</v>
      </c>
      <c r="K722" t="s">
        <v>546</v>
      </c>
      <c r="L722" s="784" t="s">
        <v>575</v>
      </c>
      <c r="M722" t="s">
        <v>745</v>
      </c>
      <c r="P722" t="s">
        <v>1887</v>
      </c>
      <c r="Q722" t="s">
        <v>575</v>
      </c>
      <c r="R722" t="s">
        <v>152</v>
      </c>
      <c r="S722" t="s">
        <v>145</v>
      </c>
      <c r="U722">
        <v>0</v>
      </c>
      <c r="V722" t="s">
        <v>541</v>
      </c>
      <c r="W722" t="s">
        <v>542</v>
      </c>
      <c r="X722" s="784">
        <v>24761675.260059897</v>
      </c>
    </row>
    <row r="723" spans="1:24">
      <c r="A723" t="s">
        <v>358</v>
      </c>
      <c r="B723" t="s">
        <v>676</v>
      </c>
      <c r="C723" t="s">
        <v>276</v>
      </c>
      <c r="D723" t="s">
        <v>131</v>
      </c>
      <c r="E723" t="s">
        <v>377</v>
      </c>
      <c r="F723" t="s">
        <v>383</v>
      </c>
      <c r="G723" t="s">
        <v>333</v>
      </c>
      <c r="H723" t="s">
        <v>333</v>
      </c>
      <c r="I723" t="s">
        <v>743</v>
      </c>
      <c r="J723" t="s">
        <v>379</v>
      </c>
      <c r="K723" t="s">
        <v>546</v>
      </c>
      <c r="L723" s="784" t="s">
        <v>575</v>
      </c>
      <c r="M723" t="s">
        <v>745</v>
      </c>
      <c r="P723" t="s">
        <v>1887</v>
      </c>
      <c r="Q723" t="s">
        <v>575</v>
      </c>
      <c r="R723" t="s">
        <v>150</v>
      </c>
      <c r="S723" t="s">
        <v>145</v>
      </c>
      <c r="U723">
        <v>0</v>
      </c>
      <c r="V723" t="s">
        <v>544</v>
      </c>
      <c r="W723" t="s">
        <v>546</v>
      </c>
      <c r="X723" s="784" t="s">
        <v>575</v>
      </c>
    </row>
    <row r="724" spans="1:24">
      <c r="A724" t="s">
        <v>358</v>
      </c>
      <c r="B724" t="s">
        <v>677</v>
      </c>
      <c r="C724" t="s">
        <v>277</v>
      </c>
      <c r="D724" t="s">
        <v>131</v>
      </c>
      <c r="E724" t="s">
        <v>377</v>
      </c>
      <c r="F724" t="s">
        <v>383</v>
      </c>
      <c r="G724" t="s">
        <v>333</v>
      </c>
      <c r="H724" t="s">
        <v>333</v>
      </c>
      <c r="I724" t="s">
        <v>743</v>
      </c>
      <c r="J724" t="s">
        <v>379</v>
      </c>
      <c r="K724" t="s">
        <v>546</v>
      </c>
      <c r="L724" s="784" t="s">
        <v>575</v>
      </c>
      <c r="M724" t="s">
        <v>745</v>
      </c>
      <c r="P724" t="s">
        <v>1887</v>
      </c>
      <c r="Q724" t="s">
        <v>575</v>
      </c>
      <c r="R724" t="s">
        <v>148</v>
      </c>
      <c r="S724" t="s">
        <v>145</v>
      </c>
      <c r="U724">
        <v>1</v>
      </c>
      <c r="V724" t="s">
        <v>544</v>
      </c>
      <c r="W724" t="s">
        <v>546</v>
      </c>
      <c r="X724" s="784">
        <v>577156172.71229994</v>
      </c>
    </row>
    <row r="725" spans="1:24">
      <c r="A725" t="s">
        <v>358</v>
      </c>
      <c r="B725" t="s">
        <v>678</v>
      </c>
      <c r="C725" t="s">
        <v>278</v>
      </c>
      <c r="D725" t="s">
        <v>126</v>
      </c>
      <c r="E725" t="s">
        <v>377</v>
      </c>
      <c r="F725" t="s">
        <v>383</v>
      </c>
      <c r="G725" t="s">
        <v>333</v>
      </c>
      <c r="H725" t="s">
        <v>333</v>
      </c>
      <c r="I725" t="s">
        <v>743</v>
      </c>
      <c r="J725" t="s">
        <v>379</v>
      </c>
      <c r="K725" t="s">
        <v>546</v>
      </c>
      <c r="L725" s="784" t="s">
        <v>575</v>
      </c>
      <c r="M725" t="s">
        <v>745</v>
      </c>
      <c r="P725" t="s">
        <v>1887</v>
      </c>
      <c r="Q725" t="s">
        <v>575</v>
      </c>
      <c r="R725" t="s">
        <v>152</v>
      </c>
      <c r="S725" t="s">
        <v>146</v>
      </c>
      <c r="U725">
        <v>0</v>
      </c>
      <c r="V725" t="s">
        <v>541</v>
      </c>
      <c r="W725" t="s">
        <v>575</v>
      </c>
      <c r="X725" s="784">
        <v>180052034.19851837</v>
      </c>
    </row>
    <row r="726" spans="1:24">
      <c r="A726" t="s">
        <v>358</v>
      </c>
      <c r="B726" t="s">
        <v>679</v>
      </c>
      <c r="C726" t="s">
        <v>279</v>
      </c>
      <c r="D726" t="s">
        <v>131</v>
      </c>
      <c r="E726" t="s">
        <v>377</v>
      </c>
      <c r="F726" t="s">
        <v>383</v>
      </c>
      <c r="G726" t="s">
        <v>333</v>
      </c>
      <c r="H726" t="s">
        <v>333</v>
      </c>
      <c r="I726" t="s">
        <v>743</v>
      </c>
      <c r="J726" t="s">
        <v>379</v>
      </c>
      <c r="K726" t="s">
        <v>546</v>
      </c>
      <c r="L726" s="784" t="s">
        <v>575</v>
      </c>
      <c r="M726" t="s">
        <v>745</v>
      </c>
      <c r="P726" t="s">
        <v>1887</v>
      </c>
      <c r="Q726" t="s">
        <v>575</v>
      </c>
      <c r="R726" t="s">
        <v>148</v>
      </c>
      <c r="S726" t="s">
        <v>145</v>
      </c>
      <c r="U726">
        <v>1</v>
      </c>
      <c r="V726" t="s">
        <v>544</v>
      </c>
      <c r="W726" t="s">
        <v>546</v>
      </c>
      <c r="X726" s="784" t="s">
        <v>575</v>
      </c>
    </row>
    <row r="727" spans="1:24">
      <c r="A727" t="s">
        <v>358</v>
      </c>
      <c r="B727" t="s">
        <v>680</v>
      </c>
      <c r="C727" t="s">
        <v>280</v>
      </c>
      <c r="D727" t="s">
        <v>127</v>
      </c>
      <c r="E727" t="s">
        <v>377</v>
      </c>
      <c r="F727" t="s">
        <v>383</v>
      </c>
      <c r="G727" t="s">
        <v>333</v>
      </c>
      <c r="H727" t="s">
        <v>333</v>
      </c>
      <c r="I727" t="s">
        <v>743</v>
      </c>
      <c r="J727" t="s">
        <v>379</v>
      </c>
      <c r="K727" t="s">
        <v>546</v>
      </c>
      <c r="L727" s="784">
        <v>770000</v>
      </c>
      <c r="M727" t="s">
        <v>745</v>
      </c>
      <c r="P727" t="s">
        <v>1887</v>
      </c>
      <c r="Q727" t="s">
        <v>406</v>
      </c>
      <c r="R727" t="s">
        <v>150</v>
      </c>
      <c r="S727" t="s">
        <v>145</v>
      </c>
      <c r="U727">
        <v>0</v>
      </c>
      <c r="V727" t="s">
        <v>544</v>
      </c>
      <c r="W727" t="s">
        <v>542</v>
      </c>
      <c r="X727" s="784">
        <v>147296124.32232863</v>
      </c>
    </row>
    <row r="728" spans="1:24">
      <c r="A728" t="s">
        <v>358</v>
      </c>
      <c r="B728" t="s">
        <v>681</v>
      </c>
      <c r="C728" t="s">
        <v>156</v>
      </c>
      <c r="D728" t="s">
        <v>128</v>
      </c>
      <c r="E728" t="s">
        <v>377</v>
      </c>
      <c r="F728" t="s">
        <v>383</v>
      </c>
      <c r="G728" t="s">
        <v>333</v>
      </c>
      <c r="H728" t="s">
        <v>333</v>
      </c>
      <c r="I728" t="s">
        <v>743</v>
      </c>
      <c r="J728" t="s">
        <v>379</v>
      </c>
      <c r="K728" t="s">
        <v>546</v>
      </c>
      <c r="L728" s="784" t="s">
        <v>575</v>
      </c>
      <c r="M728" t="s">
        <v>745</v>
      </c>
      <c r="P728" t="s">
        <v>1887</v>
      </c>
      <c r="Q728" t="s">
        <v>575</v>
      </c>
      <c r="R728" t="s">
        <v>150</v>
      </c>
      <c r="S728" t="s">
        <v>145</v>
      </c>
      <c r="U728">
        <v>0</v>
      </c>
      <c r="V728" t="s">
        <v>544</v>
      </c>
      <c r="W728" t="s">
        <v>548</v>
      </c>
      <c r="X728" s="784">
        <v>890576536.83065879</v>
      </c>
    </row>
    <row r="729" spans="1:24">
      <c r="A729" t="s">
        <v>358</v>
      </c>
      <c r="B729" t="s">
        <v>682</v>
      </c>
      <c r="C729" t="s">
        <v>157</v>
      </c>
      <c r="D729" t="s">
        <v>126</v>
      </c>
      <c r="E729" t="s">
        <v>377</v>
      </c>
      <c r="F729" t="s">
        <v>383</v>
      </c>
      <c r="G729" t="s">
        <v>333</v>
      </c>
      <c r="H729" t="s">
        <v>333</v>
      </c>
      <c r="I729" t="s">
        <v>743</v>
      </c>
      <c r="J729" t="s">
        <v>379</v>
      </c>
      <c r="K729" t="s">
        <v>546</v>
      </c>
      <c r="L729" s="784" t="s">
        <v>575</v>
      </c>
      <c r="M729" t="s">
        <v>745</v>
      </c>
      <c r="P729" t="s">
        <v>1887</v>
      </c>
      <c r="Q729" t="s">
        <v>575</v>
      </c>
      <c r="R729" t="s">
        <v>152</v>
      </c>
      <c r="S729" t="s">
        <v>146</v>
      </c>
      <c r="U729">
        <v>0</v>
      </c>
      <c r="V729" t="s">
        <v>544</v>
      </c>
      <c r="W729" t="s">
        <v>575</v>
      </c>
      <c r="X729" s="784">
        <v>14611129792.346064</v>
      </c>
    </row>
    <row r="730" spans="1:24">
      <c r="A730" t="s">
        <v>358</v>
      </c>
      <c r="B730" t="s">
        <v>683</v>
      </c>
      <c r="C730" t="s">
        <v>281</v>
      </c>
      <c r="D730" t="s">
        <v>126</v>
      </c>
      <c r="E730" t="s">
        <v>377</v>
      </c>
      <c r="F730" t="s">
        <v>383</v>
      </c>
      <c r="G730" t="s">
        <v>333</v>
      </c>
      <c r="H730" t="s">
        <v>333</v>
      </c>
      <c r="I730" t="s">
        <v>743</v>
      </c>
      <c r="J730" t="s">
        <v>379</v>
      </c>
      <c r="K730" t="s">
        <v>546</v>
      </c>
      <c r="L730" s="784" t="s">
        <v>575</v>
      </c>
      <c r="M730" t="s">
        <v>745</v>
      </c>
      <c r="P730" t="s">
        <v>1887</v>
      </c>
      <c r="Q730" t="s">
        <v>575</v>
      </c>
      <c r="R730" t="s">
        <v>150</v>
      </c>
      <c r="S730" t="s">
        <v>145</v>
      </c>
      <c r="U730">
        <v>0</v>
      </c>
      <c r="V730" t="s">
        <v>541</v>
      </c>
      <c r="W730" t="s">
        <v>558</v>
      </c>
      <c r="X730" s="784">
        <v>72046877.233008593</v>
      </c>
    </row>
    <row r="731" spans="1:24">
      <c r="A731" t="s">
        <v>358</v>
      </c>
      <c r="B731" t="s">
        <v>684</v>
      </c>
      <c r="C731" t="s">
        <v>282</v>
      </c>
      <c r="D731" t="s">
        <v>129</v>
      </c>
      <c r="E731" t="s">
        <v>377</v>
      </c>
      <c r="F731" t="s">
        <v>383</v>
      </c>
      <c r="G731" t="s">
        <v>333</v>
      </c>
      <c r="H731" t="s">
        <v>333</v>
      </c>
      <c r="I731" t="s">
        <v>743</v>
      </c>
      <c r="J731" t="s">
        <v>379</v>
      </c>
      <c r="K731" t="s">
        <v>546</v>
      </c>
      <c r="L731" s="784" t="s">
        <v>575</v>
      </c>
      <c r="M731" t="s">
        <v>745</v>
      </c>
      <c r="P731" t="s">
        <v>1887</v>
      </c>
      <c r="Q731" t="s">
        <v>575</v>
      </c>
      <c r="R731" t="s">
        <v>148</v>
      </c>
      <c r="S731" t="s">
        <v>145</v>
      </c>
      <c r="U731">
        <v>0</v>
      </c>
      <c r="V731" t="s">
        <v>544</v>
      </c>
      <c r="W731" t="s">
        <v>542</v>
      </c>
      <c r="X731" s="784">
        <v>56248139.267255567</v>
      </c>
    </row>
    <row r="732" spans="1:24">
      <c r="A732" t="s">
        <v>358</v>
      </c>
      <c r="B732" t="s">
        <v>685</v>
      </c>
      <c r="C732" t="s">
        <v>283</v>
      </c>
      <c r="D732" t="s">
        <v>126</v>
      </c>
      <c r="E732" t="s">
        <v>377</v>
      </c>
      <c r="F732" t="s">
        <v>383</v>
      </c>
      <c r="G732" t="s">
        <v>333</v>
      </c>
      <c r="H732" t="s">
        <v>333</v>
      </c>
      <c r="I732" t="s">
        <v>743</v>
      </c>
      <c r="J732" t="s">
        <v>379</v>
      </c>
      <c r="K732" t="s">
        <v>546</v>
      </c>
      <c r="L732" s="784">
        <v>2770000</v>
      </c>
      <c r="M732" t="s">
        <v>745</v>
      </c>
      <c r="P732" t="s">
        <v>1887</v>
      </c>
      <c r="Q732" t="s">
        <v>406</v>
      </c>
      <c r="R732" t="s">
        <v>152</v>
      </c>
      <c r="S732" t="s">
        <v>145</v>
      </c>
      <c r="U732">
        <v>0</v>
      </c>
      <c r="V732" t="s">
        <v>541</v>
      </c>
      <c r="W732" t="s">
        <v>542</v>
      </c>
      <c r="X732" s="784">
        <v>15464031.712942109</v>
      </c>
    </row>
    <row r="733" spans="1:24">
      <c r="A733" t="s">
        <v>358</v>
      </c>
      <c r="B733" t="s">
        <v>686</v>
      </c>
      <c r="C733" t="s">
        <v>284</v>
      </c>
      <c r="D733" t="s">
        <v>130</v>
      </c>
      <c r="E733" t="s">
        <v>377</v>
      </c>
      <c r="F733" t="s">
        <v>383</v>
      </c>
      <c r="G733" t="s">
        <v>333</v>
      </c>
      <c r="H733" t="s">
        <v>333</v>
      </c>
      <c r="I733" t="s">
        <v>743</v>
      </c>
      <c r="J733" t="s">
        <v>379</v>
      </c>
      <c r="K733" t="s">
        <v>546</v>
      </c>
      <c r="L733" s="784" t="s">
        <v>575</v>
      </c>
      <c r="M733" t="s">
        <v>745</v>
      </c>
      <c r="P733" t="s">
        <v>1887</v>
      </c>
      <c r="Q733" t="s">
        <v>575</v>
      </c>
      <c r="R733" t="s">
        <v>550</v>
      </c>
      <c r="S733" t="s">
        <v>146</v>
      </c>
      <c r="U733">
        <v>0</v>
      </c>
      <c r="V733" t="s">
        <v>541</v>
      </c>
      <c r="W733" t="s">
        <v>546</v>
      </c>
      <c r="X733" s="784">
        <v>769564399.33249676</v>
      </c>
    </row>
    <row r="734" spans="1:24">
      <c r="A734" t="s">
        <v>358</v>
      </c>
      <c r="B734" t="s">
        <v>687</v>
      </c>
      <c r="C734" t="s">
        <v>285</v>
      </c>
      <c r="D734" t="s">
        <v>131</v>
      </c>
      <c r="E734" t="s">
        <v>377</v>
      </c>
      <c r="F734" t="s">
        <v>383</v>
      </c>
      <c r="G734" t="s">
        <v>333</v>
      </c>
      <c r="H734" t="s">
        <v>333</v>
      </c>
      <c r="I734" t="s">
        <v>743</v>
      </c>
      <c r="J734" t="s">
        <v>379</v>
      </c>
      <c r="K734" t="s">
        <v>546</v>
      </c>
      <c r="L734" s="784" t="s">
        <v>575</v>
      </c>
      <c r="M734" t="s">
        <v>745</v>
      </c>
      <c r="P734" t="s">
        <v>1887</v>
      </c>
      <c r="Q734" t="s">
        <v>575</v>
      </c>
      <c r="R734" t="s">
        <v>150</v>
      </c>
      <c r="S734" t="s">
        <v>145</v>
      </c>
      <c r="U734">
        <v>0</v>
      </c>
      <c r="V734" t="s">
        <v>544</v>
      </c>
      <c r="W734" t="s">
        <v>546</v>
      </c>
      <c r="X734" s="784">
        <v>1668954539.7630196</v>
      </c>
    </row>
    <row r="735" spans="1:24">
      <c r="A735" t="s">
        <v>358</v>
      </c>
      <c r="B735" t="s">
        <v>688</v>
      </c>
      <c r="C735" t="s">
        <v>286</v>
      </c>
      <c r="D735" t="s">
        <v>127</v>
      </c>
      <c r="E735" t="s">
        <v>377</v>
      </c>
      <c r="F735" t="s">
        <v>383</v>
      </c>
      <c r="G735" t="s">
        <v>333</v>
      </c>
      <c r="H735" t="s">
        <v>333</v>
      </c>
      <c r="I735" t="s">
        <v>743</v>
      </c>
      <c r="J735" t="s">
        <v>379</v>
      </c>
      <c r="K735" t="s">
        <v>546</v>
      </c>
      <c r="L735" s="784" t="s">
        <v>575</v>
      </c>
      <c r="M735" t="s">
        <v>745</v>
      </c>
      <c r="P735" t="s">
        <v>1887</v>
      </c>
      <c r="Q735" t="s">
        <v>575</v>
      </c>
      <c r="R735" t="s">
        <v>152</v>
      </c>
      <c r="S735" t="s">
        <v>146</v>
      </c>
      <c r="U735">
        <v>0</v>
      </c>
      <c r="V735" t="s">
        <v>544</v>
      </c>
      <c r="W735" t="s">
        <v>575</v>
      </c>
      <c r="X735" s="784">
        <v>24840920016.18832</v>
      </c>
    </row>
    <row r="736" spans="1:24">
      <c r="A736" t="s">
        <v>358</v>
      </c>
      <c r="B736" t="s">
        <v>689</v>
      </c>
      <c r="C736" t="s">
        <v>287</v>
      </c>
      <c r="D736" t="s">
        <v>127</v>
      </c>
      <c r="E736" t="s">
        <v>377</v>
      </c>
      <c r="F736" t="s">
        <v>383</v>
      </c>
      <c r="G736" t="s">
        <v>333</v>
      </c>
      <c r="H736" t="s">
        <v>333</v>
      </c>
      <c r="I736" t="s">
        <v>743</v>
      </c>
      <c r="J736" t="s">
        <v>379</v>
      </c>
      <c r="K736" t="s">
        <v>546</v>
      </c>
      <c r="L736" s="784" t="s">
        <v>575</v>
      </c>
      <c r="M736" t="s">
        <v>745</v>
      </c>
      <c r="P736" t="s">
        <v>1887</v>
      </c>
      <c r="Q736" t="s">
        <v>575</v>
      </c>
      <c r="R736" t="s">
        <v>152</v>
      </c>
      <c r="S736" t="s">
        <v>146</v>
      </c>
      <c r="U736">
        <v>0</v>
      </c>
      <c r="V736" t="s">
        <v>544</v>
      </c>
      <c r="W736" t="s">
        <v>546</v>
      </c>
      <c r="X736" s="784">
        <v>487888462.83720118</v>
      </c>
    </row>
    <row r="737" spans="1:24">
      <c r="A737" t="s">
        <v>358</v>
      </c>
      <c r="B737" t="s">
        <v>690</v>
      </c>
      <c r="C737" t="s">
        <v>288</v>
      </c>
      <c r="D737" t="s">
        <v>126</v>
      </c>
      <c r="E737" t="s">
        <v>377</v>
      </c>
      <c r="F737" t="s">
        <v>383</v>
      </c>
      <c r="G737" t="s">
        <v>333</v>
      </c>
      <c r="H737" t="s">
        <v>333</v>
      </c>
      <c r="I737" t="s">
        <v>743</v>
      </c>
      <c r="J737" t="s">
        <v>379</v>
      </c>
      <c r="K737" t="s">
        <v>546</v>
      </c>
      <c r="L737" s="784">
        <v>840000.00000000012</v>
      </c>
      <c r="M737" t="s">
        <v>745</v>
      </c>
      <c r="P737" t="s">
        <v>1887</v>
      </c>
      <c r="Q737" t="s">
        <v>406</v>
      </c>
      <c r="R737" t="s">
        <v>152</v>
      </c>
      <c r="S737" t="s">
        <v>145</v>
      </c>
      <c r="U737">
        <v>0</v>
      </c>
      <c r="V737" t="s">
        <v>541</v>
      </c>
      <c r="W737" t="s">
        <v>548</v>
      </c>
      <c r="X737" s="784">
        <v>6365061.1736073596</v>
      </c>
    </row>
    <row r="738" spans="1:24">
      <c r="A738" t="s">
        <v>358</v>
      </c>
      <c r="B738" t="s">
        <v>691</v>
      </c>
      <c r="C738" t="s">
        <v>289</v>
      </c>
      <c r="D738" t="s">
        <v>128</v>
      </c>
      <c r="E738" t="s">
        <v>377</v>
      </c>
      <c r="F738" t="s">
        <v>383</v>
      </c>
      <c r="G738" t="s">
        <v>333</v>
      </c>
      <c r="H738" t="s">
        <v>333</v>
      </c>
      <c r="I738" t="s">
        <v>743</v>
      </c>
      <c r="J738" t="s">
        <v>379</v>
      </c>
      <c r="K738" t="s">
        <v>546</v>
      </c>
      <c r="L738" s="784" t="s">
        <v>575</v>
      </c>
      <c r="M738" t="s">
        <v>745</v>
      </c>
      <c r="P738" t="s">
        <v>1887</v>
      </c>
      <c r="Q738" t="s">
        <v>575</v>
      </c>
      <c r="R738" t="s">
        <v>148</v>
      </c>
      <c r="S738" t="s">
        <v>145</v>
      </c>
      <c r="U738">
        <v>2</v>
      </c>
      <c r="V738" t="s">
        <v>544</v>
      </c>
      <c r="W738" t="s">
        <v>558</v>
      </c>
      <c r="X738" s="784">
        <v>291799092.90196139</v>
      </c>
    </row>
    <row r="739" spans="1:24">
      <c r="A739" t="s">
        <v>358</v>
      </c>
      <c r="B739" t="s">
        <v>692</v>
      </c>
      <c r="C739" t="s">
        <v>290</v>
      </c>
      <c r="D739" t="s">
        <v>127</v>
      </c>
      <c r="E739" t="s">
        <v>377</v>
      </c>
      <c r="F739" t="s">
        <v>383</v>
      </c>
      <c r="G739" t="s">
        <v>333</v>
      </c>
      <c r="H739" t="s">
        <v>333</v>
      </c>
      <c r="I739" t="s">
        <v>743</v>
      </c>
      <c r="J739" t="s">
        <v>379</v>
      </c>
      <c r="K739" t="s">
        <v>546</v>
      </c>
      <c r="L739" s="784" t="s">
        <v>575</v>
      </c>
      <c r="M739" t="s">
        <v>745</v>
      </c>
      <c r="P739" t="s">
        <v>1887</v>
      </c>
      <c r="Q739" t="s">
        <v>575</v>
      </c>
      <c r="R739" t="s">
        <v>150</v>
      </c>
      <c r="S739" t="s">
        <v>145</v>
      </c>
      <c r="U739">
        <v>0</v>
      </c>
      <c r="V739" t="s">
        <v>544</v>
      </c>
      <c r="W739" t="s">
        <v>546</v>
      </c>
      <c r="X739" s="784">
        <v>4844815340.2135534</v>
      </c>
    </row>
    <row r="740" spans="1:24">
      <c r="A740" t="s">
        <v>358</v>
      </c>
      <c r="B740" t="s">
        <v>693</v>
      </c>
      <c r="C740" t="s">
        <v>291</v>
      </c>
      <c r="D740" t="s">
        <v>130</v>
      </c>
      <c r="E740" t="s">
        <v>377</v>
      </c>
      <c r="F740" t="s">
        <v>383</v>
      </c>
      <c r="G740" t="s">
        <v>333</v>
      </c>
      <c r="H740" t="s">
        <v>333</v>
      </c>
      <c r="I740" t="s">
        <v>743</v>
      </c>
      <c r="J740" t="s">
        <v>379</v>
      </c>
      <c r="K740" t="s">
        <v>546</v>
      </c>
      <c r="L740" s="784" t="s">
        <v>575</v>
      </c>
      <c r="M740" t="s">
        <v>745</v>
      </c>
      <c r="P740" t="s">
        <v>1887</v>
      </c>
      <c r="Q740" t="s">
        <v>575</v>
      </c>
      <c r="R740" t="s">
        <v>550</v>
      </c>
      <c r="S740" t="s">
        <v>146</v>
      </c>
      <c r="U740">
        <v>0</v>
      </c>
      <c r="V740" t="s">
        <v>544</v>
      </c>
      <c r="W740" t="s">
        <v>575</v>
      </c>
      <c r="X740" s="784">
        <v>4001891446.6871672</v>
      </c>
    </row>
    <row r="741" spans="1:24">
      <c r="A741" t="s">
        <v>358</v>
      </c>
      <c r="B741" t="s">
        <v>694</v>
      </c>
      <c r="C741" t="s">
        <v>292</v>
      </c>
      <c r="D741" t="s">
        <v>127</v>
      </c>
      <c r="E741" t="s">
        <v>377</v>
      </c>
      <c r="F741" t="s">
        <v>383</v>
      </c>
      <c r="G741" t="s">
        <v>333</v>
      </c>
      <c r="H741" t="s">
        <v>333</v>
      </c>
      <c r="I741" t="s">
        <v>743</v>
      </c>
      <c r="J741" t="s">
        <v>379</v>
      </c>
      <c r="K741" t="s">
        <v>546</v>
      </c>
      <c r="L741" s="784" t="s">
        <v>575</v>
      </c>
      <c r="M741" t="s">
        <v>745</v>
      </c>
      <c r="P741" t="s">
        <v>1887</v>
      </c>
      <c r="Q741" t="s">
        <v>575</v>
      </c>
      <c r="R741" t="s">
        <v>150</v>
      </c>
      <c r="S741" t="s">
        <v>145</v>
      </c>
      <c r="U741">
        <v>0</v>
      </c>
      <c r="V741" t="s">
        <v>544</v>
      </c>
      <c r="W741" t="s">
        <v>558</v>
      </c>
      <c r="X741" s="784">
        <v>1019800630.5853213</v>
      </c>
    </row>
    <row r="742" spans="1:24">
      <c r="A742" t="s">
        <v>358</v>
      </c>
      <c r="B742" t="s">
        <v>695</v>
      </c>
      <c r="C742" t="s">
        <v>293</v>
      </c>
      <c r="D742" t="s">
        <v>126</v>
      </c>
      <c r="E742" t="s">
        <v>377</v>
      </c>
      <c r="F742" t="s">
        <v>383</v>
      </c>
      <c r="G742" t="s">
        <v>333</v>
      </c>
      <c r="H742" t="s">
        <v>333</v>
      </c>
      <c r="I742" t="s">
        <v>743</v>
      </c>
      <c r="J742" t="s">
        <v>379</v>
      </c>
      <c r="K742" t="s">
        <v>546</v>
      </c>
      <c r="L742" s="784">
        <v>1610000</v>
      </c>
      <c r="M742" t="s">
        <v>745</v>
      </c>
      <c r="P742" t="s">
        <v>1887</v>
      </c>
      <c r="Q742" t="s">
        <v>406</v>
      </c>
      <c r="R742" t="s">
        <v>150</v>
      </c>
      <c r="S742" t="s">
        <v>145</v>
      </c>
      <c r="U742">
        <v>0</v>
      </c>
      <c r="V742" t="s">
        <v>541</v>
      </c>
      <c r="W742" t="s">
        <v>562</v>
      </c>
      <c r="X742" s="784">
        <v>19578671.310841195</v>
      </c>
    </row>
    <row r="743" spans="1:24">
      <c r="A743" t="s">
        <v>358</v>
      </c>
      <c r="B743" t="s">
        <v>696</v>
      </c>
      <c r="C743" t="s">
        <v>294</v>
      </c>
      <c r="D743" t="s">
        <v>130</v>
      </c>
      <c r="E743" t="s">
        <v>377</v>
      </c>
      <c r="F743" t="s">
        <v>383</v>
      </c>
      <c r="G743" t="s">
        <v>333</v>
      </c>
      <c r="H743" t="s">
        <v>333</v>
      </c>
      <c r="I743" t="s">
        <v>743</v>
      </c>
      <c r="J743" t="s">
        <v>379</v>
      </c>
      <c r="K743" t="s">
        <v>546</v>
      </c>
      <c r="L743" s="784" t="s">
        <v>575</v>
      </c>
      <c r="M743" t="s">
        <v>745</v>
      </c>
      <c r="P743" t="s">
        <v>1887</v>
      </c>
      <c r="Q743" t="s">
        <v>575</v>
      </c>
      <c r="R743" t="s">
        <v>322</v>
      </c>
      <c r="S743" t="s">
        <v>146</v>
      </c>
      <c r="U743">
        <v>0</v>
      </c>
      <c r="V743" t="s">
        <v>544</v>
      </c>
      <c r="W743" t="s">
        <v>546</v>
      </c>
      <c r="X743" s="784">
        <v>3551452001.0684834</v>
      </c>
    </row>
    <row r="744" spans="1:24">
      <c r="A744" t="s">
        <v>358</v>
      </c>
      <c r="B744" t="s">
        <v>697</v>
      </c>
      <c r="C744" t="s">
        <v>295</v>
      </c>
      <c r="D744" t="s">
        <v>126</v>
      </c>
      <c r="E744" t="s">
        <v>377</v>
      </c>
      <c r="F744" t="s">
        <v>383</v>
      </c>
      <c r="G744" t="s">
        <v>333</v>
      </c>
      <c r="H744" t="s">
        <v>333</v>
      </c>
      <c r="I744" t="s">
        <v>743</v>
      </c>
      <c r="J744" t="s">
        <v>379</v>
      </c>
      <c r="K744" t="s">
        <v>546</v>
      </c>
      <c r="L744" s="784" t="s">
        <v>575</v>
      </c>
      <c r="M744" t="s">
        <v>745</v>
      </c>
      <c r="P744" t="s">
        <v>1887</v>
      </c>
      <c r="Q744" t="s">
        <v>575</v>
      </c>
      <c r="R744" t="s">
        <v>150</v>
      </c>
      <c r="S744" t="s">
        <v>145</v>
      </c>
      <c r="U744">
        <v>0</v>
      </c>
      <c r="V744" t="s">
        <v>544</v>
      </c>
      <c r="W744" t="s">
        <v>546</v>
      </c>
      <c r="X744" s="784">
        <v>6603048821.7575006</v>
      </c>
    </row>
    <row r="745" spans="1:24">
      <c r="A745" t="s">
        <v>358</v>
      </c>
      <c r="B745" t="s">
        <v>698</v>
      </c>
      <c r="C745" t="s">
        <v>296</v>
      </c>
      <c r="D745" t="s">
        <v>131</v>
      </c>
      <c r="E745" t="s">
        <v>377</v>
      </c>
      <c r="F745" t="s">
        <v>383</v>
      </c>
      <c r="G745" t="s">
        <v>333</v>
      </c>
      <c r="H745" t="s">
        <v>333</v>
      </c>
      <c r="I745" t="s">
        <v>743</v>
      </c>
      <c r="J745" t="s">
        <v>379</v>
      </c>
      <c r="K745" t="s">
        <v>546</v>
      </c>
      <c r="L745" s="784" t="s">
        <v>575</v>
      </c>
      <c r="M745" t="s">
        <v>745</v>
      </c>
      <c r="P745" t="s">
        <v>1887</v>
      </c>
      <c r="Q745" t="s">
        <v>575</v>
      </c>
      <c r="R745" t="s">
        <v>148</v>
      </c>
      <c r="S745" t="s">
        <v>145</v>
      </c>
      <c r="U745">
        <v>1</v>
      </c>
      <c r="V745" t="s">
        <v>544</v>
      </c>
      <c r="W745" t="s">
        <v>548</v>
      </c>
      <c r="X745" s="784" t="s">
        <v>575</v>
      </c>
    </row>
    <row r="746" spans="1:24">
      <c r="A746" t="s">
        <v>358</v>
      </c>
      <c r="B746" t="s">
        <v>699</v>
      </c>
      <c r="C746" t="s">
        <v>297</v>
      </c>
      <c r="D746" t="s">
        <v>128</v>
      </c>
      <c r="E746" t="s">
        <v>377</v>
      </c>
      <c r="F746" t="s">
        <v>383</v>
      </c>
      <c r="G746" t="s">
        <v>333</v>
      </c>
      <c r="H746" t="s">
        <v>333</v>
      </c>
      <c r="I746" t="s">
        <v>743</v>
      </c>
      <c r="J746" t="s">
        <v>379</v>
      </c>
      <c r="K746" t="s">
        <v>546</v>
      </c>
      <c r="L746" s="784" t="s">
        <v>575</v>
      </c>
      <c r="M746" t="s">
        <v>745</v>
      </c>
      <c r="P746" t="s">
        <v>1887</v>
      </c>
      <c r="Q746" t="s">
        <v>575</v>
      </c>
      <c r="R746" t="s">
        <v>150</v>
      </c>
      <c r="S746" t="s">
        <v>145</v>
      </c>
      <c r="U746">
        <v>0</v>
      </c>
      <c r="V746" t="s">
        <v>544</v>
      </c>
      <c r="W746" t="s">
        <v>542</v>
      </c>
      <c r="X746" s="784">
        <v>515352723.9821828</v>
      </c>
    </row>
    <row r="747" spans="1:24">
      <c r="A747" t="s">
        <v>358</v>
      </c>
      <c r="B747" t="s">
        <v>700</v>
      </c>
      <c r="C747" t="s">
        <v>298</v>
      </c>
      <c r="D747" t="s">
        <v>128</v>
      </c>
      <c r="E747" t="s">
        <v>377</v>
      </c>
      <c r="F747" t="s">
        <v>383</v>
      </c>
      <c r="G747" t="s">
        <v>333</v>
      </c>
      <c r="H747" t="s">
        <v>333</v>
      </c>
      <c r="I747" t="s">
        <v>743</v>
      </c>
      <c r="J747" t="s">
        <v>379</v>
      </c>
      <c r="K747" t="s">
        <v>546</v>
      </c>
      <c r="L747" s="784" t="s">
        <v>575</v>
      </c>
      <c r="M747" t="s">
        <v>745</v>
      </c>
      <c r="P747" t="s">
        <v>1887</v>
      </c>
      <c r="Q747" t="s">
        <v>575</v>
      </c>
      <c r="R747" t="s">
        <v>150</v>
      </c>
      <c r="S747" t="s">
        <v>145</v>
      </c>
      <c r="U747">
        <v>0</v>
      </c>
      <c r="V747" t="s">
        <v>544</v>
      </c>
      <c r="W747" t="s">
        <v>546</v>
      </c>
      <c r="X747" s="784">
        <v>566711742.22428358</v>
      </c>
    </row>
    <row r="748" spans="1:24">
      <c r="A748" t="s">
        <v>358</v>
      </c>
      <c r="B748" t="s">
        <v>540</v>
      </c>
      <c r="C748" t="s">
        <v>160</v>
      </c>
      <c r="D748" t="s">
        <v>132</v>
      </c>
      <c r="E748" t="s">
        <v>377</v>
      </c>
      <c r="F748" t="s">
        <v>383</v>
      </c>
      <c r="G748" t="s">
        <v>333</v>
      </c>
      <c r="H748" t="s">
        <v>333</v>
      </c>
      <c r="I748" t="s">
        <v>743</v>
      </c>
      <c r="J748" t="s">
        <v>746</v>
      </c>
      <c r="K748" t="s">
        <v>546</v>
      </c>
      <c r="L748" s="784">
        <v>4807692.3076923136</v>
      </c>
      <c r="M748" t="s">
        <v>745</v>
      </c>
      <c r="P748" t="s">
        <v>1887</v>
      </c>
      <c r="Q748" t="s">
        <v>406</v>
      </c>
      <c r="R748" t="s">
        <v>148</v>
      </c>
      <c r="S748" t="s">
        <v>145</v>
      </c>
      <c r="U748">
        <v>1</v>
      </c>
      <c r="V748" t="s">
        <v>544</v>
      </c>
      <c r="W748" t="s">
        <v>542</v>
      </c>
      <c r="X748" s="784">
        <v>95829480.719269618</v>
      </c>
    </row>
    <row r="749" spans="1:24">
      <c r="A749" t="s">
        <v>358</v>
      </c>
      <c r="B749" t="s">
        <v>543</v>
      </c>
      <c r="C749" t="s">
        <v>161</v>
      </c>
      <c r="D749" t="s">
        <v>127</v>
      </c>
      <c r="E749" t="s">
        <v>377</v>
      </c>
      <c r="F749" t="s">
        <v>383</v>
      </c>
      <c r="G749" t="s">
        <v>333</v>
      </c>
      <c r="H749" t="s">
        <v>333</v>
      </c>
      <c r="I749" t="s">
        <v>743</v>
      </c>
      <c r="J749" t="s">
        <v>746</v>
      </c>
      <c r="K749" t="s">
        <v>546</v>
      </c>
      <c r="L749" s="784" t="s">
        <v>575</v>
      </c>
      <c r="M749" t="s">
        <v>745</v>
      </c>
      <c r="P749" t="s">
        <v>1887</v>
      </c>
      <c r="Q749" t="s">
        <v>575</v>
      </c>
      <c r="R749" t="s">
        <v>152</v>
      </c>
      <c r="S749" t="s">
        <v>146</v>
      </c>
      <c r="U749">
        <v>0</v>
      </c>
      <c r="V749" t="s">
        <v>544</v>
      </c>
      <c r="W749" t="s">
        <v>575</v>
      </c>
      <c r="X749" s="784">
        <v>427904035.52443534</v>
      </c>
    </row>
    <row r="750" spans="1:24">
      <c r="A750" t="s">
        <v>358</v>
      </c>
      <c r="B750" t="s">
        <v>545</v>
      </c>
      <c r="C750" t="s">
        <v>143</v>
      </c>
      <c r="D750" t="s">
        <v>131</v>
      </c>
      <c r="E750" t="s">
        <v>377</v>
      </c>
      <c r="F750" t="s">
        <v>383</v>
      </c>
      <c r="G750" t="s">
        <v>333</v>
      </c>
      <c r="H750" t="s">
        <v>333</v>
      </c>
      <c r="I750" t="s">
        <v>743</v>
      </c>
      <c r="J750" t="s">
        <v>746</v>
      </c>
      <c r="K750" t="s">
        <v>546</v>
      </c>
      <c r="L750" s="784" t="s">
        <v>575</v>
      </c>
      <c r="M750" t="s">
        <v>745</v>
      </c>
      <c r="P750" t="s">
        <v>1887</v>
      </c>
      <c r="Q750" t="s">
        <v>575</v>
      </c>
      <c r="R750" t="s">
        <v>150</v>
      </c>
      <c r="S750" t="s">
        <v>145</v>
      </c>
      <c r="U750">
        <v>0</v>
      </c>
      <c r="V750" t="s">
        <v>544</v>
      </c>
      <c r="W750" t="s">
        <v>546</v>
      </c>
      <c r="X750" s="784">
        <v>7113361022.7267885</v>
      </c>
    </row>
    <row r="751" spans="1:24">
      <c r="A751" t="s">
        <v>358</v>
      </c>
      <c r="B751" t="s">
        <v>547</v>
      </c>
      <c r="C751" t="s">
        <v>162</v>
      </c>
      <c r="D751" t="s">
        <v>128</v>
      </c>
      <c r="E751" t="s">
        <v>377</v>
      </c>
      <c r="F751" t="s">
        <v>383</v>
      </c>
      <c r="G751" t="s">
        <v>333</v>
      </c>
      <c r="H751" t="s">
        <v>333</v>
      </c>
      <c r="I751" t="s">
        <v>743</v>
      </c>
      <c r="J751" t="s">
        <v>746</v>
      </c>
      <c r="K751" t="s">
        <v>546</v>
      </c>
      <c r="L751" s="784" t="s">
        <v>575</v>
      </c>
      <c r="M751" t="s">
        <v>745</v>
      </c>
      <c r="P751" t="s">
        <v>1887</v>
      </c>
      <c r="Q751" t="s">
        <v>575</v>
      </c>
      <c r="R751" t="s">
        <v>150</v>
      </c>
      <c r="S751" t="s">
        <v>145</v>
      </c>
      <c r="U751">
        <v>0</v>
      </c>
      <c r="V751" t="s">
        <v>544</v>
      </c>
      <c r="W751" t="s">
        <v>548</v>
      </c>
      <c r="X751" s="784">
        <v>1131865946.5875781</v>
      </c>
    </row>
    <row r="752" spans="1:24">
      <c r="A752" t="s">
        <v>358</v>
      </c>
      <c r="B752" t="s">
        <v>549</v>
      </c>
      <c r="C752" t="s">
        <v>163</v>
      </c>
      <c r="D752" t="s">
        <v>130</v>
      </c>
      <c r="E752" t="s">
        <v>377</v>
      </c>
      <c r="F752" t="s">
        <v>383</v>
      </c>
      <c r="G752" t="s">
        <v>333</v>
      </c>
      <c r="H752" t="s">
        <v>333</v>
      </c>
      <c r="I752" t="s">
        <v>743</v>
      </c>
      <c r="J752" t="s">
        <v>746</v>
      </c>
      <c r="K752" t="s">
        <v>546</v>
      </c>
      <c r="L752" s="784" t="s">
        <v>575</v>
      </c>
      <c r="M752" t="s">
        <v>745</v>
      </c>
      <c r="P752" t="s">
        <v>1887</v>
      </c>
      <c r="Q752" t="s">
        <v>575</v>
      </c>
      <c r="R752" t="s">
        <v>550</v>
      </c>
      <c r="S752" t="s">
        <v>146</v>
      </c>
      <c r="U752">
        <v>0</v>
      </c>
      <c r="V752" t="s">
        <v>541</v>
      </c>
      <c r="W752" t="s">
        <v>575</v>
      </c>
      <c r="X752" s="784">
        <v>46777779.823447868</v>
      </c>
    </row>
    <row r="753" spans="1:24">
      <c r="A753" t="s">
        <v>358</v>
      </c>
      <c r="B753" t="s">
        <v>551</v>
      </c>
      <c r="C753" t="s">
        <v>164</v>
      </c>
      <c r="D753" t="s">
        <v>130</v>
      </c>
      <c r="E753" t="s">
        <v>377</v>
      </c>
      <c r="F753" t="s">
        <v>383</v>
      </c>
      <c r="G753" t="s">
        <v>333</v>
      </c>
      <c r="H753" t="s">
        <v>333</v>
      </c>
      <c r="I753" t="s">
        <v>743</v>
      </c>
      <c r="J753" t="s">
        <v>746</v>
      </c>
      <c r="K753" t="s">
        <v>546</v>
      </c>
      <c r="L753" s="784" t="s">
        <v>575</v>
      </c>
      <c r="M753" t="s">
        <v>745</v>
      </c>
      <c r="P753" t="s">
        <v>1887</v>
      </c>
      <c r="Q753" t="s">
        <v>575</v>
      </c>
      <c r="R753" t="s">
        <v>152</v>
      </c>
      <c r="S753" t="s">
        <v>146</v>
      </c>
      <c r="U753">
        <v>0</v>
      </c>
      <c r="V753" t="s">
        <v>544</v>
      </c>
      <c r="W753" t="s">
        <v>575</v>
      </c>
      <c r="X753" s="784">
        <v>30725305777.596794</v>
      </c>
    </row>
    <row r="754" spans="1:24">
      <c r="A754" t="s">
        <v>358</v>
      </c>
      <c r="B754" t="s">
        <v>553</v>
      </c>
      <c r="C754" t="s">
        <v>165</v>
      </c>
      <c r="D754" t="s">
        <v>127</v>
      </c>
      <c r="E754" t="s">
        <v>377</v>
      </c>
      <c r="F754" t="s">
        <v>383</v>
      </c>
      <c r="G754" t="s">
        <v>333</v>
      </c>
      <c r="H754" t="s">
        <v>333</v>
      </c>
      <c r="I754" t="s">
        <v>743</v>
      </c>
      <c r="J754" t="s">
        <v>746</v>
      </c>
      <c r="K754" t="s">
        <v>546</v>
      </c>
      <c r="L754" s="784" t="s">
        <v>575</v>
      </c>
      <c r="M754" t="s">
        <v>745</v>
      </c>
      <c r="P754" t="s">
        <v>1887</v>
      </c>
      <c r="Q754" t="s">
        <v>575</v>
      </c>
      <c r="R754" t="s">
        <v>152</v>
      </c>
      <c r="S754" t="s">
        <v>146</v>
      </c>
      <c r="U754">
        <v>0</v>
      </c>
      <c r="V754" t="s">
        <v>544</v>
      </c>
      <c r="W754" t="s">
        <v>575</v>
      </c>
      <c r="X754" s="784">
        <v>153815827.8380394</v>
      </c>
    </row>
    <row r="755" spans="1:24">
      <c r="A755" t="s">
        <v>358</v>
      </c>
      <c r="B755" t="s">
        <v>554</v>
      </c>
      <c r="C755" t="s">
        <v>166</v>
      </c>
      <c r="D755" t="s">
        <v>127</v>
      </c>
      <c r="E755" t="s">
        <v>377</v>
      </c>
      <c r="F755" t="s">
        <v>383</v>
      </c>
      <c r="G755" t="s">
        <v>333</v>
      </c>
      <c r="H755" t="s">
        <v>333</v>
      </c>
      <c r="I755" t="s">
        <v>743</v>
      </c>
      <c r="J755" t="s">
        <v>746</v>
      </c>
      <c r="K755" t="s">
        <v>546</v>
      </c>
      <c r="L755" s="784" t="s">
        <v>575</v>
      </c>
      <c r="M755" t="s">
        <v>745</v>
      </c>
      <c r="P755" t="s">
        <v>1887</v>
      </c>
      <c r="Q755" t="s">
        <v>575</v>
      </c>
      <c r="R755" t="s">
        <v>152</v>
      </c>
      <c r="S755" t="s">
        <v>146</v>
      </c>
      <c r="U755">
        <v>0</v>
      </c>
      <c r="V755" t="s">
        <v>544</v>
      </c>
      <c r="W755" t="s">
        <v>546</v>
      </c>
      <c r="X755" s="784">
        <v>437525105.31216973</v>
      </c>
    </row>
    <row r="756" spans="1:24">
      <c r="A756" t="s">
        <v>358</v>
      </c>
      <c r="B756" t="s">
        <v>555</v>
      </c>
      <c r="C756" t="s">
        <v>556</v>
      </c>
      <c r="D756" t="s">
        <v>130</v>
      </c>
      <c r="E756" t="s">
        <v>377</v>
      </c>
      <c r="F756" t="s">
        <v>383</v>
      </c>
      <c r="G756" t="s">
        <v>333</v>
      </c>
      <c r="H756" t="s">
        <v>333</v>
      </c>
      <c r="I756" t="s">
        <v>743</v>
      </c>
      <c r="J756" t="s">
        <v>746</v>
      </c>
      <c r="K756" t="s">
        <v>546</v>
      </c>
      <c r="L756" s="784" t="s">
        <v>575</v>
      </c>
      <c r="M756" t="s">
        <v>745</v>
      </c>
      <c r="P756" t="s">
        <v>1887</v>
      </c>
      <c r="Q756" t="s">
        <v>575</v>
      </c>
      <c r="R756" t="s">
        <v>550</v>
      </c>
      <c r="S756" t="s">
        <v>146</v>
      </c>
      <c r="U756">
        <v>0</v>
      </c>
      <c r="V756" t="s">
        <v>541</v>
      </c>
      <c r="W756" t="s">
        <v>575</v>
      </c>
      <c r="X756" s="784">
        <v>149463302.00602186</v>
      </c>
    </row>
    <row r="757" spans="1:24">
      <c r="A757" t="s">
        <v>358</v>
      </c>
      <c r="B757" t="s">
        <v>557</v>
      </c>
      <c r="C757" t="s">
        <v>167</v>
      </c>
      <c r="D757" t="s">
        <v>132</v>
      </c>
      <c r="E757" t="s">
        <v>377</v>
      </c>
      <c r="F757" t="s">
        <v>383</v>
      </c>
      <c r="G757" t="s">
        <v>333</v>
      </c>
      <c r="H757" t="s">
        <v>333</v>
      </c>
      <c r="I757" t="s">
        <v>743</v>
      </c>
      <c r="J757" t="s">
        <v>746</v>
      </c>
      <c r="K757" t="s">
        <v>546</v>
      </c>
      <c r="L757" s="784">
        <v>46919999.999999963</v>
      </c>
      <c r="M757" t="s">
        <v>745</v>
      </c>
      <c r="P757" t="s">
        <v>1887</v>
      </c>
      <c r="Q757" t="s">
        <v>406</v>
      </c>
      <c r="R757" t="s">
        <v>150</v>
      </c>
      <c r="S757" t="s">
        <v>145</v>
      </c>
      <c r="U757">
        <v>0</v>
      </c>
      <c r="V757" t="s">
        <v>544</v>
      </c>
      <c r="W757" t="s">
        <v>558</v>
      </c>
      <c r="X757" s="784">
        <v>1148322593.9600098</v>
      </c>
    </row>
    <row r="758" spans="1:24">
      <c r="A758" t="s">
        <v>358</v>
      </c>
      <c r="B758" t="s">
        <v>559</v>
      </c>
      <c r="C758" t="s">
        <v>168</v>
      </c>
      <c r="D758" t="s">
        <v>127</v>
      </c>
      <c r="E758" t="s">
        <v>377</v>
      </c>
      <c r="F758" t="s">
        <v>383</v>
      </c>
      <c r="G758" t="s">
        <v>333</v>
      </c>
      <c r="H758" t="s">
        <v>333</v>
      </c>
      <c r="I758" t="s">
        <v>743</v>
      </c>
      <c r="J758" t="s">
        <v>746</v>
      </c>
      <c r="K758" t="s">
        <v>546</v>
      </c>
      <c r="L758" s="784" t="s">
        <v>575</v>
      </c>
      <c r="M758" t="s">
        <v>745</v>
      </c>
      <c r="P758" t="s">
        <v>1887</v>
      </c>
      <c r="Q758" t="s">
        <v>575</v>
      </c>
      <c r="R758" t="s">
        <v>152</v>
      </c>
      <c r="S758" t="s">
        <v>146</v>
      </c>
      <c r="U758">
        <v>0</v>
      </c>
      <c r="V758" t="s">
        <v>544</v>
      </c>
      <c r="W758" t="s">
        <v>575</v>
      </c>
      <c r="X758" s="784">
        <v>2371102058.1093163</v>
      </c>
    </row>
    <row r="759" spans="1:24">
      <c r="A759" t="s">
        <v>358</v>
      </c>
      <c r="B759" t="s">
        <v>560</v>
      </c>
      <c r="C759" t="s">
        <v>169</v>
      </c>
      <c r="D759" t="s">
        <v>130</v>
      </c>
      <c r="E759" t="s">
        <v>377</v>
      </c>
      <c r="F759" t="s">
        <v>383</v>
      </c>
      <c r="G759" t="s">
        <v>333</v>
      </c>
      <c r="H759" t="s">
        <v>333</v>
      </c>
      <c r="I759" t="s">
        <v>743</v>
      </c>
      <c r="J759" t="s">
        <v>746</v>
      </c>
      <c r="K759" t="s">
        <v>546</v>
      </c>
      <c r="L759" s="784" t="s">
        <v>575</v>
      </c>
      <c r="M759" t="s">
        <v>745</v>
      </c>
      <c r="P759" t="s">
        <v>1887</v>
      </c>
      <c r="Q759" t="s">
        <v>575</v>
      </c>
      <c r="R759" t="s">
        <v>150</v>
      </c>
      <c r="S759" t="s">
        <v>146</v>
      </c>
      <c r="U759">
        <v>0</v>
      </c>
      <c r="V759" t="s">
        <v>541</v>
      </c>
      <c r="W759" t="s">
        <v>546</v>
      </c>
      <c r="X759" s="784">
        <v>75151620.005215243</v>
      </c>
    </row>
    <row r="760" spans="1:24">
      <c r="A760" t="s">
        <v>358</v>
      </c>
      <c r="B760" t="s">
        <v>561</v>
      </c>
      <c r="C760" t="s">
        <v>170</v>
      </c>
      <c r="D760" t="s">
        <v>129</v>
      </c>
      <c r="E760" t="s">
        <v>377</v>
      </c>
      <c r="F760" t="s">
        <v>383</v>
      </c>
      <c r="G760" t="s">
        <v>333</v>
      </c>
      <c r="H760" t="s">
        <v>333</v>
      </c>
      <c r="I760" t="s">
        <v>743</v>
      </c>
      <c r="J760" t="s">
        <v>746</v>
      </c>
      <c r="K760" t="s">
        <v>546</v>
      </c>
      <c r="L760" s="784" t="s">
        <v>575</v>
      </c>
      <c r="M760" t="s">
        <v>745</v>
      </c>
      <c r="P760" t="s">
        <v>1887</v>
      </c>
      <c r="Q760" t="s">
        <v>575</v>
      </c>
      <c r="R760" t="s">
        <v>150</v>
      </c>
      <c r="S760" t="s">
        <v>145</v>
      </c>
      <c r="U760">
        <v>0</v>
      </c>
      <c r="V760" t="s">
        <v>544</v>
      </c>
      <c r="W760" t="s">
        <v>562</v>
      </c>
      <c r="X760" s="784">
        <v>69958487.197715744</v>
      </c>
    </row>
    <row r="761" spans="1:24">
      <c r="A761" t="s">
        <v>358</v>
      </c>
      <c r="B761" t="s">
        <v>563</v>
      </c>
      <c r="C761" t="s">
        <v>171</v>
      </c>
      <c r="D761" t="s">
        <v>132</v>
      </c>
      <c r="E761" t="s">
        <v>377</v>
      </c>
      <c r="F761" t="s">
        <v>383</v>
      </c>
      <c r="G761" t="s">
        <v>333</v>
      </c>
      <c r="H761" t="s">
        <v>333</v>
      </c>
      <c r="I761" t="s">
        <v>743</v>
      </c>
      <c r="J761" t="s">
        <v>746</v>
      </c>
      <c r="K761" t="s">
        <v>546</v>
      </c>
      <c r="L761" s="784">
        <v>0</v>
      </c>
      <c r="M761" t="s">
        <v>745</v>
      </c>
      <c r="P761" t="s">
        <v>1887</v>
      </c>
      <c r="Q761" t="s">
        <v>838</v>
      </c>
      <c r="R761" t="s">
        <v>150</v>
      </c>
      <c r="S761" t="s">
        <v>145</v>
      </c>
      <c r="U761">
        <v>0</v>
      </c>
      <c r="V761" t="s">
        <v>544</v>
      </c>
      <c r="W761" t="s">
        <v>548</v>
      </c>
      <c r="X761" s="784">
        <v>61654608.560629159</v>
      </c>
    </row>
    <row r="762" spans="1:24">
      <c r="A762" t="s">
        <v>358</v>
      </c>
      <c r="B762" t="s">
        <v>564</v>
      </c>
      <c r="C762" t="s">
        <v>172</v>
      </c>
      <c r="D762" t="s">
        <v>130</v>
      </c>
      <c r="E762" t="s">
        <v>377</v>
      </c>
      <c r="F762" t="s">
        <v>383</v>
      </c>
      <c r="G762" t="s">
        <v>333</v>
      </c>
      <c r="H762" t="s">
        <v>333</v>
      </c>
      <c r="I762" t="s">
        <v>743</v>
      </c>
      <c r="J762" t="s">
        <v>746</v>
      </c>
      <c r="K762" t="s">
        <v>546</v>
      </c>
      <c r="L762" s="784" t="s">
        <v>575</v>
      </c>
      <c r="M762" t="s">
        <v>745</v>
      </c>
      <c r="P762" t="s">
        <v>1887</v>
      </c>
      <c r="Q762" t="s">
        <v>575</v>
      </c>
      <c r="R762" t="s">
        <v>150</v>
      </c>
      <c r="S762" t="s">
        <v>145</v>
      </c>
      <c r="U762">
        <v>0</v>
      </c>
      <c r="V762" t="s">
        <v>544</v>
      </c>
      <c r="W762" t="s">
        <v>546</v>
      </c>
      <c r="X762" s="784">
        <v>1806638707.7615163</v>
      </c>
    </row>
    <row r="763" spans="1:24">
      <c r="A763" t="s">
        <v>358</v>
      </c>
      <c r="B763" t="s">
        <v>565</v>
      </c>
      <c r="C763" t="s">
        <v>174</v>
      </c>
      <c r="D763" t="s">
        <v>127</v>
      </c>
      <c r="E763" t="s">
        <v>377</v>
      </c>
      <c r="F763" t="s">
        <v>383</v>
      </c>
      <c r="G763" t="s">
        <v>333</v>
      </c>
      <c r="H763" t="s">
        <v>333</v>
      </c>
      <c r="I763" t="s">
        <v>743</v>
      </c>
      <c r="J763" t="s">
        <v>746</v>
      </c>
      <c r="K763" t="s">
        <v>546</v>
      </c>
      <c r="L763" s="784" t="s">
        <v>575</v>
      </c>
      <c r="M763" t="s">
        <v>745</v>
      </c>
      <c r="P763" t="s">
        <v>1887</v>
      </c>
      <c r="Q763" t="s">
        <v>575</v>
      </c>
      <c r="R763" t="s">
        <v>152</v>
      </c>
      <c r="S763" t="s">
        <v>146</v>
      </c>
      <c r="U763">
        <v>0</v>
      </c>
      <c r="V763" t="s">
        <v>544</v>
      </c>
      <c r="W763" t="s">
        <v>546</v>
      </c>
      <c r="X763" s="784">
        <v>1252696525.0627904</v>
      </c>
    </row>
    <row r="764" spans="1:24">
      <c r="A764" t="s">
        <v>358</v>
      </c>
      <c r="B764" t="s">
        <v>566</v>
      </c>
      <c r="C764" t="s">
        <v>175</v>
      </c>
      <c r="D764" t="s">
        <v>128</v>
      </c>
      <c r="E764" t="s">
        <v>377</v>
      </c>
      <c r="F764" t="s">
        <v>383</v>
      </c>
      <c r="G764" t="s">
        <v>333</v>
      </c>
      <c r="H764" t="s">
        <v>333</v>
      </c>
      <c r="I764" t="s">
        <v>743</v>
      </c>
      <c r="J764" t="s">
        <v>746</v>
      </c>
      <c r="K764" t="s">
        <v>546</v>
      </c>
      <c r="L764" s="784" t="s">
        <v>575</v>
      </c>
      <c r="M764" t="s">
        <v>745</v>
      </c>
      <c r="P764" t="s">
        <v>1887</v>
      </c>
      <c r="Q764" t="s">
        <v>575</v>
      </c>
      <c r="R764" t="s">
        <v>152</v>
      </c>
      <c r="S764" t="s">
        <v>146</v>
      </c>
      <c r="U764">
        <v>0</v>
      </c>
      <c r="V764" t="s">
        <v>544</v>
      </c>
      <c r="W764" t="s">
        <v>575</v>
      </c>
      <c r="X764" s="784">
        <v>843425084.07334602</v>
      </c>
    </row>
    <row r="765" spans="1:24">
      <c r="A765" t="s">
        <v>358</v>
      </c>
      <c r="B765" t="s">
        <v>567</v>
      </c>
      <c r="C765" t="s">
        <v>144</v>
      </c>
      <c r="D765" t="s">
        <v>130</v>
      </c>
      <c r="E765" t="s">
        <v>377</v>
      </c>
      <c r="F765" t="s">
        <v>383</v>
      </c>
      <c r="G765" t="s">
        <v>333</v>
      </c>
      <c r="H765" t="s">
        <v>333</v>
      </c>
      <c r="I765" t="s">
        <v>743</v>
      </c>
      <c r="J765" t="s">
        <v>746</v>
      </c>
      <c r="K765" t="s">
        <v>546</v>
      </c>
      <c r="L765" s="784" t="s">
        <v>575</v>
      </c>
      <c r="M765" t="s">
        <v>745</v>
      </c>
      <c r="P765" t="s">
        <v>1887</v>
      </c>
      <c r="Q765" t="s">
        <v>575</v>
      </c>
      <c r="R765" t="s">
        <v>152</v>
      </c>
      <c r="S765" t="s">
        <v>146</v>
      </c>
      <c r="U765">
        <v>0</v>
      </c>
      <c r="V765" t="s">
        <v>544</v>
      </c>
      <c r="W765" t="s">
        <v>546</v>
      </c>
      <c r="X765" s="784">
        <v>74055620038.853683</v>
      </c>
    </row>
    <row r="766" spans="1:24">
      <c r="A766" t="s">
        <v>358</v>
      </c>
      <c r="B766" t="s">
        <v>568</v>
      </c>
      <c r="C766" t="s">
        <v>176</v>
      </c>
      <c r="D766" t="s">
        <v>127</v>
      </c>
      <c r="E766" t="s">
        <v>377</v>
      </c>
      <c r="F766" t="s">
        <v>383</v>
      </c>
      <c r="G766" t="s">
        <v>333</v>
      </c>
      <c r="H766" t="s">
        <v>333</v>
      </c>
      <c r="I766" t="s">
        <v>743</v>
      </c>
      <c r="J766" t="s">
        <v>746</v>
      </c>
      <c r="K766" t="s">
        <v>546</v>
      </c>
      <c r="L766" s="784" t="s">
        <v>575</v>
      </c>
      <c r="M766" t="s">
        <v>745</v>
      </c>
      <c r="P766" t="s">
        <v>1887</v>
      </c>
      <c r="Q766" t="s">
        <v>575</v>
      </c>
      <c r="R766" t="s">
        <v>152</v>
      </c>
      <c r="S766" t="s">
        <v>146</v>
      </c>
      <c r="U766">
        <v>0</v>
      </c>
      <c r="V766" t="s">
        <v>544</v>
      </c>
      <c r="W766" t="s">
        <v>575</v>
      </c>
      <c r="X766" s="784">
        <v>2803357765.5888777</v>
      </c>
    </row>
    <row r="767" spans="1:24">
      <c r="A767" t="s">
        <v>358</v>
      </c>
      <c r="B767" t="s">
        <v>569</v>
      </c>
      <c r="C767" t="s">
        <v>177</v>
      </c>
      <c r="D767" t="s">
        <v>129</v>
      </c>
      <c r="E767" t="s">
        <v>377</v>
      </c>
      <c r="F767" t="s">
        <v>383</v>
      </c>
      <c r="G767" t="s">
        <v>333</v>
      </c>
      <c r="H767" t="s">
        <v>333</v>
      </c>
      <c r="I767" t="s">
        <v>743</v>
      </c>
      <c r="J767" t="s">
        <v>746</v>
      </c>
      <c r="K767" t="s">
        <v>546</v>
      </c>
      <c r="L767" s="784" t="s">
        <v>575</v>
      </c>
      <c r="M767" t="s">
        <v>745</v>
      </c>
      <c r="P767" t="s">
        <v>1887</v>
      </c>
      <c r="Q767" t="s">
        <v>575</v>
      </c>
      <c r="R767" t="s">
        <v>148</v>
      </c>
      <c r="S767" t="s">
        <v>145</v>
      </c>
      <c r="U767">
        <v>2</v>
      </c>
      <c r="V767" t="s">
        <v>544</v>
      </c>
      <c r="W767" t="s">
        <v>562</v>
      </c>
      <c r="X767" s="784">
        <v>337927779.25510043</v>
      </c>
    </row>
    <row r="768" spans="1:24">
      <c r="A768" t="s">
        <v>358</v>
      </c>
      <c r="B768" t="s">
        <v>570</v>
      </c>
      <c r="C768" t="s">
        <v>178</v>
      </c>
      <c r="D768" t="s">
        <v>128</v>
      </c>
      <c r="E768" t="s">
        <v>377</v>
      </c>
      <c r="F768" t="s">
        <v>383</v>
      </c>
      <c r="G768" t="s">
        <v>333</v>
      </c>
      <c r="H768" t="s">
        <v>333</v>
      </c>
      <c r="I768" t="s">
        <v>743</v>
      </c>
      <c r="J768" t="s">
        <v>746</v>
      </c>
      <c r="K768" t="s">
        <v>546</v>
      </c>
      <c r="L768" s="784" t="s">
        <v>575</v>
      </c>
      <c r="M768" t="s">
        <v>745</v>
      </c>
      <c r="P768" t="s">
        <v>1887</v>
      </c>
      <c r="Q768" t="s">
        <v>575</v>
      </c>
      <c r="R768" t="s">
        <v>148</v>
      </c>
      <c r="S768" t="s">
        <v>145</v>
      </c>
      <c r="U768">
        <v>2</v>
      </c>
      <c r="V768" t="s">
        <v>544</v>
      </c>
      <c r="W768" t="s">
        <v>548</v>
      </c>
      <c r="X768" s="784">
        <v>65979512.47399316</v>
      </c>
    </row>
    <row r="769" spans="1:24">
      <c r="A769" t="s">
        <v>358</v>
      </c>
      <c r="B769" t="s">
        <v>571</v>
      </c>
      <c r="C769" t="s">
        <v>179</v>
      </c>
      <c r="D769" t="s">
        <v>129</v>
      </c>
      <c r="E769" t="s">
        <v>377</v>
      </c>
      <c r="F769" t="s">
        <v>383</v>
      </c>
      <c r="G769" t="s">
        <v>333</v>
      </c>
      <c r="H769" t="s">
        <v>333</v>
      </c>
      <c r="I769" t="s">
        <v>743</v>
      </c>
      <c r="J769" t="s">
        <v>746</v>
      </c>
      <c r="K769" t="s">
        <v>546</v>
      </c>
      <c r="L769" s="784" t="s">
        <v>575</v>
      </c>
      <c r="M769" t="s">
        <v>745</v>
      </c>
      <c r="P769" t="s">
        <v>1887</v>
      </c>
      <c r="Q769" t="s">
        <v>575</v>
      </c>
      <c r="R769" t="s">
        <v>150</v>
      </c>
      <c r="S769" t="s">
        <v>145</v>
      </c>
      <c r="U769">
        <v>0</v>
      </c>
      <c r="V769" t="s">
        <v>541</v>
      </c>
      <c r="W769" t="s">
        <v>542</v>
      </c>
      <c r="X769" s="784">
        <v>63748362.778827004</v>
      </c>
    </row>
    <row r="770" spans="1:24">
      <c r="A770" t="s">
        <v>358</v>
      </c>
      <c r="B770" t="s">
        <v>572</v>
      </c>
      <c r="C770" t="s">
        <v>180</v>
      </c>
      <c r="D770" t="s">
        <v>126</v>
      </c>
      <c r="E770" t="s">
        <v>377</v>
      </c>
      <c r="F770" t="s">
        <v>383</v>
      </c>
      <c r="G770" t="s">
        <v>333</v>
      </c>
      <c r="H770" t="s">
        <v>333</v>
      </c>
      <c r="I770" t="s">
        <v>743</v>
      </c>
      <c r="J770" t="s">
        <v>746</v>
      </c>
      <c r="K770" t="s">
        <v>546</v>
      </c>
      <c r="L770" s="784">
        <v>0</v>
      </c>
      <c r="M770" t="s">
        <v>745</v>
      </c>
      <c r="P770" t="s">
        <v>1887</v>
      </c>
      <c r="Q770" t="s">
        <v>838</v>
      </c>
      <c r="R770" t="s">
        <v>150</v>
      </c>
      <c r="S770" t="s">
        <v>145</v>
      </c>
      <c r="U770">
        <v>0</v>
      </c>
      <c r="V770" t="s">
        <v>544</v>
      </c>
      <c r="W770" t="s">
        <v>558</v>
      </c>
      <c r="X770" s="784">
        <v>313039649.45369786</v>
      </c>
    </row>
    <row r="771" spans="1:24">
      <c r="A771" t="s">
        <v>358</v>
      </c>
      <c r="B771" t="s">
        <v>573</v>
      </c>
      <c r="C771" t="s">
        <v>181</v>
      </c>
      <c r="D771" t="s">
        <v>129</v>
      </c>
      <c r="E771" t="s">
        <v>377</v>
      </c>
      <c r="F771" t="s">
        <v>383</v>
      </c>
      <c r="G771" t="s">
        <v>333</v>
      </c>
      <c r="H771" t="s">
        <v>333</v>
      </c>
      <c r="I771" t="s">
        <v>743</v>
      </c>
      <c r="J771" t="s">
        <v>746</v>
      </c>
      <c r="K771" t="s">
        <v>546</v>
      </c>
      <c r="L771" s="784" t="s">
        <v>575</v>
      </c>
      <c r="M771" t="s">
        <v>745</v>
      </c>
      <c r="P771" t="s">
        <v>1887</v>
      </c>
      <c r="Q771" t="s">
        <v>575</v>
      </c>
      <c r="R771" t="s">
        <v>150</v>
      </c>
      <c r="S771" t="s">
        <v>145</v>
      </c>
      <c r="U771">
        <v>2</v>
      </c>
      <c r="V771" t="s">
        <v>544</v>
      </c>
      <c r="W771" t="s">
        <v>542</v>
      </c>
      <c r="X771" s="784">
        <v>81361801.477472037</v>
      </c>
    </row>
    <row r="772" spans="1:24">
      <c r="A772" t="s">
        <v>358</v>
      </c>
      <c r="B772" t="s">
        <v>574</v>
      </c>
      <c r="C772" t="s">
        <v>182</v>
      </c>
      <c r="D772" t="s">
        <v>129</v>
      </c>
      <c r="E772" t="s">
        <v>377</v>
      </c>
      <c r="F772" t="s">
        <v>383</v>
      </c>
      <c r="G772" t="s">
        <v>333</v>
      </c>
      <c r="H772" t="s">
        <v>333</v>
      </c>
      <c r="I772" t="s">
        <v>743</v>
      </c>
      <c r="J772" t="s">
        <v>746</v>
      </c>
      <c r="K772" t="s">
        <v>546</v>
      </c>
      <c r="L772" s="784" t="s">
        <v>575</v>
      </c>
      <c r="M772" t="s">
        <v>745</v>
      </c>
      <c r="P772" t="s">
        <v>1887</v>
      </c>
      <c r="Q772" t="s">
        <v>575</v>
      </c>
      <c r="R772" t="s">
        <v>148</v>
      </c>
      <c r="S772" t="s">
        <v>145</v>
      </c>
      <c r="U772">
        <v>1</v>
      </c>
      <c r="V772" t="s">
        <v>544</v>
      </c>
      <c r="W772" t="s">
        <v>542</v>
      </c>
      <c r="X772" s="784" t="s">
        <v>575</v>
      </c>
    </row>
    <row r="773" spans="1:24">
      <c r="A773" t="s">
        <v>358</v>
      </c>
      <c r="B773" t="s">
        <v>576</v>
      </c>
      <c r="C773" t="s">
        <v>183</v>
      </c>
      <c r="D773" t="s">
        <v>129</v>
      </c>
      <c r="E773" t="s">
        <v>377</v>
      </c>
      <c r="F773" t="s">
        <v>383</v>
      </c>
      <c r="G773" t="s">
        <v>333</v>
      </c>
      <c r="H773" t="s">
        <v>333</v>
      </c>
      <c r="I773" t="s">
        <v>743</v>
      </c>
      <c r="J773" t="s">
        <v>746</v>
      </c>
      <c r="K773" t="s">
        <v>546</v>
      </c>
      <c r="L773" s="784" t="s">
        <v>575</v>
      </c>
      <c r="M773" t="s">
        <v>745</v>
      </c>
      <c r="P773" t="s">
        <v>1887</v>
      </c>
      <c r="Q773" t="s">
        <v>575</v>
      </c>
      <c r="R773" t="s">
        <v>148</v>
      </c>
      <c r="S773" t="s">
        <v>145</v>
      </c>
      <c r="U773">
        <v>1</v>
      </c>
      <c r="V773" t="s">
        <v>544</v>
      </c>
      <c r="W773" t="s">
        <v>542</v>
      </c>
      <c r="X773" s="784">
        <v>76939306.715636879</v>
      </c>
    </row>
    <row r="774" spans="1:24">
      <c r="A774" t="s">
        <v>358</v>
      </c>
      <c r="B774" t="s">
        <v>577</v>
      </c>
      <c r="C774" t="s">
        <v>184</v>
      </c>
      <c r="D774" t="s">
        <v>130</v>
      </c>
      <c r="E774" t="s">
        <v>377</v>
      </c>
      <c r="F774" t="s">
        <v>383</v>
      </c>
      <c r="G774" t="s">
        <v>333</v>
      </c>
      <c r="H774" t="s">
        <v>333</v>
      </c>
      <c r="I774" t="s">
        <v>743</v>
      </c>
      <c r="J774" t="s">
        <v>746</v>
      </c>
      <c r="K774" t="s">
        <v>546</v>
      </c>
      <c r="L774" s="784" t="s">
        <v>575</v>
      </c>
      <c r="M774" t="s">
        <v>745</v>
      </c>
      <c r="P774" t="s">
        <v>1887</v>
      </c>
      <c r="Q774" t="s">
        <v>575</v>
      </c>
      <c r="R774" t="s">
        <v>550</v>
      </c>
      <c r="S774" t="s">
        <v>146</v>
      </c>
      <c r="U774">
        <v>0</v>
      </c>
      <c r="V774" t="s">
        <v>544</v>
      </c>
      <c r="W774" t="s">
        <v>575</v>
      </c>
      <c r="X774" s="784">
        <v>13859708717.682571</v>
      </c>
    </row>
    <row r="775" spans="1:24">
      <c r="A775" t="s">
        <v>358</v>
      </c>
      <c r="B775" t="s">
        <v>578</v>
      </c>
      <c r="C775" t="s">
        <v>185</v>
      </c>
      <c r="D775" t="s">
        <v>126</v>
      </c>
      <c r="E775" t="s">
        <v>377</v>
      </c>
      <c r="F775" t="s">
        <v>383</v>
      </c>
      <c r="G775" t="s">
        <v>333</v>
      </c>
      <c r="H775" t="s">
        <v>333</v>
      </c>
      <c r="I775" t="s">
        <v>743</v>
      </c>
      <c r="J775" t="s">
        <v>746</v>
      </c>
      <c r="K775" t="s">
        <v>546</v>
      </c>
      <c r="L775" s="784" t="s">
        <v>575</v>
      </c>
      <c r="M775" t="s">
        <v>745</v>
      </c>
      <c r="P775" t="s">
        <v>1887</v>
      </c>
      <c r="Q775" t="s">
        <v>575</v>
      </c>
      <c r="R775" t="s">
        <v>152</v>
      </c>
      <c r="S775" t="s">
        <v>146</v>
      </c>
      <c r="U775">
        <v>0</v>
      </c>
      <c r="V775" t="s">
        <v>544</v>
      </c>
      <c r="W775" t="s">
        <v>575</v>
      </c>
      <c r="X775" s="784">
        <v>403567160707.7016</v>
      </c>
    </row>
    <row r="776" spans="1:24">
      <c r="A776" t="s">
        <v>358</v>
      </c>
      <c r="B776" t="s">
        <v>579</v>
      </c>
      <c r="C776" t="s">
        <v>186</v>
      </c>
      <c r="D776" t="s">
        <v>130</v>
      </c>
      <c r="E776" t="s">
        <v>377</v>
      </c>
      <c r="F776" t="s">
        <v>383</v>
      </c>
      <c r="G776" t="s">
        <v>333</v>
      </c>
      <c r="H776" t="s">
        <v>333</v>
      </c>
      <c r="I776" t="s">
        <v>743</v>
      </c>
      <c r="J776" t="s">
        <v>746</v>
      </c>
      <c r="K776" t="s">
        <v>546</v>
      </c>
      <c r="L776" s="784" t="s">
        <v>575</v>
      </c>
      <c r="M776" t="s">
        <v>745</v>
      </c>
      <c r="P776" t="s">
        <v>1887</v>
      </c>
      <c r="Q776" t="s">
        <v>575</v>
      </c>
      <c r="R776" t="s">
        <v>152</v>
      </c>
      <c r="S776" t="s">
        <v>146</v>
      </c>
      <c r="U776">
        <v>0</v>
      </c>
      <c r="V776" t="s">
        <v>544</v>
      </c>
      <c r="W776" t="s">
        <v>575</v>
      </c>
      <c r="X776" s="784">
        <v>18250225995.972618</v>
      </c>
    </row>
    <row r="777" spans="1:24">
      <c r="A777" t="s">
        <v>358</v>
      </c>
      <c r="B777" t="s">
        <v>580</v>
      </c>
      <c r="C777" t="s">
        <v>187</v>
      </c>
      <c r="D777" t="s">
        <v>128</v>
      </c>
      <c r="E777" t="s">
        <v>377</v>
      </c>
      <c r="F777" t="s">
        <v>383</v>
      </c>
      <c r="G777" t="s">
        <v>333</v>
      </c>
      <c r="H777" t="s">
        <v>333</v>
      </c>
      <c r="I777" t="s">
        <v>743</v>
      </c>
      <c r="J777" t="s">
        <v>746</v>
      </c>
      <c r="K777" t="s">
        <v>546</v>
      </c>
      <c r="L777" s="784" t="s">
        <v>575</v>
      </c>
      <c r="M777" t="s">
        <v>745</v>
      </c>
      <c r="P777" t="s">
        <v>1887</v>
      </c>
      <c r="Q777" t="s">
        <v>575</v>
      </c>
      <c r="R777" t="s">
        <v>150</v>
      </c>
      <c r="S777" t="s">
        <v>145</v>
      </c>
      <c r="U777">
        <v>0</v>
      </c>
      <c r="V777" t="s">
        <v>541</v>
      </c>
      <c r="W777" t="s">
        <v>562</v>
      </c>
      <c r="X777" s="784">
        <v>5027591.1682657599</v>
      </c>
    </row>
    <row r="778" spans="1:24">
      <c r="A778" t="s">
        <v>358</v>
      </c>
      <c r="B778" t="s">
        <v>581</v>
      </c>
      <c r="C778" t="s">
        <v>188</v>
      </c>
      <c r="D778" t="s">
        <v>129</v>
      </c>
      <c r="E778" t="s">
        <v>377</v>
      </c>
      <c r="F778" t="s">
        <v>383</v>
      </c>
      <c r="G778" t="s">
        <v>333</v>
      </c>
      <c r="H778" t="s">
        <v>333</v>
      </c>
      <c r="I778" t="s">
        <v>743</v>
      </c>
      <c r="J778" t="s">
        <v>746</v>
      </c>
      <c r="K778" t="s">
        <v>546</v>
      </c>
      <c r="L778" s="784" t="s">
        <v>575</v>
      </c>
      <c r="M778" t="s">
        <v>745</v>
      </c>
      <c r="P778" t="s">
        <v>1887</v>
      </c>
      <c r="Q778" t="s">
        <v>575</v>
      </c>
      <c r="R778" t="s">
        <v>148</v>
      </c>
      <c r="S778" t="s">
        <v>145</v>
      </c>
      <c r="U778">
        <v>3</v>
      </c>
      <c r="V778" t="s">
        <v>544</v>
      </c>
      <c r="W778" t="s">
        <v>562</v>
      </c>
      <c r="X778" s="784">
        <v>234645958.63289919</v>
      </c>
    </row>
    <row r="779" spans="1:24">
      <c r="A779" t="s">
        <v>358</v>
      </c>
      <c r="B779" t="s">
        <v>582</v>
      </c>
      <c r="C779" t="s">
        <v>189</v>
      </c>
      <c r="D779" t="s">
        <v>129</v>
      </c>
      <c r="E779" t="s">
        <v>377</v>
      </c>
      <c r="F779" t="s">
        <v>383</v>
      </c>
      <c r="G779" t="s">
        <v>333</v>
      </c>
      <c r="H779" t="s">
        <v>333</v>
      </c>
      <c r="I779" t="s">
        <v>743</v>
      </c>
      <c r="J779" t="s">
        <v>746</v>
      </c>
      <c r="K779" t="s">
        <v>546</v>
      </c>
      <c r="L779" s="784" t="s">
        <v>575</v>
      </c>
      <c r="M779" t="s">
        <v>745</v>
      </c>
      <c r="P779" t="s">
        <v>1887</v>
      </c>
      <c r="Q779" t="s">
        <v>575</v>
      </c>
      <c r="R779" t="s">
        <v>150</v>
      </c>
      <c r="S779" t="s">
        <v>145</v>
      </c>
      <c r="U779">
        <v>2</v>
      </c>
      <c r="V779" t="s">
        <v>544</v>
      </c>
      <c r="W779" t="s">
        <v>583</v>
      </c>
      <c r="X779" s="784">
        <v>91590910.247314155</v>
      </c>
    </row>
    <row r="780" spans="1:24">
      <c r="A780" t="s">
        <v>358</v>
      </c>
      <c r="B780" t="s">
        <v>584</v>
      </c>
      <c r="C780" t="s">
        <v>190</v>
      </c>
      <c r="D780" t="s">
        <v>126</v>
      </c>
      <c r="E780" t="s">
        <v>377</v>
      </c>
      <c r="F780" t="s">
        <v>383</v>
      </c>
      <c r="G780" t="s">
        <v>333</v>
      </c>
      <c r="H780" t="s">
        <v>333</v>
      </c>
      <c r="I780" t="s">
        <v>743</v>
      </c>
      <c r="J780" t="s">
        <v>746</v>
      </c>
      <c r="K780" t="s">
        <v>546</v>
      </c>
      <c r="L780" s="784" t="s">
        <v>575</v>
      </c>
      <c r="M780" t="s">
        <v>745</v>
      </c>
      <c r="P780" t="s">
        <v>1887</v>
      </c>
      <c r="Q780" t="s">
        <v>575</v>
      </c>
      <c r="R780" t="s">
        <v>322</v>
      </c>
      <c r="S780" t="s">
        <v>146</v>
      </c>
      <c r="U780">
        <v>0</v>
      </c>
      <c r="V780" t="s">
        <v>541</v>
      </c>
      <c r="W780" t="s">
        <v>546</v>
      </c>
      <c r="X780" s="784">
        <v>8560012.8840167802</v>
      </c>
    </row>
    <row r="781" spans="1:24">
      <c r="A781" t="s">
        <v>358</v>
      </c>
      <c r="B781" t="s">
        <v>585</v>
      </c>
      <c r="C781" t="s">
        <v>191</v>
      </c>
      <c r="D781" t="s">
        <v>130</v>
      </c>
      <c r="E781" t="s">
        <v>377</v>
      </c>
      <c r="F781" t="s">
        <v>383</v>
      </c>
      <c r="G781" t="s">
        <v>333</v>
      </c>
      <c r="H781" t="s">
        <v>333</v>
      </c>
      <c r="I781" t="s">
        <v>743</v>
      </c>
      <c r="J781" t="s">
        <v>746</v>
      </c>
      <c r="K781" t="s">
        <v>546</v>
      </c>
      <c r="L781" s="784" t="s">
        <v>575</v>
      </c>
      <c r="M781" t="s">
        <v>745</v>
      </c>
      <c r="P781" t="s">
        <v>1887</v>
      </c>
      <c r="Q781" t="s">
        <v>575</v>
      </c>
      <c r="R781" t="s">
        <v>152</v>
      </c>
      <c r="S781" t="s">
        <v>146</v>
      </c>
      <c r="U781">
        <v>0</v>
      </c>
      <c r="V781" t="s">
        <v>544</v>
      </c>
      <c r="W781" t="s">
        <v>546</v>
      </c>
      <c r="X781" s="784">
        <v>3292372960.3962669</v>
      </c>
    </row>
    <row r="782" spans="1:24">
      <c r="A782" t="s">
        <v>358</v>
      </c>
      <c r="B782" t="s">
        <v>586</v>
      </c>
      <c r="C782" t="s">
        <v>192</v>
      </c>
      <c r="D782" t="s">
        <v>129</v>
      </c>
      <c r="E782" t="s">
        <v>377</v>
      </c>
      <c r="F782" t="s">
        <v>383</v>
      </c>
      <c r="G782" t="s">
        <v>333</v>
      </c>
      <c r="H782" t="s">
        <v>333</v>
      </c>
      <c r="I782" t="s">
        <v>743</v>
      </c>
      <c r="J782" t="s">
        <v>746</v>
      </c>
      <c r="K782" t="s">
        <v>546</v>
      </c>
      <c r="L782" s="784" t="s">
        <v>575</v>
      </c>
      <c r="M782" t="s">
        <v>745</v>
      </c>
      <c r="P782" t="s">
        <v>1887</v>
      </c>
      <c r="Q782" t="s">
        <v>575</v>
      </c>
      <c r="R782" t="s">
        <v>150</v>
      </c>
      <c r="S782" t="s">
        <v>145</v>
      </c>
      <c r="U782">
        <v>0</v>
      </c>
      <c r="V782" t="s">
        <v>544</v>
      </c>
      <c r="W782" t="s">
        <v>562</v>
      </c>
      <c r="X782" s="784">
        <v>519209981.22981054</v>
      </c>
    </row>
    <row r="783" spans="1:24">
      <c r="A783" t="s">
        <v>358</v>
      </c>
      <c r="B783" t="s">
        <v>587</v>
      </c>
      <c r="C783" t="s">
        <v>193</v>
      </c>
      <c r="D783" t="s">
        <v>127</v>
      </c>
      <c r="E783" t="s">
        <v>377</v>
      </c>
      <c r="F783" t="s">
        <v>383</v>
      </c>
      <c r="G783" t="s">
        <v>333</v>
      </c>
      <c r="H783" t="s">
        <v>333</v>
      </c>
      <c r="I783" t="s">
        <v>743</v>
      </c>
      <c r="J783" t="s">
        <v>746</v>
      </c>
      <c r="K783" t="s">
        <v>546</v>
      </c>
      <c r="L783" s="784" t="s">
        <v>575</v>
      </c>
      <c r="M783" t="s">
        <v>745</v>
      </c>
      <c r="P783" t="s">
        <v>1887</v>
      </c>
      <c r="Q783" t="s">
        <v>575</v>
      </c>
      <c r="R783" t="s">
        <v>550</v>
      </c>
      <c r="S783" t="s">
        <v>146</v>
      </c>
      <c r="U783">
        <v>0</v>
      </c>
      <c r="V783" t="s">
        <v>544</v>
      </c>
      <c r="W783" t="s">
        <v>575</v>
      </c>
      <c r="X783" s="784">
        <v>3464739907.1604805</v>
      </c>
    </row>
    <row r="784" spans="1:24">
      <c r="A784" t="s">
        <v>358</v>
      </c>
      <c r="B784" t="s">
        <v>588</v>
      </c>
      <c r="C784" t="s">
        <v>147</v>
      </c>
      <c r="D784" t="s">
        <v>130</v>
      </c>
      <c r="E784" t="s">
        <v>377</v>
      </c>
      <c r="F784" t="s">
        <v>383</v>
      </c>
      <c r="G784" t="s">
        <v>333</v>
      </c>
      <c r="H784" t="s">
        <v>333</v>
      </c>
      <c r="I784" t="s">
        <v>743</v>
      </c>
      <c r="J784" t="s">
        <v>746</v>
      </c>
      <c r="K784" t="s">
        <v>546</v>
      </c>
      <c r="L784" s="784" t="s">
        <v>575</v>
      </c>
      <c r="M784" t="s">
        <v>745</v>
      </c>
      <c r="P784" t="s">
        <v>1887</v>
      </c>
      <c r="Q784" t="s">
        <v>575</v>
      </c>
      <c r="R784" t="s">
        <v>152</v>
      </c>
      <c r="S784" t="s">
        <v>146</v>
      </c>
      <c r="U784">
        <v>0</v>
      </c>
      <c r="V784" t="s">
        <v>541</v>
      </c>
      <c r="W784" t="s">
        <v>575</v>
      </c>
      <c r="X784" s="784">
        <v>9948521252.2569065</v>
      </c>
    </row>
    <row r="785" spans="1:24">
      <c r="A785" t="s">
        <v>358</v>
      </c>
      <c r="B785" t="s">
        <v>589</v>
      </c>
      <c r="C785" t="s">
        <v>194</v>
      </c>
      <c r="D785" t="s">
        <v>131</v>
      </c>
      <c r="E785" t="s">
        <v>377</v>
      </c>
      <c r="F785" t="s">
        <v>383</v>
      </c>
      <c r="G785" t="s">
        <v>333</v>
      </c>
      <c r="H785" t="s">
        <v>333</v>
      </c>
      <c r="I785" t="s">
        <v>743</v>
      </c>
      <c r="J785" t="s">
        <v>746</v>
      </c>
      <c r="K785" t="s">
        <v>546</v>
      </c>
      <c r="L785" s="784" t="s">
        <v>575</v>
      </c>
      <c r="M785" t="s">
        <v>745</v>
      </c>
      <c r="P785" t="s">
        <v>1887</v>
      </c>
      <c r="Q785" t="s">
        <v>575</v>
      </c>
      <c r="R785" t="s">
        <v>150</v>
      </c>
      <c r="S785" t="s">
        <v>145</v>
      </c>
      <c r="U785">
        <v>1</v>
      </c>
      <c r="V785" t="s">
        <v>544</v>
      </c>
      <c r="W785" t="s">
        <v>542</v>
      </c>
      <c r="X785" s="784">
        <v>33679192.765657313</v>
      </c>
    </row>
    <row r="786" spans="1:24">
      <c r="A786" t="s">
        <v>358</v>
      </c>
      <c r="B786" t="s">
        <v>590</v>
      </c>
      <c r="C786" t="s">
        <v>195</v>
      </c>
      <c r="D786" t="s">
        <v>130</v>
      </c>
      <c r="E786" t="s">
        <v>377</v>
      </c>
      <c r="F786" t="s">
        <v>383</v>
      </c>
      <c r="G786" t="s">
        <v>333</v>
      </c>
      <c r="H786" t="s">
        <v>333</v>
      </c>
      <c r="I786" t="s">
        <v>743</v>
      </c>
      <c r="J786" t="s">
        <v>746</v>
      </c>
      <c r="K786" t="s">
        <v>546</v>
      </c>
      <c r="L786" s="784" t="s">
        <v>575</v>
      </c>
      <c r="M786" t="s">
        <v>745</v>
      </c>
      <c r="P786" t="s">
        <v>1887</v>
      </c>
      <c r="Q786" t="s">
        <v>575</v>
      </c>
      <c r="R786" t="s">
        <v>152</v>
      </c>
      <c r="S786" t="s">
        <v>145</v>
      </c>
      <c r="U786">
        <v>0</v>
      </c>
      <c r="V786" t="s">
        <v>541</v>
      </c>
      <c r="W786" t="s">
        <v>548</v>
      </c>
      <c r="X786" s="784">
        <v>22784494.365742501</v>
      </c>
    </row>
    <row r="787" spans="1:24">
      <c r="A787" t="s">
        <v>358</v>
      </c>
      <c r="B787" t="s">
        <v>591</v>
      </c>
      <c r="C787" t="s">
        <v>196</v>
      </c>
      <c r="D787" t="s">
        <v>130</v>
      </c>
      <c r="E787" t="s">
        <v>377</v>
      </c>
      <c r="F787" t="s">
        <v>383</v>
      </c>
      <c r="G787" t="s">
        <v>333</v>
      </c>
      <c r="H787" t="s">
        <v>333</v>
      </c>
      <c r="I787" t="s">
        <v>743</v>
      </c>
      <c r="J787" t="s">
        <v>746</v>
      </c>
      <c r="K787" t="s">
        <v>546</v>
      </c>
      <c r="L787" s="784" t="s">
        <v>575</v>
      </c>
      <c r="M787" t="s">
        <v>745</v>
      </c>
      <c r="P787" t="s">
        <v>1887</v>
      </c>
      <c r="Q787" t="s">
        <v>575</v>
      </c>
      <c r="R787" t="s">
        <v>152</v>
      </c>
      <c r="S787" t="s">
        <v>146</v>
      </c>
      <c r="U787">
        <v>0</v>
      </c>
      <c r="V787" t="s">
        <v>541</v>
      </c>
      <c r="W787" t="s">
        <v>575</v>
      </c>
      <c r="X787" s="784">
        <v>2173208011.4858823</v>
      </c>
    </row>
    <row r="788" spans="1:24">
      <c r="A788" t="s">
        <v>358</v>
      </c>
      <c r="B788" t="s">
        <v>592</v>
      </c>
      <c r="C788" t="s">
        <v>197</v>
      </c>
      <c r="D788" t="s">
        <v>130</v>
      </c>
      <c r="E788" t="s">
        <v>377</v>
      </c>
      <c r="F788" t="s">
        <v>383</v>
      </c>
      <c r="G788" t="s">
        <v>333</v>
      </c>
      <c r="H788" t="s">
        <v>333</v>
      </c>
      <c r="I788" t="s">
        <v>743</v>
      </c>
      <c r="J788" t="s">
        <v>746</v>
      </c>
      <c r="K788" t="s">
        <v>546</v>
      </c>
      <c r="L788" s="784" t="s">
        <v>575</v>
      </c>
      <c r="M788" t="s">
        <v>745</v>
      </c>
      <c r="P788" t="s">
        <v>1887</v>
      </c>
      <c r="Q788" t="s">
        <v>575</v>
      </c>
      <c r="R788" t="s">
        <v>152</v>
      </c>
      <c r="S788" t="s">
        <v>146</v>
      </c>
      <c r="U788">
        <v>0</v>
      </c>
      <c r="V788" t="s">
        <v>544</v>
      </c>
      <c r="W788" t="s">
        <v>546</v>
      </c>
      <c r="X788" s="784">
        <v>4585736158.8323269</v>
      </c>
    </row>
    <row r="789" spans="1:24">
      <c r="A789" t="s">
        <v>358</v>
      </c>
      <c r="B789" t="s">
        <v>593</v>
      </c>
      <c r="C789" t="s">
        <v>198</v>
      </c>
      <c r="D789" t="s">
        <v>131</v>
      </c>
      <c r="E789" t="s">
        <v>377</v>
      </c>
      <c r="F789" t="s">
        <v>383</v>
      </c>
      <c r="G789" t="s">
        <v>333</v>
      </c>
      <c r="H789" t="s">
        <v>333</v>
      </c>
      <c r="I789" t="s">
        <v>743</v>
      </c>
      <c r="J789" t="s">
        <v>746</v>
      </c>
      <c r="K789" t="s">
        <v>546</v>
      </c>
      <c r="L789" s="784" t="s">
        <v>575</v>
      </c>
      <c r="M789" t="s">
        <v>745</v>
      </c>
      <c r="P789" t="s">
        <v>1887</v>
      </c>
      <c r="Q789" t="s">
        <v>575</v>
      </c>
      <c r="R789" t="s">
        <v>150</v>
      </c>
      <c r="S789" t="s">
        <v>145</v>
      </c>
      <c r="U789">
        <v>0</v>
      </c>
      <c r="V789" t="s">
        <v>544</v>
      </c>
      <c r="W789" t="s">
        <v>546</v>
      </c>
      <c r="X789" s="784">
        <v>3550291584.8645592</v>
      </c>
    </row>
    <row r="790" spans="1:24">
      <c r="A790" t="s">
        <v>358</v>
      </c>
      <c r="B790" t="s">
        <v>594</v>
      </c>
      <c r="C790" t="s">
        <v>199</v>
      </c>
      <c r="D790" t="s">
        <v>130</v>
      </c>
      <c r="E790" t="s">
        <v>377</v>
      </c>
      <c r="F790" t="s">
        <v>383</v>
      </c>
      <c r="G790" t="s">
        <v>333</v>
      </c>
      <c r="H790" t="s">
        <v>333</v>
      </c>
      <c r="I790" t="s">
        <v>743</v>
      </c>
      <c r="J790" t="s">
        <v>746</v>
      </c>
      <c r="K790" t="s">
        <v>546</v>
      </c>
      <c r="L790" s="784" t="s">
        <v>575</v>
      </c>
      <c r="M790" t="s">
        <v>745</v>
      </c>
      <c r="P790" t="s">
        <v>1887</v>
      </c>
      <c r="Q790" t="s">
        <v>575</v>
      </c>
      <c r="R790" t="s">
        <v>150</v>
      </c>
      <c r="S790" t="s">
        <v>145</v>
      </c>
      <c r="U790">
        <v>0</v>
      </c>
      <c r="V790" t="s">
        <v>544</v>
      </c>
      <c r="W790" t="s">
        <v>546</v>
      </c>
      <c r="X790" s="784">
        <v>1182840319.0410969</v>
      </c>
    </row>
    <row r="791" spans="1:24">
      <c r="A791" t="s">
        <v>358</v>
      </c>
      <c r="B791" t="s">
        <v>595</v>
      </c>
      <c r="C791" t="s">
        <v>200</v>
      </c>
      <c r="D791" t="s">
        <v>130</v>
      </c>
      <c r="E791" t="s">
        <v>377</v>
      </c>
      <c r="F791" t="s">
        <v>383</v>
      </c>
      <c r="G791" t="s">
        <v>333</v>
      </c>
      <c r="H791" t="s">
        <v>333</v>
      </c>
      <c r="I791" t="s">
        <v>743</v>
      </c>
      <c r="J791" t="s">
        <v>746</v>
      </c>
      <c r="K791" t="s">
        <v>546</v>
      </c>
      <c r="L791" s="784" t="s">
        <v>575</v>
      </c>
      <c r="M791" t="s">
        <v>745</v>
      </c>
      <c r="P791" t="s">
        <v>1887</v>
      </c>
      <c r="Q791" t="s">
        <v>575</v>
      </c>
      <c r="R791" t="s">
        <v>152</v>
      </c>
      <c r="S791" t="s">
        <v>146</v>
      </c>
      <c r="U791">
        <v>0</v>
      </c>
      <c r="V791" t="s">
        <v>544</v>
      </c>
      <c r="W791" t="s">
        <v>575</v>
      </c>
      <c r="X791" s="784">
        <v>81728347.604567245</v>
      </c>
    </row>
    <row r="792" spans="1:24">
      <c r="A792" t="s">
        <v>358</v>
      </c>
      <c r="B792" t="s">
        <v>596</v>
      </c>
      <c r="C792" t="s">
        <v>201</v>
      </c>
      <c r="D792" t="s">
        <v>128</v>
      </c>
      <c r="E792" t="s">
        <v>377</v>
      </c>
      <c r="F792" t="s">
        <v>383</v>
      </c>
      <c r="G792" t="s">
        <v>333</v>
      </c>
      <c r="H792" t="s">
        <v>333</v>
      </c>
      <c r="I792" t="s">
        <v>743</v>
      </c>
      <c r="J792" t="s">
        <v>746</v>
      </c>
      <c r="K792" t="s">
        <v>546</v>
      </c>
      <c r="L792" s="784" t="s">
        <v>575</v>
      </c>
      <c r="M792" t="s">
        <v>745</v>
      </c>
      <c r="P792" t="s">
        <v>1887</v>
      </c>
      <c r="Q792" t="s">
        <v>575</v>
      </c>
      <c r="R792" t="s">
        <v>148</v>
      </c>
      <c r="S792" t="s">
        <v>145</v>
      </c>
      <c r="U792">
        <v>2</v>
      </c>
      <c r="V792" t="s">
        <v>544</v>
      </c>
      <c r="W792" t="s">
        <v>546</v>
      </c>
      <c r="X792" s="784">
        <v>12787914.977715338</v>
      </c>
    </row>
    <row r="793" spans="1:24">
      <c r="A793" t="s">
        <v>358</v>
      </c>
      <c r="B793" t="s">
        <v>597</v>
      </c>
      <c r="C793" t="s">
        <v>202</v>
      </c>
      <c r="D793" t="s">
        <v>128</v>
      </c>
      <c r="E793" t="s">
        <v>377</v>
      </c>
      <c r="F793" t="s">
        <v>383</v>
      </c>
      <c r="G793" t="s">
        <v>333</v>
      </c>
      <c r="H793" t="s">
        <v>333</v>
      </c>
      <c r="I793" t="s">
        <v>743</v>
      </c>
      <c r="J793" t="s">
        <v>746</v>
      </c>
      <c r="K793" t="s">
        <v>546</v>
      </c>
      <c r="L793" s="784" t="s">
        <v>575</v>
      </c>
      <c r="M793" t="s">
        <v>745</v>
      </c>
      <c r="P793" t="s">
        <v>1887</v>
      </c>
      <c r="Q793" t="s">
        <v>575</v>
      </c>
      <c r="R793" t="s">
        <v>150</v>
      </c>
      <c r="S793" t="s">
        <v>145</v>
      </c>
      <c r="U793">
        <v>2</v>
      </c>
      <c r="V793" t="s">
        <v>544</v>
      </c>
      <c r="W793" t="s">
        <v>546</v>
      </c>
      <c r="X793" s="784">
        <v>101271737.65410839</v>
      </c>
    </row>
    <row r="794" spans="1:24">
      <c r="A794" t="s">
        <v>358</v>
      </c>
      <c r="B794" t="s">
        <v>598</v>
      </c>
      <c r="C794" t="s">
        <v>203</v>
      </c>
      <c r="D794" t="s">
        <v>128</v>
      </c>
      <c r="E794" t="s">
        <v>377</v>
      </c>
      <c r="F794" t="s">
        <v>383</v>
      </c>
      <c r="G794" t="s">
        <v>333</v>
      </c>
      <c r="H794" t="s">
        <v>333</v>
      </c>
      <c r="I794" t="s">
        <v>743</v>
      </c>
      <c r="J794" t="s">
        <v>746</v>
      </c>
      <c r="K794" t="s">
        <v>546</v>
      </c>
      <c r="L794" s="784" t="s">
        <v>575</v>
      </c>
      <c r="M794" t="s">
        <v>745</v>
      </c>
      <c r="P794" t="s">
        <v>1887</v>
      </c>
      <c r="Q794" t="s">
        <v>575</v>
      </c>
      <c r="R794" t="s">
        <v>148</v>
      </c>
      <c r="S794" t="s">
        <v>145</v>
      </c>
      <c r="U794">
        <v>3</v>
      </c>
      <c r="V794" t="s">
        <v>544</v>
      </c>
      <c r="W794" t="s">
        <v>542</v>
      </c>
      <c r="X794" s="784">
        <v>618344226.71759331</v>
      </c>
    </row>
    <row r="795" spans="1:24">
      <c r="A795" t="s">
        <v>358</v>
      </c>
      <c r="B795" t="s">
        <v>599</v>
      </c>
      <c r="C795" t="s">
        <v>204</v>
      </c>
      <c r="D795" t="s">
        <v>126</v>
      </c>
      <c r="E795" t="s">
        <v>377</v>
      </c>
      <c r="F795" t="s">
        <v>383</v>
      </c>
      <c r="G795" t="s">
        <v>333</v>
      </c>
      <c r="H795" t="s">
        <v>333</v>
      </c>
      <c r="I795" t="s">
        <v>743</v>
      </c>
      <c r="J795" t="s">
        <v>746</v>
      </c>
      <c r="K795" t="s">
        <v>546</v>
      </c>
      <c r="L795" s="784" t="s">
        <v>575</v>
      </c>
      <c r="M795" t="s">
        <v>745</v>
      </c>
      <c r="P795" t="s">
        <v>1887</v>
      </c>
      <c r="Q795" t="s">
        <v>575</v>
      </c>
      <c r="R795" t="s">
        <v>152</v>
      </c>
      <c r="S795" t="s">
        <v>145</v>
      </c>
      <c r="U795">
        <v>0</v>
      </c>
      <c r="V795" t="s">
        <v>541</v>
      </c>
      <c r="W795" t="s">
        <v>548</v>
      </c>
      <c r="X795" s="784">
        <v>129483872.95906857</v>
      </c>
    </row>
    <row r="796" spans="1:24">
      <c r="A796" t="s">
        <v>358</v>
      </c>
      <c r="B796" t="s">
        <v>600</v>
      </c>
      <c r="C796" t="s">
        <v>205</v>
      </c>
      <c r="D796" t="s">
        <v>129</v>
      </c>
      <c r="E796" t="s">
        <v>377</v>
      </c>
      <c r="F796" t="s">
        <v>383</v>
      </c>
      <c r="G796" t="s">
        <v>333</v>
      </c>
      <c r="H796" t="s">
        <v>333</v>
      </c>
      <c r="I796" t="s">
        <v>743</v>
      </c>
      <c r="J796" t="s">
        <v>746</v>
      </c>
      <c r="K796" t="s">
        <v>546</v>
      </c>
      <c r="L796" s="784" t="s">
        <v>575</v>
      </c>
      <c r="M796" t="s">
        <v>745</v>
      </c>
      <c r="P796" t="s">
        <v>1887</v>
      </c>
      <c r="Q796" t="s">
        <v>575</v>
      </c>
      <c r="R796" t="s">
        <v>152</v>
      </c>
      <c r="S796" t="s">
        <v>146</v>
      </c>
      <c r="U796">
        <v>0</v>
      </c>
      <c r="V796" t="s">
        <v>544</v>
      </c>
      <c r="W796" t="s">
        <v>546</v>
      </c>
      <c r="X796" s="784">
        <v>271184658.35014349</v>
      </c>
    </row>
    <row r="797" spans="1:24">
      <c r="A797" t="s">
        <v>358</v>
      </c>
      <c r="B797" t="s">
        <v>601</v>
      </c>
      <c r="C797" t="s">
        <v>206</v>
      </c>
      <c r="D797" t="s">
        <v>129</v>
      </c>
      <c r="E797" t="s">
        <v>377</v>
      </c>
      <c r="F797" t="s">
        <v>383</v>
      </c>
      <c r="G797" t="s">
        <v>333</v>
      </c>
      <c r="H797" t="s">
        <v>333</v>
      </c>
      <c r="I797" t="s">
        <v>743</v>
      </c>
      <c r="J797" t="s">
        <v>746</v>
      </c>
      <c r="K797" t="s">
        <v>546</v>
      </c>
      <c r="L797" s="784" t="s">
        <v>575</v>
      </c>
      <c r="M797" t="s">
        <v>745</v>
      </c>
      <c r="P797" t="s">
        <v>1887</v>
      </c>
      <c r="Q797" t="s">
        <v>575</v>
      </c>
      <c r="R797" t="s">
        <v>148</v>
      </c>
      <c r="S797" t="s">
        <v>145</v>
      </c>
      <c r="U797">
        <v>0</v>
      </c>
      <c r="V797" t="s">
        <v>544</v>
      </c>
      <c r="W797" t="s">
        <v>542</v>
      </c>
      <c r="X797" s="784">
        <v>15455265.086884515</v>
      </c>
    </row>
    <row r="798" spans="1:24">
      <c r="A798" t="s">
        <v>358</v>
      </c>
      <c r="B798" t="s">
        <v>602</v>
      </c>
      <c r="C798" t="s">
        <v>207</v>
      </c>
      <c r="D798" t="s">
        <v>127</v>
      </c>
      <c r="E798" t="s">
        <v>377</v>
      </c>
      <c r="F798" t="s">
        <v>383</v>
      </c>
      <c r="G798" t="s">
        <v>333</v>
      </c>
      <c r="H798" t="s">
        <v>333</v>
      </c>
      <c r="I798" t="s">
        <v>743</v>
      </c>
      <c r="J798" t="s">
        <v>746</v>
      </c>
      <c r="K798" t="s">
        <v>546</v>
      </c>
      <c r="L798" s="784">
        <v>2370000</v>
      </c>
      <c r="M798" t="s">
        <v>745</v>
      </c>
      <c r="P798" t="s">
        <v>1887</v>
      </c>
      <c r="Q798" t="s">
        <v>406</v>
      </c>
      <c r="R798" t="s">
        <v>152</v>
      </c>
      <c r="S798" t="s">
        <v>146</v>
      </c>
      <c r="U798">
        <v>0</v>
      </c>
      <c r="V798" t="s">
        <v>544</v>
      </c>
      <c r="W798" t="s">
        <v>546</v>
      </c>
      <c r="X798" s="784">
        <v>494021502.525527</v>
      </c>
    </row>
    <row r="799" spans="1:24">
      <c r="A799" t="s">
        <v>358</v>
      </c>
      <c r="B799" t="s">
        <v>603</v>
      </c>
      <c r="C799" t="s">
        <v>208</v>
      </c>
      <c r="D799" t="s">
        <v>129</v>
      </c>
      <c r="E799" t="s">
        <v>377</v>
      </c>
      <c r="F799" t="s">
        <v>383</v>
      </c>
      <c r="G799" t="s">
        <v>333</v>
      </c>
      <c r="H799" t="s">
        <v>333</v>
      </c>
      <c r="I799" t="s">
        <v>743</v>
      </c>
      <c r="J799" t="s">
        <v>746</v>
      </c>
      <c r="K799" t="s">
        <v>546</v>
      </c>
      <c r="L799" s="784" t="s">
        <v>575</v>
      </c>
      <c r="M799" t="s">
        <v>745</v>
      </c>
      <c r="P799" t="s">
        <v>1887</v>
      </c>
      <c r="Q799" t="s">
        <v>575</v>
      </c>
      <c r="R799" t="s">
        <v>150</v>
      </c>
      <c r="S799" t="s">
        <v>145</v>
      </c>
      <c r="U799">
        <v>0</v>
      </c>
      <c r="V799" t="s">
        <v>544</v>
      </c>
      <c r="W799" t="s">
        <v>542</v>
      </c>
      <c r="X799" s="784">
        <v>902005621.73836684</v>
      </c>
    </row>
    <row r="800" spans="1:24">
      <c r="A800" t="s">
        <v>358</v>
      </c>
      <c r="B800" t="s">
        <v>604</v>
      </c>
      <c r="C800" t="s">
        <v>209</v>
      </c>
      <c r="D800" t="s">
        <v>130</v>
      </c>
      <c r="E800" t="s">
        <v>377</v>
      </c>
      <c r="F800" t="s">
        <v>383</v>
      </c>
      <c r="G800" t="s">
        <v>333</v>
      </c>
      <c r="H800" t="s">
        <v>333</v>
      </c>
      <c r="I800" t="s">
        <v>743</v>
      </c>
      <c r="J800" t="s">
        <v>746</v>
      </c>
      <c r="K800" t="s">
        <v>546</v>
      </c>
      <c r="L800" s="784" t="s">
        <v>575</v>
      </c>
      <c r="M800" t="s">
        <v>745</v>
      </c>
      <c r="P800" t="s">
        <v>1887</v>
      </c>
      <c r="Q800" t="s">
        <v>575</v>
      </c>
      <c r="R800" t="s">
        <v>152</v>
      </c>
      <c r="S800" t="s">
        <v>145</v>
      </c>
      <c r="U800">
        <v>0</v>
      </c>
      <c r="V800" t="s">
        <v>541</v>
      </c>
      <c r="W800" t="s">
        <v>583</v>
      </c>
      <c r="X800" s="784">
        <v>20201670.142996579</v>
      </c>
    </row>
    <row r="801" spans="1:24">
      <c r="A801" t="s">
        <v>358</v>
      </c>
      <c r="B801" t="s">
        <v>605</v>
      </c>
      <c r="C801" t="s">
        <v>210</v>
      </c>
      <c r="D801" t="s">
        <v>130</v>
      </c>
      <c r="E801" t="s">
        <v>377</v>
      </c>
      <c r="F801" t="s">
        <v>383</v>
      </c>
      <c r="G801" t="s">
        <v>333</v>
      </c>
      <c r="H801" t="s">
        <v>333</v>
      </c>
      <c r="I801" t="s">
        <v>743</v>
      </c>
      <c r="J801" t="s">
        <v>746</v>
      </c>
      <c r="K801" t="s">
        <v>546</v>
      </c>
      <c r="L801" s="784" t="s">
        <v>575</v>
      </c>
      <c r="M801" t="s">
        <v>745</v>
      </c>
      <c r="P801" t="s">
        <v>1887</v>
      </c>
      <c r="Q801" t="s">
        <v>575</v>
      </c>
      <c r="R801" t="s">
        <v>152</v>
      </c>
      <c r="S801" t="s">
        <v>146</v>
      </c>
      <c r="U801">
        <v>0</v>
      </c>
      <c r="V801" t="s">
        <v>544</v>
      </c>
      <c r="W801" t="s">
        <v>575</v>
      </c>
      <c r="X801" s="784">
        <v>1612434649.6948864</v>
      </c>
    </row>
    <row r="802" spans="1:24">
      <c r="A802" t="s">
        <v>358</v>
      </c>
      <c r="B802" t="s">
        <v>606</v>
      </c>
      <c r="C802" t="s">
        <v>211</v>
      </c>
      <c r="D802" t="s">
        <v>129</v>
      </c>
      <c r="E802" t="s">
        <v>377</v>
      </c>
      <c r="F802" t="s">
        <v>383</v>
      </c>
      <c r="G802" t="s">
        <v>333</v>
      </c>
      <c r="H802" t="s">
        <v>333</v>
      </c>
      <c r="I802" t="s">
        <v>743</v>
      </c>
      <c r="J802" t="s">
        <v>746</v>
      </c>
      <c r="K802" t="s">
        <v>546</v>
      </c>
      <c r="L802" s="784" t="s">
        <v>575</v>
      </c>
      <c r="M802" t="s">
        <v>745</v>
      </c>
      <c r="P802" t="s">
        <v>1887</v>
      </c>
      <c r="Q802" t="s">
        <v>575</v>
      </c>
      <c r="R802" t="s">
        <v>148</v>
      </c>
      <c r="S802" t="s">
        <v>145</v>
      </c>
      <c r="U802">
        <v>0</v>
      </c>
      <c r="V802" t="s">
        <v>544</v>
      </c>
      <c r="W802" t="s">
        <v>562</v>
      </c>
      <c r="X802" s="784">
        <v>78203134.118229344</v>
      </c>
    </row>
    <row r="803" spans="1:24">
      <c r="A803" t="s">
        <v>358</v>
      </c>
      <c r="B803" t="s">
        <v>607</v>
      </c>
      <c r="C803" t="s">
        <v>212</v>
      </c>
      <c r="D803" t="s">
        <v>129</v>
      </c>
      <c r="E803" t="s">
        <v>377</v>
      </c>
      <c r="F803" t="s">
        <v>383</v>
      </c>
      <c r="G803" t="s">
        <v>333</v>
      </c>
      <c r="H803" t="s">
        <v>333</v>
      </c>
      <c r="I803" t="s">
        <v>743</v>
      </c>
      <c r="J803" t="s">
        <v>746</v>
      </c>
      <c r="K803" t="s">
        <v>546</v>
      </c>
      <c r="L803" s="784" t="s">
        <v>575</v>
      </c>
      <c r="M803" t="s">
        <v>745</v>
      </c>
      <c r="P803" t="s">
        <v>1887</v>
      </c>
      <c r="Q803" t="s">
        <v>575</v>
      </c>
      <c r="R803" t="s">
        <v>148</v>
      </c>
      <c r="S803" t="s">
        <v>145</v>
      </c>
      <c r="U803">
        <v>2</v>
      </c>
      <c r="V803" t="s">
        <v>541</v>
      </c>
      <c r="W803" t="s">
        <v>542</v>
      </c>
      <c r="X803" s="784">
        <v>9151637.7411015611</v>
      </c>
    </row>
    <row r="804" spans="1:24">
      <c r="A804" t="s">
        <v>358</v>
      </c>
      <c r="B804" t="s">
        <v>608</v>
      </c>
      <c r="C804" t="s">
        <v>213</v>
      </c>
      <c r="D804" t="s">
        <v>130</v>
      </c>
      <c r="E804" t="s">
        <v>377</v>
      </c>
      <c r="F804" t="s">
        <v>383</v>
      </c>
      <c r="G804" t="s">
        <v>333</v>
      </c>
      <c r="H804" t="s">
        <v>333</v>
      </c>
      <c r="I804" t="s">
        <v>743</v>
      </c>
      <c r="J804" t="s">
        <v>746</v>
      </c>
      <c r="K804" t="s">
        <v>546</v>
      </c>
      <c r="L804" s="784" t="s">
        <v>575</v>
      </c>
      <c r="M804" t="s">
        <v>745</v>
      </c>
      <c r="P804" t="s">
        <v>1887</v>
      </c>
      <c r="Q804" t="s">
        <v>575</v>
      </c>
      <c r="R804" t="s">
        <v>152</v>
      </c>
      <c r="S804" t="s">
        <v>145</v>
      </c>
      <c r="U804">
        <v>0</v>
      </c>
      <c r="V804" t="s">
        <v>541</v>
      </c>
      <c r="W804" t="s">
        <v>562</v>
      </c>
      <c r="X804" s="784">
        <v>142455920.02856269</v>
      </c>
    </row>
    <row r="805" spans="1:24">
      <c r="A805" t="s">
        <v>358</v>
      </c>
      <c r="B805" t="s">
        <v>609</v>
      </c>
      <c r="C805" t="s">
        <v>214</v>
      </c>
      <c r="D805" t="s">
        <v>130</v>
      </c>
      <c r="E805" t="s">
        <v>377</v>
      </c>
      <c r="F805" t="s">
        <v>383</v>
      </c>
      <c r="G805" t="s">
        <v>333</v>
      </c>
      <c r="H805" t="s">
        <v>333</v>
      </c>
      <c r="I805" t="s">
        <v>743</v>
      </c>
      <c r="J805" t="s">
        <v>746</v>
      </c>
      <c r="K805" t="s">
        <v>546</v>
      </c>
      <c r="L805" s="784" t="s">
        <v>575</v>
      </c>
      <c r="M805" t="s">
        <v>745</v>
      </c>
      <c r="P805" t="s">
        <v>1887</v>
      </c>
      <c r="Q805" t="s">
        <v>575</v>
      </c>
      <c r="R805" t="s">
        <v>150</v>
      </c>
      <c r="S805" t="s">
        <v>145</v>
      </c>
      <c r="U805">
        <v>1</v>
      </c>
      <c r="V805" t="s">
        <v>541</v>
      </c>
      <c r="W805" t="s">
        <v>542</v>
      </c>
      <c r="X805" s="784">
        <v>85611818.171245083</v>
      </c>
    </row>
    <row r="806" spans="1:24">
      <c r="A806" t="s">
        <v>358</v>
      </c>
      <c r="B806" t="s">
        <v>610</v>
      </c>
      <c r="C806" t="s">
        <v>215</v>
      </c>
      <c r="D806" t="s">
        <v>130</v>
      </c>
      <c r="E806" t="s">
        <v>377</v>
      </c>
      <c r="F806" t="s">
        <v>383</v>
      </c>
      <c r="G806" t="s">
        <v>333</v>
      </c>
      <c r="H806" t="s">
        <v>333</v>
      </c>
      <c r="I806" t="s">
        <v>743</v>
      </c>
      <c r="J806" t="s">
        <v>746</v>
      </c>
      <c r="K806" t="s">
        <v>546</v>
      </c>
      <c r="L806" s="784" t="s">
        <v>575</v>
      </c>
      <c r="M806" t="s">
        <v>745</v>
      </c>
      <c r="P806" t="s">
        <v>1887</v>
      </c>
      <c r="Q806" t="s">
        <v>575</v>
      </c>
      <c r="R806" t="s">
        <v>150</v>
      </c>
      <c r="S806" t="s">
        <v>145</v>
      </c>
      <c r="U806">
        <v>0</v>
      </c>
      <c r="V806" t="s">
        <v>544</v>
      </c>
      <c r="W806" t="s">
        <v>558</v>
      </c>
      <c r="X806" s="784">
        <v>680289736.30082119</v>
      </c>
    </row>
    <row r="807" spans="1:24">
      <c r="A807" t="s">
        <v>358</v>
      </c>
      <c r="B807" t="s">
        <v>611</v>
      </c>
      <c r="C807" t="s">
        <v>216</v>
      </c>
      <c r="D807" t="s">
        <v>132</v>
      </c>
      <c r="E807" t="s">
        <v>377</v>
      </c>
      <c r="F807" t="s">
        <v>383</v>
      </c>
      <c r="G807" t="s">
        <v>333</v>
      </c>
      <c r="H807" t="s">
        <v>333</v>
      </c>
      <c r="I807" t="s">
        <v>743</v>
      </c>
      <c r="J807" t="s">
        <v>746</v>
      </c>
      <c r="K807" t="s">
        <v>546</v>
      </c>
      <c r="L807" s="784">
        <v>0</v>
      </c>
      <c r="M807" t="s">
        <v>745</v>
      </c>
      <c r="P807" t="s">
        <v>1887</v>
      </c>
      <c r="Q807" t="s">
        <v>406</v>
      </c>
      <c r="R807" t="s">
        <v>150</v>
      </c>
      <c r="S807" t="s">
        <v>145</v>
      </c>
      <c r="U807">
        <v>0</v>
      </c>
      <c r="V807" t="s">
        <v>544</v>
      </c>
      <c r="W807" t="s">
        <v>546</v>
      </c>
      <c r="X807" s="784">
        <v>26554332750.47023</v>
      </c>
    </row>
    <row r="808" spans="1:24">
      <c r="A808" t="s">
        <v>358</v>
      </c>
      <c r="B808" t="s">
        <v>612</v>
      </c>
      <c r="C808" t="s">
        <v>217</v>
      </c>
      <c r="D808" t="s">
        <v>126</v>
      </c>
      <c r="E808" t="s">
        <v>377</v>
      </c>
      <c r="F808" t="s">
        <v>383</v>
      </c>
      <c r="G808" t="s">
        <v>333</v>
      </c>
      <c r="H808" t="s">
        <v>333</v>
      </c>
      <c r="I808" t="s">
        <v>743</v>
      </c>
      <c r="J808" t="s">
        <v>746</v>
      </c>
      <c r="K808" t="s">
        <v>546</v>
      </c>
      <c r="L808" s="784">
        <v>4730000.0000000186</v>
      </c>
      <c r="M808" t="s">
        <v>745</v>
      </c>
      <c r="P808" t="s">
        <v>1887</v>
      </c>
      <c r="Q808" t="s">
        <v>406</v>
      </c>
      <c r="R808" t="s">
        <v>150</v>
      </c>
      <c r="S808" t="s">
        <v>145</v>
      </c>
      <c r="U808">
        <v>0</v>
      </c>
      <c r="V808" t="s">
        <v>544</v>
      </c>
      <c r="W808" t="s">
        <v>546</v>
      </c>
      <c r="X808" s="784">
        <v>14745961064.890842</v>
      </c>
    </row>
    <row r="809" spans="1:24">
      <c r="A809" t="s">
        <v>358</v>
      </c>
      <c r="B809" t="s">
        <v>613</v>
      </c>
      <c r="C809" t="s">
        <v>149</v>
      </c>
      <c r="D809" t="s">
        <v>131</v>
      </c>
      <c r="E809" t="s">
        <v>377</v>
      </c>
      <c r="F809" t="s">
        <v>383</v>
      </c>
      <c r="G809" t="s">
        <v>333</v>
      </c>
      <c r="H809" t="s">
        <v>333</v>
      </c>
      <c r="I809" t="s">
        <v>743</v>
      </c>
      <c r="J809" t="s">
        <v>746</v>
      </c>
      <c r="K809" t="s">
        <v>546</v>
      </c>
      <c r="L809" s="784" t="s">
        <v>575</v>
      </c>
      <c r="M809" t="s">
        <v>745</v>
      </c>
      <c r="P809" t="s">
        <v>1887</v>
      </c>
      <c r="Q809" t="s">
        <v>575</v>
      </c>
      <c r="R809" t="s">
        <v>150</v>
      </c>
      <c r="S809" t="s">
        <v>146</v>
      </c>
      <c r="U809">
        <v>0</v>
      </c>
      <c r="V809" t="s">
        <v>544</v>
      </c>
      <c r="W809" t="s">
        <v>546</v>
      </c>
      <c r="X809" s="784">
        <v>18194076299.786381</v>
      </c>
    </row>
    <row r="810" spans="1:24">
      <c r="A810" t="s">
        <v>358</v>
      </c>
      <c r="B810" t="s">
        <v>614</v>
      </c>
      <c r="C810" t="s">
        <v>218</v>
      </c>
      <c r="D810" t="s">
        <v>131</v>
      </c>
      <c r="E810" t="s">
        <v>377</v>
      </c>
      <c r="F810" t="s">
        <v>383</v>
      </c>
      <c r="G810" t="s">
        <v>333</v>
      </c>
      <c r="H810" t="s">
        <v>333</v>
      </c>
      <c r="I810" t="s">
        <v>743</v>
      </c>
      <c r="J810" t="s">
        <v>746</v>
      </c>
      <c r="K810" t="s">
        <v>546</v>
      </c>
      <c r="L810" s="784" t="s">
        <v>575</v>
      </c>
      <c r="M810" t="s">
        <v>745</v>
      </c>
      <c r="P810" t="s">
        <v>1887</v>
      </c>
      <c r="Q810" t="s">
        <v>575</v>
      </c>
      <c r="R810" t="s">
        <v>152</v>
      </c>
      <c r="S810" t="s">
        <v>146</v>
      </c>
      <c r="U810">
        <v>0</v>
      </c>
      <c r="V810" t="s">
        <v>544</v>
      </c>
      <c r="W810" t="s">
        <v>546</v>
      </c>
      <c r="X810" s="784">
        <v>4428819387.769825</v>
      </c>
    </row>
    <row r="811" spans="1:24">
      <c r="A811" t="s">
        <v>358</v>
      </c>
      <c r="B811" t="s">
        <v>615</v>
      </c>
      <c r="C811" t="s">
        <v>219</v>
      </c>
      <c r="D811" t="s">
        <v>130</v>
      </c>
      <c r="E811" t="s">
        <v>377</v>
      </c>
      <c r="F811" t="s">
        <v>383</v>
      </c>
      <c r="G811" t="s">
        <v>333</v>
      </c>
      <c r="H811" t="s">
        <v>333</v>
      </c>
      <c r="I811" t="s">
        <v>743</v>
      </c>
      <c r="J811" t="s">
        <v>746</v>
      </c>
      <c r="K811" t="s">
        <v>546</v>
      </c>
      <c r="L811" s="784" t="s">
        <v>575</v>
      </c>
      <c r="M811" t="s">
        <v>745</v>
      </c>
      <c r="P811" t="s">
        <v>1887</v>
      </c>
      <c r="Q811" t="s">
        <v>575</v>
      </c>
      <c r="R811" t="s">
        <v>152</v>
      </c>
      <c r="S811" t="s">
        <v>146</v>
      </c>
      <c r="U811">
        <v>0</v>
      </c>
      <c r="V811" t="s">
        <v>541</v>
      </c>
      <c r="W811" t="s">
        <v>575</v>
      </c>
      <c r="X811" s="784">
        <v>611739560.62679195</v>
      </c>
    </row>
    <row r="812" spans="1:24">
      <c r="A812" t="s">
        <v>358</v>
      </c>
      <c r="B812" t="s">
        <v>616</v>
      </c>
      <c r="C812" t="s">
        <v>220</v>
      </c>
      <c r="D812" t="s">
        <v>131</v>
      </c>
      <c r="E812" t="s">
        <v>377</v>
      </c>
      <c r="F812" t="s">
        <v>383</v>
      </c>
      <c r="G812" t="s">
        <v>333</v>
      </c>
      <c r="H812" t="s">
        <v>333</v>
      </c>
      <c r="I812" t="s">
        <v>743</v>
      </c>
      <c r="J812" t="s">
        <v>746</v>
      </c>
      <c r="K812" t="s">
        <v>546</v>
      </c>
      <c r="L812" s="784" t="s">
        <v>575</v>
      </c>
      <c r="M812" t="s">
        <v>745</v>
      </c>
      <c r="P812" t="s">
        <v>1887</v>
      </c>
      <c r="Q812" t="s">
        <v>575</v>
      </c>
      <c r="R812" t="s">
        <v>152</v>
      </c>
      <c r="S812" t="s">
        <v>146</v>
      </c>
      <c r="U812">
        <v>0</v>
      </c>
      <c r="V812" t="s">
        <v>544</v>
      </c>
      <c r="W812" t="s">
        <v>546</v>
      </c>
      <c r="X812" s="784">
        <v>1617913383.0481031</v>
      </c>
    </row>
    <row r="813" spans="1:24">
      <c r="A813" t="s">
        <v>358</v>
      </c>
      <c r="B813" t="s">
        <v>617</v>
      </c>
      <c r="C813" t="s">
        <v>221</v>
      </c>
      <c r="D813" t="s">
        <v>127</v>
      </c>
      <c r="E813" t="s">
        <v>377</v>
      </c>
      <c r="F813" t="s">
        <v>383</v>
      </c>
      <c r="G813" t="s">
        <v>333</v>
      </c>
      <c r="H813" t="s">
        <v>333</v>
      </c>
      <c r="I813" t="s">
        <v>743</v>
      </c>
      <c r="J813" t="s">
        <v>746</v>
      </c>
      <c r="K813" t="s">
        <v>546</v>
      </c>
      <c r="L813" s="784" t="s">
        <v>575</v>
      </c>
      <c r="M813" t="s">
        <v>745</v>
      </c>
      <c r="P813" t="s">
        <v>1887</v>
      </c>
      <c r="Q813" t="s">
        <v>575</v>
      </c>
      <c r="R813" t="s">
        <v>152</v>
      </c>
      <c r="S813" t="s">
        <v>146</v>
      </c>
      <c r="U813">
        <v>0</v>
      </c>
      <c r="V813" t="s">
        <v>544</v>
      </c>
      <c r="W813" t="s">
        <v>575</v>
      </c>
      <c r="X813" s="784">
        <v>3074419112.4562683</v>
      </c>
    </row>
    <row r="814" spans="1:24">
      <c r="A814" t="s">
        <v>358</v>
      </c>
      <c r="B814" t="s">
        <v>618</v>
      </c>
      <c r="C814" t="s">
        <v>222</v>
      </c>
      <c r="D814" t="s">
        <v>128</v>
      </c>
      <c r="E814" t="s">
        <v>377</v>
      </c>
      <c r="F814" t="s">
        <v>383</v>
      </c>
      <c r="G814" t="s">
        <v>333</v>
      </c>
      <c r="H814" t="s">
        <v>333</v>
      </c>
      <c r="I814" t="s">
        <v>743</v>
      </c>
      <c r="J814" t="s">
        <v>746</v>
      </c>
      <c r="K814" t="s">
        <v>546</v>
      </c>
      <c r="L814" s="784" t="s">
        <v>575</v>
      </c>
      <c r="M814" t="s">
        <v>745</v>
      </c>
      <c r="P814" t="s">
        <v>1887</v>
      </c>
      <c r="Q814" t="s">
        <v>575</v>
      </c>
      <c r="R814" t="s">
        <v>150</v>
      </c>
      <c r="S814" t="s">
        <v>145</v>
      </c>
      <c r="U814">
        <v>0</v>
      </c>
      <c r="V814" t="s">
        <v>544</v>
      </c>
      <c r="W814" t="s">
        <v>542</v>
      </c>
      <c r="X814" s="784">
        <v>1914014279.8929913</v>
      </c>
    </row>
    <row r="815" spans="1:24">
      <c r="A815" t="s">
        <v>358</v>
      </c>
      <c r="B815" t="s">
        <v>619</v>
      </c>
      <c r="C815" t="s">
        <v>223</v>
      </c>
      <c r="D815" t="s">
        <v>126</v>
      </c>
      <c r="E815" t="s">
        <v>377</v>
      </c>
      <c r="F815" t="s">
        <v>383</v>
      </c>
      <c r="G815" t="s">
        <v>333</v>
      </c>
      <c r="H815" t="s">
        <v>333</v>
      </c>
      <c r="I815" t="s">
        <v>743</v>
      </c>
      <c r="J815" t="s">
        <v>746</v>
      </c>
      <c r="K815" t="s">
        <v>546</v>
      </c>
      <c r="L815" s="784" t="s">
        <v>575</v>
      </c>
      <c r="M815" t="s">
        <v>745</v>
      </c>
      <c r="P815" t="s">
        <v>1887</v>
      </c>
      <c r="Q815" t="s">
        <v>575</v>
      </c>
      <c r="R815" t="s">
        <v>150</v>
      </c>
      <c r="S815" t="s">
        <v>145</v>
      </c>
      <c r="U815">
        <v>0</v>
      </c>
      <c r="V815" t="s">
        <v>541</v>
      </c>
      <c r="W815" t="s">
        <v>542</v>
      </c>
      <c r="X815" s="784">
        <v>17422005.762907442</v>
      </c>
    </row>
    <row r="816" spans="1:24">
      <c r="A816" t="s">
        <v>358</v>
      </c>
      <c r="B816" t="s">
        <v>620</v>
      </c>
      <c r="C816" t="s">
        <v>224</v>
      </c>
      <c r="D816" t="s">
        <v>126</v>
      </c>
      <c r="E816" t="s">
        <v>377</v>
      </c>
      <c r="F816" t="s">
        <v>383</v>
      </c>
      <c r="G816" t="s">
        <v>333</v>
      </c>
      <c r="H816" t="s">
        <v>333</v>
      </c>
      <c r="I816" t="s">
        <v>743</v>
      </c>
      <c r="J816" t="s">
        <v>746</v>
      </c>
      <c r="K816" t="s">
        <v>546</v>
      </c>
      <c r="L816" s="784" t="s">
        <v>575</v>
      </c>
      <c r="M816" t="s">
        <v>745</v>
      </c>
      <c r="P816" t="s">
        <v>1887</v>
      </c>
      <c r="Q816" t="s">
        <v>575</v>
      </c>
      <c r="R816" t="s">
        <v>148</v>
      </c>
      <c r="S816" t="s">
        <v>145</v>
      </c>
      <c r="U816">
        <v>0</v>
      </c>
      <c r="V816" t="s">
        <v>544</v>
      </c>
      <c r="W816" t="s">
        <v>546</v>
      </c>
      <c r="X816" s="784" t="s">
        <v>575</v>
      </c>
    </row>
    <row r="817" spans="1:24">
      <c r="A817" t="s">
        <v>358</v>
      </c>
      <c r="B817" t="s">
        <v>621</v>
      </c>
      <c r="C817" t="s">
        <v>225</v>
      </c>
      <c r="D817" t="s">
        <v>127</v>
      </c>
      <c r="E817" t="s">
        <v>377</v>
      </c>
      <c r="F817" t="s">
        <v>383</v>
      </c>
      <c r="G817" t="s">
        <v>333</v>
      </c>
      <c r="H817" t="s">
        <v>333</v>
      </c>
      <c r="I817" t="s">
        <v>743</v>
      </c>
      <c r="J817" t="s">
        <v>746</v>
      </c>
      <c r="K817" t="s">
        <v>546</v>
      </c>
      <c r="L817" s="784" t="s">
        <v>575</v>
      </c>
      <c r="M817" t="s">
        <v>745</v>
      </c>
      <c r="P817" t="s">
        <v>1887</v>
      </c>
      <c r="Q817" t="s">
        <v>575</v>
      </c>
      <c r="R817" t="s">
        <v>152</v>
      </c>
      <c r="S817" t="s">
        <v>145</v>
      </c>
      <c r="U817">
        <v>0</v>
      </c>
      <c r="V817" t="s">
        <v>544</v>
      </c>
      <c r="W817" t="s">
        <v>548</v>
      </c>
      <c r="X817" s="784" t="s">
        <v>575</v>
      </c>
    </row>
    <row r="818" spans="1:24">
      <c r="A818" t="s">
        <v>358</v>
      </c>
      <c r="B818" t="s">
        <v>622</v>
      </c>
      <c r="C818" t="s">
        <v>226</v>
      </c>
      <c r="D818" t="s">
        <v>127</v>
      </c>
      <c r="E818" t="s">
        <v>377</v>
      </c>
      <c r="F818" t="s">
        <v>383</v>
      </c>
      <c r="G818" t="s">
        <v>333</v>
      </c>
      <c r="H818" t="s">
        <v>333</v>
      </c>
      <c r="I818" t="s">
        <v>743</v>
      </c>
      <c r="J818" t="s">
        <v>746</v>
      </c>
      <c r="K818" t="s">
        <v>546</v>
      </c>
      <c r="L818" s="784" t="s">
        <v>575</v>
      </c>
      <c r="M818" t="s">
        <v>745</v>
      </c>
      <c r="P818" t="s">
        <v>1887</v>
      </c>
      <c r="Q818" t="s">
        <v>575</v>
      </c>
      <c r="R818" t="s">
        <v>150</v>
      </c>
      <c r="S818" t="s">
        <v>145</v>
      </c>
      <c r="U818">
        <v>2</v>
      </c>
      <c r="V818" t="s">
        <v>544</v>
      </c>
      <c r="W818" t="s">
        <v>562</v>
      </c>
      <c r="X818" s="784">
        <v>231506834.84347546</v>
      </c>
    </row>
    <row r="819" spans="1:24">
      <c r="A819" t="s">
        <v>358</v>
      </c>
      <c r="B819" t="s">
        <v>623</v>
      </c>
      <c r="C819" t="s">
        <v>227</v>
      </c>
      <c r="D819" t="s">
        <v>126</v>
      </c>
      <c r="E819" t="s">
        <v>377</v>
      </c>
      <c r="F819" t="s">
        <v>383</v>
      </c>
      <c r="G819" t="s">
        <v>333</v>
      </c>
      <c r="H819" t="s">
        <v>333</v>
      </c>
      <c r="I819" t="s">
        <v>743</v>
      </c>
      <c r="J819" t="s">
        <v>746</v>
      </c>
      <c r="K819" t="s">
        <v>546</v>
      </c>
      <c r="L819" s="784" t="s">
        <v>575</v>
      </c>
      <c r="M819" t="s">
        <v>745</v>
      </c>
      <c r="P819" t="s">
        <v>1887</v>
      </c>
      <c r="Q819" t="s">
        <v>575</v>
      </c>
      <c r="R819" t="s">
        <v>150</v>
      </c>
      <c r="S819" t="s">
        <v>145</v>
      </c>
      <c r="U819">
        <v>0</v>
      </c>
      <c r="V819" t="s">
        <v>544</v>
      </c>
      <c r="W819" t="s">
        <v>542</v>
      </c>
      <c r="X819" s="784">
        <v>156059428.62944782</v>
      </c>
    </row>
    <row r="820" spans="1:24">
      <c r="A820" t="s">
        <v>358</v>
      </c>
      <c r="B820" t="s">
        <v>624</v>
      </c>
      <c r="C820" t="s">
        <v>228</v>
      </c>
      <c r="D820" t="s">
        <v>131</v>
      </c>
      <c r="E820" t="s">
        <v>377</v>
      </c>
      <c r="F820" t="s">
        <v>383</v>
      </c>
      <c r="G820" t="s">
        <v>333</v>
      </c>
      <c r="H820" t="s">
        <v>333</v>
      </c>
      <c r="I820" t="s">
        <v>743</v>
      </c>
      <c r="J820" t="s">
        <v>746</v>
      </c>
      <c r="K820" t="s">
        <v>546</v>
      </c>
      <c r="L820" s="784" t="s">
        <v>575</v>
      </c>
      <c r="M820" t="s">
        <v>745</v>
      </c>
      <c r="P820" t="s">
        <v>1887</v>
      </c>
      <c r="Q820" t="s">
        <v>575</v>
      </c>
      <c r="R820" t="s">
        <v>152</v>
      </c>
      <c r="S820" t="s">
        <v>146</v>
      </c>
      <c r="U820">
        <v>0</v>
      </c>
      <c r="V820" t="s">
        <v>544</v>
      </c>
      <c r="W820" t="s">
        <v>546</v>
      </c>
      <c r="X820" s="784">
        <v>2355391507.1635861</v>
      </c>
    </row>
    <row r="821" spans="1:24">
      <c r="A821" t="s">
        <v>358</v>
      </c>
      <c r="B821" t="s">
        <v>625</v>
      </c>
      <c r="C821" t="s">
        <v>229</v>
      </c>
      <c r="D821" t="s">
        <v>128</v>
      </c>
      <c r="E821" t="s">
        <v>377</v>
      </c>
      <c r="F821" t="s">
        <v>383</v>
      </c>
      <c r="G821" t="s">
        <v>333</v>
      </c>
      <c r="H821" t="s">
        <v>333</v>
      </c>
      <c r="I821" t="s">
        <v>743</v>
      </c>
      <c r="J821" t="s">
        <v>746</v>
      </c>
      <c r="K821" t="s">
        <v>546</v>
      </c>
      <c r="L821" s="784" t="s">
        <v>575</v>
      </c>
      <c r="M821" t="s">
        <v>745</v>
      </c>
      <c r="P821" t="s">
        <v>1887</v>
      </c>
      <c r="Q821" t="s">
        <v>575</v>
      </c>
      <c r="R821" t="s">
        <v>150</v>
      </c>
      <c r="S821" t="s">
        <v>145</v>
      </c>
      <c r="U821">
        <v>0</v>
      </c>
      <c r="V821" t="s">
        <v>544</v>
      </c>
      <c r="W821" t="s">
        <v>562</v>
      </c>
      <c r="X821" s="784">
        <v>152760919.7684873</v>
      </c>
    </row>
    <row r="822" spans="1:24">
      <c r="A822" t="s">
        <v>358</v>
      </c>
      <c r="B822" t="s">
        <v>626</v>
      </c>
      <c r="C822" t="s">
        <v>230</v>
      </c>
      <c r="D822" t="s">
        <v>129</v>
      </c>
      <c r="E822" t="s">
        <v>377</v>
      </c>
      <c r="F822" t="s">
        <v>383</v>
      </c>
      <c r="G822" t="s">
        <v>333</v>
      </c>
      <c r="H822" t="s">
        <v>333</v>
      </c>
      <c r="I822" t="s">
        <v>743</v>
      </c>
      <c r="J822" t="s">
        <v>746</v>
      </c>
      <c r="K822" t="s">
        <v>546</v>
      </c>
      <c r="L822" s="784" t="s">
        <v>575</v>
      </c>
      <c r="M822" t="s">
        <v>745</v>
      </c>
      <c r="P822" t="s">
        <v>1887</v>
      </c>
      <c r="Q822" t="s">
        <v>575</v>
      </c>
      <c r="R822" t="s">
        <v>148</v>
      </c>
      <c r="S822" t="s">
        <v>145</v>
      </c>
      <c r="U822">
        <v>0</v>
      </c>
      <c r="V822" t="s">
        <v>544</v>
      </c>
      <c r="W822" t="s">
        <v>542</v>
      </c>
      <c r="X822" s="784">
        <v>55072006.864440605</v>
      </c>
    </row>
    <row r="823" spans="1:24">
      <c r="A823" t="s">
        <v>358</v>
      </c>
      <c r="B823" t="s">
        <v>627</v>
      </c>
      <c r="C823" t="s">
        <v>231</v>
      </c>
      <c r="D823" t="s">
        <v>131</v>
      </c>
      <c r="E823" t="s">
        <v>377</v>
      </c>
      <c r="F823" t="s">
        <v>383</v>
      </c>
      <c r="G823" t="s">
        <v>333</v>
      </c>
      <c r="H823" t="s">
        <v>333</v>
      </c>
      <c r="I823" t="s">
        <v>743</v>
      </c>
      <c r="J823" t="s">
        <v>746</v>
      </c>
      <c r="K823" t="s">
        <v>546</v>
      </c>
      <c r="L823" s="784" t="s">
        <v>575</v>
      </c>
      <c r="M823" t="s">
        <v>745</v>
      </c>
      <c r="P823" t="s">
        <v>1887</v>
      </c>
      <c r="Q823" t="s">
        <v>575</v>
      </c>
      <c r="R823" t="s">
        <v>152</v>
      </c>
      <c r="S823" t="s">
        <v>146</v>
      </c>
      <c r="U823">
        <v>0</v>
      </c>
      <c r="V823" t="s">
        <v>544</v>
      </c>
      <c r="W823" t="s">
        <v>546</v>
      </c>
      <c r="X823" s="784" t="s">
        <v>575</v>
      </c>
    </row>
    <row r="824" spans="1:24">
      <c r="A824" t="s">
        <v>358</v>
      </c>
      <c r="B824" t="s">
        <v>628</v>
      </c>
      <c r="C824" t="s">
        <v>232</v>
      </c>
      <c r="D824" t="s">
        <v>128</v>
      </c>
      <c r="E824" t="s">
        <v>377</v>
      </c>
      <c r="F824" t="s">
        <v>383</v>
      </c>
      <c r="G824" t="s">
        <v>333</v>
      </c>
      <c r="H824" t="s">
        <v>333</v>
      </c>
      <c r="I824" t="s">
        <v>743</v>
      </c>
      <c r="J824" t="s">
        <v>746</v>
      </c>
      <c r="K824" t="s">
        <v>546</v>
      </c>
      <c r="L824" s="784" t="s">
        <v>575</v>
      </c>
      <c r="M824" t="s">
        <v>745</v>
      </c>
      <c r="P824" t="s">
        <v>1887</v>
      </c>
      <c r="Q824" t="s">
        <v>575</v>
      </c>
      <c r="R824" t="s">
        <v>148</v>
      </c>
      <c r="S824" t="s">
        <v>145</v>
      </c>
      <c r="U824">
        <v>2</v>
      </c>
      <c r="V824" t="s">
        <v>544</v>
      </c>
      <c r="W824" t="s">
        <v>562</v>
      </c>
      <c r="X824" s="784">
        <v>206914157.05429548</v>
      </c>
    </row>
    <row r="825" spans="1:24">
      <c r="A825" t="s">
        <v>358</v>
      </c>
      <c r="B825" t="s">
        <v>629</v>
      </c>
      <c r="C825" t="s">
        <v>233</v>
      </c>
      <c r="D825" t="s">
        <v>128</v>
      </c>
      <c r="E825" t="s">
        <v>377</v>
      </c>
      <c r="F825" t="s">
        <v>383</v>
      </c>
      <c r="G825" t="s">
        <v>333</v>
      </c>
      <c r="H825" t="s">
        <v>333</v>
      </c>
      <c r="I825" t="s">
        <v>743</v>
      </c>
      <c r="J825" t="s">
        <v>746</v>
      </c>
      <c r="K825" t="s">
        <v>546</v>
      </c>
      <c r="L825" s="784" t="s">
        <v>575</v>
      </c>
      <c r="M825" t="s">
        <v>745</v>
      </c>
      <c r="P825" t="s">
        <v>1887</v>
      </c>
      <c r="Q825" t="s">
        <v>575</v>
      </c>
      <c r="R825" t="s">
        <v>148</v>
      </c>
      <c r="S825" t="s">
        <v>145</v>
      </c>
      <c r="U825">
        <v>2</v>
      </c>
      <c r="V825" t="s">
        <v>544</v>
      </c>
      <c r="W825" t="s">
        <v>542</v>
      </c>
      <c r="X825" s="784">
        <v>185999915.02066413</v>
      </c>
    </row>
    <row r="826" spans="1:24">
      <c r="A826" t="s">
        <v>358</v>
      </c>
      <c r="B826" t="s">
        <v>630</v>
      </c>
      <c r="C826" t="s">
        <v>234</v>
      </c>
      <c r="D826" t="s">
        <v>126</v>
      </c>
      <c r="E826" t="s">
        <v>377</v>
      </c>
      <c r="F826" t="s">
        <v>383</v>
      </c>
      <c r="G826" t="s">
        <v>333</v>
      </c>
      <c r="H826" t="s">
        <v>333</v>
      </c>
      <c r="I826" t="s">
        <v>743</v>
      </c>
      <c r="J826" t="s">
        <v>746</v>
      </c>
      <c r="K826" t="s">
        <v>546</v>
      </c>
      <c r="L826" s="784" t="s">
        <v>575</v>
      </c>
      <c r="M826" t="s">
        <v>745</v>
      </c>
      <c r="P826" t="s">
        <v>1887</v>
      </c>
      <c r="Q826" t="s">
        <v>575</v>
      </c>
      <c r="R826" t="s">
        <v>152</v>
      </c>
      <c r="S826" t="s">
        <v>146</v>
      </c>
      <c r="U826">
        <v>0</v>
      </c>
      <c r="V826" t="s">
        <v>544</v>
      </c>
      <c r="W826" t="s">
        <v>575</v>
      </c>
      <c r="X826" s="784">
        <v>6893755763.2501726</v>
      </c>
    </row>
    <row r="827" spans="1:24">
      <c r="A827" t="s">
        <v>358</v>
      </c>
      <c r="B827" t="s">
        <v>631</v>
      </c>
      <c r="C827" t="s">
        <v>235</v>
      </c>
      <c r="D827" t="s">
        <v>132</v>
      </c>
      <c r="E827" t="s">
        <v>377</v>
      </c>
      <c r="F827" t="s">
        <v>383</v>
      </c>
      <c r="G827" t="s">
        <v>333</v>
      </c>
      <c r="H827" t="s">
        <v>333</v>
      </c>
      <c r="I827" t="s">
        <v>743</v>
      </c>
      <c r="J827" t="s">
        <v>746</v>
      </c>
      <c r="K827" t="s">
        <v>546</v>
      </c>
      <c r="L827" s="784">
        <v>0</v>
      </c>
      <c r="M827" t="s">
        <v>745</v>
      </c>
      <c r="P827" t="s">
        <v>1887</v>
      </c>
      <c r="Q827" t="s">
        <v>838</v>
      </c>
      <c r="R827" t="s">
        <v>152</v>
      </c>
      <c r="S827" t="s">
        <v>145</v>
      </c>
      <c r="U827">
        <v>0</v>
      </c>
      <c r="V827" t="s">
        <v>541</v>
      </c>
      <c r="W827" t="s">
        <v>542</v>
      </c>
      <c r="X827" s="784">
        <v>354560231.58276606</v>
      </c>
    </row>
    <row r="828" spans="1:24">
      <c r="A828" t="s">
        <v>358</v>
      </c>
      <c r="B828" t="s">
        <v>632</v>
      </c>
      <c r="C828" t="s">
        <v>236</v>
      </c>
      <c r="D828" t="s">
        <v>129</v>
      </c>
      <c r="E828" t="s">
        <v>377</v>
      </c>
      <c r="F828" t="s">
        <v>383</v>
      </c>
      <c r="G828" t="s">
        <v>333</v>
      </c>
      <c r="H828" t="s">
        <v>333</v>
      </c>
      <c r="I828" t="s">
        <v>743</v>
      </c>
      <c r="J828" t="s">
        <v>746</v>
      </c>
      <c r="K828" t="s">
        <v>546</v>
      </c>
      <c r="L828" s="784" t="s">
        <v>575</v>
      </c>
      <c r="M828" t="s">
        <v>745</v>
      </c>
      <c r="P828" t="s">
        <v>1887</v>
      </c>
      <c r="Q828" t="s">
        <v>575</v>
      </c>
      <c r="R828" t="s">
        <v>148</v>
      </c>
      <c r="S828" t="s">
        <v>145</v>
      </c>
      <c r="U828">
        <v>1</v>
      </c>
      <c r="V828" t="s">
        <v>544</v>
      </c>
      <c r="W828" t="s">
        <v>562</v>
      </c>
      <c r="X828" s="784">
        <v>188169167.56540567</v>
      </c>
    </row>
    <row r="829" spans="1:24">
      <c r="A829" t="s">
        <v>358</v>
      </c>
      <c r="B829" t="s">
        <v>633</v>
      </c>
      <c r="C829" t="s">
        <v>237</v>
      </c>
      <c r="D829" t="s">
        <v>126</v>
      </c>
      <c r="E829" t="s">
        <v>377</v>
      </c>
      <c r="F829" t="s">
        <v>383</v>
      </c>
      <c r="G829" t="s">
        <v>333</v>
      </c>
      <c r="H829" t="s">
        <v>333</v>
      </c>
      <c r="I829" t="s">
        <v>743</v>
      </c>
      <c r="J829" t="s">
        <v>746</v>
      </c>
      <c r="K829" t="s">
        <v>546</v>
      </c>
      <c r="L829" s="784" t="s">
        <v>575</v>
      </c>
      <c r="M829" t="s">
        <v>745</v>
      </c>
      <c r="P829" t="s">
        <v>1887</v>
      </c>
      <c r="Q829" t="s">
        <v>575</v>
      </c>
      <c r="R829" t="s">
        <v>152</v>
      </c>
      <c r="S829" t="s">
        <v>145</v>
      </c>
      <c r="U829">
        <v>0</v>
      </c>
      <c r="V829" t="s">
        <v>541</v>
      </c>
      <c r="W829" t="s">
        <v>575</v>
      </c>
      <c r="X829" s="784">
        <v>16312106.556340856</v>
      </c>
    </row>
    <row r="830" spans="1:24">
      <c r="A830" t="s">
        <v>358</v>
      </c>
      <c r="B830" t="s">
        <v>634</v>
      </c>
      <c r="C830" t="s">
        <v>238</v>
      </c>
      <c r="D830" t="s">
        <v>129</v>
      </c>
      <c r="E830" t="s">
        <v>377</v>
      </c>
      <c r="F830" t="s">
        <v>383</v>
      </c>
      <c r="G830" t="s">
        <v>333</v>
      </c>
      <c r="H830" t="s">
        <v>333</v>
      </c>
      <c r="I830" t="s">
        <v>743</v>
      </c>
      <c r="J830" t="s">
        <v>746</v>
      </c>
      <c r="K830" t="s">
        <v>546</v>
      </c>
      <c r="L830" s="784" t="s">
        <v>575</v>
      </c>
      <c r="M830" t="s">
        <v>745</v>
      </c>
      <c r="P830" t="s">
        <v>1887</v>
      </c>
      <c r="Q830" t="s">
        <v>575</v>
      </c>
      <c r="R830" t="s">
        <v>150</v>
      </c>
      <c r="S830" t="s">
        <v>145</v>
      </c>
      <c r="U830">
        <v>2</v>
      </c>
      <c r="V830" t="s">
        <v>544</v>
      </c>
      <c r="W830" t="s">
        <v>542</v>
      </c>
      <c r="X830" s="784">
        <v>86083833.534053758</v>
      </c>
    </row>
    <row r="831" spans="1:24">
      <c r="A831" t="s">
        <v>358</v>
      </c>
      <c r="B831" t="s">
        <v>635</v>
      </c>
      <c r="C831" t="s">
        <v>239</v>
      </c>
      <c r="D831" t="s">
        <v>128</v>
      </c>
      <c r="E831" t="s">
        <v>377</v>
      </c>
      <c r="F831" t="s">
        <v>383</v>
      </c>
      <c r="G831" t="s">
        <v>333</v>
      </c>
      <c r="H831" t="s">
        <v>333</v>
      </c>
      <c r="I831" t="s">
        <v>743</v>
      </c>
      <c r="J831" t="s">
        <v>746</v>
      </c>
      <c r="K831" t="s">
        <v>546</v>
      </c>
      <c r="L831" s="784" t="s">
        <v>575</v>
      </c>
      <c r="M831" t="s">
        <v>745</v>
      </c>
      <c r="P831" t="s">
        <v>1887</v>
      </c>
      <c r="Q831" t="s">
        <v>575</v>
      </c>
      <c r="R831" t="s">
        <v>152</v>
      </c>
      <c r="S831" t="s">
        <v>146</v>
      </c>
      <c r="U831">
        <v>0</v>
      </c>
      <c r="V831" t="s">
        <v>541</v>
      </c>
      <c r="W831" t="s">
        <v>546</v>
      </c>
      <c r="X831" s="784">
        <v>357220835.93762809</v>
      </c>
    </row>
    <row r="832" spans="1:24">
      <c r="A832" t="s">
        <v>358</v>
      </c>
      <c r="B832" t="s">
        <v>636</v>
      </c>
      <c r="C832" t="s">
        <v>240</v>
      </c>
      <c r="D832" t="s">
        <v>130</v>
      </c>
      <c r="E832" t="s">
        <v>377</v>
      </c>
      <c r="F832" t="s">
        <v>383</v>
      </c>
      <c r="G832" t="s">
        <v>333</v>
      </c>
      <c r="H832" t="s">
        <v>333</v>
      </c>
      <c r="I832" t="s">
        <v>743</v>
      </c>
      <c r="J832" t="s">
        <v>746</v>
      </c>
      <c r="K832" t="s">
        <v>546</v>
      </c>
      <c r="L832" s="784" t="s">
        <v>575</v>
      </c>
      <c r="M832" t="s">
        <v>745</v>
      </c>
      <c r="P832" t="s">
        <v>1887</v>
      </c>
      <c r="Q832" t="s">
        <v>575</v>
      </c>
      <c r="R832" t="s">
        <v>152</v>
      </c>
      <c r="S832" t="s">
        <v>146</v>
      </c>
      <c r="U832">
        <v>0</v>
      </c>
      <c r="V832" t="s">
        <v>544</v>
      </c>
      <c r="W832" t="s">
        <v>575</v>
      </c>
      <c r="X832" s="784">
        <v>32831598153.796387</v>
      </c>
    </row>
    <row r="833" spans="1:24">
      <c r="A833" t="s">
        <v>358</v>
      </c>
      <c r="B833" t="s">
        <v>637</v>
      </c>
      <c r="C833" t="s">
        <v>241</v>
      </c>
      <c r="D833" t="s">
        <v>126</v>
      </c>
      <c r="E833" t="s">
        <v>377</v>
      </c>
      <c r="F833" t="s">
        <v>383</v>
      </c>
      <c r="G833" t="s">
        <v>333</v>
      </c>
      <c r="H833" t="s">
        <v>333</v>
      </c>
      <c r="I833" t="s">
        <v>743</v>
      </c>
      <c r="J833" t="s">
        <v>746</v>
      </c>
      <c r="K833" t="s">
        <v>546</v>
      </c>
      <c r="L833" s="784" t="s">
        <v>575</v>
      </c>
      <c r="M833" t="s">
        <v>745</v>
      </c>
      <c r="P833" t="s">
        <v>1887</v>
      </c>
      <c r="Q833" t="s">
        <v>575</v>
      </c>
      <c r="R833" t="s">
        <v>150</v>
      </c>
      <c r="S833" t="s">
        <v>145</v>
      </c>
      <c r="U833">
        <v>0</v>
      </c>
      <c r="V833" t="s">
        <v>541</v>
      </c>
      <c r="W833" t="s">
        <v>542</v>
      </c>
      <c r="X833" s="784">
        <v>12329056.093798399</v>
      </c>
    </row>
    <row r="834" spans="1:24">
      <c r="A834" t="s">
        <v>358</v>
      </c>
      <c r="B834" t="s">
        <v>638</v>
      </c>
      <c r="C834" t="s">
        <v>242</v>
      </c>
      <c r="D834" t="s">
        <v>127</v>
      </c>
      <c r="E834" t="s">
        <v>377</v>
      </c>
      <c r="F834" t="s">
        <v>383</v>
      </c>
      <c r="G834" t="s">
        <v>333</v>
      </c>
      <c r="H834" t="s">
        <v>333</v>
      </c>
      <c r="I834" t="s">
        <v>743</v>
      </c>
      <c r="J834" t="s">
        <v>746</v>
      </c>
      <c r="K834" t="s">
        <v>546</v>
      </c>
      <c r="L834" s="784" t="s">
        <v>575</v>
      </c>
      <c r="M834" t="s">
        <v>745</v>
      </c>
      <c r="P834" t="s">
        <v>1887</v>
      </c>
      <c r="Q834" t="s">
        <v>575</v>
      </c>
      <c r="R834" t="s">
        <v>152</v>
      </c>
      <c r="S834" t="s">
        <v>145</v>
      </c>
      <c r="U834">
        <v>0</v>
      </c>
      <c r="V834" t="s">
        <v>544</v>
      </c>
      <c r="W834" t="s">
        <v>558</v>
      </c>
      <c r="X834" s="784">
        <v>426639742.85328001</v>
      </c>
    </row>
    <row r="835" spans="1:24">
      <c r="A835" t="s">
        <v>358</v>
      </c>
      <c r="B835" t="s">
        <v>639</v>
      </c>
      <c r="C835" t="s">
        <v>243</v>
      </c>
      <c r="D835" t="s">
        <v>126</v>
      </c>
      <c r="E835" t="s">
        <v>377</v>
      </c>
      <c r="F835" t="s">
        <v>383</v>
      </c>
      <c r="G835" t="s">
        <v>333</v>
      </c>
      <c r="H835" t="s">
        <v>333</v>
      </c>
      <c r="I835" t="s">
        <v>743</v>
      </c>
      <c r="J835" t="s">
        <v>746</v>
      </c>
      <c r="K835" t="s">
        <v>546</v>
      </c>
      <c r="L835" s="784">
        <v>1700000</v>
      </c>
      <c r="M835" t="s">
        <v>745</v>
      </c>
      <c r="P835" t="s">
        <v>1887</v>
      </c>
      <c r="Q835" t="s">
        <v>406</v>
      </c>
      <c r="R835" t="s">
        <v>150</v>
      </c>
      <c r="S835" t="s">
        <v>145</v>
      </c>
      <c r="U835">
        <v>0</v>
      </c>
      <c r="V835" t="s">
        <v>544</v>
      </c>
      <c r="W835" t="s">
        <v>548</v>
      </c>
      <c r="X835" s="784">
        <v>288519671.85870522</v>
      </c>
    </row>
    <row r="836" spans="1:24">
      <c r="A836" t="s">
        <v>358</v>
      </c>
      <c r="B836" t="s">
        <v>640</v>
      </c>
      <c r="C836" t="s">
        <v>244</v>
      </c>
      <c r="D836" t="s">
        <v>127</v>
      </c>
      <c r="E836" t="s">
        <v>377</v>
      </c>
      <c r="F836" t="s">
        <v>383</v>
      </c>
      <c r="G836" t="s">
        <v>333</v>
      </c>
      <c r="H836" t="s">
        <v>333</v>
      </c>
      <c r="I836" t="s">
        <v>743</v>
      </c>
      <c r="J836" t="s">
        <v>746</v>
      </c>
      <c r="K836" t="s">
        <v>546</v>
      </c>
      <c r="L836" s="784" t="s">
        <v>575</v>
      </c>
      <c r="M836" t="s">
        <v>745</v>
      </c>
      <c r="P836" t="s">
        <v>1887</v>
      </c>
      <c r="Q836" t="s">
        <v>575</v>
      </c>
      <c r="R836" t="s">
        <v>152</v>
      </c>
      <c r="S836" t="s">
        <v>146</v>
      </c>
      <c r="U836">
        <v>0</v>
      </c>
      <c r="V836" t="s">
        <v>544</v>
      </c>
      <c r="W836" t="s">
        <v>546</v>
      </c>
      <c r="X836" s="784">
        <v>275606560.78491527</v>
      </c>
    </row>
    <row r="837" spans="1:24">
      <c r="A837" t="s">
        <v>358</v>
      </c>
      <c r="B837" t="s">
        <v>641</v>
      </c>
      <c r="C837" t="s">
        <v>245</v>
      </c>
      <c r="D837" t="s">
        <v>131</v>
      </c>
      <c r="E837" t="s">
        <v>377</v>
      </c>
      <c r="F837" t="s">
        <v>383</v>
      </c>
      <c r="G837" t="s">
        <v>333</v>
      </c>
      <c r="H837" t="s">
        <v>333</v>
      </c>
      <c r="I837" t="s">
        <v>743</v>
      </c>
      <c r="J837" t="s">
        <v>746</v>
      </c>
      <c r="K837" t="s">
        <v>546</v>
      </c>
      <c r="L837" s="784" t="s">
        <v>575</v>
      </c>
      <c r="M837" t="s">
        <v>745</v>
      </c>
      <c r="P837" t="s">
        <v>1887</v>
      </c>
      <c r="Q837" t="s">
        <v>575</v>
      </c>
      <c r="R837" t="s">
        <v>150</v>
      </c>
      <c r="S837" t="s">
        <v>145</v>
      </c>
      <c r="U837">
        <v>0</v>
      </c>
      <c r="V837" t="s">
        <v>544</v>
      </c>
      <c r="W837" t="s">
        <v>546</v>
      </c>
      <c r="X837" s="784">
        <v>2530937679.3725696</v>
      </c>
    </row>
    <row r="838" spans="1:24">
      <c r="A838" t="s">
        <v>358</v>
      </c>
      <c r="B838" t="s">
        <v>642</v>
      </c>
      <c r="C838" t="s">
        <v>246</v>
      </c>
      <c r="D838" t="s">
        <v>128</v>
      </c>
      <c r="E838" t="s">
        <v>377</v>
      </c>
      <c r="F838" t="s">
        <v>383</v>
      </c>
      <c r="G838" t="s">
        <v>333</v>
      </c>
      <c r="H838" t="s">
        <v>333</v>
      </c>
      <c r="I838" t="s">
        <v>743</v>
      </c>
      <c r="J838" t="s">
        <v>746</v>
      </c>
      <c r="K838" t="s">
        <v>546</v>
      </c>
      <c r="L838" s="784" t="s">
        <v>575</v>
      </c>
      <c r="M838" t="s">
        <v>745</v>
      </c>
      <c r="P838" t="s">
        <v>1887</v>
      </c>
      <c r="Q838" t="s">
        <v>575</v>
      </c>
      <c r="R838" t="s">
        <v>148</v>
      </c>
      <c r="S838" t="s">
        <v>145</v>
      </c>
      <c r="U838">
        <v>0</v>
      </c>
      <c r="V838" t="s">
        <v>544</v>
      </c>
      <c r="W838" t="s">
        <v>583</v>
      </c>
      <c r="X838" s="784">
        <v>251432156.86255455</v>
      </c>
    </row>
    <row r="839" spans="1:24">
      <c r="A839" t="s">
        <v>358</v>
      </c>
      <c r="B839" t="s">
        <v>643</v>
      </c>
      <c r="C839" t="s">
        <v>247</v>
      </c>
      <c r="D839" t="s">
        <v>126</v>
      </c>
      <c r="E839" t="s">
        <v>377</v>
      </c>
      <c r="F839" t="s">
        <v>383</v>
      </c>
      <c r="G839" t="s">
        <v>333</v>
      </c>
      <c r="H839" t="s">
        <v>333</v>
      </c>
      <c r="I839" t="s">
        <v>743</v>
      </c>
      <c r="J839" t="s">
        <v>746</v>
      </c>
      <c r="K839" t="s">
        <v>546</v>
      </c>
      <c r="L839" s="784" t="s">
        <v>575</v>
      </c>
      <c r="M839" t="s">
        <v>745</v>
      </c>
      <c r="P839" t="s">
        <v>1887</v>
      </c>
      <c r="Q839" t="s">
        <v>575</v>
      </c>
      <c r="R839" t="s">
        <v>150</v>
      </c>
      <c r="S839" t="s">
        <v>145</v>
      </c>
      <c r="U839">
        <v>0</v>
      </c>
      <c r="V839" t="s">
        <v>544</v>
      </c>
      <c r="W839" t="s">
        <v>558</v>
      </c>
      <c r="X839" s="784">
        <v>471534500.60109437</v>
      </c>
    </row>
    <row r="840" spans="1:24">
      <c r="A840" t="s">
        <v>358</v>
      </c>
      <c r="B840" t="s">
        <v>644</v>
      </c>
      <c r="C840" t="s">
        <v>248</v>
      </c>
      <c r="D840" t="s">
        <v>128</v>
      </c>
      <c r="E840" t="s">
        <v>377</v>
      </c>
      <c r="F840" t="s">
        <v>383</v>
      </c>
      <c r="G840" t="s">
        <v>333</v>
      </c>
      <c r="H840" t="s">
        <v>333</v>
      </c>
      <c r="I840" t="s">
        <v>743</v>
      </c>
      <c r="J840" t="s">
        <v>746</v>
      </c>
      <c r="K840" t="s">
        <v>546</v>
      </c>
      <c r="L840" s="784" t="s">
        <v>575</v>
      </c>
      <c r="M840" t="s">
        <v>745</v>
      </c>
      <c r="P840" t="s">
        <v>1887</v>
      </c>
      <c r="Q840" t="s">
        <v>575</v>
      </c>
      <c r="R840" t="s">
        <v>152</v>
      </c>
      <c r="S840" t="s">
        <v>146</v>
      </c>
      <c r="U840">
        <v>0</v>
      </c>
      <c r="V840" t="s">
        <v>544</v>
      </c>
      <c r="W840" t="s">
        <v>575</v>
      </c>
      <c r="X840" s="784">
        <v>531677611.80447447</v>
      </c>
    </row>
    <row r="841" spans="1:24">
      <c r="A841" t="s">
        <v>358</v>
      </c>
      <c r="B841" t="s">
        <v>645</v>
      </c>
      <c r="C841" t="s">
        <v>249</v>
      </c>
      <c r="D841" t="s">
        <v>126</v>
      </c>
      <c r="E841" t="s">
        <v>377</v>
      </c>
      <c r="F841" t="s">
        <v>383</v>
      </c>
      <c r="G841" t="s">
        <v>333</v>
      </c>
      <c r="H841" t="s">
        <v>333</v>
      </c>
      <c r="I841" t="s">
        <v>743</v>
      </c>
      <c r="J841" t="s">
        <v>746</v>
      </c>
      <c r="K841" t="s">
        <v>546</v>
      </c>
      <c r="L841" s="784" t="s">
        <v>575</v>
      </c>
      <c r="M841" t="s">
        <v>745</v>
      </c>
      <c r="P841" t="s">
        <v>1887</v>
      </c>
      <c r="Q841" t="s">
        <v>575</v>
      </c>
      <c r="R841" t="s">
        <v>550</v>
      </c>
      <c r="S841" t="s">
        <v>146</v>
      </c>
      <c r="U841">
        <v>0</v>
      </c>
      <c r="V841" t="s">
        <v>541</v>
      </c>
      <c r="W841" t="s">
        <v>575</v>
      </c>
      <c r="X841" s="784">
        <v>8528751.6418357007</v>
      </c>
    </row>
    <row r="842" spans="1:24">
      <c r="A842" t="s">
        <v>358</v>
      </c>
      <c r="B842" t="s">
        <v>646</v>
      </c>
      <c r="C842" t="s">
        <v>250</v>
      </c>
      <c r="D842" t="s">
        <v>132</v>
      </c>
      <c r="E842" t="s">
        <v>377</v>
      </c>
      <c r="F842" t="s">
        <v>383</v>
      </c>
      <c r="G842" t="s">
        <v>333</v>
      </c>
      <c r="H842" t="s">
        <v>333</v>
      </c>
      <c r="I842" t="s">
        <v>743</v>
      </c>
      <c r="J842" t="s">
        <v>746</v>
      </c>
      <c r="K842" t="s">
        <v>546</v>
      </c>
      <c r="L842" s="784">
        <v>6000000</v>
      </c>
      <c r="M842" t="s">
        <v>745</v>
      </c>
      <c r="P842" t="s">
        <v>1887</v>
      </c>
      <c r="Q842" t="s">
        <v>406</v>
      </c>
      <c r="R842" t="s">
        <v>150</v>
      </c>
      <c r="S842" t="s">
        <v>145</v>
      </c>
      <c r="U842">
        <v>0</v>
      </c>
      <c r="V842" t="s">
        <v>544</v>
      </c>
      <c r="W842" t="s">
        <v>558</v>
      </c>
      <c r="X842" s="784">
        <v>407084543.19089872</v>
      </c>
    </row>
    <row r="843" spans="1:24">
      <c r="A843" t="s">
        <v>358</v>
      </c>
      <c r="B843" t="s">
        <v>647</v>
      </c>
      <c r="C843" t="s">
        <v>251</v>
      </c>
      <c r="D843" t="s">
        <v>130</v>
      </c>
      <c r="E843" t="s">
        <v>377</v>
      </c>
      <c r="F843" t="s">
        <v>383</v>
      </c>
      <c r="G843" t="s">
        <v>333</v>
      </c>
      <c r="H843" t="s">
        <v>333</v>
      </c>
      <c r="I843" t="s">
        <v>743</v>
      </c>
      <c r="J843" t="s">
        <v>746</v>
      </c>
      <c r="K843" t="s">
        <v>546</v>
      </c>
      <c r="L843" s="784" t="s">
        <v>575</v>
      </c>
      <c r="M843" t="s">
        <v>745</v>
      </c>
      <c r="P843" t="s">
        <v>1887</v>
      </c>
      <c r="Q843" t="s">
        <v>575</v>
      </c>
      <c r="R843" t="s">
        <v>150</v>
      </c>
      <c r="S843" t="s">
        <v>145</v>
      </c>
      <c r="U843">
        <v>0</v>
      </c>
      <c r="V843" t="s">
        <v>544</v>
      </c>
      <c r="W843" t="s">
        <v>562</v>
      </c>
      <c r="X843" s="784">
        <v>671998341.93592453</v>
      </c>
    </row>
    <row r="844" spans="1:24">
      <c r="A844" t="s">
        <v>358</v>
      </c>
      <c r="B844" t="s">
        <v>648</v>
      </c>
      <c r="C844" t="s">
        <v>252</v>
      </c>
      <c r="D844" t="s">
        <v>129</v>
      </c>
      <c r="E844" t="s">
        <v>377</v>
      </c>
      <c r="F844" t="s">
        <v>383</v>
      </c>
      <c r="G844" t="s">
        <v>333</v>
      </c>
      <c r="H844" t="s">
        <v>333</v>
      </c>
      <c r="I844" t="s">
        <v>743</v>
      </c>
      <c r="J844" t="s">
        <v>746</v>
      </c>
      <c r="K844" t="s">
        <v>546</v>
      </c>
      <c r="L844" s="784" t="s">
        <v>575</v>
      </c>
      <c r="M844" t="s">
        <v>745</v>
      </c>
      <c r="P844" t="s">
        <v>1887</v>
      </c>
      <c r="Q844" t="s">
        <v>575</v>
      </c>
      <c r="R844" t="s">
        <v>148</v>
      </c>
      <c r="S844" t="s">
        <v>145</v>
      </c>
      <c r="U844">
        <v>1</v>
      </c>
      <c r="V844" t="s">
        <v>544</v>
      </c>
      <c r="W844" t="s">
        <v>562</v>
      </c>
      <c r="X844" s="784">
        <v>226203289.67158964</v>
      </c>
    </row>
    <row r="845" spans="1:24">
      <c r="A845" t="s">
        <v>358</v>
      </c>
      <c r="B845" t="s">
        <v>649</v>
      </c>
      <c r="C845" t="s">
        <v>253</v>
      </c>
      <c r="D845" t="s">
        <v>129</v>
      </c>
      <c r="E845" t="s">
        <v>377</v>
      </c>
      <c r="F845" t="s">
        <v>383</v>
      </c>
      <c r="G845" t="s">
        <v>333</v>
      </c>
      <c r="H845" t="s">
        <v>333</v>
      </c>
      <c r="I845" t="s">
        <v>743</v>
      </c>
      <c r="J845" t="s">
        <v>746</v>
      </c>
      <c r="K845" t="s">
        <v>546</v>
      </c>
      <c r="L845" s="784" t="s">
        <v>575</v>
      </c>
      <c r="M845" t="s">
        <v>745</v>
      </c>
      <c r="P845" t="s">
        <v>1887</v>
      </c>
      <c r="Q845" t="s">
        <v>575</v>
      </c>
      <c r="R845" t="s">
        <v>150</v>
      </c>
      <c r="S845" t="s">
        <v>145</v>
      </c>
      <c r="U845">
        <v>3</v>
      </c>
      <c r="V845" t="s">
        <v>544</v>
      </c>
      <c r="W845" t="s">
        <v>548</v>
      </c>
      <c r="X845" s="784">
        <v>2438881113.1244688</v>
      </c>
    </row>
    <row r="846" spans="1:24">
      <c r="A846" t="s">
        <v>358</v>
      </c>
      <c r="B846" t="s">
        <v>650</v>
      </c>
      <c r="C846" t="s">
        <v>254</v>
      </c>
      <c r="D846" t="s">
        <v>127</v>
      </c>
      <c r="E846" t="s">
        <v>377</v>
      </c>
      <c r="F846" t="s">
        <v>383</v>
      </c>
      <c r="G846" t="s">
        <v>333</v>
      </c>
      <c r="H846" t="s">
        <v>333</v>
      </c>
      <c r="I846" t="s">
        <v>743</v>
      </c>
      <c r="J846" t="s">
        <v>746</v>
      </c>
      <c r="K846" t="s">
        <v>546</v>
      </c>
      <c r="L846" s="784" t="s">
        <v>575</v>
      </c>
      <c r="M846" t="s">
        <v>745</v>
      </c>
      <c r="P846" t="s">
        <v>1887</v>
      </c>
      <c r="Q846" t="s">
        <v>575</v>
      </c>
      <c r="R846" t="s">
        <v>152</v>
      </c>
      <c r="S846" t="s">
        <v>146</v>
      </c>
      <c r="U846">
        <v>0</v>
      </c>
      <c r="V846" t="s">
        <v>544</v>
      </c>
      <c r="W846" t="s">
        <v>575</v>
      </c>
      <c r="X846" s="784">
        <v>476517795.73174149</v>
      </c>
    </row>
    <row r="847" spans="1:24">
      <c r="A847" t="s">
        <v>358</v>
      </c>
      <c r="B847" t="s">
        <v>651</v>
      </c>
      <c r="C847" t="s">
        <v>255</v>
      </c>
      <c r="D847" t="s">
        <v>132</v>
      </c>
      <c r="E847" t="s">
        <v>377</v>
      </c>
      <c r="F847" t="s">
        <v>383</v>
      </c>
      <c r="G847" t="s">
        <v>333</v>
      </c>
      <c r="H847" t="s">
        <v>333</v>
      </c>
      <c r="I847" t="s">
        <v>743</v>
      </c>
      <c r="J847" t="s">
        <v>746</v>
      </c>
      <c r="K847" t="s">
        <v>546</v>
      </c>
      <c r="L847" s="784">
        <v>8300000.0000000009</v>
      </c>
      <c r="M847" t="s">
        <v>745</v>
      </c>
      <c r="P847" t="s">
        <v>1887</v>
      </c>
      <c r="Q847" t="s">
        <v>406</v>
      </c>
      <c r="R847" t="s">
        <v>150</v>
      </c>
      <c r="S847" t="s">
        <v>145</v>
      </c>
      <c r="U847">
        <v>0</v>
      </c>
      <c r="V847" t="s">
        <v>544</v>
      </c>
      <c r="W847" t="s">
        <v>548</v>
      </c>
      <c r="X847" s="784">
        <v>3233351297.7679496</v>
      </c>
    </row>
    <row r="848" spans="1:24">
      <c r="A848" t="s">
        <v>358</v>
      </c>
      <c r="B848" t="s">
        <v>652</v>
      </c>
      <c r="C848" t="s">
        <v>256</v>
      </c>
      <c r="D848" t="s">
        <v>130</v>
      </c>
      <c r="E848" t="s">
        <v>377</v>
      </c>
      <c r="F848" t="s">
        <v>383</v>
      </c>
      <c r="G848" t="s">
        <v>333</v>
      </c>
      <c r="H848" t="s">
        <v>333</v>
      </c>
      <c r="I848" t="s">
        <v>743</v>
      </c>
      <c r="J848" t="s">
        <v>746</v>
      </c>
      <c r="K848" t="s">
        <v>546</v>
      </c>
      <c r="L848" s="784" t="s">
        <v>575</v>
      </c>
      <c r="M848" t="s">
        <v>745</v>
      </c>
      <c r="P848" t="s">
        <v>1887</v>
      </c>
      <c r="Q848" t="s">
        <v>575</v>
      </c>
      <c r="R848" t="s">
        <v>550</v>
      </c>
      <c r="S848" t="s">
        <v>146</v>
      </c>
      <c r="U848">
        <v>0</v>
      </c>
      <c r="V848" t="s">
        <v>541</v>
      </c>
      <c r="W848" t="s">
        <v>575</v>
      </c>
      <c r="X848" s="784">
        <v>18180646.808608256</v>
      </c>
    </row>
    <row r="849" spans="1:24">
      <c r="A849" t="s">
        <v>358</v>
      </c>
      <c r="B849" t="s">
        <v>653</v>
      </c>
      <c r="C849" t="s">
        <v>257</v>
      </c>
      <c r="D849" t="s">
        <v>130</v>
      </c>
      <c r="E849" t="s">
        <v>377</v>
      </c>
      <c r="F849" t="s">
        <v>383</v>
      </c>
      <c r="G849" t="s">
        <v>333</v>
      </c>
      <c r="H849" t="s">
        <v>333</v>
      </c>
      <c r="I849" t="s">
        <v>743</v>
      </c>
      <c r="J849" t="s">
        <v>746</v>
      </c>
      <c r="K849" t="s">
        <v>546</v>
      </c>
      <c r="L849" s="784" t="s">
        <v>575</v>
      </c>
      <c r="M849" t="s">
        <v>745</v>
      </c>
      <c r="P849" t="s">
        <v>1887</v>
      </c>
      <c r="Q849" t="s">
        <v>575</v>
      </c>
      <c r="R849" t="s">
        <v>152</v>
      </c>
      <c r="S849" t="s">
        <v>146</v>
      </c>
      <c r="U849">
        <v>0</v>
      </c>
      <c r="V849" t="s">
        <v>544</v>
      </c>
      <c r="W849" t="s">
        <v>546</v>
      </c>
      <c r="X849" s="784">
        <v>3020530707.3485303</v>
      </c>
    </row>
    <row r="850" spans="1:24">
      <c r="A850" t="s">
        <v>358</v>
      </c>
      <c r="B850" t="s">
        <v>654</v>
      </c>
      <c r="C850" t="s">
        <v>258</v>
      </c>
      <c r="D850" t="s">
        <v>126</v>
      </c>
      <c r="E850" t="s">
        <v>377</v>
      </c>
      <c r="F850" t="s">
        <v>383</v>
      </c>
      <c r="G850" t="s">
        <v>333</v>
      </c>
      <c r="H850" t="s">
        <v>333</v>
      </c>
      <c r="I850" t="s">
        <v>743</v>
      </c>
      <c r="J850" t="s">
        <v>746</v>
      </c>
      <c r="K850" t="s">
        <v>546</v>
      </c>
      <c r="L850" s="784" t="s">
        <v>575</v>
      </c>
      <c r="M850" t="s">
        <v>745</v>
      </c>
      <c r="P850" t="s">
        <v>1887</v>
      </c>
      <c r="Q850" t="s">
        <v>575</v>
      </c>
      <c r="R850" t="s">
        <v>150</v>
      </c>
      <c r="S850" t="s">
        <v>145</v>
      </c>
      <c r="U850">
        <v>1</v>
      </c>
      <c r="V850" t="s">
        <v>541</v>
      </c>
      <c r="W850" t="s">
        <v>542</v>
      </c>
      <c r="X850" s="784">
        <v>384406316.46074712</v>
      </c>
    </row>
    <row r="851" spans="1:24">
      <c r="A851" t="s">
        <v>358</v>
      </c>
      <c r="B851" t="s">
        <v>655</v>
      </c>
      <c r="C851" t="s">
        <v>259</v>
      </c>
      <c r="D851" t="s">
        <v>130</v>
      </c>
      <c r="E851" t="s">
        <v>377</v>
      </c>
      <c r="F851" t="s">
        <v>383</v>
      </c>
      <c r="G851" t="s">
        <v>333</v>
      </c>
      <c r="H851" t="s">
        <v>333</v>
      </c>
      <c r="I851" t="s">
        <v>743</v>
      </c>
      <c r="J851" t="s">
        <v>746</v>
      </c>
      <c r="K851" t="s">
        <v>546</v>
      </c>
      <c r="L851" s="784" t="s">
        <v>575</v>
      </c>
      <c r="M851" t="s">
        <v>745</v>
      </c>
      <c r="P851" t="s">
        <v>1887</v>
      </c>
      <c r="Q851" t="s">
        <v>575</v>
      </c>
      <c r="R851" t="s">
        <v>152</v>
      </c>
      <c r="S851" t="s">
        <v>146</v>
      </c>
      <c r="U851">
        <v>0</v>
      </c>
      <c r="V851" t="s">
        <v>544</v>
      </c>
      <c r="W851" t="s">
        <v>575</v>
      </c>
      <c r="X851" s="784">
        <v>1218747108.9554784</v>
      </c>
    </row>
    <row r="852" spans="1:24">
      <c r="A852" t="s">
        <v>358</v>
      </c>
      <c r="B852" t="s">
        <v>656</v>
      </c>
      <c r="C852" t="s">
        <v>260</v>
      </c>
      <c r="D852" t="s">
        <v>130</v>
      </c>
      <c r="E852" t="s">
        <v>377</v>
      </c>
      <c r="F852" t="s">
        <v>383</v>
      </c>
      <c r="G852" t="s">
        <v>333</v>
      </c>
      <c r="H852" t="s">
        <v>333</v>
      </c>
      <c r="I852" t="s">
        <v>743</v>
      </c>
      <c r="J852" t="s">
        <v>746</v>
      </c>
      <c r="K852" t="s">
        <v>546</v>
      </c>
      <c r="L852" s="784" t="s">
        <v>575</v>
      </c>
      <c r="M852" t="s">
        <v>745</v>
      </c>
      <c r="P852" t="s">
        <v>1887</v>
      </c>
      <c r="Q852" t="s">
        <v>575</v>
      </c>
      <c r="R852" t="s">
        <v>152</v>
      </c>
      <c r="S852" t="s">
        <v>146</v>
      </c>
      <c r="U852">
        <v>0</v>
      </c>
      <c r="V852" t="s">
        <v>544</v>
      </c>
      <c r="W852" t="s">
        <v>575</v>
      </c>
      <c r="X852" s="784">
        <v>7392665952.5895758</v>
      </c>
    </row>
    <row r="853" spans="1:24">
      <c r="A853" t="s">
        <v>358</v>
      </c>
      <c r="B853" t="s">
        <v>657</v>
      </c>
      <c r="C853" t="s">
        <v>261</v>
      </c>
      <c r="D853" t="s">
        <v>126</v>
      </c>
      <c r="E853" t="s">
        <v>377</v>
      </c>
      <c r="F853" t="s">
        <v>383</v>
      </c>
      <c r="G853" t="s">
        <v>333</v>
      </c>
      <c r="H853" t="s">
        <v>333</v>
      </c>
      <c r="I853" t="s">
        <v>743</v>
      </c>
      <c r="J853" t="s">
        <v>746</v>
      </c>
      <c r="K853" t="s">
        <v>546</v>
      </c>
      <c r="L853" s="784">
        <v>37500000</v>
      </c>
      <c r="M853" t="s">
        <v>745</v>
      </c>
      <c r="P853" t="s">
        <v>1887</v>
      </c>
      <c r="Q853" t="s">
        <v>406</v>
      </c>
      <c r="R853" t="s">
        <v>150</v>
      </c>
      <c r="S853" t="s">
        <v>145</v>
      </c>
      <c r="U853">
        <v>0</v>
      </c>
      <c r="V853" t="s">
        <v>544</v>
      </c>
      <c r="W853" t="s">
        <v>546</v>
      </c>
      <c r="X853" s="784">
        <v>4754985988.6004429</v>
      </c>
    </row>
    <row r="854" spans="1:24">
      <c r="A854" t="s">
        <v>358</v>
      </c>
      <c r="B854" t="s">
        <v>658</v>
      </c>
      <c r="C854" t="s">
        <v>262</v>
      </c>
      <c r="D854" t="s">
        <v>127</v>
      </c>
      <c r="E854" t="s">
        <v>377</v>
      </c>
      <c r="F854" t="s">
        <v>383</v>
      </c>
      <c r="G854" t="s">
        <v>333</v>
      </c>
      <c r="H854" t="s">
        <v>333</v>
      </c>
      <c r="I854" t="s">
        <v>743</v>
      </c>
      <c r="J854" t="s">
        <v>746</v>
      </c>
      <c r="K854" t="s">
        <v>546</v>
      </c>
      <c r="L854" s="784" t="s">
        <v>575</v>
      </c>
      <c r="M854" t="s">
        <v>745</v>
      </c>
      <c r="P854" t="s">
        <v>1887</v>
      </c>
      <c r="Q854" t="s">
        <v>575</v>
      </c>
      <c r="R854" t="s">
        <v>550</v>
      </c>
      <c r="S854" t="s">
        <v>146</v>
      </c>
      <c r="U854">
        <v>0</v>
      </c>
      <c r="V854" t="s">
        <v>544</v>
      </c>
      <c r="W854" t="s">
        <v>575</v>
      </c>
      <c r="X854" s="784">
        <v>26422210443.037273</v>
      </c>
    </row>
    <row r="855" spans="1:24">
      <c r="A855" t="s">
        <v>358</v>
      </c>
      <c r="B855" t="s">
        <v>659</v>
      </c>
      <c r="C855" t="s">
        <v>151</v>
      </c>
      <c r="D855" t="s">
        <v>127</v>
      </c>
      <c r="E855" t="s">
        <v>377</v>
      </c>
      <c r="F855" t="s">
        <v>383</v>
      </c>
      <c r="G855" t="s">
        <v>333</v>
      </c>
      <c r="H855" t="s">
        <v>333</v>
      </c>
      <c r="I855" t="s">
        <v>743</v>
      </c>
      <c r="J855" t="s">
        <v>746</v>
      </c>
      <c r="K855" t="s">
        <v>546</v>
      </c>
      <c r="L855" s="784" t="s">
        <v>575</v>
      </c>
      <c r="M855" t="s">
        <v>745</v>
      </c>
      <c r="P855" t="s">
        <v>1887</v>
      </c>
      <c r="Q855" t="s">
        <v>575</v>
      </c>
      <c r="R855" t="s">
        <v>152</v>
      </c>
      <c r="S855" t="s">
        <v>146</v>
      </c>
      <c r="U855">
        <v>0</v>
      </c>
      <c r="V855" t="s">
        <v>544</v>
      </c>
      <c r="W855" t="s">
        <v>575</v>
      </c>
      <c r="X855" s="784">
        <v>10696495313.15033</v>
      </c>
    </row>
    <row r="856" spans="1:24">
      <c r="A856" t="s">
        <v>358</v>
      </c>
      <c r="B856" t="s">
        <v>660</v>
      </c>
      <c r="C856" t="s">
        <v>263</v>
      </c>
      <c r="D856" t="s">
        <v>127</v>
      </c>
      <c r="E856" t="s">
        <v>377</v>
      </c>
      <c r="F856" t="s">
        <v>383</v>
      </c>
      <c r="G856" t="s">
        <v>333</v>
      </c>
      <c r="H856" t="s">
        <v>333</v>
      </c>
      <c r="I856" t="s">
        <v>743</v>
      </c>
      <c r="J856" t="s">
        <v>746</v>
      </c>
      <c r="K856" t="s">
        <v>546</v>
      </c>
      <c r="L856" s="784" t="s">
        <v>575</v>
      </c>
      <c r="M856" t="s">
        <v>745</v>
      </c>
      <c r="P856" t="s">
        <v>1887</v>
      </c>
      <c r="Q856" t="s">
        <v>575</v>
      </c>
      <c r="R856" t="s">
        <v>152</v>
      </c>
      <c r="S856" t="s">
        <v>146</v>
      </c>
      <c r="U856">
        <v>0</v>
      </c>
      <c r="V856" t="s">
        <v>544</v>
      </c>
      <c r="W856" t="s">
        <v>575</v>
      </c>
      <c r="X856" s="784">
        <v>52769713433.240509</v>
      </c>
    </row>
    <row r="857" spans="1:24">
      <c r="A857" t="s">
        <v>358</v>
      </c>
      <c r="B857" t="s">
        <v>661</v>
      </c>
      <c r="C857" t="s">
        <v>264</v>
      </c>
      <c r="D857" t="s">
        <v>128</v>
      </c>
      <c r="E857" t="s">
        <v>377</v>
      </c>
      <c r="F857" t="s">
        <v>383</v>
      </c>
      <c r="G857" t="s">
        <v>333</v>
      </c>
      <c r="H857" t="s">
        <v>333</v>
      </c>
      <c r="I857" t="s">
        <v>743</v>
      </c>
      <c r="J857" t="s">
        <v>746</v>
      </c>
      <c r="K857" t="s">
        <v>546</v>
      </c>
      <c r="L857" s="784" t="s">
        <v>575</v>
      </c>
      <c r="M857" t="s">
        <v>745</v>
      </c>
      <c r="P857" t="s">
        <v>1887</v>
      </c>
      <c r="Q857" t="s">
        <v>575</v>
      </c>
      <c r="R857" t="s">
        <v>148</v>
      </c>
      <c r="S857" t="s">
        <v>145</v>
      </c>
      <c r="U857">
        <v>0</v>
      </c>
      <c r="V857" t="s">
        <v>544</v>
      </c>
      <c r="W857" t="s">
        <v>562</v>
      </c>
      <c r="X857" s="784">
        <v>225799814.51943746</v>
      </c>
    </row>
    <row r="858" spans="1:24">
      <c r="A858" t="s">
        <v>358</v>
      </c>
      <c r="B858" t="s">
        <v>662</v>
      </c>
      <c r="C858" t="s">
        <v>265</v>
      </c>
      <c r="D858" t="s">
        <v>126</v>
      </c>
      <c r="E858" t="s">
        <v>377</v>
      </c>
      <c r="F858" t="s">
        <v>383</v>
      </c>
      <c r="G858" t="s">
        <v>333</v>
      </c>
      <c r="H858" t="s">
        <v>333</v>
      </c>
      <c r="I858" t="s">
        <v>743</v>
      </c>
      <c r="J858" t="s">
        <v>746</v>
      </c>
      <c r="K858" t="s">
        <v>546</v>
      </c>
      <c r="L858" s="784">
        <v>2550000</v>
      </c>
      <c r="M858" t="s">
        <v>745</v>
      </c>
      <c r="P858" t="s">
        <v>1887</v>
      </c>
      <c r="Q858" t="s">
        <v>406</v>
      </c>
      <c r="R858" t="s">
        <v>150</v>
      </c>
      <c r="S858" t="s">
        <v>145</v>
      </c>
      <c r="U858">
        <v>0</v>
      </c>
      <c r="V858" t="s">
        <v>541</v>
      </c>
      <c r="W858" t="s">
        <v>542</v>
      </c>
      <c r="X858" s="784">
        <v>32192988.027009469</v>
      </c>
    </row>
    <row r="859" spans="1:24">
      <c r="A859" t="s">
        <v>358</v>
      </c>
      <c r="B859" t="s">
        <v>663</v>
      </c>
      <c r="C859" t="s">
        <v>266</v>
      </c>
      <c r="D859" t="s">
        <v>129</v>
      </c>
      <c r="E859" t="s">
        <v>377</v>
      </c>
      <c r="F859" t="s">
        <v>383</v>
      </c>
      <c r="G859" t="s">
        <v>333</v>
      </c>
      <c r="H859" t="s">
        <v>333</v>
      </c>
      <c r="I859" t="s">
        <v>743</v>
      </c>
      <c r="J859" t="s">
        <v>746</v>
      </c>
      <c r="K859" t="s">
        <v>546</v>
      </c>
      <c r="L859" s="784" t="s">
        <v>575</v>
      </c>
      <c r="M859" t="s">
        <v>745</v>
      </c>
      <c r="P859" t="s">
        <v>1887</v>
      </c>
      <c r="Q859" t="s">
        <v>575</v>
      </c>
      <c r="R859" t="s">
        <v>150</v>
      </c>
      <c r="S859" t="s">
        <v>145</v>
      </c>
      <c r="U859">
        <v>0</v>
      </c>
      <c r="V859" t="s">
        <v>541</v>
      </c>
      <c r="W859" t="s">
        <v>583</v>
      </c>
      <c r="X859" s="784">
        <v>11633535.136477679</v>
      </c>
    </row>
    <row r="860" spans="1:24">
      <c r="A860" t="s">
        <v>358</v>
      </c>
      <c r="B860" t="s">
        <v>664</v>
      </c>
      <c r="C860" t="s">
        <v>267</v>
      </c>
      <c r="D860" t="s">
        <v>129</v>
      </c>
      <c r="E860" t="s">
        <v>377</v>
      </c>
      <c r="F860" t="s">
        <v>383</v>
      </c>
      <c r="G860" t="s">
        <v>333</v>
      </c>
      <c r="H860" t="s">
        <v>333</v>
      </c>
      <c r="I860" t="s">
        <v>743</v>
      </c>
      <c r="J860" t="s">
        <v>746</v>
      </c>
      <c r="K860" t="s">
        <v>546</v>
      </c>
      <c r="L860" s="784" t="s">
        <v>575</v>
      </c>
      <c r="M860" t="s">
        <v>745</v>
      </c>
      <c r="P860" t="s">
        <v>1887</v>
      </c>
      <c r="Q860" t="s">
        <v>575</v>
      </c>
      <c r="R860" t="s">
        <v>150</v>
      </c>
      <c r="S860" t="s">
        <v>145</v>
      </c>
      <c r="U860">
        <v>2</v>
      </c>
      <c r="V860" t="s">
        <v>544</v>
      </c>
      <c r="W860" t="s">
        <v>562</v>
      </c>
      <c r="X860" s="784">
        <v>222008693.93354639</v>
      </c>
    </row>
    <row r="861" spans="1:24">
      <c r="A861" t="s">
        <v>358</v>
      </c>
      <c r="B861" t="s">
        <v>665</v>
      </c>
      <c r="C861" t="s">
        <v>153</v>
      </c>
      <c r="D861" t="s">
        <v>127</v>
      </c>
      <c r="E861" t="s">
        <v>377</v>
      </c>
      <c r="F861" t="s">
        <v>383</v>
      </c>
      <c r="G861" t="s">
        <v>333</v>
      </c>
      <c r="H861" t="s">
        <v>333</v>
      </c>
      <c r="I861" t="s">
        <v>743</v>
      </c>
      <c r="J861" t="s">
        <v>746</v>
      </c>
      <c r="K861" t="s">
        <v>546</v>
      </c>
      <c r="L861" s="784" t="s">
        <v>575</v>
      </c>
      <c r="M861" t="s">
        <v>745</v>
      </c>
      <c r="P861" t="s">
        <v>1887</v>
      </c>
      <c r="Q861" t="s">
        <v>575</v>
      </c>
      <c r="R861" t="s">
        <v>152</v>
      </c>
      <c r="S861" t="s">
        <v>146</v>
      </c>
      <c r="U861">
        <v>0</v>
      </c>
      <c r="V861" t="s">
        <v>544</v>
      </c>
      <c r="W861" t="s">
        <v>575</v>
      </c>
      <c r="X861" s="784">
        <v>2564993795.1894679</v>
      </c>
    </row>
    <row r="862" spans="1:24">
      <c r="A862" t="s">
        <v>358</v>
      </c>
      <c r="B862" t="s">
        <v>666</v>
      </c>
      <c r="C862" t="s">
        <v>268</v>
      </c>
      <c r="D862" t="s">
        <v>128</v>
      </c>
      <c r="E862" t="s">
        <v>377</v>
      </c>
      <c r="F862" t="s">
        <v>383</v>
      </c>
      <c r="G862" t="s">
        <v>333</v>
      </c>
      <c r="H862" t="s">
        <v>333</v>
      </c>
      <c r="I862" t="s">
        <v>743</v>
      </c>
      <c r="J862" t="s">
        <v>746</v>
      </c>
      <c r="K862" t="s">
        <v>546</v>
      </c>
      <c r="L862" s="784" t="s">
        <v>575</v>
      </c>
      <c r="M862" t="s">
        <v>745</v>
      </c>
      <c r="P862" t="s">
        <v>1887</v>
      </c>
      <c r="Q862" t="s">
        <v>575</v>
      </c>
      <c r="R862" t="s">
        <v>550</v>
      </c>
      <c r="S862" t="s">
        <v>146</v>
      </c>
      <c r="U862">
        <v>0</v>
      </c>
      <c r="V862" t="s">
        <v>541</v>
      </c>
      <c r="W862" t="s">
        <v>546</v>
      </c>
      <c r="X862" s="784">
        <v>60237542.945069775</v>
      </c>
    </row>
    <row r="863" spans="1:24">
      <c r="A863" t="s">
        <v>358</v>
      </c>
      <c r="B863" t="s">
        <v>667</v>
      </c>
      <c r="C863" t="s">
        <v>269</v>
      </c>
      <c r="D863" t="s">
        <v>129</v>
      </c>
      <c r="E863" t="s">
        <v>377</v>
      </c>
      <c r="F863" t="s">
        <v>383</v>
      </c>
      <c r="G863" t="s">
        <v>333</v>
      </c>
      <c r="H863" t="s">
        <v>333</v>
      </c>
      <c r="I863" t="s">
        <v>743</v>
      </c>
      <c r="J863" t="s">
        <v>746</v>
      </c>
      <c r="K863" t="s">
        <v>546</v>
      </c>
      <c r="L863" s="784" t="s">
        <v>575</v>
      </c>
      <c r="M863" t="s">
        <v>745</v>
      </c>
      <c r="P863" t="s">
        <v>1887</v>
      </c>
      <c r="Q863" t="s">
        <v>575</v>
      </c>
      <c r="R863" t="s">
        <v>148</v>
      </c>
      <c r="S863" t="s">
        <v>145</v>
      </c>
      <c r="U863">
        <v>0</v>
      </c>
      <c r="V863" t="s">
        <v>544</v>
      </c>
      <c r="W863" t="s">
        <v>542</v>
      </c>
      <c r="X863" s="784">
        <v>63738640.538260505</v>
      </c>
    </row>
    <row r="864" spans="1:24">
      <c r="A864" t="s">
        <v>358</v>
      </c>
      <c r="B864" t="s">
        <v>668</v>
      </c>
      <c r="C864" t="s">
        <v>270</v>
      </c>
      <c r="D864" t="s">
        <v>126</v>
      </c>
      <c r="E864" t="s">
        <v>377</v>
      </c>
      <c r="F864" t="s">
        <v>383</v>
      </c>
      <c r="G864" t="s">
        <v>333</v>
      </c>
      <c r="H864" t="s">
        <v>333</v>
      </c>
      <c r="I864" t="s">
        <v>743</v>
      </c>
      <c r="J864" t="s">
        <v>746</v>
      </c>
      <c r="K864" t="s">
        <v>546</v>
      </c>
      <c r="L864" s="784" t="s">
        <v>575</v>
      </c>
      <c r="M864" t="s">
        <v>745</v>
      </c>
      <c r="P864" t="s">
        <v>1887</v>
      </c>
      <c r="Q864" t="s">
        <v>575</v>
      </c>
      <c r="R864" t="s">
        <v>150</v>
      </c>
      <c r="S864" t="s">
        <v>145</v>
      </c>
      <c r="U864">
        <v>0</v>
      </c>
      <c r="V864" t="s">
        <v>541</v>
      </c>
      <c r="W864" t="s">
        <v>562</v>
      </c>
      <c r="X864" s="784">
        <v>49012774.055630356</v>
      </c>
    </row>
    <row r="865" spans="1:24">
      <c r="A865" t="s">
        <v>358</v>
      </c>
      <c r="B865" t="s">
        <v>669</v>
      </c>
      <c r="C865" t="s">
        <v>271</v>
      </c>
      <c r="D865" t="s">
        <v>128</v>
      </c>
      <c r="E865" t="s">
        <v>377</v>
      </c>
      <c r="F865" t="s">
        <v>383</v>
      </c>
      <c r="G865" t="s">
        <v>333</v>
      </c>
      <c r="H865" t="s">
        <v>333</v>
      </c>
      <c r="I865" t="s">
        <v>743</v>
      </c>
      <c r="J865" t="s">
        <v>746</v>
      </c>
      <c r="K865" t="s">
        <v>546</v>
      </c>
      <c r="L865" s="784" t="s">
        <v>575</v>
      </c>
      <c r="M865" t="s">
        <v>745</v>
      </c>
      <c r="P865" t="s">
        <v>1887</v>
      </c>
      <c r="Q865" t="s">
        <v>575</v>
      </c>
      <c r="R865" t="s">
        <v>148</v>
      </c>
      <c r="S865" t="s">
        <v>145</v>
      </c>
      <c r="U865">
        <v>1</v>
      </c>
      <c r="V865" t="s">
        <v>544</v>
      </c>
      <c r="W865" t="s">
        <v>583</v>
      </c>
      <c r="X865" s="784" t="s">
        <v>575</v>
      </c>
    </row>
    <row r="866" spans="1:24">
      <c r="A866" t="s">
        <v>358</v>
      </c>
      <c r="B866" t="s">
        <v>670</v>
      </c>
      <c r="C866" t="s">
        <v>272</v>
      </c>
      <c r="D866" t="s">
        <v>128</v>
      </c>
      <c r="E866" t="s">
        <v>377</v>
      </c>
      <c r="F866" t="s">
        <v>383</v>
      </c>
      <c r="G866" t="s">
        <v>333</v>
      </c>
      <c r="H866" t="s">
        <v>333</v>
      </c>
      <c r="I866" t="s">
        <v>743</v>
      </c>
      <c r="J866" t="s">
        <v>746</v>
      </c>
      <c r="K866" t="s">
        <v>546</v>
      </c>
      <c r="L866" s="784" t="s">
        <v>575</v>
      </c>
      <c r="M866" t="s">
        <v>745</v>
      </c>
      <c r="P866" t="s">
        <v>1887</v>
      </c>
      <c r="Q866" t="s">
        <v>575</v>
      </c>
      <c r="R866" t="s">
        <v>152</v>
      </c>
      <c r="S866" t="s">
        <v>146</v>
      </c>
      <c r="U866">
        <v>0</v>
      </c>
      <c r="V866" t="s">
        <v>544</v>
      </c>
      <c r="W866" t="s">
        <v>546</v>
      </c>
      <c r="X866" s="784">
        <v>16429121142.784708</v>
      </c>
    </row>
    <row r="867" spans="1:24">
      <c r="A867" t="s">
        <v>358</v>
      </c>
      <c r="B867" t="s">
        <v>671</v>
      </c>
      <c r="C867" t="s">
        <v>273</v>
      </c>
      <c r="D867" t="s">
        <v>128</v>
      </c>
      <c r="E867" t="s">
        <v>377</v>
      </c>
      <c r="F867" t="s">
        <v>383</v>
      </c>
      <c r="G867" t="s">
        <v>333</v>
      </c>
      <c r="H867" t="s">
        <v>333</v>
      </c>
      <c r="I867" t="s">
        <v>743</v>
      </c>
      <c r="J867" t="s">
        <v>746</v>
      </c>
      <c r="K867" t="s">
        <v>546</v>
      </c>
      <c r="L867" s="784" t="s">
        <v>575</v>
      </c>
      <c r="M867" t="s">
        <v>745</v>
      </c>
      <c r="P867" t="s">
        <v>1887</v>
      </c>
      <c r="Q867" t="s">
        <v>575</v>
      </c>
      <c r="R867" t="s">
        <v>148</v>
      </c>
      <c r="S867" t="s">
        <v>145</v>
      </c>
      <c r="U867">
        <v>1</v>
      </c>
      <c r="V867" t="s">
        <v>544</v>
      </c>
      <c r="W867" t="s">
        <v>542</v>
      </c>
      <c r="X867" s="784">
        <v>31684581.76217727</v>
      </c>
    </row>
    <row r="868" spans="1:24">
      <c r="A868" t="s">
        <v>358</v>
      </c>
      <c r="B868" t="s">
        <v>672</v>
      </c>
      <c r="C868" t="s">
        <v>274</v>
      </c>
      <c r="D868" t="s">
        <v>132</v>
      </c>
      <c r="E868" t="s">
        <v>377</v>
      </c>
      <c r="F868" t="s">
        <v>383</v>
      </c>
      <c r="G868" t="s">
        <v>333</v>
      </c>
      <c r="H868" t="s">
        <v>333</v>
      </c>
      <c r="I868" t="s">
        <v>743</v>
      </c>
      <c r="J868" t="s">
        <v>746</v>
      </c>
      <c r="K868" t="s">
        <v>546</v>
      </c>
      <c r="L868" s="784">
        <v>17030000</v>
      </c>
      <c r="M868" t="s">
        <v>745</v>
      </c>
      <c r="P868" t="s">
        <v>1887</v>
      </c>
      <c r="Q868" t="s">
        <v>406</v>
      </c>
      <c r="R868" t="s">
        <v>150</v>
      </c>
      <c r="S868" t="s">
        <v>145</v>
      </c>
      <c r="U868">
        <v>0</v>
      </c>
      <c r="V868" t="s">
        <v>544</v>
      </c>
      <c r="W868" t="s">
        <v>546</v>
      </c>
      <c r="X868" s="784">
        <v>1373621563.5182886</v>
      </c>
    </row>
    <row r="869" spans="1:24">
      <c r="A869" t="s">
        <v>358</v>
      </c>
      <c r="B869" t="s">
        <v>673</v>
      </c>
      <c r="C869" t="s">
        <v>275</v>
      </c>
      <c r="D869" t="s">
        <v>130</v>
      </c>
      <c r="E869" t="s">
        <v>377</v>
      </c>
      <c r="F869" t="s">
        <v>383</v>
      </c>
      <c r="G869" t="s">
        <v>333</v>
      </c>
      <c r="H869" t="s">
        <v>333</v>
      </c>
      <c r="I869" t="s">
        <v>743</v>
      </c>
      <c r="J869" t="s">
        <v>746</v>
      </c>
      <c r="K869" t="s">
        <v>546</v>
      </c>
      <c r="L869" s="784" t="s">
        <v>575</v>
      </c>
      <c r="M869" t="s">
        <v>745</v>
      </c>
      <c r="P869" t="s">
        <v>1887</v>
      </c>
      <c r="Q869" t="s">
        <v>575</v>
      </c>
      <c r="R869" t="s">
        <v>550</v>
      </c>
      <c r="S869" t="s">
        <v>146</v>
      </c>
      <c r="U869">
        <v>0</v>
      </c>
      <c r="V869" t="s">
        <v>541</v>
      </c>
      <c r="W869" t="s">
        <v>575</v>
      </c>
      <c r="X869" s="784">
        <v>24214370.889062837</v>
      </c>
    </row>
    <row r="870" spans="1:24">
      <c r="A870" t="s">
        <v>358</v>
      </c>
      <c r="B870" t="s">
        <v>674</v>
      </c>
      <c r="C870" t="s">
        <v>154</v>
      </c>
      <c r="D870" t="s">
        <v>130</v>
      </c>
      <c r="E870" t="s">
        <v>377</v>
      </c>
      <c r="F870" t="s">
        <v>383</v>
      </c>
      <c r="G870" t="s">
        <v>333</v>
      </c>
      <c r="H870" t="s">
        <v>333</v>
      </c>
      <c r="I870" t="s">
        <v>743</v>
      </c>
      <c r="J870" t="s">
        <v>746</v>
      </c>
      <c r="K870" t="s">
        <v>546</v>
      </c>
      <c r="L870" s="784" t="s">
        <v>575</v>
      </c>
      <c r="M870" t="s">
        <v>745</v>
      </c>
      <c r="P870" t="s">
        <v>1887</v>
      </c>
      <c r="Q870" t="s">
        <v>575</v>
      </c>
      <c r="R870" t="s">
        <v>152</v>
      </c>
      <c r="S870" t="s">
        <v>145</v>
      </c>
      <c r="U870">
        <v>0</v>
      </c>
      <c r="V870" t="s">
        <v>541</v>
      </c>
      <c r="W870" t="s">
        <v>548</v>
      </c>
      <c r="X870" s="784">
        <v>39941279.609447442</v>
      </c>
    </row>
    <row r="871" spans="1:24">
      <c r="A871" t="s">
        <v>358</v>
      </c>
      <c r="B871" t="s">
        <v>675</v>
      </c>
      <c r="C871" t="s">
        <v>155</v>
      </c>
      <c r="D871" t="s">
        <v>130</v>
      </c>
      <c r="E871" t="s">
        <v>377</v>
      </c>
      <c r="F871" t="s">
        <v>383</v>
      </c>
      <c r="G871" t="s">
        <v>333</v>
      </c>
      <c r="H871" t="s">
        <v>333</v>
      </c>
      <c r="I871" t="s">
        <v>743</v>
      </c>
      <c r="J871" t="s">
        <v>746</v>
      </c>
      <c r="K871" t="s">
        <v>546</v>
      </c>
      <c r="L871" s="784" t="s">
        <v>575</v>
      </c>
      <c r="M871" t="s">
        <v>745</v>
      </c>
      <c r="P871" t="s">
        <v>1887</v>
      </c>
      <c r="Q871" t="s">
        <v>575</v>
      </c>
      <c r="R871" t="s">
        <v>152</v>
      </c>
      <c r="S871" t="s">
        <v>145</v>
      </c>
      <c r="U871">
        <v>0</v>
      </c>
      <c r="V871" t="s">
        <v>541</v>
      </c>
      <c r="W871" t="s">
        <v>542</v>
      </c>
      <c r="X871" s="784">
        <v>24761675.260059897</v>
      </c>
    </row>
    <row r="872" spans="1:24">
      <c r="A872" t="s">
        <v>358</v>
      </c>
      <c r="B872" t="s">
        <v>676</v>
      </c>
      <c r="C872" t="s">
        <v>276</v>
      </c>
      <c r="D872" t="s">
        <v>131</v>
      </c>
      <c r="E872" t="s">
        <v>377</v>
      </c>
      <c r="F872" t="s">
        <v>383</v>
      </c>
      <c r="G872" t="s">
        <v>333</v>
      </c>
      <c r="H872" t="s">
        <v>333</v>
      </c>
      <c r="I872" t="s">
        <v>743</v>
      </c>
      <c r="J872" t="s">
        <v>746</v>
      </c>
      <c r="K872" t="s">
        <v>546</v>
      </c>
      <c r="L872" s="784" t="s">
        <v>575</v>
      </c>
      <c r="M872" t="s">
        <v>745</v>
      </c>
      <c r="P872" t="s">
        <v>1887</v>
      </c>
      <c r="Q872" t="s">
        <v>575</v>
      </c>
      <c r="R872" t="s">
        <v>150</v>
      </c>
      <c r="S872" t="s">
        <v>145</v>
      </c>
      <c r="U872">
        <v>0</v>
      </c>
      <c r="V872" t="s">
        <v>544</v>
      </c>
      <c r="W872" t="s">
        <v>546</v>
      </c>
      <c r="X872" s="784" t="s">
        <v>575</v>
      </c>
    </row>
    <row r="873" spans="1:24">
      <c r="A873" t="s">
        <v>358</v>
      </c>
      <c r="B873" t="s">
        <v>677</v>
      </c>
      <c r="C873" t="s">
        <v>277</v>
      </c>
      <c r="D873" t="s">
        <v>131</v>
      </c>
      <c r="E873" t="s">
        <v>377</v>
      </c>
      <c r="F873" t="s">
        <v>383</v>
      </c>
      <c r="G873" t="s">
        <v>333</v>
      </c>
      <c r="H873" t="s">
        <v>333</v>
      </c>
      <c r="I873" t="s">
        <v>743</v>
      </c>
      <c r="J873" t="s">
        <v>746</v>
      </c>
      <c r="K873" t="s">
        <v>546</v>
      </c>
      <c r="L873" s="784" t="s">
        <v>575</v>
      </c>
      <c r="M873" t="s">
        <v>745</v>
      </c>
      <c r="P873" t="s">
        <v>1887</v>
      </c>
      <c r="Q873" t="s">
        <v>575</v>
      </c>
      <c r="R873" t="s">
        <v>148</v>
      </c>
      <c r="S873" t="s">
        <v>145</v>
      </c>
      <c r="U873">
        <v>1</v>
      </c>
      <c r="V873" t="s">
        <v>544</v>
      </c>
      <c r="W873" t="s">
        <v>546</v>
      </c>
      <c r="X873" s="784">
        <v>577156172.71229994</v>
      </c>
    </row>
    <row r="874" spans="1:24">
      <c r="A874" t="s">
        <v>358</v>
      </c>
      <c r="B874" t="s">
        <v>678</v>
      </c>
      <c r="C874" t="s">
        <v>278</v>
      </c>
      <c r="D874" t="s">
        <v>126</v>
      </c>
      <c r="E874" t="s">
        <v>377</v>
      </c>
      <c r="F874" t="s">
        <v>383</v>
      </c>
      <c r="G874" t="s">
        <v>333</v>
      </c>
      <c r="H874" t="s">
        <v>333</v>
      </c>
      <c r="I874" t="s">
        <v>743</v>
      </c>
      <c r="J874" t="s">
        <v>746</v>
      </c>
      <c r="K874" t="s">
        <v>546</v>
      </c>
      <c r="L874" s="784" t="s">
        <v>575</v>
      </c>
      <c r="M874" t="s">
        <v>745</v>
      </c>
      <c r="P874" t="s">
        <v>1887</v>
      </c>
      <c r="Q874" t="s">
        <v>575</v>
      </c>
      <c r="R874" t="s">
        <v>152</v>
      </c>
      <c r="S874" t="s">
        <v>146</v>
      </c>
      <c r="U874">
        <v>0</v>
      </c>
      <c r="V874" t="s">
        <v>541</v>
      </c>
      <c r="W874" t="s">
        <v>575</v>
      </c>
      <c r="X874" s="784">
        <v>180052034.19851837</v>
      </c>
    </row>
    <row r="875" spans="1:24">
      <c r="A875" t="s">
        <v>358</v>
      </c>
      <c r="B875" t="s">
        <v>679</v>
      </c>
      <c r="C875" t="s">
        <v>279</v>
      </c>
      <c r="D875" t="s">
        <v>131</v>
      </c>
      <c r="E875" t="s">
        <v>377</v>
      </c>
      <c r="F875" t="s">
        <v>383</v>
      </c>
      <c r="G875" t="s">
        <v>333</v>
      </c>
      <c r="H875" t="s">
        <v>333</v>
      </c>
      <c r="I875" t="s">
        <v>743</v>
      </c>
      <c r="J875" t="s">
        <v>746</v>
      </c>
      <c r="K875" t="s">
        <v>546</v>
      </c>
      <c r="L875" s="784" t="s">
        <v>575</v>
      </c>
      <c r="M875" t="s">
        <v>745</v>
      </c>
      <c r="P875" t="s">
        <v>1887</v>
      </c>
      <c r="Q875" t="s">
        <v>575</v>
      </c>
      <c r="R875" t="s">
        <v>148</v>
      </c>
      <c r="S875" t="s">
        <v>145</v>
      </c>
      <c r="U875">
        <v>1</v>
      </c>
      <c r="V875" t="s">
        <v>544</v>
      </c>
      <c r="W875" t="s">
        <v>546</v>
      </c>
      <c r="X875" s="784" t="s">
        <v>575</v>
      </c>
    </row>
    <row r="876" spans="1:24">
      <c r="A876" t="s">
        <v>358</v>
      </c>
      <c r="B876" t="s">
        <v>680</v>
      </c>
      <c r="C876" t="s">
        <v>280</v>
      </c>
      <c r="D876" t="s">
        <v>127</v>
      </c>
      <c r="E876" t="s">
        <v>377</v>
      </c>
      <c r="F876" t="s">
        <v>383</v>
      </c>
      <c r="G876" t="s">
        <v>333</v>
      </c>
      <c r="H876" t="s">
        <v>333</v>
      </c>
      <c r="I876" t="s">
        <v>743</v>
      </c>
      <c r="J876" t="s">
        <v>746</v>
      </c>
      <c r="K876" t="s">
        <v>546</v>
      </c>
      <c r="L876" s="784">
        <v>2429999.9999999995</v>
      </c>
      <c r="M876" t="s">
        <v>745</v>
      </c>
      <c r="P876" t="s">
        <v>1887</v>
      </c>
      <c r="Q876" t="s">
        <v>406</v>
      </c>
      <c r="R876" t="s">
        <v>150</v>
      </c>
      <c r="S876" t="s">
        <v>145</v>
      </c>
      <c r="U876">
        <v>0</v>
      </c>
      <c r="V876" t="s">
        <v>544</v>
      </c>
      <c r="W876" t="s">
        <v>542</v>
      </c>
      <c r="X876" s="784">
        <v>147296124.32232863</v>
      </c>
    </row>
    <row r="877" spans="1:24">
      <c r="A877" t="s">
        <v>358</v>
      </c>
      <c r="B877" t="s">
        <v>681</v>
      </c>
      <c r="C877" t="s">
        <v>156</v>
      </c>
      <c r="D877" t="s">
        <v>128</v>
      </c>
      <c r="E877" t="s">
        <v>377</v>
      </c>
      <c r="F877" t="s">
        <v>383</v>
      </c>
      <c r="G877" t="s">
        <v>333</v>
      </c>
      <c r="H877" t="s">
        <v>333</v>
      </c>
      <c r="I877" t="s">
        <v>743</v>
      </c>
      <c r="J877" t="s">
        <v>746</v>
      </c>
      <c r="K877" t="s">
        <v>546</v>
      </c>
      <c r="L877" s="784" t="s">
        <v>575</v>
      </c>
      <c r="M877" t="s">
        <v>745</v>
      </c>
      <c r="P877" t="s">
        <v>1887</v>
      </c>
      <c r="Q877" t="s">
        <v>575</v>
      </c>
      <c r="R877" t="s">
        <v>150</v>
      </c>
      <c r="S877" t="s">
        <v>145</v>
      </c>
      <c r="U877">
        <v>0</v>
      </c>
      <c r="V877" t="s">
        <v>544</v>
      </c>
      <c r="W877" t="s">
        <v>548</v>
      </c>
      <c r="X877" s="784">
        <v>890576536.83065879</v>
      </c>
    </row>
    <row r="878" spans="1:24">
      <c r="A878" t="s">
        <v>358</v>
      </c>
      <c r="B878" t="s">
        <v>682</v>
      </c>
      <c r="C878" t="s">
        <v>157</v>
      </c>
      <c r="D878" t="s">
        <v>126</v>
      </c>
      <c r="E878" t="s">
        <v>377</v>
      </c>
      <c r="F878" t="s">
        <v>383</v>
      </c>
      <c r="G878" t="s">
        <v>333</v>
      </c>
      <c r="H878" t="s">
        <v>333</v>
      </c>
      <c r="I878" t="s">
        <v>743</v>
      </c>
      <c r="J878" t="s">
        <v>746</v>
      </c>
      <c r="K878" t="s">
        <v>546</v>
      </c>
      <c r="L878" s="784" t="s">
        <v>575</v>
      </c>
      <c r="M878" t="s">
        <v>745</v>
      </c>
      <c r="P878" t="s">
        <v>1887</v>
      </c>
      <c r="Q878" t="s">
        <v>575</v>
      </c>
      <c r="R878" t="s">
        <v>152</v>
      </c>
      <c r="S878" t="s">
        <v>146</v>
      </c>
      <c r="U878">
        <v>0</v>
      </c>
      <c r="V878" t="s">
        <v>544</v>
      </c>
      <c r="W878" t="s">
        <v>575</v>
      </c>
      <c r="X878" s="784">
        <v>14611129792.346064</v>
      </c>
    </row>
    <row r="879" spans="1:24">
      <c r="A879" t="s">
        <v>358</v>
      </c>
      <c r="B879" t="s">
        <v>683</v>
      </c>
      <c r="C879" t="s">
        <v>281</v>
      </c>
      <c r="D879" t="s">
        <v>126</v>
      </c>
      <c r="E879" t="s">
        <v>377</v>
      </c>
      <c r="F879" t="s">
        <v>383</v>
      </c>
      <c r="G879" t="s">
        <v>333</v>
      </c>
      <c r="H879" t="s">
        <v>333</v>
      </c>
      <c r="I879" t="s">
        <v>743</v>
      </c>
      <c r="J879" t="s">
        <v>746</v>
      </c>
      <c r="K879" t="s">
        <v>546</v>
      </c>
      <c r="L879" s="784" t="s">
        <v>575</v>
      </c>
      <c r="M879" t="s">
        <v>745</v>
      </c>
      <c r="P879" t="s">
        <v>1887</v>
      </c>
      <c r="Q879" t="s">
        <v>575</v>
      </c>
      <c r="R879" t="s">
        <v>150</v>
      </c>
      <c r="S879" t="s">
        <v>145</v>
      </c>
      <c r="U879">
        <v>0</v>
      </c>
      <c r="V879" t="s">
        <v>541</v>
      </c>
      <c r="W879" t="s">
        <v>558</v>
      </c>
      <c r="X879" s="784">
        <v>72046877.233008593</v>
      </c>
    </row>
    <row r="880" spans="1:24">
      <c r="A880" t="s">
        <v>358</v>
      </c>
      <c r="B880" t="s">
        <v>684</v>
      </c>
      <c r="C880" t="s">
        <v>282</v>
      </c>
      <c r="D880" t="s">
        <v>129</v>
      </c>
      <c r="E880" t="s">
        <v>377</v>
      </c>
      <c r="F880" t="s">
        <v>383</v>
      </c>
      <c r="G880" t="s">
        <v>333</v>
      </c>
      <c r="H880" t="s">
        <v>333</v>
      </c>
      <c r="I880" t="s">
        <v>743</v>
      </c>
      <c r="J880" t="s">
        <v>746</v>
      </c>
      <c r="K880" t="s">
        <v>546</v>
      </c>
      <c r="L880" s="784" t="s">
        <v>575</v>
      </c>
      <c r="M880" t="s">
        <v>745</v>
      </c>
      <c r="P880" t="s">
        <v>1887</v>
      </c>
      <c r="Q880" t="s">
        <v>575</v>
      </c>
      <c r="R880" t="s">
        <v>148</v>
      </c>
      <c r="S880" t="s">
        <v>145</v>
      </c>
      <c r="U880">
        <v>0</v>
      </c>
      <c r="V880" t="s">
        <v>544</v>
      </c>
      <c r="W880" t="s">
        <v>542</v>
      </c>
      <c r="X880" s="784">
        <v>56248139.267255567</v>
      </c>
    </row>
    <row r="881" spans="1:24">
      <c r="A881" t="s">
        <v>358</v>
      </c>
      <c r="B881" t="s">
        <v>685</v>
      </c>
      <c r="C881" t="s">
        <v>283</v>
      </c>
      <c r="D881" t="s">
        <v>126</v>
      </c>
      <c r="E881" t="s">
        <v>377</v>
      </c>
      <c r="F881" t="s">
        <v>383</v>
      </c>
      <c r="G881" t="s">
        <v>333</v>
      </c>
      <c r="H881" t="s">
        <v>333</v>
      </c>
      <c r="I881" t="s">
        <v>743</v>
      </c>
      <c r="J881" t="s">
        <v>746</v>
      </c>
      <c r="K881" t="s">
        <v>546</v>
      </c>
      <c r="L881" s="784">
        <v>1500000</v>
      </c>
      <c r="M881" t="s">
        <v>745</v>
      </c>
      <c r="P881" t="s">
        <v>1887</v>
      </c>
      <c r="Q881" t="s">
        <v>406</v>
      </c>
      <c r="R881" t="s">
        <v>152</v>
      </c>
      <c r="S881" t="s">
        <v>145</v>
      </c>
      <c r="U881">
        <v>0</v>
      </c>
      <c r="V881" t="s">
        <v>541</v>
      </c>
      <c r="W881" t="s">
        <v>542</v>
      </c>
      <c r="X881" s="784">
        <v>15464031.712942109</v>
      </c>
    </row>
    <row r="882" spans="1:24">
      <c r="A882" t="s">
        <v>358</v>
      </c>
      <c r="B882" t="s">
        <v>686</v>
      </c>
      <c r="C882" t="s">
        <v>284</v>
      </c>
      <c r="D882" t="s">
        <v>130</v>
      </c>
      <c r="E882" t="s">
        <v>377</v>
      </c>
      <c r="F882" t="s">
        <v>383</v>
      </c>
      <c r="G882" t="s">
        <v>333</v>
      </c>
      <c r="H882" t="s">
        <v>333</v>
      </c>
      <c r="I882" t="s">
        <v>743</v>
      </c>
      <c r="J882" t="s">
        <v>746</v>
      </c>
      <c r="K882" t="s">
        <v>546</v>
      </c>
      <c r="L882" s="784" t="s">
        <v>575</v>
      </c>
      <c r="M882" t="s">
        <v>745</v>
      </c>
      <c r="P882" t="s">
        <v>1887</v>
      </c>
      <c r="Q882" t="s">
        <v>575</v>
      </c>
      <c r="R882" t="s">
        <v>550</v>
      </c>
      <c r="S882" t="s">
        <v>146</v>
      </c>
      <c r="U882">
        <v>0</v>
      </c>
      <c r="V882" t="s">
        <v>541</v>
      </c>
      <c r="W882" t="s">
        <v>546</v>
      </c>
      <c r="X882" s="784">
        <v>769564399.33249676</v>
      </c>
    </row>
    <row r="883" spans="1:24">
      <c r="A883" t="s">
        <v>358</v>
      </c>
      <c r="B883" t="s">
        <v>687</v>
      </c>
      <c r="C883" t="s">
        <v>285</v>
      </c>
      <c r="D883" t="s">
        <v>131</v>
      </c>
      <c r="E883" t="s">
        <v>377</v>
      </c>
      <c r="F883" t="s">
        <v>383</v>
      </c>
      <c r="G883" t="s">
        <v>333</v>
      </c>
      <c r="H883" t="s">
        <v>333</v>
      </c>
      <c r="I883" t="s">
        <v>743</v>
      </c>
      <c r="J883" t="s">
        <v>746</v>
      </c>
      <c r="K883" t="s">
        <v>546</v>
      </c>
      <c r="L883" s="784" t="s">
        <v>575</v>
      </c>
      <c r="M883" t="s">
        <v>745</v>
      </c>
      <c r="P883" t="s">
        <v>1887</v>
      </c>
      <c r="Q883" t="s">
        <v>575</v>
      </c>
      <c r="R883" t="s">
        <v>150</v>
      </c>
      <c r="S883" t="s">
        <v>145</v>
      </c>
      <c r="U883">
        <v>0</v>
      </c>
      <c r="V883" t="s">
        <v>544</v>
      </c>
      <c r="W883" t="s">
        <v>546</v>
      </c>
      <c r="X883" s="784">
        <v>1668954539.7630196</v>
      </c>
    </row>
    <row r="884" spans="1:24">
      <c r="A884" t="s">
        <v>358</v>
      </c>
      <c r="B884" t="s">
        <v>688</v>
      </c>
      <c r="C884" t="s">
        <v>286</v>
      </c>
      <c r="D884" t="s">
        <v>127</v>
      </c>
      <c r="E884" t="s">
        <v>377</v>
      </c>
      <c r="F884" t="s">
        <v>383</v>
      </c>
      <c r="G884" t="s">
        <v>333</v>
      </c>
      <c r="H884" t="s">
        <v>333</v>
      </c>
      <c r="I884" t="s">
        <v>743</v>
      </c>
      <c r="J884" t="s">
        <v>746</v>
      </c>
      <c r="K884" t="s">
        <v>546</v>
      </c>
      <c r="L884" s="784" t="s">
        <v>575</v>
      </c>
      <c r="M884" t="s">
        <v>745</v>
      </c>
      <c r="P884" t="s">
        <v>1887</v>
      </c>
      <c r="Q884" t="s">
        <v>575</v>
      </c>
      <c r="R884" t="s">
        <v>152</v>
      </c>
      <c r="S884" t="s">
        <v>146</v>
      </c>
      <c r="U884">
        <v>0</v>
      </c>
      <c r="V884" t="s">
        <v>544</v>
      </c>
      <c r="W884" t="s">
        <v>575</v>
      </c>
      <c r="X884" s="784">
        <v>24840920016.18832</v>
      </c>
    </row>
    <row r="885" spans="1:24">
      <c r="A885" t="s">
        <v>358</v>
      </c>
      <c r="B885" t="s">
        <v>689</v>
      </c>
      <c r="C885" t="s">
        <v>287</v>
      </c>
      <c r="D885" t="s">
        <v>127</v>
      </c>
      <c r="E885" t="s">
        <v>377</v>
      </c>
      <c r="F885" t="s">
        <v>383</v>
      </c>
      <c r="G885" t="s">
        <v>333</v>
      </c>
      <c r="H885" t="s">
        <v>333</v>
      </c>
      <c r="I885" t="s">
        <v>743</v>
      </c>
      <c r="J885" t="s">
        <v>746</v>
      </c>
      <c r="K885" t="s">
        <v>546</v>
      </c>
      <c r="L885" s="784" t="s">
        <v>575</v>
      </c>
      <c r="M885" t="s">
        <v>745</v>
      </c>
      <c r="P885" t="s">
        <v>1887</v>
      </c>
      <c r="Q885" t="s">
        <v>575</v>
      </c>
      <c r="R885" t="s">
        <v>152</v>
      </c>
      <c r="S885" t="s">
        <v>146</v>
      </c>
      <c r="U885">
        <v>0</v>
      </c>
      <c r="V885" t="s">
        <v>544</v>
      </c>
      <c r="W885" t="s">
        <v>546</v>
      </c>
      <c r="X885" s="784">
        <v>487888462.83720118</v>
      </c>
    </row>
    <row r="886" spans="1:24">
      <c r="A886" t="s">
        <v>358</v>
      </c>
      <c r="B886" t="s">
        <v>690</v>
      </c>
      <c r="C886" t="s">
        <v>288</v>
      </c>
      <c r="D886" t="s">
        <v>126</v>
      </c>
      <c r="E886" t="s">
        <v>377</v>
      </c>
      <c r="F886" t="s">
        <v>383</v>
      </c>
      <c r="G886" t="s">
        <v>333</v>
      </c>
      <c r="H886" t="s">
        <v>333</v>
      </c>
      <c r="I886" t="s">
        <v>743</v>
      </c>
      <c r="J886" t="s">
        <v>746</v>
      </c>
      <c r="K886" t="s">
        <v>546</v>
      </c>
      <c r="L886" s="784">
        <v>509999.99999999988</v>
      </c>
      <c r="M886" t="s">
        <v>745</v>
      </c>
      <c r="P886" t="s">
        <v>1887</v>
      </c>
      <c r="Q886" t="s">
        <v>406</v>
      </c>
      <c r="R886" t="s">
        <v>152</v>
      </c>
      <c r="S886" t="s">
        <v>145</v>
      </c>
      <c r="U886">
        <v>0</v>
      </c>
      <c r="V886" t="s">
        <v>541</v>
      </c>
      <c r="W886" t="s">
        <v>548</v>
      </c>
      <c r="X886" s="784">
        <v>6365061.1736073596</v>
      </c>
    </row>
    <row r="887" spans="1:24">
      <c r="A887" t="s">
        <v>358</v>
      </c>
      <c r="B887" t="s">
        <v>691</v>
      </c>
      <c r="C887" t="s">
        <v>289</v>
      </c>
      <c r="D887" t="s">
        <v>128</v>
      </c>
      <c r="E887" t="s">
        <v>377</v>
      </c>
      <c r="F887" t="s">
        <v>383</v>
      </c>
      <c r="G887" t="s">
        <v>333</v>
      </c>
      <c r="H887" t="s">
        <v>333</v>
      </c>
      <c r="I887" t="s">
        <v>743</v>
      </c>
      <c r="J887" t="s">
        <v>746</v>
      </c>
      <c r="K887" t="s">
        <v>546</v>
      </c>
      <c r="L887" s="784" t="s">
        <v>575</v>
      </c>
      <c r="M887" t="s">
        <v>745</v>
      </c>
      <c r="P887" t="s">
        <v>1887</v>
      </c>
      <c r="Q887" t="s">
        <v>575</v>
      </c>
      <c r="R887" t="s">
        <v>148</v>
      </c>
      <c r="S887" t="s">
        <v>145</v>
      </c>
      <c r="U887">
        <v>2</v>
      </c>
      <c r="V887" t="s">
        <v>544</v>
      </c>
      <c r="W887" t="s">
        <v>558</v>
      </c>
      <c r="X887" s="784">
        <v>291799092.90196139</v>
      </c>
    </row>
    <row r="888" spans="1:24">
      <c r="A888" t="s">
        <v>358</v>
      </c>
      <c r="B888" t="s">
        <v>692</v>
      </c>
      <c r="C888" t="s">
        <v>290</v>
      </c>
      <c r="D888" t="s">
        <v>127</v>
      </c>
      <c r="E888" t="s">
        <v>377</v>
      </c>
      <c r="F888" t="s">
        <v>383</v>
      </c>
      <c r="G888" t="s">
        <v>333</v>
      </c>
      <c r="H888" t="s">
        <v>333</v>
      </c>
      <c r="I888" t="s">
        <v>743</v>
      </c>
      <c r="J888" t="s">
        <v>746</v>
      </c>
      <c r="K888" t="s">
        <v>546</v>
      </c>
      <c r="L888" s="784" t="s">
        <v>575</v>
      </c>
      <c r="M888" t="s">
        <v>745</v>
      </c>
      <c r="P888" t="s">
        <v>1887</v>
      </c>
      <c r="Q888" t="s">
        <v>575</v>
      </c>
      <c r="R888" t="s">
        <v>150</v>
      </c>
      <c r="S888" t="s">
        <v>145</v>
      </c>
      <c r="U888">
        <v>0</v>
      </c>
      <c r="V888" t="s">
        <v>544</v>
      </c>
      <c r="W888" t="s">
        <v>546</v>
      </c>
      <c r="X888" s="784">
        <v>4844815340.2135534</v>
      </c>
    </row>
    <row r="889" spans="1:24">
      <c r="A889" t="s">
        <v>358</v>
      </c>
      <c r="B889" t="s">
        <v>693</v>
      </c>
      <c r="C889" t="s">
        <v>291</v>
      </c>
      <c r="D889" t="s">
        <v>130</v>
      </c>
      <c r="E889" t="s">
        <v>377</v>
      </c>
      <c r="F889" t="s">
        <v>383</v>
      </c>
      <c r="G889" t="s">
        <v>333</v>
      </c>
      <c r="H889" t="s">
        <v>333</v>
      </c>
      <c r="I889" t="s">
        <v>743</v>
      </c>
      <c r="J889" t="s">
        <v>746</v>
      </c>
      <c r="K889" t="s">
        <v>546</v>
      </c>
      <c r="L889" s="784" t="s">
        <v>575</v>
      </c>
      <c r="M889" t="s">
        <v>745</v>
      </c>
      <c r="P889" t="s">
        <v>1887</v>
      </c>
      <c r="Q889" t="s">
        <v>575</v>
      </c>
      <c r="R889" t="s">
        <v>550</v>
      </c>
      <c r="S889" t="s">
        <v>146</v>
      </c>
      <c r="U889">
        <v>0</v>
      </c>
      <c r="V889" t="s">
        <v>544</v>
      </c>
      <c r="W889" t="s">
        <v>575</v>
      </c>
      <c r="X889" s="784">
        <v>4001891446.6871672</v>
      </c>
    </row>
    <row r="890" spans="1:24">
      <c r="A890" t="s">
        <v>358</v>
      </c>
      <c r="B890" t="s">
        <v>694</v>
      </c>
      <c r="C890" t="s">
        <v>292</v>
      </c>
      <c r="D890" t="s">
        <v>127</v>
      </c>
      <c r="E890" t="s">
        <v>377</v>
      </c>
      <c r="F890" t="s">
        <v>383</v>
      </c>
      <c r="G890" t="s">
        <v>333</v>
      </c>
      <c r="H890" t="s">
        <v>333</v>
      </c>
      <c r="I890" t="s">
        <v>743</v>
      </c>
      <c r="J890" t="s">
        <v>746</v>
      </c>
      <c r="K890" t="s">
        <v>546</v>
      </c>
      <c r="L890" s="784" t="s">
        <v>575</v>
      </c>
      <c r="M890" t="s">
        <v>745</v>
      </c>
      <c r="P890" t="s">
        <v>1887</v>
      </c>
      <c r="Q890" t="s">
        <v>575</v>
      </c>
      <c r="R890" t="s">
        <v>150</v>
      </c>
      <c r="S890" t="s">
        <v>145</v>
      </c>
      <c r="U890">
        <v>0</v>
      </c>
      <c r="V890" t="s">
        <v>544</v>
      </c>
      <c r="W890" t="s">
        <v>558</v>
      </c>
      <c r="X890" s="784">
        <v>1019800630.5853213</v>
      </c>
    </row>
    <row r="891" spans="1:24">
      <c r="A891" t="s">
        <v>358</v>
      </c>
      <c r="B891" t="s">
        <v>695</v>
      </c>
      <c r="C891" t="s">
        <v>293</v>
      </c>
      <c r="D891" t="s">
        <v>126</v>
      </c>
      <c r="E891" t="s">
        <v>377</v>
      </c>
      <c r="F891" t="s">
        <v>383</v>
      </c>
      <c r="G891" t="s">
        <v>333</v>
      </c>
      <c r="H891" t="s">
        <v>333</v>
      </c>
      <c r="I891" t="s">
        <v>743</v>
      </c>
      <c r="J891" t="s">
        <v>746</v>
      </c>
      <c r="K891" t="s">
        <v>546</v>
      </c>
      <c r="L891" s="784">
        <v>1549999.9999999998</v>
      </c>
      <c r="M891" t="s">
        <v>745</v>
      </c>
      <c r="P891" t="s">
        <v>1887</v>
      </c>
      <c r="Q891" t="s">
        <v>406</v>
      </c>
      <c r="R891" t="s">
        <v>150</v>
      </c>
      <c r="S891" t="s">
        <v>145</v>
      </c>
      <c r="U891">
        <v>0</v>
      </c>
      <c r="V891" t="s">
        <v>541</v>
      </c>
      <c r="W891" t="s">
        <v>562</v>
      </c>
      <c r="X891" s="784">
        <v>19578671.310841195</v>
      </c>
    </row>
    <row r="892" spans="1:24">
      <c r="A892" t="s">
        <v>358</v>
      </c>
      <c r="B892" t="s">
        <v>696</v>
      </c>
      <c r="C892" t="s">
        <v>294</v>
      </c>
      <c r="D892" t="s">
        <v>130</v>
      </c>
      <c r="E892" t="s">
        <v>377</v>
      </c>
      <c r="F892" t="s">
        <v>383</v>
      </c>
      <c r="G892" t="s">
        <v>333</v>
      </c>
      <c r="H892" t="s">
        <v>333</v>
      </c>
      <c r="I892" t="s">
        <v>743</v>
      </c>
      <c r="J892" t="s">
        <v>746</v>
      </c>
      <c r="K892" t="s">
        <v>546</v>
      </c>
      <c r="L892" s="784" t="s">
        <v>575</v>
      </c>
      <c r="M892" t="s">
        <v>745</v>
      </c>
      <c r="P892" t="s">
        <v>1887</v>
      </c>
      <c r="Q892" t="s">
        <v>575</v>
      </c>
      <c r="R892" t="s">
        <v>322</v>
      </c>
      <c r="S892" t="s">
        <v>146</v>
      </c>
      <c r="U892">
        <v>0</v>
      </c>
      <c r="V892" t="s">
        <v>544</v>
      </c>
      <c r="W892" t="s">
        <v>546</v>
      </c>
      <c r="X892" s="784">
        <v>3551452001.0684834</v>
      </c>
    </row>
    <row r="893" spans="1:24">
      <c r="A893" t="s">
        <v>358</v>
      </c>
      <c r="B893" t="s">
        <v>697</v>
      </c>
      <c r="C893" t="s">
        <v>295</v>
      </c>
      <c r="D893" t="s">
        <v>126</v>
      </c>
      <c r="E893" t="s">
        <v>377</v>
      </c>
      <c r="F893" t="s">
        <v>383</v>
      </c>
      <c r="G893" t="s">
        <v>333</v>
      </c>
      <c r="H893" t="s">
        <v>333</v>
      </c>
      <c r="I893" t="s">
        <v>743</v>
      </c>
      <c r="J893" t="s">
        <v>746</v>
      </c>
      <c r="K893" t="s">
        <v>546</v>
      </c>
      <c r="L893" s="784" t="s">
        <v>575</v>
      </c>
      <c r="M893" t="s">
        <v>745</v>
      </c>
      <c r="P893" t="s">
        <v>1887</v>
      </c>
      <c r="Q893" t="s">
        <v>575</v>
      </c>
      <c r="R893" t="s">
        <v>150</v>
      </c>
      <c r="S893" t="s">
        <v>145</v>
      </c>
      <c r="U893">
        <v>0</v>
      </c>
      <c r="V893" t="s">
        <v>544</v>
      </c>
      <c r="W893" t="s">
        <v>546</v>
      </c>
      <c r="X893" s="784">
        <v>6603048821.7575006</v>
      </c>
    </row>
    <row r="894" spans="1:24">
      <c r="A894" t="s">
        <v>358</v>
      </c>
      <c r="B894" t="s">
        <v>698</v>
      </c>
      <c r="C894" t="s">
        <v>296</v>
      </c>
      <c r="D894" t="s">
        <v>131</v>
      </c>
      <c r="E894" t="s">
        <v>377</v>
      </c>
      <c r="F894" t="s">
        <v>383</v>
      </c>
      <c r="G894" t="s">
        <v>333</v>
      </c>
      <c r="H894" t="s">
        <v>333</v>
      </c>
      <c r="I894" t="s">
        <v>743</v>
      </c>
      <c r="J894" t="s">
        <v>746</v>
      </c>
      <c r="K894" t="s">
        <v>546</v>
      </c>
      <c r="L894" s="784" t="s">
        <v>575</v>
      </c>
      <c r="M894" t="s">
        <v>745</v>
      </c>
      <c r="P894" t="s">
        <v>1887</v>
      </c>
      <c r="Q894" t="s">
        <v>575</v>
      </c>
      <c r="R894" t="s">
        <v>148</v>
      </c>
      <c r="S894" t="s">
        <v>145</v>
      </c>
      <c r="U894">
        <v>1</v>
      </c>
      <c r="V894" t="s">
        <v>544</v>
      </c>
      <c r="W894" t="s">
        <v>548</v>
      </c>
      <c r="X894" s="784" t="s">
        <v>575</v>
      </c>
    </row>
    <row r="895" spans="1:24">
      <c r="A895" t="s">
        <v>358</v>
      </c>
      <c r="B895" t="s">
        <v>699</v>
      </c>
      <c r="C895" t="s">
        <v>297</v>
      </c>
      <c r="D895" t="s">
        <v>128</v>
      </c>
      <c r="E895" t="s">
        <v>377</v>
      </c>
      <c r="F895" t="s">
        <v>383</v>
      </c>
      <c r="G895" t="s">
        <v>333</v>
      </c>
      <c r="H895" t="s">
        <v>333</v>
      </c>
      <c r="I895" t="s">
        <v>743</v>
      </c>
      <c r="J895" t="s">
        <v>746</v>
      </c>
      <c r="K895" t="s">
        <v>546</v>
      </c>
      <c r="L895" s="784" t="s">
        <v>575</v>
      </c>
      <c r="M895" t="s">
        <v>745</v>
      </c>
      <c r="P895" t="s">
        <v>1887</v>
      </c>
      <c r="Q895" t="s">
        <v>575</v>
      </c>
      <c r="R895" t="s">
        <v>150</v>
      </c>
      <c r="S895" t="s">
        <v>145</v>
      </c>
      <c r="U895">
        <v>0</v>
      </c>
      <c r="V895" t="s">
        <v>544</v>
      </c>
      <c r="W895" t="s">
        <v>542</v>
      </c>
      <c r="X895" s="784">
        <v>515352723.9821828</v>
      </c>
    </row>
    <row r="896" spans="1:24">
      <c r="A896" t="s">
        <v>358</v>
      </c>
      <c r="B896" t="s">
        <v>700</v>
      </c>
      <c r="C896" t="s">
        <v>298</v>
      </c>
      <c r="D896" t="s">
        <v>128</v>
      </c>
      <c r="E896" t="s">
        <v>377</v>
      </c>
      <c r="F896" t="s">
        <v>383</v>
      </c>
      <c r="G896" t="s">
        <v>333</v>
      </c>
      <c r="H896" t="s">
        <v>333</v>
      </c>
      <c r="I896" t="s">
        <v>743</v>
      </c>
      <c r="J896" t="s">
        <v>746</v>
      </c>
      <c r="K896" t="s">
        <v>546</v>
      </c>
      <c r="L896" s="784" t="s">
        <v>575</v>
      </c>
      <c r="M896" t="s">
        <v>745</v>
      </c>
      <c r="P896" t="s">
        <v>1887</v>
      </c>
      <c r="Q896" t="s">
        <v>575</v>
      </c>
      <c r="R896" t="s">
        <v>150</v>
      </c>
      <c r="S896" t="s">
        <v>145</v>
      </c>
      <c r="U896">
        <v>0</v>
      </c>
      <c r="V896" t="s">
        <v>544</v>
      </c>
      <c r="W896" t="s">
        <v>546</v>
      </c>
      <c r="X896" s="784">
        <v>566711742.22428358</v>
      </c>
    </row>
    <row r="897" spans="1:24">
      <c r="A897" t="s">
        <v>358</v>
      </c>
      <c r="B897" t="s">
        <v>540</v>
      </c>
      <c r="C897" t="s">
        <v>160</v>
      </c>
      <c r="D897" t="s">
        <v>132</v>
      </c>
      <c r="E897" t="s">
        <v>377</v>
      </c>
      <c r="F897" t="s">
        <v>383</v>
      </c>
      <c r="G897" t="s">
        <v>334</v>
      </c>
      <c r="H897" t="s">
        <v>334</v>
      </c>
      <c r="I897" t="s">
        <v>743</v>
      </c>
      <c r="J897" t="s">
        <v>744</v>
      </c>
      <c r="K897" t="s">
        <v>546</v>
      </c>
      <c r="L897" s="784" t="s">
        <v>575</v>
      </c>
      <c r="M897" t="s">
        <v>745</v>
      </c>
      <c r="P897" t="s">
        <v>1887</v>
      </c>
      <c r="R897" t="s">
        <v>148</v>
      </c>
      <c r="S897" t="s">
        <v>145</v>
      </c>
      <c r="U897">
        <v>1</v>
      </c>
      <c r="V897" t="s">
        <v>544</v>
      </c>
      <c r="W897" t="s">
        <v>542</v>
      </c>
      <c r="X897" s="784">
        <v>95829480.719269618</v>
      </c>
    </row>
    <row r="898" spans="1:24">
      <c r="A898" t="s">
        <v>358</v>
      </c>
      <c r="B898" t="s">
        <v>543</v>
      </c>
      <c r="C898" t="s">
        <v>161</v>
      </c>
      <c r="D898" t="s">
        <v>127</v>
      </c>
      <c r="E898" t="s">
        <v>377</v>
      </c>
      <c r="F898" t="s">
        <v>383</v>
      </c>
      <c r="G898" t="s">
        <v>334</v>
      </c>
      <c r="H898" t="s">
        <v>334</v>
      </c>
      <c r="I898" t="s">
        <v>743</v>
      </c>
      <c r="J898" t="s">
        <v>744</v>
      </c>
      <c r="K898" t="s">
        <v>546</v>
      </c>
      <c r="L898" s="784" t="s">
        <v>575</v>
      </c>
      <c r="M898" t="s">
        <v>745</v>
      </c>
      <c r="P898" t="s">
        <v>1887</v>
      </c>
      <c r="R898" t="s">
        <v>152</v>
      </c>
      <c r="S898" t="s">
        <v>146</v>
      </c>
      <c r="U898">
        <v>0</v>
      </c>
      <c r="V898" t="s">
        <v>544</v>
      </c>
      <c r="W898" t="s">
        <v>575</v>
      </c>
      <c r="X898" s="784">
        <v>427904035.52443534</v>
      </c>
    </row>
    <row r="899" spans="1:24">
      <c r="A899" t="s">
        <v>358</v>
      </c>
      <c r="B899" t="s">
        <v>545</v>
      </c>
      <c r="C899" t="s">
        <v>143</v>
      </c>
      <c r="D899" t="s">
        <v>131</v>
      </c>
      <c r="E899" t="s">
        <v>377</v>
      </c>
      <c r="F899" t="s">
        <v>383</v>
      </c>
      <c r="G899" t="s">
        <v>334</v>
      </c>
      <c r="H899" t="s">
        <v>334</v>
      </c>
      <c r="I899" t="s">
        <v>743</v>
      </c>
      <c r="J899" t="s">
        <v>744</v>
      </c>
      <c r="K899" t="s">
        <v>546</v>
      </c>
      <c r="L899" s="784" t="s">
        <v>575</v>
      </c>
      <c r="M899" t="s">
        <v>745</v>
      </c>
      <c r="P899" t="s">
        <v>1887</v>
      </c>
      <c r="R899" t="s">
        <v>150</v>
      </c>
      <c r="S899" t="s">
        <v>145</v>
      </c>
      <c r="U899">
        <v>0</v>
      </c>
      <c r="V899" t="s">
        <v>544</v>
      </c>
      <c r="W899" t="s">
        <v>546</v>
      </c>
      <c r="X899" s="784">
        <v>7113361022.7267885</v>
      </c>
    </row>
    <row r="900" spans="1:24">
      <c r="A900" t="s">
        <v>358</v>
      </c>
      <c r="B900" t="s">
        <v>547</v>
      </c>
      <c r="C900" t="s">
        <v>162</v>
      </c>
      <c r="D900" t="s">
        <v>128</v>
      </c>
      <c r="E900" t="s">
        <v>377</v>
      </c>
      <c r="F900" t="s">
        <v>383</v>
      </c>
      <c r="G900" t="s">
        <v>334</v>
      </c>
      <c r="H900" t="s">
        <v>334</v>
      </c>
      <c r="I900" t="s">
        <v>743</v>
      </c>
      <c r="J900" t="s">
        <v>744</v>
      </c>
      <c r="K900" t="s">
        <v>546</v>
      </c>
      <c r="L900" s="784" t="s">
        <v>575</v>
      </c>
      <c r="M900" t="s">
        <v>745</v>
      </c>
      <c r="P900" t="s">
        <v>1887</v>
      </c>
      <c r="R900" t="s">
        <v>150</v>
      </c>
      <c r="S900" t="s">
        <v>145</v>
      </c>
      <c r="U900">
        <v>0</v>
      </c>
      <c r="V900" t="s">
        <v>544</v>
      </c>
      <c r="W900" t="s">
        <v>548</v>
      </c>
      <c r="X900" s="784">
        <v>1131865946.5875781</v>
      </c>
    </row>
    <row r="901" spans="1:24">
      <c r="A901" t="s">
        <v>358</v>
      </c>
      <c r="B901" t="s">
        <v>549</v>
      </c>
      <c r="C901" t="s">
        <v>163</v>
      </c>
      <c r="D901" t="s">
        <v>130</v>
      </c>
      <c r="E901" t="s">
        <v>377</v>
      </c>
      <c r="F901" t="s">
        <v>383</v>
      </c>
      <c r="G901" t="s">
        <v>334</v>
      </c>
      <c r="H901" t="s">
        <v>334</v>
      </c>
      <c r="I901" t="s">
        <v>743</v>
      </c>
      <c r="J901" t="s">
        <v>744</v>
      </c>
      <c r="K901" t="s">
        <v>546</v>
      </c>
      <c r="L901" s="784" t="s">
        <v>575</v>
      </c>
      <c r="M901" t="s">
        <v>745</v>
      </c>
      <c r="P901" t="s">
        <v>1887</v>
      </c>
      <c r="R901" t="s">
        <v>550</v>
      </c>
      <c r="S901" t="s">
        <v>146</v>
      </c>
      <c r="U901">
        <v>0</v>
      </c>
      <c r="V901" t="s">
        <v>541</v>
      </c>
      <c r="W901" t="s">
        <v>575</v>
      </c>
      <c r="X901" s="784">
        <v>46777779.823447868</v>
      </c>
    </row>
    <row r="902" spans="1:24">
      <c r="A902" t="s">
        <v>358</v>
      </c>
      <c r="B902" t="s">
        <v>551</v>
      </c>
      <c r="C902" t="s">
        <v>164</v>
      </c>
      <c r="D902" t="s">
        <v>130</v>
      </c>
      <c r="E902" t="s">
        <v>377</v>
      </c>
      <c r="F902" t="s">
        <v>383</v>
      </c>
      <c r="G902" t="s">
        <v>334</v>
      </c>
      <c r="H902" t="s">
        <v>334</v>
      </c>
      <c r="I902" t="s">
        <v>743</v>
      </c>
      <c r="J902" t="s">
        <v>744</v>
      </c>
      <c r="K902" t="s">
        <v>546</v>
      </c>
      <c r="L902" s="784">
        <v>93117000</v>
      </c>
      <c r="M902" t="s">
        <v>745</v>
      </c>
      <c r="P902" t="s">
        <v>1887</v>
      </c>
      <c r="R902" t="s">
        <v>152</v>
      </c>
      <c r="S902" t="s">
        <v>146</v>
      </c>
      <c r="U902">
        <v>0</v>
      </c>
      <c r="V902" t="s">
        <v>544</v>
      </c>
      <c r="W902" t="s">
        <v>575</v>
      </c>
      <c r="X902" s="784">
        <v>30725305777.596794</v>
      </c>
    </row>
    <row r="903" spans="1:24">
      <c r="A903" t="s">
        <v>358</v>
      </c>
      <c r="B903" t="s">
        <v>553</v>
      </c>
      <c r="C903" t="s">
        <v>165</v>
      </c>
      <c r="D903" t="s">
        <v>127</v>
      </c>
      <c r="E903" t="s">
        <v>377</v>
      </c>
      <c r="F903" t="s">
        <v>383</v>
      </c>
      <c r="G903" t="s">
        <v>334</v>
      </c>
      <c r="H903" t="s">
        <v>334</v>
      </c>
      <c r="I903" t="s">
        <v>743</v>
      </c>
      <c r="J903" t="s">
        <v>744</v>
      </c>
      <c r="K903" t="s">
        <v>546</v>
      </c>
      <c r="L903" s="784" t="s">
        <v>575</v>
      </c>
      <c r="M903" t="s">
        <v>745</v>
      </c>
      <c r="P903" t="s">
        <v>1887</v>
      </c>
      <c r="R903" t="s">
        <v>152</v>
      </c>
      <c r="S903" t="s">
        <v>146</v>
      </c>
      <c r="U903">
        <v>0</v>
      </c>
      <c r="V903" t="s">
        <v>544</v>
      </c>
      <c r="W903" t="s">
        <v>575</v>
      </c>
      <c r="X903" s="784">
        <v>153815827.8380394</v>
      </c>
    </row>
    <row r="904" spans="1:24">
      <c r="A904" t="s">
        <v>358</v>
      </c>
      <c r="B904" t="s">
        <v>554</v>
      </c>
      <c r="C904" t="s">
        <v>166</v>
      </c>
      <c r="D904" t="s">
        <v>127</v>
      </c>
      <c r="E904" t="s">
        <v>377</v>
      </c>
      <c r="F904" t="s">
        <v>383</v>
      </c>
      <c r="G904" t="s">
        <v>334</v>
      </c>
      <c r="H904" t="s">
        <v>334</v>
      </c>
      <c r="I904" t="s">
        <v>743</v>
      </c>
      <c r="J904" t="s">
        <v>744</v>
      </c>
      <c r="K904" t="s">
        <v>546</v>
      </c>
      <c r="L904" s="784" t="s">
        <v>575</v>
      </c>
      <c r="M904" t="s">
        <v>745</v>
      </c>
      <c r="P904" t="s">
        <v>1887</v>
      </c>
      <c r="R904" t="s">
        <v>152</v>
      </c>
      <c r="S904" t="s">
        <v>146</v>
      </c>
      <c r="U904">
        <v>0</v>
      </c>
      <c r="V904" t="s">
        <v>544</v>
      </c>
      <c r="W904" t="s">
        <v>546</v>
      </c>
      <c r="X904" s="784">
        <v>437525105.31216973</v>
      </c>
    </row>
    <row r="905" spans="1:24">
      <c r="A905" t="s">
        <v>358</v>
      </c>
      <c r="B905" t="s">
        <v>555</v>
      </c>
      <c r="C905" t="s">
        <v>556</v>
      </c>
      <c r="D905" t="s">
        <v>130</v>
      </c>
      <c r="E905" t="s">
        <v>377</v>
      </c>
      <c r="F905" t="s">
        <v>383</v>
      </c>
      <c r="G905" t="s">
        <v>334</v>
      </c>
      <c r="H905" t="s">
        <v>334</v>
      </c>
      <c r="I905" t="s">
        <v>743</v>
      </c>
      <c r="J905" t="s">
        <v>744</v>
      </c>
      <c r="K905" t="s">
        <v>546</v>
      </c>
      <c r="L905" s="784" t="s">
        <v>575</v>
      </c>
      <c r="M905" t="s">
        <v>745</v>
      </c>
      <c r="P905" t="s">
        <v>1887</v>
      </c>
      <c r="R905" t="s">
        <v>550</v>
      </c>
      <c r="S905" t="s">
        <v>146</v>
      </c>
      <c r="U905">
        <v>0</v>
      </c>
      <c r="V905" t="s">
        <v>541</v>
      </c>
      <c r="W905" t="s">
        <v>575</v>
      </c>
      <c r="X905" s="784">
        <v>149463302.00602186</v>
      </c>
    </row>
    <row r="906" spans="1:24">
      <c r="A906" t="s">
        <v>358</v>
      </c>
      <c r="B906" t="s">
        <v>557</v>
      </c>
      <c r="C906" t="s">
        <v>167</v>
      </c>
      <c r="D906" t="s">
        <v>132</v>
      </c>
      <c r="E906" t="s">
        <v>377</v>
      </c>
      <c r="F906" t="s">
        <v>383</v>
      </c>
      <c r="G906" t="s">
        <v>334</v>
      </c>
      <c r="H906" t="s">
        <v>334</v>
      </c>
      <c r="I906" t="s">
        <v>743</v>
      </c>
      <c r="J906" t="s">
        <v>744</v>
      </c>
      <c r="K906" t="s">
        <v>546</v>
      </c>
      <c r="L906" s="784" t="s">
        <v>575</v>
      </c>
      <c r="M906" t="s">
        <v>745</v>
      </c>
      <c r="P906" t="s">
        <v>1887</v>
      </c>
      <c r="R906" t="s">
        <v>150</v>
      </c>
      <c r="S906" t="s">
        <v>145</v>
      </c>
      <c r="U906">
        <v>0</v>
      </c>
      <c r="V906" t="s">
        <v>544</v>
      </c>
      <c r="W906" t="s">
        <v>558</v>
      </c>
      <c r="X906" s="784">
        <v>1148322593.9600098</v>
      </c>
    </row>
    <row r="907" spans="1:24">
      <c r="A907" t="s">
        <v>358</v>
      </c>
      <c r="B907" t="s">
        <v>559</v>
      </c>
      <c r="C907" t="s">
        <v>168</v>
      </c>
      <c r="D907" t="s">
        <v>127</v>
      </c>
      <c r="E907" t="s">
        <v>377</v>
      </c>
      <c r="F907" t="s">
        <v>383</v>
      </c>
      <c r="G907" t="s">
        <v>334</v>
      </c>
      <c r="H907" t="s">
        <v>334</v>
      </c>
      <c r="I907" t="s">
        <v>743</v>
      </c>
      <c r="J907" t="s">
        <v>744</v>
      </c>
      <c r="K907" t="s">
        <v>546</v>
      </c>
      <c r="L907" s="784" t="s">
        <v>575</v>
      </c>
      <c r="M907" t="s">
        <v>745</v>
      </c>
      <c r="P907" t="s">
        <v>1887</v>
      </c>
      <c r="R907" t="s">
        <v>152</v>
      </c>
      <c r="S907" t="s">
        <v>146</v>
      </c>
      <c r="U907">
        <v>0</v>
      </c>
      <c r="V907" t="s">
        <v>544</v>
      </c>
      <c r="W907" t="s">
        <v>575</v>
      </c>
      <c r="X907" s="784">
        <v>2371102058.1093163</v>
      </c>
    </row>
    <row r="908" spans="1:24">
      <c r="A908" t="s">
        <v>358</v>
      </c>
      <c r="B908" t="s">
        <v>560</v>
      </c>
      <c r="C908" t="s">
        <v>169</v>
      </c>
      <c r="D908" t="s">
        <v>130</v>
      </c>
      <c r="E908" t="s">
        <v>377</v>
      </c>
      <c r="F908" t="s">
        <v>383</v>
      </c>
      <c r="G908" t="s">
        <v>334</v>
      </c>
      <c r="H908" t="s">
        <v>334</v>
      </c>
      <c r="I908" t="s">
        <v>743</v>
      </c>
      <c r="J908" t="s">
        <v>744</v>
      </c>
      <c r="K908" t="s">
        <v>546</v>
      </c>
      <c r="L908" s="784">
        <v>2210705</v>
      </c>
      <c r="M908" t="s">
        <v>745</v>
      </c>
      <c r="P908" t="s">
        <v>1887</v>
      </c>
      <c r="R908" t="s">
        <v>150</v>
      </c>
      <c r="S908" t="s">
        <v>146</v>
      </c>
      <c r="U908">
        <v>0</v>
      </c>
      <c r="V908" t="s">
        <v>541</v>
      </c>
      <c r="W908" t="s">
        <v>546</v>
      </c>
      <c r="X908" s="784">
        <v>75151620.005215243</v>
      </c>
    </row>
    <row r="909" spans="1:24">
      <c r="A909" t="s">
        <v>358</v>
      </c>
      <c r="B909" t="s">
        <v>561</v>
      </c>
      <c r="C909" t="s">
        <v>170</v>
      </c>
      <c r="D909" t="s">
        <v>129</v>
      </c>
      <c r="E909" t="s">
        <v>377</v>
      </c>
      <c r="F909" t="s">
        <v>383</v>
      </c>
      <c r="G909" t="s">
        <v>334</v>
      </c>
      <c r="H909" t="s">
        <v>334</v>
      </c>
      <c r="I909" t="s">
        <v>743</v>
      </c>
      <c r="J909" t="s">
        <v>744</v>
      </c>
      <c r="K909" t="s">
        <v>546</v>
      </c>
      <c r="L909" s="784" t="s">
        <v>575</v>
      </c>
      <c r="M909" t="s">
        <v>745</v>
      </c>
      <c r="P909" t="s">
        <v>1887</v>
      </c>
      <c r="R909" t="s">
        <v>150</v>
      </c>
      <c r="S909" t="s">
        <v>145</v>
      </c>
      <c r="U909">
        <v>0</v>
      </c>
      <c r="V909" t="s">
        <v>544</v>
      </c>
      <c r="W909" t="s">
        <v>562</v>
      </c>
      <c r="X909" s="784">
        <v>69958487.197715744</v>
      </c>
    </row>
    <row r="910" spans="1:24">
      <c r="A910" t="s">
        <v>358</v>
      </c>
      <c r="B910" t="s">
        <v>563</v>
      </c>
      <c r="C910" t="s">
        <v>171</v>
      </c>
      <c r="D910" t="s">
        <v>132</v>
      </c>
      <c r="E910" t="s">
        <v>377</v>
      </c>
      <c r="F910" t="s">
        <v>383</v>
      </c>
      <c r="G910" t="s">
        <v>334</v>
      </c>
      <c r="H910" t="s">
        <v>334</v>
      </c>
      <c r="I910" t="s">
        <v>743</v>
      </c>
      <c r="J910" t="s">
        <v>744</v>
      </c>
      <c r="K910" t="s">
        <v>546</v>
      </c>
      <c r="L910" s="784" t="s">
        <v>575</v>
      </c>
      <c r="M910" t="s">
        <v>745</v>
      </c>
      <c r="P910" t="s">
        <v>1887</v>
      </c>
      <c r="R910" t="s">
        <v>150</v>
      </c>
      <c r="S910" t="s">
        <v>145</v>
      </c>
      <c r="U910">
        <v>0</v>
      </c>
      <c r="V910" t="s">
        <v>544</v>
      </c>
      <c r="W910" t="s">
        <v>548</v>
      </c>
      <c r="X910" s="784">
        <v>61654608.560629159</v>
      </c>
    </row>
    <row r="911" spans="1:24">
      <c r="A911" t="s">
        <v>358</v>
      </c>
      <c r="B911" t="s">
        <v>564</v>
      </c>
      <c r="C911" t="s">
        <v>172</v>
      </c>
      <c r="D911" t="s">
        <v>130</v>
      </c>
      <c r="E911" t="s">
        <v>377</v>
      </c>
      <c r="F911" t="s">
        <v>383</v>
      </c>
      <c r="G911" t="s">
        <v>334</v>
      </c>
      <c r="H911" t="s">
        <v>334</v>
      </c>
      <c r="I911" t="s">
        <v>743</v>
      </c>
      <c r="J911" t="s">
        <v>744</v>
      </c>
      <c r="K911" t="s">
        <v>546</v>
      </c>
      <c r="L911" s="784" t="s">
        <v>575</v>
      </c>
      <c r="M911" t="s">
        <v>745</v>
      </c>
      <c r="P911" t="s">
        <v>1887</v>
      </c>
      <c r="R911" t="s">
        <v>150</v>
      </c>
      <c r="S911" t="s">
        <v>145</v>
      </c>
      <c r="U911">
        <v>0</v>
      </c>
      <c r="V911" t="s">
        <v>544</v>
      </c>
      <c r="W911" t="s">
        <v>546</v>
      </c>
      <c r="X911" s="784">
        <v>1806638707.7615163</v>
      </c>
    </row>
    <row r="912" spans="1:24">
      <c r="A912" t="s">
        <v>358</v>
      </c>
      <c r="B912" t="s">
        <v>565</v>
      </c>
      <c r="C912" t="s">
        <v>174</v>
      </c>
      <c r="D912" t="s">
        <v>127</v>
      </c>
      <c r="E912" t="s">
        <v>377</v>
      </c>
      <c r="F912" t="s">
        <v>383</v>
      </c>
      <c r="G912" t="s">
        <v>334</v>
      </c>
      <c r="H912" t="s">
        <v>334</v>
      </c>
      <c r="I912" t="s">
        <v>743</v>
      </c>
      <c r="J912" t="s">
        <v>744</v>
      </c>
      <c r="K912" t="s">
        <v>546</v>
      </c>
      <c r="L912" s="784" t="s">
        <v>575</v>
      </c>
      <c r="M912" t="s">
        <v>745</v>
      </c>
      <c r="P912" t="s">
        <v>1887</v>
      </c>
      <c r="R912" t="s">
        <v>152</v>
      </c>
      <c r="S912" t="s">
        <v>146</v>
      </c>
      <c r="U912">
        <v>0</v>
      </c>
      <c r="V912" t="s">
        <v>544</v>
      </c>
      <c r="W912" t="s">
        <v>546</v>
      </c>
      <c r="X912" s="784">
        <v>1252696525.0627904</v>
      </c>
    </row>
    <row r="913" spans="1:24">
      <c r="A913" t="s">
        <v>358</v>
      </c>
      <c r="B913" t="s">
        <v>566</v>
      </c>
      <c r="C913" t="s">
        <v>175</v>
      </c>
      <c r="D913" t="s">
        <v>128</v>
      </c>
      <c r="E913" t="s">
        <v>377</v>
      </c>
      <c r="F913" t="s">
        <v>383</v>
      </c>
      <c r="G913" t="s">
        <v>334</v>
      </c>
      <c r="H913" t="s">
        <v>334</v>
      </c>
      <c r="I913" t="s">
        <v>743</v>
      </c>
      <c r="J913" t="s">
        <v>744</v>
      </c>
      <c r="K913" t="s">
        <v>546</v>
      </c>
      <c r="L913" s="784" t="s">
        <v>575</v>
      </c>
      <c r="M913" t="s">
        <v>745</v>
      </c>
      <c r="P913" t="s">
        <v>1887</v>
      </c>
      <c r="R913" t="s">
        <v>152</v>
      </c>
      <c r="S913" t="s">
        <v>146</v>
      </c>
      <c r="U913">
        <v>0</v>
      </c>
      <c r="V913" t="s">
        <v>544</v>
      </c>
      <c r="W913" t="s">
        <v>575</v>
      </c>
      <c r="X913" s="784">
        <v>843425084.07334602</v>
      </c>
    </row>
    <row r="914" spans="1:24">
      <c r="A914" t="s">
        <v>358</v>
      </c>
      <c r="B914" t="s">
        <v>567</v>
      </c>
      <c r="C914" t="s">
        <v>144</v>
      </c>
      <c r="D914" t="s">
        <v>130</v>
      </c>
      <c r="E914" t="s">
        <v>377</v>
      </c>
      <c r="F914" t="s">
        <v>383</v>
      </c>
      <c r="G914" t="s">
        <v>334</v>
      </c>
      <c r="H914" t="s">
        <v>334</v>
      </c>
      <c r="I914" t="s">
        <v>743</v>
      </c>
      <c r="J914" t="s">
        <v>744</v>
      </c>
      <c r="K914" t="s">
        <v>546</v>
      </c>
      <c r="L914" s="784" t="s">
        <v>575</v>
      </c>
      <c r="M914" t="s">
        <v>745</v>
      </c>
      <c r="P914" t="s">
        <v>1887</v>
      </c>
      <c r="R914" t="s">
        <v>152</v>
      </c>
      <c r="S914" t="s">
        <v>146</v>
      </c>
      <c r="U914">
        <v>0</v>
      </c>
      <c r="V914" t="s">
        <v>544</v>
      </c>
      <c r="W914" t="s">
        <v>546</v>
      </c>
      <c r="X914" s="784">
        <v>74055620038.853683</v>
      </c>
    </row>
    <row r="915" spans="1:24">
      <c r="A915" t="s">
        <v>358</v>
      </c>
      <c r="B915" t="s">
        <v>568</v>
      </c>
      <c r="C915" t="s">
        <v>176</v>
      </c>
      <c r="D915" t="s">
        <v>127</v>
      </c>
      <c r="E915" t="s">
        <v>377</v>
      </c>
      <c r="F915" t="s">
        <v>383</v>
      </c>
      <c r="G915" t="s">
        <v>334</v>
      </c>
      <c r="H915" t="s">
        <v>334</v>
      </c>
      <c r="I915" t="s">
        <v>743</v>
      </c>
      <c r="J915" t="s">
        <v>744</v>
      </c>
      <c r="K915" t="s">
        <v>546</v>
      </c>
      <c r="L915" s="784" t="s">
        <v>575</v>
      </c>
      <c r="M915" t="s">
        <v>745</v>
      </c>
      <c r="P915" t="s">
        <v>1887</v>
      </c>
      <c r="R915" t="s">
        <v>152</v>
      </c>
      <c r="S915" t="s">
        <v>146</v>
      </c>
      <c r="U915">
        <v>0</v>
      </c>
      <c r="V915" t="s">
        <v>544</v>
      </c>
      <c r="W915" t="s">
        <v>575</v>
      </c>
      <c r="X915" s="784">
        <v>2803357765.5888777</v>
      </c>
    </row>
    <row r="916" spans="1:24">
      <c r="A916" t="s">
        <v>358</v>
      </c>
      <c r="B916" t="s">
        <v>569</v>
      </c>
      <c r="C916" t="s">
        <v>177</v>
      </c>
      <c r="D916" t="s">
        <v>129</v>
      </c>
      <c r="E916" t="s">
        <v>377</v>
      </c>
      <c r="F916" t="s">
        <v>383</v>
      </c>
      <c r="G916" t="s">
        <v>334</v>
      </c>
      <c r="H916" t="s">
        <v>334</v>
      </c>
      <c r="I916" t="s">
        <v>743</v>
      </c>
      <c r="J916" t="s">
        <v>744</v>
      </c>
      <c r="K916" t="s">
        <v>546</v>
      </c>
      <c r="L916" s="784" t="s">
        <v>575</v>
      </c>
      <c r="M916" t="s">
        <v>745</v>
      </c>
      <c r="P916" t="s">
        <v>1887</v>
      </c>
      <c r="R916" t="s">
        <v>148</v>
      </c>
      <c r="S916" t="s">
        <v>145</v>
      </c>
      <c r="U916">
        <v>2</v>
      </c>
      <c r="V916" t="s">
        <v>544</v>
      </c>
      <c r="W916" t="s">
        <v>562</v>
      </c>
      <c r="X916" s="784">
        <v>337927779.25510043</v>
      </c>
    </row>
    <row r="917" spans="1:24">
      <c r="A917" t="s">
        <v>358</v>
      </c>
      <c r="B917" t="s">
        <v>570</v>
      </c>
      <c r="C917" t="s">
        <v>178</v>
      </c>
      <c r="D917" t="s">
        <v>128</v>
      </c>
      <c r="E917" t="s">
        <v>377</v>
      </c>
      <c r="F917" t="s">
        <v>383</v>
      </c>
      <c r="G917" t="s">
        <v>334</v>
      </c>
      <c r="H917" t="s">
        <v>334</v>
      </c>
      <c r="I917" t="s">
        <v>743</v>
      </c>
      <c r="J917" t="s">
        <v>744</v>
      </c>
      <c r="K917" t="s">
        <v>546</v>
      </c>
      <c r="L917" s="784" t="s">
        <v>575</v>
      </c>
      <c r="M917" t="s">
        <v>745</v>
      </c>
      <c r="P917" t="s">
        <v>1887</v>
      </c>
      <c r="R917" t="s">
        <v>148</v>
      </c>
      <c r="S917" t="s">
        <v>145</v>
      </c>
      <c r="U917">
        <v>2</v>
      </c>
      <c r="V917" t="s">
        <v>544</v>
      </c>
      <c r="W917" t="s">
        <v>548</v>
      </c>
      <c r="X917" s="784">
        <v>65979512.47399316</v>
      </c>
    </row>
    <row r="918" spans="1:24">
      <c r="A918" t="s">
        <v>358</v>
      </c>
      <c r="B918" t="s">
        <v>571</v>
      </c>
      <c r="C918" t="s">
        <v>179</v>
      </c>
      <c r="D918" t="s">
        <v>129</v>
      </c>
      <c r="E918" t="s">
        <v>377</v>
      </c>
      <c r="F918" t="s">
        <v>383</v>
      </c>
      <c r="G918" t="s">
        <v>334</v>
      </c>
      <c r="H918" t="s">
        <v>334</v>
      </c>
      <c r="I918" t="s">
        <v>743</v>
      </c>
      <c r="J918" t="s">
        <v>744</v>
      </c>
      <c r="K918" t="s">
        <v>546</v>
      </c>
      <c r="L918" s="784" t="s">
        <v>575</v>
      </c>
      <c r="M918" t="s">
        <v>745</v>
      </c>
      <c r="P918" t="s">
        <v>1887</v>
      </c>
      <c r="R918" t="s">
        <v>150</v>
      </c>
      <c r="S918" t="s">
        <v>145</v>
      </c>
      <c r="U918">
        <v>0</v>
      </c>
      <c r="V918" t="s">
        <v>541</v>
      </c>
      <c r="W918" t="s">
        <v>542</v>
      </c>
      <c r="X918" s="784">
        <v>63748362.778827004</v>
      </c>
    </row>
    <row r="919" spans="1:24">
      <c r="A919" t="s">
        <v>358</v>
      </c>
      <c r="B919" t="s">
        <v>572</v>
      </c>
      <c r="C919" t="s">
        <v>180</v>
      </c>
      <c r="D919" t="s">
        <v>126</v>
      </c>
      <c r="E919" t="s">
        <v>377</v>
      </c>
      <c r="F919" t="s">
        <v>383</v>
      </c>
      <c r="G919" t="s">
        <v>334</v>
      </c>
      <c r="H919" t="s">
        <v>334</v>
      </c>
      <c r="I919" t="s">
        <v>743</v>
      </c>
      <c r="J919" t="s">
        <v>744</v>
      </c>
      <c r="K919" t="s">
        <v>546</v>
      </c>
      <c r="L919" s="784" t="s">
        <v>575</v>
      </c>
      <c r="M919" t="s">
        <v>745</v>
      </c>
      <c r="P919" t="s">
        <v>1887</v>
      </c>
      <c r="R919" t="s">
        <v>150</v>
      </c>
      <c r="S919" t="s">
        <v>145</v>
      </c>
      <c r="U919">
        <v>0</v>
      </c>
      <c r="V919" t="s">
        <v>544</v>
      </c>
      <c r="W919" t="s">
        <v>558</v>
      </c>
      <c r="X919" s="784">
        <v>313039649.45369786</v>
      </c>
    </row>
    <row r="920" spans="1:24">
      <c r="A920" t="s">
        <v>358</v>
      </c>
      <c r="B920" t="s">
        <v>573</v>
      </c>
      <c r="C920" t="s">
        <v>181</v>
      </c>
      <c r="D920" t="s">
        <v>129</v>
      </c>
      <c r="E920" t="s">
        <v>377</v>
      </c>
      <c r="F920" t="s">
        <v>383</v>
      </c>
      <c r="G920" t="s">
        <v>334</v>
      </c>
      <c r="H920" t="s">
        <v>334</v>
      </c>
      <c r="I920" t="s">
        <v>743</v>
      </c>
      <c r="J920" t="s">
        <v>744</v>
      </c>
      <c r="K920" t="s">
        <v>546</v>
      </c>
      <c r="L920" s="784" t="s">
        <v>575</v>
      </c>
      <c r="M920" t="s">
        <v>745</v>
      </c>
      <c r="P920" t="s">
        <v>1887</v>
      </c>
      <c r="R920" t="s">
        <v>150</v>
      </c>
      <c r="S920" t="s">
        <v>145</v>
      </c>
      <c r="U920">
        <v>2</v>
      </c>
      <c r="V920" t="s">
        <v>544</v>
      </c>
      <c r="W920" t="s">
        <v>542</v>
      </c>
      <c r="X920" s="784">
        <v>81361801.477472037</v>
      </c>
    </row>
    <row r="921" spans="1:24">
      <c r="A921" t="s">
        <v>358</v>
      </c>
      <c r="B921" t="s">
        <v>574</v>
      </c>
      <c r="C921" t="s">
        <v>182</v>
      </c>
      <c r="D921" t="s">
        <v>129</v>
      </c>
      <c r="E921" t="s">
        <v>377</v>
      </c>
      <c r="F921" t="s">
        <v>383</v>
      </c>
      <c r="G921" t="s">
        <v>334</v>
      </c>
      <c r="H921" t="s">
        <v>334</v>
      </c>
      <c r="I921" t="s">
        <v>743</v>
      </c>
      <c r="J921" t="s">
        <v>744</v>
      </c>
      <c r="K921" t="s">
        <v>546</v>
      </c>
      <c r="L921" s="784" t="s">
        <v>575</v>
      </c>
      <c r="M921" t="s">
        <v>745</v>
      </c>
      <c r="P921" t="s">
        <v>1887</v>
      </c>
      <c r="R921" t="s">
        <v>148</v>
      </c>
      <c r="S921" t="s">
        <v>145</v>
      </c>
      <c r="U921">
        <v>1</v>
      </c>
      <c r="V921" t="s">
        <v>544</v>
      </c>
      <c r="W921" t="s">
        <v>542</v>
      </c>
      <c r="X921" s="784" t="s">
        <v>575</v>
      </c>
    </row>
    <row r="922" spans="1:24">
      <c r="A922" t="s">
        <v>358</v>
      </c>
      <c r="B922" t="s">
        <v>576</v>
      </c>
      <c r="C922" t="s">
        <v>183</v>
      </c>
      <c r="D922" t="s">
        <v>129</v>
      </c>
      <c r="E922" t="s">
        <v>377</v>
      </c>
      <c r="F922" t="s">
        <v>383</v>
      </c>
      <c r="G922" t="s">
        <v>334</v>
      </c>
      <c r="H922" t="s">
        <v>334</v>
      </c>
      <c r="I922" t="s">
        <v>743</v>
      </c>
      <c r="J922" t="s">
        <v>744</v>
      </c>
      <c r="K922" t="s">
        <v>546</v>
      </c>
      <c r="L922" s="784" t="s">
        <v>575</v>
      </c>
      <c r="M922" t="s">
        <v>745</v>
      </c>
      <c r="P922" t="s">
        <v>1887</v>
      </c>
      <c r="R922" t="s">
        <v>148</v>
      </c>
      <c r="S922" t="s">
        <v>145</v>
      </c>
      <c r="U922">
        <v>1</v>
      </c>
      <c r="V922" t="s">
        <v>544</v>
      </c>
      <c r="W922" t="s">
        <v>542</v>
      </c>
      <c r="X922" s="784">
        <v>76939306.715636879</v>
      </c>
    </row>
    <row r="923" spans="1:24">
      <c r="A923" t="s">
        <v>358</v>
      </c>
      <c r="B923" t="s">
        <v>577</v>
      </c>
      <c r="C923" t="s">
        <v>184</v>
      </c>
      <c r="D923" t="s">
        <v>130</v>
      </c>
      <c r="E923" t="s">
        <v>377</v>
      </c>
      <c r="F923" t="s">
        <v>383</v>
      </c>
      <c r="G923" t="s">
        <v>334</v>
      </c>
      <c r="H923" t="s">
        <v>334</v>
      </c>
      <c r="I923" t="s">
        <v>743</v>
      </c>
      <c r="J923" t="s">
        <v>744</v>
      </c>
      <c r="K923" t="s">
        <v>546</v>
      </c>
      <c r="L923" s="784" t="s">
        <v>575</v>
      </c>
      <c r="M923" t="s">
        <v>745</v>
      </c>
      <c r="P923" t="s">
        <v>1887</v>
      </c>
      <c r="R923" t="s">
        <v>550</v>
      </c>
      <c r="S923" t="s">
        <v>146</v>
      </c>
      <c r="U923">
        <v>0</v>
      </c>
      <c r="V923" t="s">
        <v>544</v>
      </c>
      <c r="W923" t="s">
        <v>575</v>
      </c>
      <c r="X923" s="784">
        <v>13859708717.682571</v>
      </c>
    </row>
    <row r="924" spans="1:24">
      <c r="A924" t="s">
        <v>358</v>
      </c>
      <c r="B924" t="s">
        <v>578</v>
      </c>
      <c r="C924" t="s">
        <v>185</v>
      </c>
      <c r="D924" t="s">
        <v>126</v>
      </c>
      <c r="E924" t="s">
        <v>377</v>
      </c>
      <c r="F924" t="s">
        <v>383</v>
      </c>
      <c r="G924" t="s">
        <v>334</v>
      </c>
      <c r="H924" t="s">
        <v>334</v>
      </c>
      <c r="I924" t="s">
        <v>743</v>
      </c>
      <c r="J924" t="s">
        <v>744</v>
      </c>
      <c r="K924" t="s">
        <v>546</v>
      </c>
      <c r="L924" s="784" t="s">
        <v>575</v>
      </c>
      <c r="M924" t="s">
        <v>745</v>
      </c>
      <c r="P924" t="s">
        <v>1887</v>
      </c>
      <c r="R924" t="s">
        <v>152</v>
      </c>
      <c r="S924" t="s">
        <v>146</v>
      </c>
      <c r="U924">
        <v>0</v>
      </c>
      <c r="V924" t="s">
        <v>544</v>
      </c>
      <c r="W924" t="s">
        <v>575</v>
      </c>
      <c r="X924" s="784">
        <v>403567160707.7016</v>
      </c>
    </row>
    <row r="925" spans="1:24">
      <c r="A925" t="s">
        <v>358</v>
      </c>
      <c r="B925" t="s">
        <v>579</v>
      </c>
      <c r="C925" t="s">
        <v>186</v>
      </c>
      <c r="D925" t="s">
        <v>130</v>
      </c>
      <c r="E925" t="s">
        <v>377</v>
      </c>
      <c r="F925" t="s">
        <v>383</v>
      </c>
      <c r="G925" t="s">
        <v>334</v>
      </c>
      <c r="H925" t="s">
        <v>334</v>
      </c>
      <c r="I925" t="s">
        <v>743</v>
      </c>
      <c r="J925" t="s">
        <v>744</v>
      </c>
      <c r="K925" t="s">
        <v>546</v>
      </c>
      <c r="L925" s="784" t="s">
        <v>575</v>
      </c>
      <c r="M925" t="s">
        <v>745</v>
      </c>
      <c r="P925" t="s">
        <v>1887</v>
      </c>
      <c r="R925" t="s">
        <v>152</v>
      </c>
      <c r="S925" t="s">
        <v>146</v>
      </c>
      <c r="U925">
        <v>0</v>
      </c>
      <c r="V925" t="s">
        <v>544</v>
      </c>
      <c r="W925" t="s">
        <v>575</v>
      </c>
      <c r="X925" s="784">
        <v>18250225995.972618</v>
      </c>
    </row>
    <row r="926" spans="1:24">
      <c r="A926" t="s">
        <v>358</v>
      </c>
      <c r="B926" t="s">
        <v>580</v>
      </c>
      <c r="C926" t="s">
        <v>187</v>
      </c>
      <c r="D926" t="s">
        <v>128</v>
      </c>
      <c r="E926" t="s">
        <v>377</v>
      </c>
      <c r="F926" t="s">
        <v>383</v>
      </c>
      <c r="G926" t="s">
        <v>334</v>
      </c>
      <c r="H926" t="s">
        <v>334</v>
      </c>
      <c r="I926" t="s">
        <v>743</v>
      </c>
      <c r="J926" t="s">
        <v>744</v>
      </c>
      <c r="K926" t="s">
        <v>546</v>
      </c>
      <c r="L926" s="784" t="s">
        <v>575</v>
      </c>
      <c r="M926" t="s">
        <v>745</v>
      </c>
      <c r="P926" t="s">
        <v>1887</v>
      </c>
      <c r="R926" t="s">
        <v>150</v>
      </c>
      <c r="S926" t="s">
        <v>145</v>
      </c>
      <c r="U926">
        <v>0</v>
      </c>
      <c r="V926" t="s">
        <v>541</v>
      </c>
      <c r="W926" t="s">
        <v>562</v>
      </c>
      <c r="X926" s="784">
        <v>5027591.1682657599</v>
      </c>
    </row>
    <row r="927" spans="1:24">
      <c r="A927" t="s">
        <v>358</v>
      </c>
      <c r="B927" t="s">
        <v>581</v>
      </c>
      <c r="C927" t="s">
        <v>188</v>
      </c>
      <c r="D927" t="s">
        <v>129</v>
      </c>
      <c r="E927" t="s">
        <v>377</v>
      </c>
      <c r="F927" t="s">
        <v>383</v>
      </c>
      <c r="G927" t="s">
        <v>334</v>
      </c>
      <c r="H927" t="s">
        <v>334</v>
      </c>
      <c r="I927" t="s">
        <v>743</v>
      </c>
      <c r="J927" t="s">
        <v>744</v>
      </c>
      <c r="K927" t="s">
        <v>546</v>
      </c>
      <c r="L927" s="784" t="s">
        <v>575</v>
      </c>
      <c r="M927" t="s">
        <v>745</v>
      </c>
      <c r="P927" t="s">
        <v>1887</v>
      </c>
      <c r="R927" t="s">
        <v>148</v>
      </c>
      <c r="S927" t="s">
        <v>145</v>
      </c>
      <c r="U927">
        <v>3</v>
      </c>
      <c r="V927" t="s">
        <v>544</v>
      </c>
      <c r="W927" t="s">
        <v>562</v>
      </c>
      <c r="X927" s="784">
        <v>234645958.63289919</v>
      </c>
    </row>
    <row r="928" spans="1:24">
      <c r="A928" t="s">
        <v>358</v>
      </c>
      <c r="B928" t="s">
        <v>582</v>
      </c>
      <c r="C928" t="s">
        <v>189</v>
      </c>
      <c r="D928" t="s">
        <v>129</v>
      </c>
      <c r="E928" t="s">
        <v>377</v>
      </c>
      <c r="F928" t="s">
        <v>383</v>
      </c>
      <c r="G928" t="s">
        <v>334</v>
      </c>
      <c r="H928" t="s">
        <v>334</v>
      </c>
      <c r="I928" t="s">
        <v>743</v>
      </c>
      <c r="J928" t="s">
        <v>744</v>
      </c>
      <c r="K928" t="s">
        <v>546</v>
      </c>
      <c r="L928" s="784" t="s">
        <v>575</v>
      </c>
      <c r="M928" t="s">
        <v>745</v>
      </c>
      <c r="P928" t="s">
        <v>1887</v>
      </c>
      <c r="R928" t="s">
        <v>150</v>
      </c>
      <c r="S928" t="s">
        <v>145</v>
      </c>
      <c r="U928">
        <v>2</v>
      </c>
      <c r="V928" t="s">
        <v>544</v>
      </c>
      <c r="W928" t="s">
        <v>583</v>
      </c>
      <c r="X928" s="784">
        <v>91590910.247314155</v>
      </c>
    </row>
    <row r="929" spans="1:24">
      <c r="A929" t="s">
        <v>358</v>
      </c>
      <c r="B929" t="s">
        <v>584</v>
      </c>
      <c r="C929" t="s">
        <v>190</v>
      </c>
      <c r="D929" t="s">
        <v>126</v>
      </c>
      <c r="E929" t="s">
        <v>377</v>
      </c>
      <c r="F929" t="s">
        <v>383</v>
      </c>
      <c r="G929" t="s">
        <v>334</v>
      </c>
      <c r="H929" t="s">
        <v>334</v>
      </c>
      <c r="I929" t="s">
        <v>743</v>
      </c>
      <c r="J929" t="s">
        <v>744</v>
      </c>
      <c r="K929" t="s">
        <v>546</v>
      </c>
      <c r="L929" s="784" t="s">
        <v>575</v>
      </c>
      <c r="M929" t="s">
        <v>745</v>
      </c>
      <c r="P929" t="s">
        <v>1887</v>
      </c>
      <c r="R929" t="s">
        <v>322</v>
      </c>
      <c r="S929" t="s">
        <v>146</v>
      </c>
      <c r="U929">
        <v>0</v>
      </c>
      <c r="V929" t="s">
        <v>541</v>
      </c>
      <c r="W929" t="s">
        <v>546</v>
      </c>
      <c r="X929" s="784">
        <v>8560012.8840167802</v>
      </c>
    </row>
    <row r="930" spans="1:24">
      <c r="A930" t="s">
        <v>358</v>
      </c>
      <c r="B930" t="s">
        <v>585</v>
      </c>
      <c r="C930" t="s">
        <v>191</v>
      </c>
      <c r="D930" t="s">
        <v>130</v>
      </c>
      <c r="E930" t="s">
        <v>377</v>
      </c>
      <c r="F930" t="s">
        <v>383</v>
      </c>
      <c r="G930" t="s">
        <v>334</v>
      </c>
      <c r="H930" t="s">
        <v>334</v>
      </c>
      <c r="I930" t="s">
        <v>743</v>
      </c>
      <c r="J930" t="s">
        <v>744</v>
      </c>
      <c r="K930" t="s">
        <v>546</v>
      </c>
      <c r="L930" s="784" t="s">
        <v>575</v>
      </c>
      <c r="M930" t="s">
        <v>745</v>
      </c>
      <c r="P930" t="s">
        <v>1887</v>
      </c>
      <c r="R930" t="s">
        <v>152</v>
      </c>
      <c r="S930" t="s">
        <v>146</v>
      </c>
      <c r="U930">
        <v>0</v>
      </c>
      <c r="V930" t="s">
        <v>544</v>
      </c>
      <c r="W930" t="s">
        <v>546</v>
      </c>
      <c r="X930" s="784">
        <v>3292372960.3962669</v>
      </c>
    </row>
    <row r="931" spans="1:24">
      <c r="A931" t="s">
        <v>358</v>
      </c>
      <c r="B931" t="s">
        <v>586</v>
      </c>
      <c r="C931" t="s">
        <v>192</v>
      </c>
      <c r="D931" t="s">
        <v>129</v>
      </c>
      <c r="E931" t="s">
        <v>377</v>
      </c>
      <c r="F931" t="s">
        <v>383</v>
      </c>
      <c r="G931" t="s">
        <v>334</v>
      </c>
      <c r="H931" t="s">
        <v>334</v>
      </c>
      <c r="I931" t="s">
        <v>743</v>
      </c>
      <c r="J931" t="s">
        <v>744</v>
      </c>
      <c r="K931" t="s">
        <v>546</v>
      </c>
      <c r="L931" s="784" t="s">
        <v>575</v>
      </c>
      <c r="M931" t="s">
        <v>745</v>
      </c>
      <c r="P931" t="s">
        <v>1887</v>
      </c>
      <c r="R931" t="s">
        <v>150</v>
      </c>
      <c r="S931" t="s">
        <v>145</v>
      </c>
      <c r="U931">
        <v>0</v>
      </c>
      <c r="V931" t="s">
        <v>544</v>
      </c>
      <c r="W931" t="s">
        <v>562</v>
      </c>
      <c r="X931" s="784">
        <v>519209981.22981054</v>
      </c>
    </row>
    <row r="932" spans="1:24">
      <c r="A932" t="s">
        <v>358</v>
      </c>
      <c r="B932" t="s">
        <v>587</v>
      </c>
      <c r="C932" t="s">
        <v>193</v>
      </c>
      <c r="D932" t="s">
        <v>127</v>
      </c>
      <c r="E932" t="s">
        <v>377</v>
      </c>
      <c r="F932" t="s">
        <v>383</v>
      </c>
      <c r="G932" t="s">
        <v>334</v>
      </c>
      <c r="H932" t="s">
        <v>334</v>
      </c>
      <c r="I932" t="s">
        <v>743</v>
      </c>
      <c r="J932" t="s">
        <v>744</v>
      </c>
      <c r="K932" t="s">
        <v>546</v>
      </c>
      <c r="L932" s="784" t="s">
        <v>575</v>
      </c>
      <c r="M932" t="s">
        <v>745</v>
      </c>
      <c r="P932" t="s">
        <v>1887</v>
      </c>
      <c r="R932" t="s">
        <v>550</v>
      </c>
      <c r="S932" t="s">
        <v>146</v>
      </c>
      <c r="U932">
        <v>0</v>
      </c>
      <c r="V932" t="s">
        <v>544</v>
      </c>
      <c r="W932" t="s">
        <v>575</v>
      </c>
      <c r="X932" s="784">
        <v>3464739907.1604805</v>
      </c>
    </row>
    <row r="933" spans="1:24">
      <c r="A933" t="s">
        <v>358</v>
      </c>
      <c r="B933" t="s">
        <v>588</v>
      </c>
      <c r="C933" t="s">
        <v>147</v>
      </c>
      <c r="D933" t="s">
        <v>130</v>
      </c>
      <c r="E933" t="s">
        <v>377</v>
      </c>
      <c r="F933" t="s">
        <v>383</v>
      </c>
      <c r="G933" t="s">
        <v>334</v>
      </c>
      <c r="H933" t="s">
        <v>334</v>
      </c>
      <c r="I933" t="s">
        <v>743</v>
      </c>
      <c r="J933" t="s">
        <v>744</v>
      </c>
      <c r="K933" t="s">
        <v>546</v>
      </c>
      <c r="L933" s="784" t="s">
        <v>575</v>
      </c>
      <c r="M933" t="s">
        <v>745</v>
      </c>
      <c r="P933" t="s">
        <v>1887</v>
      </c>
      <c r="R933" t="s">
        <v>152</v>
      </c>
      <c r="S933" t="s">
        <v>146</v>
      </c>
      <c r="U933">
        <v>0</v>
      </c>
      <c r="V933" t="s">
        <v>541</v>
      </c>
      <c r="W933" t="s">
        <v>575</v>
      </c>
      <c r="X933" s="784">
        <v>9948521252.2569065</v>
      </c>
    </row>
    <row r="934" spans="1:24">
      <c r="A934" t="s">
        <v>358</v>
      </c>
      <c r="B934" t="s">
        <v>589</v>
      </c>
      <c r="C934" t="s">
        <v>194</v>
      </c>
      <c r="D934" t="s">
        <v>131</v>
      </c>
      <c r="E934" t="s">
        <v>377</v>
      </c>
      <c r="F934" t="s">
        <v>383</v>
      </c>
      <c r="G934" t="s">
        <v>334</v>
      </c>
      <c r="H934" t="s">
        <v>334</v>
      </c>
      <c r="I934" t="s">
        <v>743</v>
      </c>
      <c r="J934" t="s">
        <v>744</v>
      </c>
      <c r="K934" t="s">
        <v>546</v>
      </c>
      <c r="L934" s="784" t="s">
        <v>575</v>
      </c>
      <c r="M934" t="s">
        <v>745</v>
      </c>
      <c r="P934" t="s">
        <v>1887</v>
      </c>
      <c r="R934" t="s">
        <v>150</v>
      </c>
      <c r="S934" t="s">
        <v>145</v>
      </c>
      <c r="U934">
        <v>1</v>
      </c>
      <c r="V934" t="s">
        <v>544</v>
      </c>
      <c r="W934" t="s">
        <v>542</v>
      </c>
      <c r="X934" s="784">
        <v>33679192.765657313</v>
      </c>
    </row>
    <row r="935" spans="1:24">
      <c r="A935" t="s">
        <v>358</v>
      </c>
      <c r="B935" t="s">
        <v>590</v>
      </c>
      <c r="C935" t="s">
        <v>195</v>
      </c>
      <c r="D935" t="s">
        <v>130</v>
      </c>
      <c r="E935" t="s">
        <v>377</v>
      </c>
      <c r="F935" t="s">
        <v>383</v>
      </c>
      <c r="G935" t="s">
        <v>334</v>
      </c>
      <c r="H935" t="s">
        <v>334</v>
      </c>
      <c r="I935" t="s">
        <v>743</v>
      </c>
      <c r="J935" t="s">
        <v>744</v>
      </c>
      <c r="K935" t="s">
        <v>546</v>
      </c>
      <c r="L935" s="784" t="s">
        <v>575</v>
      </c>
      <c r="M935" t="s">
        <v>745</v>
      </c>
      <c r="P935" t="s">
        <v>1887</v>
      </c>
      <c r="R935" t="s">
        <v>152</v>
      </c>
      <c r="S935" t="s">
        <v>145</v>
      </c>
      <c r="U935">
        <v>0</v>
      </c>
      <c r="V935" t="s">
        <v>541</v>
      </c>
      <c r="W935" t="s">
        <v>548</v>
      </c>
      <c r="X935" s="784">
        <v>22784494.365742501</v>
      </c>
    </row>
    <row r="936" spans="1:24">
      <c r="A936" t="s">
        <v>358</v>
      </c>
      <c r="B936" t="s">
        <v>591</v>
      </c>
      <c r="C936" t="s">
        <v>196</v>
      </c>
      <c r="D936" t="s">
        <v>130</v>
      </c>
      <c r="E936" t="s">
        <v>377</v>
      </c>
      <c r="F936" t="s">
        <v>383</v>
      </c>
      <c r="G936" t="s">
        <v>334</v>
      </c>
      <c r="H936" t="s">
        <v>334</v>
      </c>
      <c r="I936" t="s">
        <v>743</v>
      </c>
      <c r="J936" t="s">
        <v>744</v>
      </c>
      <c r="K936" t="s">
        <v>546</v>
      </c>
      <c r="L936" s="784">
        <v>22889280</v>
      </c>
      <c r="M936" t="s">
        <v>745</v>
      </c>
      <c r="P936" t="s">
        <v>1887</v>
      </c>
      <c r="R936" t="s">
        <v>152</v>
      </c>
      <c r="S936" t="s">
        <v>146</v>
      </c>
      <c r="U936">
        <v>0</v>
      </c>
      <c r="V936" t="s">
        <v>541</v>
      </c>
      <c r="W936" t="s">
        <v>575</v>
      </c>
      <c r="X936" s="784">
        <v>2173208011.4858823</v>
      </c>
    </row>
    <row r="937" spans="1:24">
      <c r="A937" t="s">
        <v>358</v>
      </c>
      <c r="B937" t="s">
        <v>592</v>
      </c>
      <c r="C937" t="s">
        <v>197</v>
      </c>
      <c r="D937" t="s">
        <v>130</v>
      </c>
      <c r="E937" t="s">
        <v>377</v>
      </c>
      <c r="F937" t="s">
        <v>383</v>
      </c>
      <c r="G937" t="s">
        <v>334</v>
      </c>
      <c r="H937" t="s">
        <v>334</v>
      </c>
      <c r="I937" t="s">
        <v>743</v>
      </c>
      <c r="J937" t="s">
        <v>744</v>
      </c>
      <c r="K937" t="s">
        <v>546</v>
      </c>
      <c r="L937" s="784">
        <v>142567587</v>
      </c>
      <c r="M937" t="s">
        <v>745</v>
      </c>
      <c r="P937" t="s">
        <v>1887</v>
      </c>
      <c r="R937" t="s">
        <v>152</v>
      </c>
      <c r="S937" t="s">
        <v>146</v>
      </c>
      <c r="U937">
        <v>0</v>
      </c>
      <c r="V937" t="s">
        <v>544</v>
      </c>
      <c r="W937" t="s">
        <v>546</v>
      </c>
      <c r="X937" s="784">
        <v>4585736158.8323269</v>
      </c>
    </row>
    <row r="938" spans="1:24">
      <c r="A938" t="s">
        <v>358</v>
      </c>
      <c r="B938" t="s">
        <v>593</v>
      </c>
      <c r="C938" t="s">
        <v>198</v>
      </c>
      <c r="D938" t="s">
        <v>131</v>
      </c>
      <c r="E938" t="s">
        <v>377</v>
      </c>
      <c r="F938" t="s">
        <v>383</v>
      </c>
      <c r="G938" t="s">
        <v>334</v>
      </c>
      <c r="H938" t="s">
        <v>334</v>
      </c>
      <c r="I938" t="s">
        <v>743</v>
      </c>
      <c r="J938" t="s">
        <v>744</v>
      </c>
      <c r="K938" t="s">
        <v>546</v>
      </c>
      <c r="L938" s="784" t="s">
        <v>575</v>
      </c>
      <c r="M938" t="s">
        <v>745</v>
      </c>
      <c r="P938" t="s">
        <v>1887</v>
      </c>
      <c r="R938" t="s">
        <v>150</v>
      </c>
      <c r="S938" t="s">
        <v>145</v>
      </c>
      <c r="U938">
        <v>0</v>
      </c>
      <c r="V938" t="s">
        <v>544</v>
      </c>
      <c r="W938" t="s">
        <v>546</v>
      </c>
      <c r="X938" s="784">
        <v>3550291584.8645592</v>
      </c>
    </row>
    <row r="939" spans="1:24">
      <c r="A939" t="s">
        <v>358</v>
      </c>
      <c r="B939" t="s">
        <v>594</v>
      </c>
      <c r="C939" t="s">
        <v>199</v>
      </c>
      <c r="D939" t="s">
        <v>130</v>
      </c>
      <c r="E939" t="s">
        <v>377</v>
      </c>
      <c r="F939" t="s">
        <v>383</v>
      </c>
      <c r="G939" t="s">
        <v>334</v>
      </c>
      <c r="H939" t="s">
        <v>334</v>
      </c>
      <c r="I939" t="s">
        <v>743</v>
      </c>
      <c r="J939" t="s">
        <v>744</v>
      </c>
      <c r="K939" t="s">
        <v>546</v>
      </c>
      <c r="L939" s="784">
        <v>20000000</v>
      </c>
      <c r="M939" t="s">
        <v>745</v>
      </c>
      <c r="P939" t="s">
        <v>1887</v>
      </c>
      <c r="R939" t="s">
        <v>150</v>
      </c>
      <c r="S939" t="s">
        <v>145</v>
      </c>
      <c r="U939">
        <v>0</v>
      </c>
      <c r="V939" t="s">
        <v>544</v>
      </c>
      <c r="W939" t="s">
        <v>546</v>
      </c>
      <c r="X939" s="784">
        <v>1182840319.0410969</v>
      </c>
    </row>
    <row r="940" spans="1:24">
      <c r="A940" t="s">
        <v>358</v>
      </c>
      <c r="B940" t="s">
        <v>595</v>
      </c>
      <c r="C940" t="s">
        <v>200</v>
      </c>
      <c r="D940" t="s">
        <v>130</v>
      </c>
      <c r="E940" t="s">
        <v>377</v>
      </c>
      <c r="F940" t="s">
        <v>383</v>
      </c>
      <c r="G940" t="s">
        <v>334</v>
      </c>
      <c r="H940" t="s">
        <v>334</v>
      </c>
      <c r="I940" t="s">
        <v>743</v>
      </c>
      <c r="J940" t="s">
        <v>744</v>
      </c>
      <c r="K940" t="s">
        <v>546</v>
      </c>
      <c r="L940" s="784" t="s">
        <v>575</v>
      </c>
      <c r="M940" t="s">
        <v>745</v>
      </c>
      <c r="P940" t="s">
        <v>1887</v>
      </c>
      <c r="R940" t="s">
        <v>152</v>
      </c>
      <c r="S940" t="s">
        <v>146</v>
      </c>
      <c r="U940">
        <v>0</v>
      </c>
      <c r="V940" t="s">
        <v>544</v>
      </c>
      <c r="W940" t="s">
        <v>575</v>
      </c>
      <c r="X940" s="784">
        <v>81728347.604567245</v>
      </c>
    </row>
    <row r="941" spans="1:24">
      <c r="A941" t="s">
        <v>358</v>
      </c>
      <c r="B941" t="s">
        <v>596</v>
      </c>
      <c r="C941" t="s">
        <v>201</v>
      </c>
      <c r="D941" t="s">
        <v>128</v>
      </c>
      <c r="E941" t="s">
        <v>377</v>
      </c>
      <c r="F941" t="s">
        <v>383</v>
      </c>
      <c r="G941" t="s">
        <v>334</v>
      </c>
      <c r="H941" t="s">
        <v>334</v>
      </c>
      <c r="I941" t="s">
        <v>743</v>
      </c>
      <c r="J941" t="s">
        <v>744</v>
      </c>
      <c r="K941" t="s">
        <v>546</v>
      </c>
      <c r="L941" s="784" t="s">
        <v>575</v>
      </c>
      <c r="M941" t="s">
        <v>745</v>
      </c>
      <c r="P941" t="s">
        <v>1887</v>
      </c>
      <c r="R941" t="s">
        <v>148</v>
      </c>
      <c r="S941" t="s">
        <v>145</v>
      </c>
      <c r="U941">
        <v>2</v>
      </c>
      <c r="V941" t="s">
        <v>544</v>
      </c>
      <c r="W941" t="s">
        <v>546</v>
      </c>
      <c r="X941" s="784">
        <v>12787914.977715338</v>
      </c>
    </row>
    <row r="942" spans="1:24">
      <c r="A942" t="s">
        <v>358</v>
      </c>
      <c r="B942" t="s">
        <v>597</v>
      </c>
      <c r="C942" t="s">
        <v>202</v>
      </c>
      <c r="D942" t="s">
        <v>128</v>
      </c>
      <c r="E942" t="s">
        <v>377</v>
      </c>
      <c r="F942" t="s">
        <v>383</v>
      </c>
      <c r="G942" t="s">
        <v>334</v>
      </c>
      <c r="H942" t="s">
        <v>334</v>
      </c>
      <c r="I942" t="s">
        <v>743</v>
      </c>
      <c r="J942" t="s">
        <v>744</v>
      </c>
      <c r="K942" t="s">
        <v>546</v>
      </c>
      <c r="L942" s="784" t="s">
        <v>575</v>
      </c>
      <c r="M942" t="s">
        <v>745</v>
      </c>
      <c r="P942" t="s">
        <v>1887</v>
      </c>
      <c r="R942" t="s">
        <v>150</v>
      </c>
      <c r="S942" t="s">
        <v>145</v>
      </c>
      <c r="U942">
        <v>2</v>
      </c>
      <c r="V942" t="s">
        <v>544</v>
      </c>
      <c r="W942" t="s">
        <v>546</v>
      </c>
      <c r="X942" s="784">
        <v>101271737.65410839</v>
      </c>
    </row>
    <row r="943" spans="1:24">
      <c r="A943" t="s">
        <v>358</v>
      </c>
      <c r="B943" t="s">
        <v>598</v>
      </c>
      <c r="C943" t="s">
        <v>203</v>
      </c>
      <c r="D943" t="s">
        <v>128</v>
      </c>
      <c r="E943" t="s">
        <v>377</v>
      </c>
      <c r="F943" t="s">
        <v>383</v>
      </c>
      <c r="G943" t="s">
        <v>334</v>
      </c>
      <c r="H943" t="s">
        <v>334</v>
      </c>
      <c r="I943" t="s">
        <v>743</v>
      </c>
      <c r="J943" t="s">
        <v>744</v>
      </c>
      <c r="K943" t="s">
        <v>546</v>
      </c>
      <c r="L943" s="784" t="s">
        <v>575</v>
      </c>
      <c r="M943" t="s">
        <v>745</v>
      </c>
      <c r="P943" t="s">
        <v>1887</v>
      </c>
      <c r="R943" t="s">
        <v>148</v>
      </c>
      <c r="S943" t="s">
        <v>145</v>
      </c>
      <c r="U943">
        <v>3</v>
      </c>
      <c r="V943" t="s">
        <v>544</v>
      </c>
      <c r="W943" t="s">
        <v>542</v>
      </c>
      <c r="X943" s="784">
        <v>618344226.71759331</v>
      </c>
    </row>
    <row r="944" spans="1:24">
      <c r="A944" t="s">
        <v>358</v>
      </c>
      <c r="B944" t="s">
        <v>599</v>
      </c>
      <c r="C944" t="s">
        <v>204</v>
      </c>
      <c r="D944" t="s">
        <v>126</v>
      </c>
      <c r="E944" t="s">
        <v>377</v>
      </c>
      <c r="F944" t="s">
        <v>383</v>
      </c>
      <c r="G944" t="s">
        <v>334</v>
      </c>
      <c r="H944" t="s">
        <v>334</v>
      </c>
      <c r="I944" t="s">
        <v>743</v>
      </c>
      <c r="J944" t="s">
        <v>744</v>
      </c>
      <c r="K944" t="s">
        <v>546</v>
      </c>
      <c r="L944" s="784" t="s">
        <v>575</v>
      </c>
      <c r="M944" t="s">
        <v>745</v>
      </c>
      <c r="P944" t="s">
        <v>1887</v>
      </c>
      <c r="R944" t="s">
        <v>152</v>
      </c>
      <c r="S944" t="s">
        <v>145</v>
      </c>
      <c r="U944">
        <v>0</v>
      </c>
      <c r="V944" t="s">
        <v>541</v>
      </c>
      <c r="W944" t="s">
        <v>548</v>
      </c>
      <c r="X944" s="784">
        <v>129483872.95906857</v>
      </c>
    </row>
    <row r="945" spans="1:24">
      <c r="A945" t="s">
        <v>358</v>
      </c>
      <c r="B945" t="s">
        <v>600</v>
      </c>
      <c r="C945" t="s">
        <v>205</v>
      </c>
      <c r="D945" t="s">
        <v>129</v>
      </c>
      <c r="E945" t="s">
        <v>377</v>
      </c>
      <c r="F945" t="s">
        <v>383</v>
      </c>
      <c r="G945" t="s">
        <v>334</v>
      </c>
      <c r="H945" t="s">
        <v>334</v>
      </c>
      <c r="I945" t="s">
        <v>743</v>
      </c>
      <c r="J945" t="s">
        <v>744</v>
      </c>
      <c r="K945" t="s">
        <v>546</v>
      </c>
      <c r="L945" s="784" t="s">
        <v>575</v>
      </c>
      <c r="M945" t="s">
        <v>745</v>
      </c>
      <c r="P945" t="s">
        <v>1887</v>
      </c>
      <c r="R945" t="s">
        <v>152</v>
      </c>
      <c r="S945" t="s">
        <v>146</v>
      </c>
      <c r="U945">
        <v>0</v>
      </c>
      <c r="V945" t="s">
        <v>544</v>
      </c>
      <c r="W945" t="s">
        <v>546</v>
      </c>
      <c r="X945" s="784">
        <v>271184658.35014349</v>
      </c>
    </row>
    <row r="946" spans="1:24">
      <c r="A946" t="s">
        <v>358</v>
      </c>
      <c r="B946" t="s">
        <v>601</v>
      </c>
      <c r="C946" t="s">
        <v>206</v>
      </c>
      <c r="D946" t="s">
        <v>129</v>
      </c>
      <c r="E946" t="s">
        <v>377</v>
      </c>
      <c r="F946" t="s">
        <v>383</v>
      </c>
      <c r="G946" t="s">
        <v>334</v>
      </c>
      <c r="H946" t="s">
        <v>334</v>
      </c>
      <c r="I946" t="s">
        <v>743</v>
      </c>
      <c r="J946" t="s">
        <v>744</v>
      </c>
      <c r="K946" t="s">
        <v>546</v>
      </c>
      <c r="L946" s="784" t="s">
        <v>575</v>
      </c>
      <c r="M946" t="s">
        <v>745</v>
      </c>
      <c r="P946" t="s">
        <v>1887</v>
      </c>
      <c r="R946" t="s">
        <v>148</v>
      </c>
      <c r="S946" t="s">
        <v>145</v>
      </c>
      <c r="U946">
        <v>0</v>
      </c>
      <c r="V946" t="s">
        <v>544</v>
      </c>
      <c r="W946" t="s">
        <v>542</v>
      </c>
      <c r="X946" s="784">
        <v>15455265.086884515</v>
      </c>
    </row>
    <row r="947" spans="1:24">
      <c r="A947" t="s">
        <v>358</v>
      </c>
      <c r="B947" t="s">
        <v>602</v>
      </c>
      <c r="C947" t="s">
        <v>207</v>
      </c>
      <c r="D947" t="s">
        <v>127</v>
      </c>
      <c r="E947" t="s">
        <v>377</v>
      </c>
      <c r="F947" t="s">
        <v>383</v>
      </c>
      <c r="G947" t="s">
        <v>334</v>
      </c>
      <c r="H947" t="s">
        <v>334</v>
      </c>
      <c r="I947" t="s">
        <v>743</v>
      </c>
      <c r="J947" t="s">
        <v>744</v>
      </c>
      <c r="K947" t="s">
        <v>546</v>
      </c>
      <c r="L947" s="784" t="s">
        <v>575</v>
      </c>
      <c r="M947" t="s">
        <v>745</v>
      </c>
      <c r="P947" t="s">
        <v>1887</v>
      </c>
      <c r="R947" t="s">
        <v>152</v>
      </c>
      <c r="S947" t="s">
        <v>146</v>
      </c>
      <c r="U947">
        <v>0</v>
      </c>
      <c r="V947" t="s">
        <v>544</v>
      </c>
      <c r="W947" t="s">
        <v>546</v>
      </c>
      <c r="X947" s="784">
        <v>494021502.525527</v>
      </c>
    </row>
    <row r="948" spans="1:24">
      <c r="A948" t="s">
        <v>358</v>
      </c>
      <c r="B948" t="s">
        <v>603</v>
      </c>
      <c r="C948" t="s">
        <v>208</v>
      </c>
      <c r="D948" t="s">
        <v>129</v>
      </c>
      <c r="E948" t="s">
        <v>377</v>
      </c>
      <c r="F948" t="s">
        <v>383</v>
      </c>
      <c r="G948" t="s">
        <v>334</v>
      </c>
      <c r="H948" t="s">
        <v>334</v>
      </c>
      <c r="I948" t="s">
        <v>743</v>
      </c>
      <c r="J948" t="s">
        <v>744</v>
      </c>
      <c r="K948" t="s">
        <v>546</v>
      </c>
      <c r="L948" s="784" t="s">
        <v>575</v>
      </c>
      <c r="M948" t="s">
        <v>745</v>
      </c>
      <c r="P948" t="s">
        <v>1887</v>
      </c>
      <c r="R948" t="s">
        <v>150</v>
      </c>
      <c r="S948" t="s">
        <v>145</v>
      </c>
      <c r="U948">
        <v>0</v>
      </c>
      <c r="V948" t="s">
        <v>544</v>
      </c>
      <c r="W948" t="s">
        <v>542</v>
      </c>
      <c r="X948" s="784">
        <v>902005621.73836684</v>
      </c>
    </row>
    <row r="949" spans="1:24">
      <c r="A949" t="s">
        <v>358</v>
      </c>
      <c r="B949" t="s">
        <v>604</v>
      </c>
      <c r="C949" t="s">
        <v>209</v>
      </c>
      <c r="D949" t="s">
        <v>130</v>
      </c>
      <c r="E949" t="s">
        <v>377</v>
      </c>
      <c r="F949" t="s">
        <v>383</v>
      </c>
      <c r="G949" t="s">
        <v>334</v>
      </c>
      <c r="H949" t="s">
        <v>334</v>
      </c>
      <c r="I949" t="s">
        <v>743</v>
      </c>
      <c r="J949" t="s">
        <v>744</v>
      </c>
      <c r="K949" t="s">
        <v>546</v>
      </c>
      <c r="L949" s="784" t="s">
        <v>575</v>
      </c>
      <c r="M949" t="s">
        <v>745</v>
      </c>
      <c r="P949" t="s">
        <v>1887</v>
      </c>
      <c r="R949" t="s">
        <v>152</v>
      </c>
      <c r="S949" t="s">
        <v>145</v>
      </c>
      <c r="U949">
        <v>0</v>
      </c>
      <c r="V949" t="s">
        <v>541</v>
      </c>
      <c r="W949" t="s">
        <v>583</v>
      </c>
      <c r="X949" s="784">
        <v>20201670.142996579</v>
      </c>
    </row>
    <row r="950" spans="1:24">
      <c r="A950" t="s">
        <v>358</v>
      </c>
      <c r="B950" t="s">
        <v>605</v>
      </c>
      <c r="C950" t="s">
        <v>210</v>
      </c>
      <c r="D950" t="s">
        <v>130</v>
      </c>
      <c r="E950" t="s">
        <v>377</v>
      </c>
      <c r="F950" t="s">
        <v>383</v>
      </c>
      <c r="G950" t="s">
        <v>334</v>
      </c>
      <c r="H950" t="s">
        <v>334</v>
      </c>
      <c r="I950" t="s">
        <v>743</v>
      </c>
      <c r="J950" t="s">
        <v>744</v>
      </c>
      <c r="K950" t="s">
        <v>546</v>
      </c>
      <c r="L950" s="784" t="s">
        <v>575</v>
      </c>
      <c r="M950" t="s">
        <v>745</v>
      </c>
      <c r="P950" t="s">
        <v>1887</v>
      </c>
      <c r="R950" t="s">
        <v>152</v>
      </c>
      <c r="S950" t="s">
        <v>146</v>
      </c>
      <c r="U950">
        <v>0</v>
      </c>
      <c r="V950" t="s">
        <v>544</v>
      </c>
      <c r="W950" t="s">
        <v>575</v>
      </c>
      <c r="X950" s="784">
        <v>1612434649.6948864</v>
      </c>
    </row>
    <row r="951" spans="1:24">
      <c r="A951" t="s">
        <v>358</v>
      </c>
      <c r="B951" t="s">
        <v>606</v>
      </c>
      <c r="C951" t="s">
        <v>211</v>
      </c>
      <c r="D951" t="s">
        <v>129</v>
      </c>
      <c r="E951" t="s">
        <v>377</v>
      </c>
      <c r="F951" t="s">
        <v>383</v>
      </c>
      <c r="G951" t="s">
        <v>334</v>
      </c>
      <c r="H951" t="s">
        <v>334</v>
      </c>
      <c r="I951" t="s">
        <v>743</v>
      </c>
      <c r="J951" t="s">
        <v>744</v>
      </c>
      <c r="K951" t="s">
        <v>546</v>
      </c>
      <c r="L951" s="784" t="s">
        <v>575</v>
      </c>
      <c r="M951" t="s">
        <v>745</v>
      </c>
      <c r="P951" t="s">
        <v>1887</v>
      </c>
      <c r="R951" t="s">
        <v>148</v>
      </c>
      <c r="S951" t="s">
        <v>145</v>
      </c>
      <c r="U951">
        <v>0</v>
      </c>
      <c r="V951" t="s">
        <v>544</v>
      </c>
      <c r="W951" t="s">
        <v>562</v>
      </c>
      <c r="X951" s="784">
        <v>78203134.118229344</v>
      </c>
    </row>
    <row r="952" spans="1:24">
      <c r="A952" t="s">
        <v>358</v>
      </c>
      <c r="B952" t="s">
        <v>607</v>
      </c>
      <c r="C952" t="s">
        <v>212</v>
      </c>
      <c r="D952" t="s">
        <v>129</v>
      </c>
      <c r="E952" t="s">
        <v>377</v>
      </c>
      <c r="F952" t="s">
        <v>383</v>
      </c>
      <c r="G952" t="s">
        <v>334</v>
      </c>
      <c r="H952" t="s">
        <v>334</v>
      </c>
      <c r="I952" t="s">
        <v>743</v>
      </c>
      <c r="J952" t="s">
        <v>744</v>
      </c>
      <c r="K952" t="s">
        <v>546</v>
      </c>
      <c r="L952" s="784" t="s">
        <v>575</v>
      </c>
      <c r="M952" t="s">
        <v>745</v>
      </c>
      <c r="P952" t="s">
        <v>1887</v>
      </c>
      <c r="R952" t="s">
        <v>148</v>
      </c>
      <c r="S952" t="s">
        <v>145</v>
      </c>
      <c r="U952">
        <v>2</v>
      </c>
      <c r="V952" t="s">
        <v>541</v>
      </c>
      <c r="W952" t="s">
        <v>542</v>
      </c>
      <c r="X952" s="784">
        <v>9151637.7411015611</v>
      </c>
    </row>
    <row r="953" spans="1:24">
      <c r="A953" t="s">
        <v>358</v>
      </c>
      <c r="B953" t="s">
        <v>608</v>
      </c>
      <c r="C953" t="s">
        <v>213</v>
      </c>
      <c r="D953" t="s">
        <v>130</v>
      </c>
      <c r="E953" t="s">
        <v>377</v>
      </c>
      <c r="F953" t="s">
        <v>383</v>
      </c>
      <c r="G953" t="s">
        <v>334</v>
      </c>
      <c r="H953" t="s">
        <v>334</v>
      </c>
      <c r="I953" t="s">
        <v>743</v>
      </c>
      <c r="J953" t="s">
        <v>744</v>
      </c>
      <c r="K953" t="s">
        <v>546</v>
      </c>
      <c r="L953" s="784" t="s">
        <v>575</v>
      </c>
      <c r="M953" t="s">
        <v>745</v>
      </c>
      <c r="P953" t="s">
        <v>1887</v>
      </c>
      <c r="R953" t="s">
        <v>152</v>
      </c>
      <c r="S953" t="s">
        <v>145</v>
      </c>
      <c r="U953">
        <v>0</v>
      </c>
      <c r="V953" t="s">
        <v>541</v>
      </c>
      <c r="W953" t="s">
        <v>562</v>
      </c>
      <c r="X953" s="784">
        <v>142455920.02856269</v>
      </c>
    </row>
    <row r="954" spans="1:24">
      <c r="A954" t="s">
        <v>358</v>
      </c>
      <c r="B954" t="s">
        <v>609</v>
      </c>
      <c r="C954" t="s">
        <v>214</v>
      </c>
      <c r="D954" t="s">
        <v>130</v>
      </c>
      <c r="E954" t="s">
        <v>377</v>
      </c>
      <c r="F954" t="s">
        <v>383</v>
      </c>
      <c r="G954" t="s">
        <v>334</v>
      </c>
      <c r="H954" t="s">
        <v>334</v>
      </c>
      <c r="I954" t="s">
        <v>743</v>
      </c>
      <c r="J954" t="s">
        <v>744</v>
      </c>
      <c r="K954" t="s">
        <v>546</v>
      </c>
      <c r="L954" s="784" t="s">
        <v>575</v>
      </c>
      <c r="M954" t="s">
        <v>745</v>
      </c>
      <c r="P954" t="s">
        <v>1887</v>
      </c>
      <c r="R954" t="s">
        <v>150</v>
      </c>
      <c r="S954" t="s">
        <v>145</v>
      </c>
      <c r="U954">
        <v>1</v>
      </c>
      <c r="V954" t="s">
        <v>541</v>
      </c>
      <c r="W954" t="s">
        <v>542</v>
      </c>
      <c r="X954" s="784">
        <v>85611818.171245083</v>
      </c>
    </row>
    <row r="955" spans="1:24">
      <c r="A955" t="s">
        <v>358</v>
      </c>
      <c r="B955" t="s">
        <v>610</v>
      </c>
      <c r="C955" t="s">
        <v>215</v>
      </c>
      <c r="D955" t="s">
        <v>130</v>
      </c>
      <c r="E955" t="s">
        <v>377</v>
      </c>
      <c r="F955" t="s">
        <v>383</v>
      </c>
      <c r="G955" t="s">
        <v>334</v>
      </c>
      <c r="H955" t="s">
        <v>334</v>
      </c>
      <c r="I955" t="s">
        <v>743</v>
      </c>
      <c r="J955" t="s">
        <v>744</v>
      </c>
      <c r="K955" t="s">
        <v>546</v>
      </c>
      <c r="L955" s="784">
        <v>13500000</v>
      </c>
      <c r="M955" t="s">
        <v>745</v>
      </c>
      <c r="P955" t="s">
        <v>1887</v>
      </c>
      <c r="R955" t="s">
        <v>150</v>
      </c>
      <c r="S955" t="s">
        <v>145</v>
      </c>
      <c r="U955">
        <v>0</v>
      </c>
      <c r="V955" t="s">
        <v>544</v>
      </c>
      <c r="W955" t="s">
        <v>558</v>
      </c>
      <c r="X955" s="784">
        <v>680289736.30082119</v>
      </c>
    </row>
    <row r="956" spans="1:24">
      <c r="A956" t="s">
        <v>358</v>
      </c>
      <c r="B956" t="s">
        <v>611</v>
      </c>
      <c r="C956" t="s">
        <v>216</v>
      </c>
      <c r="D956" t="s">
        <v>132</v>
      </c>
      <c r="E956" t="s">
        <v>377</v>
      </c>
      <c r="F956" t="s">
        <v>383</v>
      </c>
      <c r="G956" t="s">
        <v>334</v>
      </c>
      <c r="H956" t="s">
        <v>334</v>
      </c>
      <c r="I956" t="s">
        <v>743</v>
      </c>
      <c r="J956" t="s">
        <v>744</v>
      </c>
      <c r="K956" t="s">
        <v>546</v>
      </c>
      <c r="L956" s="784" t="s">
        <v>575</v>
      </c>
      <c r="M956" t="s">
        <v>745</v>
      </c>
      <c r="P956" t="s">
        <v>1887</v>
      </c>
      <c r="R956" t="s">
        <v>150</v>
      </c>
      <c r="S956" t="s">
        <v>145</v>
      </c>
      <c r="U956">
        <v>0</v>
      </c>
      <c r="V956" t="s">
        <v>544</v>
      </c>
      <c r="W956" t="s">
        <v>546</v>
      </c>
      <c r="X956" s="784">
        <v>26554332750.47023</v>
      </c>
    </row>
    <row r="957" spans="1:24">
      <c r="A957" t="s">
        <v>358</v>
      </c>
      <c r="B957" t="s">
        <v>612</v>
      </c>
      <c r="C957" t="s">
        <v>217</v>
      </c>
      <c r="D957" t="s">
        <v>126</v>
      </c>
      <c r="E957" t="s">
        <v>377</v>
      </c>
      <c r="F957" t="s">
        <v>383</v>
      </c>
      <c r="G957" t="s">
        <v>334</v>
      </c>
      <c r="H957" t="s">
        <v>334</v>
      </c>
      <c r="I957" t="s">
        <v>743</v>
      </c>
      <c r="J957" t="s">
        <v>744</v>
      </c>
      <c r="K957" t="s">
        <v>546</v>
      </c>
      <c r="L957" s="784" t="s">
        <v>575</v>
      </c>
      <c r="M957" t="s">
        <v>745</v>
      </c>
      <c r="P957" t="s">
        <v>1887</v>
      </c>
      <c r="R957" t="s">
        <v>150</v>
      </c>
      <c r="S957" t="s">
        <v>145</v>
      </c>
      <c r="U957">
        <v>0</v>
      </c>
      <c r="V957" t="s">
        <v>544</v>
      </c>
      <c r="W957" t="s">
        <v>546</v>
      </c>
      <c r="X957" s="784">
        <v>14745961064.890842</v>
      </c>
    </row>
    <row r="958" spans="1:24">
      <c r="A958" t="s">
        <v>358</v>
      </c>
      <c r="B958" t="s">
        <v>613</v>
      </c>
      <c r="C958" t="s">
        <v>149</v>
      </c>
      <c r="D958" t="s">
        <v>131</v>
      </c>
      <c r="E958" t="s">
        <v>377</v>
      </c>
      <c r="F958" t="s">
        <v>383</v>
      </c>
      <c r="G958" t="s">
        <v>334</v>
      </c>
      <c r="H958" t="s">
        <v>334</v>
      </c>
      <c r="I958" t="s">
        <v>743</v>
      </c>
      <c r="J958" t="s">
        <v>744</v>
      </c>
      <c r="K958" t="s">
        <v>546</v>
      </c>
      <c r="L958" s="784" t="s">
        <v>575</v>
      </c>
      <c r="M958" t="s">
        <v>745</v>
      </c>
      <c r="P958" t="s">
        <v>1887</v>
      </c>
      <c r="R958" t="s">
        <v>150</v>
      </c>
      <c r="S958" t="s">
        <v>146</v>
      </c>
      <c r="U958">
        <v>0</v>
      </c>
      <c r="V958" t="s">
        <v>544</v>
      </c>
      <c r="W958" t="s">
        <v>546</v>
      </c>
      <c r="X958" s="784">
        <v>18194076299.786381</v>
      </c>
    </row>
    <row r="959" spans="1:24">
      <c r="A959" t="s">
        <v>358</v>
      </c>
      <c r="B959" t="s">
        <v>614</v>
      </c>
      <c r="C959" t="s">
        <v>218</v>
      </c>
      <c r="D959" t="s">
        <v>131</v>
      </c>
      <c r="E959" t="s">
        <v>377</v>
      </c>
      <c r="F959" t="s">
        <v>383</v>
      </c>
      <c r="G959" t="s">
        <v>334</v>
      </c>
      <c r="H959" t="s">
        <v>334</v>
      </c>
      <c r="I959" t="s">
        <v>743</v>
      </c>
      <c r="J959" t="s">
        <v>744</v>
      </c>
      <c r="K959" t="s">
        <v>546</v>
      </c>
      <c r="L959" s="784" t="s">
        <v>575</v>
      </c>
      <c r="M959" t="s">
        <v>745</v>
      </c>
      <c r="P959" t="s">
        <v>1887</v>
      </c>
      <c r="R959" t="s">
        <v>152</v>
      </c>
      <c r="S959" t="s">
        <v>146</v>
      </c>
      <c r="U959">
        <v>0</v>
      </c>
      <c r="V959" t="s">
        <v>544</v>
      </c>
      <c r="W959" t="s">
        <v>546</v>
      </c>
      <c r="X959" s="784">
        <v>4428819387.769825</v>
      </c>
    </row>
    <row r="960" spans="1:24">
      <c r="A960" t="s">
        <v>358</v>
      </c>
      <c r="B960" t="s">
        <v>615</v>
      </c>
      <c r="C960" t="s">
        <v>219</v>
      </c>
      <c r="D960" t="s">
        <v>130</v>
      </c>
      <c r="E960" t="s">
        <v>377</v>
      </c>
      <c r="F960" t="s">
        <v>383</v>
      </c>
      <c r="G960" t="s">
        <v>334</v>
      </c>
      <c r="H960" t="s">
        <v>334</v>
      </c>
      <c r="I960" t="s">
        <v>743</v>
      </c>
      <c r="J960" t="s">
        <v>744</v>
      </c>
      <c r="K960" t="s">
        <v>546</v>
      </c>
      <c r="L960" s="784" t="s">
        <v>575</v>
      </c>
      <c r="M960" t="s">
        <v>745</v>
      </c>
      <c r="P960" t="s">
        <v>1887</v>
      </c>
      <c r="R960" t="s">
        <v>152</v>
      </c>
      <c r="S960" t="s">
        <v>146</v>
      </c>
      <c r="U960">
        <v>0</v>
      </c>
      <c r="V960" t="s">
        <v>541</v>
      </c>
      <c r="W960" t="s">
        <v>575</v>
      </c>
      <c r="X960" s="784">
        <v>611739560.62679195</v>
      </c>
    </row>
    <row r="961" spans="1:24">
      <c r="A961" t="s">
        <v>358</v>
      </c>
      <c r="B961" t="s">
        <v>616</v>
      </c>
      <c r="C961" t="s">
        <v>220</v>
      </c>
      <c r="D961" t="s">
        <v>131</v>
      </c>
      <c r="E961" t="s">
        <v>377</v>
      </c>
      <c r="F961" t="s">
        <v>383</v>
      </c>
      <c r="G961" t="s">
        <v>334</v>
      </c>
      <c r="H961" t="s">
        <v>334</v>
      </c>
      <c r="I961" t="s">
        <v>743</v>
      </c>
      <c r="J961" t="s">
        <v>744</v>
      </c>
      <c r="K961" t="s">
        <v>546</v>
      </c>
      <c r="L961" s="784" t="s">
        <v>575</v>
      </c>
      <c r="M961" t="s">
        <v>745</v>
      </c>
      <c r="P961" t="s">
        <v>1887</v>
      </c>
      <c r="R961" t="s">
        <v>152</v>
      </c>
      <c r="S961" t="s">
        <v>146</v>
      </c>
      <c r="U961">
        <v>0</v>
      </c>
      <c r="V961" t="s">
        <v>544</v>
      </c>
      <c r="W961" t="s">
        <v>546</v>
      </c>
      <c r="X961" s="784">
        <v>1617913383.0481031</v>
      </c>
    </row>
    <row r="962" spans="1:24">
      <c r="A962" t="s">
        <v>358</v>
      </c>
      <c r="B962" t="s">
        <v>617</v>
      </c>
      <c r="C962" t="s">
        <v>221</v>
      </c>
      <c r="D962" t="s">
        <v>127</v>
      </c>
      <c r="E962" t="s">
        <v>377</v>
      </c>
      <c r="F962" t="s">
        <v>383</v>
      </c>
      <c r="G962" t="s">
        <v>334</v>
      </c>
      <c r="H962" t="s">
        <v>334</v>
      </c>
      <c r="I962" t="s">
        <v>743</v>
      </c>
      <c r="J962" t="s">
        <v>744</v>
      </c>
      <c r="K962" t="s">
        <v>546</v>
      </c>
      <c r="L962" s="784" t="s">
        <v>575</v>
      </c>
      <c r="M962" t="s">
        <v>745</v>
      </c>
      <c r="P962" t="s">
        <v>1887</v>
      </c>
      <c r="R962" t="s">
        <v>152</v>
      </c>
      <c r="S962" t="s">
        <v>146</v>
      </c>
      <c r="U962">
        <v>0</v>
      </c>
      <c r="V962" t="s">
        <v>544</v>
      </c>
      <c r="W962" t="s">
        <v>575</v>
      </c>
      <c r="X962" s="784">
        <v>3074419112.4562683</v>
      </c>
    </row>
    <row r="963" spans="1:24">
      <c r="A963" t="s">
        <v>358</v>
      </c>
      <c r="B963" t="s">
        <v>618</v>
      </c>
      <c r="C963" t="s">
        <v>222</v>
      </c>
      <c r="D963" t="s">
        <v>128</v>
      </c>
      <c r="E963" t="s">
        <v>377</v>
      </c>
      <c r="F963" t="s">
        <v>383</v>
      </c>
      <c r="G963" t="s">
        <v>334</v>
      </c>
      <c r="H963" t="s">
        <v>334</v>
      </c>
      <c r="I963" t="s">
        <v>743</v>
      </c>
      <c r="J963" t="s">
        <v>744</v>
      </c>
      <c r="K963" t="s">
        <v>546</v>
      </c>
      <c r="L963" s="784" t="s">
        <v>575</v>
      </c>
      <c r="M963" t="s">
        <v>745</v>
      </c>
      <c r="P963" t="s">
        <v>1887</v>
      </c>
      <c r="R963" t="s">
        <v>150</v>
      </c>
      <c r="S963" t="s">
        <v>145</v>
      </c>
      <c r="U963">
        <v>0</v>
      </c>
      <c r="V963" t="s">
        <v>544</v>
      </c>
      <c r="W963" t="s">
        <v>542</v>
      </c>
      <c r="X963" s="784">
        <v>1914014279.8929913</v>
      </c>
    </row>
    <row r="964" spans="1:24">
      <c r="A964" t="s">
        <v>358</v>
      </c>
      <c r="B964" t="s">
        <v>619</v>
      </c>
      <c r="C964" t="s">
        <v>223</v>
      </c>
      <c r="D964" t="s">
        <v>126</v>
      </c>
      <c r="E964" t="s">
        <v>377</v>
      </c>
      <c r="F964" t="s">
        <v>383</v>
      </c>
      <c r="G964" t="s">
        <v>334</v>
      </c>
      <c r="H964" t="s">
        <v>334</v>
      </c>
      <c r="I964" t="s">
        <v>743</v>
      </c>
      <c r="J964" t="s">
        <v>744</v>
      </c>
      <c r="K964" t="s">
        <v>546</v>
      </c>
      <c r="L964" s="784" t="s">
        <v>575</v>
      </c>
      <c r="M964" t="s">
        <v>745</v>
      </c>
      <c r="P964" t="s">
        <v>1887</v>
      </c>
      <c r="R964" t="s">
        <v>150</v>
      </c>
      <c r="S964" t="s">
        <v>145</v>
      </c>
      <c r="U964">
        <v>0</v>
      </c>
      <c r="V964" t="s">
        <v>541</v>
      </c>
      <c r="W964" t="s">
        <v>542</v>
      </c>
      <c r="X964" s="784">
        <v>17422005.762907442</v>
      </c>
    </row>
    <row r="965" spans="1:24">
      <c r="A965" t="s">
        <v>358</v>
      </c>
      <c r="B965" t="s">
        <v>620</v>
      </c>
      <c r="C965" t="s">
        <v>224</v>
      </c>
      <c r="D965" t="s">
        <v>126</v>
      </c>
      <c r="E965" t="s">
        <v>377</v>
      </c>
      <c r="F965" t="s">
        <v>383</v>
      </c>
      <c r="G965" t="s">
        <v>334</v>
      </c>
      <c r="H965" t="s">
        <v>334</v>
      </c>
      <c r="I965" t="s">
        <v>743</v>
      </c>
      <c r="J965" t="s">
        <v>744</v>
      </c>
      <c r="K965" t="s">
        <v>546</v>
      </c>
      <c r="L965" s="784" t="s">
        <v>575</v>
      </c>
      <c r="M965" t="s">
        <v>745</v>
      </c>
      <c r="P965" t="s">
        <v>1887</v>
      </c>
      <c r="R965" t="s">
        <v>148</v>
      </c>
      <c r="S965" t="s">
        <v>145</v>
      </c>
      <c r="U965">
        <v>0</v>
      </c>
      <c r="V965" t="s">
        <v>544</v>
      </c>
      <c r="W965" t="s">
        <v>546</v>
      </c>
      <c r="X965" s="784" t="s">
        <v>575</v>
      </c>
    </row>
    <row r="966" spans="1:24">
      <c r="A966" t="s">
        <v>358</v>
      </c>
      <c r="B966" t="s">
        <v>621</v>
      </c>
      <c r="C966" t="s">
        <v>225</v>
      </c>
      <c r="D966" t="s">
        <v>127</v>
      </c>
      <c r="E966" t="s">
        <v>377</v>
      </c>
      <c r="F966" t="s">
        <v>383</v>
      </c>
      <c r="G966" t="s">
        <v>334</v>
      </c>
      <c r="H966" t="s">
        <v>334</v>
      </c>
      <c r="I966" t="s">
        <v>743</v>
      </c>
      <c r="J966" t="s">
        <v>744</v>
      </c>
      <c r="K966" t="s">
        <v>546</v>
      </c>
      <c r="L966" s="784" t="s">
        <v>575</v>
      </c>
      <c r="M966" t="s">
        <v>745</v>
      </c>
      <c r="P966" t="s">
        <v>1887</v>
      </c>
      <c r="R966" t="s">
        <v>152</v>
      </c>
      <c r="S966" t="s">
        <v>145</v>
      </c>
      <c r="U966">
        <v>0</v>
      </c>
      <c r="V966" t="s">
        <v>544</v>
      </c>
      <c r="W966" t="s">
        <v>548</v>
      </c>
      <c r="X966" s="784" t="s">
        <v>575</v>
      </c>
    </row>
    <row r="967" spans="1:24">
      <c r="A967" t="s">
        <v>358</v>
      </c>
      <c r="B967" t="s">
        <v>622</v>
      </c>
      <c r="C967" t="s">
        <v>226</v>
      </c>
      <c r="D967" t="s">
        <v>127</v>
      </c>
      <c r="E967" t="s">
        <v>377</v>
      </c>
      <c r="F967" t="s">
        <v>383</v>
      </c>
      <c r="G967" t="s">
        <v>334</v>
      </c>
      <c r="H967" t="s">
        <v>334</v>
      </c>
      <c r="I967" t="s">
        <v>743</v>
      </c>
      <c r="J967" t="s">
        <v>744</v>
      </c>
      <c r="K967" t="s">
        <v>546</v>
      </c>
      <c r="L967" s="784" t="s">
        <v>575</v>
      </c>
      <c r="M967" t="s">
        <v>745</v>
      </c>
      <c r="P967" t="s">
        <v>1887</v>
      </c>
      <c r="R967" t="s">
        <v>150</v>
      </c>
      <c r="S967" t="s">
        <v>145</v>
      </c>
      <c r="U967">
        <v>2</v>
      </c>
      <c r="V967" t="s">
        <v>544</v>
      </c>
      <c r="W967" t="s">
        <v>562</v>
      </c>
      <c r="X967" s="784">
        <v>231506834.84347546</v>
      </c>
    </row>
    <row r="968" spans="1:24">
      <c r="A968" t="s">
        <v>358</v>
      </c>
      <c r="B968" t="s">
        <v>623</v>
      </c>
      <c r="C968" t="s">
        <v>227</v>
      </c>
      <c r="D968" t="s">
        <v>126</v>
      </c>
      <c r="E968" t="s">
        <v>377</v>
      </c>
      <c r="F968" t="s">
        <v>383</v>
      </c>
      <c r="G968" t="s">
        <v>334</v>
      </c>
      <c r="H968" t="s">
        <v>334</v>
      </c>
      <c r="I968" t="s">
        <v>743</v>
      </c>
      <c r="J968" t="s">
        <v>744</v>
      </c>
      <c r="K968" t="s">
        <v>546</v>
      </c>
      <c r="L968" s="784" t="s">
        <v>575</v>
      </c>
      <c r="M968" t="s">
        <v>745</v>
      </c>
      <c r="P968" t="s">
        <v>1887</v>
      </c>
      <c r="R968" t="s">
        <v>150</v>
      </c>
      <c r="S968" t="s">
        <v>145</v>
      </c>
      <c r="U968">
        <v>0</v>
      </c>
      <c r="V968" t="s">
        <v>544</v>
      </c>
      <c r="W968" t="s">
        <v>542</v>
      </c>
      <c r="X968" s="784">
        <v>156059428.62944782</v>
      </c>
    </row>
    <row r="969" spans="1:24">
      <c r="A969" t="s">
        <v>358</v>
      </c>
      <c r="B969" t="s">
        <v>624</v>
      </c>
      <c r="C969" t="s">
        <v>228</v>
      </c>
      <c r="D969" t="s">
        <v>131</v>
      </c>
      <c r="E969" t="s">
        <v>377</v>
      </c>
      <c r="F969" t="s">
        <v>383</v>
      </c>
      <c r="G969" t="s">
        <v>334</v>
      </c>
      <c r="H969" t="s">
        <v>334</v>
      </c>
      <c r="I969" t="s">
        <v>743</v>
      </c>
      <c r="J969" t="s">
        <v>744</v>
      </c>
      <c r="K969" t="s">
        <v>546</v>
      </c>
      <c r="L969" s="784" t="s">
        <v>575</v>
      </c>
      <c r="M969" t="s">
        <v>745</v>
      </c>
      <c r="P969" t="s">
        <v>1887</v>
      </c>
      <c r="R969" t="s">
        <v>152</v>
      </c>
      <c r="S969" t="s">
        <v>146</v>
      </c>
      <c r="U969">
        <v>0</v>
      </c>
      <c r="V969" t="s">
        <v>544</v>
      </c>
      <c r="W969" t="s">
        <v>546</v>
      </c>
      <c r="X969" s="784">
        <v>2355391507.1635861</v>
      </c>
    </row>
    <row r="970" spans="1:24">
      <c r="A970" t="s">
        <v>358</v>
      </c>
      <c r="B970" t="s">
        <v>625</v>
      </c>
      <c r="C970" t="s">
        <v>229</v>
      </c>
      <c r="D970" t="s">
        <v>128</v>
      </c>
      <c r="E970" t="s">
        <v>377</v>
      </c>
      <c r="F970" t="s">
        <v>383</v>
      </c>
      <c r="G970" t="s">
        <v>334</v>
      </c>
      <c r="H970" t="s">
        <v>334</v>
      </c>
      <c r="I970" t="s">
        <v>743</v>
      </c>
      <c r="J970" t="s">
        <v>744</v>
      </c>
      <c r="K970" t="s">
        <v>546</v>
      </c>
      <c r="L970" s="784" t="s">
        <v>575</v>
      </c>
      <c r="M970" t="s">
        <v>745</v>
      </c>
      <c r="P970" t="s">
        <v>1887</v>
      </c>
      <c r="R970" t="s">
        <v>150</v>
      </c>
      <c r="S970" t="s">
        <v>145</v>
      </c>
      <c r="U970">
        <v>0</v>
      </c>
      <c r="V970" t="s">
        <v>544</v>
      </c>
      <c r="W970" t="s">
        <v>562</v>
      </c>
      <c r="X970" s="784">
        <v>152760919.7684873</v>
      </c>
    </row>
    <row r="971" spans="1:24">
      <c r="A971" t="s">
        <v>358</v>
      </c>
      <c r="B971" t="s">
        <v>626</v>
      </c>
      <c r="C971" t="s">
        <v>230</v>
      </c>
      <c r="D971" t="s">
        <v>129</v>
      </c>
      <c r="E971" t="s">
        <v>377</v>
      </c>
      <c r="F971" t="s">
        <v>383</v>
      </c>
      <c r="G971" t="s">
        <v>334</v>
      </c>
      <c r="H971" t="s">
        <v>334</v>
      </c>
      <c r="I971" t="s">
        <v>743</v>
      </c>
      <c r="J971" t="s">
        <v>744</v>
      </c>
      <c r="K971" t="s">
        <v>546</v>
      </c>
      <c r="L971" s="784" t="s">
        <v>575</v>
      </c>
      <c r="M971" t="s">
        <v>745</v>
      </c>
      <c r="P971" t="s">
        <v>1887</v>
      </c>
      <c r="R971" t="s">
        <v>148</v>
      </c>
      <c r="S971" t="s">
        <v>145</v>
      </c>
      <c r="U971">
        <v>0</v>
      </c>
      <c r="V971" t="s">
        <v>544</v>
      </c>
      <c r="W971" t="s">
        <v>542</v>
      </c>
      <c r="X971" s="784">
        <v>55072006.864440605</v>
      </c>
    </row>
    <row r="972" spans="1:24">
      <c r="A972" t="s">
        <v>358</v>
      </c>
      <c r="B972" t="s">
        <v>627</v>
      </c>
      <c r="C972" t="s">
        <v>231</v>
      </c>
      <c r="D972" t="s">
        <v>131</v>
      </c>
      <c r="E972" t="s">
        <v>377</v>
      </c>
      <c r="F972" t="s">
        <v>383</v>
      </c>
      <c r="G972" t="s">
        <v>334</v>
      </c>
      <c r="H972" t="s">
        <v>334</v>
      </c>
      <c r="I972" t="s">
        <v>743</v>
      </c>
      <c r="J972" t="s">
        <v>744</v>
      </c>
      <c r="K972" t="s">
        <v>546</v>
      </c>
      <c r="L972" s="784" t="s">
        <v>575</v>
      </c>
      <c r="M972" t="s">
        <v>745</v>
      </c>
      <c r="P972" t="s">
        <v>1887</v>
      </c>
      <c r="R972" t="s">
        <v>152</v>
      </c>
      <c r="S972" t="s">
        <v>146</v>
      </c>
      <c r="U972">
        <v>0</v>
      </c>
      <c r="V972" t="s">
        <v>544</v>
      </c>
      <c r="W972" t="s">
        <v>546</v>
      </c>
      <c r="X972" s="784" t="s">
        <v>575</v>
      </c>
    </row>
    <row r="973" spans="1:24">
      <c r="A973" t="s">
        <v>358</v>
      </c>
      <c r="B973" t="s">
        <v>628</v>
      </c>
      <c r="C973" t="s">
        <v>232</v>
      </c>
      <c r="D973" t="s">
        <v>128</v>
      </c>
      <c r="E973" t="s">
        <v>377</v>
      </c>
      <c r="F973" t="s">
        <v>383</v>
      </c>
      <c r="G973" t="s">
        <v>334</v>
      </c>
      <c r="H973" t="s">
        <v>334</v>
      </c>
      <c r="I973" t="s">
        <v>743</v>
      </c>
      <c r="J973" t="s">
        <v>744</v>
      </c>
      <c r="K973" t="s">
        <v>546</v>
      </c>
      <c r="L973" s="784" t="s">
        <v>575</v>
      </c>
      <c r="M973" t="s">
        <v>745</v>
      </c>
      <c r="P973" t="s">
        <v>1887</v>
      </c>
      <c r="R973" t="s">
        <v>148</v>
      </c>
      <c r="S973" t="s">
        <v>145</v>
      </c>
      <c r="U973">
        <v>2</v>
      </c>
      <c r="V973" t="s">
        <v>544</v>
      </c>
      <c r="W973" t="s">
        <v>562</v>
      </c>
      <c r="X973" s="784">
        <v>206914157.05429548</v>
      </c>
    </row>
    <row r="974" spans="1:24">
      <c r="A974" t="s">
        <v>358</v>
      </c>
      <c r="B974" t="s">
        <v>629</v>
      </c>
      <c r="C974" t="s">
        <v>233</v>
      </c>
      <c r="D974" t="s">
        <v>128</v>
      </c>
      <c r="E974" t="s">
        <v>377</v>
      </c>
      <c r="F974" t="s">
        <v>383</v>
      </c>
      <c r="G974" t="s">
        <v>334</v>
      </c>
      <c r="H974" t="s">
        <v>334</v>
      </c>
      <c r="I974" t="s">
        <v>743</v>
      </c>
      <c r="J974" t="s">
        <v>744</v>
      </c>
      <c r="K974" t="s">
        <v>546</v>
      </c>
      <c r="L974" s="784" t="s">
        <v>575</v>
      </c>
      <c r="M974" t="s">
        <v>745</v>
      </c>
      <c r="P974" t="s">
        <v>1887</v>
      </c>
      <c r="R974" t="s">
        <v>148</v>
      </c>
      <c r="S974" t="s">
        <v>145</v>
      </c>
      <c r="U974">
        <v>2</v>
      </c>
      <c r="V974" t="s">
        <v>544</v>
      </c>
      <c r="W974" t="s">
        <v>542</v>
      </c>
      <c r="X974" s="784">
        <v>185999915.02066413</v>
      </c>
    </row>
    <row r="975" spans="1:24">
      <c r="A975" t="s">
        <v>358</v>
      </c>
      <c r="B975" t="s">
        <v>630</v>
      </c>
      <c r="C975" t="s">
        <v>234</v>
      </c>
      <c r="D975" t="s">
        <v>126</v>
      </c>
      <c r="E975" t="s">
        <v>377</v>
      </c>
      <c r="F975" t="s">
        <v>383</v>
      </c>
      <c r="G975" t="s">
        <v>334</v>
      </c>
      <c r="H975" t="s">
        <v>334</v>
      </c>
      <c r="I975" t="s">
        <v>743</v>
      </c>
      <c r="J975" t="s">
        <v>744</v>
      </c>
      <c r="K975" t="s">
        <v>546</v>
      </c>
      <c r="L975" s="784" t="s">
        <v>575</v>
      </c>
      <c r="M975" t="s">
        <v>745</v>
      </c>
      <c r="P975" t="s">
        <v>1887</v>
      </c>
      <c r="R975" t="s">
        <v>152</v>
      </c>
      <c r="S975" t="s">
        <v>146</v>
      </c>
      <c r="U975">
        <v>0</v>
      </c>
      <c r="V975" t="s">
        <v>544</v>
      </c>
      <c r="W975" t="s">
        <v>575</v>
      </c>
      <c r="X975" s="784">
        <v>6893755763.2501726</v>
      </c>
    </row>
    <row r="976" spans="1:24">
      <c r="A976" t="s">
        <v>358</v>
      </c>
      <c r="B976" t="s">
        <v>631</v>
      </c>
      <c r="C976" t="s">
        <v>235</v>
      </c>
      <c r="D976" t="s">
        <v>132</v>
      </c>
      <c r="E976" t="s">
        <v>377</v>
      </c>
      <c r="F976" t="s">
        <v>383</v>
      </c>
      <c r="G976" t="s">
        <v>334</v>
      </c>
      <c r="H976" t="s">
        <v>334</v>
      </c>
      <c r="I976" t="s">
        <v>743</v>
      </c>
      <c r="J976" t="s">
        <v>744</v>
      </c>
      <c r="K976" t="s">
        <v>546</v>
      </c>
      <c r="L976" s="784" t="s">
        <v>575</v>
      </c>
      <c r="M976" t="s">
        <v>745</v>
      </c>
      <c r="P976" t="s">
        <v>1887</v>
      </c>
      <c r="R976" t="s">
        <v>152</v>
      </c>
      <c r="S976" t="s">
        <v>145</v>
      </c>
      <c r="U976">
        <v>0</v>
      </c>
      <c r="V976" t="s">
        <v>541</v>
      </c>
      <c r="W976" t="s">
        <v>542</v>
      </c>
      <c r="X976" s="784">
        <v>354560231.58276606</v>
      </c>
    </row>
    <row r="977" spans="1:24">
      <c r="A977" t="s">
        <v>358</v>
      </c>
      <c r="B977" t="s">
        <v>632</v>
      </c>
      <c r="C977" t="s">
        <v>236</v>
      </c>
      <c r="D977" t="s">
        <v>129</v>
      </c>
      <c r="E977" t="s">
        <v>377</v>
      </c>
      <c r="F977" t="s">
        <v>383</v>
      </c>
      <c r="G977" t="s">
        <v>334</v>
      </c>
      <c r="H977" t="s">
        <v>334</v>
      </c>
      <c r="I977" t="s">
        <v>743</v>
      </c>
      <c r="J977" t="s">
        <v>744</v>
      </c>
      <c r="K977" t="s">
        <v>546</v>
      </c>
      <c r="L977" s="784" t="s">
        <v>575</v>
      </c>
      <c r="M977" t="s">
        <v>745</v>
      </c>
      <c r="P977" t="s">
        <v>1887</v>
      </c>
      <c r="R977" t="s">
        <v>148</v>
      </c>
      <c r="S977" t="s">
        <v>145</v>
      </c>
      <c r="U977">
        <v>1</v>
      </c>
      <c r="V977" t="s">
        <v>544</v>
      </c>
      <c r="W977" t="s">
        <v>562</v>
      </c>
      <c r="X977" s="784">
        <v>188169167.56540567</v>
      </c>
    </row>
    <row r="978" spans="1:24">
      <c r="A978" t="s">
        <v>358</v>
      </c>
      <c r="B978" t="s">
        <v>633</v>
      </c>
      <c r="C978" t="s">
        <v>237</v>
      </c>
      <c r="D978" t="s">
        <v>126</v>
      </c>
      <c r="E978" t="s">
        <v>377</v>
      </c>
      <c r="F978" t="s">
        <v>383</v>
      </c>
      <c r="G978" t="s">
        <v>334</v>
      </c>
      <c r="H978" t="s">
        <v>334</v>
      </c>
      <c r="I978" t="s">
        <v>743</v>
      </c>
      <c r="J978" t="s">
        <v>744</v>
      </c>
      <c r="K978" t="s">
        <v>546</v>
      </c>
      <c r="L978" s="784" t="s">
        <v>575</v>
      </c>
      <c r="M978" t="s">
        <v>745</v>
      </c>
      <c r="P978" t="s">
        <v>1887</v>
      </c>
      <c r="R978" t="s">
        <v>152</v>
      </c>
      <c r="S978" t="s">
        <v>145</v>
      </c>
      <c r="U978">
        <v>0</v>
      </c>
      <c r="V978" t="s">
        <v>541</v>
      </c>
      <c r="W978" t="s">
        <v>575</v>
      </c>
      <c r="X978" s="784">
        <v>16312106.556340856</v>
      </c>
    </row>
    <row r="979" spans="1:24">
      <c r="A979" t="s">
        <v>358</v>
      </c>
      <c r="B979" t="s">
        <v>634</v>
      </c>
      <c r="C979" t="s">
        <v>238</v>
      </c>
      <c r="D979" t="s">
        <v>129</v>
      </c>
      <c r="E979" t="s">
        <v>377</v>
      </c>
      <c r="F979" t="s">
        <v>383</v>
      </c>
      <c r="G979" t="s">
        <v>334</v>
      </c>
      <c r="H979" t="s">
        <v>334</v>
      </c>
      <c r="I979" t="s">
        <v>743</v>
      </c>
      <c r="J979" t="s">
        <v>744</v>
      </c>
      <c r="K979" t="s">
        <v>546</v>
      </c>
      <c r="L979" s="784" t="s">
        <v>575</v>
      </c>
      <c r="M979" t="s">
        <v>745</v>
      </c>
      <c r="P979" t="s">
        <v>1887</v>
      </c>
      <c r="R979" t="s">
        <v>150</v>
      </c>
      <c r="S979" t="s">
        <v>145</v>
      </c>
      <c r="U979">
        <v>2</v>
      </c>
      <c r="V979" t="s">
        <v>544</v>
      </c>
      <c r="W979" t="s">
        <v>542</v>
      </c>
      <c r="X979" s="784">
        <v>86083833.534053758</v>
      </c>
    </row>
    <row r="980" spans="1:24">
      <c r="A980" t="s">
        <v>358</v>
      </c>
      <c r="B980" t="s">
        <v>635</v>
      </c>
      <c r="C980" t="s">
        <v>239</v>
      </c>
      <c r="D980" t="s">
        <v>128</v>
      </c>
      <c r="E980" t="s">
        <v>377</v>
      </c>
      <c r="F980" t="s">
        <v>383</v>
      </c>
      <c r="G980" t="s">
        <v>334</v>
      </c>
      <c r="H980" t="s">
        <v>334</v>
      </c>
      <c r="I980" t="s">
        <v>743</v>
      </c>
      <c r="J980" t="s">
        <v>744</v>
      </c>
      <c r="K980" t="s">
        <v>546</v>
      </c>
      <c r="L980" s="784" t="s">
        <v>575</v>
      </c>
      <c r="M980" t="s">
        <v>745</v>
      </c>
      <c r="P980" t="s">
        <v>1887</v>
      </c>
      <c r="R980" t="s">
        <v>152</v>
      </c>
      <c r="S980" t="s">
        <v>146</v>
      </c>
      <c r="U980">
        <v>0</v>
      </c>
      <c r="V980" t="s">
        <v>541</v>
      </c>
      <c r="W980" t="s">
        <v>546</v>
      </c>
      <c r="X980" s="784">
        <v>357220835.93762809</v>
      </c>
    </row>
    <row r="981" spans="1:24">
      <c r="A981" t="s">
        <v>358</v>
      </c>
      <c r="B981" t="s">
        <v>636</v>
      </c>
      <c r="C981" t="s">
        <v>240</v>
      </c>
      <c r="D981" t="s">
        <v>130</v>
      </c>
      <c r="E981" t="s">
        <v>377</v>
      </c>
      <c r="F981" t="s">
        <v>383</v>
      </c>
      <c r="G981" t="s">
        <v>334</v>
      </c>
      <c r="H981" t="s">
        <v>334</v>
      </c>
      <c r="I981" t="s">
        <v>743</v>
      </c>
      <c r="J981" t="s">
        <v>744</v>
      </c>
      <c r="K981" t="s">
        <v>546</v>
      </c>
      <c r="L981" s="784" t="s">
        <v>575</v>
      </c>
      <c r="M981" t="s">
        <v>745</v>
      </c>
      <c r="P981" t="s">
        <v>1887</v>
      </c>
      <c r="R981" t="s">
        <v>152</v>
      </c>
      <c r="S981" t="s">
        <v>146</v>
      </c>
      <c r="U981">
        <v>0</v>
      </c>
      <c r="V981" t="s">
        <v>544</v>
      </c>
      <c r="W981" t="s">
        <v>575</v>
      </c>
      <c r="X981" s="784">
        <v>32831598153.796387</v>
      </c>
    </row>
    <row r="982" spans="1:24">
      <c r="A982" t="s">
        <v>358</v>
      </c>
      <c r="B982" t="s">
        <v>637</v>
      </c>
      <c r="C982" t="s">
        <v>241</v>
      </c>
      <c r="D982" t="s">
        <v>126</v>
      </c>
      <c r="E982" t="s">
        <v>377</v>
      </c>
      <c r="F982" t="s">
        <v>383</v>
      </c>
      <c r="G982" t="s">
        <v>334</v>
      </c>
      <c r="H982" t="s">
        <v>334</v>
      </c>
      <c r="I982" t="s">
        <v>743</v>
      </c>
      <c r="J982" t="s">
        <v>744</v>
      </c>
      <c r="K982" t="s">
        <v>546</v>
      </c>
      <c r="L982" s="784" t="s">
        <v>575</v>
      </c>
      <c r="M982" t="s">
        <v>745</v>
      </c>
      <c r="P982" t="s">
        <v>1887</v>
      </c>
      <c r="R982" t="s">
        <v>150</v>
      </c>
      <c r="S982" t="s">
        <v>145</v>
      </c>
      <c r="U982">
        <v>0</v>
      </c>
      <c r="V982" t="s">
        <v>541</v>
      </c>
      <c r="W982" t="s">
        <v>542</v>
      </c>
      <c r="X982" s="784">
        <v>12329056.093798399</v>
      </c>
    </row>
    <row r="983" spans="1:24">
      <c r="A983" t="s">
        <v>358</v>
      </c>
      <c r="B983" t="s">
        <v>638</v>
      </c>
      <c r="C983" t="s">
        <v>242</v>
      </c>
      <c r="D983" t="s">
        <v>127</v>
      </c>
      <c r="E983" t="s">
        <v>377</v>
      </c>
      <c r="F983" t="s">
        <v>383</v>
      </c>
      <c r="G983" t="s">
        <v>334</v>
      </c>
      <c r="H983" t="s">
        <v>334</v>
      </c>
      <c r="I983" t="s">
        <v>743</v>
      </c>
      <c r="J983" t="s">
        <v>744</v>
      </c>
      <c r="K983" t="s">
        <v>546</v>
      </c>
      <c r="L983" s="784" t="s">
        <v>575</v>
      </c>
      <c r="M983" t="s">
        <v>745</v>
      </c>
      <c r="P983" t="s">
        <v>1887</v>
      </c>
      <c r="R983" t="s">
        <v>152</v>
      </c>
      <c r="S983" t="s">
        <v>145</v>
      </c>
      <c r="U983">
        <v>0</v>
      </c>
      <c r="V983" t="s">
        <v>544</v>
      </c>
      <c r="W983" t="s">
        <v>558</v>
      </c>
      <c r="X983" s="784">
        <v>426639742.85328001</v>
      </c>
    </row>
    <row r="984" spans="1:24">
      <c r="A984" t="s">
        <v>358</v>
      </c>
      <c r="B984" t="s">
        <v>639</v>
      </c>
      <c r="C984" t="s">
        <v>243</v>
      </c>
      <c r="D984" t="s">
        <v>126</v>
      </c>
      <c r="E984" t="s">
        <v>377</v>
      </c>
      <c r="F984" t="s">
        <v>383</v>
      </c>
      <c r="G984" t="s">
        <v>334</v>
      </c>
      <c r="H984" t="s">
        <v>334</v>
      </c>
      <c r="I984" t="s">
        <v>743</v>
      </c>
      <c r="J984" t="s">
        <v>744</v>
      </c>
      <c r="K984" t="s">
        <v>546</v>
      </c>
      <c r="L984" s="784" t="s">
        <v>575</v>
      </c>
      <c r="M984" t="s">
        <v>745</v>
      </c>
      <c r="P984" t="s">
        <v>1887</v>
      </c>
      <c r="R984" t="s">
        <v>150</v>
      </c>
      <c r="S984" t="s">
        <v>145</v>
      </c>
      <c r="U984">
        <v>0</v>
      </c>
      <c r="V984" t="s">
        <v>544</v>
      </c>
      <c r="W984" t="s">
        <v>548</v>
      </c>
      <c r="X984" s="784">
        <v>288519671.85870522</v>
      </c>
    </row>
    <row r="985" spans="1:24">
      <c r="A985" t="s">
        <v>358</v>
      </c>
      <c r="B985" t="s">
        <v>640</v>
      </c>
      <c r="C985" t="s">
        <v>244</v>
      </c>
      <c r="D985" t="s">
        <v>127</v>
      </c>
      <c r="E985" t="s">
        <v>377</v>
      </c>
      <c r="F985" t="s">
        <v>383</v>
      </c>
      <c r="G985" t="s">
        <v>334</v>
      </c>
      <c r="H985" t="s">
        <v>334</v>
      </c>
      <c r="I985" t="s">
        <v>743</v>
      </c>
      <c r="J985" t="s">
        <v>744</v>
      </c>
      <c r="K985" t="s">
        <v>546</v>
      </c>
      <c r="L985" s="784" t="s">
        <v>575</v>
      </c>
      <c r="M985" t="s">
        <v>745</v>
      </c>
      <c r="P985" t="s">
        <v>1887</v>
      </c>
      <c r="R985" t="s">
        <v>152</v>
      </c>
      <c r="S985" t="s">
        <v>146</v>
      </c>
      <c r="U985">
        <v>0</v>
      </c>
      <c r="V985" t="s">
        <v>544</v>
      </c>
      <c r="W985" t="s">
        <v>546</v>
      </c>
      <c r="X985" s="784">
        <v>275606560.78491527</v>
      </c>
    </row>
    <row r="986" spans="1:24">
      <c r="A986" t="s">
        <v>358</v>
      </c>
      <c r="B986" t="s">
        <v>641</v>
      </c>
      <c r="C986" t="s">
        <v>245</v>
      </c>
      <c r="D986" t="s">
        <v>131</v>
      </c>
      <c r="E986" t="s">
        <v>377</v>
      </c>
      <c r="F986" t="s">
        <v>383</v>
      </c>
      <c r="G986" t="s">
        <v>334</v>
      </c>
      <c r="H986" t="s">
        <v>334</v>
      </c>
      <c r="I986" t="s">
        <v>743</v>
      </c>
      <c r="J986" t="s">
        <v>744</v>
      </c>
      <c r="K986" t="s">
        <v>546</v>
      </c>
      <c r="L986" s="784" t="s">
        <v>575</v>
      </c>
      <c r="M986" t="s">
        <v>745</v>
      </c>
      <c r="P986" t="s">
        <v>1887</v>
      </c>
      <c r="R986" t="s">
        <v>150</v>
      </c>
      <c r="S986" t="s">
        <v>145</v>
      </c>
      <c r="U986">
        <v>0</v>
      </c>
      <c r="V986" t="s">
        <v>544</v>
      </c>
      <c r="W986" t="s">
        <v>546</v>
      </c>
      <c r="X986" s="784">
        <v>2530937679.3725696</v>
      </c>
    </row>
    <row r="987" spans="1:24">
      <c r="A987" t="s">
        <v>358</v>
      </c>
      <c r="B987" t="s">
        <v>642</v>
      </c>
      <c r="C987" t="s">
        <v>246</v>
      </c>
      <c r="D987" t="s">
        <v>128</v>
      </c>
      <c r="E987" t="s">
        <v>377</v>
      </c>
      <c r="F987" t="s">
        <v>383</v>
      </c>
      <c r="G987" t="s">
        <v>334</v>
      </c>
      <c r="H987" t="s">
        <v>334</v>
      </c>
      <c r="I987" t="s">
        <v>743</v>
      </c>
      <c r="J987" t="s">
        <v>744</v>
      </c>
      <c r="K987" t="s">
        <v>546</v>
      </c>
      <c r="L987" s="784" t="s">
        <v>575</v>
      </c>
      <c r="M987" t="s">
        <v>745</v>
      </c>
      <c r="P987" t="s">
        <v>1887</v>
      </c>
      <c r="R987" t="s">
        <v>148</v>
      </c>
      <c r="S987" t="s">
        <v>145</v>
      </c>
      <c r="U987">
        <v>0</v>
      </c>
      <c r="V987" t="s">
        <v>544</v>
      </c>
      <c r="W987" t="s">
        <v>583</v>
      </c>
      <c r="X987" s="784">
        <v>251432156.86255455</v>
      </c>
    </row>
    <row r="988" spans="1:24">
      <c r="A988" t="s">
        <v>358</v>
      </c>
      <c r="B988" t="s">
        <v>643</v>
      </c>
      <c r="C988" t="s">
        <v>247</v>
      </c>
      <c r="D988" t="s">
        <v>126</v>
      </c>
      <c r="E988" t="s">
        <v>377</v>
      </c>
      <c r="F988" t="s">
        <v>383</v>
      </c>
      <c r="G988" t="s">
        <v>334</v>
      </c>
      <c r="H988" t="s">
        <v>334</v>
      </c>
      <c r="I988" t="s">
        <v>743</v>
      </c>
      <c r="J988" t="s">
        <v>744</v>
      </c>
      <c r="K988" t="s">
        <v>546</v>
      </c>
      <c r="L988" s="784" t="s">
        <v>575</v>
      </c>
      <c r="M988" t="s">
        <v>745</v>
      </c>
      <c r="P988" t="s">
        <v>1887</v>
      </c>
      <c r="R988" t="s">
        <v>150</v>
      </c>
      <c r="S988" t="s">
        <v>145</v>
      </c>
      <c r="U988">
        <v>0</v>
      </c>
      <c r="V988" t="s">
        <v>544</v>
      </c>
      <c r="W988" t="s">
        <v>558</v>
      </c>
      <c r="X988" s="784">
        <v>471534500.60109437</v>
      </c>
    </row>
    <row r="989" spans="1:24">
      <c r="A989" t="s">
        <v>358</v>
      </c>
      <c r="B989" t="s">
        <v>644</v>
      </c>
      <c r="C989" t="s">
        <v>248</v>
      </c>
      <c r="D989" t="s">
        <v>128</v>
      </c>
      <c r="E989" t="s">
        <v>377</v>
      </c>
      <c r="F989" t="s">
        <v>383</v>
      </c>
      <c r="G989" t="s">
        <v>334</v>
      </c>
      <c r="H989" t="s">
        <v>334</v>
      </c>
      <c r="I989" t="s">
        <v>743</v>
      </c>
      <c r="J989" t="s">
        <v>744</v>
      </c>
      <c r="K989" t="s">
        <v>546</v>
      </c>
      <c r="L989" s="784" t="s">
        <v>575</v>
      </c>
      <c r="M989" t="s">
        <v>745</v>
      </c>
      <c r="P989" t="s">
        <v>1887</v>
      </c>
      <c r="R989" t="s">
        <v>152</v>
      </c>
      <c r="S989" t="s">
        <v>146</v>
      </c>
      <c r="U989">
        <v>0</v>
      </c>
      <c r="V989" t="s">
        <v>544</v>
      </c>
      <c r="W989" t="s">
        <v>575</v>
      </c>
      <c r="X989" s="784">
        <v>531677611.80447447</v>
      </c>
    </row>
    <row r="990" spans="1:24">
      <c r="A990" t="s">
        <v>358</v>
      </c>
      <c r="B990" t="s">
        <v>645</v>
      </c>
      <c r="C990" t="s">
        <v>249</v>
      </c>
      <c r="D990" t="s">
        <v>126</v>
      </c>
      <c r="E990" t="s">
        <v>377</v>
      </c>
      <c r="F990" t="s">
        <v>383</v>
      </c>
      <c r="G990" t="s">
        <v>334</v>
      </c>
      <c r="H990" t="s">
        <v>334</v>
      </c>
      <c r="I990" t="s">
        <v>743</v>
      </c>
      <c r="J990" t="s">
        <v>744</v>
      </c>
      <c r="K990" t="s">
        <v>546</v>
      </c>
      <c r="L990" s="784" t="s">
        <v>575</v>
      </c>
      <c r="M990" t="s">
        <v>745</v>
      </c>
      <c r="P990" t="s">
        <v>1887</v>
      </c>
      <c r="R990" t="s">
        <v>550</v>
      </c>
      <c r="S990" t="s">
        <v>146</v>
      </c>
      <c r="U990">
        <v>0</v>
      </c>
      <c r="V990" t="s">
        <v>541</v>
      </c>
      <c r="W990" t="s">
        <v>575</v>
      </c>
      <c r="X990" s="784">
        <v>8528751.6418357007</v>
      </c>
    </row>
    <row r="991" spans="1:24">
      <c r="A991" t="s">
        <v>358</v>
      </c>
      <c r="B991" t="s">
        <v>646</v>
      </c>
      <c r="C991" t="s">
        <v>250</v>
      </c>
      <c r="D991" t="s">
        <v>132</v>
      </c>
      <c r="E991" t="s">
        <v>377</v>
      </c>
      <c r="F991" t="s">
        <v>383</v>
      </c>
      <c r="G991" t="s">
        <v>334</v>
      </c>
      <c r="H991" t="s">
        <v>334</v>
      </c>
      <c r="I991" t="s">
        <v>743</v>
      </c>
      <c r="J991" t="s">
        <v>744</v>
      </c>
      <c r="K991" t="s">
        <v>546</v>
      </c>
      <c r="L991" s="784" t="s">
        <v>575</v>
      </c>
      <c r="M991" t="s">
        <v>745</v>
      </c>
      <c r="P991" t="s">
        <v>1887</v>
      </c>
      <c r="R991" t="s">
        <v>150</v>
      </c>
      <c r="S991" t="s">
        <v>145</v>
      </c>
      <c r="U991">
        <v>0</v>
      </c>
      <c r="V991" t="s">
        <v>544</v>
      </c>
      <c r="W991" t="s">
        <v>558</v>
      </c>
      <c r="X991" s="784">
        <v>407084543.19089872</v>
      </c>
    </row>
    <row r="992" spans="1:24">
      <c r="A992" t="s">
        <v>358</v>
      </c>
      <c r="B992" t="s">
        <v>647</v>
      </c>
      <c r="C992" t="s">
        <v>251</v>
      </c>
      <c r="D992" t="s">
        <v>130</v>
      </c>
      <c r="E992" t="s">
        <v>377</v>
      </c>
      <c r="F992" t="s">
        <v>383</v>
      </c>
      <c r="G992" t="s">
        <v>334</v>
      </c>
      <c r="H992" t="s">
        <v>334</v>
      </c>
      <c r="I992" t="s">
        <v>743</v>
      </c>
      <c r="J992" t="s">
        <v>744</v>
      </c>
      <c r="K992" t="s">
        <v>546</v>
      </c>
      <c r="L992" s="784" t="s">
        <v>575</v>
      </c>
      <c r="M992" t="s">
        <v>745</v>
      </c>
      <c r="P992" t="s">
        <v>1887</v>
      </c>
      <c r="R992" t="s">
        <v>150</v>
      </c>
      <c r="S992" t="s">
        <v>145</v>
      </c>
      <c r="U992">
        <v>0</v>
      </c>
      <c r="V992" t="s">
        <v>544</v>
      </c>
      <c r="W992" t="s">
        <v>562</v>
      </c>
      <c r="X992" s="784">
        <v>671998341.93592453</v>
      </c>
    </row>
    <row r="993" spans="1:24">
      <c r="A993" t="s">
        <v>358</v>
      </c>
      <c r="B993" t="s">
        <v>648</v>
      </c>
      <c r="C993" t="s">
        <v>252</v>
      </c>
      <c r="D993" t="s">
        <v>129</v>
      </c>
      <c r="E993" t="s">
        <v>377</v>
      </c>
      <c r="F993" t="s">
        <v>383</v>
      </c>
      <c r="G993" t="s">
        <v>334</v>
      </c>
      <c r="H993" t="s">
        <v>334</v>
      </c>
      <c r="I993" t="s">
        <v>743</v>
      </c>
      <c r="J993" t="s">
        <v>744</v>
      </c>
      <c r="K993" t="s">
        <v>546</v>
      </c>
      <c r="L993" s="784" t="s">
        <v>575</v>
      </c>
      <c r="M993" t="s">
        <v>745</v>
      </c>
      <c r="P993" t="s">
        <v>1887</v>
      </c>
      <c r="R993" t="s">
        <v>148</v>
      </c>
      <c r="S993" t="s">
        <v>145</v>
      </c>
      <c r="U993">
        <v>1</v>
      </c>
      <c r="V993" t="s">
        <v>544</v>
      </c>
      <c r="W993" t="s">
        <v>562</v>
      </c>
      <c r="X993" s="784">
        <v>226203289.67158964</v>
      </c>
    </row>
    <row r="994" spans="1:24">
      <c r="A994" t="s">
        <v>358</v>
      </c>
      <c r="B994" t="s">
        <v>649</v>
      </c>
      <c r="C994" t="s">
        <v>253</v>
      </c>
      <c r="D994" t="s">
        <v>129</v>
      </c>
      <c r="E994" t="s">
        <v>377</v>
      </c>
      <c r="F994" t="s">
        <v>383</v>
      </c>
      <c r="G994" t="s">
        <v>334</v>
      </c>
      <c r="H994" t="s">
        <v>334</v>
      </c>
      <c r="I994" t="s">
        <v>743</v>
      </c>
      <c r="J994" t="s">
        <v>744</v>
      </c>
      <c r="K994" t="s">
        <v>546</v>
      </c>
      <c r="L994" s="784" t="s">
        <v>575</v>
      </c>
      <c r="M994" t="s">
        <v>745</v>
      </c>
      <c r="P994" t="s">
        <v>1887</v>
      </c>
      <c r="R994" t="s">
        <v>150</v>
      </c>
      <c r="S994" t="s">
        <v>145</v>
      </c>
      <c r="U994">
        <v>3</v>
      </c>
      <c r="V994" t="s">
        <v>544</v>
      </c>
      <c r="W994" t="s">
        <v>548</v>
      </c>
      <c r="X994" s="784">
        <v>2438881113.1244688</v>
      </c>
    </row>
    <row r="995" spans="1:24">
      <c r="A995" t="s">
        <v>358</v>
      </c>
      <c r="B995" t="s">
        <v>650</v>
      </c>
      <c r="C995" t="s">
        <v>254</v>
      </c>
      <c r="D995" t="s">
        <v>127</v>
      </c>
      <c r="E995" t="s">
        <v>377</v>
      </c>
      <c r="F995" t="s">
        <v>383</v>
      </c>
      <c r="G995" t="s">
        <v>334</v>
      </c>
      <c r="H995" t="s">
        <v>334</v>
      </c>
      <c r="I995" t="s">
        <v>743</v>
      </c>
      <c r="J995" t="s">
        <v>744</v>
      </c>
      <c r="K995" t="s">
        <v>546</v>
      </c>
      <c r="L995" s="784" t="s">
        <v>575</v>
      </c>
      <c r="M995" t="s">
        <v>745</v>
      </c>
      <c r="P995" t="s">
        <v>1887</v>
      </c>
      <c r="R995" t="s">
        <v>152</v>
      </c>
      <c r="S995" t="s">
        <v>146</v>
      </c>
      <c r="U995">
        <v>0</v>
      </c>
      <c r="V995" t="s">
        <v>544</v>
      </c>
      <c r="W995" t="s">
        <v>575</v>
      </c>
      <c r="X995" s="784">
        <v>476517795.73174149</v>
      </c>
    </row>
    <row r="996" spans="1:24">
      <c r="A996" t="s">
        <v>358</v>
      </c>
      <c r="B996" t="s">
        <v>651</v>
      </c>
      <c r="C996" t="s">
        <v>255</v>
      </c>
      <c r="D996" t="s">
        <v>132</v>
      </c>
      <c r="E996" t="s">
        <v>377</v>
      </c>
      <c r="F996" t="s">
        <v>383</v>
      </c>
      <c r="G996" t="s">
        <v>334</v>
      </c>
      <c r="H996" t="s">
        <v>334</v>
      </c>
      <c r="I996" t="s">
        <v>743</v>
      </c>
      <c r="J996" t="s">
        <v>744</v>
      </c>
      <c r="K996" t="s">
        <v>546</v>
      </c>
      <c r="L996" s="784" t="s">
        <v>575</v>
      </c>
      <c r="M996" t="s">
        <v>745</v>
      </c>
      <c r="P996" t="s">
        <v>1887</v>
      </c>
      <c r="R996" t="s">
        <v>150</v>
      </c>
      <c r="S996" t="s">
        <v>145</v>
      </c>
      <c r="U996">
        <v>0</v>
      </c>
      <c r="V996" t="s">
        <v>544</v>
      </c>
      <c r="W996" t="s">
        <v>548</v>
      </c>
      <c r="X996" s="784">
        <v>3233351297.7679496</v>
      </c>
    </row>
    <row r="997" spans="1:24">
      <c r="A997" t="s">
        <v>358</v>
      </c>
      <c r="B997" t="s">
        <v>652</v>
      </c>
      <c r="C997" t="s">
        <v>256</v>
      </c>
      <c r="D997" t="s">
        <v>130</v>
      </c>
      <c r="E997" t="s">
        <v>377</v>
      </c>
      <c r="F997" t="s">
        <v>383</v>
      </c>
      <c r="G997" t="s">
        <v>334</v>
      </c>
      <c r="H997" t="s">
        <v>334</v>
      </c>
      <c r="I997" t="s">
        <v>743</v>
      </c>
      <c r="J997" t="s">
        <v>744</v>
      </c>
      <c r="K997" t="s">
        <v>546</v>
      </c>
      <c r="L997" s="784" t="s">
        <v>575</v>
      </c>
      <c r="M997" t="s">
        <v>745</v>
      </c>
      <c r="P997" t="s">
        <v>1887</v>
      </c>
      <c r="R997" t="s">
        <v>550</v>
      </c>
      <c r="S997" t="s">
        <v>146</v>
      </c>
      <c r="U997">
        <v>0</v>
      </c>
      <c r="V997" t="s">
        <v>541</v>
      </c>
      <c r="W997" t="s">
        <v>575</v>
      </c>
      <c r="X997" s="784">
        <v>18180646.808608256</v>
      </c>
    </row>
    <row r="998" spans="1:24">
      <c r="A998" t="s">
        <v>358</v>
      </c>
      <c r="B998" t="s">
        <v>653</v>
      </c>
      <c r="C998" t="s">
        <v>257</v>
      </c>
      <c r="D998" t="s">
        <v>130</v>
      </c>
      <c r="E998" t="s">
        <v>377</v>
      </c>
      <c r="F998" t="s">
        <v>383</v>
      </c>
      <c r="G998" t="s">
        <v>334</v>
      </c>
      <c r="H998" t="s">
        <v>334</v>
      </c>
      <c r="I998" t="s">
        <v>743</v>
      </c>
      <c r="J998" t="s">
        <v>744</v>
      </c>
      <c r="K998" t="s">
        <v>546</v>
      </c>
      <c r="L998" s="784">
        <v>20700000</v>
      </c>
      <c r="M998" t="s">
        <v>745</v>
      </c>
      <c r="P998" t="s">
        <v>1887</v>
      </c>
      <c r="R998" t="s">
        <v>152</v>
      </c>
      <c r="S998" t="s">
        <v>146</v>
      </c>
      <c r="U998">
        <v>0</v>
      </c>
      <c r="V998" t="s">
        <v>544</v>
      </c>
      <c r="W998" t="s">
        <v>546</v>
      </c>
      <c r="X998" s="784">
        <v>3020530707.3485303</v>
      </c>
    </row>
    <row r="999" spans="1:24">
      <c r="A999" t="s">
        <v>358</v>
      </c>
      <c r="B999" t="s">
        <v>654</v>
      </c>
      <c r="C999" t="s">
        <v>258</v>
      </c>
      <c r="D999" t="s">
        <v>126</v>
      </c>
      <c r="E999" t="s">
        <v>377</v>
      </c>
      <c r="F999" t="s">
        <v>383</v>
      </c>
      <c r="G999" t="s">
        <v>334</v>
      </c>
      <c r="H999" t="s">
        <v>334</v>
      </c>
      <c r="I999" t="s">
        <v>743</v>
      </c>
      <c r="J999" t="s">
        <v>744</v>
      </c>
      <c r="K999" t="s">
        <v>546</v>
      </c>
      <c r="L999" s="784" t="s">
        <v>575</v>
      </c>
      <c r="M999" t="s">
        <v>745</v>
      </c>
      <c r="P999" t="s">
        <v>1887</v>
      </c>
      <c r="R999" t="s">
        <v>150</v>
      </c>
      <c r="S999" t="s">
        <v>145</v>
      </c>
      <c r="U999">
        <v>1</v>
      </c>
      <c r="V999" t="s">
        <v>541</v>
      </c>
      <c r="W999" t="s">
        <v>542</v>
      </c>
      <c r="X999" s="784">
        <v>384406316.46074712</v>
      </c>
    </row>
    <row r="1000" spans="1:24">
      <c r="A1000" t="s">
        <v>358</v>
      </c>
      <c r="B1000" t="s">
        <v>655</v>
      </c>
      <c r="C1000" t="s">
        <v>259</v>
      </c>
      <c r="D1000" t="s">
        <v>130</v>
      </c>
      <c r="E1000" t="s">
        <v>377</v>
      </c>
      <c r="F1000" t="s">
        <v>383</v>
      </c>
      <c r="G1000" t="s">
        <v>334</v>
      </c>
      <c r="H1000" t="s">
        <v>334</v>
      </c>
      <c r="I1000" t="s">
        <v>743</v>
      </c>
      <c r="J1000" t="s">
        <v>744</v>
      </c>
      <c r="K1000" t="s">
        <v>546</v>
      </c>
      <c r="L1000" s="784" t="s">
        <v>575</v>
      </c>
      <c r="M1000" t="s">
        <v>745</v>
      </c>
      <c r="P1000" t="s">
        <v>1887</v>
      </c>
      <c r="R1000" t="s">
        <v>152</v>
      </c>
      <c r="S1000" t="s">
        <v>146</v>
      </c>
      <c r="U1000">
        <v>0</v>
      </c>
      <c r="V1000" t="s">
        <v>544</v>
      </c>
      <c r="W1000" t="s">
        <v>575</v>
      </c>
      <c r="X1000" s="784">
        <v>1218747108.9554784</v>
      </c>
    </row>
    <row r="1001" spans="1:24">
      <c r="A1001" t="s">
        <v>358</v>
      </c>
      <c r="B1001" t="s">
        <v>656</v>
      </c>
      <c r="C1001" t="s">
        <v>260</v>
      </c>
      <c r="D1001" t="s">
        <v>130</v>
      </c>
      <c r="E1001" t="s">
        <v>377</v>
      </c>
      <c r="F1001" t="s">
        <v>383</v>
      </c>
      <c r="G1001" t="s">
        <v>334</v>
      </c>
      <c r="H1001" t="s">
        <v>334</v>
      </c>
      <c r="I1001" t="s">
        <v>743</v>
      </c>
      <c r="J1001" t="s">
        <v>744</v>
      </c>
      <c r="K1001" t="s">
        <v>546</v>
      </c>
      <c r="L1001" s="784" t="s">
        <v>575</v>
      </c>
      <c r="M1001" t="s">
        <v>745</v>
      </c>
      <c r="P1001" t="s">
        <v>1887</v>
      </c>
      <c r="R1001" t="s">
        <v>152</v>
      </c>
      <c r="S1001" t="s">
        <v>146</v>
      </c>
      <c r="U1001">
        <v>0</v>
      </c>
      <c r="V1001" t="s">
        <v>544</v>
      </c>
      <c r="W1001" t="s">
        <v>575</v>
      </c>
      <c r="X1001" s="784">
        <v>7392665952.5895758</v>
      </c>
    </row>
    <row r="1002" spans="1:24">
      <c r="A1002" t="s">
        <v>358</v>
      </c>
      <c r="B1002" t="s">
        <v>657</v>
      </c>
      <c r="C1002" t="s">
        <v>261</v>
      </c>
      <c r="D1002" t="s">
        <v>126</v>
      </c>
      <c r="E1002" t="s">
        <v>377</v>
      </c>
      <c r="F1002" t="s">
        <v>383</v>
      </c>
      <c r="G1002" t="s">
        <v>334</v>
      </c>
      <c r="H1002" t="s">
        <v>334</v>
      </c>
      <c r="I1002" t="s">
        <v>743</v>
      </c>
      <c r="J1002" t="s">
        <v>744</v>
      </c>
      <c r="K1002" t="s">
        <v>546</v>
      </c>
      <c r="L1002" s="784" t="s">
        <v>575</v>
      </c>
      <c r="M1002" t="s">
        <v>745</v>
      </c>
      <c r="P1002" t="s">
        <v>1887</v>
      </c>
      <c r="R1002" t="s">
        <v>150</v>
      </c>
      <c r="S1002" t="s">
        <v>145</v>
      </c>
      <c r="U1002">
        <v>0</v>
      </c>
      <c r="V1002" t="s">
        <v>544</v>
      </c>
      <c r="W1002" t="s">
        <v>546</v>
      </c>
      <c r="X1002" s="784">
        <v>4754985988.6004429</v>
      </c>
    </row>
    <row r="1003" spans="1:24">
      <c r="A1003" t="s">
        <v>358</v>
      </c>
      <c r="B1003" t="s">
        <v>658</v>
      </c>
      <c r="C1003" t="s">
        <v>262</v>
      </c>
      <c r="D1003" t="s">
        <v>127</v>
      </c>
      <c r="E1003" t="s">
        <v>377</v>
      </c>
      <c r="F1003" t="s">
        <v>383</v>
      </c>
      <c r="G1003" t="s">
        <v>334</v>
      </c>
      <c r="H1003" t="s">
        <v>334</v>
      </c>
      <c r="I1003" t="s">
        <v>743</v>
      </c>
      <c r="J1003" t="s">
        <v>744</v>
      </c>
      <c r="K1003" t="s">
        <v>546</v>
      </c>
      <c r="L1003" s="784" t="s">
        <v>575</v>
      </c>
      <c r="M1003" t="s">
        <v>745</v>
      </c>
      <c r="P1003" t="s">
        <v>1887</v>
      </c>
      <c r="R1003" t="s">
        <v>550</v>
      </c>
      <c r="S1003" t="s">
        <v>146</v>
      </c>
      <c r="U1003">
        <v>0</v>
      </c>
      <c r="V1003" t="s">
        <v>544</v>
      </c>
      <c r="W1003" t="s">
        <v>575</v>
      </c>
      <c r="X1003" s="784">
        <v>26422210443.037273</v>
      </c>
    </row>
    <row r="1004" spans="1:24">
      <c r="A1004" t="s">
        <v>358</v>
      </c>
      <c r="B1004" t="s">
        <v>659</v>
      </c>
      <c r="C1004" t="s">
        <v>151</v>
      </c>
      <c r="D1004" t="s">
        <v>127</v>
      </c>
      <c r="E1004" t="s">
        <v>377</v>
      </c>
      <c r="F1004" t="s">
        <v>383</v>
      </c>
      <c r="G1004" t="s">
        <v>334</v>
      </c>
      <c r="H1004" t="s">
        <v>334</v>
      </c>
      <c r="I1004" t="s">
        <v>743</v>
      </c>
      <c r="J1004" t="s">
        <v>744</v>
      </c>
      <c r="K1004" t="s">
        <v>546</v>
      </c>
      <c r="L1004" s="784" t="s">
        <v>575</v>
      </c>
      <c r="M1004" t="s">
        <v>745</v>
      </c>
      <c r="P1004" t="s">
        <v>1887</v>
      </c>
      <c r="R1004" t="s">
        <v>152</v>
      </c>
      <c r="S1004" t="s">
        <v>146</v>
      </c>
      <c r="U1004">
        <v>0</v>
      </c>
      <c r="V1004" t="s">
        <v>544</v>
      </c>
      <c r="W1004" t="s">
        <v>575</v>
      </c>
      <c r="X1004" s="784">
        <v>10696495313.15033</v>
      </c>
    </row>
    <row r="1005" spans="1:24">
      <c r="A1005" t="s">
        <v>358</v>
      </c>
      <c r="B1005" t="s">
        <v>660</v>
      </c>
      <c r="C1005" t="s">
        <v>263</v>
      </c>
      <c r="D1005" t="s">
        <v>127</v>
      </c>
      <c r="E1005" t="s">
        <v>377</v>
      </c>
      <c r="F1005" t="s">
        <v>383</v>
      </c>
      <c r="G1005" t="s">
        <v>334</v>
      </c>
      <c r="H1005" t="s">
        <v>334</v>
      </c>
      <c r="I1005" t="s">
        <v>743</v>
      </c>
      <c r="J1005" t="s">
        <v>744</v>
      </c>
      <c r="K1005" t="s">
        <v>546</v>
      </c>
      <c r="L1005" s="784" t="s">
        <v>575</v>
      </c>
      <c r="M1005" t="s">
        <v>745</v>
      </c>
      <c r="P1005" t="s">
        <v>1887</v>
      </c>
      <c r="R1005" t="s">
        <v>152</v>
      </c>
      <c r="S1005" t="s">
        <v>146</v>
      </c>
      <c r="U1005">
        <v>0</v>
      </c>
      <c r="V1005" t="s">
        <v>544</v>
      </c>
      <c r="W1005" t="s">
        <v>575</v>
      </c>
      <c r="X1005" s="784">
        <v>52769713433.240509</v>
      </c>
    </row>
    <row r="1006" spans="1:24">
      <c r="A1006" t="s">
        <v>358</v>
      </c>
      <c r="B1006" t="s">
        <v>661</v>
      </c>
      <c r="C1006" t="s">
        <v>264</v>
      </c>
      <c r="D1006" t="s">
        <v>128</v>
      </c>
      <c r="E1006" t="s">
        <v>377</v>
      </c>
      <c r="F1006" t="s">
        <v>383</v>
      </c>
      <c r="G1006" t="s">
        <v>334</v>
      </c>
      <c r="H1006" t="s">
        <v>334</v>
      </c>
      <c r="I1006" t="s">
        <v>743</v>
      </c>
      <c r="J1006" t="s">
        <v>744</v>
      </c>
      <c r="K1006" t="s">
        <v>546</v>
      </c>
      <c r="L1006" s="784" t="s">
        <v>575</v>
      </c>
      <c r="M1006" t="s">
        <v>745</v>
      </c>
      <c r="P1006" t="s">
        <v>1887</v>
      </c>
      <c r="R1006" t="s">
        <v>148</v>
      </c>
      <c r="S1006" t="s">
        <v>145</v>
      </c>
      <c r="U1006">
        <v>0</v>
      </c>
      <c r="V1006" t="s">
        <v>544</v>
      </c>
      <c r="W1006" t="s">
        <v>562</v>
      </c>
      <c r="X1006" s="784">
        <v>225799814.51943746</v>
      </c>
    </row>
    <row r="1007" spans="1:24">
      <c r="A1007" t="s">
        <v>358</v>
      </c>
      <c r="B1007" t="s">
        <v>662</v>
      </c>
      <c r="C1007" t="s">
        <v>265</v>
      </c>
      <c r="D1007" t="s">
        <v>126</v>
      </c>
      <c r="E1007" t="s">
        <v>377</v>
      </c>
      <c r="F1007" t="s">
        <v>383</v>
      </c>
      <c r="G1007" t="s">
        <v>334</v>
      </c>
      <c r="H1007" t="s">
        <v>334</v>
      </c>
      <c r="I1007" t="s">
        <v>743</v>
      </c>
      <c r="J1007" t="s">
        <v>744</v>
      </c>
      <c r="K1007" t="s">
        <v>546</v>
      </c>
      <c r="L1007" s="784" t="s">
        <v>575</v>
      </c>
      <c r="M1007" t="s">
        <v>745</v>
      </c>
      <c r="P1007" t="s">
        <v>1887</v>
      </c>
      <c r="R1007" t="s">
        <v>150</v>
      </c>
      <c r="S1007" t="s">
        <v>145</v>
      </c>
      <c r="U1007">
        <v>0</v>
      </c>
      <c r="V1007" t="s">
        <v>541</v>
      </c>
      <c r="W1007" t="s">
        <v>542</v>
      </c>
      <c r="X1007" s="784">
        <v>32192988.027009469</v>
      </c>
    </row>
    <row r="1008" spans="1:24">
      <c r="A1008" t="s">
        <v>358</v>
      </c>
      <c r="B1008" t="s">
        <v>663</v>
      </c>
      <c r="C1008" t="s">
        <v>266</v>
      </c>
      <c r="D1008" t="s">
        <v>129</v>
      </c>
      <c r="E1008" t="s">
        <v>377</v>
      </c>
      <c r="F1008" t="s">
        <v>383</v>
      </c>
      <c r="G1008" t="s">
        <v>334</v>
      </c>
      <c r="H1008" t="s">
        <v>334</v>
      </c>
      <c r="I1008" t="s">
        <v>743</v>
      </c>
      <c r="J1008" t="s">
        <v>744</v>
      </c>
      <c r="K1008" t="s">
        <v>546</v>
      </c>
      <c r="L1008" s="784" t="s">
        <v>575</v>
      </c>
      <c r="M1008" t="s">
        <v>745</v>
      </c>
      <c r="P1008" t="s">
        <v>1887</v>
      </c>
      <c r="R1008" t="s">
        <v>150</v>
      </c>
      <c r="S1008" t="s">
        <v>145</v>
      </c>
      <c r="U1008">
        <v>0</v>
      </c>
      <c r="V1008" t="s">
        <v>541</v>
      </c>
      <c r="W1008" t="s">
        <v>583</v>
      </c>
      <c r="X1008" s="784">
        <v>11633535.136477679</v>
      </c>
    </row>
    <row r="1009" spans="1:24">
      <c r="A1009" t="s">
        <v>358</v>
      </c>
      <c r="B1009" t="s">
        <v>664</v>
      </c>
      <c r="C1009" t="s">
        <v>267</v>
      </c>
      <c r="D1009" t="s">
        <v>129</v>
      </c>
      <c r="E1009" t="s">
        <v>377</v>
      </c>
      <c r="F1009" t="s">
        <v>383</v>
      </c>
      <c r="G1009" t="s">
        <v>334</v>
      </c>
      <c r="H1009" t="s">
        <v>334</v>
      </c>
      <c r="I1009" t="s">
        <v>743</v>
      </c>
      <c r="J1009" t="s">
        <v>744</v>
      </c>
      <c r="K1009" t="s">
        <v>546</v>
      </c>
      <c r="L1009" s="784" t="s">
        <v>575</v>
      </c>
      <c r="M1009" t="s">
        <v>745</v>
      </c>
      <c r="P1009" t="s">
        <v>1887</v>
      </c>
      <c r="R1009" t="s">
        <v>150</v>
      </c>
      <c r="S1009" t="s">
        <v>145</v>
      </c>
      <c r="U1009">
        <v>2</v>
      </c>
      <c r="V1009" t="s">
        <v>544</v>
      </c>
      <c r="W1009" t="s">
        <v>562</v>
      </c>
      <c r="X1009" s="784">
        <v>222008693.93354639</v>
      </c>
    </row>
    <row r="1010" spans="1:24">
      <c r="A1010" t="s">
        <v>358</v>
      </c>
      <c r="B1010" t="s">
        <v>665</v>
      </c>
      <c r="C1010" t="s">
        <v>153</v>
      </c>
      <c r="D1010" t="s">
        <v>127</v>
      </c>
      <c r="E1010" t="s">
        <v>377</v>
      </c>
      <c r="F1010" t="s">
        <v>383</v>
      </c>
      <c r="G1010" t="s">
        <v>334</v>
      </c>
      <c r="H1010" t="s">
        <v>334</v>
      </c>
      <c r="I1010" t="s">
        <v>743</v>
      </c>
      <c r="J1010" t="s">
        <v>744</v>
      </c>
      <c r="K1010" t="s">
        <v>546</v>
      </c>
      <c r="L1010" s="784" t="s">
        <v>575</v>
      </c>
      <c r="M1010" t="s">
        <v>745</v>
      </c>
      <c r="P1010" t="s">
        <v>1887</v>
      </c>
      <c r="R1010" t="s">
        <v>152</v>
      </c>
      <c r="S1010" t="s">
        <v>146</v>
      </c>
      <c r="U1010">
        <v>0</v>
      </c>
      <c r="V1010" t="s">
        <v>544</v>
      </c>
      <c r="W1010" t="s">
        <v>575</v>
      </c>
      <c r="X1010" s="784">
        <v>2564993795.1894679</v>
      </c>
    </row>
    <row r="1011" spans="1:24">
      <c r="A1011" t="s">
        <v>358</v>
      </c>
      <c r="B1011" t="s">
        <v>666</v>
      </c>
      <c r="C1011" t="s">
        <v>268</v>
      </c>
      <c r="D1011" t="s">
        <v>128</v>
      </c>
      <c r="E1011" t="s">
        <v>377</v>
      </c>
      <c r="F1011" t="s">
        <v>383</v>
      </c>
      <c r="G1011" t="s">
        <v>334</v>
      </c>
      <c r="H1011" t="s">
        <v>334</v>
      </c>
      <c r="I1011" t="s">
        <v>743</v>
      </c>
      <c r="J1011" t="s">
        <v>744</v>
      </c>
      <c r="K1011" t="s">
        <v>546</v>
      </c>
      <c r="L1011" s="784" t="s">
        <v>575</v>
      </c>
      <c r="M1011" t="s">
        <v>745</v>
      </c>
      <c r="P1011" t="s">
        <v>1887</v>
      </c>
      <c r="R1011" t="s">
        <v>550</v>
      </c>
      <c r="S1011" t="s">
        <v>146</v>
      </c>
      <c r="U1011">
        <v>0</v>
      </c>
      <c r="V1011" t="s">
        <v>541</v>
      </c>
      <c r="W1011" t="s">
        <v>546</v>
      </c>
      <c r="X1011" s="784">
        <v>60237542.945069775</v>
      </c>
    </row>
    <row r="1012" spans="1:24">
      <c r="A1012" t="s">
        <v>358</v>
      </c>
      <c r="B1012" t="s">
        <v>667</v>
      </c>
      <c r="C1012" t="s">
        <v>269</v>
      </c>
      <c r="D1012" t="s">
        <v>129</v>
      </c>
      <c r="E1012" t="s">
        <v>377</v>
      </c>
      <c r="F1012" t="s">
        <v>383</v>
      </c>
      <c r="G1012" t="s">
        <v>334</v>
      </c>
      <c r="H1012" t="s">
        <v>334</v>
      </c>
      <c r="I1012" t="s">
        <v>743</v>
      </c>
      <c r="J1012" t="s">
        <v>744</v>
      </c>
      <c r="K1012" t="s">
        <v>546</v>
      </c>
      <c r="L1012" s="784" t="s">
        <v>575</v>
      </c>
      <c r="M1012" t="s">
        <v>745</v>
      </c>
      <c r="P1012" t="s">
        <v>1887</v>
      </c>
      <c r="R1012" t="s">
        <v>148</v>
      </c>
      <c r="S1012" t="s">
        <v>145</v>
      </c>
      <c r="U1012">
        <v>0</v>
      </c>
      <c r="V1012" t="s">
        <v>544</v>
      </c>
      <c r="W1012" t="s">
        <v>542</v>
      </c>
      <c r="X1012" s="784">
        <v>63738640.538260505</v>
      </c>
    </row>
    <row r="1013" spans="1:24">
      <c r="A1013" t="s">
        <v>358</v>
      </c>
      <c r="B1013" t="s">
        <v>668</v>
      </c>
      <c r="C1013" t="s">
        <v>270</v>
      </c>
      <c r="D1013" t="s">
        <v>126</v>
      </c>
      <c r="E1013" t="s">
        <v>377</v>
      </c>
      <c r="F1013" t="s">
        <v>383</v>
      </c>
      <c r="G1013" t="s">
        <v>334</v>
      </c>
      <c r="H1013" t="s">
        <v>334</v>
      </c>
      <c r="I1013" t="s">
        <v>743</v>
      </c>
      <c r="J1013" t="s">
        <v>744</v>
      </c>
      <c r="K1013" t="s">
        <v>546</v>
      </c>
      <c r="L1013" s="784" t="s">
        <v>575</v>
      </c>
      <c r="M1013" t="s">
        <v>745</v>
      </c>
      <c r="P1013" t="s">
        <v>1887</v>
      </c>
      <c r="R1013" t="s">
        <v>150</v>
      </c>
      <c r="S1013" t="s">
        <v>145</v>
      </c>
      <c r="U1013">
        <v>0</v>
      </c>
      <c r="V1013" t="s">
        <v>541</v>
      </c>
      <c r="W1013" t="s">
        <v>562</v>
      </c>
      <c r="X1013" s="784">
        <v>49012774.055630356</v>
      </c>
    </row>
    <row r="1014" spans="1:24">
      <c r="A1014" t="s">
        <v>358</v>
      </c>
      <c r="B1014" t="s">
        <v>669</v>
      </c>
      <c r="C1014" t="s">
        <v>271</v>
      </c>
      <c r="D1014" t="s">
        <v>128</v>
      </c>
      <c r="E1014" t="s">
        <v>377</v>
      </c>
      <c r="F1014" t="s">
        <v>383</v>
      </c>
      <c r="G1014" t="s">
        <v>334</v>
      </c>
      <c r="H1014" t="s">
        <v>334</v>
      </c>
      <c r="I1014" t="s">
        <v>743</v>
      </c>
      <c r="J1014" t="s">
        <v>744</v>
      </c>
      <c r="K1014" t="s">
        <v>546</v>
      </c>
      <c r="L1014" s="784" t="s">
        <v>575</v>
      </c>
      <c r="M1014" t="s">
        <v>745</v>
      </c>
      <c r="P1014" t="s">
        <v>1887</v>
      </c>
      <c r="R1014" t="s">
        <v>148</v>
      </c>
      <c r="S1014" t="s">
        <v>145</v>
      </c>
      <c r="U1014">
        <v>1</v>
      </c>
      <c r="V1014" t="s">
        <v>544</v>
      </c>
      <c r="W1014" t="s">
        <v>583</v>
      </c>
      <c r="X1014" s="784" t="s">
        <v>575</v>
      </c>
    </row>
    <row r="1015" spans="1:24">
      <c r="A1015" t="s">
        <v>358</v>
      </c>
      <c r="B1015" t="s">
        <v>670</v>
      </c>
      <c r="C1015" t="s">
        <v>272</v>
      </c>
      <c r="D1015" t="s">
        <v>128</v>
      </c>
      <c r="E1015" t="s">
        <v>377</v>
      </c>
      <c r="F1015" t="s">
        <v>383</v>
      </c>
      <c r="G1015" t="s">
        <v>334</v>
      </c>
      <c r="H1015" t="s">
        <v>334</v>
      </c>
      <c r="I1015" t="s">
        <v>743</v>
      </c>
      <c r="J1015" t="s">
        <v>744</v>
      </c>
      <c r="K1015" t="s">
        <v>546</v>
      </c>
      <c r="L1015" s="784" t="s">
        <v>575</v>
      </c>
      <c r="M1015" t="s">
        <v>745</v>
      </c>
      <c r="P1015" t="s">
        <v>1887</v>
      </c>
      <c r="R1015" t="s">
        <v>152</v>
      </c>
      <c r="S1015" t="s">
        <v>146</v>
      </c>
      <c r="U1015">
        <v>0</v>
      </c>
      <c r="V1015" t="s">
        <v>544</v>
      </c>
      <c r="W1015" t="s">
        <v>546</v>
      </c>
      <c r="X1015" s="784">
        <v>16429121142.784708</v>
      </c>
    </row>
    <row r="1016" spans="1:24">
      <c r="A1016" t="s">
        <v>358</v>
      </c>
      <c r="B1016" t="s">
        <v>671</v>
      </c>
      <c r="C1016" t="s">
        <v>273</v>
      </c>
      <c r="D1016" t="s">
        <v>128</v>
      </c>
      <c r="E1016" t="s">
        <v>377</v>
      </c>
      <c r="F1016" t="s">
        <v>383</v>
      </c>
      <c r="G1016" t="s">
        <v>334</v>
      </c>
      <c r="H1016" t="s">
        <v>334</v>
      </c>
      <c r="I1016" t="s">
        <v>743</v>
      </c>
      <c r="J1016" t="s">
        <v>744</v>
      </c>
      <c r="K1016" t="s">
        <v>546</v>
      </c>
      <c r="L1016" s="784" t="s">
        <v>575</v>
      </c>
      <c r="M1016" t="s">
        <v>745</v>
      </c>
      <c r="P1016" t="s">
        <v>1887</v>
      </c>
      <c r="R1016" t="s">
        <v>148</v>
      </c>
      <c r="S1016" t="s">
        <v>145</v>
      </c>
      <c r="U1016">
        <v>1</v>
      </c>
      <c r="V1016" t="s">
        <v>544</v>
      </c>
      <c r="W1016" t="s">
        <v>542</v>
      </c>
      <c r="X1016" s="784">
        <v>31684581.76217727</v>
      </c>
    </row>
    <row r="1017" spans="1:24">
      <c r="A1017" t="s">
        <v>358</v>
      </c>
      <c r="B1017" t="s">
        <v>672</v>
      </c>
      <c r="C1017" t="s">
        <v>274</v>
      </c>
      <c r="D1017" t="s">
        <v>132</v>
      </c>
      <c r="E1017" t="s">
        <v>377</v>
      </c>
      <c r="F1017" t="s">
        <v>383</v>
      </c>
      <c r="G1017" t="s">
        <v>334</v>
      </c>
      <c r="H1017" t="s">
        <v>334</v>
      </c>
      <c r="I1017" t="s">
        <v>743</v>
      </c>
      <c r="J1017" t="s">
        <v>744</v>
      </c>
      <c r="K1017" t="s">
        <v>546</v>
      </c>
      <c r="L1017" s="784" t="s">
        <v>575</v>
      </c>
      <c r="M1017" t="s">
        <v>745</v>
      </c>
      <c r="P1017" t="s">
        <v>1887</v>
      </c>
      <c r="R1017" t="s">
        <v>150</v>
      </c>
      <c r="S1017" t="s">
        <v>145</v>
      </c>
      <c r="U1017">
        <v>0</v>
      </c>
      <c r="V1017" t="s">
        <v>544</v>
      </c>
      <c r="W1017" t="s">
        <v>546</v>
      </c>
      <c r="X1017" s="784">
        <v>1373621563.5182886</v>
      </c>
    </row>
    <row r="1018" spans="1:24">
      <c r="A1018" t="s">
        <v>358</v>
      </c>
      <c r="B1018" t="s">
        <v>673</v>
      </c>
      <c r="C1018" t="s">
        <v>275</v>
      </c>
      <c r="D1018" t="s">
        <v>130</v>
      </c>
      <c r="E1018" t="s">
        <v>377</v>
      </c>
      <c r="F1018" t="s">
        <v>383</v>
      </c>
      <c r="G1018" t="s">
        <v>334</v>
      </c>
      <c r="H1018" t="s">
        <v>334</v>
      </c>
      <c r="I1018" t="s">
        <v>743</v>
      </c>
      <c r="J1018" t="s">
        <v>744</v>
      </c>
      <c r="K1018" t="s">
        <v>546</v>
      </c>
      <c r="L1018" s="784" t="s">
        <v>575</v>
      </c>
      <c r="M1018" t="s">
        <v>745</v>
      </c>
      <c r="P1018" t="s">
        <v>1887</v>
      </c>
      <c r="R1018" t="s">
        <v>550</v>
      </c>
      <c r="S1018" t="s">
        <v>146</v>
      </c>
      <c r="U1018">
        <v>0</v>
      </c>
      <c r="V1018" t="s">
        <v>541</v>
      </c>
      <c r="W1018" t="s">
        <v>575</v>
      </c>
      <c r="X1018" s="784">
        <v>24214370.889062837</v>
      </c>
    </row>
    <row r="1019" spans="1:24">
      <c r="A1019" t="s">
        <v>358</v>
      </c>
      <c r="B1019" t="s">
        <v>674</v>
      </c>
      <c r="C1019" t="s">
        <v>154</v>
      </c>
      <c r="D1019" t="s">
        <v>130</v>
      </c>
      <c r="E1019" t="s">
        <v>377</v>
      </c>
      <c r="F1019" t="s">
        <v>383</v>
      </c>
      <c r="G1019" t="s">
        <v>334</v>
      </c>
      <c r="H1019" t="s">
        <v>334</v>
      </c>
      <c r="I1019" t="s">
        <v>743</v>
      </c>
      <c r="J1019" t="s">
        <v>744</v>
      </c>
      <c r="K1019" t="s">
        <v>546</v>
      </c>
      <c r="L1019" s="784" t="s">
        <v>575</v>
      </c>
      <c r="M1019" t="s">
        <v>745</v>
      </c>
      <c r="P1019" t="s">
        <v>1887</v>
      </c>
      <c r="R1019" t="s">
        <v>152</v>
      </c>
      <c r="S1019" t="s">
        <v>145</v>
      </c>
      <c r="U1019">
        <v>0</v>
      </c>
      <c r="V1019" t="s">
        <v>541</v>
      </c>
      <c r="W1019" t="s">
        <v>548</v>
      </c>
      <c r="X1019" s="784">
        <v>39941279.609447442</v>
      </c>
    </row>
    <row r="1020" spans="1:24">
      <c r="A1020" t="s">
        <v>358</v>
      </c>
      <c r="B1020" t="s">
        <v>675</v>
      </c>
      <c r="C1020" t="s">
        <v>155</v>
      </c>
      <c r="D1020" t="s">
        <v>130</v>
      </c>
      <c r="E1020" t="s">
        <v>377</v>
      </c>
      <c r="F1020" t="s">
        <v>383</v>
      </c>
      <c r="G1020" t="s">
        <v>334</v>
      </c>
      <c r="H1020" t="s">
        <v>334</v>
      </c>
      <c r="I1020" t="s">
        <v>743</v>
      </c>
      <c r="J1020" t="s">
        <v>744</v>
      </c>
      <c r="K1020" t="s">
        <v>546</v>
      </c>
      <c r="L1020" s="784" t="s">
        <v>575</v>
      </c>
      <c r="M1020" t="s">
        <v>745</v>
      </c>
      <c r="P1020" t="s">
        <v>1887</v>
      </c>
      <c r="R1020" t="s">
        <v>152</v>
      </c>
      <c r="S1020" t="s">
        <v>145</v>
      </c>
      <c r="U1020">
        <v>0</v>
      </c>
      <c r="V1020" t="s">
        <v>541</v>
      </c>
      <c r="W1020" t="s">
        <v>542</v>
      </c>
      <c r="X1020" s="784">
        <v>24761675.260059897</v>
      </c>
    </row>
    <row r="1021" spans="1:24">
      <c r="A1021" t="s">
        <v>358</v>
      </c>
      <c r="B1021" t="s">
        <v>676</v>
      </c>
      <c r="C1021" t="s">
        <v>276</v>
      </c>
      <c r="D1021" t="s">
        <v>131</v>
      </c>
      <c r="E1021" t="s">
        <v>377</v>
      </c>
      <c r="F1021" t="s">
        <v>383</v>
      </c>
      <c r="G1021" t="s">
        <v>334</v>
      </c>
      <c r="H1021" t="s">
        <v>334</v>
      </c>
      <c r="I1021" t="s">
        <v>743</v>
      </c>
      <c r="J1021" t="s">
        <v>744</v>
      </c>
      <c r="K1021" t="s">
        <v>546</v>
      </c>
      <c r="L1021" s="784" t="s">
        <v>575</v>
      </c>
      <c r="M1021" t="s">
        <v>745</v>
      </c>
      <c r="P1021" t="s">
        <v>1887</v>
      </c>
      <c r="R1021" t="s">
        <v>150</v>
      </c>
      <c r="S1021" t="s">
        <v>145</v>
      </c>
      <c r="U1021">
        <v>0</v>
      </c>
      <c r="V1021" t="s">
        <v>544</v>
      </c>
      <c r="W1021" t="s">
        <v>546</v>
      </c>
      <c r="X1021" s="784" t="s">
        <v>575</v>
      </c>
    </row>
    <row r="1022" spans="1:24">
      <c r="A1022" t="s">
        <v>358</v>
      </c>
      <c r="B1022" t="s">
        <v>677</v>
      </c>
      <c r="C1022" t="s">
        <v>277</v>
      </c>
      <c r="D1022" t="s">
        <v>131</v>
      </c>
      <c r="E1022" t="s">
        <v>377</v>
      </c>
      <c r="F1022" t="s">
        <v>383</v>
      </c>
      <c r="G1022" t="s">
        <v>334</v>
      </c>
      <c r="H1022" t="s">
        <v>334</v>
      </c>
      <c r="I1022" t="s">
        <v>743</v>
      </c>
      <c r="J1022" t="s">
        <v>744</v>
      </c>
      <c r="K1022" t="s">
        <v>546</v>
      </c>
      <c r="L1022" s="784" t="s">
        <v>575</v>
      </c>
      <c r="M1022" t="s">
        <v>745</v>
      </c>
      <c r="P1022" t="s">
        <v>1887</v>
      </c>
      <c r="R1022" t="s">
        <v>148</v>
      </c>
      <c r="S1022" t="s">
        <v>145</v>
      </c>
      <c r="U1022">
        <v>1</v>
      </c>
      <c r="V1022" t="s">
        <v>544</v>
      </c>
      <c r="W1022" t="s">
        <v>546</v>
      </c>
      <c r="X1022" s="784">
        <v>577156172.71229994</v>
      </c>
    </row>
    <row r="1023" spans="1:24">
      <c r="A1023" t="s">
        <v>358</v>
      </c>
      <c r="B1023" t="s">
        <v>678</v>
      </c>
      <c r="C1023" t="s">
        <v>278</v>
      </c>
      <c r="D1023" t="s">
        <v>126</v>
      </c>
      <c r="E1023" t="s">
        <v>377</v>
      </c>
      <c r="F1023" t="s">
        <v>383</v>
      </c>
      <c r="G1023" t="s">
        <v>334</v>
      </c>
      <c r="H1023" t="s">
        <v>334</v>
      </c>
      <c r="I1023" t="s">
        <v>743</v>
      </c>
      <c r="J1023" t="s">
        <v>744</v>
      </c>
      <c r="K1023" t="s">
        <v>546</v>
      </c>
      <c r="L1023" s="784" t="s">
        <v>575</v>
      </c>
      <c r="M1023" t="s">
        <v>745</v>
      </c>
      <c r="P1023" t="s">
        <v>1887</v>
      </c>
      <c r="R1023" t="s">
        <v>152</v>
      </c>
      <c r="S1023" t="s">
        <v>146</v>
      </c>
      <c r="U1023">
        <v>0</v>
      </c>
      <c r="V1023" t="s">
        <v>541</v>
      </c>
      <c r="W1023" t="s">
        <v>575</v>
      </c>
      <c r="X1023" s="784">
        <v>180052034.19851837</v>
      </c>
    </row>
    <row r="1024" spans="1:24">
      <c r="A1024" t="s">
        <v>358</v>
      </c>
      <c r="B1024" t="s">
        <v>679</v>
      </c>
      <c r="C1024" t="s">
        <v>279</v>
      </c>
      <c r="D1024" t="s">
        <v>131</v>
      </c>
      <c r="E1024" t="s">
        <v>377</v>
      </c>
      <c r="F1024" t="s">
        <v>383</v>
      </c>
      <c r="G1024" t="s">
        <v>334</v>
      </c>
      <c r="H1024" t="s">
        <v>334</v>
      </c>
      <c r="I1024" t="s">
        <v>743</v>
      </c>
      <c r="J1024" t="s">
        <v>744</v>
      </c>
      <c r="K1024" t="s">
        <v>546</v>
      </c>
      <c r="L1024" s="784" t="s">
        <v>575</v>
      </c>
      <c r="M1024" t="s">
        <v>745</v>
      </c>
      <c r="P1024" t="s">
        <v>1887</v>
      </c>
      <c r="R1024" t="s">
        <v>148</v>
      </c>
      <c r="S1024" t="s">
        <v>145</v>
      </c>
      <c r="U1024">
        <v>1</v>
      </c>
      <c r="V1024" t="s">
        <v>544</v>
      </c>
      <c r="W1024" t="s">
        <v>546</v>
      </c>
      <c r="X1024" s="784" t="s">
        <v>575</v>
      </c>
    </row>
    <row r="1025" spans="1:24">
      <c r="A1025" t="s">
        <v>358</v>
      </c>
      <c r="B1025" t="s">
        <v>680</v>
      </c>
      <c r="C1025" t="s">
        <v>280</v>
      </c>
      <c r="D1025" t="s">
        <v>127</v>
      </c>
      <c r="E1025" t="s">
        <v>377</v>
      </c>
      <c r="F1025" t="s">
        <v>383</v>
      </c>
      <c r="G1025" t="s">
        <v>334</v>
      </c>
      <c r="H1025" t="s">
        <v>334</v>
      </c>
      <c r="I1025" t="s">
        <v>743</v>
      </c>
      <c r="J1025" t="s">
        <v>744</v>
      </c>
      <c r="K1025" t="s">
        <v>546</v>
      </c>
      <c r="L1025" s="784" t="s">
        <v>575</v>
      </c>
      <c r="M1025" t="s">
        <v>745</v>
      </c>
      <c r="P1025" t="s">
        <v>1887</v>
      </c>
      <c r="R1025" t="s">
        <v>150</v>
      </c>
      <c r="S1025" t="s">
        <v>145</v>
      </c>
      <c r="U1025">
        <v>0</v>
      </c>
      <c r="V1025" t="s">
        <v>544</v>
      </c>
      <c r="W1025" t="s">
        <v>542</v>
      </c>
      <c r="X1025" s="784">
        <v>147296124.32232863</v>
      </c>
    </row>
    <row r="1026" spans="1:24">
      <c r="A1026" t="s">
        <v>358</v>
      </c>
      <c r="B1026" t="s">
        <v>681</v>
      </c>
      <c r="C1026" t="s">
        <v>156</v>
      </c>
      <c r="D1026" t="s">
        <v>128</v>
      </c>
      <c r="E1026" t="s">
        <v>377</v>
      </c>
      <c r="F1026" t="s">
        <v>383</v>
      </c>
      <c r="G1026" t="s">
        <v>334</v>
      </c>
      <c r="H1026" t="s">
        <v>334</v>
      </c>
      <c r="I1026" t="s">
        <v>743</v>
      </c>
      <c r="J1026" t="s">
        <v>744</v>
      </c>
      <c r="K1026" t="s">
        <v>546</v>
      </c>
      <c r="L1026" s="784" t="s">
        <v>575</v>
      </c>
      <c r="M1026" t="s">
        <v>745</v>
      </c>
      <c r="P1026" t="s">
        <v>1887</v>
      </c>
      <c r="R1026" t="s">
        <v>150</v>
      </c>
      <c r="S1026" t="s">
        <v>145</v>
      </c>
      <c r="U1026">
        <v>0</v>
      </c>
      <c r="V1026" t="s">
        <v>544</v>
      </c>
      <c r="W1026" t="s">
        <v>548</v>
      </c>
      <c r="X1026" s="784">
        <v>890576536.83065879</v>
      </c>
    </row>
    <row r="1027" spans="1:24">
      <c r="A1027" t="s">
        <v>358</v>
      </c>
      <c r="B1027" t="s">
        <v>682</v>
      </c>
      <c r="C1027" t="s">
        <v>157</v>
      </c>
      <c r="D1027" t="s">
        <v>126</v>
      </c>
      <c r="E1027" t="s">
        <v>377</v>
      </c>
      <c r="F1027" t="s">
        <v>383</v>
      </c>
      <c r="G1027" t="s">
        <v>334</v>
      </c>
      <c r="H1027" t="s">
        <v>334</v>
      </c>
      <c r="I1027" t="s">
        <v>743</v>
      </c>
      <c r="J1027" t="s">
        <v>744</v>
      </c>
      <c r="K1027" t="s">
        <v>546</v>
      </c>
      <c r="L1027" s="784" t="s">
        <v>575</v>
      </c>
      <c r="M1027" t="s">
        <v>745</v>
      </c>
      <c r="P1027" t="s">
        <v>1887</v>
      </c>
      <c r="R1027" t="s">
        <v>152</v>
      </c>
      <c r="S1027" t="s">
        <v>146</v>
      </c>
      <c r="U1027">
        <v>0</v>
      </c>
      <c r="V1027" t="s">
        <v>544</v>
      </c>
      <c r="W1027" t="s">
        <v>575</v>
      </c>
      <c r="X1027" s="784">
        <v>14611129792.346064</v>
      </c>
    </row>
    <row r="1028" spans="1:24">
      <c r="A1028" t="s">
        <v>358</v>
      </c>
      <c r="B1028" t="s">
        <v>683</v>
      </c>
      <c r="C1028" t="s">
        <v>281</v>
      </c>
      <c r="D1028" t="s">
        <v>126</v>
      </c>
      <c r="E1028" t="s">
        <v>377</v>
      </c>
      <c r="F1028" t="s">
        <v>383</v>
      </c>
      <c r="G1028" t="s">
        <v>334</v>
      </c>
      <c r="H1028" t="s">
        <v>334</v>
      </c>
      <c r="I1028" t="s">
        <v>743</v>
      </c>
      <c r="J1028" t="s">
        <v>744</v>
      </c>
      <c r="K1028" t="s">
        <v>546</v>
      </c>
      <c r="L1028" s="784" t="s">
        <v>575</v>
      </c>
      <c r="M1028" t="s">
        <v>745</v>
      </c>
      <c r="P1028" t="s">
        <v>1887</v>
      </c>
      <c r="R1028" t="s">
        <v>150</v>
      </c>
      <c r="S1028" t="s">
        <v>145</v>
      </c>
      <c r="U1028">
        <v>0</v>
      </c>
      <c r="V1028" t="s">
        <v>541</v>
      </c>
      <c r="W1028" t="s">
        <v>558</v>
      </c>
      <c r="X1028" s="784">
        <v>72046877.233008593</v>
      </c>
    </row>
    <row r="1029" spans="1:24">
      <c r="A1029" t="s">
        <v>358</v>
      </c>
      <c r="B1029" t="s">
        <v>684</v>
      </c>
      <c r="C1029" t="s">
        <v>282</v>
      </c>
      <c r="D1029" t="s">
        <v>129</v>
      </c>
      <c r="E1029" t="s">
        <v>377</v>
      </c>
      <c r="F1029" t="s">
        <v>383</v>
      </c>
      <c r="G1029" t="s">
        <v>334</v>
      </c>
      <c r="H1029" t="s">
        <v>334</v>
      </c>
      <c r="I1029" t="s">
        <v>743</v>
      </c>
      <c r="J1029" t="s">
        <v>744</v>
      </c>
      <c r="K1029" t="s">
        <v>546</v>
      </c>
      <c r="L1029" s="784" t="s">
        <v>575</v>
      </c>
      <c r="M1029" t="s">
        <v>745</v>
      </c>
      <c r="P1029" t="s">
        <v>1887</v>
      </c>
      <c r="R1029" t="s">
        <v>148</v>
      </c>
      <c r="S1029" t="s">
        <v>145</v>
      </c>
      <c r="U1029">
        <v>0</v>
      </c>
      <c r="V1029" t="s">
        <v>544</v>
      </c>
      <c r="W1029" t="s">
        <v>542</v>
      </c>
      <c r="X1029" s="784">
        <v>56248139.267255567</v>
      </c>
    </row>
    <row r="1030" spans="1:24">
      <c r="A1030" t="s">
        <v>358</v>
      </c>
      <c r="B1030" t="s">
        <v>685</v>
      </c>
      <c r="C1030" t="s">
        <v>283</v>
      </c>
      <c r="D1030" t="s">
        <v>126</v>
      </c>
      <c r="E1030" t="s">
        <v>377</v>
      </c>
      <c r="F1030" t="s">
        <v>383</v>
      </c>
      <c r="G1030" t="s">
        <v>334</v>
      </c>
      <c r="H1030" t="s">
        <v>334</v>
      </c>
      <c r="I1030" t="s">
        <v>743</v>
      </c>
      <c r="J1030" t="s">
        <v>744</v>
      </c>
      <c r="K1030" t="s">
        <v>546</v>
      </c>
      <c r="L1030" s="784" t="s">
        <v>575</v>
      </c>
      <c r="M1030" t="s">
        <v>745</v>
      </c>
      <c r="P1030" t="s">
        <v>1887</v>
      </c>
      <c r="R1030" t="s">
        <v>152</v>
      </c>
      <c r="S1030" t="s">
        <v>145</v>
      </c>
      <c r="U1030">
        <v>0</v>
      </c>
      <c r="V1030" t="s">
        <v>541</v>
      </c>
      <c r="W1030" t="s">
        <v>542</v>
      </c>
      <c r="X1030" s="784">
        <v>15464031.712942109</v>
      </c>
    </row>
    <row r="1031" spans="1:24">
      <c r="A1031" t="s">
        <v>358</v>
      </c>
      <c r="B1031" t="s">
        <v>686</v>
      </c>
      <c r="C1031" t="s">
        <v>284</v>
      </c>
      <c r="D1031" t="s">
        <v>130</v>
      </c>
      <c r="E1031" t="s">
        <v>377</v>
      </c>
      <c r="F1031" t="s">
        <v>383</v>
      </c>
      <c r="G1031" t="s">
        <v>334</v>
      </c>
      <c r="H1031" t="s">
        <v>334</v>
      </c>
      <c r="I1031" t="s">
        <v>743</v>
      </c>
      <c r="J1031" t="s">
        <v>744</v>
      </c>
      <c r="K1031" t="s">
        <v>546</v>
      </c>
      <c r="L1031" s="784">
        <v>3027000</v>
      </c>
      <c r="M1031" t="s">
        <v>745</v>
      </c>
      <c r="P1031" t="s">
        <v>1887</v>
      </c>
      <c r="R1031" t="s">
        <v>550</v>
      </c>
      <c r="S1031" t="s">
        <v>146</v>
      </c>
      <c r="U1031">
        <v>0</v>
      </c>
      <c r="V1031" t="s">
        <v>541</v>
      </c>
      <c r="W1031" t="s">
        <v>546</v>
      </c>
      <c r="X1031" s="784">
        <v>769564399.33249676</v>
      </c>
    </row>
    <row r="1032" spans="1:24">
      <c r="A1032" t="s">
        <v>358</v>
      </c>
      <c r="B1032" t="s">
        <v>687</v>
      </c>
      <c r="C1032" t="s">
        <v>285</v>
      </c>
      <c r="D1032" t="s">
        <v>131</v>
      </c>
      <c r="E1032" t="s">
        <v>377</v>
      </c>
      <c r="F1032" t="s">
        <v>383</v>
      </c>
      <c r="G1032" t="s">
        <v>334</v>
      </c>
      <c r="H1032" t="s">
        <v>334</v>
      </c>
      <c r="I1032" t="s">
        <v>743</v>
      </c>
      <c r="J1032" t="s">
        <v>744</v>
      </c>
      <c r="K1032" t="s">
        <v>546</v>
      </c>
      <c r="L1032" s="784" t="s">
        <v>575</v>
      </c>
      <c r="M1032" t="s">
        <v>745</v>
      </c>
      <c r="P1032" t="s">
        <v>1887</v>
      </c>
      <c r="R1032" t="s">
        <v>150</v>
      </c>
      <c r="S1032" t="s">
        <v>145</v>
      </c>
      <c r="U1032">
        <v>0</v>
      </c>
      <c r="V1032" t="s">
        <v>544</v>
      </c>
      <c r="W1032" t="s">
        <v>546</v>
      </c>
      <c r="X1032" s="784">
        <v>1668954539.7630196</v>
      </c>
    </row>
    <row r="1033" spans="1:24">
      <c r="A1033" t="s">
        <v>358</v>
      </c>
      <c r="B1033" t="s">
        <v>688</v>
      </c>
      <c r="C1033" t="s">
        <v>286</v>
      </c>
      <c r="D1033" t="s">
        <v>127</v>
      </c>
      <c r="E1033" t="s">
        <v>377</v>
      </c>
      <c r="F1033" t="s">
        <v>383</v>
      </c>
      <c r="G1033" t="s">
        <v>334</v>
      </c>
      <c r="H1033" t="s">
        <v>334</v>
      </c>
      <c r="I1033" t="s">
        <v>743</v>
      </c>
      <c r="J1033" t="s">
        <v>744</v>
      </c>
      <c r="K1033" t="s">
        <v>546</v>
      </c>
      <c r="L1033" s="784" t="s">
        <v>575</v>
      </c>
      <c r="M1033" t="s">
        <v>745</v>
      </c>
      <c r="P1033" t="s">
        <v>1887</v>
      </c>
      <c r="R1033" t="s">
        <v>152</v>
      </c>
      <c r="S1033" t="s">
        <v>146</v>
      </c>
      <c r="U1033">
        <v>0</v>
      </c>
      <c r="V1033" t="s">
        <v>544</v>
      </c>
      <c r="W1033" t="s">
        <v>575</v>
      </c>
      <c r="X1033" s="784">
        <v>24840920016.18832</v>
      </c>
    </row>
    <row r="1034" spans="1:24">
      <c r="A1034" t="s">
        <v>358</v>
      </c>
      <c r="B1034" t="s">
        <v>689</v>
      </c>
      <c r="C1034" t="s">
        <v>287</v>
      </c>
      <c r="D1034" t="s">
        <v>127</v>
      </c>
      <c r="E1034" t="s">
        <v>377</v>
      </c>
      <c r="F1034" t="s">
        <v>383</v>
      </c>
      <c r="G1034" t="s">
        <v>334</v>
      </c>
      <c r="H1034" t="s">
        <v>334</v>
      </c>
      <c r="I1034" t="s">
        <v>743</v>
      </c>
      <c r="J1034" t="s">
        <v>744</v>
      </c>
      <c r="K1034" t="s">
        <v>546</v>
      </c>
      <c r="L1034" s="784" t="s">
        <v>575</v>
      </c>
      <c r="M1034" t="s">
        <v>745</v>
      </c>
      <c r="P1034" t="s">
        <v>1887</v>
      </c>
      <c r="R1034" t="s">
        <v>152</v>
      </c>
      <c r="S1034" t="s">
        <v>146</v>
      </c>
      <c r="U1034">
        <v>0</v>
      </c>
      <c r="V1034" t="s">
        <v>544</v>
      </c>
      <c r="W1034" t="s">
        <v>546</v>
      </c>
      <c r="X1034" s="784">
        <v>487888462.83720118</v>
      </c>
    </row>
    <row r="1035" spans="1:24">
      <c r="A1035" t="s">
        <v>358</v>
      </c>
      <c r="B1035" t="s">
        <v>690</v>
      </c>
      <c r="C1035" t="s">
        <v>288</v>
      </c>
      <c r="D1035" t="s">
        <v>126</v>
      </c>
      <c r="E1035" t="s">
        <v>377</v>
      </c>
      <c r="F1035" t="s">
        <v>383</v>
      </c>
      <c r="G1035" t="s">
        <v>334</v>
      </c>
      <c r="H1035" t="s">
        <v>334</v>
      </c>
      <c r="I1035" t="s">
        <v>743</v>
      </c>
      <c r="J1035" t="s">
        <v>744</v>
      </c>
      <c r="K1035" t="s">
        <v>546</v>
      </c>
      <c r="L1035" s="784" t="s">
        <v>575</v>
      </c>
      <c r="M1035" t="s">
        <v>745</v>
      </c>
      <c r="P1035" t="s">
        <v>1887</v>
      </c>
      <c r="R1035" t="s">
        <v>152</v>
      </c>
      <c r="S1035" t="s">
        <v>145</v>
      </c>
      <c r="U1035">
        <v>0</v>
      </c>
      <c r="V1035" t="s">
        <v>541</v>
      </c>
      <c r="W1035" t="s">
        <v>548</v>
      </c>
      <c r="X1035" s="784">
        <v>6365061.1736073596</v>
      </c>
    </row>
    <row r="1036" spans="1:24">
      <c r="A1036" t="s">
        <v>358</v>
      </c>
      <c r="B1036" t="s">
        <v>691</v>
      </c>
      <c r="C1036" t="s">
        <v>289</v>
      </c>
      <c r="D1036" t="s">
        <v>128</v>
      </c>
      <c r="E1036" t="s">
        <v>377</v>
      </c>
      <c r="F1036" t="s">
        <v>383</v>
      </c>
      <c r="G1036" t="s">
        <v>334</v>
      </c>
      <c r="H1036" t="s">
        <v>334</v>
      </c>
      <c r="I1036" t="s">
        <v>743</v>
      </c>
      <c r="J1036" t="s">
        <v>744</v>
      </c>
      <c r="K1036" t="s">
        <v>546</v>
      </c>
      <c r="L1036" s="784" t="s">
        <v>575</v>
      </c>
      <c r="M1036" t="s">
        <v>745</v>
      </c>
      <c r="P1036" t="s">
        <v>1887</v>
      </c>
      <c r="R1036" t="s">
        <v>148</v>
      </c>
      <c r="S1036" t="s">
        <v>145</v>
      </c>
      <c r="U1036">
        <v>2</v>
      </c>
      <c r="V1036" t="s">
        <v>544</v>
      </c>
      <c r="W1036" t="s">
        <v>558</v>
      </c>
      <c r="X1036" s="784">
        <v>291799092.90196139</v>
      </c>
    </row>
    <row r="1037" spans="1:24">
      <c r="A1037" t="s">
        <v>358</v>
      </c>
      <c r="B1037" t="s">
        <v>692</v>
      </c>
      <c r="C1037" t="s">
        <v>290</v>
      </c>
      <c r="D1037" t="s">
        <v>127</v>
      </c>
      <c r="E1037" t="s">
        <v>377</v>
      </c>
      <c r="F1037" t="s">
        <v>383</v>
      </c>
      <c r="G1037" t="s">
        <v>334</v>
      </c>
      <c r="H1037" t="s">
        <v>334</v>
      </c>
      <c r="I1037" t="s">
        <v>743</v>
      </c>
      <c r="J1037" t="s">
        <v>744</v>
      </c>
      <c r="K1037" t="s">
        <v>546</v>
      </c>
      <c r="L1037" s="784" t="s">
        <v>575</v>
      </c>
      <c r="M1037" t="s">
        <v>745</v>
      </c>
      <c r="P1037" t="s">
        <v>1887</v>
      </c>
      <c r="R1037" t="s">
        <v>150</v>
      </c>
      <c r="S1037" t="s">
        <v>145</v>
      </c>
      <c r="U1037">
        <v>0</v>
      </c>
      <c r="V1037" t="s">
        <v>544</v>
      </c>
      <c r="W1037" t="s">
        <v>546</v>
      </c>
      <c r="X1037" s="784">
        <v>4844815340.2135534</v>
      </c>
    </row>
    <row r="1038" spans="1:24">
      <c r="A1038" t="s">
        <v>358</v>
      </c>
      <c r="B1038" t="s">
        <v>693</v>
      </c>
      <c r="C1038" t="s">
        <v>291</v>
      </c>
      <c r="D1038" t="s">
        <v>130</v>
      </c>
      <c r="E1038" t="s">
        <v>377</v>
      </c>
      <c r="F1038" t="s">
        <v>383</v>
      </c>
      <c r="G1038" t="s">
        <v>334</v>
      </c>
      <c r="H1038" t="s">
        <v>334</v>
      </c>
      <c r="I1038" t="s">
        <v>743</v>
      </c>
      <c r="J1038" t="s">
        <v>744</v>
      </c>
      <c r="K1038" t="s">
        <v>546</v>
      </c>
      <c r="L1038" s="784" t="s">
        <v>575</v>
      </c>
      <c r="M1038" t="s">
        <v>745</v>
      </c>
      <c r="P1038" t="s">
        <v>1887</v>
      </c>
      <c r="R1038" t="s">
        <v>550</v>
      </c>
      <c r="S1038" t="s">
        <v>146</v>
      </c>
      <c r="U1038">
        <v>0</v>
      </c>
      <c r="V1038" t="s">
        <v>544</v>
      </c>
      <c r="W1038" t="s">
        <v>575</v>
      </c>
      <c r="X1038" s="784">
        <v>4001891446.6871672</v>
      </c>
    </row>
    <row r="1039" spans="1:24">
      <c r="A1039" t="s">
        <v>358</v>
      </c>
      <c r="B1039" t="s">
        <v>694</v>
      </c>
      <c r="C1039" t="s">
        <v>292</v>
      </c>
      <c r="D1039" t="s">
        <v>127</v>
      </c>
      <c r="E1039" t="s">
        <v>377</v>
      </c>
      <c r="F1039" t="s">
        <v>383</v>
      </c>
      <c r="G1039" t="s">
        <v>334</v>
      </c>
      <c r="H1039" t="s">
        <v>334</v>
      </c>
      <c r="I1039" t="s">
        <v>743</v>
      </c>
      <c r="J1039" t="s">
        <v>744</v>
      </c>
      <c r="K1039" t="s">
        <v>546</v>
      </c>
      <c r="L1039" s="784" t="s">
        <v>575</v>
      </c>
      <c r="M1039" t="s">
        <v>745</v>
      </c>
      <c r="P1039" t="s">
        <v>1887</v>
      </c>
      <c r="R1039" t="s">
        <v>150</v>
      </c>
      <c r="S1039" t="s">
        <v>145</v>
      </c>
      <c r="U1039">
        <v>0</v>
      </c>
      <c r="V1039" t="s">
        <v>544</v>
      </c>
      <c r="W1039" t="s">
        <v>558</v>
      </c>
      <c r="X1039" s="784">
        <v>1019800630.5853213</v>
      </c>
    </row>
    <row r="1040" spans="1:24">
      <c r="A1040" t="s">
        <v>358</v>
      </c>
      <c r="B1040" t="s">
        <v>695</v>
      </c>
      <c r="C1040" t="s">
        <v>293</v>
      </c>
      <c r="D1040" t="s">
        <v>126</v>
      </c>
      <c r="E1040" t="s">
        <v>377</v>
      </c>
      <c r="F1040" t="s">
        <v>383</v>
      </c>
      <c r="G1040" t="s">
        <v>334</v>
      </c>
      <c r="H1040" t="s">
        <v>334</v>
      </c>
      <c r="I1040" t="s">
        <v>743</v>
      </c>
      <c r="J1040" t="s">
        <v>744</v>
      </c>
      <c r="K1040" t="s">
        <v>546</v>
      </c>
      <c r="L1040" s="784" t="s">
        <v>575</v>
      </c>
      <c r="M1040" t="s">
        <v>745</v>
      </c>
      <c r="P1040" t="s">
        <v>1887</v>
      </c>
      <c r="R1040" t="s">
        <v>150</v>
      </c>
      <c r="S1040" t="s">
        <v>145</v>
      </c>
      <c r="U1040">
        <v>0</v>
      </c>
      <c r="V1040" t="s">
        <v>541</v>
      </c>
      <c r="W1040" t="s">
        <v>562</v>
      </c>
      <c r="X1040" s="784">
        <v>19578671.310841195</v>
      </c>
    </row>
    <row r="1041" spans="1:24">
      <c r="A1041" t="s">
        <v>358</v>
      </c>
      <c r="B1041" t="s">
        <v>696</v>
      </c>
      <c r="C1041" t="s">
        <v>294</v>
      </c>
      <c r="D1041" t="s">
        <v>130</v>
      </c>
      <c r="E1041" t="s">
        <v>377</v>
      </c>
      <c r="F1041" t="s">
        <v>383</v>
      </c>
      <c r="G1041" t="s">
        <v>334</v>
      </c>
      <c r="H1041" t="s">
        <v>334</v>
      </c>
      <c r="I1041" t="s">
        <v>743</v>
      </c>
      <c r="J1041" t="s">
        <v>744</v>
      </c>
      <c r="K1041" t="s">
        <v>546</v>
      </c>
      <c r="L1041" s="784" t="s">
        <v>575</v>
      </c>
      <c r="M1041" t="s">
        <v>745</v>
      </c>
      <c r="P1041" t="s">
        <v>1887</v>
      </c>
      <c r="R1041" t="s">
        <v>322</v>
      </c>
      <c r="S1041" t="s">
        <v>146</v>
      </c>
      <c r="U1041">
        <v>0</v>
      </c>
      <c r="V1041" t="s">
        <v>544</v>
      </c>
      <c r="W1041" t="s">
        <v>546</v>
      </c>
      <c r="X1041" s="784">
        <v>3551452001.0684834</v>
      </c>
    </row>
    <row r="1042" spans="1:24">
      <c r="A1042" t="s">
        <v>358</v>
      </c>
      <c r="B1042" t="s">
        <v>697</v>
      </c>
      <c r="C1042" t="s">
        <v>295</v>
      </c>
      <c r="D1042" t="s">
        <v>126</v>
      </c>
      <c r="E1042" t="s">
        <v>377</v>
      </c>
      <c r="F1042" t="s">
        <v>383</v>
      </c>
      <c r="G1042" t="s">
        <v>334</v>
      </c>
      <c r="H1042" t="s">
        <v>334</v>
      </c>
      <c r="I1042" t="s">
        <v>743</v>
      </c>
      <c r="J1042" t="s">
        <v>744</v>
      </c>
      <c r="K1042" t="s">
        <v>546</v>
      </c>
      <c r="L1042" s="784" t="s">
        <v>575</v>
      </c>
      <c r="M1042" t="s">
        <v>745</v>
      </c>
      <c r="P1042" t="s">
        <v>1887</v>
      </c>
      <c r="R1042" t="s">
        <v>150</v>
      </c>
      <c r="S1042" t="s">
        <v>145</v>
      </c>
      <c r="U1042">
        <v>0</v>
      </c>
      <c r="V1042" t="s">
        <v>544</v>
      </c>
      <c r="W1042" t="s">
        <v>546</v>
      </c>
      <c r="X1042" s="784">
        <v>6603048821.7575006</v>
      </c>
    </row>
    <row r="1043" spans="1:24">
      <c r="A1043" t="s">
        <v>358</v>
      </c>
      <c r="B1043" t="s">
        <v>698</v>
      </c>
      <c r="C1043" t="s">
        <v>296</v>
      </c>
      <c r="D1043" t="s">
        <v>131</v>
      </c>
      <c r="E1043" t="s">
        <v>377</v>
      </c>
      <c r="F1043" t="s">
        <v>383</v>
      </c>
      <c r="G1043" t="s">
        <v>334</v>
      </c>
      <c r="H1043" t="s">
        <v>334</v>
      </c>
      <c r="I1043" t="s">
        <v>743</v>
      </c>
      <c r="J1043" t="s">
        <v>744</v>
      </c>
      <c r="K1043" t="s">
        <v>546</v>
      </c>
      <c r="L1043" s="784" t="s">
        <v>575</v>
      </c>
      <c r="M1043" t="s">
        <v>745</v>
      </c>
      <c r="P1043" t="s">
        <v>1887</v>
      </c>
      <c r="R1043" t="s">
        <v>148</v>
      </c>
      <c r="S1043" t="s">
        <v>145</v>
      </c>
      <c r="U1043">
        <v>1</v>
      </c>
      <c r="V1043" t="s">
        <v>544</v>
      </c>
      <c r="W1043" t="s">
        <v>548</v>
      </c>
      <c r="X1043" s="784" t="s">
        <v>575</v>
      </c>
    </row>
    <row r="1044" spans="1:24">
      <c r="A1044" t="s">
        <v>358</v>
      </c>
      <c r="B1044" t="s">
        <v>699</v>
      </c>
      <c r="C1044" t="s">
        <v>297</v>
      </c>
      <c r="D1044" t="s">
        <v>128</v>
      </c>
      <c r="E1044" t="s">
        <v>377</v>
      </c>
      <c r="F1044" t="s">
        <v>383</v>
      </c>
      <c r="G1044" t="s">
        <v>334</v>
      </c>
      <c r="H1044" t="s">
        <v>334</v>
      </c>
      <c r="I1044" t="s">
        <v>743</v>
      </c>
      <c r="J1044" t="s">
        <v>744</v>
      </c>
      <c r="K1044" t="s">
        <v>546</v>
      </c>
      <c r="L1044" s="784" t="s">
        <v>575</v>
      </c>
      <c r="M1044" t="s">
        <v>745</v>
      </c>
      <c r="P1044" t="s">
        <v>1887</v>
      </c>
      <c r="R1044" t="s">
        <v>150</v>
      </c>
      <c r="S1044" t="s">
        <v>145</v>
      </c>
      <c r="U1044">
        <v>0</v>
      </c>
      <c r="V1044" t="s">
        <v>544</v>
      </c>
      <c r="W1044" t="s">
        <v>542</v>
      </c>
      <c r="X1044" s="784">
        <v>515352723.9821828</v>
      </c>
    </row>
    <row r="1045" spans="1:24">
      <c r="A1045" t="s">
        <v>358</v>
      </c>
      <c r="B1045" t="s">
        <v>700</v>
      </c>
      <c r="C1045" t="s">
        <v>298</v>
      </c>
      <c r="D1045" t="s">
        <v>128</v>
      </c>
      <c r="E1045" t="s">
        <v>377</v>
      </c>
      <c r="F1045" t="s">
        <v>383</v>
      </c>
      <c r="G1045" t="s">
        <v>334</v>
      </c>
      <c r="H1045" t="s">
        <v>334</v>
      </c>
      <c r="I1045" t="s">
        <v>743</v>
      </c>
      <c r="J1045" t="s">
        <v>744</v>
      </c>
      <c r="K1045" t="s">
        <v>546</v>
      </c>
      <c r="L1045" s="784" t="s">
        <v>575</v>
      </c>
      <c r="M1045" t="s">
        <v>745</v>
      </c>
      <c r="P1045" t="s">
        <v>1887</v>
      </c>
      <c r="R1045" t="s">
        <v>150</v>
      </c>
      <c r="S1045" t="s">
        <v>145</v>
      </c>
      <c r="U1045">
        <v>0</v>
      </c>
      <c r="V1045" t="s">
        <v>544</v>
      </c>
      <c r="W1045" t="s">
        <v>546</v>
      </c>
      <c r="X1045" s="784">
        <v>566711742.22428358</v>
      </c>
    </row>
    <row r="1046" spans="1:24">
      <c r="A1046" t="s">
        <v>358</v>
      </c>
      <c r="B1046" t="s">
        <v>540</v>
      </c>
      <c r="C1046" t="s">
        <v>160</v>
      </c>
      <c r="D1046" t="s">
        <v>132</v>
      </c>
      <c r="E1046" t="s">
        <v>377</v>
      </c>
      <c r="F1046" t="s">
        <v>383</v>
      </c>
      <c r="G1046" t="s">
        <v>334</v>
      </c>
      <c r="H1046" t="s">
        <v>334</v>
      </c>
      <c r="I1046" t="s">
        <v>743</v>
      </c>
      <c r="J1046" t="s">
        <v>379</v>
      </c>
      <c r="K1046" t="s">
        <v>546</v>
      </c>
      <c r="L1046" s="784" t="s">
        <v>575</v>
      </c>
      <c r="M1046" t="s">
        <v>745</v>
      </c>
      <c r="P1046" t="s">
        <v>1887</v>
      </c>
      <c r="R1046" t="s">
        <v>148</v>
      </c>
      <c r="S1046" t="s">
        <v>145</v>
      </c>
      <c r="U1046">
        <v>1</v>
      </c>
      <c r="V1046" t="s">
        <v>544</v>
      </c>
      <c r="W1046" t="s">
        <v>542</v>
      </c>
      <c r="X1046" s="784">
        <v>95829480.719269618</v>
      </c>
    </row>
    <row r="1047" spans="1:24">
      <c r="A1047" t="s">
        <v>358</v>
      </c>
      <c r="B1047" t="s">
        <v>543</v>
      </c>
      <c r="C1047" t="s">
        <v>161</v>
      </c>
      <c r="D1047" t="s">
        <v>127</v>
      </c>
      <c r="E1047" t="s">
        <v>377</v>
      </c>
      <c r="F1047" t="s">
        <v>383</v>
      </c>
      <c r="G1047" t="s">
        <v>334</v>
      </c>
      <c r="H1047" t="s">
        <v>334</v>
      </c>
      <c r="I1047" t="s">
        <v>743</v>
      </c>
      <c r="J1047" t="s">
        <v>379</v>
      </c>
      <c r="K1047" t="s">
        <v>546</v>
      </c>
      <c r="L1047" s="784" t="s">
        <v>575</v>
      </c>
      <c r="M1047" t="s">
        <v>745</v>
      </c>
      <c r="P1047" t="s">
        <v>1887</v>
      </c>
      <c r="R1047" t="s">
        <v>152</v>
      </c>
      <c r="S1047" t="s">
        <v>146</v>
      </c>
      <c r="U1047">
        <v>0</v>
      </c>
      <c r="V1047" t="s">
        <v>544</v>
      </c>
      <c r="W1047" t="s">
        <v>575</v>
      </c>
      <c r="X1047" s="784">
        <v>427904035.52443534</v>
      </c>
    </row>
    <row r="1048" spans="1:24">
      <c r="A1048" t="s">
        <v>358</v>
      </c>
      <c r="B1048" t="s">
        <v>545</v>
      </c>
      <c r="C1048" t="s">
        <v>143</v>
      </c>
      <c r="D1048" t="s">
        <v>131</v>
      </c>
      <c r="E1048" t="s">
        <v>377</v>
      </c>
      <c r="F1048" t="s">
        <v>383</v>
      </c>
      <c r="G1048" t="s">
        <v>334</v>
      </c>
      <c r="H1048" t="s">
        <v>334</v>
      </c>
      <c r="I1048" t="s">
        <v>743</v>
      </c>
      <c r="J1048" t="s">
        <v>379</v>
      </c>
      <c r="K1048" t="s">
        <v>546</v>
      </c>
      <c r="L1048" s="784" t="s">
        <v>575</v>
      </c>
      <c r="M1048" t="s">
        <v>745</v>
      </c>
      <c r="P1048" t="s">
        <v>1887</v>
      </c>
      <c r="R1048" t="s">
        <v>150</v>
      </c>
      <c r="S1048" t="s">
        <v>145</v>
      </c>
      <c r="U1048">
        <v>0</v>
      </c>
      <c r="V1048" t="s">
        <v>544</v>
      </c>
      <c r="W1048" t="s">
        <v>546</v>
      </c>
      <c r="X1048" s="784">
        <v>7113361022.7267885</v>
      </c>
    </row>
    <row r="1049" spans="1:24">
      <c r="A1049" t="s">
        <v>358</v>
      </c>
      <c r="B1049" t="s">
        <v>547</v>
      </c>
      <c r="C1049" t="s">
        <v>162</v>
      </c>
      <c r="D1049" t="s">
        <v>128</v>
      </c>
      <c r="E1049" t="s">
        <v>377</v>
      </c>
      <c r="F1049" t="s">
        <v>383</v>
      </c>
      <c r="G1049" t="s">
        <v>334</v>
      </c>
      <c r="H1049" t="s">
        <v>334</v>
      </c>
      <c r="I1049" t="s">
        <v>743</v>
      </c>
      <c r="J1049" t="s">
        <v>379</v>
      </c>
      <c r="K1049" t="s">
        <v>546</v>
      </c>
      <c r="L1049" s="784" t="s">
        <v>575</v>
      </c>
      <c r="M1049" t="s">
        <v>745</v>
      </c>
      <c r="P1049" t="s">
        <v>1887</v>
      </c>
      <c r="R1049" t="s">
        <v>150</v>
      </c>
      <c r="S1049" t="s">
        <v>145</v>
      </c>
      <c r="U1049">
        <v>0</v>
      </c>
      <c r="V1049" t="s">
        <v>544</v>
      </c>
      <c r="W1049" t="s">
        <v>548</v>
      </c>
      <c r="X1049" s="784">
        <v>1131865946.5875781</v>
      </c>
    </row>
    <row r="1050" spans="1:24">
      <c r="A1050" t="s">
        <v>358</v>
      </c>
      <c r="B1050" t="s">
        <v>549</v>
      </c>
      <c r="C1050" t="s">
        <v>163</v>
      </c>
      <c r="D1050" t="s">
        <v>130</v>
      </c>
      <c r="E1050" t="s">
        <v>377</v>
      </c>
      <c r="F1050" t="s">
        <v>383</v>
      </c>
      <c r="G1050" t="s">
        <v>334</v>
      </c>
      <c r="H1050" t="s">
        <v>334</v>
      </c>
      <c r="I1050" t="s">
        <v>743</v>
      </c>
      <c r="J1050" t="s">
        <v>379</v>
      </c>
      <c r="K1050" t="s">
        <v>546</v>
      </c>
      <c r="L1050" s="784" t="s">
        <v>575</v>
      </c>
      <c r="M1050" t="s">
        <v>745</v>
      </c>
      <c r="P1050" t="s">
        <v>1887</v>
      </c>
      <c r="R1050" t="s">
        <v>550</v>
      </c>
      <c r="S1050" t="s">
        <v>146</v>
      </c>
      <c r="U1050">
        <v>0</v>
      </c>
      <c r="V1050" t="s">
        <v>541</v>
      </c>
      <c r="W1050" t="s">
        <v>575</v>
      </c>
      <c r="X1050" s="784">
        <v>46777779.823447868</v>
      </c>
    </row>
    <row r="1051" spans="1:24">
      <c r="A1051" t="s">
        <v>358</v>
      </c>
      <c r="B1051" t="s">
        <v>551</v>
      </c>
      <c r="C1051" t="s">
        <v>164</v>
      </c>
      <c r="D1051" t="s">
        <v>130</v>
      </c>
      <c r="E1051" t="s">
        <v>377</v>
      </c>
      <c r="F1051" t="s">
        <v>383</v>
      </c>
      <c r="G1051" t="s">
        <v>334</v>
      </c>
      <c r="H1051" t="s">
        <v>334</v>
      </c>
      <c r="I1051" t="s">
        <v>743</v>
      </c>
      <c r="J1051" t="s">
        <v>379</v>
      </c>
      <c r="K1051" t="s">
        <v>546</v>
      </c>
      <c r="L1051" s="784">
        <v>22752903</v>
      </c>
      <c r="M1051" t="s">
        <v>745</v>
      </c>
      <c r="P1051" t="s">
        <v>1887</v>
      </c>
      <c r="R1051" t="s">
        <v>152</v>
      </c>
      <c r="S1051" t="s">
        <v>146</v>
      </c>
      <c r="U1051">
        <v>0</v>
      </c>
      <c r="V1051" t="s">
        <v>544</v>
      </c>
      <c r="W1051" t="s">
        <v>575</v>
      </c>
      <c r="X1051" s="784">
        <v>30725305777.596794</v>
      </c>
    </row>
    <row r="1052" spans="1:24">
      <c r="A1052" t="s">
        <v>358</v>
      </c>
      <c r="B1052" t="s">
        <v>553</v>
      </c>
      <c r="C1052" t="s">
        <v>165</v>
      </c>
      <c r="D1052" t="s">
        <v>127</v>
      </c>
      <c r="E1052" t="s">
        <v>377</v>
      </c>
      <c r="F1052" t="s">
        <v>383</v>
      </c>
      <c r="G1052" t="s">
        <v>334</v>
      </c>
      <c r="H1052" t="s">
        <v>334</v>
      </c>
      <c r="I1052" t="s">
        <v>743</v>
      </c>
      <c r="J1052" t="s">
        <v>379</v>
      </c>
      <c r="K1052" t="s">
        <v>546</v>
      </c>
      <c r="L1052" s="784" t="s">
        <v>575</v>
      </c>
      <c r="M1052" t="s">
        <v>745</v>
      </c>
      <c r="P1052" t="s">
        <v>1887</v>
      </c>
      <c r="R1052" t="s">
        <v>152</v>
      </c>
      <c r="S1052" t="s">
        <v>146</v>
      </c>
      <c r="U1052">
        <v>0</v>
      </c>
      <c r="V1052" t="s">
        <v>544</v>
      </c>
      <c r="W1052" t="s">
        <v>575</v>
      </c>
      <c r="X1052" s="784">
        <v>153815827.8380394</v>
      </c>
    </row>
    <row r="1053" spans="1:24">
      <c r="A1053" t="s">
        <v>358</v>
      </c>
      <c r="B1053" t="s">
        <v>554</v>
      </c>
      <c r="C1053" t="s">
        <v>166</v>
      </c>
      <c r="D1053" t="s">
        <v>127</v>
      </c>
      <c r="E1053" t="s">
        <v>377</v>
      </c>
      <c r="F1053" t="s">
        <v>383</v>
      </c>
      <c r="G1053" t="s">
        <v>334</v>
      </c>
      <c r="H1053" t="s">
        <v>334</v>
      </c>
      <c r="I1053" t="s">
        <v>743</v>
      </c>
      <c r="J1053" t="s">
        <v>379</v>
      </c>
      <c r="K1053" t="s">
        <v>546</v>
      </c>
      <c r="L1053" s="784" t="s">
        <v>575</v>
      </c>
      <c r="M1053" t="s">
        <v>745</v>
      </c>
      <c r="P1053" t="s">
        <v>1887</v>
      </c>
      <c r="R1053" t="s">
        <v>152</v>
      </c>
      <c r="S1053" t="s">
        <v>146</v>
      </c>
      <c r="U1053">
        <v>0</v>
      </c>
      <c r="V1053" t="s">
        <v>544</v>
      </c>
      <c r="W1053" t="s">
        <v>546</v>
      </c>
      <c r="X1053" s="784">
        <v>437525105.31216973</v>
      </c>
    </row>
    <row r="1054" spans="1:24">
      <c r="A1054" t="s">
        <v>358</v>
      </c>
      <c r="B1054" t="s">
        <v>555</v>
      </c>
      <c r="C1054" t="s">
        <v>556</v>
      </c>
      <c r="D1054" t="s">
        <v>130</v>
      </c>
      <c r="E1054" t="s">
        <v>377</v>
      </c>
      <c r="F1054" t="s">
        <v>383</v>
      </c>
      <c r="G1054" t="s">
        <v>334</v>
      </c>
      <c r="H1054" t="s">
        <v>334</v>
      </c>
      <c r="I1054" t="s">
        <v>743</v>
      </c>
      <c r="J1054" t="s">
        <v>379</v>
      </c>
      <c r="K1054" t="s">
        <v>546</v>
      </c>
      <c r="L1054" s="784" t="s">
        <v>575</v>
      </c>
      <c r="M1054" t="s">
        <v>745</v>
      </c>
      <c r="P1054" t="s">
        <v>1887</v>
      </c>
      <c r="R1054" t="s">
        <v>550</v>
      </c>
      <c r="S1054" t="s">
        <v>146</v>
      </c>
      <c r="U1054">
        <v>0</v>
      </c>
      <c r="V1054" t="s">
        <v>541</v>
      </c>
      <c r="W1054" t="s">
        <v>575</v>
      </c>
      <c r="X1054" s="784">
        <v>149463302.00602186</v>
      </c>
    </row>
    <row r="1055" spans="1:24">
      <c r="A1055" t="s">
        <v>358</v>
      </c>
      <c r="B1055" t="s">
        <v>557</v>
      </c>
      <c r="C1055" t="s">
        <v>167</v>
      </c>
      <c r="D1055" t="s">
        <v>132</v>
      </c>
      <c r="E1055" t="s">
        <v>377</v>
      </c>
      <c r="F1055" t="s">
        <v>383</v>
      </c>
      <c r="G1055" t="s">
        <v>334</v>
      </c>
      <c r="H1055" t="s">
        <v>334</v>
      </c>
      <c r="I1055" t="s">
        <v>743</v>
      </c>
      <c r="J1055" t="s">
        <v>379</v>
      </c>
      <c r="K1055" t="s">
        <v>546</v>
      </c>
      <c r="L1055" s="784" t="s">
        <v>575</v>
      </c>
      <c r="M1055" t="s">
        <v>745</v>
      </c>
      <c r="P1055" t="s">
        <v>1887</v>
      </c>
      <c r="R1055" t="s">
        <v>150</v>
      </c>
      <c r="S1055" t="s">
        <v>145</v>
      </c>
      <c r="U1055">
        <v>0</v>
      </c>
      <c r="V1055" t="s">
        <v>544</v>
      </c>
      <c r="W1055" t="s">
        <v>558</v>
      </c>
      <c r="X1055" s="784">
        <v>1148322593.9600098</v>
      </c>
    </row>
    <row r="1056" spans="1:24">
      <c r="A1056" t="s">
        <v>358</v>
      </c>
      <c r="B1056" t="s">
        <v>559</v>
      </c>
      <c r="C1056" t="s">
        <v>168</v>
      </c>
      <c r="D1056" t="s">
        <v>127</v>
      </c>
      <c r="E1056" t="s">
        <v>377</v>
      </c>
      <c r="F1056" t="s">
        <v>383</v>
      </c>
      <c r="G1056" t="s">
        <v>334</v>
      </c>
      <c r="H1056" t="s">
        <v>334</v>
      </c>
      <c r="I1056" t="s">
        <v>743</v>
      </c>
      <c r="J1056" t="s">
        <v>379</v>
      </c>
      <c r="K1056" t="s">
        <v>546</v>
      </c>
      <c r="L1056" s="784" t="s">
        <v>575</v>
      </c>
      <c r="M1056" t="s">
        <v>745</v>
      </c>
      <c r="P1056" t="s">
        <v>1887</v>
      </c>
      <c r="R1056" t="s">
        <v>152</v>
      </c>
      <c r="S1056" t="s">
        <v>146</v>
      </c>
      <c r="U1056">
        <v>0</v>
      </c>
      <c r="V1056" t="s">
        <v>544</v>
      </c>
      <c r="W1056" t="s">
        <v>575</v>
      </c>
      <c r="X1056" s="784">
        <v>2371102058.1093163</v>
      </c>
    </row>
    <row r="1057" spans="1:24">
      <c r="A1057" t="s">
        <v>358</v>
      </c>
      <c r="B1057" t="s">
        <v>560</v>
      </c>
      <c r="C1057" t="s">
        <v>169</v>
      </c>
      <c r="D1057" t="s">
        <v>130</v>
      </c>
      <c r="E1057" t="s">
        <v>377</v>
      </c>
      <c r="F1057" t="s">
        <v>383</v>
      </c>
      <c r="G1057" t="s">
        <v>334</v>
      </c>
      <c r="H1057" t="s">
        <v>334</v>
      </c>
      <c r="I1057" t="s">
        <v>743</v>
      </c>
      <c r="J1057" t="s">
        <v>379</v>
      </c>
      <c r="K1057" t="s">
        <v>546</v>
      </c>
      <c r="L1057" s="784">
        <v>2922505</v>
      </c>
      <c r="M1057" t="s">
        <v>745</v>
      </c>
      <c r="P1057" t="s">
        <v>1887</v>
      </c>
      <c r="R1057" t="s">
        <v>150</v>
      </c>
      <c r="S1057" t="s">
        <v>146</v>
      </c>
      <c r="U1057">
        <v>0</v>
      </c>
      <c r="V1057" t="s">
        <v>541</v>
      </c>
      <c r="W1057" t="s">
        <v>546</v>
      </c>
      <c r="X1057" s="784">
        <v>75151620.005215243</v>
      </c>
    </row>
    <row r="1058" spans="1:24">
      <c r="A1058" t="s">
        <v>358</v>
      </c>
      <c r="B1058" t="s">
        <v>561</v>
      </c>
      <c r="C1058" t="s">
        <v>170</v>
      </c>
      <c r="D1058" t="s">
        <v>129</v>
      </c>
      <c r="E1058" t="s">
        <v>377</v>
      </c>
      <c r="F1058" t="s">
        <v>383</v>
      </c>
      <c r="G1058" t="s">
        <v>334</v>
      </c>
      <c r="H1058" t="s">
        <v>334</v>
      </c>
      <c r="I1058" t="s">
        <v>743</v>
      </c>
      <c r="J1058" t="s">
        <v>379</v>
      </c>
      <c r="K1058" t="s">
        <v>546</v>
      </c>
      <c r="L1058" s="784" t="s">
        <v>575</v>
      </c>
      <c r="M1058" t="s">
        <v>745</v>
      </c>
      <c r="P1058" t="s">
        <v>1887</v>
      </c>
      <c r="R1058" t="s">
        <v>150</v>
      </c>
      <c r="S1058" t="s">
        <v>145</v>
      </c>
      <c r="U1058">
        <v>0</v>
      </c>
      <c r="V1058" t="s">
        <v>544</v>
      </c>
      <c r="W1058" t="s">
        <v>562</v>
      </c>
      <c r="X1058" s="784">
        <v>69958487.197715744</v>
      </c>
    </row>
    <row r="1059" spans="1:24">
      <c r="A1059" t="s">
        <v>358</v>
      </c>
      <c r="B1059" t="s">
        <v>563</v>
      </c>
      <c r="C1059" t="s">
        <v>171</v>
      </c>
      <c r="D1059" t="s">
        <v>132</v>
      </c>
      <c r="E1059" t="s">
        <v>377</v>
      </c>
      <c r="F1059" t="s">
        <v>383</v>
      </c>
      <c r="G1059" t="s">
        <v>334</v>
      </c>
      <c r="H1059" t="s">
        <v>334</v>
      </c>
      <c r="I1059" t="s">
        <v>743</v>
      </c>
      <c r="J1059" t="s">
        <v>379</v>
      </c>
      <c r="K1059" t="s">
        <v>546</v>
      </c>
      <c r="L1059" s="784" t="s">
        <v>575</v>
      </c>
      <c r="M1059" t="s">
        <v>745</v>
      </c>
      <c r="P1059" t="s">
        <v>1887</v>
      </c>
      <c r="R1059" t="s">
        <v>150</v>
      </c>
      <c r="S1059" t="s">
        <v>145</v>
      </c>
      <c r="U1059">
        <v>0</v>
      </c>
      <c r="V1059" t="s">
        <v>544</v>
      </c>
      <c r="W1059" t="s">
        <v>548</v>
      </c>
      <c r="X1059" s="784">
        <v>61654608.560629159</v>
      </c>
    </row>
    <row r="1060" spans="1:24">
      <c r="A1060" t="s">
        <v>358</v>
      </c>
      <c r="B1060" t="s">
        <v>564</v>
      </c>
      <c r="C1060" t="s">
        <v>172</v>
      </c>
      <c r="D1060" t="s">
        <v>130</v>
      </c>
      <c r="E1060" t="s">
        <v>377</v>
      </c>
      <c r="F1060" t="s">
        <v>383</v>
      </c>
      <c r="G1060" t="s">
        <v>334</v>
      </c>
      <c r="H1060" t="s">
        <v>334</v>
      </c>
      <c r="I1060" t="s">
        <v>743</v>
      </c>
      <c r="J1060" t="s">
        <v>379</v>
      </c>
      <c r="K1060" t="s">
        <v>546</v>
      </c>
      <c r="L1060" s="784" t="s">
        <v>575</v>
      </c>
      <c r="M1060" t="s">
        <v>745</v>
      </c>
      <c r="P1060" t="s">
        <v>1887</v>
      </c>
      <c r="R1060" t="s">
        <v>150</v>
      </c>
      <c r="S1060" t="s">
        <v>145</v>
      </c>
      <c r="U1060">
        <v>0</v>
      </c>
      <c r="V1060" t="s">
        <v>544</v>
      </c>
      <c r="W1060" t="s">
        <v>546</v>
      </c>
      <c r="X1060" s="784">
        <v>1806638707.7615163</v>
      </c>
    </row>
    <row r="1061" spans="1:24">
      <c r="A1061" t="s">
        <v>358</v>
      </c>
      <c r="B1061" t="s">
        <v>565</v>
      </c>
      <c r="C1061" t="s">
        <v>174</v>
      </c>
      <c r="D1061" t="s">
        <v>127</v>
      </c>
      <c r="E1061" t="s">
        <v>377</v>
      </c>
      <c r="F1061" t="s">
        <v>383</v>
      </c>
      <c r="G1061" t="s">
        <v>334</v>
      </c>
      <c r="H1061" t="s">
        <v>334</v>
      </c>
      <c r="I1061" t="s">
        <v>743</v>
      </c>
      <c r="J1061" t="s">
        <v>379</v>
      </c>
      <c r="K1061" t="s">
        <v>546</v>
      </c>
      <c r="L1061" s="784" t="s">
        <v>575</v>
      </c>
      <c r="M1061" t="s">
        <v>745</v>
      </c>
      <c r="P1061" t="s">
        <v>1887</v>
      </c>
      <c r="R1061" t="s">
        <v>152</v>
      </c>
      <c r="S1061" t="s">
        <v>146</v>
      </c>
      <c r="U1061">
        <v>0</v>
      </c>
      <c r="V1061" t="s">
        <v>544</v>
      </c>
      <c r="W1061" t="s">
        <v>546</v>
      </c>
      <c r="X1061" s="784">
        <v>1252696525.0627904</v>
      </c>
    </row>
    <row r="1062" spans="1:24">
      <c r="A1062" t="s">
        <v>358</v>
      </c>
      <c r="B1062" t="s">
        <v>566</v>
      </c>
      <c r="C1062" t="s">
        <v>175</v>
      </c>
      <c r="D1062" t="s">
        <v>128</v>
      </c>
      <c r="E1062" t="s">
        <v>377</v>
      </c>
      <c r="F1062" t="s">
        <v>383</v>
      </c>
      <c r="G1062" t="s">
        <v>334</v>
      </c>
      <c r="H1062" t="s">
        <v>334</v>
      </c>
      <c r="I1062" t="s">
        <v>743</v>
      </c>
      <c r="J1062" t="s">
        <v>379</v>
      </c>
      <c r="K1062" t="s">
        <v>546</v>
      </c>
      <c r="L1062" s="784" t="s">
        <v>575</v>
      </c>
      <c r="M1062" t="s">
        <v>745</v>
      </c>
      <c r="P1062" t="s">
        <v>1887</v>
      </c>
      <c r="R1062" t="s">
        <v>152</v>
      </c>
      <c r="S1062" t="s">
        <v>146</v>
      </c>
      <c r="U1062">
        <v>0</v>
      </c>
      <c r="V1062" t="s">
        <v>544</v>
      </c>
      <c r="W1062" t="s">
        <v>575</v>
      </c>
      <c r="X1062" s="784">
        <v>843425084.07334602</v>
      </c>
    </row>
    <row r="1063" spans="1:24">
      <c r="A1063" t="s">
        <v>358</v>
      </c>
      <c r="B1063" t="s">
        <v>567</v>
      </c>
      <c r="C1063" t="s">
        <v>144</v>
      </c>
      <c r="D1063" t="s">
        <v>130</v>
      </c>
      <c r="E1063" t="s">
        <v>377</v>
      </c>
      <c r="F1063" t="s">
        <v>383</v>
      </c>
      <c r="G1063" t="s">
        <v>334</v>
      </c>
      <c r="H1063" t="s">
        <v>334</v>
      </c>
      <c r="I1063" t="s">
        <v>743</v>
      </c>
      <c r="J1063" t="s">
        <v>379</v>
      </c>
      <c r="K1063" t="s">
        <v>546</v>
      </c>
      <c r="L1063" s="784" t="s">
        <v>575</v>
      </c>
      <c r="M1063" t="s">
        <v>745</v>
      </c>
      <c r="P1063" t="s">
        <v>1887</v>
      </c>
      <c r="R1063" t="s">
        <v>152</v>
      </c>
      <c r="S1063" t="s">
        <v>146</v>
      </c>
      <c r="U1063">
        <v>0</v>
      </c>
      <c r="V1063" t="s">
        <v>544</v>
      </c>
      <c r="W1063" t="s">
        <v>546</v>
      </c>
      <c r="X1063" s="784">
        <v>74055620038.853683</v>
      </c>
    </row>
    <row r="1064" spans="1:24">
      <c r="A1064" t="s">
        <v>358</v>
      </c>
      <c r="B1064" t="s">
        <v>568</v>
      </c>
      <c r="C1064" t="s">
        <v>176</v>
      </c>
      <c r="D1064" t="s">
        <v>127</v>
      </c>
      <c r="E1064" t="s">
        <v>377</v>
      </c>
      <c r="F1064" t="s">
        <v>383</v>
      </c>
      <c r="G1064" t="s">
        <v>334</v>
      </c>
      <c r="H1064" t="s">
        <v>334</v>
      </c>
      <c r="I1064" t="s">
        <v>743</v>
      </c>
      <c r="J1064" t="s">
        <v>379</v>
      </c>
      <c r="K1064" t="s">
        <v>546</v>
      </c>
      <c r="L1064" s="784" t="s">
        <v>575</v>
      </c>
      <c r="M1064" t="s">
        <v>745</v>
      </c>
      <c r="P1064" t="s">
        <v>1887</v>
      </c>
      <c r="R1064" t="s">
        <v>152</v>
      </c>
      <c r="S1064" t="s">
        <v>146</v>
      </c>
      <c r="U1064">
        <v>0</v>
      </c>
      <c r="V1064" t="s">
        <v>544</v>
      </c>
      <c r="W1064" t="s">
        <v>575</v>
      </c>
      <c r="X1064" s="784">
        <v>2803357765.5888777</v>
      </c>
    </row>
    <row r="1065" spans="1:24">
      <c r="A1065" t="s">
        <v>358</v>
      </c>
      <c r="B1065" t="s">
        <v>569</v>
      </c>
      <c r="C1065" t="s">
        <v>177</v>
      </c>
      <c r="D1065" t="s">
        <v>129</v>
      </c>
      <c r="E1065" t="s">
        <v>377</v>
      </c>
      <c r="F1065" t="s">
        <v>383</v>
      </c>
      <c r="G1065" t="s">
        <v>334</v>
      </c>
      <c r="H1065" t="s">
        <v>334</v>
      </c>
      <c r="I1065" t="s">
        <v>743</v>
      </c>
      <c r="J1065" t="s">
        <v>379</v>
      </c>
      <c r="K1065" t="s">
        <v>546</v>
      </c>
      <c r="L1065" s="784" t="s">
        <v>575</v>
      </c>
      <c r="M1065" t="s">
        <v>745</v>
      </c>
      <c r="P1065" t="s">
        <v>1887</v>
      </c>
      <c r="R1065" t="s">
        <v>148</v>
      </c>
      <c r="S1065" t="s">
        <v>145</v>
      </c>
      <c r="U1065">
        <v>2</v>
      </c>
      <c r="V1065" t="s">
        <v>544</v>
      </c>
      <c r="W1065" t="s">
        <v>562</v>
      </c>
      <c r="X1065" s="784">
        <v>337927779.25510043</v>
      </c>
    </row>
    <row r="1066" spans="1:24">
      <c r="A1066" t="s">
        <v>358</v>
      </c>
      <c r="B1066" t="s">
        <v>570</v>
      </c>
      <c r="C1066" t="s">
        <v>178</v>
      </c>
      <c r="D1066" t="s">
        <v>128</v>
      </c>
      <c r="E1066" t="s">
        <v>377</v>
      </c>
      <c r="F1066" t="s">
        <v>383</v>
      </c>
      <c r="G1066" t="s">
        <v>334</v>
      </c>
      <c r="H1066" t="s">
        <v>334</v>
      </c>
      <c r="I1066" t="s">
        <v>743</v>
      </c>
      <c r="J1066" t="s">
        <v>379</v>
      </c>
      <c r="K1066" t="s">
        <v>546</v>
      </c>
      <c r="L1066" s="784" t="s">
        <v>575</v>
      </c>
      <c r="M1066" t="s">
        <v>745</v>
      </c>
      <c r="P1066" t="s">
        <v>1887</v>
      </c>
      <c r="R1066" t="s">
        <v>148</v>
      </c>
      <c r="S1066" t="s">
        <v>145</v>
      </c>
      <c r="U1066">
        <v>2</v>
      </c>
      <c r="V1066" t="s">
        <v>544</v>
      </c>
      <c r="W1066" t="s">
        <v>548</v>
      </c>
      <c r="X1066" s="784">
        <v>65979512.47399316</v>
      </c>
    </row>
    <row r="1067" spans="1:24">
      <c r="A1067" t="s">
        <v>358</v>
      </c>
      <c r="B1067" t="s">
        <v>571</v>
      </c>
      <c r="C1067" t="s">
        <v>179</v>
      </c>
      <c r="D1067" t="s">
        <v>129</v>
      </c>
      <c r="E1067" t="s">
        <v>377</v>
      </c>
      <c r="F1067" t="s">
        <v>383</v>
      </c>
      <c r="G1067" t="s">
        <v>334</v>
      </c>
      <c r="H1067" t="s">
        <v>334</v>
      </c>
      <c r="I1067" t="s">
        <v>743</v>
      </c>
      <c r="J1067" t="s">
        <v>379</v>
      </c>
      <c r="K1067" t="s">
        <v>546</v>
      </c>
      <c r="L1067" s="784" t="s">
        <v>575</v>
      </c>
      <c r="M1067" t="s">
        <v>745</v>
      </c>
      <c r="P1067" t="s">
        <v>1887</v>
      </c>
      <c r="R1067" t="s">
        <v>150</v>
      </c>
      <c r="S1067" t="s">
        <v>145</v>
      </c>
      <c r="U1067">
        <v>0</v>
      </c>
      <c r="V1067" t="s">
        <v>541</v>
      </c>
      <c r="W1067" t="s">
        <v>542</v>
      </c>
      <c r="X1067" s="784">
        <v>63748362.778827004</v>
      </c>
    </row>
    <row r="1068" spans="1:24">
      <c r="A1068" t="s">
        <v>358</v>
      </c>
      <c r="B1068" t="s">
        <v>572</v>
      </c>
      <c r="C1068" t="s">
        <v>180</v>
      </c>
      <c r="D1068" t="s">
        <v>126</v>
      </c>
      <c r="E1068" t="s">
        <v>377</v>
      </c>
      <c r="F1068" t="s">
        <v>383</v>
      </c>
      <c r="G1068" t="s">
        <v>334</v>
      </c>
      <c r="H1068" t="s">
        <v>334</v>
      </c>
      <c r="I1068" t="s">
        <v>743</v>
      </c>
      <c r="J1068" t="s">
        <v>379</v>
      </c>
      <c r="K1068" t="s">
        <v>546</v>
      </c>
      <c r="L1068" s="784" t="s">
        <v>575</v>
      </c>
      <c r="M1068" t="s">
        <v>745</v>
      </c>
      <c r="P1068" t="s">
        <v>1887</v>
      </c>
      <c r="R1068" t="s">
        <v>150</v>
      </c>
      <c r="S1068" t="s">
        <v>145</v>
      </c>
      <c r="U1068">
        <v>0</v>
      </c>
      <c r="V1068" t="s">
        <v>544</v>
      </c>
      <c r="W1068" t="s">
        <v>558</v>
      </c>
      <c r="X1068" s="784">
        <v>313039649.45369786</v>
      </c>
    </row>
    <row r="1069" spans="1:24">
      <c r="A1069" t="s">
        <v>358</v>
      </c>
      <c r="B1069" t="s">
        <v>573</v>
      </c>
      <c r="C1069" t="s">
        <v>181</v>
      </c>
      <c r="D1069" t="s">
        <v>129</v>
      </c>
      <c r="E1069" t="s">
        <v>377</v>
      </c>
      <c r="F1069" t="s">
        <v>383</v>
      </c>
      <c r="G1069" t="s">
        <v>334</v>
      </c>
      <c r="H1069" t="s">
        <v>334</v>
      </c>
      <c r="I1069" t="s">
        <v>743</v>
      </c>
      <c r="J1069" t="s">
        <v>379</v>
      </c>
      <c r="K1069" t="s">
        <v>546</v>
      </c>
      <c r="L1069" s="784" t="s">
        <v>575</v>
      </c>
      <c r="M1069" t="s">
        <v>745</v>
      </c>
      <c r="P1069" t="s">
        <v>1887</v>
      </c>
      <c r="R1069" t="s">
        <v>150</v>
      </c>
      <c r="S1069" t="s">
        <v>145</v>
      </c>
      <c r="U1069">
        <v>2</v>
      </c>
      <c r="V1069" t="s">
        <v>544</v>
      </c>
      <c r="W1069" t="s">
        <v>542</v>
      </c>
      <c r="X1069" s="784">
        <v>81361801.477472037</v>
      </c>
    </row>
    <row r="1070" spans="1:24">
      <c r="A1070" t="s">
        <v>358</v>
      </c>
      <c r="B1070" t="s">
        <v>574</v>
      </c>
      <c r="C1070" t="s">
        <v>182</v>
      </c>
      <c r="D1070" t="s">
        <v>129</v>
      </c>
      <c r="E1070" t="s">
        <v>377</v>
      </c>
      <c r="F1070" t="s">
        <v>383</v>
      </c>
      <c r="G1070" t="s">
        <v>334</v>
      </c>
      <c r="H1070" t="s">
        <v>334</v>
      </c>
      <c r="I1070" t="s">
        <v>743</v>
      </c>
      <c r="J1070" t="s">
        <v>379</v>
      </c>
      <c r="K1070" t="s">
        <v>546</v>
      </c>
      <c r="L1070" s="784" t="s">
        <v>575</v>
      </c>
      <c r="M1070" t="s">
        <v>745</v>
      </c>
      <c r="P1070" t="s">
        <v>1887</v>
      </c>
      <c r="R1070" t="s">
        <v>148</v>
      </c>
      <c r="S1070" t="s">
        <v>145</v>
      </c>
      <c r="U1070">
        <v>1</v>
      </c>
      <c r="V1070" t="s">
        <v>544</v>
      </c>
      <c r="W1070" t="s">
        <v>542</v>
      </c>
      <c r="X1070" s="784" t="s">
        <v>575</v>
      </c>
    </row>
    <row r="1071" spans="1:24">
      <c r="A1071" t="s">
        <v>358</v>
      </c>
      <c r="B1071" t="s">
        <v>576</v>
      </c>
      <c r="C1071" t="s">
        <v>183</v>
      </c>
      <c r="D1071" t="s">
        <v>129</v>
      </c>
      <c r="E1071" t="s">
        <v>377</v>
      </c>
      <c r="F1071" t="s">
        <v>383</v>
      </c>
      <c r="G1071" t="s">
        <v>334</v>
      </c>
      <c r="H1071" t="s">
        <v>334</v>
      </c>
      <c r="I1071" t="s">
        <v>743</v>
      </c>
      <c r="J1071" t="s">
        <v>379</v>
      </c>
      <c r="K1071" t="s">
        <v>546</v>
      </c>
      <c r="L1071" s="784" t="s">
        <v>575</v>
      </c>
      <c r="M1071" t="s">
        <v>745</v>
      </c>
      <c r="P1071" t="s">
        <v>1887</v>
      </c>
      <c r="R1071" t="s">
        <v>148</v>
      </c>
      <c r="S1071" t="s">
        <v>145</v>
      </c>
      <c r="U1071">
        <v>1</v>
      </c>
      <c r="V1071" t="s">
        <v>544</v>
      </c>
      <c r="W1071" t="s">
        <v>542</v>
      </c>
      <c r="X1071" s="784">
        <v>76939306.715636879</v>
      </c>
    </row>
    <row r="1072" spans="1:24">
      <c r="A1072" t="s">
        <v>358</v>
      </c>
      <c r="B1072" t="s">
        <v>577</v>
      </c>
      <c r="C1072" t="s">
        <v>184</v>
      </c>
      <c r="D1072" t="s">
        <v>130</v>
      </c>
      <c r="E1072" t="s">
        <v>377</v>
      </c>
      <c r="F1072" t="s">
        <v>383</v>
      </c>
      <c r="G1072" t="s">
        <v>334</v>
      </c>
      <c r="H1072" t="s">
        <v>334</v>
      </c>
      <c r="I1072" t="s">
        <v>743</v>
      </c>
      <c r="J1072" t="s">
        <v>379</v>
      </c>
      <c r="K1072" t="s">
        <v>546</v>
      </c>
      <c r="L1072" s="784" t="s">
        <v>575</v>
      </c>
      <c r="M1072" t="s">
        <v>745</v>
      </c>
      <c r="P1072" t="s">
        <v>1887</v>
      </c>
      <c r="R1072" t="s">
        <v>550</v>
      </c>
      <c r="S1072" t="s">
        <v>146</v>
      </c>
      <c r="U1072">
        <v>0</v>
      </c>
      <c r="V1072" t="s">
        <v>544</v>
      </c>
      <c r="W1072" t="s">
        <v>575</v>
      </c>
      <c r="X1072" s="784">
        <v>13859708717.682571</v>
      </c>
    </row>
    <row r="1073" spans="1:24">
      <c r="A1073" t="s">
        <v>358</v>
      </c>
      <c r="B1073" t="s">
        <v>578</v>
      </c>
      <c r="C1073" t="s">
        <v>185</v>
      </c>
      <c r="D1073" t="s">
        <v>126</v>
      </c>
      <c r="E1073" t="s">
        <v>377</v>
      </c>
      <c r="F1073" t="s">
        <v>383</v>
      </c>
      <c r="G1073" t="s">
        <v>334</v>
      </c>
      <c r="H1073" t="s">
        <v>334</v>
      </c>
      <c r="I1073" t="s">
        <v>743</v>
      </c>
      <c r="J1073" t="s">
        <v>379</v>
      </c>
      <c r="K1073" t="s">
        <v>546</v>
      </c>
      <c r="L1073" s="784" t="s">
        <v>575</v>
      </c>
      <c r="M1073" t="s">
        <v>745</v>
      </c>
      <c r="P1073" t="s">
        <v>1887</v>
      </c>
      <c r="R1073" t="s">
        <v>152</v>
      </c>
      <c r="S1073" t="s">
        <v>146</v>
      </c>
      <c r="U1073">
        <v>0</v>
      </c>
      <c r="V1073" t="s">
        <v>544</v>
      </c>
      <c r="W1073" t="s">
        <v>575</v>
      </c>
      <c r="X1073" s="784">
        <v>403567160707.7016</v>
      </c>
    </row>
    <row r="1074" spans="1:24">
      <c r="A1074" t="s">
        <v>358</v>
      </c>
      <c r="B1074" t="s">
        <v>579</v>
      </c>
      <c r="C1074" t="s">
        <v>186</v>
      </c>
      <c r="D1074" t="s">
        <v>130</v>
      </c>
      <c r="E1074" t="s">
        <v>377</v>
      </c>
      <c r="F1074" t="s">
        <v>383</v>
      </c>
      <c r="G1074" t="s">
        <v>334</v>
      </c>
      <c r="H1074" t="s">
        <v>334</v>
      </c>
      <c r="I1074" t="s">
        <v>743</v>
      </c>
      <c r="J1074" t="s">
        <v>379</v>
      </c>
      <c r="K1074" t="s">
        <v>546</v>
      </c>
      <c r="L1074" s="784" t="s">
        <v>575</v>
      </c>
      <c r="M1074" t="s">
        <v>745</v>
      </c>
      <c r="P1074" t="s">
        <v>1887</v>
      </c>
      <c r="R1074" t="s">
        <v>152</v>
      </c>
      <c r="S1074" t="s">
        <v>146</v>
      </c>
      <c r="U1074">
        <v>0</v>
      </c>
      <c r="V1074" t="s">
        <v>544</v>
      </c>
      <c r="W1074" t="s">
        <v>575</v>
      </c>
      <c r="X1074" s="784">
        <v>18250225995.972618</v>
      </c>
    </row>
    <row r="1075" spans="1:24">
      <c r="A1075" t="s">
        <v>358</v>
      </c>
      <c r="B1075" t="s">
        <v>580</v>
      </c>
      <c r="C1075" t="s">
        <v>187</v>
      </c>
      <c r="D1075" t="s">
        <v>128</v>
      </c>
      <c r="E1075" t="s">
        <v>377</v>
      </c>
      <c r="F1075" t="s">
        <v>383</v>
      </c>
      <c r="G1075" t="s">
        <v>334</v>
      </c>
      <c r="H1075" t="s">
        <v>334</v>
      </c>
      <c r="I1075" t="s">
        <v>743</v>
      </c>
      <c r="J1075" t="s">
        <v>379</v>
      </c>
      <c r="K1075" t="s">
        <v>546</v>
      </c>
      <c r="L1075" s="784" t="s">
        <v>575</v>
      </c>
      <c r="M1075" t="s">
        <v>745</v>
      </c>
      <c r="P1075" t="s">
        <v>1887</v>
      </c>
      <c r="R1075" t="s">
        <v>150</v>
      </c>
      <c r="S1075" t="s">
        <v>145</v>
      </c>
      <c r="U1075">
        <v>0</v>
      </c>
      <c r="V1075" t="s">
        <v>541</v>
      </c>
      <c r="W1075" t="s">
        <v>562</v>
      </c>
      <c r="X1075" s="784">
        <v>5027591.1682657599</v>
      </c>
    </row>
    <row r="1076" spans="1:24">
      <c r="A1076" t="s">
        <v>358</v>
      </c>
      <c r="B1076" t="s">
        <v>581</v>
      </c>
      <c r="C1076" t="s">
        <v>188</v>
      </c>
      <c r="D1076" t="s">
        <v>129</v>
      </c>
      <c r="E1076" t="s">
        <v>377</v>
      </c>
      <c r="F1076" t="s">
        <v>383</v>
      </c>
      <c r="G1076" t="s">
        <v>334</v>
      </c>
      <c r="H1076" t="s">
        <v>334</v>
      </c>
      <c r="I1076" t="s">
        <v>743</v>
      </c>
      <c r="J1076" t="s">
        <v>379</v>
      </c>
      <c r="K1076" t="s">
        <v>546</v>
      </c>
      <c r="L1076" s="784" t="s">
        <v>575</v>
      </c>
      <c r="M1076" t="s">
        <v>745</v>
      </c>
      <c r="P1076" t="s">
        <v>1887</v>
      </c>
      <c r="R1076" t="s">
        <v>148</v>
      </c>
      <c r="S1076" t="s">
        <v>145</v>
      </c>
      <c r="U1076">
        <v>3</v>
      </c>
      <c r="V1076" t="s">
        <v>544</v>
      </c>
      <c r="W1076" t="s">
        <v>562</v>
      </c>
      <c r="X1076" s="784">
        <v>234645958.63289919</v>
      </c>
    </row>
    <row r="1077" spans="1:24">
      <c r="A1077" t="s">
        <v>358</v>
      </c>
      <c r="B1077" t="s">
        <v>582</v>
      </c>
      <c r="C1077" t="s">
        <v>189</v>
      </c>
      <c r="D1077" t="s">
        <v>129</v>
      </c>
      <c r="E1077" t="s">
        <v>377</v>
      </c>
      <c r="F1077" t="s">
        <v>383</v>
      </c>
      <c r="G1077" t="s">
        <v>334</v>
      </c>
      <c r="H1077" t="s">
        <v>334</v>
      </c>
      <c r="I1077" t="s">
        <v>743</v>
      </c>
      <c r="J1077" t="s">
        <v>379</v>
      </c>
      <c r="K1077" t="s">
        <v>546</v>
      </c>
      <c r="L1077" s="784" t="s">
        <v>575</v>
      </c>
      <c r="M1077" t="s">
        <v>745</v>
      </c>
      <c r="P1077" t="s">
        <v>1887</v>
      </c>
      <c r="R1077" t="s">
        <v>150</v>
      </c>
      <c r="S1077" t="s">
        <v>145</v>
      </c>
      <c r="U1077">
        <v>2</v>
      </c>
      <c r="V1077" t="s">
        <v>544</v>
      </c>
      <c r="W1077" t="s">
        <v>583</v>
      </c>
      <c r="X1077" s="784">
        <v>91590910.247314155</v>
      </c>
    </row>
    <row r="1078" spans="1:24">
      <c r="A1078" t="s">
        <v>358</v>
      </c>
      <c r="B1078" t="s">
        <v>584</v>
      </c>
      <c r="C1078" t="s">
        <v>190</v>
      </c>
      <c r="D1078" t="s">
        <v>126</v>
      </c>
      <c r="E1078" t="s">
        <v>377</v>
      </c>
      <c r="F1078" t="s">
        <v>383</v>
      </c>
      <c r="G1078" t="s">
        <v>334</v>
      </c>
      <c r="H1078" t="s">
        <v>334</v>
      </c>
      <c r="I1078" t="s">
        <v>743</v>
      </c>
      <c r="J1078" t="s">
        <v>379</v>
      </c>
      <c r="K1078" t="s">
        <v>546</v>
      </c>
      <c r="L1078" s="784" t="s">
        <v>575</v>
      </c>
      <c r="M1078" t="s">
        <v>745</v>
      </c>
      <c r="P1078" t="s">
        <v>1887</v>
      </c>
      <c r="R1078" t="s">
        <v>322</v>
      </c>
      <c r="S1078" t="s">
        <v>146</v>
      </c>
      <c r="U1078">
        <v>0</v>
      </c>
      <c r="V1078" t="s">
        <v>541</v>
      </c>
      <c r="W1078" t="s">
        <v>546</v>
      </c>
      <c r="X1078" s="784">
        <v>8560012.8840167802</v>
      </c>
    </row>
    <row r="1079" spans="1:24">
      <c r="A1079" t="s">
        <v>358</v>
      </c>
      <c r="B1079" t="s">
        <v>585</v>
      </c>
      <c r="C1079" t="s">
        <v>191</v>
      </c>
      <c r="D1079" t="s">
        <v>130</v>
      </c>
      <c r="E1079" t="s">
        <v>377</v>
      </c>
      <c r="F1079" t="s">
        <v>383</v>
      </c>
      <c r="G1079" t="s">
        <v>334</v>
      </c>
      <c r="H1079" t="s">
        <v>334</v>
      </c>
      <c r="I1079" t="s">
        <v>743</v>
      </c>
      <c r="J1079" t="s">
        <v>379</v>
      </c>
      <c r="K1079" t="s">
        <v>546</v>
      </c>
      <c r="L1079" s="784" t="s">
        <v>575</v>
      </c>
      <c r="M1079" t="s">
        <v>745</v>
      </c>
      <c r="P1079" t="s">
        <v>1887</v>
      </c>
      <c r="R1079" t="s">
        <v>152</v>
      </c>
      <c r="S1079" t="s">
        <v>146</v>
      </c>
      <c r="U1079">
        <v>0</v>
      </c>
      <c r="V1079" t="s">
        <v>544</v>
      </c>
      <c r="W1079" t="s">
        <v>546</v>
      </c>
      <c r="X1079" s="784">
        <v>3292372960.3962669</v>
      </c>
    </row>
    <row r="1080" spans="1:24">
      <c r="A1080" t="s">
        <v>358</v>
      </c>
      <c r="B1080" t="s">
        <v>586</v>
      </c>
      <c r="C1080" t="s">
        <v>192</v>
      </c>
      <c r="D1080" t="s">
        <v>129</v>
      </c>
      <c r="E1080" t="s">
        <v>377</v>
      </c>
      <c r="F1080" t="s">
        <v>383</v>
      </c>
      <c r="G1080" t="s">
        <v>334</v>
      </c>
      <c r="H1080" t="s">
        <v>334</v>
      </c>
      <c r="I1080" t="s">
        <v>743</v>
      </c>
      <c r="J1080" t="s">
        <v>379</v>
      </c>
      <c r="K1080" t="s">
        <v>546</v>
      </c>
      <c r="L1080" s="784" t="s">
        <v>575</v>
      </c>
      <c r="M1080" t="s">
        <v>745</v>
      </c>
      <c r="P1080" t="s">
        <v>1887</v>
      </c>
      <c r="R1080" t="s">
        <v>150</v>
      </c>
      <c r="S1080" t="s">
        <v>145</v>
      </c>
      <c r="U1080">
        <v>0</v>
      </c>
      <c r="V1080" t="s">
        <v>544</v>
      </c>
      <c r="W1080" t="s">
        <v>562</v>
      </c>
      <c r="X1080" s="784">
        <v>519209981.22981054</v>
      </c>
    </row>
    <row r="1081" spans="1:24">
      <c r="A1081" t="s">
        <v>358</v>
      </c>
      <c r="B1081" t="s">
        <v>587</v>
      </c>
      <c r="C1081" t="s">
        <v>193</v>
      </c>
      <c r="D1081" t="s">
        <v>127</v>
      </c>
      <c r="E1081" t="s">
        <v>377</v>
      </c>
      <c r="F1081" t="s">
        <v>383</v>
      </c>
      <c r="G1081" t="s">
        <v>334</v>
      </c>
      <c r="H1081" t="s">
        <v>334</v>
      </c>
      <c r="I1081" t="s">
        <v>743</v>
      </c>
      <c r="J1081" t="s">
        <v>379</v>
      </c>
      <c r="K1081" t="s">
        <v>546</v>
      </c>
      <c r="L1081" s="784" t="s">
        <v>575</v>
      </c>
      <c r="M1081" t="s">
        <v>745</v>
      </c>
      <c r="P1081" t="s">
        <v>1887</v>
      </c>
      <c r="R1081" t="s">
        <v>550</v>
      </c>
      <c r="S1081" t="s">
        <v>146</v>
      </c>
      <c r="U1081">
        <v>0</v>
      </c>
      <c r="V1081" t="s">
        <v>544</v>
      </c>
      <c r="W1081" t="s">
        <v>575</v>
      </c>
      <c r="X1081" s="784">
        <v>3464739907.1604805</v>
      </c>
    </row>
    <row r="1082" spans="1:24">
      <c r="A1082" t="s">
        <v>358</v>
      </c>
      <c r="B1082" t="s">
        <v>588</v>
      </c>
      <c r="C1082" t="s">
        <v>147</v>
      </c>
      <c r="D1082" t="s">
        <v>130</v>
      </c>
      <c r="E1082" t="s">
        <v>377</v>
      </c>
      <c r="F1082" t="s">
        <v>383</v>
      </c>
      <c r="G1082" t="s">
        <v>334</v>
      </c>
      <c r="H1082" t="s">
        <v>334</v>
      </c>
      <c r="I1082" t="s">
        <v>743</v>
      </c>
      <c r="J1082" t="s">
        <v>379</v>
      </c>
      <c r="K1082" t="s">
        <v>546</v>
      </c>
      <c r="L1082" s="784" t="s">
        <v>575</v>
      </c>
      <c r="M1082" t="s">
        <v>745</v>
      </c>
      <c r="P1082" t="s">
        <v>1887</v>
      </c>
      <c r="R1082" t="s">
        <v>152</v>
      </c>
      <c r="S1082" t="s">
        <v>146</v>
      </c>
      <c r="U1082">
        <v>0</v>
      </c>
      <c r="V1082" t="s">
        <v>541</v>
      </c>
      <c r="W1082" t="s">
        <v>575</v>
      </c>
      <c r="X1082" s="784">
        <v>9948521252.2569065</v>
      </c>
    </row>
    <row r="1083" spans="1:24">
      <c r="A1083" t="s">
        <v>358</v>
      </c>
      <c r="B1083" t="s">
        <v>589</v>
      </c>
      <c r="C1083" t="s">
        <v>194</v>
      </c>
      <c r="D1083" t="s">
        <v>131</v>
      </c>
      <c r="E1083" t="s">
        <v>377</v>
      </c>
      <c r="F1083" t="s">
        <v>383</v>
      </c>
      <c r="G1083" t="s">
        <v>334</v>
      </c>
      <c r="H1083" t="s">
        <v>334</v>
      </c>
      <c r="I1083" t="s">
        <v>743</v>
      </c>
      <c r="J1083" t="s">
        <v>379</v>
      </c>
      <c r="K1083" t="s">
        <v>546</v>
      </c>
      <c r="L1083" s="784" t="s">
        <v>575</v>
      </c>
      <c r="M1083" t="s">
        <v>745</v>
      </c>
      <c r="P1083" t="s">
        <v>1887</v>
      </c>
      <c r="R1083" t="s">
        <v>150</v>
      </c>
      <c r="S1083" t="s">
        <v>145</v>
      </c>
      <c r="U1083">
        <v>1</v>
      </c>
      <c r="V1083" t="s">
        <v>544</v>
      </c>
      <c r="W1083" t="s">
        <v>542</v>
      </c>
      <c r="X1083" s="784">
        <v>33679192.765657313</v>
      </c>
    </row>
    <row r="1084" spans="1:24">
      <c r="A1084" t="s">
        <v>358</v>
      </c>
      <c r="B1084" t="s">
        <v>590</v>
      </c>
      <c r="C1084" t="s">
        <v>195</v>
      </c>
      <c r="D1084" t="s">
        <v>130</v>
      </c>
      <c r="E1084" t="s">
        <v>377</v>
      </c>
      <c r="F1084" t="s">
        <v>383</v>
      </c>
      <c r="G1084" t="s">
        <v>334</v>
      </c>
      <c r="H1084" t="s">
        <v>334</v>
      </c>
      <c r="I1084" t="s">
        <v>743</v>
      </c>
      <c r="J1084" t="s">
        <v>379</v>
      </c>
      <c r="K1084" t="s">
        <v>546</v>
      </c>
      <c r="L1084" s="784" t="s">
        <v>575</v>
      </c>
      <c r="M1084" t="s">
        <v>745</v>
      </c>
      <c r="P1084" t="s">
        <v>1887</v>
      </c>
      <c r="R1084" t="s">
        <v>152</v>
      </c>
      <c r="S1084" t="s">
        <v>145</v>
      </c>
      <c r="U1084">
        <v>0</v>
      </c>
      <c r="V1084" t="s">
        <v>541</v>
      </c>
      <c r="W1084" t="s">
        <v>548</v>
      </c>
      <c r="X1084" s="784">
        <v>22784494.365742501</v>
      </c>
    </row>
    <row r="1085" spans="1:24">
      <c r="A1085" t="s">
        <v>358</v>
      </c>
      <c r="B1085" t="s">
        <v>591</v>
      </c>
      <c r="C1085" t="s">
        <v>196</v>
      </c>
      <c r="D1085" t="s">
        <v>130</v>
      </c>
      <c r="E1085" t="s">
        <v>377</v>
      </c>
      <c r="F1085" t="s">
        <v>383</v>
      </c>
      <c r="G1085" t="s">
        <v>334</v>
      </c>
      <c r="H1085" t="s">
        <v>334</v>
      </c>
      <c r="I1085" t="s">
        <v>743</v>
      </c>
      <c r="J1085" t="s">
        <v>379</v>
      </c>
      <c r="K1085" t="s">
        <v>546</v>
      </c>
      <c r="L1085" s="784">
        <v>360305</v>
      </c>
      <c r="M1085" t="s">
        <v>745</v>
      </c>
      <c r="P1085" t="s">
        <v>1887</v>
      </c>
      <c r="R1085" t="s">
        <v>152</v>
      </c>
      <c r="S1085" t="s">
        <v>146</v>
      </c>
      <c r="U1085">
        <v>0</v>
      </c>
      <c r="V1085" t="s">
        <v>541</v>
      </c>
      <c r="W1085" t="s">
        <v>575</v>
      </c>
      <c r="X1085" s="784">
        <v>2173208011.4858823</v>
      </c>
    </row>
    <row r="1086" spans="1:24">
      <c r="A1086" t="s">
        <v>358</v>
      </c>
      <c r="B1086" t="s">
        <v>592</v>
      </c>
      <c r="C1086" t="s">
        <v>197</v>
      </c>
      <c r="D1086" t="s">
        <v>130</v>
      </c>
      <c r="E1086" t="s">
        <v>377</v>
      </c>
      <c r="F1086" t="s">
        <v>383</v>
      </c>
      <c r="G1086" t="s">
        <v>334</v>
      </c>
      <c r="H1086" t="s">
        <v>334</v>
      </c>
      <c r="I1086" t="s">
        <v>743</v>
      </c>
      <c r="J1086" t="s">
        <v>379</v>
      </c>
      <c r="K1086" t="s">
        <v>546</v>
      </c>
      <c r="L1086" s="784">
        <v>673947</v>
      </c>
      <c r="M1086" t="s">
        <v>745</v>
      </c>
      <c r="P1086" t="s">
        <v>1887</v>
      </c>
      <c r="R1086" t="s">
        <v>152</v>
      </c>
      <c r="S1086" t="s">
        <v>146</v>
      </c>
      <c r="U1086">
        <v>0</v>
      </c>
      <c r="V1086" t="s">
        <v>544</v>
      </c>
      <c r="W1086" t="s">
        <v>546</v>
      </c>
      <c r="X1086" s="784">
        <v>4585736158.8323269</v>
      </c>
    </row>
    <row r="1087" spans="1:24">
      <c r="A1087" t="s">
        <v>358</v>
      </c>
      <c r="B1087" t="s">
        <v>593</v>
      </c>
      <c r="C1087" t="s">
        <v>198</v>
      </c>
      <c r="D1087" t="s">
        <v>131</v>
      </c>
      <c r="E1087" t="s">
        <v>377</v>
      </c>
      <c r="F1087" t="s">
        <v>383</v>
      </c>
      <c r="G1087" t="s">
        <v>334</v>
      </c>
      <c r="H1087" t="s">
        <v>334</v>
      </c>
      <c r="I1087" t="s">
        <v>743</v>
      </c>
      <c r="J1087" t="s">
        <v>379</v>
      </c>
      <c r="K1087" t="s">
        <v>546</v>
      </c>
      <c r="L1087" s="784" t="s">
        <v>575</v>
      </c>
      <c r="M1087" t="s">
        <v>745</v>
      </c>
      <c r="P1087" t="s">
        <v>1887</v>
      </c>
      <c r="R1087" t="s">
        <v>150</v>
      </c>
      <c r="S1087" t="s">
        <v>145</v>
      </c>
      <c r="U1087">
        <v>0</v>
      </c>
      <c r="V1087" t="s">
        <v>544</v>
      </c>
      <c r="W1087" t="s">
        <v>546</v>
      </c>
      <c r="X1087" s="784">
        <v>3550291584.8645592</v>
      </c>
    </row>
    <row r="1088" spans="1:24">
      <c r="A1088" t="s">
        <v>358</v>
      </c>
      <c r="B1088" t="s">
        <v>594</v>
      </c>
      <c r="C1088" t="s">
        <v>199</v>
      </c>
      <c r="D1088" t="s">
        <v>130</v>
      </c>
      <c r="E1088" t="s">
        <v>377</v>
      </c>
      <c r="F1088" t="s">
        <v>383</v>
      </c>
      <c r="G1088" t="s">
        <v>334</v>
      </c>
      <c r="H1088" t="s">
        <v>334</v>
      </c>
      <c r="I1088" t="s">
        <v>743</v>
      </c>
      <c r="J1088" t="s">
        <v>379</v>
      </c>
      <c r="K1088" t="s">
        <v>546</v>
      </c>
      <c r="L1088" s="784">
        <v>20000000</v>
      </c>
      <c r="M1088" t="s">
        <v>745</v>
      </c>
      <c r="P1088" t="s">
        <v>1887</v>
      </c>
      <c r="R1088" t="s">
        <v>150</v>
      </c>
      <c r="S1088" t="s">
        <v>145</v>
      </c>
      <c r="U1088">
        <v>0</v>
      </c>
      <c r="V1088" t="s">
        <v>544</v>
      </c>
      <c r="W1088" t="s">
        <v>546</v>
      </c>
      <c r="X1088" s="784">
        <v>1182840319.0410969</v>
      </c>
    </row>
    <row r="1089" spans="1:24">
      <c r="A1089" t="s">
        <v>358</v>
      </c>
      <c r="B1089" t="s">
        <v>595</v>
      </c>
      <c r="C1089" t="s">
        <v>200</v>
      </c>
      <c r="D1089" t="s">
        <v>130</v>
      </c>
      <c r="E1089" t="s">
        <v>377</v>
      </c>
      <c r="F1089" t="s">
        <v>383</v>
      </c>
      <c r="G1089" t="s">
        <v>334</v>
      </c>
      <c r="H1089" t="s">
        <v>334</v>
      </c>
      <c r="I1089" t="s">
        <v>743</v>
      </c>
      <c r="J1089" t="s">
        <v>379</v>
      </c>
      <c r="K1089" t="s">
        <v>546</v>
      </c>
      <c r="L1089" s="784" t="s">
        <v>575</v>
      </c>
      <c r="M1089" t="s">
        <v>745</v>
      </c>
      <c r="P1089" t="s">
        <v>1887</v>
      </c>
      <c r="R1089" t="s">
        <v>152</v>
      </c>
      <c r="S1089" t="s">
        <v>146</v>
      </c>
      <c r="U1089">
        <v>0</v>
      </c>
      <c r="V1089" t="s">
        <v>544</v>
      </c>
      <c r="W1089" t="s">
        <v>575</v>
      </c>
      <c r="X1089" s="784">
        <v>81728347.604567245</v>
      </c>
    </row>
    <row r="1090" spans="1:24">
      <c r="A1090" t="s">
        <v>358</v>
      </c>
      <c r="B1090" t="s">
        <v>596</v>
      </c>
      <c r="C1090" t="s">
        <v>201</v>
      </c>
      <c r="D1090" t="s">
        <v>128</v>
      </c>
      <c r="E1090" t="s">
        <v>377</v>
      </c>
      <c r="F1090" t="s">
        <v>383</v>
      </c>
      <c r="G1090" t="s">
        <v>334</v>
      </c>
      <c r="H1090" t="s">
        <v>334</v>
      </c>
      <c r="I1090" t="s">
        <v>743</v>
      </c>
      <c r="J1090" t="s">
        <v>379</v>
      </c>
      <c r="K1090" t="s">
        <v>546</v>
      </c>
      <c r="L1090" s="784" t="s">
        <v>575</v>
      </c>
      <c r="M1090" t="s">
        <v>745</v>
      </c>
      <c r="P1090" t="s">
        <v>1887</v>
      </c>
      <c r="R1090" t="s">
        <v>148</v>
      </c>
      <c r="S1090" t="s">
        <v>145</v>
      </c>
      <c r="U1090">
        <v>2</v>
      </c>
      <c r="V1090" t="s">
        <v>544</v>
      </c>
      <c r="W1090" t="s">
        <v>546</v>
      </c>
      <c r="X1090" s="784">
        <v>12787914.977715338</v>
      </c>
    </row>
    <row r="1091" spans="1:24">
      <c r="A1091" t="s">
        <v>358</v>
      </c>
      <c r="B1091" t="s">
        <v>597</v>
      </c>
      <c r="C1091" t="s">
        <v>202</v>
      </c>
      <c r="D1091" t="s">
        <v>128</v>
      </c>
      <c r="E1091" t="s">
        <v>377</v>
      </c>
      <c r="F1091" t="s">
        <v>383</v>
      </c>
      <c r="G1091" t="s">
        <v>334</v>
      </c>
      <c r="H1091" t="s">
        <v>334</v>
      </c>
      <c r="I1091" t="s">
        <v>743</v>
      </c>
      <c r="J1091" t="s">
        <v>379</v>
      </c>
      <c r="K1091" t="s">
        <v>546</v>
      </c>
      <c r="L1091" s="784" t="s">
        <v>575</v>
      </c>
      <c r="M1091" t="s">
        <v>745</v>
      </c>
      <c r="P1091" t="s">
        <v>1887</v>
      </c>
      <c r="R1091" t="s">
        <v>150</v>
      </c>
      <c r="S1091" t="s">
        <v>145</v>
      </c>
      <c r="U1091">
        <v>2</v>
      </c>
      <c r="V1091" t="s">
        <v>544</v>
      </c>
      <c r="W1091" t="s">
        <v>546</v>
      </c>
      <c r="X1091" s="784">
        <v>101271737.65410839</v>
      </c>
    </row>
    <row r="1092" spans="1:24">
      <c r="A1092" t="s">
        <v>358</v>
      </c>
      <c r="B1092" t="s">
        <v>598</v>
      </c>
      <c r="C1092" t="s">
        <v>203</v>
      </c>
      <c r="D1092" t="s">
        <v>128</v>
      </c>
      <c r="E1092" t="s">
        <v>377</v>
      </c>
      <c r="F1092" t="s">
        <v>383</v>
      </c>
      <c r="G1092" t="s">
        <v>334</v>
      </c>
      <c r="H1092" t="s">
        <v>334</v>
      </c>
      <c r="I1092" t="s">
        <v>743</v>
      </c>
      <c r="J1092" t="s">
        <v>379</v>
      </c>
      <c r="K1092" t="s">
        <v>546</v>
      </c>
      <c r="L1092" s="784" t="s">
        <v>575</v>
      </c>
      <c r="M1092" t="s">
        <v>745</v>
      </c>
      <c r="P1092" t="s">
        <v>1887</v>
      </c>
      <c r="R1092" t="s">
        <v>148</v>
      </c>
      <c r="S1092" t="s">
        <v>145</v>
      </c>
      <c r="U1092">
        <v>3</v>
      </c>
      <c r="V1092" t="s">
        <v>544</v>
      </c>
      <c r="W1092" t="s">
        <v>542</v>
      </c>
      <c r="X1092" s="784">
        <v>618344226.71759331</v>
      </c>
    </row>
    <row r="1093" spans="1:24">
      <c r="A1093" t="s">
        <v>358</v>
      </c>
      <c r="B1093" t="s">
        <v>599</v>
      </c>
      <c r="C1093" t="s">
        <v>204</v>
      </c>
      <c r="D1093" t="s">
        <v>126</v>
      </c>
      <c r="E1093" t="s">
        <v>377</v>
      </c>
      <c r="F1093" t="s">
        <v>383</v>
      </c>
      <c r="G1093" t="s">
        <v>334</v>
      </c>
      <c r="H1093" t="s">
        <v>334</v>
      </c>
      <c r="I1093" t="s">
        <v>743</v>
      </c>
      <c r="J1093" t="s">
        <v>379</v>
      </c>
      <c r="K1093" t="s">
        <v>546</v>
      </c>
      <c r="L1093" s="784" t="s">
        <v>575</v>
      </c>
      <c r="M1093" t="s">
        <v>745</v>
      </c>
      <c r="P1093" t="s">
        <v>1887</v>
      </c>
      <c r="R1093" t="s">
        <v>152</v>
      </c>
      <c r="S1093" t="s">
        <v>145</v>
      </c>
      <c r="U1093">
        <v>0</v>
      </c>
      <c r="V1093" t="s">
        <v>541</v>
      </c>
      <c r="W1093" t="s">
        <v>548</v>
      </c>
      <c r="X1093" s="784">
        <v>129483872.95906857</v>
      </c>
    </row>
    <row r="1094" spans="1:24">
      <c r="A1094" t="s">
        <v>358</v>
      </c>
      <c r="B1094" t="s">
        <v>600</v>
      </c>
      <c r="C1094" t="s">
        <v>205</v>
      </c>
      <c r="D1094" t="s">
        <v>129</v>
      </c>
      <c r="E1094" t="s">
        <v>377</v>
      </c>
      <c r="F1094" t="s">
        <v>383</v>
      </c>
      <c r="G1094" t="s">
        <v>334</v>
      </c>
      <c r="H1094" t="s">
        <v>334</v>
      </c>
      <c r="I1094" t="s">
        <v>743</v>
      </c>
      <c r="J1094" t="s">
        <v>379</v>
      </c>
      <c r="K1094" t="s">
        <v>546</v>
      </c>
      <c r="L1094" s="784" t="s">
        <v>575</v>
      </c>
      <c r="M1094" t="s">
        <v>745</v>
      </c>
      <c r="P1094" t="s">
        <v>1887</v>
      </c>
      <c r="R1094" t="s">
        <v>152</v>
      </c>
      <c r="S1094" t="s">
        <v>146</v>
      </c>
      <c r="U1094">
        <v>0</v>
      </c>
      <c r="V1094" t="s">
        <v>544</v>
      </c>
      <c r="W1094" t="s">
        <v>546</v>
      </c>
      <c r="X1094" s="784">
        <v>271184658.35014349</v>
      </c>
    </row>
    <row r="1095" spans="1:24">
      <c r="A1095" t="s">
        <v>358</v>
      </c>
      <c r="B1095" t="s">
        <v>601</v>
      </c>
      <c r="C1095" t="s">
        <v>206</v>
      </c>
      <c r="D1095" t="s">
        <v>129</v>
      </c>
      <c r="E1095" t="s">
        <v>377</v>
      </c>
      <c r="F1095" t="s">
        <v>383</v>
      </c>
      <c r="G1095" t="s">
        <v>334</v>
      </c>
      <c r="H1095" t="s">
        <v>334</v>
      </c>
      <c r="I1095" t="s">
        <v>743</v>
      </c>
      <c r="J1095" t="s">
        <v>379</v>
      </c>
      <c r="K1095" t="s">
        <v>546</v>
      </c>
      <c r="L1095" s="784" t="s">
        <v>575</v>
      </c>
      <c r="M1095" t="s">
        <v>745</v>
      </c>
      <c r="P1095" t="s">
        <v>1887</v>
      </c>
      <c r="R1095" t="s">
        <v>148</v>
      </c>
      <c r="S1095" t="s">
        <v>145</v>
      </c>
      <c r="U1095">
        <v>0</v>
      </c>
      <c r="V1095" t="s">
        <v>544</v>
      </c>
      <c r="W1095" t="s">
        <v>542</v>
      </c>
      <c r="X1095" s="784">
        <v>15455265.086884515</v>
      </c>
    </row>
    <row r="1096" spans="1:24">
      <c r="A1096" t="s">
        <v>358</v>
      </c>
      <c r="B1096" t="s">
        <v>602</v>
      </c>
      <c r="C1096" t="s">
        <v>207</v>
      </c>
      <c r="D1096" t="s">
        <v>127</v>
      </c>
      <c r="E1096" t="s">
        <v>377</v>
      </c>
      <c r="F1096" t="s">
        <v>383</v>
      </c>
      <c r="G1096" t="s">
        <v>334</v>
      </c>
      <c r="H1096" t="s">
        <v>334</v>
      </c>
      <c r="I1096" t="s">
        <v>743</v>
      </c>
      <c r="J1096" t="s">
        <v>379</v>
      </c>
      <c r="K1096" t="s">
        <v>546</v>
      </c>
      <c r="L1096" s="784" t="s">
        <v>575</v>
      </c>
      <c r="M1096" t="s">
        <v>745</v>
      </c>
      <c r="P1096" t="s">
        <v>1887</v>
      </c>
      <c r="R1096" t="s">
        <v>152</v>
      </c>
      <c r="S1096" t="s">
        <v>146</v>
      </c>
      <c r="U1096">
        <v>0</v>
      </c>
      <c r="V1096" t="s">
        <v>544</v>
      </c>
      <c r="W1096" t="s">
        <v>546</v>
      </c>
      <c r="X1096" s="784">
        <v>494021502.525527</v>
      </c>
    </row>
    <row r="1097" spans="1:24">
      <c r="A1097" t="s">
        <v>358</v>
      </c>
      <c r="B1097" t="s">
        <v>603</v>
      </c>
      <c r="C1097" t="s">
        <v>208</v>
      </c>
      <c r="D1097" t="s">
        <v>129</v>
      </c>
      <c r="E1097" t="s">
        <v>377</v>
      </c>
      <c r="F1097" t="s">
        <v>383</v>
      </c>
      <c r="G1097" t="s">
        <v>334</v>
      </c>
      <c r="H1097" t="s">
        <v>334</v>
      </c>
      <c r="I1097" t="s">
        <v>743</v>
      </c>
      <c r="J1097" t="s">
        <v>379</v>
      </c>
      <c r="K1097" t="s">
        <v>546</v>
      </c>
      <c r="L1097" s="784" t="s">
        <v>575</v>
      </c>
      <c r="M1097" t="s">
        <v>745</v>
      </c>
      <c r="P1097" t="s">
        <v>1887</v>
      </c>
      <c r="R1097" t="s">
        <v>150</v>
      </c>
      <c r="S1097" t="s">
        <v>145</v>
      </c>
      <c r="U1097">
        <v>0</v>
      </c>
      <c r="V1097" t="s">
        <v>544</v>
      </c>
      <c r="W1097" t="s">
        <v>542</v>
      </c>
      <c r="X1097" s="784">
        <v>902005621.73836684</v>
      </c>
    </row>
    <row r="1098" spans="1:24">
      <c r="A1098" t="s">
        <v>358</v>
      </c>
      <c r="B1098" t="s">
        <v>604</v>
      </c>
      <c r="C1098" t="s">
        <v>209</v>
      </c>
      <c r="D1098" t="s">
        <v>130</v>
      </c>
      <c r="E1098" t="s">
        <v>377</v>
      </c>
      <c r="F1098" t="s">
        <v>383</v>
      </c>
      <c r="G1098" t="s">
        <v>334</v>
      </c>
      <c r="H1098" t="s">
        <v>334</v>
      </c>
      <c r="I1098" t="s">
        <v>743</v>
      </c>
      <c r="J1098" t="s">
        <v>379</v>
      </c>
      <c r="K1098" t="s">
        <v>546</v>
      </c>
      <c r="L1098" s="784" t="s">
        <v>575</v>
      </c>
      <c r="M1098" t="s">
        <v>745</v>
      </c>
      <c r="P1098" t="s">
        <v>1887</v>
      </c>
      <c r="R1098" t="s">
        <v>152</v>
      </c>
      <c r="S1098" t="s">
        <v>145</v>
      </c>
      <c r="U1098">
        <v>0</v>
      </c>
      <c r="V1098" t="s">
        <v>541</v>
      </c>
      <c r="W1098" t="s">
        <v>583</v>
      </c>
      <c r="X1098" s="784">
        <v>20201670.142996579</v>
      </c>
    </row>
    <row r="1099" spans="1:24">
      <c r="A1099" t="s">
        <v>358</v>
      </c>
      <c r="B1099" t="s">
        <v>605</v>
      </c>
      <c r="C1099" t="s">
        <v>210</v>
      </c>
      <c r="D1099" t="s">
        <v>130</v>
      </c>
      <c r="E1099" t="s">
        <v>377</v>
      </c>
      <c r="F1099" t="s">
        <v>383</v>
      </c>
      <c r="G1099" t="s">
        <v>334</v>
      </c>
      <c r="H1099" t="s">
        <v>334</v>
      </c>
      <c r="I1099" t="s">
        <v>743</v>
      </c>
      <c r="J1099" t="s">
        <v>379</v>
      </c>
      <c r="K1099" t="s">
        <v>546</v>
      </c>
      <c r="L1099" s="784" t="s">
        <v>575</v>
      </c>
      <c r="M1099" t="s">
        <v>745</v>
      </c>
      <c r="P1099" t="s">
        <v>1887</v>
      </c>
      <c r="R1099" t="s">
        <v>152</v>
      </c>
      <c r="S1099" t="s">
        <v>146</v>
      </c>
      <c r="U1099">
        <v>0</v>
      </c>
      <c r="V1099" t="s">
        <v>544</v>
      </c>
      <c r="W1099" t="s">
        <v>575</v>
      </c>
      <c r="X1099" s="784">
        <v>1612434649.6948864</v>
      </c>
    </row>
    <row r="1100" spans="1:24">
      <c r="A1100" t="s">
        <v>358</v>
      </c>
      <c r="B1100" t="s">
        <v>606</v>
      </c>
      <c r="C1100" t="s">
        <v>211</v>
      </c>
      <c r="D1100" t="s">
        <v>129</v>
      </c>
      <c r="E1100" t="s">
        <v>377</v>
      </c>
      <c r="F1100" t="s">
        <v>383</v>
      </c>
      <c r="G1100" t="s">
        <v>334</v>
      </c>
      <c r="H1100" t="s">
        <v>334</v>
      </c>
      <c r="I1100" t="s">
        <v>743</v>
      </c>
      <c r="J1100" t="s">
        <v>379</v>
      </c>
      <c r="K1100" t="s">
        <v>546</v>
      </c>
      <c r="L1100" s="784" t="s">
        <v>575</v>
      </c>
      <c r="M1100" t="s">
        <v>745</v>
      </c>
      <c r="P1100" t="s">
        <v>1887</v>
      </c>
      <c r="R1100" t="s">
        <v>148</v>
      </c>
      <c r="S1100" t="s">
        <v>145</v>
      </c>
      <c r="U1100">
        <v>0</v>
      </c>
      <c r="V1100" t="s">
        <v>544</v>
      </c>
      <c r="W1100" t="s">
        <v>562</v>
      </c>
      <c r="X1100" s="784">
        <v>78203134.118229344</v>
      </c>
    </row>
    <row r="1101" spans="1:24">
      <c r="A1101" t="s">
        <v>358</v>
      </c>
      <c r="B1101" t="s">
        <v>607</v>
      </c>
      <c r="C1101" t="s">
        <v>212</v>
      </c>
      <c r="D1101" t="s">
        <v>129</v>
      </c>
      <c r="E1101" t="s">
        <v>377</v>
      </c>
      <c r="F1101" t="s">
        <v>383</v>
      </c>
      <c r="G1101" t="s">
        <v>334</v>
      </c>
      <c r="H1101" t="s">
        <v>334</v>
      </c>
      <c r="I1101" t="s">
        <v>743</v>
      </c>
      <c r="J1101" t="s">
        <v>379</v>
      </c>
      <c r="K1101" t="s">
        <v>546</v>
      </c>
      <c r="L1101" s="784" t="s">
        <v>575</v>
      </c>
      <c r="M1101" t="s">
        <v>745</v>
      </c>
      <c r="P1101" t="s">
        <v>1887</v>
      </c>
      <c r="R1101" t="s">
        <v>148</v>
      </c>
      <c r="S1101" t="s">
        <v>145</v>
      </c>
      <c r="U1101">
        <v>2</v>
      </c>
      <c r="V1101" t="s">
        <v>541</v>
      </c>
      <c r="W1101" t="s">
        <v>542</v>
      </c>
      <c r="X1101" s="784">
        <v>9151637.7411015611</v>
      </c>
    </row>
    <row r="1102" spans="1:24">
      <c r="A1102" t="s">
        <v>358</v>
      </c>
      <c r="B1102" t="s">
        <v>608</v>
      </c>
      <c r="C1102" t="s">
        <v>213</v>
      </c>
      <c r="D1102" t="s">
        <v>130</v>
      </c>
      <c r="E1102" t="s">
        <v>377</v>
      </c>
      <c r="F1102" t="s">
        <v>383</v>
      </c>
      <c r="G1102" t="s">
        <v>334</v>
      </c>
      <c r="H1102" t="s">
        <v>334</v>
      </c>
      <c r="I1102" t="s">
        <v>743</v>
      </c>
      <c r="J1102" t="s">
        <v>379</v>
      </c>
      <c r="K1102" t="s">
        <v>546</v>
      </c>
      <c r="L1102" s="784" t="s">
        <v>575</v>
      </c>
      <c r="M1102" t="s">
        <v>745</v>
      </c>
      <c r="P1102" t="s">
        <v>1887</v>
      </c>
      <c r="R1102" t="s">
        <v>152</v>
      </c>
      <c r="S1102" t="s">
        <v>145</v>
      </c>
      <c r="U1102">
        <v>0</v>
      </c>
      <c r="V1102" t="s">
        <v>541</v>
      </c>
      <c r="W1102" t="s">
        <v>562</v>
      </c>
      <c r="X1102" s="784">
        <v>142455920.02856269</v>
      </c>
    </row>
    <row r="1103" spans="1:24">
      <c r="A1103" t="s">
        <v>358</v>
      </c>
      <c r="B1103" t="s">
        <v>609</v>
      </c>
      <c r="C1103" t="s">
        <v>214</v>
      </c>
      <c r="D1103" t="s">
        <v>130</v>
      </c>
      <c r="E1103" t="s">
        <v>377</v>
      </c>
      <c r="F1103" t="s">
        <v>383</v>
      </c>
      <c r="G1103" t="s">
        <v>334</v>
      </c>
      <c r="H1103" t="s">
        <v>334</v>
      </c>
      <c r="I1103" t="s">
        <v>743</v>
      </c>
      <c r="J1103" t="s">
        <v>379</v>
      </c>
      <c r="K1103" t="s">
        <v>546</v>
      </c>
      <c r="L1103" s="784" t="s">
        <v>575</v>
      </c>
      <c r="M1103" t="s">
        <v>745</v>
      </c>
      <c r="P1103" t="s">
        <v>1887</v>
      </c>
      <c r="R1103" t="s">
        <v>150</v>
      </c>
      <c r="S1103" t="s">
        <v>145</v>
      </c>
      <c r="U1103">
        <v>1</v>
      </c>
      <c r="V1103" t="s">
        <v>541</v>
      </c>
      <c r="W1103" t="s">
        <v>542</v>
      </c>
      <c r="X1103" s="784">
        <v>85611818.171245083</v>
      </c>
    </row>
    <row r="1104" spans="1:24">
      <c r="A1104" t="s">
        <v>358</v>
      </c>
      <c r="B1104" t="s">
        <v>610</v>
      </c>
      <c r="C1104" t="s">
        <v>215</v>
      </c>
      <c r="D1104" t="s">
        <v>130</v>
      </c>
      <c r="E1104" t="s">
        <v>377</v>
      </c>
      <c r="F1104" t="s">
        <v>383</v>
      </c>
      <c r="G1104" t="s">
        <v>334</v>
      </c>
      <c r="H1104" t="s">
        <v>334</v>
      </c>
      <c r="I1104" t="s">
        <v>743</v>
      </c>
      <c r="J1104" t="s">
        <v>379</v>
      </c>
      <c r="K1104" t="s">
        <v>546</v>
      </c>
      <c r="L1104" s="784">
        <v>15800000</v>
      </c>
      <c r="M1104" t="s">
        <v>745</v>
      </c>
      <c r="P1104" t="s">
        <v>1887</v>
      </c>
      <c r="R1104" t="s">
        <v>150</v>
      </c>
      <c r="S1104" t="s">
        <v>145</v>
      </c>
      <c r="U1104">
        <v>0</v>
      </c>
      <c r="V1104" t="s">
        <v>544</v>
      </c>
      <c r="W1104" t="s">
        <v>558</v>
      </c>
      <c r="X1104" s="784">
        <v>680289736.30082119</v>
      </c>
    </row>
    <row r="1105" spans="1:24">
      <c r="A1105" t="s">
        <v>358</v>
      </c>
      <c r="B1105" t="s">
        <v>611</v>
      </c>
      <c r="C1105" t="s">
        <v>216</v>
      </c>
      <c r="D1105" t="s">
        <v>132</v>
      </c>
      <c r="E1105" t="s">
        <v>377</v>
      </c>
      <c r="F1105" t="s">
        <v>383</v>
      </c>
      <c r="G1105" t="s">
        <v>334</v>
      </c>
      <c r="H1105" t="s">
        <v>334</v>
      </c>
      <c r="I1105" t="s">
        <v>743</v>
      </c>
      <c r="J1105" t="s">
        <v>379</v>
      </c>
      <c r="K1105" t="s">
        <v>546</v>
      </c>
      <c r="L1105" s="784" t="s">
        <v>575</v>
      </c>
      <c r="M1105" t="s">
        <v>745</v>
      </c>
      <c r="P1105" t="s">
        <v>1887</v>
      </c>
      <c r="R1105" t="s">
        <v>150</v>
      </c>
      <c r="S1105" t="s">
        <v>145</v>
      </c>
      <c r="U1105">
        <v>0</v>
      </c>
      <c r="V1105" t="s">
        <v>544</v>
      </c>
      <c r="W1105" t="s">
        <v>546</v>
      </c>
      <c r="X1105" s="784">
        <v>26554332750.47023</v>
      </c>
    </row>
    <row r="1106" spans="1:24">
      <c r="A1106" t="s">
        <v>358</v>
      </c>
      <c r="B1106" t="s">
        <v>612</v>
      </c>
      <c r="C1106" t="s">
        <v>217</v>
      </c>
      <c r="D1106" t="s">
        <v>126</v>
      </c>
      <c r="E1106" t="s">
        <v>377</v>
      </c>
      <c r="F1106" t="s">
        <v>383</v>
      </c>
      <c r="G1106" t="s">
        <v>334</v>
      </c>
      <c r="H1106" t="s">
        <v>334</v>
      </c>
      <c r="I1106" t="s">
        <v>743</v>
      </c>
      <c r="J1106" t="s">
        <v>379</v>
      </c>
      <c r="K1106" t="s">
        <v>546</v>
      </c>
      <c r="L1106" s="784" t="s">
        <v>575</v>
      </c>
      <c r="M1106" t="s">
        <v>745</v>
      </c>
      <c r="P1106" t="s">
        <v>1887</v>
      </c>
      <c r="R1106" t="s">
        <v>150</v>
      </c>
      <c r="S1106" t="s">
        <v>145</v>
      </c>
      <c r="U1106">
        <v>0</v>
      </c>
      <c r="V1106" t="s">
        <v>544</v>
      </c>
      <c r="W1106" t="s">
        <v>546</v>
      </c>
      <c r="X1106" s="784">
        <v>14745961064.890842</v>
      </c>
    </row>
    <row r="1107" spans="1:24">
      <c r="A1107" t="s">
        <v>358</v>
      </c>
      <c r="B1107" t="s">
        <v>613</v>
      </c>
      <c r="C1107" t="s">
        <v>149</v>
      </c>
      <c r="D1107" t="s">
        <v>131</v>
      </c>
      <c r="E1107" t="s">
        <v>377</v>
      </c>
      <c r="F1107" t="s">
        <v>383</v>
      </c>
      <c r="G1107" t="s">
        <v>334</v>
      </c>
      <c r="H1107" t="s">
        <v>334</v>
      </c>
      <c r="I1107" t="s">
        <v>743</v>
      </c>
      <c r="J1107" t="s">
        <v>379</v>
      </c>
      <c r="K1107" t="s">
        <v>546</v>
      </c>
      <c r="L1107" s="784" t="s">
        <v>575</v>
      </c>
      <c r="M1107" t="s">
        <v>745</v>
      </c>
      <c r="P1107" t="s">
        <v>1887</v>
      </c>
      <c r="R1107" t="s">
        <v>150</v>
      </c>
      <c r="S1107" t="s">
        <v>146</v>
      </c>
      <c r="U1107">
        <v>0</v>
      </c>
      <c r="V1107" t="s">
        <v>544</v>
      </c>
      <c r="W1107" t="s">
        <v>546</v>
      </c>
      <c r="X1107" s="784">
        <v>18194076299.786381</v>
      </c>
    </row>
    <row r="1108" spans="1:24">
      <c r="A1108" t="s">
        <v>358</v>
      </c>
      <c r="B1108" t="s">
        <v>614</v>
      </c>
      <c r="C1108" t="s">
        <v>218</v>
      </c>
      <c r="D1108" t="s">
        <v>131</v>
      </c>
      <c r="E1108" t="s">
        <v>377</v>
      </c>
      <c r="F1108" t="s">
        <v>383</v>
      </c>
      <c r="G1108" t="s">
        <v>334</v>
      </c>
      <c r="H1108" t="s">
        <v>334</v>
      </c>
      <c r="I1108" t="s">
        <v>743</v>
      </c>
      <c r="J1108" t="s">
        <v>379</v>
      </c>
      <c r="K1108" t="s">
        <v>546</v>
      </c>
      <c r="L1108" s="784" t="s">
        <v>575</v>
      </c>
      <c r="M1108" t="s">
        <v>745</v>
      </c>
      <c r="P1108" t="s">
        <v>1887</v>
      </c>
      <c r="R1108" t="s">
        <v>152</v>
      </c>
      <c r="S1108" t="s">
        <v>146</v>
      </c>
      <c r="U1108">
        <v>0</v>
      </c>
      <c r="V1108" t="s">
        <v>544</v>
      </c>
      <c r="W1108" t="s">
        <v>546</v>
      </c>
      <c r="X1108" s="784">
        <v>4428819387.769825</v>
      </c>
    </row>
    <row r="1109" spans="1:24">
      <c r="A1109" t="s">
        <v>358</v>
      </c>
      <c r="B1109" t="s">
        <v>615</v>
      </c>
      <c r="C1109" t="s">
        <v>219</v>
      </c>
      <c r="D1109" t="s">
        <v>130</v>
      </c>
      <c r="E1109" t="s">
        <v>377</v>
      </c>
      <c r="F1109" t="s">
        <v>383</v>
      </c>
      <c r="G1109" t="s">
        <v>334</v>
      </c>
      <c r="H1109" t="s">
        <v>334</v>
      </c>
      <c r="I1109" t="s">
        <v>743</v>
      </c>
      <c r="J1109" t="s">
        <v>379</v>
      </c>
      <c r="K1109" t="s">
        <v>546</v>
      </c>
      <c r="L1109" s="784" t="s">
        <v>575</v>
      </c>
      <c r="M1109" t="s">
        <v>745</v>
      </c>
      <c r="P1109" t="s">
        <v>1887</v>
      </c>
      <c r="R1109" t="s">
        <v>152</v>
      </c>
      <c r="S1109" t="s">
        <v>146</v>
      </c>
      <c r="U1109">
        <v>0</v>
      </c>
      <c r="V1109" t="s">
        <v>541</v>
      </c>
      <c r="W1109" t="s">
        <v>575</v>
      </c>
      <c r="X1109" s="784">
        <v>611739560.62679195</v>
      </c>
    </row>
    <row r="1110" spans="1:24">
      <c r="A1110" t="s">
        <v>358</v>
      </c>
      <c r="B1110" t="s">
        <v>616</v>
      </c>
      <c r="C1110" t="s">
        <v>220</v>
      </c>
      <c r="D1110" t="s">
        <v>131</v>
      </c>
      <c r="E1110" t="s">
        <v>377</v>
      </c>
      <c r="F1110" t="s">
        <v>383</v>
      </c>
      <c r="G1110" t="s">
        <v>334</v>
      </c>
      <c r="H1110" t="s">
        <v>334</v>
      </c>
      <c r="I1110" t="s">
        <v>743</v>
      </c>
      <c r="J1110" t="s">
        <v>379</v>
      </c>
      <c r="K1110" t="s">
        <v>546</v>
      </c>
      <c r="L1110" s="784" t="s">
        <v>575</v>
      </c>
      <c r="M1110" t="s">
        <v>745</v>
      </c>
      <c r="P1110" t="s">
        <v>1887</v>
      </c>
      <c r="R1110" t="s">
        <v>152</v>
      </c>
      <c r="S1110" t="s">
        <v>146</v>
      </c>
      <c r="U1110">
        <v>0</v>
      </c>
      <c r="V1110" t="s">
        <v>544</v>
      </c>
      <c r="W1110" t="s">
        <v>546</v>
      </c>
      <c r="X1110" s="784">
        <v>1617913383.0481031</v>
      </c>
    </row>
    <row r="1111" spans="1:24">
      <c r="A1111" t="s">
        <v>358</v>
      </c>
      <c r="B1111" t="s">
        <v>617</v>
      </c>
      <c r="C1111" t="s">
        <v>221</v>
      </c>
      <c r="D1111" t="s">
        <v>127</v>
      </c>
      <c r="E1111" t="s">
        <v>377</v>
      </c>
      <c r="F1111" t="s">
        <v>383</v>
      </c>
      <c r="G1111" t="s">
        <v>334</v>
      </c>
      <c r="H1111" t="s">
        <v>334</v>
      </c>
      <c r="I1111" t="s">
        <v>743</v>
      </c>
      <c r="J1111" t="s">
        <v>379</v>
      </c>
      <c r="K1111" t="s">
        <v>546</v>
      </c>
      <c r="L1111" s="784" t="s">
        <v>575</v>
      </c>
      <c r="M1111" t="s">
        <v>745</v>
      </c>
      <c r="P1111" t="s">
        <v>1887</v>
      </c>
      <c r="R1111" t="s">
        <v>152</v>
      </c>
      <c r="S1111" t="s">
        <v>146</v>
      </c>
      <c r="U1111">
        <v>0</v>
      </c>
      <c r="V1111" t="s">
        <v>544</v>
      </c>
      <c r="W1111" t="s">
        <v>575</v>
      </c>
      <c r="X1111" s="784">
        <v>3074419112.4562683</v>
      </c>
    </row>
    <row r="1112" spans="1:24">
      <c r="A1112" t="s">
        <v>358</v>
      </c>
      <c r="B1112" t="s">
        <v>618</v>
      </c>
      <c r="C1112" t="s">
        <v>222</v>
      </c>
      <c r="D1112" t="s">
        <v>128</v>
      </c>
      <c r="E1112" t="s">
        <v>377</v>
      </c>
      <c r="F1112" t="s">
        <v>383</v>
      </c>
      <c r="G1112" t="s">
        <v>334</v>
      </c>
      <c r="H1112" t="s">
        <v>334</v>
      </c>
      <c r="I1112" t="s">
        <v>743</v>
      </c>
      <c r="J1112" t="s">
        <v>379</v>
      </c>
      <c r="K1112" t="s">
        <v>546</v>
      </c>
      <c r="L1112" s="784" t="s">
        <v>575</v>
      </c>
      <c r="M1112" t="s">
        <v>745</v>
      </c>
      <c r="P1112" t="s">
        <v>1887</v>
      </c>
      <c r="R1112" t="s">
        <v>150</v>
      </c>
      <c r="S1112" t="s">
        <v>145</v>
      </c>
      <c r="U1112">
        <v>0</v>
      </c>
      <c r="V1112" t="s">
        <v>544</v>
      </c>
      <c r="W1112" t="s">
        <v>542</v>
      </c>
      <c r="X1112" s="784">
        <v>1914014279.8929913</v>
      </c>
    </row>
    <row r="1113" spans="1:24">
      <c r="A1113" t="s">
        <v>358</v>
      </c>
      <c r="B1113" t="s">
        <v>619</v>
      </c>
      <c r="C1113" t="s">
        <v>223</v>
      </c>
      <c r="D1113" t="s">
        <v>126</v>
      </c>
      <c r="E1113" t="s">
        <v>377</v>
      </c>
      <c r="F1113" t="s">
        <v>383</v>
      </c>
      <c r="G1113" t="s">
        <v>334</v>
      </c>
      <c r="H1113" t="s">
        <v>334</v>
      </c>
      <c r="I1113" t="s">
        <v>743</v>
      </c>
      <c r="J1113" t="s">
        <v>379</v>
      </c>
      <c r="K1113" t="s">
        <v>546</v>
      </c>
      <c r="L1113" s="784" t="s">
        <v>575</v>
      </c>
      <c r="M1113" t="s">
        <v>745</v>
      </c>
      <c r="P1113" t="s">
        <v>1887</v>
      </c>
      <c r="R1113" t="s">
        <v>150</v>
      </c>
      <c r="S1113" t="s">
        <v>145</v>
      </c>
      <c r="U1113">
        <v>0</v>
      </c>
      <c r="V1113" t="s">
        <v>541</v>
      </c>
      <c r="W1113" t="s">
        <v>542</v>
      </c>
      <c r="X1113" s="784">
        <v>17422005.762907442</v>
      </c>
    </row>
    <row r="1114" spans="1:24">
      <c r="A1114" t="s">
        <v>358</v>
      </c>
      <c r="B1114" t="s">
        <v>620</v>
      </c>
      <c r="C1114" t="s">
        <v>224</v>
      </c>
      <c r="D1114" t="s">
        <v>126</v>
      </c>
      <c r="E1114" t="s">
        <v>377</v>
      </c>
      <c r="F1114" t="s">
        <v>383</v>
      </c>
      <c r="G1114" t="s">
        <v>334</v>
      </c>
      <c r="H1114" t="s">
        <v>334</v>
      </c>
      <c r="I1114" t="s">
        <v>743</v>
      </c>
      <c r="J1114" t="s">
        <v>379</v>
      </c>
      <c r="K1114" t="s">
        <v>546</v>
      </c>
      <c r="L1114" s="784" t="s">
        <v>575</v>
      </c>
      <c r="M1114" t="s">
        <v>745</v>
      </c>
      <c r="P1114" t="s">
        <v>1887</v>
      </c>
      <c r="R1114" t="s">
        <v>148</v>
      </c>
      <c r="S1114" t="s">
        <v>145</v>
      </c>
      <c r="U1114">
        <v>0</v>
      </c>
      <c r="V1114" t="s">
        <v>544</v>
      </c>
      <c r="W1114" t="s">
        <v>546</v>
      </c>
      <c r="X1114" s="784" t="s">
        <v>575</v>
      </c>
    </row>
    <row r="1115" spans="1:24">
      <c r="A1115" t="s">
        <v>358</v>
      </c>
      <c r="B1115" t="s">
        <v>621</v>
      </c>
      <c r="C1115" t="s">
        <v>225</v>
      </c>
      <c r="D1115" t="s">
        <v>127</v>
      </c>
      <c r="E1115" t="s">
        <v>377</v>
      </c>
      <c r="F1115" t="s">
        <v>383</v>
      </c>
      <c r="G1115" t="s">
        <v>334</v>
      </c>
      <c r="H1115" t="s">
        <v>334</v>
      </c>
      <c r="I1115" t="s">
        <v>743</v>
      </c>
      <c r="J1115" t="s">
        <v>379</v>
      </c>
      <c r="K1115" t="s">
        <v>546</v>
      </c>
      <c r="L1115" s="784" t="s">
        <v>575</v>
      </c>
      <c r="M1115" t="s">
        <v>745</v>
      </c>
      <c r="P1115" t="s">
        <v>1887</v>
      </c>
      <c r="R1115" t="s">
        <v>152</v>
      </c>
      <c r="S1115" t="s">
        <v>145</v>
      </c>
      <c r="U1115">
        <v>0</v>
      </c>
      <c r="V1115" t="s">
        <v>544</v>
      </c>
      <c r="W1115" t="s">
        <v>548</v>
      </c>
      <c r="X1115" s="784" t="s">
        <v>575</v>
      </c>
    </row>
    <row r="1116" spans="1:24">
      <c r="A1116" t="s">
        <v>358</v>
      </c>
      <c r="B1116" t="s">
        <v>622</v>
      </c>
      <c r="C1116" t="s">
        <v>226</v>
      </c>
      <c r="D1116" t="s">
        <v>127</v>
      </c>
      <c r="E1116" t="s">
        <v>377</v>
      </c>
      <c r="F1116" t="s">
        <v>383</v>
      </c>
      <c r="G1116" t="s">
        <v>334</v>
      </c>
      <c r="H1116" t="s">
        <v>334</v>
      </c>
      <c r="I1116" t="s">
        <v>743</v>
      </c>
      <c r="J1116" t="s">
        <v>379</v>
      </c>
      <c r="K1116" t="s">
        <v>546</v>
      </c>
      <c r="L1116" s="784" t="s">
        <v>575</v>
      </c>
      <c r="M1116" t="s">
        <v>745</v>
      </c>
      <c r="P1116" t="s">
        <v>1887</v>
      </c>
      <c r="R1116" t="s">
        <v>150</v>
      </c>
      <c r="S1116" t="s">
        <v>145</v>
      </c>
      <c r="U1116">
        <v>2</v>
      </c>
      <c r="V1116" t="s">
        <v>544</v>
      </c>
      <c r="W1116" t="s">
        <v>562</v>
      </c>
      <c r="X1116" s="784">
        <v>231506834.84347546</v>
      </c>
    </row>
    <row r="1117" spans="1:24">
      <c r="A1117" t="s">
        <v>358</v>
      </c>
      <c r="B1117" t="s">
        <v>623</v>
      </c>
      <c r="C1117" t="s">
        <v>227</v>
      </c>
      <c r="D1117" t="s">
        <v>126</v>
      </c>
      <c r="E1117" t="s">
        <v>377</v>
      </c>
      <c r="F1117" t="s">
        <v>383</v>
      </c>
      <c r="G1117" t="s">
        <v>334</v>
      </c>
      <c r="H1117" t="s">
        <v>334</v>
      </c>
      <c r="I1117" t="s">
        <v>743</v>
      </c>
      <c r="J1117" t="s">
        <v>379</v>
      </c>
      <c r="K1117" t="s">
        <v>546</v>
      </c>
      <c r="L1117" s="784" t="s">
        <v>575</v>
      </c>
      <c r="M1117" t="s">
        <v>745</v>
      </c>
      <c r="P1117" t="s">
        <v>1887</v>
      </c>
      <c r="R1117" t="s">
        <v>150</v>
      </c>
      <c r="S1117" t="s">
        <v>145</v>
      </c>
      <c r="U1117">
        <v>0</v>
      </c>
      <c r="V1117" t="s">
        <v>544</v>
      </c>
      <c r="W1117" t="s">
        <v>542</v>
      </c>
      <c r="X1117" s="784">
        <v>156059428.62944782</v>
      </c>
    </row>
    <row r="1118" spans="1:24">
      <c r="A1118" t="s">
        <v>358</v>
      </c>
      <c r="B1118" t="s">
        <v>624</v>
      </c>
      <c r="C1118" t="s">
        <v>228</v>
      </c>
      <c r="D1118" t="s">
        <v>131</v>
      </c>
      <c r="E1118" t="s">
        <v>377</v>
      </c>
      <c r="F1118" t="s">
        <v>383</v>
      </c>
      <c r="G1118" t="s">
        <v>334</v>
      </c>
      <c r="H1118" t="s">
        <v>334</v>
      </c>
      <c r="I1118" t="s">
        <v>743</v>
      </c>
      <c r="J1118" t="s">
        <v>379</v>
      </c>
      <c r="K1118" t="s">
        <v>546</v>
      </c>
      <c r="L1118" s="784" t="s">
        <v>575</v>
      </c>
      <c r="M1118" t="s">
        <v>745</v>
      </c>
      <c r="P1118" t="s">
        <v>1887</v>
      </c>
      <c r="R1118" t="s">
        <v>152</v>
      </c>
      <c r="S1118" t="s">
        <v>146</v>
      </c>
      <c r="U1118">
        <v>0</v>
      </c>
      <c r="V1118" t="s">
        <v>544</v>
      </c>
      <c r="W1118" t="s">
        <v>546</v>
      </c>
      <c r="X1118" s="784">
        <v>2355391507.1635861</v>
      </c>
    </row>
    <row r="1119" spans="1:24">
      <c r="A1119" t="s">
        <v>358</v>
      </c>
      <c r="B1119" t="s">
        <v>625</v>
      </c>
      <c r="C1119" t="s">
        <v>229</v>
      </c>
      <c r="D1119" t="s">
        <v>128</v>
      </c>
      <c r="E1119" t="s">
        <v>377</v>
      </c>
      <c r="F1119" t="s">
        <v>383</v>
      </c>
      <c r="G1119" t="s">
        <v>334</v>
      </c>
      <c r="H1119" t="s">
        <v>334</v>
      </c>
      <c r="I1119" t="s">
        <v>743</v>
      </c>
      <c r="J1119" t="s">
        <v>379</v>
      </c>
      <c r="K1119" t="s">
        <v>546</v>
      </c>
      <c r="L1119" s="784" t="s">
        <v>575</v>
      </c>
      <c r="M1119" t="s">
        <v>745</v>
      </c>
      <c r="P1119" t="s">
        <v>1887</v>
      </c>
      <c r="R1119" t="s">
        <v>150</v>
      </c>
      <c r="S1119" t="s">
        <v>145</v>
      </c>
      <c r="U1119">
        <v>0</v>
      </c>
      <c r="V1119" t="s">
        <v>544</v>
      </c>
      <c r="W1119" t="s">
        <v>562</v>
      </c>
      <c r="X1119" s="784">
        <v>152760919.7684873</v>
      </c>
    </row>
    <row r="1120" spans="1:24">
      <c r="A1120" t="s">
        <v>358</v>
      </c>
      <c r="B1120" t="s">
        <v>626</v>
      </c>
      <c r="C1120" t="s">
        <v>230</v>
      </c>
      <c r="D1120" t="s">
        <v>129</v>
      </c>
      <c r="E1120" t="s">
        <v>377</v>
      </c>
      <c r="F1120" t="s">
        <v>383</v>
      </c>
      <c r="G1120" t="s">
        <v>334</v>
      </c>
      <c r="H1120" t="s">
        <v>334</v>
      </c>
      <c r="I1120" t="s">
        <v>743</v>
      </c>
      <c r="J1120" t="s">
        <v>379</v>
      </c>
      <c r="K1120" t="s">
        <v>546</v>
      </c>
      <c r="L1120" s="784" t="s">
        <v>575</v>
      </c>
      <c r="M1120" t="s">
        <v>745</v>
      </c>
      <c r="P1120" t="s">
        <v>1887</v>
      </c>
      <c r="R1120" t="s">
        <v>148</v>
      </c>
      <c r="S1120" t="s">
        <v>145</v>
      </c>
      <c r="U1120">
        <v>0</v>
      </c>
      <c r="V1120" t="s">
        <v>544</v>
      </c>
      <c r="W1120" t="s">
        <v>542</v>
      </c>
      <c r="X1120" s="784">
        <v>55072006.864440605</v>
      </c>
    </row>
    <row r="1121" spans="1:24">
      <c r="A1121" t="s">
        <v>358</v>
      </c>
      <c r="B1121" t="s">
        <v>627</v>
      </c>
      <c r="C1121" t="s">
        <v>231</v>
      </c>
      <c r="D1121" t="s">
        <v>131</v>
      </c>
      <c r="E1121" t="s">
        <v>377</v>
      </c>
      <c r="F1121" t="s">
        <v>383</v>
      </c>
      <c r="G1121" t="s">
        <v>334</v>
      </c>
      <c r="H1121" t="s">
        <v>334</v>
      </c>
      <c r="I1121" t="s">
        <v>743</v>
      </c>
      <c r="J1121" t="s">
        <v>379</v>
      </c>
      <c r="K1121" t="s">
        <v>546</v>
      </c>
      <c r="L1121" s="784" t="s">
        <v>575</v>
      </c>
      <c r="M1121" t="s">
        <v>745</v>
      </c>
      <c r="P1121" t="s">
        <v>1887</v>
      </c>
      <c r="R1121" t="s">
        <v>152</v>
      </c>
      <c r="S1121" t="s">
        <v>146</v>
      </c>
      <c r="U1121">
        <v>0</v>
      </c>
      <c r="V1121" t="s">
        <v>544</v>
      </c>
      <c r="W1121" t="s">
        <v>546</v>
      </c>
      <c r="X1121" s="784" t="s">
        <v>575</v>
      </c>
    </row>
    <row r="1122" spans="1:24">
      <c r="A1122" t="s">
        <v>358</v>
      </c>
      <c r="B1122" t="s">
        <v>628</v>
      </c>
      <c r="C1122" t="s">
        <v>232</v>
      </c>
      <c r="D1122" t="s">
        <v>128</v>
      </c>
      <c r="E1122" t="s">
        <v>377</v>
      </c>
      <c r="F1122" t="s">
        <v>383</v>
      </c>
      <c r="G1122" t="s">
        <v>334</v>
      </c>
      <c r="H1122" t="s">
        <v>334</v>
      </c>
      <c r="I1122" t="s">
        <v>743</v>
      </c>
      <c r="J1122" t="s">
        <v>379</v>
      </c>
      <c r="K1122" t="s">
        <v>546</v>
      </c>
      <c r="L1122" s="784" t="s">
        <v>575</v>
      </c>
      <c r="M1122" t="s">
        <v>745</v>
      </c>
      <c r="P1122" t="s">
        <v>1887</v>
      </c>
      <c r="R1122" t="s">
        <v>148</v>
      </c>
      <c r="S1122" t="s">
        <v>145</v>
      </c>
      <c r="U1122">
        <v>2</v>
      </c>
      <c r="V1122" t="s">
        <v>544</v>
      </c>
      <c r="W1122" t="s">
        <v>562</v>
      </c>
      <c r="X1122" s="784">
        <v>206914157.05429548</v>
      </c>
    </row>
    <row r="1123" spans="1:24">
      <c r="A1123" t="s">
        <v>358</v>
      </c>
      <c r="B1123" t="s">
        <v>629</v>
      </c>
      <c r="C1123" t="s">
        <v>233</v>
      </c>
      <c r="D1123" t="s">
        <v>128</v>
      </c>
      <c r="E1123" t="s">
        <v>377</v>
      </c>
      <c r="F1123" t="s">
        <v>383</v>
      </c>
      <c r="G1123" t="s">
        <v>334</v>
      </c>
      <c r="H1123" t="s">
        <v>334</v>
      </c>
      <c r="I1123" t="s">
        <v>743</v>
      </c>
      <c r="J1123" t="s">
        <v>379</v>
      </c>
      <c r="K1123" t="s">
        <v>546</v>
      </c>
      <c r="L1123" s="784" t="s">
        <v>575</v>
      </c>
      <c r="M1123" t="s">
        <v>745</v>
      </c>
      <c r="P1123" t="s">
        <v>1887</v>
      </c>
      <c r="R1123" t="s">
        <v>148</v>
      </c>
      <c r="S1123" t="s">
        <v>145</v>
      </c>
      <c r="U1123">
        <v>2</v>
      </c>
      <c r="V1123" t="s">
        <v>544</v>
      </c>
      <c r="W1123" t="s">
        <v>542</v>
      </c>
      <c r="X1123" s="784">
        <v>185999915.02066413</v>
      </c>
    </row>
    <row r="1124" spans="1:24">
      <c r="A1124" t="s">
        <v>358</v>
      </c>
      <c r="B1124" t="s">
        <v>630</v>
      </c>
      <c r="C1124" t="s">
        <v>234</v>
      </c>
      <c r="D1124" t="s">
        <v>126</v>
      </c>
      <c r="E1124" t="s">
        <v>377</v>
      </c>
      <c r="F1124" t="s">
        <v>383</v>
      </c>
      <c r="G1124" t="s">
        <v>334</v>
      </c>
      <c r="H1124" t="s">
        <v>334</v>
      </c>
      <c r="I1124" t="s">
        <v>743</v>
      </c>
      <c r="J1124" t="s">
        <v>379</v>
      </c>
      <c r="K1124" t="s">
        <v>546</v>
      </c>
      <c r="L1124" s="784" t="s">
        <v>575</v>
      </c>
      <c r="M1124" t="s">
        <v>745</v>
      </c>
      <c r="P1124" t="s">
        <v>1887</v>
      </c>
      <c r="R1124" t="s">
        <v>152</v>
      </c>
      <c r="S1124" t="s">
        <v>146</v>
      </c>
      <c r="U1124">
        <v>0</v>
      </c>
      <c r="V1124" t="s">
        <v>544</v>
      </c>
      <c r="W1124" t="s">
        <v>575</v>
      </c>
      <c r="X1124" s="784">
        <v>6893755763.2501726</v>
      </c>
    </row>
    <row r="1125" spans="1:24">
      <c r="A1125" t="s">
        <v>358</v>
      </c>
      <c r="B1125" t="s">
        <v>631</v>
      </c>
      <c r="C1125" t="s">
        <v>235</v>
      </c>
      <c r="D1125" t="s">
        <v>132</v>
      </c>
      <c r="E1125" t="s">
        <v>377</v>
      </c>
      <c r="F1125" t="s">
        <v>383</v>
      </c>
      <c r="G1125" t="s">
        <v>334</v>
      </c>
      <c r="H1125" t="s">
        <v>334</v>
      </c>
      <c r="I1125" t="s">
        <v>743</v>
      </c>
      <c r="J1125" t="s">
        <v>379</v>
      </c>
      <c r="K1125" t="s">
        <v>546</v>
      </c>
      <c r="L1125" s="784" t="s">
        <v>575</v>
      </c>
      <c r="M1125" t="s">
        <v>745</v>
      </c>
      <c r="P1125" t="s">
        <v>1887</v>
      </c>
      <c r="R1125" t="s">
        <v>152</v>
      </c>
      <c r="S1125" t="s">
        <v>145</v>
      </c>
      <c r="U1125">
        <v>0</v>
      </c>
      <c r="V1125" t="s">
        <v>541</v>
      </c>
      <c r="W1125" t="s">
        <v>542</v>
      </c>
      <c r="X1125" s="784">
        <v>354560231.58276606</v>
      </c>
    </row>
    <row r="1126" spans="1:24">
      <c r="A1126" t="s">
        <v>358</v>
      </c>
      <c r="B1126" t="s">
        <v>632</v>
      </c>
      <c r="C1126" t="s">
        <v>236</v>
      </c>
      <c r="D1126" t="s">
        <v>129</v>
      </c>
      <c r="E1126" t="s">
        <v>377</v>
      </c>
      <c r="F1126" t="s">
        <v>383</v>
      </c>
      <c r="G1126" t="s">
        <v>334</v>
      </c>
      <c r="H1126" t="s">
        <v>334</v>
      </c>
      <c r="I1126" t="s">
        <v>743</v>
      </c>
      <c r="J1126" t="s">
        <v>379</v>
      </c>
      <c r="K1126" t="s">
        <v>546</v>
      </c>
      <c r="L1126" s="784" t="s">
        <v>575</v>
      </c>
      <c r="M1126" t="s">
        <v>745</v>
      </c>
      <c r="P1126" t="s">
        <v>1887</v>
      </c>
      <c r="R1126" t="s">
        <v>148</v>
      </c>
      <c r="S1126" t="s">
        <v>145</v>
      </c>
      <c r="U1126">
        <v>1</v>
      </c>
      <c r="V1126" t="s">
        <v>544</v>
      </c>
      <c r="W1126" t="s">
        <v>562</v>
      </c>
      <c r="X1126" s="784">
        <v>188169167.56540567</v>
      </c>
    </row>
    <row r="1127" spans="1:24">
      <c r="A1127" t="s">
        <v>358</v>
      </c>
      <c r="B1127" t="s">
        <v>633</v>
      </c>
      <c r="C1127" t="s">
        <v>237</v>
      </c>
      <c r="D1127" t="s">
        <v>126</v>
      </c>
      <c r="E1127" t="s">
        <v>377</v>
      </c>
      <c r="F1127" t="s">
        <v>383</v>
      </c>
      <c r="G1127" t="s">
        <v>334</v>
      </c>
      <c r="H1127" t="s">
        <v>334</v>
      </c>
      <c r="I1127" t="s">
        <v>743</v>
      </c>
      <c r="J1127" t="s">
        <v>379</v>
      </c>
      <c r="K1127" t="s">
        <v>546</v>
      </c>
      <c r="L1127" s="784" t="s">
        <v>575</v>
      </c>
      <c r="M1127" t="s">
        <v>745</v>
      </c>
      <c r="P1127" t="s">
        <v>1887</v>
      </c>
      <c r="R1127" t="s">
        <v>152</v>
      </c>
      <c r="S1127" t="s">
        <v>145</v>
      </c>
      <c r="U1127">
        <v>0</v>
      </c>
      <c r="V1127" t="s">
        <v>541</v>
      </c>
      <c r="W1127" t="s">
        <v>575</v>
      </c>
      <c r="X1127" s="784">
        <v>16312106.556340856</v>
      </c>
    </row>
    <row r="1128" spans="1:24">
      <c r="A1128" t="s">
        <v>358</v>
      </c>
      <c r="B1128" t="s">
        <v>634</v>
      </c>
      <c r="C1128" t="s">
        <v>238</v>
      </c>
      <c r="D1128" t="s">
        <v>129</v>
      </c>
      <c r="E1128" t="s">
        <v>377</v>
      </c>
      <c r="F1128" t="s">
        <v>383</v>
      </c>
      <c r="G1128" t="s">
        <v>334</v>
      </c>
      <c r="H1128" t="s">
        <v>334</v>
      </c>
      <c r="I1128" t="s">
        <v>743</v>
      </c>
      <c r="J1128" t="s">
        <v>379</v>
      </c>
      <c r="K1128" t="s">
        <v>546</v>
      </c>
      <c r="L1128" s="784" t="s">
        <v>575</v>
      </c>
      <c r="M1128" t="s">
        <v>745</v>
      </c>
      <c r="P1128" t="s">
        <v>1887</v>
      </c>
      <c r="R1128" t="s">
        <v>150</v>
      </c>
      <c r="S1128" t="s">
        <v>145</v>
      </c>
      <c r="U1128">
        <v>2</v>
      </c>
      <c r="V1128" t="s">
        <v>544</v>
      </c>
      <c r="W1128" t="s">
        <v>542</v>
      </c>
      <c r="X1128" s="784">
        <v>86083833.534053758</v>
      </c>
    </row>
    <row r="1129" spans="1:24">
      <c r="A1129" t="s">
        <v>358</v>
      </c>
      <c r="B1129" t="s">
        <v>635</v>
      </c>
      <c r="C1129" t="s">
        <v>239</v>
      </c>
      <c r="D1129" t="s">
        <v>128</v>
      </c>
      <c r="E1129" t="s">
        <v>377</v>
      </c>
      <c r="F1129" t="s">
        <v>383</v>
      </c>
      <c r="G1129" t="s">
        <v>334</v>
      </c>
      <c r="H1129" t="s">
        <v>334</v>
      </c>
      <c r="I1129" t="s">
        <v>743</v>
      </c>
      <c r="J1129" t="s">
        <v>379</v>
      </c>
      <c r="K1129" t="s">
        <v>546</v>
      </c>
      <c r="L1129" s="784" t="s">
        <v>575</v>
      </c>
      <c r="M1129" t="s">
        <v>745</v>
      </c>
      <c r="P1129" t="s">
        <v>1887</v>
      </c>
      <c r="R1129" t="s">
        <v>152</v>
      </c>
      <c r="S1129" t="s">
        <v>146</v>
      </c>
      <c r="U1129">
        <v>0</v>
      </c>
      <c r="V1129" t="s">
        <v>541</v>
      </c>
      <c r="W1129" t="s">
        <v>546</v>
      </c>
      <c r="X1129" s="784">
        <v>357220835.93762809</v>
      </c>
    </row>
    <row r="1130" spans="1:24">
      <c r="A1130" t="s">
        <v>358</v>
      </c>
      <c r="B1130" t="s">
        <v>636</v>
      </c>
      <c r="C1130" t="s">
        <v>240</v>
      </c>
      <c r="D1130" t="s">
        <v>130</v>
      </c>
      <c r="E1130" t="s">
        <v>377</v>
      </c>
      <c r="F1130" t="s">
        <v>383</v>
      </c>
      <c r="G1130" t="s">
        <v>334</v>
      </c>
      <c r="H1130" t="s">
        <v>334</v>
      </c>
      <c r="I1130" t="s">
        <v>743</v>
      </c>
      <c r="J1130" t="s">
        <v>379</v>
      </c>
      <c r="K1130" t="s">
        <v>546</v>
      </c>
      <c r="L1130" s="784" t="s">
        <v>575</v>
      </c>
      <c r="M1130" t="s">
        <v>745</v>
      </c>
      <c r="P1130" t="s">
        <v>1887</v>
      </c>
      <c r="R1130" t="s">
        <v>152</v>
      </c>
      <c r="S1130" t="s">
        <v>146</v>
      </c>
      <c r="U1130">
        <v>0</v>
      </c>
      <c r="V1130" t="s">
        <v>544</v>
      </c>
      <c r="W1130" t="s">
        <v>575</v>
      </c>
      <c r="X1130" s="784">
        <v>32831598153.796387</v>
      </c>
    </row>
    <row r="1131" spans="1:24">
      <c r="A1131" t="s">
        <v>358</v>
      </c>
      <c r="B1131" t="s">
        <v>637</v>
      </c>
      <c r="C1131" t="s">
        <v>241</v>
      </c>
      <c r="D1131" t="s">
        <v>126</v>
      </c>
      <c r="E1131" t="s">
        <v>377</v>
      </c>
      <c r="F1131" t="s">
        <v>383</v>
      </c>
      <c r="G1131" t="s">
        <v>334</v>
      </c>
      <c r="H1131" t="s">
        <v>334</v>
      </c>
      <c r="I1131" t="s">
        <v>743</v>
      </c>
      <c r="J1131" t="s">
        <v>379</v>
      </c>
      <c r="K1131" t="s">
        <v>546</v>
      </c>
      <c r="L1131" s="784" t="s">
        <v>575</v>
      </c>
      <c r="M1131" t="s">
        <v>745</v>
      </c>
      <c r="P1131" t="s">
        <v>1887</v>
      </c>
      <c r="R1131" t="s">
        <v>150</v>
      </c>
      <c r="S1131" t="s">
        <v>145</v>
      </c>
      <c r="U1131">
        <v>0</v>
      </c>
      <c r="V1131" t="s">
        <v>541</v>
      </c>
      <c r="W1131" t="s">
        <v>542</v>
      </c>
      <c r="X1131" s="784">
        <v>12329056.093798399</v>
      </c>
    </row>
    <row r="1132" spans="1:24">
      <c r="A1132" t="s">
        <v>358</v>
      </c>
      <c r="B1132" t="s">
        <v>638</v>
      </c>
      <c r="C1132" t="s">
        <v>242</v>
      </c>
      <c r="D1132" t="s">
        <v>127</v>
      </c>
      <c r="E1132" t="s">
        <v>377</v>
      </c>
      <c r="F1132" t="s">
        <v>383</v>
      </c>
      <c r="G1132" t="s">
        <v>334</v>
      </c>
      <c r="H1132" t="s">
        <v>334</v>
      </c>
      <c r="I1132" t="s">
        <v>743</v>
      </c>
      <c r="J1132" t="s">
        <v>379</v>
      </c>
      <c r="K1132" t="s">
        <v>546</v>
      </c>
      <c r="L1132" s="784" t="s">
        <v>575</v>
      </c>
      <c r="M1132" t="s">
        <v>745</v>
      </c>
      <c r="P1132" t="s">
        <v>1887</v>
      </c>
      <c r="R1132" t="s">
        <v>152</v>
      </c>
      <c r="S1132" t="s">
        <v>145</v>
      </c>
      <c r="U1132">
        <v>0</v>
      </c>
      <c r="V1132" t="s">
        <v>544</v>
      </c>
      <c r="W1132" t="s">
        <v>558</v>
      </c>
      <c r="X1132" s="784">
        <v>426639742.85328001</v>
      </c>
    </row>
    <row r="1133" spans="1:24">
      <c r="A1133" t="s">
        <v>358</v>
      </c>
      <c r="B1133" t="s">
        <v>639</v>
      </c>
      <c r="C1133" t="s">
        <v>243</v>
      </c>
      <c r="D1133" t="s">
        <v>126</v>
      </c>
      <c r="E1133" t="s">
        <v>377</v>
      </c>
      <c r="F1133" t="s">
        <v>383</v>
      </c>
      <c r="G1133" t="s">
        <v>334</v>
      </c>
      <c r="H1133" t="s">
        <v>334</v>
      </c>
      <c r="I1133" t="s">
        <v>743</v>
      </c>
      <c r="J1133" t="s">
        <v>379</v>
      </c>
      <c r="K1133" t="s">
        <v>546</v>
      </c>
      <c r="L1133" s="784" t="s">
        <v>575</v>
      </c>
      <c r="M1133" t="s">
        <v>745</v>
      </c>
      <c r="P1133" t="s">
        <v>1887</v>
      </c>
      <c r="R1133" t="s">
        <v>150</v>
      </c>
      <c r="S1133" t="s">
        <v>145</v>
      </c>
      <c r="U1133">
        <v>0</v>
      </c>
      <c r="V1133" t="s">
        <v>544</v>
      </c>
      <c r="W1133" t="s">
        <v>548</v>
      </c>
      <c r="X1133" s="784">
        <v>288519671.85870522</v>
      </c>
    </row>
    <row r="1134" spans="1:24">
      <c r="A1134" t="s">
        <v>358</v>
      </c>
      <c r="B1134" t="s">
        <v>640</v>
      </c>
      <c r="C1134" t="s">
        <v>244</v>
      </c>
      <c r="D1134" t="s">
        <v>127</v>
      </c>
      <c r="E1134" t="s">
        <v>377</v>
      </c>
      <c r="F1134" t="s">
        <v>383</v>
      </c>
      <c r="G1134" t="s">
        <v>334</v>
      </c>
      <c r="H1134" t="s">
        <v>334</v>
      </c>
      <c r="I1134" t="s">
        <v>743</v>
      </c>
      <c r="J1134" t="s">
        <v>379</v>
      </c>
      <c r="K1134" t="s">
        <v>546</v>
      </c>
      <c r="L1134" s="784" t="s">
        <v>575</v>
      </c>
      <c r="M1134" t="s">
        <v>745</v>
      </c>
      <c r="P1134" t="s">
        <v>1887</v>
      </c>
      <c r="R1134" t="s">
        <v>152</v>
      </c>
      <c r="S1134" t="s">
        <v>146</v>
      </c>
      <c r="U1134">
        <v>0</v>
      </c>
      <c r="V1134" t="s">
        <v>544</v>
      </c>
      <c r="W1134" t="s">
        <v>546</v>
      </c>
      <c r="X1134" s="784">
        <v>275606560.78491527</v>
      </c>
    </row>
    <row r="1135" spans="1:24">
      <c r="A1135" t="s">
        <v>358</v>
      </c>
      <c r="B1135" t="s">
        <v>641</v>
      </c>
      <c r="C1135" t="s">
        <v>245</v>
      </c>
      <c r="D1135" t="s">
        <v>131</v>
      </c>
      <c r="E1135" t="s">
        <v>377</v>
      </c>
      <c r="F1135" t="s">
        <v>383</v>
      </c>
      <c r="G1135" t="s">
        <v>334</v>
      </c>
      <c r="H1135" t="s">
        <v>334</v>
      </c>
      <c r="I1135" t="s">
        <v>743</v>
      </c>
      <c r="J1135" t="s">
        <v>379</v>
      </c>
      <c r="K1135" t="s">
        <v>546</v>
      </c>
      <c r="L1135" s="784" t="s">
        <v>575</v>
      </c>
      <c r="M1135" t="s">
        <v>745</v>
      </c>
      <c r="P1135" t="s">
        <v>1887</v>
      </c>
      <c r="R1135" t="s">
        <v>150</v>
      </c>
      <c r="S1135" t="s">
        <v>145</v>
      </c>
      <c r="U1135">
        <v>0</v>
      </c>
      <c r="V1135" t="s">
        <v>544</v>
      </c>
      <c r="W1135" t="s">
        <v>546</v>
      </c>
      <c r="X1135" s="784">
        <v>2530937679.3725696</v>
      </c>
    </row>
    <row r="1136" spans="1:24">
      <c r="A1136" t="s">
        <v>358</v>
      </c>
      <c r="B1136" t="s">
        <v>642</v>
      </c>
      <c r="C1136" t="s">
        <v>246</v>
      </c>
      <c r="D1136" t="s">
        <v>128</v>
      </c>
      <c r="E1136" t="s">
        <v>377</v>
      </c>
      <c r="F1136" t="s">
        <v>383</v>
      </c>
      <c r="G1136" t="s">
        <v>334</v>
      </c>
      <c r="H1136" t="s">
        <v>334</v>
      </c>
      <c r="I1136" t="s">
        <v>743</v>
      </c>
      <c r="J1136" t="s">
        <v>379</v>
      </c>
      <c r="K1136" t="s">
        <v>546</v>
      </c>
      <c r="L1136" s="784" t="s">
        <v>575</v>
      </c>
      <c r="M1136" t="s">
        <v>745</v>
      </c>
      <c r="P1136" t="s">
        <v>1887</v>
      </c>
      <c r="R1136" t="s">
        <v>148</v>
      </c>
      <c r="S1136" t="s">
        <v>145</v>
      </c>
      <c r="U1136">
        <v>0</v>
      </c>
      <c r="V1136" t="s">
        <v>544</v>
      </c>
      <c r="W1136" t="s">
        <v>583</v>
      </c>
      <c r="X1136" s="784">
        <v>251432156.86255455</v>
      </c>
    </row>
    <row r="1137" spans="1:24">
      <c r="A1137" t="s">
        <v>358</v>
      </c>
      <c r="B1137" t="s">
        <v>643</v>
      </c>
      <c r="C1137" t="s">
        <v>247</v>
      </c>
      <c r="D1137" t="s">
        <v>126</v>
      </c>
      <c r="E1137" t="s">
        <v>377</v>
      </c>
      <c r="F1137" t="s">
        <v>383</v>
      </c>
      <c r="G1137" t="s">
        <v>334</v>
      </c>
      <c r="H1137" t="s">
        <v>334</v>
      </c>
      <c r="I1137" t="s">
        <v>743</v>
      </c>
      <c r="J1137" t="s">
        <v>379</v>
      </c>
      <c r="K1137" t="s">
        <v>546</v>
      </c>
      <c r="L1137" s="784" t="s">
        <v>575</v>
      </c>
      <c r="M1137" t="s">
        <v>745</v>
      </c>
      <c r="P1137" t="s">
        <v>1887</v>
      </c>
      <c r="R1137" t="s">
        <v>150</v>
      </c>
      <c r="S1137" t="s">
        <v>145</v>
      </c>
      <c r="U1137">
        <v>0</v>
      </c>
      <c r="V1137" t="s">
        <v>544</v>
      </c>
      <c r="W1137" t="s">
        <v>558</v>
      </c>
      <c r="X1137" s="784">
        <v>471534500.60109437</v>
      </c>
    </row>
    <row r="1138" spans="1:24">
      <c r="A1138" t="s">
        <v>358</v>
      </c>
      <c r="B1138" t="s">
        <v>644</v>
      </c>
      <c r="C1138" t="s">
        <v>248</v>
      </c>
      <c r="D1138" t="s">
        <v>128</v>
      </c>
      <c r="E1138" t="s">
        <v>377</v>
      </c>
      <c r="F1138" t="s">
        <v>383</v>
      </c>
      <c r="G1138" t="s">
        <v>334</v>
      </c>
      <c r="H1138" t="s">
        <v>334</v>
      </c>
      <c r="I1138" t="s">
        <v>743</v>
      </c>
      <c r="J1138" t="s">
        <v>379</v>
      </c>
      <c r="K1138" t="s">
        <v>546</v>
      </c>
      <c r="L1138" s="784" t="s">
        <v>575</v>
      </c>
      <c r="M1138" t="s">
        <v>745</v>
      </c>
      <c r="P1138" t="s">
        <v>1887</v>
      </c>
      <c r="R1138" t="s">
        <v>152</v>
      </c>
      <c r="S1138" t="s">
        <v>146</v>
      </c>
      <c r="U1138">
        <v>0</v>
      </c>
      <c r="V1138" t="s">
        <v>544</v>
      </c>
      <c r="W1138" t="s">
        <v>575</v>
      </c>
      <c r="X1138" s="784">
        <v>531677611.80447447</v>
      </c>
    </row>
    <row r="1139" spans="1:24">
      <c r="A1139" t="s">
        <v>358</v>
      </c>
      <c r="B1139" t="s">
        <v>645</v>
      </c>
      <c r="C1139" t="s">
        <v>249</v>
      </c>
      <c r="D1139" t="s">
        <v>126</v>
      </c>
      <c r="E1139" t="s">
        <v>377</v>
      </c>
      <c r="F1139" t="s">
        <v>383</v>
      </c>
      <c r="G1139" t="s">
        <v>334</v>
      </c>
      <c r="H1139" t="s">
        <v>334</v>
      </c>
      <c r="I1139" t="s">
        <v>743</v>
      </c>
      <c r="J1139" t="s">
        <v>379</v>
      </c>
      <c r="K1139" t="s">
        <v>546</v>
      </c>
      <c r="L1139" s="784" t="s">
        <v>575</v>
      </c>
      <c r="M1139" t="s">
        <v>745</v>
      </c>
      <c r="P1139" t="s">
        <v>1887</v>
      </c>
      <c r="R1139" t="s">
        <v>550</v>
      </c>
      <c r="S1139" t="s">
        <v>146</v>
      </c>
      <c r="U1139">
        <v>0</v>
      </c>
      <c r="V1139" t="s">
        <v>541</v>
      </c>
      <c r="W1139" t="s">
        <v>575</v>
      </c>
      <c r="X1139" s="784">
        <v>8528751.6418357007</v>
      </c>
    </row>
    <row r="1140" spans="1:24">
      <c r="A1140" t="s">
        <v>358</v>
      </c>
      <c r="B1140" t="s">
        <v>646</v>
      </c>
      <c r="C1140" t="s">
        <v>250</v>
      </c>
      <c r="D1140" t="s">
        <v>132</v>
      </c>
      <c r="E1140" t="s">
        <v>377</v>
      </c>
      <c r="F1140" t="s">
        <v>383</v>
      </c>
      <c r="G1140" t="s">
        <v>334</v>
      </c>
      <c r="H1140" t="s">
        <v>334</v>
      </c>
      <c r="I1140" t="s">
        <v>743</v>
      </c>
      <c r="J1140" t="s">
        <v>379</v>
      </c>
      <c r="K1140" t="s">
        <v>546</v>
      </c>
      <c r="L1140" s="784" t="s">
        <v>575</v>
      </c>
      <c r="M1140" t="s">
        <v>745</v>
      </c>
      <c r="P1140" t="s">
        <v>1887</v>
      </c>
      <c r="R1140" t="s">
        <v>150</v>
      </c>
      <c r="S1140" t="s">
        <v>145</v>
      </c>
      <c r="U1140">
        <v>0</v>
      </c>
      <c r="V1140" t="s">
        <v>544</v>
      </c>
      <c r="W1140" t="s">
        <v>558</v>
      </c>
      <c r="X1140" s="784">
        <v>407084543.19089872</v>
      </c>
    </row>
    <row r="1141" spans="1:24">
      <c r="A1141" t="s">
        <v>358</v>
      </c>
      <c r="B1141" t="s">
        <v>647</v>
      </c>
      <c r="C1141" t="s">
        <v>251</v>
      </c>
      <c r="D1141" t="s">
        <v>130</v>
      </c>
      <c r="E1141" t="s">
        <v>377</v>
      </c>
      <c r="F1141" t="s">
        <v>383</v>
      </c>
      <c r="G1141" t="s">
        <v>334</v>
      </c>
      <c r="H1141" t="s">
        <v>334</v>
      </c>
      <c r="I1141" t="s">
        <v>743</v>
      </c>
      <c r="J1141" t="s">
        <v>379</v>
      </c>
      <c r="K1141" t="s">
        <v>546</v>
      </c>
      <c r="L1141" s="784" t="s">
        <v>575</v>
      </c>
      <c r="M1141" t="s">
        <v>745</v>
      </c>
      <c r="P1141" t="s">
        <v>1887</v>
      </c>
      <c r="R1141" t="s">
        <v>150</v>
      </c>
      <c r="S1141" t="s">
        <v>145</v>
      </c>
      <c r="U1141">
        <v>0</v>
      </c>
      <c r="V1141" t="s">
        <v>544</v>
      </c>
      <c r="W1141" t="s">
        <v>562</v>
      </c>
      <c r="X1141" s="784">
        <v>671998341.93592453</v>
      </c>
    </row>
    <row r="1142" spans="1:24">
      <c r="A1142" t="s">
        <v>358</v>
      </c>
      <c r="B1142" t="s">
        <v>648</v>
      </c>
      <c r="C1142" t="s">
        <v>252</v>
      </c>
      <c r="D1142" t="s">
        <v>129</v>
      </c>
      <c r="E1142" t="s">
        <v>377</v>
      </c>
      <c r="F1142" t="s">
        <v>383</v>
      </c>
      <c r="G1142" t="s">
        <v>334</v>
      </c>
      <c r="H1142" t="s">
        <v>334</v>
      </c>
      <c r="I1142" t="s">
        <v>743</v>
      </c>
      <c r="J1142" t="s">
        <v>379</v>
      </c>
      <c r="K1142" t="s">
        <v>546</v>
      </c>
      <c r="L1142" s="784" t="s">
        <v>575</v>
      </c>
      <c r="M1142" t="s">
        <v>745</v>
      </c>
      <c r="P1142" t="s">
        <v>1887</v>
      </c>
      <c r="R1142" t="s">
        <v>148</v>
      </c>
      <c r="S1142" t="s">
        <v>145</v>
      </c>
      <c r="U1142">
        <v>1</v>
      </c>
      <c r="V1142" t="s">
        <v>544</v>
      </c>
      <c r="W1142" t="s">
        <v>562</v>
      </c>
      <c r="X1142" s="784">
        <v>226203289.67158964</v>
      </c>
    </row>
    <row r="1143" spans="1:24">
      <c r="A1143" t="s">
        <v>358</v>
      </c>
      <c r="B1143" t="s">
        <v>649</v>
      </c>
      <c r="C1143" t="s">
        <v>253</v>
      </c>
      <c r="D1143" t="s">
        <v>129</v>
      </c>
      <c r="E1143" t="s">
        <v>377</v>
      </c>
      <c r="F1143" t="s">
        <v>383</v>
      </c>
      <c r="G1143" t="s">
        <v>334</v>
      </c>
      <c r="H1143" t="s">
        <v>334</v>
      </c>
      <c r="I1143" t="s">
        <v>743</v>
      </c>
      <c r="J1143" t="s">
        <v>379</v>
      </c>
      <c r="K1143" t="s">
        <v>546</v>
      </c>
      <c r="L1143" s="784" t="s">
        <v>575</v>
      </c>
      <c r="M1143" t="s">
        <v>745</v>
      </c>
      <c r="P1143" t="s">
        <v>1887</v>
      </c>
      <c r="R1143" t="s">
        <v>150</v>
      </c>
      <c r="S1143" t="s">
        <v>145</v>
      </c>
      <c r="U1143">
        <v>3</v>
      </c>
      <c r="V1143" t="s">
        <v>544</v>
      </c>
      <c r="W1143" t="s">
        <v>548</v>
      </c>
      <c r="X1143" s="784">
        <v>2438881113.1244688</v>
      </c>
    </row>
    <row r="1144" spans="1:24">
      <c r="A1144" t="s">
        <v>358</v>
      </c>
      <c r="B1144" t="s">
        <v>650</v>
      </c>
      <c r="C1144" t="s">
        <v>254</v>
      </c>
      <c r="D1144" t="s">
        <v>127</v>
      </c>
      <c r="E1144" t="s">
        <v>377</v>
      </c>
      <c r="F1144" t="s">
        <v>383</v>
      </c>
      <c r="G1144" t="s">
        <v>334</v>
      </c>
      <c r="H1144" t="s">
        <v>334</v>
      </c>
      <c r="I1144" t="s">
        <v>743</v>
      </c>
      <c r="J1144" t="s">
        <v>379</v>
      </c>
      <c r="K1144" t="s">
        <v>546</v>
      </c>
      <c r="L1144" s="784" t="s">
        <v>575</v>
      </c>
      <c r="M1144" t="s">
        <v>745</v>
      </c>
      <c r="P1144" t="s">
        <v>1887</v>
      </c>
      <c r="R1144" t="s">
        <v>152</v>
      </c>
      <c r="S1144" t="s">
        <v>146</v>
      </c>
      <c r="U1144">
        <v>0</v>
      </c>
      <c r="V1144" t="s">
        <v>544</v>
      </c>
      <c r="W1144" t="s">
        <v>575</v>
      </c>
      <c r="X1144" s="784">
        <v>476517795.73174149</v>
      </c>
    </row>
    <row r="1145" spans="1:24">
      <c r="A1145" t="s">
        <v>358</v>
      </c>
      <c r="B1145" t="s">
        <v>651</v>
      </c>
      <c r="C1145" t="s">
        <v>255</v>
      </c>
      <c r="D1145" t="s">
        <v>132</v>
      </c>
      <c r="E1145" t="s">
        <v>377</v>
      </c>
      <c r="F1145" t="s">
        <v>383</v>
      </c>
      <c r="G1145" t="s">
        <v>334</v>
      </c>
      <c r="H1145" t="s">
        <v>334</v>
      </c>
      <c r="I1145" t="s">
        <v>743</v>
      </c>
      <c r="J1145" t="s">
        <v>379</v>
      </c>
      <c r="K1145" t="s">
        <v>546</v>
      </c>
      <c r="L1145" s="784" t="s">
        <v>575</v>
      </c>
      <c r="M1145" t="s">
        <v>745</v>
      </c>
      <c r="P1145" t="s">
        <v>1887</v>
      </c>
      <c r="R1145" t="s">
        <v>150</v>
      </c>
      <c r="S1145" t="s">
        <v>145</v>
      </c>
      <c r="U1145">
        <v>0</v>
      </c>
      <c r="V1145" t="s">
        <v>544</v>
      </c>
      <c r="W1145" t="s">
        <v>548</v>
      </c>
      <c r="X1145" s="784">
        <v>3233351297.7679496</v>
      </c>
    </row>
    <row r="1146" spans="1:24">
      <c r="A1146" t="s">
        <v>358</v>
      </c>
      <c r="B1146" t="s">
        <v>652</v>
      </c>
      <c r="C1146" t="s">
        <v>256</v>
      </c>
      <c r="D1146" t="s">
        <v>130</v>
      </c>
      <c r="E1146" t="s">
        <v>377</v>
      </c>
      <c r="F1146" t="s">
        <v>383</v>
      </c>
      <c r="G1146" t="s">
        <v>334</v>
      </c>
      <c r="H1146" t="s">
        <v>334</v>
      </c>
      <c r="I1146" t="s">
        <v>743</v>
      </c>
      <c r="J1146" t="s">
        <v>379</v>
      </c>
      <c r="K1146" t="s">
        <v>546</v>
      </c>
      <c r="L1146" s="784" t="s">
        <v>575</v>
      </c>
      <c r="M1146" t="s">
        <v>745</v>
      </c>
      <c r="P1146" t="s">
        <v>1887</v>
      </c>
      <c r="R1146" t="s">
        <v>550</v>
      </c>
      <c r="S1146" t="s">
        <v>146</v>
      </c>
      <c r="U1146">
        <v>0</v>
      </c>
      <c r="V1146" t="s">
        <v>541</v>
      </c>
      <c r="W1146" t="s">
        <v>575</v>
      </c>
      <c r="X1146" s="784">
        <v>18180646.808608256</v>
      </c>
    </row>
    <row r="1147" spans="1:24">
      <c r="A1147" t="s">
        <v>358</v>
      </c>
      <c r="B1147" t="s">
        <v>653</v>
      </c>
      <c r="C1147" t="s">
        <v>257</v>
      </c>
      <c r="D1147" t="s">
        <v>130</v>
      </c>
      <c r="E1147" t="s">
        <v>377</v>
      </c>
      <c r="F1147" t="s">
        <v>383</v>
      </c>
      <c r="G1147" t="s">
        <v>334</v>
      </c>
      <c r="H1147" t="s">
        <v>334</v>
      </c>
      <c r="I1147" t="s">
        <v>743</v>
      </c>
      <c r="J1147" t="s">
        <v>379</v>
      </c>
      <c r="K1147" t="s">
        <v>546</v>
      </c>
      <c r="L1147" s="784">
        <v>1700000</v>
      </c>
      <c r="M1147" t="s">
        <v>745</v>
      </c>
      <c r="P1147" t="s">
        <v>1887</v>
      </c>
      <c r="R1147" t="s">
        <v>152</v>
      </c>
      <c r="S1147" t="s">
        <v>146</v>
      </c>
      <c r="U1147">
        <v>0</v>
      </c>
      <c r="V1147" t="s">
        <v>544</v>
      </c>
      <c r="W1147" t="s">
        <v>546</v>
      </c>
      <c r="X1147" s="784">
        <v>3020530707.3485303</v>
      </c>
    </row>
    <row r="1148" spans="1:24">
      <c r="A1148" t="s">
        <v>358</v>
      </c>
      <c r="B1148" t="s">
        <v>654</v>
      </c>
      <c r="C1148" t="s">
        <v>258</v>
      </c>
      <c r="D1148" t="s">
        <v>126</v>
      </c>
      <c r="E1148" t="s">
        <v>377</v>
      </c>
      <c r="F1148" t="s">
        <v>383</v>
      </c>
      <c r="G1148" t="s">
        <v>334</v>
      </c>
      <c r="H1148" t="s">
        <v>334</v>
      </c>
      <c r="I1148" t="s">
        <v>743</v>
      </c>
      <c r="J1148" t="s">
        <v>379</v>
      </c>
      <c r="K1148" t="s">
        <v>546</v>
      </c>
      <c r="L1148" s="784" t="s">
        <v>575</v>
      </c>
      <c r="M1148" t="s">
        <v>745</v>
      </c>
      <c r="P1148" t="s">
        <v>1887</v>
      </c>
      <c r="R1148" t="s">
        <v>150</v>
      </c>
      <c r="S1148" t="s">
        <v>145</v>
      </c>
      <c r="U1148">
        <v>1</v>
      </c>
      <c r="V1148" t="s">
        <v>541</v>
      </c>
      <c r="W1148" t="s">
        <v>542</v>
      </c>
      <c r="X1148" s="784">
        <v>384406316.46074712</v>
      </c>
    </row>
    <row r="1149" spans="1:24">
      <c r="A1149" t="s">
        <v>358</v>
      </c>
      <c r="B1149" t="s">
        <v>655</v>
      </c>
      <c r="C1149" t="s">
        <v>259</v>
      </c>
      <c r="D1149" t="s">
        <v>130</v>
      </c>
      <c r="E1149" t="s">
        <v>377</v>
      </c>
      <c r="F1149" t="s">
        <v>383</v>
      </c>
      <c r="G1149" t="s">
        <v>334</v>
      </c>
      <c r="H1149" t="s">
        <v>334</v>
      </c>
      <c r="I1149" t="s">
        <v>743</v>
      </c>
      <c r="J1149" t="s">
        <v>379</v>
      </c>
      <c r="K1149" t="s">
        <v>546</v>
      </c>
      <c r="L1149" s="784" t="s">
        <v>575</v>
      </c>
      <c r="M1149" t="s">
        <v>745</v>
      </c>
      <c r="P1149" t="s">
        <v>1887</v>
      </c>
      <c r="R1149" t="s">
        <v>152</v>
      </c>
      <c r="S1149" t="s">
        <v>146</v>
      </c>
      <c r="U1149">
        <v>0</v>
      </c>
      <c r="V1149" t="s">
        <v>544</v>
      </c>
      <c r="W1149" t="s">
        <v>575</v>
      </c>
      <c r="X1149" s="784">
        <v>1218747108.9554784</v>
      </c>
    </row>
    <row r="1150" spans="1:24">
      <c r="A1150" t="s">
        <v>358</v>
      </c>
      <c r="B1150" t="s">
        <v>656</v>
      </c>
      <c r="C1150" t="s">
        <v>260</v>
      </c>
      <c r="D1150" t="s">
        <v>130</v>
      </c>
      <c r="E1150" t="s">
        <v>377</v>
      </c>
      <c r="F1150" t="s">
        <v>383</v>
      </c>
      <c r="G1150" t="s">
        <v>334</v>
      </c>
      <c r="H1150" t="s">
        <v>334</v>
      </c>
      <c r="I1150" t="s">
        <v>743</v>
      </c>
      <c r="J1150" t="s">
        <v>379</v>
      </c>
      <c r="K1150" t="s">
        <v>546</v>
      </c>
      <c r="L1150" s="784" t="s">
        <v>575</v>
      </c>
      <c r="M1150" t="s">
        <v>745</v>
      </c>
      <c r="P1150" t="s">
        <v>1887</v>
      </c>
      <c r="R1150" t="s">
        <v>152</v>
      </c>
      <c r="S1150" t="s">
        <v>146</v>
      </c>
      <c r="U1150">
        <v>0</v>
      </c>
      <c r="V1150" t="s">
        <v>544</v>
      </c>
      <c r="W1150" t="s">
        <v>575</v>
      </c>
      <c r="X1150" s="784">
        <v>7392665952.5895758</v>
      </c>
    </row>
    <row r="1151" spans="1:24">
      <c r="A1151" t="s">
        <v>358</v>
      </c>
      <c r="B1151" t="s">
        <v>657</v>
      </c>
      <c r="C1151" t="s">
        <v>261</v>
      </c>
      <c r="D1151" t="s">
        <v>126</v>
      </c>
      <c r="E1151" t="s">
        <v>377</v>
      </c>
      <c r="F1151" t="s">
        <v>383</v>
      </c>
      <c r="G1151" t="s">
        <v>334</v>
      </c>
      <c r="H1151" t="s">
        <v>334</v>
      </c>
      <c r="I1151" t="s">
        <v>743</v>
      </c>
      <c r="J1151" t="s">
        <v>379</v>
      </c>
      <c r="K1151" t="s">
        <v>546</v>
      </c>
      <c r="L1151" s="784" t="s">
        <v>575</v>
      </c>
      <c r="M1151" t="s">
        <v>745</v>
      </c>
      <c r="P1151" t="s">
        <v>1887</v>
      </c>
      <c r="R1151" t="s">
        <v>150</v>
      </c>
      <c r="S1151" t="s">
        <v>145</v>
      </c>
      <c r="U1151">
        <v>0</v>
      </c>
      <c r="V1151" t="s">
        <v>544</v>
      </c>
      <c r="W1151" t="s">
        <v>546</v>
      </c>
      <c r="X1151" s="784">
        <v>4754985988.6004429</v>
      </c>
    </row>
    <row r="1152" spans="1:24">
      <c r="A1152" t="s">
        <v>358</v>
      </c>
      <c r="B1152" t="s">
        <v>658</v>
      </c>
      <c r="C1152" t="s">
        <v>262</v>
      </c>
      <c r="D1152" t="s">
        <v>127</v>
      </c>
      <c r="E1152" t="s">
        <v>377</v>
      </c>
      <c r="F1152" t="s">
        <v>383</v>
      </c>
      <c r="G1152" t="s">
        <v>334</v>
      </c>
      <c r="H1152" t="s">
        <v>334</v>
      </c>
      <c r="I1152" t="s">
        <v>743</v>
      </c>
      <c r="J1152" t="s">
        <v>379</v>
      </c>
      <c r="K1152" t="s">
        <v>546</v>
      </c>
      <c r="L1152" s="784" t="s">
        <v>575</v>
      </c>
      <c r="M1152" t="s">
        <v>745</v>
      </c>
      <c r="P1152" t="s">
        <v>1887</v>
      </c>
      <c r="R1152" t="s">
        <v>550</v>
      </c>
      <c r="S1152" t="s">
        <v>146</v>
      </c>
      <c r="U1152">
        <v>0</v>
      </c>
      <c r="V1152" t="s">
        <v>544</v>
      </c>
      <c r="W1152" t="s">
        <v>575</v>
      </c>
      <c r="X1152" s="784">
        <v>26422210443.037273</v>
      </c>
    </row>
    <row r="1153" spans="1:24">
      <c r="A1153" t="s">
        <v>358</v>
      </c>
      <c r="B1153" t="s">
        <v>659</v>
      </c>
      <c r="C1153" t="s">
        <v>151</v>
      </c>
      <c r="D1153" t="s">
        <v>127</v>
      </c>
      <c r="E1153" t="s">
        <v>377</v>
      </c>
      <c r="F1153" t="s">
        <v>383</v>
      </c>
      <c r="G1153" t="s">
        <v>334</v>
      </c>
      <c r="H1153" t="s">
        <v>334</v>
      </c>
      <c r="I1153" t="s">
        <v>743</v>
      </c>
      <c r="J1153" t="s">
        <v>379</v>
      </c>
      <c r="K1153" t="s">
        <v>546</v>
      </c>
      <c r="L1153" s="784" t="s">
        <v>575</v>
      </c>
      <c r="M1153" t="s">
        <v>745</v>
      </c>
      <c r="P1153" t="s">
        <v>1887</v>
      </c>
      <c r="R1153" t="s">
        <v>152</v>
      </c>
      <c r="S1153" t="s">
        <v>146</v>
      </c>
      <c r="U1153">
        <v>0</v>
      </c>
      <c r="V1153" t="s">
        <v>544</v>
      </c>
      <c r="W1153" t="s">
        <v>575</v>
      </c>
      <c r="X1153" s="784">
        <v>10696495313.15033</v>
      </c>
    </row>
    <row r="1154" spans="1:24">
      <c r="A1154" t="s">
        <v>358</v>
      </c>
      <c r="B1154" t="s">
        <v>660</v>
      </c>
      <c r="C1154" t="s">
        <v>263</v>
      </c>
      <c r="D1154" t="s">
        <v>127</v>
      </c>
      <c r="E1154" t="s">
        <v>377</v>
      </c>
      <c r="F1154" t="s">
        <v>383</v>
      </c>
      <c r="G1154" t="s">
        <v>334</v>
      </c>
      <c r="H1154" t="s">
        <v>334</v>
      </c>
      <c r="I1154" t="s">
        <v>743</v>
      </c>
      <c r="J1154" t="s">
        <v>379</v>
      </c>
      <c r="K1154" t="s">
        <v>546</v>
      </c>
      <c r="L1154" s="784" t="s">
        <v>575</v>
      </c>
      <c r="M1154" t="s">
        <v>745</v>
      </c>
      <c r="P1154" t="s">
        <v>1887</v>
      </c>
      <c r="R1154" t="s">
        <v>152</v>
      </c>
      <c r="S1154" t="s">
        <v>146</v>
      </c>
      <c r="U1154">
        <v>0</v>
      </c>
      <c r="V1154" t="s">
        <v>544</v>
      </c>
      <c r="W1154" t="s">
        <v>575</v>
      </c>
      <c r="X1154" s="784">
        <v>52769713433.240509</v>
      </c>
    </row>
    <row r="1155" spans="1:24">
      <c r="A1155" t="s">
        <v>358</v>
      </c>
      <c r="B1155" t="s">
        <v>661</v>
      </c>
      <c r="C1155" t="s">
        <v>264</v>
      </c>
      <c r="D1155" t="s">
        <v>128</v>
      </c>
      <c r="E1155" t="s">
        <v>377</v>
      </c>
      <c r="F1155" t="s">
        <v>383</v>
      </c>
      <c r="G1155" t="s">
        <v>334</v>
      </c>
      <c r="H1155" t="s">
        <v>334</v>
      </c>
      <c r="I1155" t="s">
        <v>743</v>
      </c>
      <c r="J1155" t="s">
        <v>379</v>
      </c>
      <c r="K1155" t="s">
        <v>546</v>
      </c>
      <c r="L1155" s="784" t="s">
        <v>575</v>
      </c>
      <c r="M1155" t="s">
        <v>745</v>
      </c>
      <c r="P1155" t="s">
        <v>1887</v>
      </c>
      <c r="R1155" t="s">
        <v>148</v>
      </c>
      <c r="S1155" t="s">
        <v>145</v>
      </c>
      <c r="U1155">
        <v>0</v>
      </c>
      <c r="V1155" t="s">
        <v>544</v>
      </c>
      <c r="W1155" t="s">
        <v>562</v>
      </c>
      <c r="X1155" s="784">
        <v>225799814.51943746</v>
      </c>
    </row>
    <row r="1156" spans="1:24">
      <c r="A1156" t="s">
        <v>358</v>
      </c>
      <c r="B1156" t="s">
        <v>662</v>
      </c>
      <c r="C1156" t="s">
        <v>265</v>
      </c>
      <c r="D1156" t="s">
        <v>126</v>
      </c>
      <c r="E1156" t="s">
        <v>377</v>
      </c>
      <c r="F1156" t="s">
        <v>383</v>
      </c>
      <c r="G1156" t="s">
        <v>334</v>
      </c>
      <c r="H1156" t="s">
        <v>334</v>
      </c>
      <c r="I1156" t="s">
        <v>743</v>
      </c>
      <c r="J1156" t="s">
        <v>379</v>
      </c>
      <c r="K1156" t="s">
        <v>546</v>
      </c>
      <c r="L1156" s="784" t="s">
        <v>575</v>
      </c>
      <c r="M1156" t="s">
        <v>745</v>
      </c>
      <c r="P1156" t="s">
        <v>1887</v>
      </c>
      <c r="R1156" t="s">
        <v>150</v>
      </c>
      <c r="S1156" t="s">
        <v>145</v>
      </c>
      <c r="U1156">
        <v>0</v>
      </c>
      <c r="V1156" t="s">
        <v>541</v>
      </c>
      <c r="W1156" t="s">
        <v>542</v>
      </c>
      <c r="X1156" s="784">
        <v>32192988.027009469</v>
      </c>
    </row>
    <row r="1157" spans="1:24">
      <c r="A1157" t="s">
        <v>358</v>
      </c>
      <c r="B1157" t="s">
        <v>663</v>
      </c>
      <c r="C1157" t="s">
        <v>266</v>
      </c>
      <c r="D1157" t="s">
        <v>129</v>
      </c>
      <c r="E1157" t="s">
        <v>377</v>
      </c>
      <c r="F1157" t="s">
        <v>383</v>
      </c>
      <c r="G1157" t="s">
        <v>334</v>
      </c>
      <c r="H1157" t="s">
        <v>334</v>
      </c>
      <c r="I1157" t="s">
        <v>743</v>
      </c>
      <c r="J1157" t="s">
        <v>379</v>
      </c>
      <c r="K1157" t="s">
        <v>546</v>
      </c>
      <c r="L1157" s="784" t="s">
        <v>575</v>
      </c>
      <c r="M1157" t="s">
        <v>745</v>
      </c>
      <c r="P1157" t="s">
        <v>1887</v>
      </c>
      <c r="R1157" t="s">
        <v>150</v>
      </c>
      <c r="S1157" t="s">
        <v>145</v>
      </c>
      <c r="U1157">
        <v>0</v>
      </c>
      <c r="V1157" t="s">
        <v>541</v>
      </c>
      <c r="W1157" t="s">
        <v>583</v>
      </c>
      <c r="X1157" s="784">
        <v>11633535.136477679</v>
      </c>
    </row>
    <row r="1158" spans="1:24">
      <c r="A1158" t="s">
        <v>358</v>
      </c>
      <c r="B1158" t="s">
        <v>664</v>
      </c>
      <c r="C1158" t="s">
        <v>267</v>
      </c>
      <c r="D1158" t="s">
        <v>129</v>
      </c>
      <c r="E1158" t="s">
        <v>377</v>
      </c>
      <c r="F1158" t="s">
        <v>383</v>
      </c>
      <c r="G1158" t="s">
        <v>334</v>
      </c>
      <c r="H1158" t="s">
        <v>334</v>
      </c>
      <c r="I1158" t="s">
        <v>743</v>
      </c>
      <c r="J1158" t="s">
        <v>379</v>
      </c>
      <c r="K1158" t="s">
        <v>546</v>
      </c>
      <c r="L1158" s="784" t="s">
        <v>575</v>
      </c>
      <c r="M1158" t="s">
        <v>745</v>
      </c>
      <c r="P1158" t="s">
        <v>1887</v>
      </c>
      <c r="R1158" t="s">
        <v>150</v>
      </c>
      <c r="S1158" t="s">
        <v>145</v>
      </c>
      <c r="U1158">
        <v>2</v>
      </c>
      <c r="V1158" t="s">
        <v>544</v>
      </c>
      <c r="W1158" t="s">
        <v>562</v>
      </c>
      <c r="X1158" s="784">
        <v>222008693.93354639</v>
      </c>
    </row>
    <row r="1159" spans="1:24">
      <c r="A1159" t="s">
        <v>358</v>
      </c>
      <c r="B1159" t="s">
        <v>665</v>
      </c>
      <c r="C1159" t="s">
        <v>153</v>
      </c>
      <c r="D1159" t="s">
        <v>127</v>
      </c>
      <c r="E1159" t="s">
        <v>377</v>
      </c>
      <c r="F1159" t="s">
        <v>383</v>
      </c>
      <c r="G1159" t="s">
        <v>334</v>
      </c>
      <c r="H1159" t="s">
        <v>334</v>
      </c>
      <c r="I1159" t="s">
        <v>743</v>
      </c>
      <c r="J1159" t="s">
        <v>379</v>
      </c>
      <c r="K1159" t="s">
        <v>546</v>
      </c>
      <c r="L1159" s="784" t="s">
        <v>575</v>
      </c>
      <c r="M1159" t="s">
        <v>745</v>
      </c>
      <c r="P1159" t="s">
        <v>1887</v>
      </c>
      <c r="R1159" t="s">
        <v>152</v>
      </c>
      <c r="S1159" t="s">
        <v>146</v>
      </c>
      <c r="U1159">
        <v>0</v>
      </c>
      <c r="V1159" t="s">
        <v>544</v>
      </c>
      <c r="W1159" t="s">
        <v>575</v>
      </c>
      <c r="X1159" s="784">
        <v>2564993795.1894679</v>
      </c>
    </row>
    <row r="1160" spans="1:24">
      <c r="A1160" t="s">
        <v>358</v>
      </c>
      <c r="B1160" t="s">
        <v>666</v>
      </c>
      <c r="C1160" t="s">
        <v>268</v>
      </c>
      <c r="D1160" t="s">
        <v>128</v>
      </c>
      <c r="E1160" t="s">
        <v>377</v>
      </c>
      <c r="F1160" t="s">
        <v>383</v>
      </c>
      <c r="G1160" t="s">
        <v>334</v>
      </c>
      <c r="H1160" t="s">
        <v>334</v>
      </c>
      <c r="I1160" t="s">
        <v>743</v>
      </c>
      <c r="J1160" t="s">
        <v>379</v>
      </c>
      <c r="K1160" t="s">
        <v>546</v>
      </c>
      <c r="L1160" s="784" t="s">
        <v>575</v>
      </c>
      <c r="M1160" t="s">
        <v>745</v>
      </c>
      <c r="P1160" t="s">
        <v>1887</v>
      </c>
      <c r="R1160" t="s">
        <v>550</v>
      </c>
      <c r="S1160" t="s">
        <v>146</v>
      </c>
      <c r="U1160">
        <v>0</v>
      </c>
      <c r="V1160" t="s">
        <v>541</v>
      </c>
      <c r="W1160" t="s">
        <v>546</v>
      </c>
      <c r="X1160" s="784">
        <v>60237542.945069775</v>
      </c>
    </row>
    <row r="1161" spans="1:24">
      <c r="A1161" t="s">
        <v>358</v>
      </c>
      <c r="B1161" t="s">
        <v>667</v>
      </c>
      <c r="C1161" t="s">
        <v>269</v>
      </c>
      <c r="D1161" t="s">
        <v>129</v>
      </c>
      <c r="E1161" t="s">
        <v>377</v>
      </c>
      <c r="F1161" t="s">
        <v>383</v>
      </c>
      <c r="G1161" t="s">
        <v>334</v>
      </c>
      <c r="H1161" t="s">
        <v>334</v>
      </c>
      <c r="I1161" t="s">
        <v>743</v>
      </c>
      <c r="J1161" t="s">
        <v>379</v>
      </c>
      <c r="K1161" t="s">
        <v>546</v>
      </c>
      <c r="L1161" s="784" t="s">
        <v>575</v>
      </c>
      <c r="M1161" t="s">
        <v>745</v>
      </c>
      <c r="P1161" t="s">
        <v>1887</v>
      </c>
      <c r="R1161" t="s">
        <v>148</v>
      </c>
      <c r="S1161" t="s">
        <v>145</v>
      </c>
      <c r="U1161">
        <v>0</v>
      </c>
      <c r="V1161" t="s">
        <v>544</v>
      </c>
      <c r="W1161" t="s">
        <v>542</v>
      </c>
      <c r="X1161" s="784">
        <v>63738640.538260505</v>
      </c>
    </row>
    <row r="1162" spans="1:24">
      <c r="A1162" t="s">
        <v>358</v>
      </c>
      <c r="B1162" t="s">
        <v>668</v>
      </c>
      <c r="C1162" t="s">
        <v>270</v>
      </c>
      <c r="D1162" t="s">
        <v>126</v>
      </c>
      <c r="E1162" t="s">
        <v>377</v>
      </c>
      <c r="F1162" t="s">
        <v>383</v>
      </c>
      <c r="G1162" t="s">
        <v>334</v>
      </c>
      <c r="H1162" t="s">
        <v>334</v>
      </c>
      <c r="I1162" t="s">
        <v>743</v>
      </c>
      <c r="J1162" t="s">
        <v>379</v>
      </c>
      <c r="K1162" t="s">
        <v>546</v>
      </c>
      <c r="L1162" s="784" t="s">
        <v>575</v>
      </c>
      <c r="M1162" t="s">
        <v>745</v>
      </c>
      <c r="P1162" t="s">
        <v>1887</v>
      </c>
      <c r="R1162" t="s">
        <v>150</v>
      </c>
      <c r="S1162" t="s">
        <v>145</v>
      </c>
      <c r="U1162">
        <v>0</v>
      </c>
      <c r="V1162" t="s">
        <v>541</v>
      </c>
      <c r="W1162" t="s">
        <v>562</v>
      </c>
      <c r="X1162" s="784">
        <v>49012774.055630356</v>
      </c>
    </row>
    <row r="1163" spans="1:24">
      <c r="A1163" t="s">
        <v>358</v>
      </c>
      <c r="B1163" t="s">
        <v>669</v>
      </c>
      <c r="C1163" t="s">
        <v>271</v>
      </c>
      <c r="D1163" t="s">
        <v>128</v>
      </c>
      <c r="E1163" t="s">
        <v>377</v>
      </c>
      <c r="F1163" t="s">
        <v>383</v>
      </c>
      <c r="G1163" t="s">
        <v>334</v>
      </c>
      <c r="H1163" t="s">
        <v>334</v>
      </c>
      <c r="I1163" t="s">
        <v>743</v>
      </c>
      <c r="J1163" t="s">
        <v>379</v>
      </c>
      <c r="K1163" t="s">
        <v>546</v>
      </c>
      <c r="L1163" s="784" t="s">
        <v>575</v>
      </c>
      <c r="M1163" t="s">
        <v>745</v>
      </c>
      <c r="P1163" t="s">
        <v>1887</v>
      </c>
      <c r="R1163" t="s">
        <v>148</v>
      </c>
      <c r="S1163" t="s">
        <v>145</v>
      </c>
      <c r="U1163">
        <v>1</v>
      </c>
      <c r="V1163" t="s">
        <v>544</v>
      </c>
      <c r="W1163" t="s">
        <v>583</v>
      </c>
      <c r="X1163" s="784" t="s">
        <v>575</v>
      </c>
    </row>
    <row r="1164" spans="1:24">
      <c r="A1164" t="s">
        <v>358</v>
      </c>
      <c r="B1164" t="s">
        <v>670</v>
      </c>
      <c r="C1164" t="s">
        <v>272</v>
      </c>
      <c r="D1164" t="s">
        <v>128</v>
      </c>
      <c r="E1164" t="s">
        <v>377</v>
      </c>
      <c r="F1164" t="s">
        <v>383</v>
      </c>
      <c r="G1164" t="s">
        <v>334</v>
      </c>
      <c r="H1164" t="s">
        <v>334</v>
      </c>
      <c r="I1164" t="s">
        <v>743</v>
      </c>
      <c r="J1164" t="s">
        <v>379</v>
      </c>
      <c r="K1164" t="s">
        <v>546</v>
      </c>
      <c r="L1164" s="784" t="s">
        <v>575</v>
      </c>
      <c r="M1164" t="s">
        <v>745</v>
      </c>
      <c r="P1164" t="s">
        <v>1887</v>
      </c>
      <c r="R1164" t="s">
        <v>152</v>
      </c>
      <c r="S1164" t="s">
        <v>146</v>
      </c>
      <c r="U1164">
        <v>0</v>
      </c>
      <c r="V1164" t="s">
        <v>544</v>
      </c>
      <c r="W1164" t="s">
        <v>546</v>
      </c>
      <c r="X1164" s="784">
        <v>16429121142.784708</v>
      </c>
    </row>
    <row r="1165" spans="1:24">
      <c r="A1165" t="s">
        <v>358</v>
      </c>
      <c r="B1165" t="s">
        <v>671</v>
      </c>
      <c r="C1165" t="s">
        <v>273</v>
      </c>
      <c r="D1165" t="s">
        <v>128</v>
      </c>
      <c r="E1165" t="s">
        <v>377</v>
      </c>
      <c r="F1165" t="s">
        <v>383</v>
      </c>
      <c r="G1165" t="s">
        <v>334</v>
      </c>
      <c r="H1165" t="s">
        <v>334</v>
      </c>
      <c r="I1165" t="s">
        <v>743</v>
      </c>
      <c r="J1165" t="s">
        <v>379</v>
      </c>
      <c r="K1165" t="s">
        <v>546</v>
      </c>
      <c r="L1165" s="784" t="s">
        <v>575</v>
      </c>
      <c r="M1165" t="s">
        <v>745</v>
      </c>
      <c r="P1165" t="s">
        <v>1887</v>
      </c>
      <c r="R1165" t="s">
        <v>148</v>
      </c>
      <c r="S1165" t="s">
        <v>145</v>
      </c>
      <c r="U1165">
        <v>1</v>
      </c>
      <c r="V1165" t="s">
        <v>544</v>
      </c>
      <c r="W1165" t="s">
        <v>542</v>
      </c>
      <c r="X1165" s="784">
        <v>31684581.76217727</v>
      </c>
    </row>
    <row r="1166" spans="1:24">
      <c r="A1166" t="s">
        <v>358</v>
      </c>
      <c r="B1166" t="s">
        <v>672</v>
      </c>
      <c r="C1166" t="s">
        <v>274</v>
      </c>
      <c r="D1166" t="s">
        <v>132</v>
      </c>
      <c r="E1166" t="s">
        <v>377</v>
      </c>
      <c r="F1166" t="s">
        <v>383</v>
      </c>
      <c r="G1166" t="s">
        <v>334</v>
      </c>
      <c r="H1166" t="s">
        <v>334</v>
      </c>
      <c r="I1166" t="s">
        <v>743</v>
      </c>
      <c r="J1166" t="s">
        <v>379</v>
      </c>
      <c r="K1166" t="s">
        <v>546</v>
      </c>
      <c r="L1166" s="784" t="s">
        <v>575</v>
      </c>
      <c r="M1166" t="s">
        <v>745</v>
      </c>
      <c r="P1166" t="s">
        <v>1887</v>
      </c>
      <c r="R1166" t="s">
        <v>150</v>
      </c>
      <c r="S1166" t="s">
        <v>145</v>
      </c>
      <c r="U1166">
        <v>0</v>
      </c>
      <c r="V1166" t="s">
        <v>544</v>
      </c>
      <c r="W1166" t="s">
        <v>546</v>
      </c>
      <c r="X1166" s="784">
        <v>1373621563.5182886</v>
      </c>
    </row>
    <row r="1167" spans="1:24">
      <c r="A1167" t="s">
        <v>358</v>
      </c>
      <c r="B1167" t="s">
        <v>673</v>
      </c>
      <c r="C1167" t="s">
        <v>275</v>
      </c>
      <c r="D1167" t="s">
        <v>130</v>
      </c>
      <c r="E1167" t="s">
        <v>377</v>
      </c>
      <c r="F1167" t="s">
        <v>383</v>
      </c>
      <c r="G1167" t="s">
        <v>334</v>
      </c>
      <c r="H1167" t="s">
        <v>334</v>
      </c>
      <c r="I1167" t="s">
        <v>743</v>
      </c>
      <c r="J1167" t="s">
        <v>379</v>
      </c>
      <c r="K1167" t="s">
        <v>546</v>
      </c>
      <c r="L1167" s="784" t="s">
        <v>575</v>
      </c>
      <c r="M1167" t="s">
        <v>745</v>
      </c>
      <c r="P1167" t="s">
        <v>1887</v>
      </c>
      <c r="R1167" t="s">
        <v>550</v>
      </c>
      <c r="S1167" t="s">
        <v>146</v>
      </c>
      <c r="U1167">
        <v>0</v>
      </c>
      <c r="V1167" t="s">
        <v>541</v>
      </c>
      <c r="W1167" t="s">
        <v>575</v>
      </c>
      <c r="X1167" s="784">
        <v>24214370.889062837</v>
      </c>
    </row>
    <row r="1168" spans="1:24">
      <c r="A1168" t="s">
        <v>358</v>
      </c>
      <c r="B1168" t="s">
        <v>674</v>
      </c>
      <c r="C1168" t="s">
        <v>154</v>
      </c>
      <c r="D1168" t="s">
        <v>130</v>
      </c>
      <c r="E1168" t="s">
        <v>377</v>
      </c>
      <c r="F1168" t="s">
        <v>383</v>
      </c>
      <c r="G1168" t="s">
        <v>334</v>
      </c>
      <c r="H1168" t="s">
        <v>334</v>
      </c>
      <c r="I1168" t="s">
        <v>743</v>
      </c>
      <c r="J1168" t="s">
        <v>379</v>
      </c>
      <c r="K1168" t="s">
        <v>546</v>
      </c>
      <c r="L1168" s="784" t="s">
        <v>575</v>
      </c>
      <c r="M1168" t="s">
        <v>745</v>
      </c>
      <c r="P1168" t="s">
        <v>1887</v>
      </c>
      <c r="R1168" t="s">
        <v>152</v>
      </c>
      <c r="S1168" t="s">
        <v>145</v>
      </c>
      <c r="U1168">
        <v>0</v>
      </c>
      <c r="V1168" t="s">
        <v>541</v>
      </c>
      <c r="W1168" t="s">
        <v>548</v>
      </c>
      <c r="X1168" s="784">
        <v>39941279.609447442</v>
      </c>
    </row>
    <row r="1169" spans="1:24">
      <c r="A1169" t="s">
        <v>358</v>
      </c>
      <c r="B1169" t="s">
        <v>675</v>
      </c>
      <c r="C1169" t="s">
        <v>155</v>
      </c>
      <c r="D1169" t="s">
        <v>130</v>
      </c>
      <c r="E1169" t="s">
        <v>377</v>
      </c>
      <c r="F1169" t="s">
        <v>383</v>
      </c>
      <c r="G1169" t="s">
        <v>334</v>
      </c>
      <c r="H1169" t="s">
        <v>334</v>
      </c>
      <c r="I1169" t="s">
        <v>743</v>
      </c>
      <c r="J1169" t="s">
        <v>379</v>
      </c>
      <c r="K1169" t="s">
        <v>546</v>
      </c>
      <c r="L1169" s="784" t="s">
        <v>575</v>
      </c>
      <c r="M1169" t="s">
        <v>745</v>
      </c>
      <c r="P1169" t="s">
        <v>1887</v>
      </c>
      <c r="R1169" t="s">
        <v>152</v>
      </c>
      <c r="S1169" t="s">
        <v>145</v>
      </c>
      <c r="U1169">
        <v>0</v>
      </c>
      <c r="V1169" t="s">
        <v>541</v>
      </c>
      <c r="W1169" t="s">
        <v>542</v>
      </c>
      <c r="X1169" s="784">
        <v>24761675.260059897</v>
      </c>
    </row>
    <row r="1170" spans="1:24">
      <c r="A1170" t="s">
        <v>358</v>
      </c>
      <c r="B1170" t="s">
        <v>676</v>
      </c>
      <c r="C1170" t="s">
        <v>276</v>
      </c>
      <c r="D1170" t="s">
        <v>131</v>
      </c>
      <c r="E1170" t="s">
        <v>377</v>
      </c>
      <c r="F1170" t="s">
        <v>383</v>
      </c>
      <c r="G1170" t="s">
        <v>334</v>
      </c>
      <c r="H1170" t="s">
        <v>334</v>
      </c>
      <c r="I1170" t="s">
        <v>743</v>
      </c>
      <c r="J1170" t="s">
        <v>379</v>
      </c>
      <c r="K1170" t="s">
        <v>546</v>
      </c>
      <c r="L1170" s="784" t="s">
        <v>575</v>
      </c>
      <c r="M1170" t="s">
        <v>745</v>
      </c>
      <c r="P1170" t="s">
        <v>1887</v>
      </c>
      <c r="R1170" t="s">
        <v>150</v>
      </c>
      <c r="S1170" t="s">
        <v>145</v>
      </c>
      <c r="U1170">
        <v>0</v>
      </c>
      <c r="V1170" t="s">
        <v>544</v>
      </c>
      <c r="W1170" t="s">
        <v>546</v>
      </c>
      <c r="X1170" s="784" t="s">
        <v>575</v>
      </c>
    </row>
    <row r="1171" spans="1:24">
      <c r="A1171" t="s">
        <v>358</v>
      </c>
      <c r="B1171" t="s">
        <v>677</v>
      </c>
      <c r="C1171" t="s">
        <v>277</v>
      </c>
      <c r="D1171" t="s">
        <v>131</v>
      </c>
      <c r="E1171" t="s">
        <v>377</v>
      </c>
      <c r="F1171" t="s">
        <v>383</v>
      </c>
      <c r="G1171" t="s">
        <v>334</v>
      </c>
      <c r="H1171" t="s">
        <v>334</v>
      </c>
      <c r="I1171" t="s">
        <v>743</v>
      </c>
      <c r="J1171" t="s">
        <v>379</v>
      </c>
      <c r="K1171" t="s">
        <v>546</v>
      </c>
      <c r="L1171" s="784" t="s">
        <v>575</v>
      </c>
      <c r="M1171" t="s">
        <v>745</v>
      </c>
      <c r="P1171" t="s">
        <v>1887</v>
      </c>
      <c r="R1171" t="s">
        <v>148</v>
      </c>
      <c r="S1171" t="s">
        <v>145</v>
      </c>
      <c r="U1171">
        <v>1</v>
      </c>
      <c r="V1171" t="s">
        <v>544</v>
      </c>
      <c r="W1171" t="s">
        <v>546</v>
      </c>
      <c r="X1171" s="784">
        <v>577156172.71229994</v>
      </c>
    </row>
    <row r="1172" spans="1:24">
      <c r="A1172" t="s">
        <v>358</v>
      </c>
      <c r="B1172" t="s">
        <v>678</v>
      </c>
      <c r="C1172" t="s">
        <v>278</v>
      </c>
      <c r="D1172" t="s">
        <v>126</v>
      </c>
      <c r="E1172" t="s">
        <v>377</v>
      </c>
      <c r="F1172" t="s">
        <v>383</v>
      </c>
      <c r="G1172" t="s">
        <v>334</v>
      </c>
      <c r="H1172" t="s">
        <v>334</v>
      </c>
      <c r="I1172" t="s">
        <v>743</v>
      </c>
      <c r="J1172" t="s">
        <v>379</v>
      </c>
      <c r="K1172" t="s">
        <v>546</v>
      </c>
      <c r="L1172" s="784" t="s">
        <v>575</v>
      </c>
      <c r="M1172" t="s">
        <v>745</v>
      </c>
      <c r="P1172" t="s">
        <v>1887</v>
      </c>
      <c r="R1172" t="s">
        <v>152</v>
      </c>
      <c r="S1172" t="s">
        <v>146</v>
      </c>
      <c r="U1172">
        <v>0</v>
      </c>
      <c r="V1172" t="s">
        <v>541</v>
      </c>
      <c r="W1172" t="s">
        <v>575</v>
      </c>
      <c r="X1172" s="784">
        <v>180052034.19851837</v>
      </c>
    </row>
    <row r="1173" spans="1:24">
      <c r="A1173" t="s">
        <v>358</v>
      </c>
      <c r="B1173" t="s">
        <v>679</v>
      </c>
      <c r="C1173" t="s">
        <v>279</v>
      </c>
      <c r="D1173" t="s">
        <v>131</v>
      </c>
      <c r="E1173" t="s">
        <v>377</v>
      </c>
      <c r="F1173" t="s">
        <v>383</v>
      </c>
      <c r="G1173" t="s">
        <v>334</v>
      </c>
      <c r="H1173" t="s">
        <v>334</v>
      </c>
      <c r="I1173" t="s">
        <v>743</v>
      </c>
      <c r="J1173" t="s">
        <v>379</v>
      </c>
      <c r="K1173" t="s">
        <v>546</v>
      </c>
      <c r="L1173" s="784" t="s">
        <v>575</v>
      </c>
      <c r="M1173" t="s">
        <v>745</v>
      </c>
      <c r="P1173" t="s">
        <v>1887</v>
      </c>
      <c r="R1173" t="s">
        <v>148</v>
      </c>
      <c r="S1173" t="s">
        <v>145</v>
      </c>
      <c r="U1173">
        <v>1</v>
      </c>
      <c r="V1173" t="s">
        <v>544</v>
      </c>
      <c r="W1173" t="s">
        <v>546</v>
      </c>
      <c r="X1173" s="784" t="s">
        <v>575</v>
      </c>
    </row>
    <row r="1174" spans="1:24">
      <c r="A1174" t="s">
        <v>358</v>
      </c>
      <c r="B1174" t="s">
        <v>680</v>
      </c>
      <c r="C1174" t="s">
        <v>280</v>
      </c>
      <c r="D1174" t="s">
        <v>127</v>
      </c>
      <c r="E1174" t="s">
        <v>377</v>
      </c>
      <c r="F1174" t="s">
        <v>383</v>
      </c>
      <c r="G1174" t="s">
        <v>334</v>
      </c>
      <c r="H1174" t="s">
        <v>334</v>
      </c>
      <c r="I1174" t="s">
        <v>743</v>
      </c>
      <c r="J1174" t="s">
        <v>379</v>
      </c>
      <c r="K1174" t="s">
        <v>546</v>
      </c>
      <c r="L1174" s="784" t="s">
        <v>575</v>
      </c>
      <c r="M1174" t="s">
        <v>745</v>
      </c>
      <c r="P1174" t="s">
        <v>1887</v>
      </c>
      <c r="R1174" t="s">
        <v>150</v>
      </c>
      <c r="S1174" t="s">
        <v>145</v>
      </c>
      <c r="U1174">
        <v>0</v>
      </c>
      <c r="V1174" t="s">
        <v>544</v>
      </c>
      <c r="W1174" t="s">
        <v>542</v>
      </c>
      <c r="X1174" s="784">
        <v>147296124.32232863</v>
      </c>
    </row>
    <row r="1175" spans="1:24">
      <c r="A1175" t="s">
        <v>358</v>
      </c>
      <c r="B1175" t="s">
        <v>681</v>
      </c>
      <c r="C1175" t="s">
        <v>156</v>
      </c>
      <c r="D1175" t="s">
        <v>128</v>
      </c>
      <c r="E1175" t="s">
        <v>377</v>
      </c>
      <c r="F1175" t="s">
        <v>383</v>
      </c>
      <c r="G1175" t="s">
        <v>334</v>
      </c>
      <c r="H1175" t="s">
        <v>334</v>
      </c>
      <c r="I1175" t="s">
        <v>743</v>
      </c>
      <c r="J1175" t="s">
        <v>379</v>
      </c>
      <c r="K1175" t="s">
        <v>546</v>
      </c>
      <c r="L1175" s="784" t="s">
        <v>575</v>
      </c>
      <c r="M1175" t="s">
        <v>745</v>
      </c>
      <c r="P1175" t="s">
        <v>1887</v>
      </c>
      <c r="R1175" t="s">
        <v>150</v>
      </c>
      <c r="S1175" t="s">
        <v>145</v>
      </c>
      <c r="U1175">
        <v>0</v>
      </c>
      <c r="V1175" t="s">
        <v>544</v>
      </c>
      <c r="W1175" t="s">
        <v>548</v>
      </c>
      <c r="X1175" s="784">
        <v>890576536.83065879</v>
      </c>
    </row>
    <row r="1176" spans="1:24">
      <c r="A1176" t="s">
        <v>358</v>
      </c>
      <c r="B1176" t="s">
        <v>682</v>
      </c>
      <c r="C1176" t="s">
        <v>157</v>
      </c>
      <c r="D1176" t="s">
        <v>126</v>
      </c>
      <c r="E1176" t="s">
        <v>377</v>
      </c>
      <c r="F1176" t="s">
        <v>383</v>
      </c>
      <c r="G1176" t="s">
        <v>334</v>
      </c>
      <c r="H1176" t="s">
        <v>334</v>
      </c>
      <c r="I1176" t="s">
        <v>743</v>
      </c>
      <c r="J1176" t="s">
        <v>379</v>
      </c>
      <c r="K1176" t="s">
        <v>546</v>
      </c>
      <c r="L1176" s="784" t="s">
        <v>575</v>
      </c>
      <c r="M1176" t="s">
        <v>745</v>
      </c>
      <c r="P1176" t="s">
        <v>1887</v>
      </c>
      <c r="R1176" t="s">
        <v>152</v>
      </c>
      <c r="S1176" t="s">
        <v>146</v>
      </c>
      <c r="U1176">
        <v>0</v>
      </c>
      <c r="V1176" t="s">
        <v>544</v>
      </c>
      <c r="W1176" t="s">
        <v>575</v>
      </c>
      <c r="X1176" s="784">
        <v>14611129792.346064</v>
      </c>
    </row>
    <row r="1177" spans="1:24">
      <c r="A1177" t="s">
        <v>358</v>
      </c>
      <c r="B1177" t="s">
        <v>683</v>
      </c>
      <c r="C1177" t="s">
        <v>281</v>
      </c>
      <c r="D1177" t="s">
        <v>126</v>
      </c>
      <c r="E1177" t="s">
        <v>377</v>
      </c>
      <c r="F1177" t="s">
        <v>383</v>
      </c>
      <c r="G1177" t="s">
        <v>334</v>
      </c>
      <c r="H1177" t="s">
        <v>334</v>
      </c>
      <c r="I1177" t="s">
        <v>743</v>
      </c>
      <c r="J1177" t="s">
        <v>379</v>
      </c>
      <c r="K1177" t="s">
        <v>546</v>
      </c>
      <c r="L1177" s="784" t="s">
        <v>575</v>
      </c>
      <c r="M1177" t="s">
        <v>745</v>
      </c>
      <c r="P1177" t="s">
        <v>1887</v>
      </c>
      <c r="R1177" t="s">
        <v>150</v>
      </c>
      <c r="S1177" t="s">
        <v>145</v>
      </c>
      <c r="U1177">
        <v>0</v>
      </c>
      <c r="V1177" t="s">
        <v>541</v>
      </c>
      <c r="W1177" t="s">
        <v>558</v>
      </c>
      <c r="X1177" s="784">
        <v>72046877.233008593</v>
      </c>
    </row>
    <row r="1178" spans="1:24">
      <c r="A1178" t="s">
        <v>358</v>
      </c>
      <c r="B1178" t="s">
        <v>684</v>
      </c>
      <c r="C1178" t="s">
        <v>282</v>
      </c>
      <c r="D1178" t="s">
        <v>129</v>
      </c>
      <c r="E1178" t="s">
        <v>377</v>
      </c>
      <c r="F1178" t="s">
        <v>383</v>
      </c>
      <c r="G1178" t="s">
        <v>334</v>
      </c>
      <c r="H1178" t="s">
        <v>334</v>
      </c>
      <c r="I1178" t="s">
        <v>743</v>
      </c>
      <c r="J1178" t="s">
        <v>379</v>
      </c>
      <c r="K1178" t="s">
        <v>546</v>
      </c>
      <c r="L1178" s="784" t="s">
        <v>575</v>
      </c>
      <c r="M1178" t="s">
        <v>745</v>
      </c>
      <c r="P1178" t="s">
        <v>1887</v>
      </c>
      <c r="R1178" t="s">
        <v>148</v>
      </c>
      <c r="S1178" t="s">
        <v>145</v>
      </c>
      <c r="U1178">
        <v>0</v>
      </c>
      <c r="V1178" t="s">
        <v>544</v>
      </c>
      <c r="W1178" t="s">
        <v>542</v>
      </c>
      <c r="X1178" s="784">
        <v>56248139.267255567</v>
      </c>
    </row>
    <row r="1179" spans="1:24">
      <c r="A1179" t="s">
        <v>358</v>
      </c>
      <c r="B1179" t="s">
        <v>685</v>
      </c>
      <c r="C1179" t="s">
        <v>283</v>
      </c>
      <c r="D1179" t="s">
        <v>126</v>
      </c>
      <c r="E1179" t="s">
        <v>377</v>
      </c>
      <c r="F1179" t="s">
        <v>383</v>
      </c>
      <c r="G1179" t="s">
        <v>334</v>
      </c>
      <c r="H1179" t="s">
        <v>334</v>
      </c>
      <c r="I1179" t="s">
        <v>743</v>
      </c>
      <c r="J1179" t="s">
        <v>379</v>
      </c>
      <c r="K1179" t="s">
        <v>546</v>
      </c>
      <c r="L1179" s="784" t="s">
        <v>575</v>
      </c>
      <c r="M1179" t="s">
        <v>745</v>
      </c>
      <c r="P1179" t="s">
        <v>1887</v>
      </c>
      <c r="R1179" t="s">
        <v>152</v>
      </c>
      <c r="S1179" t="s">
        <v>145</v>
      </c>
      <c r="U1179">
        <v>0</v>
      </c>
      <c r="V1179" t="s">
        <v>541</v>
      </c>
      <c r="W1179" t="s">
        <v>542</v>
      </c>
      <c r="X1179" s="784">
        <v>15464031.712942109</v>
      </c>
    </row>
    <row r="1180" spans="1:24">
      <c r="A1180" t="s">
        <v>358</v>
      </c>
      <c r="B1180" t="s">
        <v>686</v>
      </c>
      <c r="C1180" t="s">
        <v>284</v>
      </c>
      <c r="D1180" t="s">
        <v>130</v>
      </c>
      <c r="E1180" t="s">
        <v>377</v>
      </c>
      <c r="F1180" t="s">
        <v>383</v>
      </c>
      <c r="G1180" t="s">
        <v>334</v>
      </c>
      <c r="H1180" t="s">
        <v>334</v>
      </c>
      <c r="I1180" t="s">
        <v>743</v>
      </c>
      <c r="J1180" t="s">
        <v>379</v>
      </c>
      <c r="K1180" t="s">
        <v>546</v>
      </c>
      <c r="L1180" s="784">
        <v>2735057</v>
      </c>
      <c r="M1180" t="s">
        <v>745</v>
      </c>
      <c r="P1180" t="s">
        <v>1887</v>
      </c>
      <c r="R1180" t="s">
        <v>550</v>
      </c>
      <c r="S1180" t="s">
        <v>146</v>
      </c>
      <c r="U1180">
        <v>0</v>
      </c>
      <c r="V1180" t="s">
        <v>541</v>
      </c>
      <c r="W1180" t="s">
        <v>546</v>
      </c>
      <c r="X1180" s="784">
        <v>769564399.33249676</v>
      </c>
    </row>
    <row r="1181" spans="1:24">
      <c r="A1181" t="s">
        <v>358</v>
      </c>
      <c r="B1181" t="s">
        <v>687</v>
      </c>
      <c r="C1181" t="s">
        <v>285</v>
      </c>
      <c r="D1181" t="s">
        <v>131</v>
      </c>
      <c r="E1181" t="s">
        <v>377</v>
      </c>
      <c r="F1181" t="s">
        <v>383</v>
      </c>
      <c r="G1181" t="s">
        <v>334</v>
      </c>
      <c r="H1181" t="s">
        <v>334</v>
      </c>
      <c r="I1181" t="s">
        <v>743</v>
      </c>
      <c r="J1181" t="s">
        <v>379</v>
      </c>
      <c r="K1181" t="s">
        <v>546</v>
      </c>
      <c r="L1181" s="784" t="s">
        <v>575</v>
      </c>
      <c r="M1181" t="s">
        <v>745</v>
      </c>
      <c r="P1181" t="s">
        <v>1887</v>
      </c>
      <c r="R1181" t="s">
        <v>150</v>
      </c>
      <c r="S1181" t="s">
        <v>145</v>
      </c>
      <c r="U1181">
        <v>0</v>
      </c>
      <c r="V1181" t="s">
        <v>544</v>
      </c>
      <c r="W1181" t="s">
        <v>546</v>
      </c>
      <c r="X1181" s="784">
        <v>1668954539.7630196</v>
      </c>
    </row>
    <row r="1182" spans="1:24">
      <c r="A1182" t="s">
        <v>358</v>
      </c>
      <c r="B1182" t="s">
        <v>688</v>
      </c>
      <c r="C1182" t="s">
        <v>286</v>
      </c>
      <c r="D1182" t="s">
        <v>127</v>
      </c>
      <c r="E1182" t="s">
        <v>377</v>
      </c>
      <c r="F1182" t="s">
        <v>383</v>
      </c>
      <c r="G1182" t="s">
        <v>334</v>
      </c>
      <c r="H1182" t="s">
        <v>334</v>
      </c>
      <c r="I1182" t="s">
        <v>743</v>
      </c>
      <c r="J1182" t="s">
        <v>379</v>
      </c>
      <c r="K1182" t="s">
        <v>546</v>
      </c>
      <c r="L1182" s="784" t="s">
        <v>575</v>
      </c>
      <c r="M1182" t="s">
        <v>745</v>
      </c>
      <c r="P1182" t="s">
        <v>1887</v>
      </c>
      <c r="R1182" t="s">
        <v>152</v>
      </c>
      <c r="S1182" t="s">
        <v>146</v>
      </c>
      <c r="U1182">
        <v>0</v>
      </c>
      <c r="V1182" t="s">
        <v>544</v>
      </c>
      <c r="W1182" t="s">
        <v>575</v>
      </c>
      <c r="X1182" s="784">
        <v>24840920016.18832</v>
      </c>
    </row>
    <row r="1183" spans="1:24">
      <c r="A1183" t="s">
        <v>358</v>
      </c>
      <c r="B1183" t="s">
        <v>689</v>
      </c>
      <c r="C1183" t="s">
        <v>287</v>
      </c>
      <c r="D1183" t="s">
        <v>127</v>
      </c>
      <c r="E1183" t="s">
        <v>377</v>
      </c>
      <c r="F1183" t="s">
        <v>383</v>
      </c>
      <c r="G1183" t="s">
        <v>334</v>
      </c>
      <c r="H1183" t="s">
        <v>334</v>
      </c>
      <c r="I1183" t="s">
        <v>743</v>
      </c>
      <c r="J1183" t="s">
        <v>379</v>
      </c>
      <c r="K1183" t="s">
        <v>546</v>
      </c>
      <c r="L1183" s="784" t="s">
        <v>575</v>
      </c>
      <c r="M1183" t="s">
        <v>745</v>
      </c>
      <c r="P1183" t="s">
        <v>1887</v>
      </c>
      <c r="R1183" t="s">
        <v>152</v>
      </c>
      <c r="S1183" t="s">
        <v>146</v>
      </c>
      <c r="U1183">
        <v>0</v>
      </c>
      <c r="V1183" t="s">
        <v>544</v>
      </c>
      <c r="W1183" t="s">
        <v>546</v>
      </c>
      <c r="X1183" s="784">
        <v>487888462.83720118</v>
      </c>
    </row>
    <row r="1184" spans="1:24">
      <c r="A1184" t="s">
        <v>358</v>
      </c>
      <c r="B1184" t="s">
        <v>690</v>
      </c>
      <c r="C1184" t="s">
        <v>288</v>
      </c>
      <c r="D1184" t="s">
        <v>126</v>
      </c>
      <c r="E1184" t="s">
        <v>377</v>
      </c>
      <c r="F1184" t="s">
        <v>383</v>
      </c>
      <c r="G1184" t="s">
        <v>334</v>
      </c>
      <c r="H1184" t="s">
        <v>334</v>
      </c>
      <c r="I1184" t="s">
        <v>743</v>
      </c>
      <c r="J1184" t="s">
        <v>379</v>
      </c>
      <c r="K1184" t="s">
        <v>546</v>
      </c>
      <c r="L1184" s="784" t="s">
        <v>575</v>
      </c>
      <c r="M1184" t="s">
        <v>745</v>
      </c>
      <c r="P1184" t="s">
        <v>1887</v>
      </c>
      <c r="R1184" t="s">
        <v>152</v>
      </c>
      <c r="S1184" t="s">
        <v>145</v>
      </c>
      <c r="U1184">
        <v>0</v>
      </c>
      <c r="V1184" t="s">
        <v>541</v>
      </c>
      <c r="W1184" t="s">
        <v>548</v>
      </c>
      <c r="X1184" s="784">
        <v>6365061.1736073596</v>
      </c>
    </row>
    <row r="1185" spans="1:24">
      <c r="A1185" t="s">
        <v>358</v>
      </c>
      <c r="B1185" t="s">
        <v>691</v>
      </c>
      <c r="C1185" t="s">
        <v>289</v>
      </c>
      <c r="D1185" t="s">
        <v>128</v>
      </c>
      <c r="E1185" t="s">
        <v>377</v>
      </c>
      <c r="F1185" t="s">
        <v>383</v>
      </c>
      <c r="G1185" t="s">
        <v>334</v>
      </c>
      <c r="H1185" t="s">
        <v>334</v>
      </c>
      <c r="I1185" t="s">
        <v>743</v>
      </c>
      <c r="J1185" t="s">
        <v>379</v>
      </c>
      <c r="K1185" t="s">
        <v>546</v>
      </c>
      <c r="L1185" s="784" t="s">
        <v>575</v>
      </c>
      <c r="M1185" t="s">
        <v>745</v>
      </c>
      <c r="P1185" t="s">
        <v>1887</v>
      </c>
      <c r="R1185" t="s">
        <v>148</v>
      </c>
      <c r="S1185" t="s">
        <v>145</v>
      </c>
      <c r="U1185">
        <v>2</v>
      </c>
      <c r="V1185" t="s">
        <v>544</v>
      </c>
      <c r="W1185" t="s">
        <v>558</v>
      </c>
      <c r="X1185" s="784">
        <v>291799092.90196139</v>
      </c>
    </row>
    <row r="1186" spans="1:24">
      <c r="A1186" t="s">
        <v>358</v>
      </c>
      <c r="B1186" t="s">
        <v>692</v>
      </c>
      <c r="C1186" t="s">
        <v>290</v>
      </c>
      <c r="D1186" t="s">
        <v>127</v>
      </c>
      <c r="E1186" t="s">
        <v>377</v>
      </c>
      <c r="F1186" t="s">
        <v>383</v>
      </c>
      <c r="G1186" t="s">
        <v>334</v>
      </c>
      <c r="H1186" t="s">
        <v>334</v>
      </c>
      <c r="I1186" t="s">
        <v>743</v>
      </c>
      <c r="J1186" t="s">
        <v>379</v>
      </c>
      <c r="K1186" t="s">
        <v>546</v>
      </c>
      <c r="L1186" s="784" t="s">
        <v>575</v>
      </c>
      <c r="M1186" t="s">
        <v>745</v>
      </c>
      <c r="P1186" t="s">
        <v>1887</v>
      </c>
      <c r="R1186" t="s">
        <v>150</v>
      </c>
      <c r="S1186" t="s">
        <v>145</v>
      </c>
      <c r="U1186">
        <v>0</v>
      </c>
      <c r="V1186" t="s">
        <v>544</v>
      </c>
      <c r="W1186" t="s">
        <v>546</v>
      </c>
      <c r="X1186" s="784">
        <v>4844815340.2135534</v>
      </c>
    </row>
    <row r="1187" spans="1:24">
      <c r="A1187" t="s">
        <v>358</v>
      </c>
      <c r="B1187" t="s">
        <v>693</v>
      </c>
      <c r="C1187" t="s">
        <v>291</v>
      </c>
      <c r="D1187" t="s">
        <v>130</v>
      </c>
      <c r="E1187" t="s">
        <v>377</v>
      </c>
      <c r="F1187" t="s">
        <v>383</v>
      </c>
      <c r="G1187" t="s">
        <v>334</v>
      </c>
      <c r="H1187" t="s">
        <v>334</v>
      </c>
      <c r="I1187" t="s">
        <v>743</v>
      </c>
      <c r="J1187" t="s">
        <v>379</v>
      </c>
      <c r="K1187" t="s">
        <v>546</v>
      </c>
      <c r="L1187" s="784" t="s">
        <v>575</v>
      </c>
      <c r="M1187" t="s">
        <v>745</v>
      </c>
      <c r="P1187" t="s">
        <v>1887</v>
      </c>
      <c r="R1187" t="s">
        <v>550</v>
      </c>
      <c r="S1187" t="s">
        <v>146</v>
      </c>
      <c r="U1187">
        <v>0</v>
      </c>
      <c r="V1187" t="s">
        <v>544</v>
      </c>
      <c r="W1187" t="s">
        <v>575</v>
      </c>
      <c r="X1187" s="784">
        <v>4001891446.6871672</v>
      </c>
    </row>
    <row r="1188" spans="1:24">
      <c r="A1188" t="s">
        <v>358</v>
      </c>
      <c r="B1188" t="s">
        <v>694</v>
      </c>
      <c r="C1188" t="s">
        <v>292</v>
      </c>
      <c r="D1188" t="s">
        <v>127</v>
      </c>
      <c r="E1188" t="s">
        <v>377</v>
      </c>
      <c r="F1188" t="s">
        <v>383</v>
      </c>
      <c r="G1188" t="s">
        <v>334</v>
      </c>
      <c r="H1188" t="s">
        <v>334</v>
      </c>
      <c r="I1188" t="s">
        <v>743</v>
      </c>
      <c r="J1188" t="s">
        <v>379</v>
      </c>
      <c r="K1188" t="s">
        <v>546</v>
      </c>
      <c r="L1188" s="784" t="s">
        <v>575</v>
      </c>
      <c r="M1188" t="s">
        <v>745</v>
      </c>
      <c r="P1188" t="s">
        <v>1887</v>
      </c>
      <c r="R1188" t="s">
        <v>150</v>
      </c>
      <c r="S1188" t="s">
        <v>145</v>
      </c>
      <c r="U1188">
        <v>0</v>
      </c>
      <c r="V1188" t="s">
        <v>544</v>
      </c>
      <c r="W1188" t="s">
        <v>558</v>
      </c>
      <c r="X1188" s="784">
        <v>1019800630.5853213</v>
      </c>
    </row>
    <row r="1189" spans="1:24">
      <c r="A1189" t="s">
        <v>358</v>
      </c>
      <c r="B1189" t="s">
        <v>695</v>
      </c>
      <c r="C1189" t="s">
        <v>293</v>
      </c>
      <c r="D1189" t="s">
        <v>126</v>
      </c>
      <c r="E1189" t="s">
        <v>377</v>
      </c>
      <c r="F1189" t="s">
        <v>383</v>
      </c>
      <c r="G1189" t="s">
        <v>334</v>
      </c>
      <c r="H1189" t="s">
        <v>334</v>
      </c>
      <c r="I1189" t="s">
        <v>743</v>
      </c>
      <c r="J1189" t="s">
        <v>379</v>
      </c>
      <c r="K1189" t="s">
        <v>546</v>
      </c>
      <c r="L1189" s="784" t="s">
        <v>575</v>
      </c>
      <c r="M1189" t="s">
        <v>745</v>
      </c>
      <c r="P1189" t="s">
        <v>1887</v>
      </c>
      <c r="R1189" t="s">
        <v>150</v>
      </c>
      <c r="S1189" t="s">
        <v>145</v>
      </c>
      <c r="U1189">
        <v>0</v>
      </c>
      <c r="V1189" t="s">
        <v>541</v>
      </c>
      <c r="W1189" t="s">
        <v>562</v>
      </c>
      <c r="X1189" s="784">
        <v>19578671.310841195</v>
      </c>
    </row>
    <row r="1190" spans="1:24">
      <c r="A1190" t="s">
        <v>358</v>
      </c>
      <c r="B1190" t="s">
        <v>696</v>
      </c>
      <c r="C1190" t="s">
        <v>294</v>
      </c>
      <c r="D1190" t="s">
        <v>130</v>
      </c>
      <c r="E1190" t="s">
        <v>377</v>
      </c>
      <c r="F1190" t="s">
        <v>383</v>
      </c>
      <c r="G1190" t="s">
        <v>334</v>
      </c>
      <c r="H1190" t="s">
        <v>334</v>
      </c>
      <c r="I1190" t="s">
        <v>743</v>
      </c>
      <c r="J1190" t="s">
        <v>379</v>
      </c>
      <c r="K1190" t="s">
        <v>546</v>
      </c>
      <c r="L1190" s="784" t="s">
        <v>575</v>
      </c>
      <c r="M1190" t="s">
        <v>745</v>
      </c>
      <c r="P1190" t="s">
        <v>1887</v>
      </c>
      <c r="R1190" t="s">
        <v>322</v>
      </c>
      <c r="S1190" t="s">
        <v>146</v>
      </c>
      <c r="U1190">
        <v>0</v>
      </c>
      <c r="V1190" t="s">
        <v>544</v>
      </c>
      <c r="W1190" t="s">
        <v>546</v>
      </c>
      <c r="X1190" s="784">
        <v>3551452001.0684834</v>
      </c>
    </row>
    <row r="1191" spans="1:24">
      <c r="A1191" t="s">
        <v>358</v>
      </c>
      <c r="B1191" t="s">
        <v>697</v>
      </c>
      <c r="C1191" t="s">
        <v>295</v>
      </c>
      <c r="D1191" t="s">
        <v>126</v>
      </c>
      <c r="E1191" t="s">
        <v>377</v>
      </c>
      <c r="F1191" t="s">
        <v>383</v>
      </c>
      <c r="G1191" t="s">
        <v>334</v>
      </c>
      <c r="H1191" t="s">
        <v>334</v>
      </c>
      <c r="I1191" t="s">
        <v>743</v>
      </c>
      <c r="J1191" t="s">
        <v>379</v>
      </c>
      <c r="K1191" t="s">
        <v>546</v>
      </c>
      <c r="L1191" s="784" t="s">
        <v>575</v>
      </c>
      <c r="M1191" t="s">
        <v>745</v>
      </c>
      <c r="P1191" t="s">
        <v>1887</v>
      </c>
      <c r="R1191" t="s">
        <v>150</v>
      </c>
      <c r="S1191" t="s">
        <v>145</v>
      </c>
      <c r="U1191">
        <v>0</v>
      </c>
      <c r="V1191" t="s">
        <v>544</v>
      </c>
      <c r="W1191" t="s">
        <v>546</v>
      </c>
      <c r="X1191" s="784">
        <v>6603048821.7575006</v>
      </c>
    </row>
    <row r="1192" spans="1:24">
      <c r="A1192" t="s">
        <v>358</v>
      </c>
      <c r="B1192" t="s">
        <v>698</v>
      </c>
      <c r="C1192" t="s">
        <v>296</v>
      </c>
      <c r="D1192" t="s">
        <v>131</v>
      </c>
      <c r="E1192" t="s">
        <v>377</v>
      </c>
      <c r="F1192" t="s">
        <v>383</v>
      </c>
      <c r="G1192" t="s">
        <v>334</v>
      </c>
      <c r="H1192" t="s">
        <v>334</v>
      </c>
      <c r="I1192" t="s">
        <v>743</v>
      </c>
      <c r="J1192" t="s">
        <v>379</v>
      </c>
      <c r="K1192" t="s">
        <v>546</v>
      </c>
      <c r="L1192" s="784" t="s">
        <v>575</v>
      </c>
      <c r="M1192" t="s">
        <v>745</v>
      </c>
      <c r="P1192" t="s">
        <v>1887</v>
      </c>
      <c r="R1192" t="s">
        <v>148</v>
      </c>
      <c r="S1192" t="s">
        <v>145</v>
      </c>
      <c r="U1192">
        <v>1</v>
      </c>
      <c r="V1192" t="s">
        <v>544</v>
      </c>
      <c r="W1192" t="s">
        <v>548</v>
      </c>
      <c r="X1192" s="784" t="s">
        <v>575</v>
      </c>
    </row>
    <row r="1193" spans="1:24">
      <c r="A1193" t="s">
        <v>358</v>
      </c>
      <c r="B1193" t="s">
        <v>699</v>
      </c>
      <c r="C1193" t="s">
        <v>297</v>
      </c>
      <c r="D1193" t="s">
        <v>128</v>
      </c>
      <c r="E1193" t="s">
        <v>377</v>
      </c>
      <c r="F1193" t="s">
        <v>383</v>
      </c>
      <c r="G1193" t="s">
        <v>334</v>
      </c>
      <c r="H1193" t="s">
        <v>334</v>
      </c>
      <c r="I1193" t="s">
        <v>743</v>
      </c>
      <c r="J1193" t="s">
        <v>379</v>
      </c>
      <c r="K1193" t="s">
        <v>546</v>
      </c>
      <c r="L1193" s="784" t="s">
        <v>575</v>
      </c>
      <c r="M1193" t="s">
        <v>745</v>
      </c>
      <c r="P1193" t="s">
        <v>1887</v>
      </c>
      <c r="R1193" t="s">
        <v>150</v>
      </c>
      <c r="S1193" t="s">
        <v>145</v>
      </c>
      <c r="U1193">
        <v>0</v>
      </c>
      <c r="V1193" t="s">
        <v>544</v>
      </c>
      <c r="W1193" t="s">
        <v>542</v>
      </c>
      <c r="X1193" s="784">
        <v>515352723.9821828</v>
      </c>
    </row>
    <row r="1194" spans="1:24">
      <c r="A1194" t="s">
        <v>358</v>
      </c>
      <c r="B1194" t="s">
        <v>700</v>
      </c>
      <c r="C1194" t="s">
        <v>298</v>
      </c>
      <c r="D1194" t="s">
        <v>128</v>
      </c>
      <c r="E1194" t="s">
        <v>377</v>
      </c>
      <c r="F1194" t="s">
        <v>383</v>
      </c>
      <c r="G1194" t="s">
        <v>334</v>
      </c>
      <c r="H1194" t="s">
        <v>334</v>
      </c>
      <c r="I1194" t="s">
        <v>743</v>
      </c>
      <c r="J1194" t="s">
        <v>379</v>
      </c>
      <c r="K1194" t="s">
        <v>546</v>
      </c>
      <c r="L1194" s="784" t="s">
        <v>575</v>
      </c>
      <c r="M1194" t="s">
        <v>745</v>
      </c>
      <c r="P1194" t="s">
        <v>1887</v>
      </c>
      <c r="R1194" t="s">
        <v>150</v>
      </c>
      <c r="S1194" t="s">
        <v>145</v>
      </c>
      <c r="U1194">
        <v>0</v>
      </c>
      <c r="V1194" t="s">
        <v>544</v>
      </c>
      <c r="W1194" t="s">
        <v>546</v>
      </c>
      <c r="X1194" s="784">
        <v>566711742.22428358</v>
      </c>
    </row>
    <row r="1195" spans="1:24">
      <c r="A1195" t="s">
        <v>358</v>
      </c>
      <c r="B1195" t="s">
        <v>540</v>
      </c>
      <c r="C1195" t="s">
        <v>160</v>
      </c>
      <c r="D1195" t="s">
        <v>132</v>
      </c>
      <c r="E1195" t="s">
        <v>377</v>
      </c>
      <c r="F1195" t="s">
        <v>383</v>
      </c>
      <c r="G1195" t="s">
        <v>747</v>
      </c>
      <c r="H1195" t="s">
        <v>747</v>
      </c>
      <c r="I1195" t="s">
        <v>743</v>
      </c>
      <c r="J1195" t="s">
        <v>744</v>
      </c>
      <c r="K1195" t="s">
        <v>546</v>
      </c>
      <c r="L1195" s="784" t="s">
        <v>575</v>
      </c>
      <c r="M1195" t="s">
        <v>745</v>
      </c>
      <c r="P1195" t="s">
        <v>1887</v>
      </c>
      <c r="R1195" t="s">
        <v>148</v>
      </c>
      <c r="S1195" t="s">
        <v>145</v>
      </c>
      <c r="U1195">
        <v>1</v>
      </c>
      <c r="V1195" t="s">
        <v>544</v>
      </c>
      <c r="W1195" t="s">
        <v>542</v>
      </c>
      <c r="X1195" s="784">
        <v>95829480.719269618</v>
      </c>
    </row>
    <row r="1196" spans="1:24">
      <c r="A1196" t="s">
        <v>358</v>
      </c>
      <c r="B1196" t="s">
        <v>543</v>
      </c>
      <c r="C1196" t="s">
        <v>161</v>
      </c>
      <c r="D1196" t="s">
        <v>127</v>
      </c>
      <c r="E1196" t="s">
        <v>377</v>
      </c>
      <c r="F1196" t="s">
        <v>383</v>
      </c>
      <c r="G1196" t="s">
        <v>747</v>
      </c>
      <c r="H1196" t="s">
        <v>747</v>
      </c>
      <c r="I1196" t="s">
        <v>743</v>
      </c>
      <c r="J1196" t="s">
        <v>744</v>
      </c>
      <c r="K1196" t="s">
        <v>546</v>
      </c>
      <c r="L1196" s="784" t="s">
        <v>575</v>
      </c>
      <c r="M1196" t="s">
        <v>745</v>
      </c>
      <c r="P1196" t="s">
        <v>1887</v>
      </c>
      <c r="R1196" t="s">
        <v>152</v>
      </c>
      <c r="S1196" t="s">
        <v>146</v>
      </c>
      <c r="U1196">
        <v>0</v>
      </c>
      <c r="V1196" t="s">
        <v>544</v>
      </c>
      <c r="W1196" t="s">
        <v>575</v>
      </c>
      <c r="X1196" s="784">
        <v>427904035.52443534</v>
      </c>
    </row>
    <row r="1197" spans="1:24">
      <c r="A1197" t="s">
        <v>358</v>
      </c>
      <c r="B1197" t="s">
        <v>545</v>
      </c>
      <c r="C1197" t="s">
        <v>143</v>
      </c>
      <c r="D1197" t="s">
        <v>131</v>
      </c>
      <c r="E1197" t="s">
        <v>377</v>
      </c>
      <c r="F1197" t="s">
        <v>383</v>
      </c>
      <c r="G1197" t="s">
        <v>747</v>
      </c>
      <c r="H1197" t="s">
        <v>747</v>
      </c>
      <c r="I1197" t="s">
        <v>743</v>
      </c>
      <c r="J1197" t="s">
        <v>744</v>
      </c>
      <c r="K1197" t="s">
        <v>546</v>
      </c>
      <c r="L1197" s="784" t="s">
        <v>575</v>
      </c>
      <c r="M1197" t="s">
        <v>745</v>
      </c>
      <c r="P1197" t="s">
        <v>1887</v>
      </c>
      <c r="R1197" t="s">
        <v>150</v>
      </c>
      <c r="S1197" t="s">
        <v>145</v>
      </c>
      <c r="U1197">
        <v>0</v>
      </c>
      <c r="V1197" t="s">
        <v>544</v>
      </c>
      <c r="W1197" t="s">
        <v>546</v>
      </c>
      <c r="X1197" s="784">
        <v>7113361022.7267885</v>
      </c>
    </row>
    <row r="1198" spans="1:24">
      <c r="A1198" t="s">
        <v>358</v>
      </c>
      <c r="B1198" t="s">
        <v>547</v>
      </c>
      <c r="C1198" t="s">
        <v>162</v>
      </c>
      <c r="D1198" t="s">
        <v>128</v>
      </c>
      <c r="E1198" t="s">
        <v>377</v>
      </c>
      <c r="F1198" t="s">
        <v>383</v>
      </c>
      <c r="G1198" t="s">
        <v>747</v>
      </c>
      <c r="H1198" t="s">
        <v>747</v>
      </c>
      <c r="I1198" t="s">
        <v>743</v>
      </c>
      <c r="J1198" t="s">
        <v>744</v>
      </c>
      <c r="K1198" t="s">
        <v>546</v>
      </c>
      <c r="L1198" s="784" t="s">
        <v>575</v>
      </c>
      <c r="M1198" t="s">
        <v>745</v>
      </c>
      <c r="P1198" t="s">
        <v>1887</v>
      </c>
      <c r="R1198" t="s">
        <v>150</v>
      </c>
      <c r="S1198" t="s">
        <v>145</v>
      </c>
      <c r="U1198">
        <v>0</v>
      </c>
      <c r="V1198" t="s">
        <v>544</v>
      </c>
      <c r="W1198" t="s">
        <v>548</v>
      </c>
      <c r="X1198" s="784">
        <v>1131865946.5875781</v>
      </c>
    </row>
    <row r="1199" spans="1:24">
      <c r="A1199" t="s">
        <v>358</v>
      </c>
      <c r="B1199" t="s">
        <v>549</v>
      </c>
      <c r="C1199" t="s">
        <v>163</v>
      </c>
      <c r="D1199" t="s">
        <v>130</v>
      </c>
      <c r="E1199" t="s">
        <v>377</v>
      </c>
      <c r="F1199" t="s">
        <v>383</v>
      </c>
      <c r="G1199" t="s">
        <v>747</v>
      </c>
      <c r="H1199" t="s">
        <v>747</v>
      </c>
      <c r="I1199" t="s">
        <v>743</v>
      </c>
      <c r="J1199" t="s">
        <v>744</v>
      </c>
      <c r="K1199" t="s">
        <v>546</v>
      </c>
      <c r="L1199" s="784" t="s">
        <v>575</v>
      </c>
      <c r="M1199" t="s">
        <v>745</v>
      </c>
      <c r="P1199" t="s">
        <v>1887</v>
      </c>
      <c r="R1199" t="s">
        <v>550</v>
      </c>
      <c r="S1199" t="s">
        <v>146</v>
      </c>
      <c r="U1199">
        <v>0</v>
      </c>
      <c r="V1199" t="s">
        <v>541</v>
      </c>
      <c r="W1199" t="s">
        <v>575</v>
      </c>
      <c r="X1199" s="784">
        <v>46777779.823447868</v>
      </c>
    </row>
    <row r="1200" spans="1:24">
      <c r="A1200" t="s">
        <v>358</v>
      </c>
      <c r="B1200" t="s">
        <v>551</v>
      </c>
      <c r="C1200" t="s">
        <v>164</v>
      </c>
      <c r="D1200" t="s">
        <v>130</v>
      </c>
      <c r="E1200" t="s">
        <v>377</v>
      </c>
      <c r="F1200" t="s">
        <v>383</v>
      </c>
      <c r="G1200" t="s">
        <v>747</v>
      </c>
      <c r="H1200" t="s">
        <v>747</v>
      </c>
      <c r="I1200" t="s">
        <v>743</v>
      </c>
      <c r="J1200" t="s">
        <v>744</v>
      </c>
      <c r="K1200" t="s">
        <v>546</v>
      </c>
      <c r="L1200" s="784" t="s">
        <v>575</v>
      </c>
      <c r="M1200" t="s">
        <v>745</v>
      </c>
      <c r="P1200" t="s">
        <v>1887</v>
      </c>
      <c r="R1200" t="s">
        <v>152</v>
      </c>
      <c r="S1200" t="s">
        <v>146</v>
      </c>
      <c r="U1200">
        <v>0</v>
      </c>
      <c r="V1200" t="s">
        <v>544</v>
      </c>
      <c r="W1200" t="s">
        <v>575</v>
      </c>
      <c r="X1200" s="784">
        <v>30725305777.596794</v>
      </c>
    </row>
    <row r="1201" spans="1:24">
      <c r="A1201" t="s">
        <v>358</v>
      </c>
      <c r="B1201" t="s">
        <v>553</v>
      </c>
      <c r="C1201" t="s">
        <v>165</v>
      </c>
      <c r="D1201" t="s">
        <v>127</v>
      </c>
      <c r="E1201" t="s">
        <v>377</v>
      </c>
      <c r="F1201" t="s">
        <v>383</v>
      </c>
      <c r="G1201" t="s">
        <v>747</v>
      </c>
      <c r="H1201" t="s">
        <v>747</v>
      </c>
      <c r="I1201" t="s">
        <v>743</v>
      </c>
      <c r="J1201" t="s">
        <v>744</v>
      </c>
      <c r="K1201" t="s">
        <v>546</v>
      </c>
      <c r="L1201" s="784" t="s">
        <v>575</v>
      </c>
      <c r="M1201" t="s">
        <v>745</v>
      </c>
      <c r="P1201" t="s">
        <v>1887</v>
      </c>
      <c r="R1201" t="s">
        <v>152</v>
      </c>
      <c r="S1201" t="s">
        <v>146</v>
      </c>
      <c r="U1201">
        <v>0</v>
      </c>
      <c r="V1201" t="s">
        <v>544</v>
      </c>
      <c r="W1201" t="s">
        <v>575</v>
      </c>
      <c r="X1201" s="784">
        <v>153815827.8380394</v>
      </c>
    </row>
    <row r="1202" spans="1:24">
      <c r="A1202" t="s">
        <v>358</v>
      </c>
      <c r="B1202" t="s">
        <v>554</v>
      </c>
      <c r="C1202" t="s">
        <v>166</v>
      </c>
      <c r="D1202" t="s">
        <v>127</v>
      </c>
      <c r="E1202" t="s">
        <v>377</v>
      </c>
      <c r="F1202" t="s">
        <v>383</v>
      </c>
      <c r="G1202" t="s">
        <v>747</v>
      </c>
      <c r="H1202" t="s">
        <v>747</v>
      </c>
      <c r="I1202" t="s">
        <v>743</v>
      </c>
      <c r="J1202" t="s">
        <v>744</v>
      </c>
      <c r="K1202" t="s">
        <v>546</v>
      </c>
      <c r="L1202" s="784" t="s">
        <v>575</v>
      </c>
      <c r="M1202" t="s">
        <v>745</v>
      </c>
      <c r="P1202" t="s">
        <v>1887</v>
      </c>
      <c r="R1202" t="s">
        <v>152</v>
      </c>
      <c r="S1202" t="s">
        <v>146</v>
      </c>
      <c r="U1202">
        <v>0</v>
      </c>
      <c r="V1202" t="s">
        <v>544</v>
      </c>
      <c r="W1202" t="s">
        <v>546</v>
      </c>
      <c r="X1202" s="784">
        <v>437525105.31216973</v>
      </c>
    </row>
    <row r="1203" spans="1:24">
      <c r="A1203" t="s">
        <v>358</v>
      </c>
      <c r="B1203" t="s">
        <v>555</v>
      </c>
      <c r="C1203" t="s">
        <v>556</v>
      </c>
      <c r="D1203" t="s">
        <v>130</v>
      </c>
      <c r="E1203" t="s">
        <v>377</v>
      </c>
      <c r="F1203" t="s">
        <v>383</v>
      </c>
      <c r="G1203" t="s">
        <v>747</v>
      </c>
      <c r="H1203" t="s">
        <v>747</v>
      </c>
      <c r="I1203" t="s">
        <v>743</v>
      </c>
      <c r="J1203" t="s">
        <v>744</v>
      </c>
      <c r="K1203" t="s">
        <v>546</v>
      </c>
      <c r="L1203" s="784" t="s">
        <v>575</v>
      </c>
      <c r="M1203" t="s">
        <v>745</v>
      </c>
      <c r="P1203" t="s">
        <v>1887</v>
      </c>
      <c r="R1203" t="s">
        <v>550</v>
      </c>
      <c r="S1203" t="s">
        <v>146</v>
      </c>
      <c r="U1203">
        <v>0</v>
      </c>
      <c r="V1203" t="s">
        <v>541</v>
      </c>
      <c r="W1203" t="s">
        <v>575</v>
      </c>
      <c r="X1203" s="784">
        <v>149463302.00602186</v>
      </c>
    </row>
    <row r="1204" spans="1:24">
      <c r="A1204" t="s">
        <v>358</v>
      </c>
      <c r="B1204" t="s">
        <v>557</v>
      </c>
      <c r="C1204" t="s">
        <v>167</v>
      </c>
      <c r="D1204" t="s">
        <v>132</v>
      </c>
      <c r="E1204" t="s">
        <v>377</v>
      </c>
      <c r="F1204" t="s">
        <v>383</v>
      </c>
      <c r="G1204" t="s">
        <v>747</v>
      </c>
      <c r="H1204" t="s">
        <v>747</v>
      </c>
      <c r="I1204" t="s">
        <v>743</v>
      </c>
      <c r="J1204" t="s">
        <v>744</v>
      </c>
      <c r="K1204" t="s">
        <v>546</v>
      </c>
      <c r="L1204" s="784">
        <v>33299999.999999996</v>
      </c>
      <c r="M1204" t="s">
        <v>745</v>
      </c>
      <c r="P1204" t="s">
        <v>1887</v>
      </c>
      <c r="R1204" t="s">
        <v>150</v>
      </c>
      <c r="S1204" t="s">
        <v>145</v>
      </c>
      <c r="U1204">
        <v>0</v>
      </c>
      <c r="V1204" t="s">
        <v>544</v>
      </c>
      <c r="W1204" t="s">
        <v>558</v>
      </c>
      <c r="X1204" s="784">
        <v>1148322593.9600098</v>
      </c>
    </row>
    <row r="1205" spans="1:24">
      <c r="A1205" t="s">
        <v>358</v>
      </c>
      <c r="B1205" t="s">
        <v>559</v>
      </c>
      <c r="C1205" t="s">
        <v>168</v>
      </c>
      <c r="D1205" t="s">
        <v>127</v>
      </c>
      <c r="E1205" t="s">
        <v>377</v>
      </c>
      <c r="F1205" t="s">
        <v>383</v>
      </c>
      <c r="G1205" t="s">
        <v>747</v>
      </c>
      <c r="H1205" t="s">
        <v>747</v>
      </c>
      <c r="I1205" t="s">
        <v>743</v>
      </c>
      <c r="J1205" t="s">
        <v>744</v>
      </c>
      <c r="K1205" t="s">
        <v>546</v>
      </c>
      <c r="L1205" s="784" t="s">
        <v>575</v>
      </c>
      <c r="M1205" t="s">
        <v>745</v>
      </c>
      <c r="P1205" t="s">
        <v>1887</v>
      </c>
      <c r="R1205" t="s">
        <v>152</v>
      </c>
      <c r="S1205" t="s">
        <v>146</v>
      </c>
      <c r="U1205">
        <v>0</v>
      </c>
      <c r="V1205" t="s">
        <v>544</v>
      </c>
      <c r="W1205" t="s">
        <v>575</v>
      </c>
      <c r="X1205" s="784">
        <v>2371102058.1093163</v>
      </c>
    </row>
    <row r="1206" spans="1:24">
      <c r="A1206" t="s">
        <v>358</v>
      </c>
      <c r="B1206" t="s">
        <v>560</v>
      </c>
      <c r="C1206" t="s">
        <v>169</v>
      </c>
      <c r="D1206" t="s">
        <v>130</v>
      </c>
      <c r="E1206" t="s">
        <v>377</v>
      </c>
      <c r="F1206" t="s">
        <v>383</v>
      </c>
      <c r="G1206" t="s">
        <v>747</v>
      </c>
      <c r="H1206" t="s">
        <v>747</v>
      </c>
      <c r="I1206" t="s">
        <v>743</v>
      </c>
      <c r="J1206" t="s">
        <v>744</v>
      </c>
      <c r="K1206" t="s">
        <v>546</v>
      </c>
      <c r="L1206" s="784" t="s">
        <v>575</v>
      </c>
      <c r="M1206" t="s">
        <v>745</v>
      </c>
      <c r="P1206" t="s">
        <v>1887</v>
      </c>
      <c r="R1206" t="s">
        <v>150</v>
      </c>
      <c r="S1206" t="s">
        <v>146</v>
      </c>
      <c r="U1206">
        <v>0</v>
      </c>
      <c r="V1206" t="s">
        <v>541</v>
      </c>
      <c r="W1206" t="s">
        <v>546</v>
      </c>
      <c r="X1206" s="784">
        <v>75151620.005215243</v>
      </c>
    </row>
    <row r="1207" spans="1:24">
      <c r="A1207" t="s">
        <v>358</v>
      </c>
      <c r="B1207" t="s">
        <v>561</v>
      </c>
      <c r="C1207" t="s">
        <v>170</v>
      </c>
      <c r="D1207" t="s">
        <v>129</v>
      </c>
      <c r="E1207" t="s">
        <v>377</v>
      </c>
      <c r="F1207" t="s">
        <v>383</v>
      </c>
      <c r="G1207" t="s">
        <v>747</v>
      </c>
      <c r="H1207" t="s">
        <v>747</v>
      </c>
      <c r="I1207" t="s">
        <v>743</v>
      </c>
      <c r="J1207" t="s">
        <v>744</v>
      </c>
      <c r="K1207" t="s">
        <v>546</v>
      </c>
      <c r="L1207" s="784">
        <v>19300000</v>
      </c>
      <c r="M1207" t="s">
        <v>745</v>
      </c>
      <c r="P1207" t="s">
        <v>1887</v>
      </c>
      <c r="R1207" t="s">
        <v>150</v>
      </c>
      <c r="S1207" t="s">
        <v>145</v>
      </c>
      <c r="U1207">
        <v>0</v>
      </c>
      <c r="V1207" t="s">
        <v>544</v>
      </c>
      <c r="W1207" t="s">
        <v>562</v>
      </c>
      <c r="X1207" s="784">
        <v>69958487.197715744</v>
      </c>
    </row>
    <row r="1208" spans="1:24">
      <c r="A1208" t="s">
        <v>358</v>
      </c>
      <c r="B1208" t="s">
        <v>563</v>
      </c>
      <c r="C1208" t="s">
        <v>171</v>
      </c>
      <c r="D1208" t="s">
        <v>132</v>
      </c>
      <c r="E1208" t="s">
        <v>377</v>
      </c>
      <c r="F1208" t="s">
        <v>383</v>
      </c>
      <c r="G1208" t="s">
        <v>747</v>
      </c>
      <c r="H1208" t="s">
        <v>747</v>
      </c>
      <c r="I1208" t="s">
        <v>743</v>
      </c>
      <c r="J1208" t="s">
        <v>744</v>
      </c>
      <c r="K1208" t="s">
        <v>546</v>
      </c>
      <c r="L1208" s="784" t="s">
        <v>575</v>
      </c>
      <c r="M1208" t="s">
        <v>745</v>
      </c>
      <c r="P1208" t="s">
        <v>1887</v>
      </c>
      <c r="R1208" t="s">
        <v>150</v>
      </c>
      <c r="S1208" t="s">
        <v>145</v>
      </c>
      <c r="U1208">
        <v>0</v>
      </c>
      <c r="V1208" t="s">
        <v>544</v>
      </c>
      <c r="W1208" t="s">
        <v>548</v>
      </c>
      <c r="X1208" s="784">
        <v>61654608.560629159</v>
      </c>
    </row>
    <row r="1209" spans="1:24">
      <c r="A1209" t="s">
        <v>358</v>
      </c>
      <c r="B1209" t="s">
        <v>564</v>
      </c>
      <c r="C1209" t="s">
        <v>172</v>
      </c>
      <c r="D1209" t="s">
        <v>130</v>
      </c>
      <c r="E1209" t="s">
        <v>377</v>
      </c>
      <c r="F1209" t="s">
        <v>383</v>
      </c>
      <c r="G1209" t="s">
        <v>747</v>
      </c>
      <c r="H1209" t="s">
        <v>747</v>
      </c>
      <c r="I1209" t="s">
        <v>743</v>
      </c>
      <c r="J1209" t="s">
        <v>744</v>
      </c>
      <c r="K1209" t="s">
        <v>546</v>
      </c>
      <c r="L1209" s="784" t="s">
        <v>575</v>
      </c>
      <c r="M1209" t="s">
        <v>745</v>
      </c>
      <c r="P1209" t="s">
        <v>1887</v>
      </c>
      <c r="R1209" t="s">
        <v>150</v>
      </c>
      <c r="S1209" t="s">
        <v>145</v>
      </c>
      <c r="U1209">
        <v>0</v>
      </c>
      <c r="V1209" t="s">
        <v>544</v>
      </c>
      <c r="W1209" t="s">
        <v>546</v>
      </c>
      <c r="X1209" s="784">
        <v>1806638707.7615163</v>
      </c>
    </row>
    <row r="1210" spans="1:24">
      <c r="A1210" t="s">
        <v>358</v>
      </c>
      <c r="B1210" t="s">
        <v>565</v>
      </c>
      <c r="C1210" t="s">
        <v>174</v>
      </c>
      <c r="D1210" t="s">
        <v>127</v>
      </c>
      <c r="E1210" t="s">
        <v>377</v>
      </c>
      <c r="F1210" t="s">
        <v>383</v>
      </c>
      <c r="G1210" t="s">
        <v>747</v>
      </c>
      <c r="H1210" t="s">
        <v>747</v>
      </c>
      <c r="I1210" t="s">
        <v>743</v>
      </c>
      <c r="J1210" t="s">
        <v>744</v>
      </c>
      <c r="K1210" t="s">
        <v>546</v>
      </c>
      <c r="L1210" s="784" t="s">
        <v>575</v>
      </c>
      <c r="M1210" t="s">
        <v>745</v>
      </c>
      <c r="P1210" t="s">
        <v>1887</v>
      </c>
      <c r="R1210" t="s">
        <v>152</v>
      </c>
      <c r="S1210" t="s">
        <v>146</v>
      </c>
      <c r="U1210">
        <v>0</v>
      </c>
      <c r="V1210" t="s">
        <v>544</v>
      </c>
      <c r="W1210" t="s">
        <v>546</v>
      </c>
      <c r="X1210" s="784">
        <v>1252696525.0627904</v>
      </c>
    </row>
    <row r="1211" spans="1:24">
      <c r="A1211" t="s">
        <v>358</v>
      </c>
      <c r="B1211" t="s">
        <v>566</v>
      </c>
      <c r="C1211" t="s">
        <v>175</v>
      </c>
      <c r="D1211" t="s">
        <v>128</v>
      </c>
      <c r="E1211" t="s">
        <v>377</v>
      </c>
      <c r="F1211" t="s">
        <v>383</v>
      </c>
      <c r="G1211" t="s">
        <v>747</v>
      </c>
      <c r="H1211" t="s">
        <v>747</v>
      </c>
      <c r="I1211" t="s">
        <v>743</v>
      </c>
      <c r="J1211" t="s">
        <v>744</v>
      </c>
      <c r="K1211" t="s">
        <v>546</v>
      </c>
      <c r="L1211" s="784" t="s">
        <v>575</v>
      </c>
      <c r="M1211" t="s">
        <v>745</v>
      </c>
      <c r="P1211" t="s">
        <v>1887</v>
      </c>
      <c r="R1211" t="s">
        <v>152</v>
      </c>
      <c r="S1211" t="s">
        <v>146</v>
      </c>
      <c r="U1211">
        <v>0</v>
      </c>
      <c r="V1211" t="s">
        <v>544</v>
      </c>
      <c r="W1211" t="s">
        <v>575</v>
      </c>
      <c r="X1211" s="784">
        <v>843425084.07334602</v>
      </c>
    </row>
    <row r="1212" spans="1:24">
      <c r="A1212" t="s">
        <v>358</v>
      </c>
      <c r="B1212" t="s">
        <v>567</v>
      </c>
      <c r="C1212" t="s">
        <v>144</v>
      </c>
      <c r="D1212" t="s">
        <v>130</v>
      </c>
      <c r="E1212" t="s">
        <v>377</v>
      </c>
      <c r="F1212" t="s">
        <v>383</v>
      </c>
      <c r="G1212" t="s">
        <v>747</v>
      </c>
      <c r="H1212" t="s">
        <v>747</v>
      </c>
      <c r="I1212" t="s">
        <v>743</v>
      </c>
      <c r="J1212" t="s">
        <v>744</v>
      </c>
      <c r="K1212" t="s">
        <v>546</v>
      </c>
      <c r="L1212" s="784" t="s">
        <v>575</v>
      </c>
      <c r="M1212" t="s">
        <v>745</v>
      </c>
      <c r="P1212" t="s">
        <v>1887</v>
      </c>
      <c r="R1212" t="s">
        <v>152</v>
      </c>
      <c r="S1212" t="s">
        <v>146</v>
      </c>
      <c r="U1212">
        <v>0</v>
      </c>
      <c r="V1212" t="s">
        <v>544</v>
      </c>
      <c r="W1212" t="s">
        <v>546</v>
      </c>
      <c r="X1212" s="784">
        <v>74055620038.853683</v>
      </c>
    </row>
    <row r="1213" spans="1:24">
      <c r="A1213" t="s">
        <v>358</v>
      </c>
      <c r="B1213" t="s">
        <v>568</v>
      </c>
      <c r="C1213" t="s">
        <v>176</v>
      </c>
      <c r="D1213" t="s">
        <v>127</v>
      </c>
      <c r="E1213" t="s">
        <v>377</v>
      </c>
      <c r="F1213" t="s">
        <v>383</v>
      </c>
      <c r="G1213" t="s">
        <v>747</v>
      </c>
      <c r="H1213" t="s">
        <v>747</v>
      </c>
      <c r="I1213" t="s">
        <v>743</v>
      </c>
      <c r="J1213" t="s">
        <v>744</v>
      </c>
      <c r="K1213" t="s">
        <v>546</v>
      </c>
      <c r="L1213" s="784" t="s">
        <v>575</v>
      </c>
      <c r="M1213" t="s">
        <v>745</v>
      </c>
      <c r="P1213" t="s">
        <v>1887</v>
      </c>
      <c r="R1213" t="s">
        <v>152</v>
      </c>
      <c r="S1213" t="s">
        <v>146</v>
      </c>
      <c r="U1213">
        <v>0</v>
      </c>
      <c r="V1213" t="s">
        <v>544</v>
      </c>
      <c r="W1213" t="s">
        <v>575</v>
      </c>
      <c r="X1213" s="784">
        <v>2803357765.5888777</v>
      </c>
    </row>
    <row r="1214" spans="1:24">
      <c r="A1214" t="s">
        <v>358</v>
      </c>
      <c r="B1214" t="s">
        <v>569</v>
      </c>
      <c r="C1214" t="s">
        <v>177</v>
      </c>
      <c r="D1214" t="s">
        <v>129</v>
      </c>
      <c r="E1214" t="s">
        <v>377</v>
      </c>
      <c r="F1214" t="s">
        <v>383</v>
      </c>
      <c r="G1214" t="s">
        <v>747</v>
      </c>
      <c r="H1214" t="s">
        <v>747</v>
      </c>
      <c r="I1214" t="s">
        <v>743</v>
      </c>
      <c r="J1214" t="s">
        <v>744</v>
      </c>
      <c r="K1214" t="s">
        <v>546</v>
      </c>
      <c r="L1214" s="784" t="s">
        <v>575</v>
      </c>
      <c r="M1214" t="s">
        <v>745</v>
      </c>
      <c r="P1214" t="s">
        <v>1887</v>
      </c>
      <c r="R1214" t="s">
        <v>148</v>
      </c>
      <c r="S1214" t="s">
        <v>145</v>
      </c>
      <c r="U1214">
        <v>2</v>
      </c>
      <c r="V1214" t="s">
        <v>544</v>
      </c>
      <c r="W1214" t="s">
        <v>562</v>
      </c>
      <c r="X1214" s="784">
        <v>337927779.25510043</v>
      </c>
    </row>
    <row r="1215" spans="1:24">
      <c r="A1215" t="s">
        <v>358</v>
      </c>
      <c r="B1215" t="s">
        <v>570</v>
      </c>
      <c r="C1215" t="s">
        <v>178</v>
      </c>
      <c r="D1215" t="s">
        <v>128</v>
      </c>
      <c r="E1215" t="s">
        <v>377</v>
      </c>
      <c r="F1215" t="s">
        <v>383</v>
      </c>
      <c r="G1215" t="s">
        <v>747</v>
      </c>
      <c r="H1215" t="s">
        <v>747</v>
      </c>
      <c r="I1215" t="s">
        <v>743</v>
      </c>
      <c r="J1215" t="s">
        <v>744</v>
      </c>
      <c r="K1215" t="s">
        <v>546</v>
      </c>
      <c r="L1215" s="784" t="s">
        <v>575</v>
      </c>
      <c r="M1215" t="s">
        <v>745</v>
      </c>
      <c r="P1215" t="s">
        <v>1887</v>
      </c>
      <c r="R1215" t="s">
        <v>148</v>
      </c>
      <c r="S1215" t="s">
        <v>145</v>
      </c>
      <c r="U1215">
        <v>2</v>
      </c>
      <c r="V1215" t="s">
        <v>544</v>
      </c>
      <c r="W1215" t="s">
        <v>548</v>
      </c>
      <c r="X1215" s="784">
        <v>65979512.47399316</v>
      </c>
    </row>
    <row r="1216" spans="1:24">
      <c r="A1216" t="s">
        <v>358</v>
      </c>
      <c r="B1216" t="s">
        <v>571</v>
      </c>
      <c r="C1216" t="s">
        <v>179</v>
      </c>
      <c r="D1216" t="s">
        <v>129</v>
      </c>
      <c r="E1216" t="s">
        <v>377</v>
      </c>
      <c r="F1216" t="s">
        <v>383</v>
      </c>
      <c r="G1216" t="s">
        <v>747</v>
      </c>
      <c r="H1216" t="s">
        <v>747</v>
      </c>
      <c r="I1216" t="s">
        <v>743</v>
      </c>
      <c r="J1216" t="s">
        <v>744</v>
      </c>
      <c r="K1216" t="s">
        <v>546</v>
      </c>
      <c r="L1216" s="784" t="s">
        <v>575</v>
      </c>
      <c r="M1216" t="s">
        <v>745</v>
      </c>
      <c r="P1216" t="s">
        <v>1887</v>
      </c>
      <c r="R1216" t="s">
        <v>150</v>
      </c>
      <c r="S1216" t="s">
        <v>145</v>
      </c>
      <c r="U1216">
        <v>0</v>
      </c>
      <c r="V1216" t="s">
        <v>541</v>
      </c>
      <c r="W1216" t="s">
        <v>542</v>
      </c>
      <c r="X1216" s="784">
        <v>63748362.778827004</v>
      </c>
    </row>
    <row r="1217" spans="1:24">
      <c r="A1217" t="s">
        <v>358</v>
      </c>
      <c r="B1217" t="s">
        <v>572</v>
      </c>
      <c r="C1217" t="s">
        <v>180</v>
      </c>
      <c r="D1217" t="s">
        <v>126</v>
      </c>
      <c r="E1217" t="s">
        <v>377</v>
      </c>
      <c r="F1217" t="s">
        <v>383</v>
      </c>
      <c r="G1217" t="s">
        <v>747</v>
      </c>
      <c r="H1217" t="s">
        <v>747</v>
      </c>
      <c r="I1217" t="s">
        <v>743</v>
      </c>
      <c r="J1217" t="s">
        <v>744</v>
      </c>
      <c r="K1217" t="s">
        <v>546</v>
      </c>
      <c r="L1217" s="784" t="s">
        <v>575</v>
      </c>
      <c r="M1217" t="s">
        <v>745</v>
      </c>
      <c r="P1217" t="s">
        <v>1887</v>
      </c>
      <c r="R1217" t="s">
        <v>150</v>
      </c>
      <c r="S1217" t="s">
        <v>145</v>
      </c>
      <c r="U1217">
        <v>0</v>
      </c>
      <c r="V1217" t="s">
        <v>544</v>
      </c>
      <c r="W1217" t="s">
        <v>558</v>
      </c>
      <c r="X1217" s="784">
        <v>313039649.45369786</v>
      </c>
    </row>
    <row r="1218" spans="1:24">
      <c r="A1218" t="s">
        <v>358</v>
      </c>
      <c r="B1218" t="s">
        <v>573</v>
      </c>
      <c r="C1218" t="s">
        <v>181</v>
      </c>
      <c r="D1218" t="s">
        <v>129</v>
      </c>
      <c r="E1218" t="s">
        <v>377</v>
      </c>
      <c r="F1218" t="s">
        <v>383</v>
      </c>
      <c r="G1218" t="s">
        <v>747</v>
      </c>
      <c r="H1218" t="s">
        <v>747</v>
      </c>
      <c r="I1218" t="s">
        <v>743</v>
      </c>
      <c r="J1218" t="s">
        <v>744</v>
      </c>
      <c r="K1218" t="s">
        <v>546</v>
      </c>
      <c r="L1218" s="784">
        <v>30000000</v>
      </c>
      <c r="M1218" t="s">
        <v>745</v>
      </c>
      <c r="P1218" t="s">
        <v>1887</v>
      </c>
      <c r="R1218" t="s">
        <v>150</v>
      </c>
      <c r="S1218" t="s">
        <v>145</v>
      </c>
      <c r="U1218">
        <v>2</v>
      </c>
      <c r="V1218" t="s">
        <v>544</v>
      </c>
      <c r="W1218" t="s">
        <v>542</v>
      </c>
      <c r="X1218" s="784">
        <v>81361801.477472037</v>
      </c>
    </row>
    <row r="1219" spans="1:24">
      <c r="A1219" t="s">
        <v>358</v>
      </c>
      <c r="B1219" t="s">
        <v>574</v>
      </c>
      <c r="C1219" t="s">
        <v>182</v>
      </c>
      <c r="D1219" t="s">
        <v>129</v>
      </c>
      <c r="E1219" t="s">
        <v>377</v>
      </c>
      <c r="F1219" t="s">
        <v>383</v>
      </c>
      <c r="G1219" t="s">
        <v>747</v>
      </c>
      <c r="H1219" t="s">
        <v>747</v>
      </c>
      <c r="I1219" t="s">
        <v>743</v>
      </c>
      <c r="J1219" t="s">
        <v>744</v>
      </c>
      <c r="K1219" t="s">
        <v>546</v>
      </c>
      <c r="L1219" s="784" t="s">
        <v>575</v>
      </c>
      <c r="M1219" t="s">
        <v>745</v>
      </c>
      <c r="P1219" t="s">
        <v>1887</v>
      </c>
      <c r="R1219" t="s">
        <v>148</v>
      </c>
      <c r="S1219" t="s">
        <v>145</v>
      </c>
      <c r="U1219">
        <v>1</v>
      </c>
      <c r="V1219" t="s">
        <v>544</v>
      </c>
      <c r="W1219" t="s">
        <v>542</v>
      </c>
      <c r="X1219" s="784" t="s">
        <v>575</v>
      </c>
    </row>
    <row r="1220" spans="1:24">
      <c r="A1220" t="s">
        <v>358</v>
      </c>
      <c r="B1220" t="s">
        <v>576</v>
      </c>
      <c r="C1220" t="s">
        <v>183</v>
      </c>
      <c r="D1220" t="s">
        <v>129</v>
      </c>
      <c r="E1220" t="s">
        <v>377</v>
      </c>
      <c r="F1220" t="s">
        <v>383</v>
      </c>
      <c r="G1220" t="s">
        <v>747</v>
      </c>
      <c r="H1220" t="s">
        <v>747</v>
      </c>
      <c r="I1220" t="s">
        <v>743</v>
      </c>
      <c r="J1220" t="s">
        <v>744</v>
      </c>
      <c r="K1220" t="s">
        <v>546</v>
      </c>
      <c r="L1220" s="784">
        <v>20000000</v>
      </c>
      <c r="M1220" t="s">
        <v>745</v>
      </c>
      <c r="P1220" t="s">
        <v>1887</v>
      </c>
      <c r="R1220" t="s">
        <v>148</v>
      </c>
      <c r="S1220" t="s">
        <v>145</v>
      </c>
      <c r="U1220">
        <v>1</v>
      </c>
      <c r="V1220" t="s">
        <v>544</v>
      </c>
      <c r="W1220" t="s">
        <v>542</v>
      </c>
      <c r="X1220" s="784">
        <v>76939306.715636879</v>
      </c>
    </row>
    <row r="1221" spans="1:24">
      <c r="A1221" t="s">
        <v>358</v>
      </c>
      <c r="B1221" t="s">
        <v>577</v>
      </c>
      <c r="C1221" t="s">
        <v>184</v>
      </c>
      <c r="D1221" t="s">
        <v>130</v>
      </c>
      <c r="E1221" t="s">
        <v>377</v>
      </c>
      <c r="F1221" t="s">
        <v>383</v>
      </c>
      <c r="G1221" t="s">
        <v>747</v>
      </c>
      <c r="H1221" t="s">
        <v>747</v>
      </c>
      <c r="I1221" t="s">
        <v>743</v>
      </c>
      <c r="J1221" t="s">
        <v>744</v>
      </c>
      <c r="K1221" t="s">
        <v>546</v>
      </c>
      <c r="L1221" s="784" t="s">
        <v>575</v>
      </c>
      <c r="M1221" t="s">
        <v>745</v>
      </c>
      <c r="P1221" t="s">
        <v>1887</v>
      </c>
      <c r="R1221" t="s">
        <v>550</v>
      </c>
      <c r="S1221" t="s">
        <v>146</v>
      </c>
      <c r="U1221">
        <v>0</v>
      </c>
      <c r="V1221" t="s">
        <v>544</v>
      </c>
      <c r="W1221" t="s">
        <v>575</v>
      </c>
      <c r="X1221" s="784">
        <v>13859708717.682571</v>
      </c>
    </row>
    <row r="1222" spans="1:24">
      <c r="A1222" t="s">
        <v>358</v>
      </c>
      <c r="B1222" t="s">
        <v>578</v>
      </c>
      <c r="C1222" t="s">
        <v>185</v>
      </c>
      <c r="D1222" t="s">
        <v>126</v>
      </c>
      <c r="E1222" t="s">
        <v>377</v>
      </c>
      <c r="F1222" t="s">
        <v>383</v>
      </c>
      <c r="G1222" t="s">
        <v>747</v>
      </c>
      <c r="H1222" t="s">
        <v>747</v>
      </c>
      <c r="I1222" t="s">
        <v>743</v>
      </c>
      <c r="J1222" t="s">
        <v>744</v>
      </c>
      <c r="K1222" t="s">
        <v>546</v>
      </c>
      <c r="L1222" s="784" t="s">
        <v>575</v>
      </c>
      <c r="M1222" t="s">
        <v>745</v>
      </c>
      <c r="P1222" t="s">
        <v>1887</v>
      </c>
      <c r="R1222" t="s">
        <v>152</v>
      </c>
      <c r="S1222" t="s">
        <v>146</v>
      </c>
      <c r="U1222">
        <v>0</v>
      </c>
      <c r="V1222" t="s">
        <v>544</v>
      </c>
      <c r="W1222" t="s">
        <v>575</v>
      </c>
      <c r="X1222" s="784">
        <v>403567160707.7016</v>
      </c>
    </row>
    <row r="1223" spans="1:24">
      <c r="A1223" t="s">
        <v>358</v>
      </c>
      <c r="B1223" t="s">
        <v>579</v>
      </c>
      <c r="C1223" t="s">
        <v>186</v>
      </c>
      <c r="D1223" t="s">
        <v>130</v>
      </c>
      <c r="E1223" t="s">
        <v>377</v>
      </c>
      <c r="F1223" t="s">
        <v>383</v>
      </c>
      <c r="G1223" t="s">
        <v>747</v>
      </c>
      <c r="H1223" t="s">
        <v>747</v>
      </c>
      <c r="I1223" t="s">
        <v>743</v>
      </c>
      <c r="J1223" t="s">
        <v>744</v>
      </c>
      <c r="K1223" t="s">
        <v>546</v>
      </c>
      <c r="L1223" s="784" t="s">
        <v>575</v>
      </c>
      <c r="M1223" t="s">
        <v>745</v>
      </c>
      <c r="P1223" t="s">
        <v>1887</v>
      </c>
      <c r="R1223" t="s">
        <v>152</v>
      </c>
      <c r="S1223" t="s">
        <v>146</v>
      </c>
      <c r="U1223">
        <v>0</v>
      </c>
      <c r="V1223" t="s">
        <v>544</v>
      </c>
      <c r="W1223" t="s">
        <v>575</v>
      </c>
      <c r="X1223" s="784">
        <v>18250225995.972618</v>
      </c>
    </row>
    <row r="1224" spans="1:24">
      <c r="A1224" t="s">
        <v>358</v>
      </c>
      <c r="B1224" t="s">
        <v>580</v>
      </c>
      <c r="C1224" t="s">
        <v>187</v>
      </c>
      <c r="D1224" t="s">
        <v>128</v>
      </c>
      <c r="E1224" t="s">
        <v>377</v>
      </c>
      <c r="F1224" t="s">
        <v>383</v>
      </c>
      <c r="G1224" t="s">
        <v>747</v>
      </c>
      <c r="H1224" t="s">
        <v>747</v>
      </c>
      <c r="I1224" t="s">
        <v>743</v>
      </c>
      <c r="J1224" t="s">
        <v>744</v>
      </c>
      <c r="K1224" t="s">
        <v>546</v>
      </c>
      <c r="L1224" s="784" t="s">
        <v>575</v>
      </c>
      <c r="M1224" t="s">
        <v>745</v>
      </c>
      <c r="P1224" t="s">
        <v>1887</v>
      </c>
      <c r="R1224" t="s">
        <v>150</v>
      </c>
      <c r="S1224" t="s">
        <v>145</v>
      </c>
      <c r="U1224">
        <v>0</v>
      </c>
      <c r="V1224" t="s">
        <v>541</v>
      </c>
      <c r="W1224" t="s">
        <v>562</v>
      </c>
      <c r="X1224" s="784">
        <v>5027591.1682657599</v>
      </c>
    </row>
    <row r="1225" spans="1:24">
      <c r="A1225" t="s">
        <v>358</v>
      </c>
      <c r="B1225" t="s">
        <v>581</v>
      </c>
      <c r="C1225" t="s">
        <v>188</v>
      </c>
      <c r="D1225" t="s">
        <v>129</v>
      </c>
      <c r="E1225" t="s">
        <v>377</v>
      </c>
      <c r="F1225" t="s">
        <v>383</v>
      </c>
      <c r="G1225" t="s">
        <v>747</v>
      </c>
      <c r="H1225" t="s">
        <v>747</v>
      </c>
      <c r="I1225" t="s">
        <v>743</v>
      </c>
      <c r="J1225" t="s">
        <v>744</v>
      </c>
      <c r="K1225" t="s">
        <v>546</v>
      </c>
      <c r="L1225" s="784" t="s">
        <v>575</v>
      </c>
      <c r="M1225" t="s">
        <v>745</v>
      </c>
      <c r="P1225" t="s">
        <v>1887</v>
      </c>
      <c r="R1225" t="s">
        <v>148</v>
      </c>
      <c r="S1225" t="s">
        <v>145</v>
      </c>
      <c r="U1225">
        <v>3</v>
      </c>
      <c r="V1225" t="s">
        <v>544</v>
      </c>
      <c r="W1225" t="s">
        <v>562</v>
      </c>
      <c r="X1225" s="784">
        <v>234645958.63289919</v>
      </c>
    </row>
    <row r="1226" spans="1:24">
      <c r="A1226" t="s">
        <v>358</v>
      </c>
      <c r="B1226" t="s">
        <v>582</v>
      </c>
      <c r="C1226" t="s">
        <v>189</v>
      </c>
      <c r="D1226" t="s">
        <v>129</v>
      </c>
      <c r="E1226" t="s">
        <v>377</v>
      </c>
      <c r="F1226" t="s">
        <v>383</v>
      </c>
      <c r="G1226" t="s">
        <v>747</v>
      </c>
      <c r="H1226" t="s">
        <v>747</v>
      </c>
      <c r="I1226" t="s">
        <v>743</v>
      </c>
      <c r="J1226" t="s">
        <v>744</v>
      </c>
      <c r="K1226" t="s">
        <v>546</v>
      </c>
      <c r="L1226" s="784" t="s">
        <v>575</v>
      </c>
      <c r="M1226" t="s">
        <v>745</v>
      </c>
      <c r="P1226" t="s">
        <v>1887</v>
      </c>
      <c r="R1226" t="s">
        <v>150</v>
      </c>
      <c r="S1226" t="s">
        <v>145</v>
      </c>
      <c r="U1226">
        <v>2</v>
      </c>
      <c r="V1226" t="s">
        <v>544</v>
      </c>
      <c r="W1226" t="s">
        <v>583</v>
      </c>
      <c r="X1226" s="784">
        <v>91590910.247314155</v>
      </c>
    </row>
    <row r="1227" spans="1:24">
      <c r="A1227" t="s">
        <v>358</v>
      </c>
      <c r="B1227" t="s">
        <v>584</v>
      </c>
      <c r="C1227" t="s">
        <v>190</v>
      </c>
      <c r="D1227" t="s">
        <v>126</v>
      </c>
      <c r="E1227" t="s">
        <v>377</v>
      </c>
      <c r="F1227" t="s">
        <v>383</v>
      </c>
      <c r="G1227" t="s">
        <v>747</v>
      </c>
      <c r="H1227" t="s">
        <v>747</v>
      </c>
      <c r="I1227" t="s">
        <v>743</v>
      </c>
      <c r="J1227" t="s">
        <v>744</v>
      </c>
      <c r="K1227" t="s">
        <v>546</v>
      </c>
      <c r="L1227" s="784" t="s">
        <v>575</v>
      </c>
      <c r="M1227" t="s">
        <v>745</v>
      </c>
      <c r="P1227" t="s">
        <v>1887</v>
      </c>
      <c r="R1227" t="s">
        <v>322</v>
      </c>
      <c r="S1227" t="s">
        <v>146</v>
      </c>
      <c r="U1227">
        <v>0</v>
      </c>
      <c r="V1227" t="s">
        <v>541</v>
      </c>
      <c r="W1227" t="s">
        <v>546</v>
      </c>
      <c r="X1227" s="784">
        <v>8560012.8840167802</v>
      </c>
    </row>
    <row r="1228" spans="1:24">
      <c r="A1228" t="s">
        <v>358</v>
      </c>
      <c r="B1228" t="s">
        <v>585</v>
      </c>
      <c r="C1228" t="s">
        <v>191</v>
      </c>
      <c r="D1228" t="s">
        <v>130</v>
      </c>
      <c r="E1228" t="s">
        <v>377</v>
      </c>
      <c r="F1228" t="s">
        <v>383</v>
      </c>
      <c r="G1228" t="s">
        <v>747</v>
      </c>
      <c r="H1228" t="s">
        <v>747</v>
      </c>
      <c r="I1228" t="s">
        <v>743</v>
      </c>
      <c r="J1228" t="s">
        <v>744</v>
      </c>
      <c r="K1228" t="s">
        <v>546</v>
      </c>
      <c r="L1228" s="784" t="s">
        <v>575</v>
      </c>
      <c r="M1228" t="s">
        <v>745</v>
      </c>
      <c r="P1228" t="s">
        <v>1887</v>
      </c>
      <c r="R1228" t="s">
        <v>152</v>
      </c>
      <c r="S1228" t="s">
        <v>146</v>
      </c>
      <c r="U1228">
        <v>0</v>
      </c>
      <c r="V1228" t="s">
        <v>544</v>
      </c>
      <c r="W1228" t="s">
        <v>546</v>
      </c>
      <c r="X1228" s="784">
        <v>3292372960.3962669</v>
      </c>
    </row>
    <row r="1229" spans="1:24">
      <c r="A1229" t="s">
        <v>358</v>
      </c>
      <c r="B1229" t="s">
        <v>586</v>
      </c>
      <c r="C1229" t="s">
        <v>192</v>
      </c>
      <c r="D1229" t="s">
        <v>129</v>
      </c>
      <c r="E1229" t="s">
        <v>377</v>
      </c>
      <c r="F1229" t="s">
        <v>383</v>
      </c>
      <c r="G1229" t="s">
        <v>747</v>
      </c>
      <c r="H1229" t="s">
        <v>747</v>
      </c>
      <c r="I1229" t="s">
        <v>743</v>
      </c>
      <c r="J1229" t="s">
        <v>744</v>
      </c>
      <c r="K1229" t="s">
        <v>546</v>
      </c>
      <c r="L1229" s="784" t="s">
        <v>575</v>
      </c>
      <c r="M1229" t="s">
        <v>745</v>
      </c>
      <c r="P1229" t="s">
        <v>1887</v>
      </c>
      <c r="R1229" t="s">
        <v>150</v>
      </c>
      <c r="S1229" t="s">
        <v>145</v>
      </c>
      <c r="U1229">
        <v>0</v>
      </c>
      <c r="V1229" t="s">
        <v>544</v>
      </c>
      <c r="W1229" t="s">
        <v>562</v>
      </c>
      <c r="X1229" s="784">
        <v>519209981.22981054</v>
      </c>
    </row>
    <row r="1230" spans="1:24">
      <c r="A1230" t="s">
        <v>358</v>
      </c>
      <c r="B1230" t="s">
        <v>587</v>
      </c>
      <c r="C1230" t="s">
        <v>193</v>
      </c>
      <c r="D1230" t="s">
        <v>127</v>
      </c>
      <c r="E1230" t="s">
        <v>377</v>
      </c>
      <c r="F1230" t="s">
        <v>383</v>
      </c>
      <c r="G1230" t="s">
        <v>747</v>
      </c>
      <c r="H1230" t="s">
        <v>747</v>
      </c>
      <c r="I1230" t="s">
        <v>743</v>
      </c>
      <c r="J1230" t="s">
        <v>744</v>
      </c>
      <c r="K1230" t="s">
        <v>546</v>
      </c>
      <c r="L1230" s="784" t="s">
        <v>575</v>
      </c>
      <c r="M1230" t="s">
        <v>745</v>
      </c>
      <c r="P1230" t="s">
        <v>1887</v>
      </c>
      <c r="R1230" t="s">
        <v>550</v>
      </c>
      <c r="S1230" t="s">
        <v>146</v>
      </c>
      <c r="U1230">
        <v>0</v>
      </c>
      <c r="V1230" t="s">
        <v>544</v>
      </c>
      <c r="W1230" t="s">
        <v>575</v>
      </c>
      <c r="X1230" s="784">
        <v>3464739907.1604805</v>
      </c>
    </row>
    <row r="1231" spans="1:24">
      <c r="A1231" t="s">
        <v>358</v>
      </c>
      <c r="B1231" t="s">
        <v>588</v>
      </c>
      <c r="C1231" t="s">
        <v>147</v>
      </c>
      <c r="D1231" t="s">
        <v>130</v>
      </c>
      <c r="E1231" t="s">
        <v>377</v>
      </c>
      <c r="F1231" t="s">
        <v>383</v>
      </c>
      <c r="G1231" t="s">
        <v>747</v>
      </c>
      <c r="H1231" t="s">
        <v>747</v>
      </c>
      <c r="I1231" t="s">
        <v>743</v>
      </c>
      <c r="J1231" t="s">
        <v>744</v>
      </c>
      <c r="K1231" t="s">
        <v>546</v>
      </c>
      <c r="L1231" s="784" t="s">
        <v>575</v>
      </c>
      <c r="M1231" t="s">
        <v>745</v>
      </c>
      <c r="P1231" t="s">
        <v>1887</v>
      </c>
      <c r="R1231" t="s">
        <v>152</v>
      </c>
      <c r="S1231" t="s">
        <v>146</v>
      </c>
      <c r="U1231">
        <v>0</v>
      </c>
      <c r="V1231" t="s">
        <v>541</v>
      </c>
      <c r="W1231" t="s">
        <v>575</v>
      </c>
      <c r="X1231" s="784">
        <v>9948521252.2569065</v>
      </c>
    </row>
    <row r="1232" spans="1:24">
      <c r="A1232" t="s">
        <v>358</v>
      </c>
      <c r="B1232" t="s">
        <v>589</v>
      </c>
      <c r="C1232" t="s">
        <v>194</v>
      </c>
      <c r="D1232" t="s">
        <v>131</v>
      </c>
      <c r="E1232" t="s">
        <v>377</v>
      </c>
      <c r="F1232" t="s">
        <v>383</v>
      </c>
      <c r="G1232" t="s">
        <v>747</v>
      </c>
      <c r="H1232" t="s">
        <v>747</v>
      </c>
      <c r="I1232" t="s">
        <v>743</v>
      </c>
      <c r="J1232" t="s">
        <v>744</v>
      </c>
      <c r="K1232" t="s">
        <v>546</v>
      </c>
      <c r="L1232" s="784" t="s">
        <v>575</v>
      </c>
      <c r="M1232" t="s">
        <v>745</v>
      </c>
      <c r="P1232" t="s">
        <v>1887</v>
      </c>
      <c r="R1232" t="s">
        <v>150</v>
      </c>
      <c r="S1232" t="s">
        <v>145</v>
      </c>
      <c r="U1232">
        <v>1</v>
      </c>
      <c r="V1232" t="s">
        <v>544</v>
      </c>
      <c r="W1232" t="s">
        <v>542</v>
      </c>
      <c r="X1232" s="784">
        <v>33679192.765657313</v>
      </c>
    </row>
    <row r="1233" spans="1:24">
      <c r="A1233" t="s">
        <v>358</v>
      </c>
      <c r="B1233" t="s">
        <v>590</v>
      </c>
      <c r="C1233" t="s">
        <v>195</v>
      </c>
      <c r="D1233" t="s">
        <v>130</v>
      </c>
      <c r="E1233" t="s">
        <v>377</v>
      </c>
      <c r="F1233" t="s">
        <v>383</v>
      </c>
      <c r="G1233" t="s">
        <v>747</v>
      </c>
      <c r="H1233" t="s">
        <v>747</v>
      </c>
      <c r="I1233" t="s">
        <v>743</v>
      </c>
      <c r="J1233" t="s">
        <v>744</v>
      </c>
      <c r="K1233" t="s">
        <v>546</v>
      </c>
      <c r="L1233" s="784" t="s">
        <v>575</v>
      </c>
      <c r="M1233" t="s">
        <v>745</v>
      </c>
      <c r="P1233" t="s">
        <v>1887</v>
      </c>
      <c r="R1233" t="s">
        <v>152</v>
      </c>
      <c r="S1233" t="s">
        <v>145</v>
      </c>
      <c r="U1233">
        <v>0</v>
      </c>
      <c r="V1233" t="s">
        <v>541</v>
      </c>
      <c r="W1233" t="s">
        <v>548</v>
      </c>
      <c r="X1233" s="784">
        <v>22784494.365742501</v>
      </c>
    </row>
    <row r="1234" spans="1:24">
      <c r="A1234" t="s">
        <v>358</v>
      </c>
      <c r="B1234" t="s">
        <v>591</v>
      </c>
      <c r="C1234" t="s">
        <v>196</v>
      </c>
      <c r="D1234" t="s">
        <v>130</v>
      </c>
      <c r="E1234" t="s">
        <v>377</v>
      </c>
      <c r="F1234" t="s">
        <v>383</v>
      </c>
      <c r="G1234" t="s">
        <v>747</v>
      </c>
      <c r="H1234" t="s">
        <v>747</v>
      </c>
      <c r="I1234" t="s">
        <v>743</v>
      </c>
      <c r="J1234" t="s">
        <v>744</v>
      </c>
      <c r="K1234" t="s">
        <v>546</v>
      </c>
      <c r="L1234" s="784" t="s">
        <v>575</v>
      </c>
      <c r="M1234" t="s">
        <v>745</v>
      </c>
      <c r="P1234" t="s">
        <v>1887</v>
      </c>
      <c r="R1234" t="s">
        <v>152</v>
      </c>
      <c r="S1234" t="s">
        <v>146</v>
      </c>
      <c r="U1234">
        <v>0</v>
      </c>
      <c r="V1234" t="s">
        <v>541</v>
      </c>
      <c r="W1234" t="s">
        <v>575</v>
      </c>
      <c r="X1234" s="784">
        <v>2173208011.4858823</v>
      </c>
    </row>
    <row r="1235" spans="1:24">
      <c r="A1235" t="s">
        <v>358</v>
      </c>
      <c r="B1235" t="s">
        <v>592</v>
      </c>
      <c r="C1235" t="s">
        <v>197</v>
      </c>
      <c r="D1235" t="s">
        <v>130</v>
      </c>
      <c r="E1235" t="s">
        <v>377</v>
      </c>
      <c r="F1235" t="s">
        <v>383</v>
      </c>
      <c r="G1235" t="s">
        <v>747</v>
      </c>
      <c r="H1235" t="s">
        <v>747</v>
      </c>
      <c r="I1235" t="s">
        <v>743</v>
      </c>
      <c r="J1235" t="s">
        <v>744</v>
      </c>
      <c r="K1235" t="s">
        <v>546</v>
      </c>
      <c r="L1235" s="784" t="s">
        <v>575</v>
      </c>
      <c r="M1235" t="s">
        <v>745</v>
      </c>
      <c r="P1235" t="s">
        <v>1887</v>
      </c>
      <c r="R1235" t="s">
        <v>152</v>
      </c>
      <c r="S1235" t="s">
        <v>146</v>
      </c>
      <c r="U1235">
        <v>0</v>
      </c>
      <c r="V1235" t="s">
        <v>544</v>
      </c>
      <c r="W1235" t="s">
        <v>546</v>
      </c>
      <c r="X1235" s="784">
        <v>4585736158.8323269</v>
      </c>
    </row>
    <row r="1236" spans="1:24">
      <c r="A1236" t="s">
        <v>358</v>
      </c>
      <c r="B1236" t="s">
        <v>593</v>
      </c>
      <c r="C1236" t="s">
        <v>198</v>
      </c>
      <c r="D1236" t="s">
        <v>131</v>
      </c>
      <c r="E1236" t="s">
        <v>377</v>
      </c>
      <c r="F1236" t="s">
        <v>383</v>
      </c>
      <c r="G1236" t="s">
        <v>747</v>
      </c>
      <c r="H1236" t="s">
        <v>747</v>
      </c>
      <c r="I1236" t="s">
        <v>743</v>
      </c>
      <c r="J1236" t="s">
        <v>744</v>
      </c>
      <c r="K1236" t="s">
        <v>546</v>
      </c>
      <c r="L1236" s="784" t="s">
        <v>575</v>
      </c>
      <c r="M1236" t="s">
        <v>745</v>
      </c>
      <c r="P1236" t="s">
        <v>1887</v>
      </c>
      <c r="R1236" t="s">
        <v>150</v>
      </c>
      <c r="S1236" t="s">
        <v>145</v>
      </c>
      <c r="U1236">
        <v>0</v>
      </c>
      <c r="V1236" t="s">
        <v>544</v>
      </c>
      <c r="W1236" t="s">
        <v>546</v>
      </c>
      <c r="X1236" s="784">
        <v>3550291584.8645592</v>
      </c>
    </row>
    <row r="1237" spans="1:24">
      <c r="A1237" t="s">
        <v>358</v>
      </c>
      <c r="B1237" t="s">
        <v>594</v>
      </c>
      <c r="C1237" t="s">
        <v>199</v>
      </c>
      <c r="D1237" t="s">
        <v>130</v>
      </c>
      <c r="E1237" t="s">
        <v>377</v>
      </c>
      <c r="F1237" t="s">
        <v>383</v>
      </c>
      <c r="G1237" t="s">
        <v>747</v>
      </c>
      <c r="H1237" t="s">
        <v>747</v>
      </c>
      <c r="I1237" t="s">
        <v>743</v>
      </c>
      <c r="J1237" t="s">
        <v>744</v>
      </c>
      <c r="K1237" t="s">
        <v>546</v>
      </c>
      <c r="L1237" s="784" t="s">
        <v>575</v>
      </c>
      <c r="M1237" t="s">
        <v>745</v>
      </c>
      <c r="P1237" t="s">
        <v>1887</v>
      </c>
      <c r="R1237" t="s">
        <v>150</v>
      </c>
      <c r="S1237" t="s">
        <v>145</v>
      </c>
      <c r="U1237">
        <v>0</v>
      </c>
      <c r="V1237" t="s">
        <v>544</v>
      </c>
      <c r="W1237" t="s">
        <v>546</v>
      </c>
      <c r="X1237" s="784">
        <v>1182840319.0410969</v>
      </c>
    </row>
    <row r="1238" spans="1:24">
      <c r="A1238" t="s">
        <v>358</v>
      </c>
      <c r="B1238" t="s">
        <v>595</v>
      </c>
      <c r="C1238" t="s">
        <v>200</v>
      </c>
      <c r="D1238" t="s">
        <v>130</v>
      </c>
      <c r="E1238" t="s">
        <v>377</v>
      </c>
      <c r="F1238" t="s">
        <v>383</v>
      </c>
      <c r="G1238" t="s">
        <v>747</v>
      </c>
      <c r="H1238" t="s">
        <v>747</v>
      </c>
      <c r="I1238" t="s">
        <v>743</v>
      </c>
      <c r="J1238" t="s">
        <v>744</v>
      </c>
      <c r="K1238" t="s">
        <v>546</v>
      </c>
      <c r="L1238" s="784" t="s">
        <v>575</v>
      </c>
      <c r="M1238" t="s">
        <v>745</v>
      </c>
      <c r="P1238" t="s">
        <v>1887</v>
      </c>
      <c r="R1238" t="s">
        <v>152</v>
      </c>
      <c r="S1238" t="s">
        <v>146</v>
      </c>
      <c r="U1238">
        <v>0</v>
      </c>
      <c r="V1238" t="s">
        <v>544</v>
      </c>
      <c r="W1238" t="s">
        <v>575</v>
      </c>
      <c r="X1238" s="784">
        <v>81728347.604567245</v>
      </c>
    </row>
    <row r="1239" spans="1:24">
      <c r="A1239" t="s">
        <v>358</v>
      </c>
      <c r="B1239" t="s">
        <v>596</v>
      </c>
      <c r="C1239" t="s">
        <v>201</v>
      </c>
      <c r="D1239" t="s">
        <v>128</v>
      </c>
      <c r="E1239" t="s">
        <v>377</v>
      </c>
      <c r="F1239" t="s">
        <v>383</v>
      </c>
      <c r="G1239" t="s">
        <v>747</v>
      </c>
      <c r="H1239" t="s">
        <v>747</v>
      </c>
      <c r="I1239" t="s">
        <v>743</v>
      </c>
      <c r="J1239" t="s">
        <v>744</v>
      </c>
      <c r="K1239" t="s">
        <v>546</v>
      </c>
      <c r="L1239" s="784" t="s">
        <v>575</v>
      </c>
      <c r="M1239" t="s">
        <v>745</v>
      </c>
      <c r="P1239" t="s">
        <v>1887</v>
      </c>
      <c r="R1239" t="s">
        <v>148</v>
      </c>
      <c r="S1239" t="s">
        <v>145</v>
      </c>
      <c r="U1239">
        <v>2</v>
      </c>
      <c r="V1239" t="s">
        <v>544</v>
      </c>
      <c r="W1239" t="s">
        <v>546</v>
      </c>
      <c r="X1239" s="784">
        <v>12787914.977715338</v>
      </c>
    </row>
    <row r="1240" spans="1:24">
      <c r="A1240" t="s">
        <v>358</v>
      </c>
      <c r="B1240" t="s">
        <v>597</v>
      </c>
      <c r="C1240" t="s">
        <v>202</v>
      </c>
      <c r="D1240" t="s">
        <v>128</v>
      </c>
      <c r="E1240" t="s">
        <v>377</v>
      </c>
      <c r="F1240" t="s">
        <v>383</v>
      </c>
      <c r="G1240" t="s">
        <v>747</v>
      </c>
      <c r="H1240" t="s">
        <v>747</v>
      </c>
      <c r="I1240" t="s">
        <v>743</v>
      </c>
      <c r="J1240" t="s">
        <v>744</v>
      </c>
      <c r="K1240" t="s">
        <v>546</v>
      </c>
      <c r="L1240" s="784" t="s">
        <v>575</v>
      </c>
      <c r="M1240" t="s">
        <v>745</v>
      </c>
      <c r="P1240" t="s">
        <v>1887</v>
      </c>
      <c r="R1240" t="s">
        <v>150</v>
      </c>
      <c r="S1240" t="s">
        <v>145</v>
      </c>
      <c r="U1240">
        <v>2</v>
      </c>
      <c r="V1240" t="s">
        <v>544</v>
      </c>
      <c r="W1240" t="s">
        <v>546</v>
      </c>
      <c r="X1240" s="784">
        <v>101271737.65410839</v>
      </c>
    </row>
    <row r="1241" spans="1:24">
      <c r="A1241" t="s">
        <v>358</v>
      </c>
      <c r="B1241" t="s">
        <v>598</v>
      </c>
      <c r="C1241" t="s">
        <v>203</v>
      </c>
      <c r="D1241" t="s">
        <v>128</v>
      </c>
      <c r="E1241" t="s">
        <v>377</v>
      </c>
      <c r="F1241" t="s">
        <v>383</v>
      </c>
      <c r="G1241" t="s">
        <v>747</v>
      </c>
      <c r="H1241" t="s">
        <v>747</v>
      </c>
      <c r="I1241" t="s">
        <v>743</v>
      </c>
      <c r="J1241" t="s">
        <v>744</v>
      </c>
      <c r="K1241" t="s">
        <v>546</v>
      </c>
      <c r="L1241" s="784" t="s">
        <v>575</v>
      </c>
      <c r="M1241" t="s">
        <v>745</v>
      </c>
      <c r="P1241" t="s">
        <v>1887</v>
      </c>
      <c r="R1241" t="s">
        <v>148</v>
      </c>
      <c r="S1241" t="s">
        <v>145</v>
      </c>
      <c r="U1241">
        <v>3</v>
      </c>
      <c r="V1241" t="s">
        <v>544</v>
      </c>
      <c r="W1241" t="s">
        <v>542</v>
      </c>
      <c r="X1241" s="784">
        <v>618344226.71759331</v>
      </c>
    </row>
    <row r="1242" spans="1:24">
      <c r="A1242" t="s">
        <v>358</v>
      </c>
      <c r="B1242" t="s">
        <v>599</v>
      </c>
      <c r="C1242" t="s">
        <v>204</v>
      </c>
      <c r="D1242" t="s">
        <v>126</v>
      </c>
      <c r="E1242" t="s">
        <v>377</v>
      </c>
      <c r="F1242" t="s">
        <v>383</v>
      </c>
      <c r="G1242" t="s">
        <v>747</v>
      </c>
      <c r="H1242" t="s">
        <v>747</v>
      </c>
      <c r="I1242" t="s">
        <v>743</v>
      </c>
      <c r="J1242" t="s">
        <v>744</v>
      </c>
      <c r="K1242" t="s">
        <v>546</v>
      </c>
      <c r="L1242" s="784" t="s">
        <v>575</v>
      </c>
      <c r="M1242" t="s">
        <v>745</v>
      </c>
      <c r="P1242" t="s">
        <v>1887</v>
      </c>
      <c r="R1242" t="s">
        <v>152</v>
      </c>
      <c r="S1242" t="s">
        <v>145</v>
      </c>
      <c r="U1242">
        <v>0</v>
      </c>
      <c r="V1242" t="s">
        <v>541</v>
      </c>
      <c r="W1242" t="s">
        <v>548</v>
      </c>
      <c r="X1242" s="784">
        <v>129483872.95906857</v>
      </c>
    </row>
    <row r="1243" spans="1:24">
      <c r="A1243" t="s">
        <v>358</v>
      </c>
      <c r="B1243" t="s">
        <v>600</v>
      </c>
      <c r="C1243" t="s">
        <v>205</v>
      </c>
      <c r="D1243" t="s">
        <v>129</v>
      </c>
      <c r="E1243" t="s">
        <v>377</v>
      </c>
      <c r="F1243" t="s">
        <v>383</v>
      </c>
      <c r="G1243" t="s">
        <v>747</v>
      </c>
      <c r="H1243" t="s">
        <v>747</v>
      </c>
      <c r="I1243" t="s">
        <v>743</v>
      </c>
      <c r="J1243" t="s">
        <v>744</v>
      </c>
      <c r="K1243" t="s">
        <v>546</v>
      </c>
      <c r="L1243" s="784" t="s">
        <v>575</v>
      </c>
      <c r="M1243" t="s">
        <v>745</v>
      </c>
      <c r="P1243" t="s">
        <v>1887</v>
      </c>
      <c r="R1243" t="s">
        <v>152</v>
      </c>
      <c r="S1243" t="s">
        <v>146</v>
      </c>
      <c r="U1243">
        <v>0</v>
      </c>
      <c r="V1243" t="s">
        <v>544</v>
      </c>
      <c r="W1243" t="s">
        <v>546</v>
      </c>
      <c r="X1243" s="784">
        <v>271184658.35014349</v>
      </c>
    </row>
    <row r="1244" spans="1:24">
      <c r="A1244" t="s">
        <v>358</v>
      </c>
      <c r="B1244" t="s">
        <v>601</v>
      </c>
      <c r="C1244" t="s">
        <v>206</v>
      </c>
      <c r="D1244" t="s">
        <v>129</v>
      </c>
      <c r="E1244" t="s">
        <v>377</v>
      </c>
      <c r="F1244" t="s">
        <v>383</v>
      </c>
      <c r="G1244" t="s">
        <v>747</v>
      </c>
      <c r="H1244" t="s">
        <v>747</v>
      </c>
      <c r="I1244" t="s">
        <v>743</v>
      </c>
      <c r="J1244" t="s">
        <v>744</v>
      </c>
      <c r="K1244" t="s">
        <v>546</v>
      </c>
      <c r="L1244" s="784" t="s">
        <v>575</v>
      </c>
      <c r="M1244" t="s">
        <v>745</v>
      </c>
      <c r="P1244" t="s">
        <v>1887</v>
      </c>
      <c r="R1244" t="s">
        <v>148</v>
      </c>
      <c r="S1244" t="s">
        <v>145</v>
      </c>
      <c r="U1244">
        <v>0</v>
      </c>
      <c r="V1244" t="s">
        <v>544</v>
      </c>
      <c r="W1244" t="s">
        <v>542</v>
      </c>
      <c r="X1244" s="784">
        <v>15455265.086884515</v>
      </c>
    </row>
    <row r="1245" spans="1:24">
      <c r="A1245" t="s">
        <v>358</v>
      </c>
      <c r="B1245" t="s">
        <v>602</v>
      </c>
      <c r="C1245" t="s">
        <v>207</v>
      </c>
      <c r="D1245" t="s">
        <v>127</v>
      </c>
      <c r="E1245" t="s">
        <v>377</v>
      </c>
      <c r="F1245" t="s">
        <v>383</v>
      </c>
      <c r="G1245" t="s">
        <v>747</v>
      </c>
      <c r="H1245" t="s">
        <v>747</v>
      </c>
      <c r="I1245" t="s">
        <v>743</v>
      </c>
      <c r="J1245" t="s">
        <v>744</v>
      </c>
      <c r="K1245" t="s">
        <v>546</v>
      </c>
      <c r="L1245" s="784" t="s">
        <v>575</v>
      </c>
      <c r="M1245" t="s">
        <v>745</v>
      </c>
      <c r="P1245" t="s">
        <v>1887</v>
      </c>
      <c r="R1245" t="s">
        <v>152</v>
      </c>
      <c r="S1245" t="s">
        <v>146</v>
      </c>
      <c r="U1245">
        <v>0</v>
      </c>
      <c r="V1245" t="s">
        <v>544</v>
      </c>
      <c r="W1245" t="s">
        <v>546</v>
      </c>
      <c r="X1245" s="784">
        <v>494021502.525527</v>
      </c>
    </row>
    <row r="1246" spans="1:24">
      <c r="A1246" t="s">
        <v>358</v>
      </c>
      <c r="B1246" t="s">
        <v>603</v>
      </c>
      <c r="C1246" t="s">
        <v>208</v>
      </c>
      <c r="D1246" t="s">
        <v>129</v>
      </c>
      <c r="E1246" t="s">
        <v>377</v>
      </c>
      <c r="F1246" t="s">
        <v>383</v>
      </c>
      <c r="G1246" t="s">
        <v>747</v>
      </c>
      <c r="H1246" t="s">
        <v>747</v>
      </c>
      <c r="I1246" t="s">
        <v>743</v>
      </c>
      <c r="J1246" t="s">
        <v>744</v>
      </c>
      <c r="K1246" t="s">
        <v>546</v>
      </c>
      <c r="L1246" s="784" t="s">
        <v>575</v>
      </c>
      <c r="M1246" t="s">
        <v>745</v>
      </c>
      <c r="P1246" t="s">
        <v>1887</v>
      </c>
      <c r="R1246" t="s">
        <v>150</v>
      </c>
      <c r="S1246" t="s">
        <v>145</v>
      </c>
      <c r="U1246">
        <v>0</v>
      </c>
      <c r="V1246" t="s">
        <v>544</v>
      </c>
      <c r="W1246" t="s">
        <v>542</v>
      </c>
      <c r="X1246" s="784">
        <v>902005621.73836684</v>
      </c>
    </row>
    <row r="1247" spans="1:24">
      <c r="A1247" t="s">
        <v>358</v>
      </c>
      <c r="B1247" t="s">
        <v>604</v>
      </c>
      <c r="C1247" t="s">
        <v>209</v>
      </c>
      <c r="D1247" t="s">
        <v>130</v>
      </c>
      <c r="E1247" t="s">
        <v>377</v>
      </c>
      <c r="F1247" t="s">
        <v>383</v>
      </c>
      <c r="G1247" t="s">
        <v>747</v>
      </c>
      <c r="H1247" t="s">
        <v>747</v>
      </c>
      <c r="I1247" t="s">
        <v>743</v>
      </c>
      <c r="J1247" t="s">
        <v>744</v>
      </c>
      <c r="K1247" t="s">
        <v>546</v>
      </c>
      <c r="L1247" s="784" t="s">
        <v>575</v>
      </c>
      <c r="M1247" t="s">
        <v>745</v>
      </c>
      <c r="P1247" t="s">
        <v>1887</v>
      </c>
      <c r="R1247" t="s">
        <v>152</v>
      </c>
      <c r="S1247" t="s">
        <v>145</v>
      </c>
      <c r="U1247">
        <v>0</v>
      </c>
      <c r="V1247" t="s">
        <v>541</v>
      </c>
      <c r="W1247" t="s">
        <v>583</v>
      </c>
      <c r="X1247" s="784">
        <v>20201670.142996579</v>
      </c>
    </row>
    <row r="1248" spans="1:24">
      <c r="A1248" t="s">
        <v>358</v>
      </c>
      <c r="B1248" t="s">
        <v>605</v>
      </c>
      <c r="C1248" t="s">
        <v>210</v>
      </c>
      <c r="D1248" t="s">
        <v>130</v>
      </c>
      <c r="E1248" t="s">
        <v>377</v>
      </c>
      <c r="F1248" t="s">
        <v>383</v>
      </c>
      <c r="G1248" t="s">
        <v>747</v>
      </c>
      <c r="H1248" t="s">
        <v>747</v>
      </c>
      <c r="I1248" t="s">
        <v>743</v>
      </c>
      <c r="J1248" t="s">
        <v>744</v>
      </c>
      <c r="K1248" t="s">
        <v>546</v>
      </c>
      <c r="L1248" s="784" t="s">
        <v>575</v>
      </c>
      <c r="M1248" t="s">
        <v>745</v>
      </c>
      <c r="P1248" t="s">
        <v>1887</v>
      </c>
      <c r="R1248" t="s">
        <v>152</v>
      </c>
      <c r="S1248" t="s">
        <v>146</v>
      </c>
      <c r="U1248">
        <v>0</v>
      </c>
      <c r="V1248" t="s">
        <v>544</v>
      </c>
      <c r="W1248" t="s">
        <v>575</v>
      </c>
      <c r="X1248" s="784">
        <v>1612434649.6948864</v>
      </c>
    </row>
    <row r="1249" spans="1:24">
      <c r="A1249" t="s">
        <v>358</v>
      </c>
      <c r="B1249" t="s">
        <v>606</v>
      </c>
      <c r="C1249" t="s">
        <v>211</v>
      </c>
      <c r="D1249" t="s">
        <v>129</v>
      </c>
      <c r="E1249" t="s">
        <v>377</v>
      </c>
      <c r="F1249" t="s">
        <v>383</v>
      </c>
      <c r="G1249" t="s">
        <v>747</v>
      </c>
      <c r="H1249" t="s">
        <v>747</v>
      </c>
      <c r="I1249" t="s">
        <v>743</v>
      </c>
      <c r="J1249" t="s">
        <v>744</v>
      </c>
      <c r="K1249" t="s">
        <v>546</v>
      </c>
      <c r="L1249" s="784" t="s">
        <v>575</v>
      </c>
      <c r="M1249" t="s">
        <v>745</v>
      </c>
      <c r="P1249" t="s">
        <v>1887</v>
      </c>
      <c r="R1249" t="s">
        <v>148</v>
      </c>
      <c r="S1249" t="s">
        <v>145</v>
      </c>
      <c r="U1249">
        <v>0</v>
      </c>
      <c r="V1249" t="s">
        <v>544</v>
      </c>
      <c r="W1249" t="s">
        <v>562</v>
      </c>
      <c r="X1249" s="784">
        <v>78203134.118229344</v>
      </c>
    </row>
    <row r="1250" spans="1:24">
      <c r="A1250" t="s">
        <v>358</v>
      </c>
      <c r="B1250" t="s">
        <v>607</v>
      </c>
      <c r="C1250" t="s">
        <v>212</v>
      </c>
      <c r="D1250" t="s">
        <v>129</v>
      </c>
      <c r="E1250" t="s">
        <v>377</v>
      </c>
      <c r="F1250" t="s">
        <v>383</v>
      </c>
      <c r="G1250" t="s">
        <v>747</v>
      </c>
      <c r="H1250" t="s">
        <v>747</v>
      </c>
      <c r="I1250" t="s">
        <v>743</v>
      </c>
      <c r="J1250" t="s">
        <v>744</v>
      </c>
      <c r="K1250" t="s">
        <v>546</v>
      </c>
      <c r="L1250" s="784" t="s">
        <v>575</v>
      </c>
      <c r="M1250" t="s">
        <v>745</v>
      </c>
      <c r="P1250" t="s">
        <v>1887</v>
      </c>
      <c r="R1250" t="s">
        <v>148</v>
      </c>
      <c r="S1250" t="s">
        <v>145</v>
      </c>
      <c r="U1250">
        <v>2</v>
      </c>
      <c r="V1250" t="s">
        <v>541</v>
      </c>
      <c r="W1250" t="s">
        <v>542</v>
      </c>
      <c r="X1250" s="784">
        <v>9151637.7411015611</v>
      </c>
    </row>
    <row r="1251" spans="1:24">
      <c r="A1251" t="s">
        <v>358</v>
      </c>
      <c r="B1251" t="s">
        <v>608</v>
      </c>
      <c r="C1251" t="s">
        <v>213</v>
      </c>
      <c r="D1251" t="s">
        <v>130</v>
      </c>
      <c r="E1251" t="s">
        <v>377</v>
      </c>
      <c r="F1251" t="s">
        <v>383</v>
      </c>
      <c r="G1251" t="s">
        <v>747</v>
      </c>
      <c r="H1251" t="s">
        <v>747</v>
      </c>
      <c r="I1251" t="s">
        <v>743</v>
      </c>
      <c r="J1251" t="s">
        <v>744</v>
      </c>
      <c r="K1251" t="s">
        <v>546</v>
      </c>
      <c r="L1251" s="784" t="s">
        <v>575</v>
      </c>
      <c r="M1251" t="s">
        <v>745</v>
      </c>
      <c r="P1251" t="s">
        <v>1887</v>
      </c>
      <c r="R1251" t="s">
        <v>152</v>
      </c>
      <c r="S1251" t="s">
        <v>145</v>
      </c>
      <c r="U1251">
        <v>0</v>
      </c>
      <c r="V1251" t="s">
        <v>541</v>
      </c>
      <c r="W1251" t="s">
        <v>562</v>
      </c>
      <c r="X1251" s="784">
        <v>142455920.02856269</v>
      </c>
    </row>
    <row r="1252" spans="1:24">
      <c r="A1252" t="s">
        <v>358</v>
      </c>
      <c r="B1252" t="s">
        <v>609</v>
      </c>
      <c r="C1252" t="s">
        <v>214</v>
      </c>
      <c r="D1252" t="s">
        <v>130</v>
      </c>
      <c r="E1252" t="s">
        <v>377</v>
      </c>
      <c r="F1252" t="s">
        <v>383</v>
      </c>
      <c r="G1252" t="s">
        <v>747</v>
      </c>
      <c r="H1252" t="s">
        <v>747</v>
      </c>
      <c r="I1252" t="s">
        <v>743</v>
      </c>
      <c r="J1252" t="s">
        <v>744</v>
      </c>
      <c r="K1252" t="s">
        <v>546</v>
      </c>
      <c r="L1252" s="784" t="s">
        <v>575</v>
      </c>
      <c r="M1252" t="s">
        <v>745</v>
      </c>
      <c r="P1252" t="s">
        <v>1887</v>
      </c>
      <c r="R1252" t="s">
        <v>150</v>
      </c>
      <c r="S1252" t="s">
        <v>145</v>
      </c>
      <c r="U1252">
        <v>1</v>
      </c>
      <c r="V1252" t="s">
        <v>541</v>
      </c>
      <c r="W1252" t="s">
        <v>542</v>
      </c>
      <c r="X1252" s="784">
        <v>85611818.171245083</v>
      </c>
    </row>
    <row r="1253" spans="1:24">
      <c r="A1253" t="s">
        <v>358</v>
      </c>
      <c r="B1253" t="s">
        <v>610</v>
      </c>
      <c r="C1253" t="s">
        <v>215</v>
      </c>
      <c r="D1253" t="s">
        <v>130</v>
      </c>
      <c r="E1253" t="s">
        <v>377</v>
      </c>
      <c r="F1253" t="s">
        <v>383</v>
      </c>
      <c r="G1253" t="s">
        <v>747</v>
      </c>
      <c r="H1253" t="s">
        <v>747</v>
      </c>
      <c r="I1253" t="s">
        <v>743</v>
      </c>
      <c r="J1253" t="s">
        <v>744</v>
      </c>
      <c r="K1253" t="s">
        <v>546</v>
      </c>
      <c r="L1253" s="784" t="s">
        <v>575</v>
      </c>
      <c r="M1253" t="s">
        <v>745</v>
      </c>
      <c r="P1253" t="s">
        <v>1887</v>
      </c>
      <c r="R1253" t="s">
        <v>150</v>
      </c>
      <c r="S1253" t="s">
        <v>145</v>
      </c>
      <c r="U1253">
        <v>0</v>
      </c>
      <c r="V1253" t="s">
        <v>544</v>
      </c>
      <c r="W1253" t="s">
        <v>558</v>
      </c>
      <c r="X1253" s="784">
        <v>680289736.30082119</v>
      </c>
    </row>
    <row r="1254" spans="1:24">
      <c r="A1254" t="s">
        <v>358</v>
      </c>
      <c r="B1254" t="s">
        <v>611</v>
      </c>
      <c r="C1254" t="s">
        <v>216</v>
      </c>
      <c r="D1254" t="s">
        <v>132</v>
      </c>
      <c r="E1254" t="s">
        <v>377</v>
      </c>
      <c r="F1254" t="s">
        <v>383</v>
      </c>
      <c r="G1254" t="s">
        <v>747</v>
      </c>
      <c r="H1254" t="s">
        <v>747</v>
      </c>
      <c r="I1254" t="s">
        <v>743</v>
      </c>
      <c r="J1254" t="s">
        <v>744</v>
      </c>
      <c r="K1254" t="s">
        <v>546</v>
      </c>
      <c r="L1254" s="784" t="s">
        <v>575</v>
      </c>
      <c r="M1254" t="s">
        <v>745</v>
      </c>
      <c r="P1254" t="s">
        <v>1887</v>
      </c>
      <c r="R1254" t="s">
        <v>150</v>
      </c>
      <c r="S1254" t="s">
        <v>145</v>
      </c>
      <c r="U1254">
        <v>0</v>
      </c>
      <c r="V1254" t="s">
        <v>544</v>
      </c>
      <c r="W1254" t="s">
        <v>546</v>
      </c>
      <c r="X1254" s="784">
        <v>26554332750.47023</v>
      </c>
    </row>
    <row r="1255" spans="1:24">
      <c r="A1255" t="s">
        <v>358</v>
      </c>
      <c r="B1255" t="s">
        <v>612</v>
      </c>
      <c r="C1255" t="s">
        <v>217</v>
      </c>
      <c r="D1255" t="s">
        <v>126</v>
      </c>
      <c r="E1255" t="s">
        <v>377</v>
      </c>
      <c r="F1255" t="s">
        <v>383</v>
      </c>
      <c r="G1255" t="s">
        <v>747</v>
      </c>
      <c r="H1255" t="s">
        <v>747</v>
      </c>
      <c r="I1255" t="s">
        <v>743</v>
      </c>
      <c r="J1255" t="s">
        <v>744</v>
      </c>
      <c r="K1255" t="s">
        <v>546</v>
      </c>
      <c r="L1255" s="784">
        <v>100000000</v>
      </c>
      <c r="M1255" t="s">
        <v>745</v>
      </c>
      <c r="P1255" t="s">
        <v>1887</v>
      </c>
      <c r="R1255" t="s">
        <v>150</v>
      </c>
      <c r="S1255" t="s">
        <v>145</v>
      </c>
      <c r="U1255">
        <v>0</v>
      </c>
      <c r="V1255" t="s">
        <v>544</v>
      </c>
      <c r="W1255" t="s">
        <v>546</v>
      </c>
      <c r="X1255" s="784">
        <v>14745961064.890842</v>
      </c>
    </row>
    <row r="1256" spans="1:24">
      <c r="A1256" t="s">
        <v>358</v>
      </c>
      <c r="B1256" t="s">
        <v>613</v>
      </c>
      <c r="C1256" t="s">
        <v>149</v>
      </c>
      <c r="D1256" t="s">
        <v>131</v>
      </c>
      <c r="E1256" t="s">
        <v>377</v>
      </c>
      <c r="F1256" t="s">
        <v>383</v>
      </c>
      <c r="G1256" t="s">
        <v>747</v>
      </c>
      <c r="H1256" t="s">
        <v>747</v>
      </c>
      <c r="I1256" t="s">
        <v>743</v>
      </c>
      <c r="J1256" t="s">
        <v>744</v>
      </c>
      <c r="K1256" t="s">
        <v>546</v>
      </c>
      <c r="L1256" s="784" t="s">
        <v>575</v>
      </c>
      <c r="M1256" t="s">
        <v>745</v>
      </c>
      <c r="P1256" t="s">
        <v>1887</v>
      </c>
      <c r="R1256" t="s">
        <v>150</v>
      </c>
      <c r="S1256" t="s">
        <v>146</v>
      </c>
      <c r="U1256">
        <v>0</v>
      </c>
      <c r="V1256" t="s">
        <v>544</v>
      </c>
      <c r="W1256" t="s">
        <v>546</v>
      </c>
      <c r="X1256" s="784">
        <v>18194076299.786381</v>
      </c>
    </row>
    <row r="1257" spans="1:24">
      <c r="A1257" t="s">
        <v>358</v>
      </c>
      <c r="B1257" t="s">
        <v>614</v>
      </c>
      <c r="C1257" t="s">
        <v>218</v>
      </c>
      <c r="D1257" t="s">
        <v>131</v>
      </c>
      <c r="E1257" t="s">
        <v>377</v>
      </c>
      <c r="F1257" t="s">
        <v>383</v>
      </c>
      <c r="G1257" t="s">
        <v>747</v>
      </c>
      <c r="H1257" t="s">
        <v>747</v>
      </c>
      <c r="I1257" t="s">
        <v>743</v>
      </c>
      <c r="J1257" t="s">
        <v>744</v>
      </c>
      <c r="K1257" t="s">
        <v>546</v>
      </c>
      <c r="L1257" s="784" t="s">
        <v>575</v>
      </c>
      <c r="M1257" t="s">
        <v>745</v>
      </c>
      <c r="P1257" t="s">
        <v>1887</v>
      </c>
      <c r="R1257" t="s">
        <v>152</v>
      </c>
      <c r="S1257" t="s">
        <v>146</v>
      </c>
      <c r="U1257">
        <v>0</v>
      </c>
      <c r="V1257" t="s">
        <v>544</v>
      </c>
      <c r="W1257" t="s">
        <v>546</v>
      </c>
      <c r="X1257" s="784">
        <v>4428819387.769825</v>
      </c>
    </row>
    <row r="1258" spans="1:24">
      <c r="A1258" t="s">
        <v>358</v>
      </c>
      <c r="B1258" t="s">
        <v>615</v>
      </c>
      <c r="C1258" t="s">
        <v>219</v>
      </c>
      <c r="D1258" t="s">
        <v>130</v>
      </c>
      <c r="E1258" t="s">
        <v>377</v>
      </c>
      <c r="F1258" t="s">
        <v>383</v>
      </c>
      <c r="G1258" t="s">
        <v>747</v>
      </c>
      <c r="H1258" t="s">
        <v>747</v>
      </c>
      <c r="I1258" t="s">
        <v>743</v>
      </c>
      <c r="J1258" t="s">
        <v>744</v>
      </c>
      <c r="K1258" t="s">
        <v>546</v>
      </c>
      <c r="L1258" s="784" t="s">
        <v>575</v>
      </c>
      <c r="M1258" t="s">
        <v>745</v>
      </c>
      <c r="P1258" t="s">
        <v>1887</v>
      </c>
      <c r="R1258" t="s">
        <v>152</v>
      </c>
      <c r="S1258" t="s">
        <v>146</v>
      </c>
      <c r="U1258">
        <v>0</v>
      </c>
      <c r="V1258" t="s">
        <v>541</v>
      </c>
      <c r="W1258" t="s">
        <v>575</v>
      </c>
      <c r="X1258" s="784">
        <v>611739560.62679195</v>
      </c>
    </row>
    <row r="1259" spans="1:24">
      <c r="A1259" t="s">
        <v>358</v>
      </c>
      <c r="B1259" t="s">
        <v>616</v>
      </c>
      <c r="C1259" t="s">
        <v>220</v>
      </c>
      <c r="D1259" t="s">
        <v>131</v>
      </c>
      <c r="E1259" t="s">
        <v>377</v>
      </c>
      <c r="F1259" t="s">
        <v>383</v>
      </c>
      <c r="G1259" t="s">
        <v>747</v>
      </c>
      <c r="H1259" t="s">
        <v>747</v>
      </c>
      <c r="I1259" t="s">
        <v>743</v>
      </c>
      <c r="J1259" t="s">
        <v>744</v>
      </c>
      <c r="K1259" t="s">
        <v>546</v>
      </c>
      <c r="L1259" s="784" t="s">
        <v>575</v>
      </c>
      <c r="M1259" t="s">
        <v>745</v>
      </c>
      <c r="P1259" t="s">
        <v>1887</v>
      </c>
      <c r="R1259" t="s">
        <v>152</v>
      </c>
      <c r="S1259" t="s">
        <v>146</v>
      </c>
      <c r="U1259">
        <v>0</v>
      </c>
      <c r="V1259" t="s">
        <v>544</v>
      </c>
      <c r="W1259" t="s">
        <v>546</v>
      </c>
      <c r="X1259" s="784">
        <v>1617913383.0481031</v>
      </c>
    </row>
    <row r="1260" spans="1:24">
      <c r="A1260" t="s">
        <v>358</v>
      </c>
      <c r="B1260" t="s">
        <v>617</v>
      </c>
      <c r="C1260" t="s">
        <v>221</v>
      </c>
      <c r="D1260" t="s">
        <v>127</v>
      </c>
      <c r="E1260" t="s">
        <v>377</v>
      </c>
      <c r="F1260" t="s">
        <v>383</v>
      </c>
      <c r="G1260" t="s">
        <v>747</v>
      </c>
      <c r="H1260" t="s">
        <v>747</v>
      </c>
      <c r="I1260" t="s">
        <v>743</v>
      </c>
      <c r="J1260" t="s">
        <v>744</v>
      </c>
      <c r="K1260" t="s">
        <v>546</v>
      </c>
      <c r="L1260" s="784" t="s">
        <v>575</v>
      </c>
      <c r="M1260" t="s">
        <v>745</v>
      </c>
      <c r="P1260" t="s">
        <v>1887</v>
      </c>
      <c r="R1260" t="s">
        <v>152</v>
      </c>
      <c r="S1260" t="s">
        <v>146</v>
      </c>
      <c r="U1260">
        <v>0</v>
      </c>
      <c r="V1260" t="s">
        <v>544</v>
      </c>
      <c r="W1260" t="s">
        <v>575</v>
      </c>
      <c r="X1260" s="784">
        <v>3074419112.4562683</v>
      </c>
    </row>
    <row r="1261" spans="1:24">
      <c r="A1261" t="s">
        <v>358</v>
      </c>
      <c r="B1261" t="s">
        <v>618</v>
      </c>
      <c r="C1261" t="s">
        <v>222</v>
      </c>
      <c r="D1261" t="s">
        <v>128</v>
      </c>
      <c r="E1261" t="s">
        <v>377</v>
      </c>
      <c r="F1261" t="s">
        <v>383</v>
      </c>
      <c r="G1261" t="s">
        <v>747</v>
      </c>
      <c r="H1261" t="s">
        <v>747</v>
      </c>
      <c r="I1261" t="s">
        <v>743</v>
      </c>
      <c r="J1261" t="s">
        <v>744</v>
      </c>
      <c r="K1261" t="s">
        <v>546</v>
      </c>
      <c r="L1261" s="784" t="s">
        <v>575</v>
      </c>
      <c r="M1261" t="s">
        <v>745</v>
      </c>
      <c r="P1261" t="s">
        <v>1887</v>
      </c>
      <c r="R1261" t="s">
        <v>150</v>
      </c>
      <c r="S1261" t="s">
        <v>145</v>
      </c>
      <c r="U1261">
        <v>0</v>
      </c>
      <c r="V1261" t="s">
        <v>544</v>
      </c>
      <c r="W1261" t="s">
        <v>542</v>
      </c>
      <c r="X1261" s="784">
        <v>1914014279.8929913</v>
      </c>
    </row>
    <row r="1262" spans="1:24">
      <c r="A1262" t="s">
        <v>358</v>
      </c>
      <c r="B1262" t="s">
        <v>619</v>
      </c>
      <c r="C1262" t="s">
        <v>223</v>
      </c>
      <c r="D1262" t="s">
        <v>126</v>
      </c>
      <c r="E1262" t="s">
        <v>377</v>
      </c>
      <c r="F1262" t="s">
        <v>383</v>
      </c>
      <c r="G1262" t="s">
        <v>747</v>
      </c>
      <c r="H1262" t="s">
        <v>747</v>
      </c>
      <c r="I1262" t="s">
        <v>743</v>
      </c>
      <c r="J1262" t="s">
        <v>744</v>
      </c>
      <c r="K1262" t="s">
        <v>546</v>
      </c>
      <c r="L1262" s="784" t="s">
        <v>575</v>
      </c>
      <c r="M1262" t="s">
        <v>745</v>
      </c>
      <c r="P1262" t="s">
        <v>1887</v>
      </c>
      <c r="R1262" t="s">
        <v>150</v>
      </c>
      <c r="S1262" t="s">
        <v>145</v>
      </c>
      <c r="U1262">
        <v>0</v>
      </c>
      <c r="V1262" t="s">
        <v>541</v>
      </c>
      <c r="W1262" t="s">
        <v>542</v>
      </c>
      <c r="X1262" s="784">
        <v>17422005.762907442</v>
      </c>
    </row>
    <row r="1263" spans="1:24">
      <c r="A1263" t="s">
        <v>358</v>
      </c>
      <c r="B1263" t="s">
        <v>620</v>
      </c>
      <c r="C1263" t="s">
        <v>224</v>
      </c>
      <c r="D1263" t="s">
        <v>126</v>
      </c>
      <c r="E1263" t="s">
        <v>377</v>
      </c>
      <c r="F1263" t="s">
        <v>383</v>
      </c>
      <c r="G1263" t="s">
        <v>747</v>
      </c>
      <c r="H1263" t="s">
        <v>747</v>
      </c>
      <c r="I1263" t="s">
        <v>743</v>
      </c>
      <c r="J1263" t="s">
        <v>744</v>
      </c>
      <c r="K1263" t="s">
        <v>546</v>
      </c>
      <c r="L1263" s="784" t="s">
        <v>575</v>
      </c>
      <c r="M1263" t="s">
        <v>745</v>
      </c>
      <c r="P1263" t="s">
        <v>1887</v>
      </c>
      <c r="R1263" t="s">
        <v>148</v>
      </c>
      <c r="S1263" t="s">
        <v>145</v>
      </c>
      <c r="U1263">
        <v>0</v>
      </c>
      <c r="V1263" t="s">
        <v>544</v>
      </c>
      <c r="W1263" t="s">
        <v>546</v>
      </c>
      <c r="X1263" s="784" t="s">
        <v>575</v>
      </c>
    </row>
    <row r="1264" spans="1:24">
      <c r="A1264" t="s">
        <v>358</v>
      </c>
      <c r="B1264" t="s">
        <v>621</v>
      </c>
      <c r="C1264" t="s">
        <v>225</v>
      </c>
      <c r="D1264" t="s">
        <v>127</v>
      </c>
      <c r="E1264" t="s">
        <v>377</v>
      </c>
      <c r="F1264" t="s">
        <v>383</v>
      </c>
      <c r="G1264" t="s">
        <v>747</v>
      </c>
      <c r="H1264" t="s">
        <v>747</v>
      </c>
      <c r="I1264" t="s">
        <v>743</v>
      </c>
      <c r="J1264" t="s">
        <v>744</v>
      </c>
      <c r="K1264" t="s">
        <v>546</v>
      </c>
      <c r="L1264" s="784" t="s">
        <v>575</v>
      </c>
      <c r="M1264" t="s">
        <v>745</v>
      </c>
      <c r="P1264" t="s">
        <v>1887</v>
      </c>
      <c r="R1264" t="s">
        <v>152</v>
      </c>
      <c r="S1264" t="s">
        <v>145</v>
      </c>
      <c r="U1264">
        <v>0</v>
      </c>
      <c r="V1264" t="s">
        <v>544</v>
      </c>
      <c r="W1264" t="s">
        <v>548</v>
      </c>
      <c r="X1264" s="784" t="s">
        <v>575</v>
      </c>
    </row>
    <row r="1265" spans="1:24">
      <c r="A1265" t="s">
        <v>358</v>
      </c>
      <c r="B1265" t="s">
        <v>622</v>
      </c>
      <c r="C1265" t="s">
        <v>226</v>
      </c>
      <c r="D1265" t="s">
        <v>127</v>
      </c>
      <c r="E1265" t="s">
        <v>377</v>
      </c>
      <c r="F1265" t="s">
        <v>383</v>
      </c>
      <c r="G1265" t="s">
        <v>747</v>
      </c>
      <c r="H1265" t="s">
        <v>747</v>
      </c>
      <c r="I1265" t="s">
        <v>743</v>
      </c>
      <c r="J1265" t="s">
        <v>744</v>
      </c>
      <c r="K1265" t="s">
        <v>546</v>
      </c>
      <c r="L1265" s="784">
        <v>23000000</v>
      </c>
      <c r="M1265" t="s">
        <v>745</v>
      </c>
      <c r="P1265" t="s">
        <v>1887</v>
      </c>
      <c r="R1265" t="s">
        <v>150</v>
      </c>
      <c r="S1265" t="s">
        <v>145</v>
      </c>
      <c r="U1265">
        <v>2</v>
      </c>
      <c r="V1265" t="s">
        <v>544</v>
      </c>
      <c r="W1265" t="s">
        <v>562</v>
      </c>
      <c r="X1265" s="784">
        <v>231506834.84347546</v>
      </c>
    </row>
    <row r="1266" spans="1:24">
      <c r="A1266" t="s">
        <v>358</v>
      </c>
      <c r="B1266" t="s">
        <v>623</v>
      </c>
      <c r="C1266" t="s">
        <v>227</v>
      </c>
      <c r="D1266" t="s">
        <v>126</v>
      </c>
      <c r="E1266" t="s">
        <v>377</v>
      </c>
      <c r="F1266" t="s">
        <v>383</v>
      </c>
      <c r="G1266" t="s">
        <v>747</v>
      </c>
      <c r="H1266" t="s">
        <v>747</v>
      </c>
      <c r="I1266" t="s">
        <v>743</v>
      </c>
      <c r="J1266" t="s">
        <v>744</v>
      </c>
      <c r="K1266" t="s">
        <v>546</v>
      </c>
      <c r="L1266" s="784" t="s">
        <v>575</v>
      </c>
      <c r="M1266" t="s">
        <v>745</v>
      </c>
      <c r="P1266" t="s">
        <v>1887</v>
      </c>
      <c r="R1266" t="s">
        <v>150</v>
      </c>
      <c r="S1266" t="s">
        <v>145</v>
      </c>
      <c r="U1266">
        <v>0</v>
      </c>
      <c r="V1266" t="s">
        <v>544</v>
      </c>
      <c r="W1266" t="s">
        <v>542</v>
      </c>
      <c r="X1266" s="784">
        <v>156059428.62944782</v>
      </c>
    </row>
    <row r="1267" spans="1:24">
      <c r="A1267" t="s">
        <v>358</v>
      </c>
      <c r="B1267" t="s">
        <v>624</v>
      </c>
      <c r="C1267" t="s">
        <v>228</v>
      </c>
      <c r="D1267" t="s">
        <v>131</v>
      </c>
      <c r="E1267" t="s">
        <v>377</v>
      </c>
      <c r="F1267" t="s">
        <v>383</v>
      </c>
      <c r="G1267" t="s">
        <v>747</v>
      </c>
      <c r="H1267" t="s">
        <v>747</v>
      </c>
      <c r="I1267" t="s">
        <v>743</v>
      </c>
      <c r="J1267" t="s">
        <v>744</v>
      </c>
      <c r="K1267" t="s">
        <v>546</v>
      </c>
      <c r="L1267" s="784" t="s">
        <v>575</v>
      </c>
      <c r="M1267" t="s">
        <v>745</v>
      </c>
      <c r="P1267" t="s">
        <v>1887</v>
      </c>
      <c r="R1267" t="s">
        <v>152</v>
      </c>
      <c r="S1267" t="s">
        <v>146</v>
      </c>
      <c r="U1267">
        <v>0</v>
      </c>
      <c r="V1267" t="s">
        <v>544</v>
      </c>
      <c r="W1267" t="s">
        <v>546</v>
      </c>
      <c r="X1267" s="784">
        <v>2355391507.1635861</v>
      </c>
    </row>
    <row r="1268" spans="1:24">
      <c r="A1268" t="s">
        <v>358</v>
      </c>
      <c r="B1268" t="s">
        <v>625</v>
      </c>
      <c r="C1268" t="s">
        <v>229</v>
      </c>
      <c r="D1268" t="s">
        <v>128</v>
      </c>
      <c r="E1268" t="s">
        <v>377</v>
      </c>
      <c r="F1268" t="s">
        <v>383</v>
      </c>
      <c r="G1268" t="s">
        <v>747</v>
      </c>
      <c r="H1268" t="s">
        <v>747</v>
      </c>
      <c r="I1268" t="s">
        <v>743</v>
      </c>
      <c r="J1268" t="s">
        <v>744</v>
      </c>
      <c r="K1268" t="s">
        <v>546</v>
      </c>
      <c r="L1268" s="784" t="s">
        <v>575</v>
      </c>
      <c r="M1268" t="s">
        <v>745</v>
      </c>
      <c r="P1268" t="s">
        <v>1887</v>
      </c>
      <c r="R1268" t="s">
        <v>150</v>
      </c>
      <c r="S1268" t="s">
        <v>145</v>
      </c>
      <c r="U1268">
        <v>0</v>
      </c>
      <c r="V1268" t="s">
        <v>544</v>
      </c>
      <c r="W1268" t="s">
        <v>562</v>
      </c>
      <c r="X1268" s="784">
        <v>152760919.7684873</v>
      </c>
    </row>
    <row r="1269" spans="1:24">
      <c r="A1269" t="s">
        <v>358</v>
      </c>
      <c r="B1269" t="s">
        <v>626</v>
      </c>
      <c r="C1269" t="s">
        <v>230</v>
      </c>
      <c r="D1269" t="s">
        <v>129</v>
      </c>
      <c r="E1269" t="s">
        <v>377</v>
      </c>
      <c r="F1269" t="s">
        <v>383</v>
      </c>
      <c r="G1269" t="s">
        <v>747</v>
      </c>
      <c r="H1269" t="s">
        <v>747</v>
      </c>
      <c r="I1269" t="s">
        <v>743</v>
      </c>
      <c r="J1269" t="s">
        <v>744</v>
      </c>
      <c r="K1269" t="s">
        <v>546</v>
      </c>
      <c r="L1269" s="784" t="s">
        <v>575</v>
      </c>
      <c r="M1269" t="s">
        <v>745</v>
      </c>
      <c r="P1269" t="s">
        <v>1887</v>
      </c>
      <c r="R1269" t="s">
        <v>148</v>
      </c>
      <c r="S1269" t="s">
        <v>145</v>
      </c>
      <c r="U1269">
        <v>0</v>
      </c>
      <c r="V1269" t="s">
        <v>544</v>
      </c>
      <c r="W1269" t="s">
        <v>542</v>
      </c>
      <c r="X1269" s="784">
        <v>55072006.864440605</v>
      </c>
    </row>
    <row r="1270" spans="1:24">
      <c r="A1270" t="s">
        <v>358</v>
      </c>
      <c r="B1270" t="s">
        <v>627</v>
      </c>
      <c r="C1270" t="s">
        <v>231</v>
      </c>
      <c r="D1270" t="s">
        <v>131</v>
      </c>
      <c r="E1270" t="s">
        <v>377</v>
      </c>
      <c r="F1270" t="s">
        <v>383</v>
      </c>
      <c r="G1270" t="s">
        <v>747</v>
      </c>
      <c r="H1270" t="s">
        <v>747</v>
      </c>
      <c r="I1270" t="s">
        <v>743</v>
      </c>
      <c r="J1270" t="s">
        <v>744</v>
      </c>
      <c r="K1270" t="s">
        <v>546</v>
      </c>
      <c r="L1270" s="784" t="s">
        <v>575</v>
      </c>
      <c r="M1270" t="s">
        <v>745</v>
      </c>
      <c r="P1270" t="s">
        <v>1887</v>
      </c>
      <c r="R1270" t="s">
        <v>152</v>
      </c>
      <c r="S1270" t="s">
        <v>146</v>
      </c>
      <c r="U1270">
        <v>0</v>
      </c>
      <c r="V1270" t="s">
        <v>544</v>
      </c>
      <c r="W1270" t="s">
        <v>546</v>
      </c>
      <c r="X1270" s="784" t="s">
        <v>575</v>
      </c>
    </row>
    <row r="1271" spans="1:24">
      <c r="A1271" t="s">
        <v>358</v>
      </c>
      <c r="B1271" t="s">
        <v>628</v>
      </c>
      <c r="C1271" t="s">
        <v>232</v>
      </c>
      <c r="D1271" t="s">
        <v>128</v>
      </c>
      <c r="E1271" t="s">
        <v>377</v>
      </c>
      <c r="F1271" t="s">
        <v>383</v>
      </c>
      <c r="G1271" t="s">
        <v>747</v>
      </c>
      <c r="H1271" t="s">
        <v>747</v>
      </c>
      <c r="I1271" t="s">
        <v>743</v>
      </c>
      <c r="J1271" t="s">
        <v>744</v>
      </c>
      <c r="K1271" t="s">
        <v>546</v>
      </c>
      <c r="L1271" s="784" t="s">
        <v>575</v>
      </c>
      <c r="M1271" t="s">
        <v>745</v>
      </c>
      <c r="P1271" t="s">
        <v>1887</v>
      </c>
      <c r="R1271" t="s">
        <v>148</v>
      </c>
      <c r="S1271" t="s">
        <v>145</v>
      </c>
      <c r="U1271">
        <v>2</v>
      </c>
      <c r="V1271" t="s">
        <v>544</v>
      </c>
      <c r="W1271" t="s">
        <v>562</v>
      </c>
      <c r="X1271" s="784">
        <v>206914157.05429548</v>
      </c>
    </row>
    <row r="1272" spans="1:24">
      <c r="A1272" t="s">
        <v>358</v>
      </c>
      <c r="B1272" t="s">
        <v>629</v>
      </c>
      <c r="C1272" t="s">
        <v>233</v>
      </c>
      <c r="D1272" t="s">
        <v>128</v>
      </c>
      <c r="E1272" t="s">
        <v>377</v>
      </c>
      <c r="F1272" t="s">
        <v>383</v>
      </c>
      <c r="G1272" t="s">
        <v>747</v>
      </c>
      <c r="H1272" t="s">
        <v>747</v>
      </c>
      <c r="I1272" t="s">
        <v>743</v>
      </c>
      <c r="J1272" t="s">
        <v>744</v>
      </c>
      <c r="K1272" t="s">
        <v>546</v>
      </c>
      <c r="L1272" s="784" t="s">
        <v>575</v>
      </c>
      <c r="M1272" t="s">
        <v>745</v>
      </c>
      <c r="P1272" t="s">
        <v>1887</v>
      </c>
      <c r="R1272" t="s">
        <v>148</v>
      </c>
      <c r="S1272" t="s">
        <v>145</v>
      </c>
      <c r="U1272">
        <v>2</v>
      </c>
      <c r="V1272" t="s">
        <v>544</v>
      </c>
      <c r="W1272" t="s">
        <v>542</v>
      </c>
      <c r="X1272" s="784">
        <v>185999915.02066413</v>
      </c>
    </row>
    <row r="1273" spans="1:24">
      <c r="A1273" t="s">
        <v>358</v>
      </c>
      <c r="B1273" t="s">
        <v>630</v>
      </c>
      <c r="C1273" t="s">
        <v>234</v>
      </c>
      <c r="D1273" t="s">
        <v>126</v>
      </c>
      <c r="E1273" t="s">
        <v>377</v>
      </c>
      <c r="F1273" t="s">
        <v>383</v>
      </c>
      <c r="G1273" t="s">
        <v>747</v>
      </c>
      <c r="H1273" t="s">
        <v>747</v>
      </c>
      <c r="I1273" t="s">
        <v>743</v>
      </c>
      <c r="J1273" t="s">
        <v>744</v>
      </c>
      <c r="K1273" t="s">
        <v>546</v>
      </c>
      <c r="L1273" s="784" t="s">
        <v>575</v>
      </c>
      <c r="M1273" t="s">
        <v>745</v>
      </c>
      <c r="P1273" t="s">
        <v>1887</v>
      </c>
      <c r="R1273" t="s">
        <v>152</v>
      </c>
      <c r="S1273" t="s">
        <v>146</v>
      </c>
      <c r="U1273">
        <v>0</v>
      </c>
      <c r="V1273" t="s">
        <v>544</v>
      </c>
      <c r="W1273" t="s">
        <v>575</v>
      </c>
      <c r="X1273" s="784">
        <v>6893755763.2501726</v>
      </c>
    </row>
    <row r="1274" spans="1:24">
      <c r="A1274" t="s">
        <v>358</v>
      </c>
      <c r="B1274" t="s">
        <v>631</v>
      </c>
      <c r="C1274" t="s">
        <v>235</v>
      </c>
      <c r="D1274" t="s">
        <v>132</v>
      </c>
      <c r="E1274" t="s">
        <v>377</v>
      </c>
      <c r="F1274" t="s">
        <v>383</v>
      </c>
      <c r="G1274" t="s">
        <v>747</v>
      </c>
      <c r="H1274" t="s">
        <v>747</v>
      </c>
      <c r="I1274" t="s">
        <v>743</v>
      </c>
      <c r="J1274" t="s">
        <v>744</v>
      </c>
      <c r="K1274" t="s">
        <v>546</v>
      </c>
      <c r="L1274" s="784">
        <v>8000000</v>
      </c>
      <c r="M1274" t="s">
        <v>745</v>
      </c>
      <c r="P1274" t="s">
        <v>1887</v>
      </c>
      <c r="R1274" t="s">
        <v>152</v>
      </c>
      <c r="S1274" t="s">
        <v>145</v>
      </c>
      <c r="U1274">
        <v>0</v>
      </c>
      <c r="V1274" t="s">
        <v>541</v>
      </c>
      <c r="W1274" t="s">
        <v>542</v>
      </c>
      <c r="X1274" s="784">
        <v>354560231.58276606</v>
      </c>
    </row>
    <row r="1275" spans="1:24">
      <c r="A1275" t="s">
        <v>358</v>
      </c>
      <c r="B1275" t="s">
        <v>632</v>
      </c>
      <c r="C1275" t="s">
        <v>236</v>
      </c>
      <c r="D1275" t="s">
        <v>129</v>
      </c>
      <c r="E1275" t="s">
        <v>377</v>
      </c>
      <c r="F1275" t="s">
        <v>383</v>
      </c>
      <c r="G1275" t="s">
        <v>747</v>
      </c>
      <c r="H1275" t="s">
        <v>747</v>
      </c>
      <c r="I1275" t="s">
        <v>743</v>
      </c>
      <c r="J1275" t="s">
        <v>744</v>
      </c>
      <c r="K1275" t="s">
        <v>546</v>
      </c>
      <c r="L1275" s="784" t="s">
        <v>575</v>
      </c>
      <c r="M1275" t="s">
        <v>745</v>
      </c>
      <c r="P1275" t="s">
        <v>1887</v>
      </c>
      <c r="R1275" t="s">
        <v>148</v>
      </c>
      <c r="S1275" t="s">
        <v>145</v>
      </c>
      <c r="U1275">
        <v>1</v>
      </c>
      <c r="V1275" t="s">
        <v>544</v>
      </c>
      <c r="W1275" t="s">
        <v>562</v>
      </c>
      <c r="X1275" s="784">
        <v>188169167.56540567</v>
      </c>
    </row>
    <row r="1276" spans="1:24">
      <c r="A1276" t="s">
        <v>358</v>
      </c>
      <c r="B1276" t="s">
        <v>633</v>
      </c>
      <c r="C1276" t="s">
        <v>237</v>
      </c>
      <c r="D1276" t="s">
        <v>126</v>
      </c>
      <c r="E1276" t="s">
        <v>377</v>
      </c>
      <c r="F1276" t="s">
        <v>383</v>
      </c>
      <c r="G1276" t="s">
        <v>747</v>
      </c>
      <c r="H1276" t="s">
        <v>747</v>
      </c>
      <c r="I1276" t="s">
        <v>743</v>
      </c>
      <c r="J1276" t="s">
        <v>744</v>
      </c>
      <c r="K1276" t="s">
        <v>546</v>
      </c>
      <c r="L1276" s="784" t="s">
        <v>575</v>
      </c>
      <c r="M1276" t="s">
        <v>745</v>
      </c>
      <c r="P1276" t="s">
        <v>1887</v>
      </c>
      <c r="R1276" t="s">
        <v>152</v>
      </c>
      <c r="S1276" t="s">
        <v>145</v>
      </c>
      <c r="U1276">
        <v>0</v>
      </c>
      <c r="V1276" t="s">
        <v>541</v>
      </c>
      <c r="W1276" t="s">
        <v>575</v>
      </c>
      <c r="X1276" s="784">
        <v>16312106.556340856</v>
      </c>
    </row>
    <row r="1277" spans="1:24">
      <c r="A1277" t="s">
        <v>358</v>
      </c>
      <c r="B1277" t="s">
        <v>634</v>
      </c>
      <c r="C1277" t="s">
        <v>238</v>
      </c>
      <c r="D1277" t="s">
        <v>129</v>
      </c>
      <c r="E1277" t="s">
        <v>377</v>
      </c>
      <c r="F1277" t="s">
        <v>383</v>
      </c>
      <c r="G1277" t="s">
        <v>747</v>
      </c>
      <c r="H1277" t="s">
        <v>747</v>
      </c>
      <c r="I1277" t="s">
        <v>743</v>
      </c>
      <c r="J1277" t="s">
        <v>744</v>
      </c>
      <c r="K1277" t="s">
        <v>546</v>
      </c>
      <c r="L1277" s="784" t="s">
        <v>575</v>
      </c>
      <c r="M1277" t="s">
        <v>745</v>
      </c>
      <c r="P1277" t="s">
        <v>1887</v>
      </c>
      <c r="R1277" t="s">
        <v>150</v>
      </c>
      <c r="S1277" t="s">
        <v>145</v>
      </c>
      <c r="U1277">
        <v>2</v>
      </c>
      <c r="V1277" t="s">
        <v>544</v>
      </c>
      <c r="W1277" t="s">
        <v>542</v>
      </c>
      <c r="X1277" s="784">
        <v>86083833.534053758</v>
      </c>
    </row>
    <row r="1278" spans="1:24">
      <c r="A1278" t="s">
        <v>358</v>
      </c>
      <c r="B1278" t="s">
        <v>635</v>
      </c>
      <c r="C1278" t="s">
        <v>239</v>
      </c>
      <c r="D1278" t="s">
        <v>128</v>
      </c>
      <c r="E1278" t="s">
        <v>377</v>
      </c>
      <c r="F1278" t="s">
        <v>383</v>
      </c>
      <c r="G1278" t="s">
        <v>747</v>
      </c>
      <c r="H1278" t="s">
        <v>747</v>
      </c>
      <c r="I1278" t="s">
        <v>743</v>
      </c>
      <c r="J1278" t="s">
        <v>744</v>
      </c>
      <c r="K1278" t="s">
        <v>546</v>
      </c>
      <c r="L1278" s="784" t="s">
        <v>575</v>
      </c>
      <c r="M1278" t="s">
        <v>745</v>
      </c>
      <c r="P1278" t="s">
        <v>1887</v>
      </c>
      <c r="R1278" t="s">
        <v>152</v>
      </c>
      <c r="S1278" t="s">
        <v>146</v>
      </c>
      <c r="U1278">
        <v>0</v>
      </c>
      <c r="V1278" t="s">
        <v>541</v>
      </c>
      <c r="W1278" t="s">
        <v>546</v>
      </c>
      <c r="X1278" s="784">
        <v>357220835.93762809</v>
      </c>
    </row>
    <row r="1279" spans="1:24">
      <c r="A1279" t="s">
        <v>358</v>
      </c>
      <c r="B1279" t="s">
        <v>636</v>
      </c>
      <c r="C1279" t="s">
        <v>240</v>
      </c>
      <c r="D1279" t="s">
        <v>130</v>
      </c>
      <c r="E1279" t="s">
        <v>377</v>
      </c>
      <c r="F1279" t="s">
        <v>383</v>
      </c>
      <c r="G1279" t="s">
        <v>747</v>
      </c>
      <c r="H1279" t="s">
        <v>747</v>
      </c>
      <c r="I1279" t="s">
        <v>743</v>
      </c>
      <c r="J1279" t="s">
        <v>744</v>
      </c>
      <c r="K1279" t="s">
        <v>546</v>
      </c>
      <c r="L1279" s="784" t="s">
        <v>575</v>
      </c>
      <c r="M1279" t="s">
        <v>745</v>
      </c>
      <c r="P1279" t="s">
        <v>1887</v>
      </c>
      <c r="R1279" t="s">
        <v>152</v>
      </c>
      <c r="S1279" t="s">
        <v>146</v>
      </c>
      <c r="U1279">
        <v>0</v>
      </c>
      <c r="V1279" t="s">
        <v>544</v>
      </c>
      <c r="W1279" t="s">
        <v>575</v>
      </c>
      <c r="X1279" s="784">
        <v>32831598153.796387</v>
      </c>
    </row>
    <row r="1280" spans="1:24">
      <c r="A1280" t="s">
        <v>358</v>
      </c>
      <c r="B1280" t="s">
        <v>637</v>
      </c>
      <c r="C1280" t="s">
        <v>241</v>
      </c>
      <c r="D1280" t="s">
        <v>126</v>
      </c>
      <c r="E1280" t="s">
        <v>377</v>
      </c>
      <c r="F1280" t="s">
        <v>383</v>
      </c>
      <c r="G1280" t="s">
        <v>747</v>
      </c>
      <c r="H1280" t="s">
        <v>747</v>
      </c>
      <c r="I1280" t="s">
        <v>743</v>
      </c>
      <c r="J1280" t="s">
        <v>744</v>
      </c>
      <c r="K1280" t="s">
        <v>546</v>
      </c>
      <c r="L1280" s="784" t="s">
        <v>575</v>
      </c>
      <c r="M1280" t="s">
        <v>745</v>
      </c>
      <c r="P1280" t="s">
        <v>1887</v>
      </c>
      <c r="R1280" t="s">
        <v>150</v>
      </c>
      <c r="S1280" t="s">
        <v>145</v>
      </c>
      <c r="U1280">
        <v>0</v>
      </c>
      <c r="V1280" t="s">
        <v>541</v>
      </c>
      <c r="W1280" t="s">
        <v>542</v>
      </c>
      <c r="X1280" s="784">
        <v>12329056.093798399</v>
      </c>
    </row>
    <row r="1281" spans="1:24">
      <c r="A1281" t="s">
        <v>358</v>
      </c>
      <c r="B1281" t="s">
        <v>638</v>
      </c>
      <c r="C1281" t="s">
        <v>242</v>
      </c>
      <c r="D1281" t="s">
        <v>127</v>
      </c>
      <c r="E1281" t="s">
        <v>377</v>
      </c>
      <c r="F1281" t="s">
        <v>383</v>
      </c>
      <c r="G1281" t="s">
        <v>747</v>
      </c>
      <c r="H1281" t="s">
        <v>747</v>
      </c>
      <c r="I1281" t="s">
        <v>743</v>
      </c>
      <c r="J1281" t="s">
        <v>744</v>
      </c>
      <c r="K1281" t="s">
        <v>546</v>
      </c>
      <c r="L1281" s="784" t="s">
        <v>575</v>
      </c>
      <c r="M1281" t="s">
        <v>745</v>
      </c>
      <c r="P1281" t="s">
        <v>1887</v>
      </c>
      <c r="R1281" t="s">
        <v>152</v>
      </c>
      <c r="S1281" t="s">
        <v>145</v>
      </c>
      <c r="U1281">
        <v>0</v>
      </c>
      <c r="V1281" t="s">
        <v>544</v>
      </c>
      <c r="W1281" t="s">
        <v>558</v>
      </c>
      <c r="X1281" s="784">
        <v>426639742.85328001</v>
      </c>
    </row>
    <row r="1282" spans="1:24">
      <c r="A1282" t="s">
        <v>358</v>
      </c>
      <c r="B1282" t="s">
        <v>639</v>
      </c>
      <c r="C1282" t="s">
        <v>243</v>
      </c>
      <c r="D1282" t="s">
        <v>126</v>
      </c>
      <c r="E1282" t="s">
        <v>377</v>
      </c>
      <c r="F1282" t="s">
        <v>383</v>
      </c>
      <c r="G1282" t="s">
        <v>747</v>
      </c>
      <c r="H1282" t="s">
        <v>747</v>
      </c>
      <c r="I1282" t="s">
        <v>743</v>
      </c>
      <c r="J1282" t="s">
        <v>744</v>
      </c>
      <c r="K1282" t="s">
        <v>546</v>
      </c>
      <c r="L1282" s="784" t="s">
        <v>575</v>
      </c>
      <c r="M1282" t="s">
        <v>745</v>
      </c>
      <c r="P1282" t="s">
        <v>1887</v>
      </c>
      <c r="R1282" t="s">
        <v>150</v>
      </c>
      <c r="S1282" t="s">
        <v>145</v>
      </c>
      <c r="U1282">
        <v>0</v>
      </c>
      <c r="V1282" t="s">
        <v>544</v>
      </c>
      <c r="W1282" t="s">
        <v>548</v>
      </c>
      <c r="X1282" s="784">
        <v>288519671.85870522</v>
      </c>
    </row>
    <row r="1283" spans="1:24">
      <c r="A1283" t="s">
        <v>358</v>
      </c>
      <c r="B1283" t="s">
        <v>640</v>
      </c>
      <c r="C1283" t="s">
        <v>244</v>
      </c>
      <c r="D1283" t="s">
        <v>127</v>
      </c>
      <c r="E1283" t="s">
        <v>377</v>
      </c>
      <c r="F1283" t="s">
        <v>383</v>
      </c>
      <c r="G1283" t="s">
        <v>747</v>
      </c>
      <c r="H1283" t="s">
        <v>747</v>
      </c>
      <c r="I1283" t="s">
        <v>743</v>
      </c>
      <c r="J1283" t="s">
        <v>744</v>
      </c>
      <c r="K1283" t="s">
        <v>546</v>
      </c>
      <c r="L1283" s="784" t="s">
        <v>575</v>
      </c>
      <c r="M1283" t="s">
        <v>745</v>
      </c>
      <c r="P1283" t="s">
        <v>1887</v>
      </c>
      <c r="R1283" t="s">
        <v>152</v>
      </c>
      <c r="S1283" t="s">
        <v>146</v>
      </c>
      <c r="U1283">
        <v>0</v>
      </c>
      <c r="V1283" t="s">
        <v>544</v>
      </c>
      <c r="W1283" t="s">
        <v>546</v>
      </c>
      <c r="X1283" s="784">
        <v>275606560.78491527</v>
      </c>
    </row>
    <row r="1284" spans="1:24">
      <c r="A1284" t="s">
        <v>358</v>
      </c>
      <c r="B1284" t="s">
        <v>641</v>
      </c>
      <c r="C1284" t="s">
        <v>245</v>
      </c>
      <c r="D1284" t="s">
        <v>131</v>
      </c>
      <c r="E1284" t="s">
        <v>377</v>
      </c>
      <c r="F1284" t="s">
        <v>383</v>
      </c>
      <c r="G1284" t="s">
        <v>747</v>
      </c>
      <c r="H1284" t="s">
        <v>747</v>
      </c>
      <c r="I1284" t="s">
        <v>743</v>
      </c>
      <c r="J1284" t="s">
        <v>744</v>
      </c>
      <c r="K1284" t="s">
        <v>546</v>
      </c>
      <c r="L1284" s="784" t="s">
        <v>575</v>
      </c>
      <c r="M1284" t="s">
        <v>745</v>
      </c>
      <c r="P1284" t="s">
        <v>1887</v>
      </c>
      <c r="R1284" t="s">
        <v>150</v>
      </c>
      <c r="S1284" t="s">
        <v>145</v>
      </c>
      <c r="U1284">
        <v>0</v>
      </c>
      <c r="V1284" t="s">
        <v>544</v>
      </c>
      <c r="W1284" t="s">
        <v>546</v>
      </c>
      <c r="X1284" s="784">
        <v>2530937679.3725696</v>
      </c>
    </row>
    <row r="1285" spans="1:24">
      <c r="A1285" t="s">
        <v>358</v>
      </c>
      <c r="B1285" t="s">
        <v>642</v>
      </c>
      <c r="C1285" t="s">
        <v>246</v>
      </c>
      <c r="D1285" t="s">
        <v>128</v>
      </c>
      <c r="E1285" t="s">
        <v>377</v>
      </c>
      <c r="F1285" t="s">
        <v>383</v>
      </c>
      <c r="G1285" t="s">
        <v>747</v>
      </c>
      <c r="H1285" t="s">
        <v>747</v>
      </c>
      <c r="I1285" t="s">
        <v>743</v>
      </c>
      <c r="J1285" t="s">
        <v>744</v>
      </c>
      <c r="K1285" t="s">
        <v>546</v>
      </c>
      <c r="L1285" s="784" t="s">
        <v>575</v>
      </c>
      <c r="M1285" t="s">
        <v>745</v>
      </c>
      <c r="P1285" t="s">
        <v>1887</v>
      </c>
      <c r="R1285" t="s">
        <v>148</v>
      </c>
      <c r="S1285" t="s">
        <v>145</v>
      </c>
      <c r="U1285">
        <v>0</v>
      </c>
      <c r="V1285" t="s">
        <v>544</v>
      </c>
      <c r="W1285" t="s">
        <v>583</v>
      </c>
      <c r="X1285" s="784">
        <v>251432156.86255455</v>
      </c>
    </row>
    <row r="1286" spans="1:24">
      <c r="A1286" t="s">
        <v>358</v>
      </c>
      <c r="B1286" t="s">
        <v>643</v>
      </c>
      <c r="C1286" t="s">
        <v>247</v>
      </c>
      <c r="D1286" t="s">
        <v>126</v>
      </c>
      <c r="E1286" t="s">
        <v>377</v>
      </c>
      <c r="F1286" t="s">
        <v>383</v>
      </c>
      <c r="G1286" t="s">
        <v>747</v>
      </c>
      <c r="H1286" t="s">
        <v>747</v>
      </c>
      <c r="I1286" t="s">
        <v>743</v>
      </c>
      <c r="J1286" t="s">
        <v>744</v>
      </c>
      <c r="K1286" t="s">
        <v>546</v>
      </c>
      <c r="L1286" s="784" t="s">
        <v>575</v>
      </c>
      <c r="M1286" t="s">
        <v>745</v>
      </c>
      <c r="P1286" t="s">
        <v>1887</v>
      </c>
      <c r="R1286" t="s">
        <v>150</v>
      </c>
      <c r="S1286" t="s">
        <v>145</v>
      </c>
      <c r="U1286">
        <v>0</v>
      </c>
      <c r="V1286" t="s">
        <v>544</v>
      </c>
      <c r="W1286" t="s">
        <v>558</v>
      </c>
      <c r="X1286" s="784">
        <v>471534500.60109437</v>
      </c>
    </row>
    <row r="1287" spans="1:24">
      <c r="A1287" t="s">
        <v>358</v>
      </c>
      <c r="B1287" t="s">
        <v>644</v>
      </c>
      <c r="C1287" t="s">
        <v>248</v>
      </c>
      <c r="D1287" t="s">
        <v>128</v>
      </c>
      <c r="E1287" t="s">
        <v>377</v>
      </c>
      <c r="F1287" t="s">
        <v>383</v>
      </c>
      <c r="G1287" t="s">
        <v>747</v>
      </c>
      <c r="H1287" t="s">
        <v>747</v>
      </c>
      <c r="I1287" t="s">
        <v>743</v>
      </c>
      <c r="J1287" t="s">
        <v>744</v>
      </c>
      <c r="K1287" t="s">
        <v>546</v>
      </c>
      <c r="L1287" s="784" t="s">
        <v>575</v>
      </c>
      <c r="M1287" t="s">
        <v>745</v>
      </c>
      <c r="P1287" t="s">
        <v>1887</v>
      </c>
      <c r="R1287" t="s">
        <v>152</v>
      </c>
      <c r="S1287" t="s">
        <v>146</v>
      </c>
      <c r="U1287">
        <v>0</v>
      </c>
      <c r="V1287" t="s">
        <v>544</v>
      </c>
      <c r="W1287" t="s">
        <v>575</v>
      </c>
      <c r="X1287" s="784">
        <v>531677611.80447447</v>
      </c>
    </row>
    <row r="1288" spans="1:24">
      <c r="A1288" t="s">
        <v>358</v>
      </c>
      <c r="B1288" t="s">
        <v>645</v>
      </c>
      <c r="C1288" t="s">
        <v>249</v>
      </c>
      <c r="D1288" t="s">
        <v>126</v>
      </c>
      <c r="E1288" t="s">
        <v>377</v>
      </c>
      <c r="F1288" t="s">
        <v>383</v>
      </c>
      <c r="G1288" t="s">
        <v>747</v>
      </c>
      <c r="H1288" t="s">
        <v>747</v>
      </c>
      <c r="I1288" t="s">
        <v>743</v>
      </c>
      <c r="J1288" t="s">
        <v>744</v>
      </c>
      <c r="K1288" t="s">
        <v>546</v>
      </c>
      <c r="L1288" s="784" t="s">
        <v>575</v>
      </c>
      <c r="M1288" t="s">
        <v>745</v>
      </c>
      <c r="P1288" t="s">
        <v>1887</v>
      </c>
      <c r="R1288" t="s">
        <v>550</v>
      </c>
      <c r="S1288" t="s">
        <v>146</v>
      </c>
      <c r="U1288">
        <v>0</v>
      </c>
      <c r="V1288" t="s">
        <v>541</v>
      </c>
      <c r="W1288" t="s">
        <v>575</v>
      </c>
      <c r="X1288" s="784">
        <v>8528751.6418357007</v>
      </c>
    </row>
    <row r="1289" spans="1:24">
      <c r="A1289" t="s">
        <v>358</v>
      </c>
      <c r="B1289" t="s">
        <v>646</v>
      </c>
      <c r="C1289" t="s">
        <v>250</v>
      </c>
      <c r="D1289" t="s">
        <v>132</v>
      </c>
      <c r="E1289" t="s">
        <v>377</v>
      </c>
      <c r="F1289" t="s">
        <v>383</v>
      </c>
      <c r="G1289" t="s">
        <v>747</v>
      </c>
      <c r="H1289" t="s">
        <v>747</v>
      </c>
      <c r="I1289" t="s">
        <v>743</v>
      </c>
      <c r="J1289" t="s">
        <v>744</v>
      </c>
      <c r="K1289" t="s">
        <v>546</v>
      </c>
      <c r="L1289" s="784" t="s">
        <v>575</v>
      </c>
      <c r="M1289" t="s">
        <v>745</v>
      </c>
      <c r="P1289" t="s">
        <v>1887</v>
      </c>
      <c r="R1289" t="s">
        <v>150</v>
      </c>
      <c r="S1289" t="s">
        <v>145</v>
      </c>
      <c r="U1289">
        <v>0</v>
      </c>
      <c r="V1289" t="s">
        <v>544</v>
      </c>
      <c r="W1289" t="s">
        <v>558</v>
      </c>
      <c r="X1289" s="784">
        <v>407084543.19089872</v>
      </c>
    </row>
    <row r="1290" spans="1:24">
      <c r="A1290" t="s">
        <v>358</v>
      </c>
      <c r="B1290" t="s">
        <v>647</v>
      </c>
      <c r="C1290" t="s">
        <v>251</v>
      </c>
      <c r="D1290" t="s">
        <v>130</v>
      </c>
      <c r="E1290" t="s">
        <v>377</v>
      </c>
      <c r="F1290" t="s">
        <v>383</v>
      </c>
      <c r="G1290" t="s">
        <v>747</v>
      </c>
      <c r="H1290" t="s">
        <v>747</v>
      </c>
      <c r="I1290" t="s">
        <v>743</v>
      </c>
      <c r="J1290" t="s">
        <v>744</v>
      </c>
      <c r="K1290" t="s">
        <v>546</v>
      </c>
      <c r="L1290" s="784" t="s">
        <v>575</v>
      </c>
      <c r="M1290" t="s">
        <v>745</v>
      </c>
      <c r="P1290" t="s">
        <v>1887</v>
      </c>
      <c r="R1290" t="s">
        <v>150</v>
      </c>
      <c r="S1290" t="s">
        <v>145</v>
      </c>
      <c r="U1290">
        <v>0</v>
      </c>
      <c r="V1290" t="s">
        <v>544</v>
      </c>
      <c r="W1290" t="s">
        <v>562</v>
      </c>
      <c r="X1290" s="784">
        <v>671998341.93592453</v>
      </c>
    </row>
    <row r="1291" spans="1:24">
      <c r="A1291" t="s">
        <v>358</v>
      </c>
      <c r="B1291" t="s">
        <v>648</v>
      </c>
      <c r="C1291" t="s">
        <v>252</v>
      </c>
      <c r="D1291" t="s">
        <v>129</v>
      </c>
      <c r="E1291" t="s">
        <v>377</v>
      </c>
      <c r="F1291" t="s">
        <v>383</v>
      </c>
      <c r="G1291" t="s">
        <v>747</v>
      </c>
      <c r="H1291" t="s">
        <v>747</v>
      </c>
      <c r="I1291" t="s">
        <v>743</v>
      </c>
      <c r="J1291" t="s">
        <v>744</v>
      </c>
      <c r="K1291" t="s">
        <v>546</v>
      </c>
      <c r="L1291" s="784" t="s">
        <v>575</v>
      </c>
      <c r="M1291" t="s">
        <v>745</v>
      </c>
      <c r="P1291" t="s">
        <v>1887</v>
      </c>
      <c r="R1291" t="s">
        <v>148</v>
      </c>
      <c r="S1291" t="s">
        <v>145</v>
      </c>
      <c r="U1291">
        <v>1</v>
      </c>
      <c r="V1291" t="s">
        <v>544</v>
      </c>
      <c r="W1291" t="s">
        <v>562</v>
      </c>
      <c r="X1291" s="784">
        <v>226203289.67158964</v>
      </c>
    </row>
    <row r="1292" spans="1:24">
      <c r="A1292" t="s">
        <v>358</v>
      </c>
      <c r="B1292" t="s">
        <v>649</v>
      </c>
      <c r="C1292" t="s">
        <v>253</v>
      </c>
      <c r="D1292" t="s">
        <v>129</v>
      </c>
      <c r="E1292" t="s">
        <v>377</v>
      </c>
      <c r="F1292" t="s">
        <v>383</v>
      </c>
      <c r="G1292" t="s">
        <v>747</v>
      </c>
      <c r="H1292" t="s">
        <v>747</v>
      </c>
      <c r="I1292" t="s">
        <v>743</v>
      </c>
      <c r="J1292" t="s">
        <v>744</v>
      </c>
      <c r="K1292" t="s">
        <v>546</v>
      </c>
      <c r="L1292" s="784" t="s">
        <v>575</v>
      </c>
      <c r="M1292" t="s">
        <v>745</v>
      </c>
      <c r="P1292" t="s">
        <v>1887</v>
      </c>
      <c r="R1292" t="s">
        <v>150</v>
      </c>
      <c r="S1292" t="s">
        <v>145</v>
      </c>
      <c r="U1292">
        <v>3</v>
      </c>
      <c r="V1292" t="s">
        <v>544</v>
      </c>
      <c r="W1292" t="s">
        <v>548</v>
      </c>
      <c r="X1292" s="784">
        <v>2438881113.1244688</v>
      </c>
    </row>
    <row r="1293" spans="1:24">
      <c r="A1293" t="s">
        <v>358</v>
      </c>
      <c r="B1293" t="s">
        <v>650</v>
      </c>
      <c r="C1293" t="s">
        <v>254</v>
      </c>
      <c r="D1293" t="s">
        <v>127</v>
      </c>
      <c r="E1293" t="s">
        <v>377</v>
      </c>
      <c r="F1293" t="s">
        <v>383</v>
      </c>
      <c r="G1293" t="s">
        <v>747</v>
      </c>
      <c r="H1293" t="s">
        <v>747</v>
      </c>
      <c r="I1293" t="s">
        <v>743</v>
      </c>
      <c r="J1293" t="s">
        <v>744</v>
      </c>
      <c r="K1293" t="s">
        <v>546</v>
      </c>
      <c r="L1293" s="784" t="s">
        <v>575</v>
      </c>
      <c r="M1293" t="s">
        <v>745</v>
      </c>
      <c r="P1293" t="s">
        <v>1887</v>
      </c>
      <c r="R1293" t="s">
        <v>152</v>
      </c>
      <c r="S1293" t="s">
        <v>146</v>
      </c>
      <c r="U1293">
        <v>0</v>
      </c>
      <c r="V1293" t="s">
        <v>544</v>
      </c>
      <c r="W1293" t="s">
        <v>575</v>
      </c>
      <c r="X1293" s="784">
        <v>476517795.73174149</v>
      </c>
    </row>
    <row r="1294" spans="1:24">
      <c r="A1294" t="s">
        <v>358</v>
      </c>
      <c r="B1294" t="s">
        <v>651</v>
      </c>
      <c r="C1294" t="s">
        <v>255</v>
      </c>
      <c r="D1294" t="s">
        <v>132</v>
      </c>
      <c r="E1294" t="s">
        <v>377</v>
      </c>
      <c r="F1294" t="s">
        <v>383</v>
      </c>
      <c r="G1294" t="s">
        <v>747</v>
      </c>
      <c r="H1294" t="s">
        <v>747</v>
      </c>
      <c r="I1294" t="s">
        <v>743</v>
      </c>
      <c r="J1294" t="s">
        <v>744</v>
      </c>
      <c r="K1294" t="s">
        <v>546</v>
      </c>
      <c r="L1294" s="784">
        <v>70000000</v>
      </c>
      <c r="M1294" t="s">
        <v>745</v>
      </c>
      <c r="P1294" t="s">
        <v>1887</v>
      </c>
      <c r="R1294" t="s">
        <v>150</v>
      </c>
      <c r="S1294" t="s">
        <v>145</v>
      </c>
      <c r="U1294">
        <v>0</v>
      </c>
      <c r="V1294" t="s">
        <v>544</v>
      </c>
      <c r="W1294" t="s">
        <v>548</v>
      </c>
      <c r="X1294" s="784">
        <v>3233351297.7679496</v>
      </c>
    </row>
    <row r="1295" spans="1:24">
      <c r="A1295" t="s">
        <v>358</v>
      </c>
      <c r="B1295" t="s">
        <v>652</v>
      </c>
      <c r="C1295" t="s">
        <v>256</v>
      </c>
      <c r="D1295" t="s">
        <v>130</v>
      </c>
      <c r="E1295" t="s">
        <v>377</v>
      </c>
      <c r="F1295" t="s">
        <v>383</v>
      </c>
      <c r="G1295" t="s">
        <v>747</v>
      </c>
      <c r="H1295" t="s">
        <v>747</v>
      </c>
      <c r="I1295" t="s">
        <v>743</v>
      </c>
      <c r="J1295" t="s">
        <v>744</v>
      </c>
      <c r="K1295" t="s">
        <v>546</v>
      </c>
      <c r="L1295" s="784" t="s">
        <v>575</v>
      </c>
      <c r="M1295" t="s">
        <v>745</v>
      </c>
      <c r="P1295" t="s">
        <v>1887</v>
      </c>
      <c r="R1295" t="s">
        <v>550</v>
      </c>
      <c r="S1295" t="s">
        <v>146</v>
      </c>
      <c r="U1295">
        <v>0</v>
      </c>
      <c r="V1295" t="s">
        <v>541</v>
      </c>
      <c r="W1295" t="s">
        <v>575</v>
      </c>
      <c r="X1295" s="784">
        <v>18180646.808608256</v>
      </c>
    </row>
    <row r="1296" spans="1:24">
      <c r="A1296" t="s">
        <v>358</v>
      </c>
      <c r="B1296" t="s">
        <v>653</v>
      </c>
      <c r="C1296" t="s">
        <v>257</v>
      </c>
      <c r="D1296" t="s">
        <v>130</v>
      </c>
      <c r="E1296" t="s">
        <v>377</v>
      </c>
      <c r="F1296" t="s">
        <v>383</v>
      </c>
      <c r="G1296" t="s">
        <v>747</v>
      </c>
      <c r="H1296" t="s">
        <v>747</v>
      </c>
      <c r="I1296" t="s">
        <v>743</v>
      </c>
      <c r="J1296" t="s">
        <v>744</v>
      </c>
      <c r="K1296" t="s">
        <v>546</v>
      </c>
      <c r="L1296" s="784" t="s">
        <v>575</v>
      </c>
      <c r="M1296" t="s">
        <v>745</v>
      </c>
      <c r="P1296" t="s">
        <v>1887</v>
      </c>
      <c r="R1296" t="s">
        <v>152</v>
      </c>
      <c r="S1296" t="s">
        <v>146</v>
      </c>
      <c r="U1296">
        <v>0</v>
      </c>
      <c r="V1296" t="s">
        <v>544</v>
      </c>
      <c r="W1296" t="s">
        <v>546</v>
      </c>
      <c r="X1296" s="784">
        <v>3020530707.3485303</v>
      </c>
    </row>
    <row r="1297" spans="1:24">
      <c r="A1297" t="s">
        <v>358</v>
      </c>
      <c r="B1297" t="s">
        <v>654</v>
      </c>
      <c r="C1297" t="s">
        <v>258</v>
      </c>
      <c r="D1297" t="s">
        <v>126</v>
      </c>
      <c r="E1297" t="s">
        <v>377</v>
      </c>
      <c r="F1297" t="s">
        <v>383</v>
      </c>
      <c r="G1297" t="s">
        <v>747</v>
      </c>
      <c r="H1297" t="s">
        <v>747</v>
      </c>
      <c r="I1297" t="s">
        <v>743</v>
      </c>
      <c r="J1297" t="s">
        <v>744</v>
      </c>
      <c r="K1297" t="s">
        <v>546</v>
      </c>
      <c r="L1297" s="784" t="s">
        <v>575</v>
      </c>
      <c r="M1297" t="s">
        <v>745</v>
      </c>
      <c r="P1297" t="s">
        <v>1887</v>
      </c>
      <c r="R1297" t="s">
        <v>150</v>
      </c>
      <c r="S1297" t="s">
        <v>145</v>
      </c>
      <c r="U1297">
        <v>1</v>
      </c>
      <c r="V1297" t="s">
        <v>541</v>
      </c>
      <c r="W1297" t="s">
        <v>542</v>
      </c>
      <c r="X1297" s="784">
        <v>384406316.46074712</v>
      </c>
    </row>
    <row r="1298" spans="1:24">
      <c r="A1298" t="s">
        <v>358</v>
      </c>
      <c r="B1298" t="s">
        <v>655</v>
      </c>
      <c r="C1298" t="s">
        <v>259</v>
      </c>
      <c r="D1298" t="s">
        <v>130</v>
      </c>
      <c r="E1298" t="s">
        <v>377</v>
      </c>
      <c r="F1298" t="s">
        <v>383</v>
      </c>
      <c r="G1298" t="s">
        <v>747</v>
      </c>
      <c r="H1298" t="s">
        <v>747</v>
      </c>
      <c r="I1298" t="s">
        <v>743</v>
      </c>
      <c r="J1298" t="s">
        <v>744</v>
      </c>
      <c r="K1298" t="s">
        <v>546</v>
      </c>
      <c r="L1298" s="784" t="s">
        <v>575</v>
      </c>
      <c r="M1298" t="s">
        <v>745</v>
      </c>
      <c r="P1298" t="s">
        <v>1887</v>
      </c>
      <c r="R1298" t="s">
        <v>152</v>
      </c>
      <c r="S1298" t="s">
        <v>146</v>
      </c>
      <c r="U1298">
        <v>0</v>
      </c>
      <c r="V1298" t="s">
        <v>544</v>
      </c>
      <c r="W1298" t="s">
        <v>575</v>
      </c>
      <c r="X1298" s="784">
        <v>1218747108.9554784</v>
      </c>
    </row>
    <row r="1299" spans="1:24">
      <c r="A1299" t="s">
        <v>358</v>
      </c>
      <c r="B1299" t="s">
        <v>656</v>
      </c>
      <c r="C1299" t="s">
        <v>260</v>
      </c>
      <c r="D1299" t="s">
        <v>130</v>
      </c>
      <c r="E1299" t="s">
        <v>377</v>
      </c>
      <c r="F1299" t="s">
        <v>383</v>
      </c>
      <c r="G1299" t="s">
        <v>747</v>
      </c>
      <c r="H1299" t="s">
        <v>747</v>
      </c>
      <c r="I1299" t="s">
        <v>743</v>
      </c>
      <c r="J1299" t="s">
        <v>744</v>
      </c>
      <c r="K1299" t="s">
        <v>546</v>
      </c>
      <c r="L1299" s="784" t="s">
        <v>575</v>
      </c>
      <c r="M1299" t="s">
        <v>745</v>
      </c>
      <c r="P1299" t="s">
        <v>1887</v>
      </c>
      <c r="R1299" t="s">
        <v>152</v>
      </c>
      <c r="S1299" t="s">
        <v>146</v>
      </c>
      <c r="U1299">
        <v>0</v>
      </c>
      <c r="V1299" t="s">
        <v>544</v>
      </c>
      <c r="W1299" t="s">
        <v>575</v>
      </c>
      <c r="X1299" s="784">
        <v>7392665952.5895758</v>
      </c>
    </row>
    <row r="1300" spans="1:24">
      <c r="A1300" t="s">
        <v>358</v>
      </c>
      <c r="B1300" t="s">
        <v>657</v>
      </c>
      <c r="C1300" t="s">
        <v>261</v>
      </c>
      <c r="D1300" t="s">
        <v>126</v>
      </c>
      <c r="E1300" t="s">
        <v>377</v>
      </c>
      <c r="F1300" t="s">
        <v>383</v>
      </c>
      <c r="G1300" t="s">
        <v>747</v>
      </c>
      <c r="H1300" t="s">
        <v>747</v>
      </c>
      <c r="I1300" t="s">
        <v>743</v>
      </c>
      <c r="J1300" t="s">
        <v>744</v>
      </c>
      <c r="K1300" t="s">
        <v>546</v>
      </c>
      <c r="L1300" s="784" t="s">
        <v>575</v>
      </c>
      <c r="M1300" t="s">
        <v>745</v>
      </c>
      <c r="P1300" t="s">
        <v>1887</v>
      </c>
      <c r="R1300" t="s">
        <v>150</v>
      </c>
      <c r="S1300" t="s">
        <v>145</v>
      </c>
      <c r="U1300">
        <v>0</v>
      </c>
      <c r="V1300" t="s">
        <v>544</v>
      </c>
      <c r="W1300" t="s">
        <v>546</v>
      </c>
      <c r="X1300" s="784">
        <v>4754985988.6004429</v>
      </c>
    </row>
    <row r="1301" spans="1:24">
      <c r="A1301" t="s">
        <v>358</v>
      </c>
      <c r="B1301" t="s">
        <v>658</v>
      </c>
      <c r="C1301" t="s">
        <v>262</v>
      </c>
      <c r="D1301" t="s">
        <v>127</v>
      </c>
      <c r="E1301" t="s">
        <v>377</v>
      </c>
      <c r="F1301" t="s">
        <v>383</v>
      </c>
      <c r="G1301" t="s">
        <v>747</v>
      </c>
      <c r="H1301" t="s">
        <v>747</v>
      </c>
      <c r="I1301" t="s">
        <v>743</v>
      </c>
      <c r="J1301" t="s">
        <v>744</v>
      </c>
      <c r="K1301" t="s">
        <v>546</v>
      </c>
      <c r="L1301" s="784" t="s">
        <v>575</v>
      </c>
      <c r="M1301" t="s">
        <v>745</v>
      </c>
      <c r="P1301" t="s">
        <v>1887</v>
      </c>
      <c r="R1301" t="s">
        <v>550</v>
      </c>
      <c r="S1301" t="s">
        <v>146</v>
      </c>
      <c r="U1301">
        <v>0</v>
      </c>
      <c r="V1301" t="s">
        <v>544</v>
      </c>
      <c r="W1301" t="s">
        <v>575</v>
      </c>
      <c r="X1301" s="784">
        <v>26422210443.037273</v>
      </c>
    </row>
    <row r="1302" spans="1:24">
      <c r="A1302" t="s">
        <v>358</v>
      </c>
      <c r="B1302" t="s">
        <v>659</v>
      </c>
      <c r="C1302" t="s">
        <v>151</v>
      </c>
      <c r="D1302" t="s">
        <v>127</v>
      </c>
      <c r="E1302" t="s">
        <v>377</v>
      </c>
      <c r="F1302" t="s">
        <v>383</v>
      </c>
      <c r="G1302" t="s">
        <v>747</v>
      </c>
      <c r="H1302" t="s">
        <v>747</v>
      </c>
      <c r="I1302" t="s">
        <v>743</v>
      </c>
      <c r="J1302" t="s">
        <v>744</v>
      </c>
      <c r="K1302" t="s">
        <v>546</v>
      </c>
      <c r="L1302" s="784" t="s">
        <v>575</v>
      </c>
      <c r="M1302" t="s">
        <v>745</v>
      </c>
      <c r="P1302" t="s">
        <v>1887</v>
      </c>
      <c r="R1302" t="s">
        <v>152</v>
      </c>
      <c r="S1302" t="s">
        <v>146</v>
      </c>
      <c r="U1302">
        <v>0</v>
      </c>
      <c r="V1302" t="s">
        <v>544</v>
      </c>
      <c r="W1302" t="s">
        <v>575</v>
      </c>
      <c r="X1302" s="784">
        <v>10696495313.15033</v>
      </c>
    </row>
    <row r="1303" spans="1:24">
      <c r="A1303" t="s">
        <v>358</v>
      </c>
      <c r="B1303" t="s">
        <v>660</v>
      </c>
      <c r="C1303" t="s">
        <v>263</v>
      </c>
      <c r="D1303" t="s">
        <v>127</v>
      </c>
      <c r="E1303" t="s">
        <v>377</v>
      </c>
      <c r="F1303" t="s">
        <v>383</v>
      </c>
      <c r="G1303" t="s">
        <v>747</v>
      </c>
      <c r="H1303" t="s">
        <v>747</v>
      </c>
      <c r="I1303" t="s">
        <v>743</v>
      </c>
      <c r="J1303" t="s">
        <v>744</v>
      </c>
      <c r="K1303" t="s">
        <v>546</v>
      </c>
      <c r="L1303" s="784" t="s">
        <v>575</v>
      </c>
      <c r="M1303" t="s">
        <v>745</v>
      </c>
      <c r="P1303" t="s">
        <v>1887</v>
      </c>
      <c r="R1303" t="s">
        <v>152</v>
      </c>
      <c r="S1303" t="s">
        <v>146</v>
      </c>
      <c r="U1303">
        <v>0</v>
      </c>
      <c r="V1303" t="s">
        <v>544</v>
      </c>
      <c r="W1303" t="s">
        <v>575</v>
      </c>
      <c r="X1303" s="784">
        <v>52769713433.240509</v>
      </c>
    </row>
    <row r="1304" spans="1:24">
      <c r="A1304" t="s">
        <v>358</v>
      </c>
      <c r="B1304" t="s">
        <v>661</v>
      </c>
      <c r="C1304" t="s">
        <v>264</v>
      </c>
      <c r="D1304" t="s">
        <v>128</v>
      </c>
      <c r="E1304" t="s">
        <v>377</v>
      </c>
      <c r="F1304" t="s">
        <v>383</v>
      </c>
      <c r="G1304" t="s">
        <v>747</v>
      </c>
      <c r="H1304" t="s">
        <v>747</v>
      </c>
      <c r="I1304" t="s">
        <v>743</v>
      </c>
      <c r="J1304" t="s">
        <v>744</v>
      </c>
      <c r="K1304" t="s">
        <v>546</v>
      </c>
      <c r="L1304" s="784" t="s">
        <v>575</v>
      </c>
      <c r="M1304" t="s">
        <v>745</v>
      </c>
      <c r="P1304" t="s">
        <v>1887</v>
      </c>
      <c r="R1304" t="s">
        <v>148</v>
      </c>
      <c r="S1304" t="s">
        <v>145</v>
      </c>
      <c r="U1304">
        <v>0</v>
      </c>
      <c r="V1304" t="s">
        <v>544</v>
      </c>
      <c r="W1304" t="s">
        <v>562</v>
      </c>
      <c r="X1304" s="784">
        <v>225799814.51943746</v>
      </c>
    </row>
    <row r="1305" spans="1:24">
      <c r="A1305" t="s">
        <v>358</v>
      </c>
      <c r="B1305" t="s">
        <v>662</v>
      </c>
      <c r="C1305" t="s">
        <v>265</v>
      </c>
      <c r="D1305" t="s">
        <v>126</v>
      </c>
      <c r="E1305" t="s">
        <v>377</v>
      </c>
      <c r="F1305" t="s">
        <v>383</v>
      </c>
      <c r="G1305" t="s">
        <v>747</v>
      </c>
      <c r="H1305" t="s">
        <v>747</v>
      </c>
      <c r="I1305" t="s">
        <v>743</v>
      </c>
      <c r="J1305" t="s">
        <v>744</v>
      </c>
      <c r="K1305" t="s">
        <v>546</v>
      </c>
      <c r="L1305" s="784" t="s">
        <v>575</v>
      </c>
      <c r="M1305" t="s">
        <v>745</v>
      </c>
      <c r="P1305" t="s">
        <v>1887</v>
      </c>
      <c r="R1305" t="s">
        <v>150</v>
      </c>
      <c r="S1305" t="s">
        <v>145</v>
      </c>
      <c r="U1305">
        <v>0</v>
      </c>
      <c r="V1305" t="s">
        <v>541</v>
      </c>
      <c r="W1305" t="s">
        <v>542</v>
      </c>
      <c r="X1305" s="784">
        <v>32192988.027009469</v>
      </c>
    </row>
    <row r="1306" spans="1:24">
      <c r="A1306" t="s">
        <v>358</v>
      </c>
      <c r="B1306" t="s">
        <v>663</v>
      </c>
      <c r="C1306" t="s">
        <v>266</v>
      </c>
      <c r="D1306" t="s">
        <v>129</v>
      </c>
      <c r="E1306" t="s">
        <v>377</v>
      </c>
      <c r="F1306" t="s">
        <v>383</v>
      </c>
      <c r="G1306" t="s">
        <v>747</v>
      </c>
      <c r="H1306" t="s">
        <v>747</v>
      </c>
      <c r="I1306" t="s">
        <v>743</v>
      </c>
      <c r="J1306" t="s">
        <v>744</v>
      </c>
      <c r="K1306" t="s">
        <v>546</v>
      </c>
      <c r="L1306" s="784" t="s">
        <v>575</v>
      </c>
      <c r="M1306" t="s">
        <v>745</v>
      </c>
      <c r="P1306" t="s">
        <v>1887</v>
      </c>
      <c r="R1306" t="s">
        <v>150</v>
      </c>
      <c r="S1306" t="s">
        <v>145</v>
      </c>
      <c r="U1306">
        <v>0</v>
      </c>
      <c r="V1306" t="s">
        <v>541</v>
      </c>
      <c r="W1306" t="s">
        <v>583</v>
      </c>
      <c r="X1306" s="784">
        <v>11633535.136477679</v>
      </c>
    </row>
    <row r="1307" spans="1:24">
      <c r="A1307" t="s">
        <v>358</v>
      </c>
      <c r="B1307" t="s">
        <v>664</v>
      </c>
      <c r="C1307" t="s">
        <v>267</v>
      </c>
      <c r="D1307" t="s">
        <v>129</v>
      </c>
      <c r="E1307" t="s">
        <v>377</v>
      </c>
      <c r="F1307" t="s">
        <v>383</v>
      </c>
      <c r="G1307" t="s">
        <v>747</v>
      </c>
      <c r="H1307" t="s">
        <v>747</v>
      </c>
      <c r="I1307" t="s">
        <v>743</v>
      </c>
      <c r="J1307" t="s">
        <v>744</v>
      </c>
      <c r="K1307" t="s">
        <v>546</v>
      </c>
      <c r="L1307" s="784" t="s">
        <v>575</v>
      </c>
      <c r="M1307" t="s">
        <v>745</v>
      </c>
      <c r="P1307" t="s">
        <v>1887</v>
      </c>
      <c r="R1307" t="s">
        <v>150</v>
      </c>
      <c r="S1307" t="s">
        <v>145</v>
      </c>
      <c r="U1307">
        <v>2</v>
      </c>
      <c r="V1307" t="s">
        <v>544</v>
      </c>
      <c r="W1307" t="s">
        <v>562</v>
      </c>
      <c r="X1307" s="784">
        <v>222008693.93354639</v>
      </c>
    </row>
    <row r="1308" spans="1:24">
      <c r="A1308" t="s">
        <v>358</v>
      </c>
      <c r="B1308" t="s">
        <v>665</v>
      </c>
      <c r="C1308" t="s">
        <v>153</v>
      </c>
      <c r="D1308" t="s">
        <v>127</v>
      </c>
      <c r="E1308" t="s">
        <v>377</v>
      </c>
      <c r="F1308" t="s">
        <v>383</v>
      </c>
      <c r="G1308" t="s">
        <v>747</v>
      </c>
      <c r="H1308" t="s">
        <v>747</v>
      </c>
      <c r="I1308" t="s">
        <v>743</v>
      </c>
      <c r="J1308" t="s">
        <v>744</v>
      </c>
      <c r="K1308" t="s">
        <v>546</v>
      </c>
      <c r="L1308" s="784" t="s">
        <v>575</v>
      </c>
      <c r="M1308" t="s">
        <v>745</v>
      </c>
      <c r="P1308" t="s">
        <v>1887</v>
      </c>
      <c r="R1308" t="s">
        <v>152</v>
      </c>
      <c r="S1308" t="s">
        <v>146</v>
      </c>
      <c r="U1308">
        <v>0</v>
      </c>
      <c r="V1308" t="s">
        <v>544</v>
      </c>
      <c r="W1308" t="s">
        <v>575</v>
      </c>
      <c r="X1308" s="784">
        <v>2564993795.1894679</v>
      </c>
    </row>
    <row r="1309" spans="1:24">
      <c r="A1309" t="s">
        <v>358</v>
      </c>
      <c r="B1309" t="s">
        <v>666</v>
      </c>
      <c r="C1309" t="s">
        <v>268</v>
      </c>
      <c r="D1309" t="s">
        <v>128</v>
      </c>
      <c r="E1309" t="s">
        <v>377</v>
      </c>
      <c r="F1309" t="s">
        <v>383</v>
      </c>
      <c r="G1309" t="s">
        <v>747</v>
      </c>
      <c r="H1309" t="s">
        <v>747</v>
      </c>
      <c r="I1309" t="s">
        <v>743</v>
      </c>
      <c r="J1309" t="s">
        <v>744</v>
      </c>
      <c r="K1309" t="s">
        <v>546</v>
      </c>
      <c r="L1309" s="784" t="s">
        <v>575</v>
      </c>
      <c r="M1309" t="s">
        <v>745</v>
      </c>
      <c r="P1309" t="s">
        <v>1887</v>
      </c>
      <c r="R1309" t="s">
        <v>550</v>
      </c>
      <c r="S1309" t="s">
        <v>146</v>
      </c>
      <c r="U1309">
        <v>0</v>
      </c>
      <c r="V1309" t="s">
        <v>541</v>
      </c>
      <c r="W1309" t="s">
        <v>546</v>
      </c>
      <c r="X1309" s="784">
        <v>60237542.945069775</v>
      </c>
    </row>
    <row r="1310" spans="1:24">
      <c r="A1310" t="s">
        <v>358</v>
      </c>
      <c r="B1310" t="s">
        <v>667</v>
      </c>
      <c r="C1310" t="s">
        <v>269</v>
      </c>
      <c r="D1310" t="s">
        <v>129</v>
      </c>
      <c r="E1310" t="s">
        <v>377</v>
      </c>
      <c r="F1310" t="s">
        <v>383</v>
      </c>
      <c r="G1310" t="s">
        <v>747</v>
      </c>
      <c r="H1310" t="s">
        <v>747</v>
      </c>
      <c r="I1310" t="s">
        <v>743</v>
      </c>
      <c r="J1310" t="s">
        <v>744</v>
      </c>
      <c r="K1310" t="s">
        <v>546</v>
      </c>
      <c r="L1310" s="784" t="s">
        <v>575</v>
      </c>
      <c r="M1310" t="s">
        <v>745</v>
      </c>
      <c r="P1310" t="s">
        <v>1887</v>
      </c>
      <c r="R1310" t="s">
        <v>148</v>
      </c>
      <c r="S1310" t="s">
        <v>145</v>
      </c>
      <c r="U1310">
        <v>0</v>
      </c>
      <c r="V1310" t="s">
        <v>544</v>
      </c>
      <c r="W1310" t="s">
        <v>542</v>
      </c>
      <c r="X1310" s="784">
        <v>63738640.538260505</v>
      </c>
    </row>
    <row r="1311" spans="1:24">
      <c r="A1311" t="s">
        <v>358</v>
      </c>
      <c r="B1311" t="s">
        <v>668</v>
      </c>
      <c r="C1311" t="s">
        <v>270</v>
      </c>
      <c r="D1311" t="s">
        <v>126</v>
      </c>
      <c r="E1311" t="s">
        <v>377</v>
      </c>
      <c r="F1311" t="s">
        <v>383</v>
      </c>
      <c r="G1311" t="s">
        <v>747</v>
      </c>
      <c r="H1311" t="s">
        <v>747</v>
      </c>
      <c r="I1311" t="s">
        <v>743</v>
      </c>
      <c r="J1311" t="s">
        <v>744</v>
      </c>
      <c r="K1311" t="s">
        <v>546</v>
      </c>
      <c r="L1311" s="784" t="s">
        <v>575</v>
      </c>
      <c r="M1311" t="s">
        <v>745</v>
      </c>
      <c r="P1311" t="s">
        <v>1887</v>
      </c>
      <c r="R1311" t="s">
        <v>150</v>
      </c>
      <c r="S1311" t="s">
        <v>145</v>
      </c>
      <c r="U1311">
        <v>0</v>
      </c>
      <c r="V1311" t="s">
        <v>541</v>
      </c>
      <c r="W1311" t="s">
        <v>562</v>
      </c>
      <c r="X1311" s="784">
        <v>49012774.055630356</v>
      </c>
    </row>
    <row r="1312" spans="1:24">
      <c r="A1312" t="s">
        <v>358</v>
      </c>
      <c r="B1312" t="s">
        <v>669</v>
      </c>
      <c r="C1312" t="s">
        <v>271</v>
      </c>
      <c r="D1312" t="s">
        <v>128</v>
      </c>
      <c r="E1312" t="s">
        <v>377</v>
      </c>
      <c r="F1312" t="s">
        <v>383</v>
      </c>
      <c r="G1312" t="s">
        <v>747</v>
      </c>
      <c r="H1312" t="s">
        <v>747</v>
      </c>
      <c r="I1312" t="s">
        <v>743</v>
      </c>
      <c r="J1312" t="s">
        <v>744</v>
      </c>
      <c r="K1312" t="s">
        <v>546</v>
      </c>
      <c r="L1312" s="784" t="s">
        <v>575</v>
      </c>
      <c r="M1312" t="s">
        <v>745</v>
      </c>
      <c r="P1312" t="s">
        <v>1887</v>
      </c>
      <c r="R1312" t="s">
        <v>148</v>
      </c>
      <c r="S1312" t="s">
        <v>145</v>
      </c>
      <c r="U1312">
        <v>1</v>
      </c>
      <c r="V1312" t="s">
        <v>544</v>
      </c>
      <c r="W1312" t="s">
        <v>583</v>
      </c>
      <c r="X1312" s="784" t="s">
        <v>575</v>
      </c>
    </row>
    <row r="1313" spans="1:24">
      <c r="A1313" t="s">
        <v>358</v>
      </c>
      <c r="B1313" t="s">
        <v>670</v>
      </c>
      <c r="C1313" t="s">
        <v>272</v>
      </c>
      <c r="D1313" t="s">
        <v>128</v>
      </c>
      <c r="E1313" t="s">
        <v>377</v>
      </c>
      <c r="F1313" t="s">
        <v>383</v>
      </c>
      <c r="G1313" t="s">
        <v>747</v>
      </c>
      <c r="H1313" t="s">
        <v>747</v>
      </c>
      <c r="I1313" t="s">
        <v>743</v>
      </c>
      <c r="J1313" t="s">
        <v>744</v>
      </c>
      <c r="K1313" t="s">
        <v>546</v>
      </c>
      <c r="L1313" s="784" t="s">
        <v>575</v>
      </c>
      <c r="M1313" t="s">
        <v>745</v>
      </c>
      <c r="P1313" t="s">
        <v>1887</v>
      </c>
      <c r="R1313" t="s">
        <v>152</v>
      </c>
      <c r="S1313" t="s">
        <v>146</v>
      </c>
      <c r="U1313">
        <v>0</v>
      </c>
      <c r="V1313" t="s">
        <v>544</v>
      </c>
      <c r="W1313" t="s">
        <v>546</v>
      </c>
      <c r="X1313" s="784">
        <v>16429121142.784708</v>
      </c>
    </row>
    <row r="1314" spans="1:24">
      <c r="A1314" t="s">
        <v>358</v>
      </c>
      <c r="B1314" t="s">
        <v>671</v>
      </c>
      <c r="C1314" t="s">
        <v>273</v>
      </c>
      <c r="D1314" t="s">
        <v>128</v>
      </c>
      <c r="E1314" t="s">
        <v>377</v>
      </c>
      <c r="F1314" t="s">
        <v>383</v>
      </c>
      <c r="G1314" t="s">
        <v>747</v>
      </c>
      <c r="H1314" t="s">
        <v>747</v>
      </c>
      <c r="I1314" t="s">
        <v>743</v>
      </c>
      <c r="J1314" t="s">
        <v>744</v>
      </c>
      <c r="K1314" t="s">
        <v>546</v>
      </c>
      <c r="L1314" s="784" t="s">
        <v>575</v>
      </c>
      <c r="M1314" t="s">
        <v>745</v>
      </c>
      <c r="P1314" t="s">
        <v>1887</v>
      </c>
      <c r="R1314" t="s">
        <v>148</v>
      </c>
      <c r="S1314" t="s">
        <v>145</v>
      </c>
      <c r="U1314">
        <v>1</v>
      </c>
      <c r="V1314" t="s">
        <v>544</v>
      </c>
      <c r="W1314" t="s">
        <v>542</v>
      </c>
      <c r="X1314" s="784">
        <v>31684581.76217727</v>
      </c>
    </row>
    <row r="1315" spans="1:24">
      <c r="A1315" t="s">
        <v>358</v>
      </c>
      <c r="B1315" t="s">
        <v>672</v>
      </c>
      <c r="C1315" t="s">
        <v>274</v>
      </c>
      <c r="D1315" t="s">
        <v>132</v>
      </c>
      <c r="E1315" t="s">
        <v>377</v>
      </c>
      <c r="F1315" t="s">
        <v>383</v>
      </c>
      <c r="G1315" t="s">
        <v>747</v>
      </c>
      <c r="H1315" t="s">
        <v>747</v>
      </c>
      <c r="I1315" t="s">
        <v>743</v>
      </c>
      <c r="J1315" t="s">
        <v>744</v>
      </c>
      <c r="K1315" t="s">
        <v>546</v>
      </c>
      <c r="L1315" s="784" t="s">
        <v>575</v>
      </c>
      <c r="M1315" t="s">
        <v>745</v>
      </c>
      <c r="P1315" t="s">
        <v>1887</v>
      </c>
      <c r="R1315" t="s">
        <v>150</v>
      </c>
      <c r="S1315" t="s">
        <v>145</v>
      </c>
      <c r="U1315">
        <v>0</v>
      </c>
      <c r="V1315" t="s">
        <v>544</v>
      </c>
      <c r="W1315" t="s">
        <v>546</v>
      </c>
      <c r="X1315" s="784">
        <v>1373621563.5182886</v>
      </c>
    </row>
    <row r="1316" spans="1:24">
      <c r="A1316" t="s">
        <v>358</v>
      </c>
      <c r="B1316" t="s">
        <v>673</v>
      </c>
      <c r="C1316" t="s">
        <v>275</v>
      </c>
      <c r="D1316" t="s">
        <v>130</v>
      </c>
      <c r="E1316" t="s">
        <v>377</v>
      </c>
      <c r="F1316" t="s">
        <v>383</v>
      </c>
      <c r="G1316" t="s">
        <v>747</v>
      </c>
      <c r="H1316" t="s">
        <v>747</v>
      </c>
      <c r="I1316" t="s">
        <v>743</v>
      </c>
      <c r="J1316" t="s">
        <v>744</v>
      </c>
      <c r="K1316" t="s">
        <v>546</v>
      </c>
      <c r="L1316" s="784" t="s">
        <v>575</v>
      </c>
      <c r="M1316" t="s">
        <v>745</v>
      </c>
      <c r="P1316" t="s">
        <v>1887</v>
      </c>
      <c r="R1316" t="s">
        <v>550</v>
      </c>
      <c r="S1316" t="s">
        <v>146</v>
      </c>
      <c r="U1316">
        <v>0</v>
      </c>
      <c r="V1316" t="s">
        <v>541</v>
      </c>
      <c r="W1316" t="s">
        <v>575</v>
      </c>
      <c r="X1316" s="784">
        <v>24214370.889062837</v>
      </c>
    </row>
    <row r="1317" spans="1:24">
      <c r="A1317" t="s">
        <v>358</v>
      </c>
      <c r="B1317" t="s">
        <v>674</v>
      </c>
      <c r="C1317" t="s">
        <v>154</v>
      </c>
      <c r="D1317" t="s">
        <v>130</v>
      </c>
      <c r="E1317" t="s">
        <v>377</v>
      </c>
      <c r="F1317" t="s">
        <v>383</v>
      </c>
      <c r="G1317" t="s">
        <v>747</v>
      </c>
      <c r="H1317" t="s">
        <v>747</v>
      </c>
      <c r="I1317" t="s">
        <v>743</v>
      </c>
      <c r="J1317" t="s">
        <v>744</v>
      </c>
      <c r="K1317" t="s">
        <v>546</v>
      </c>
      <c r="L1317" s="784" t="s">
        <v>575</v>
      </c>
      <c r="M1317" t="s">
        <v>745</v>
      </c>
      <c r="P1317" t="s">
        <v>1887</v>
      </c>
      <c r="R1317" t="s">
        <v>152</v>
      </c>
      <c r="S1317" t="s">
        <v>145</v>
      </c>
      <c r="U1317">
        <v>0</v>
      </c>
      <c r="V1317" t="s">
        <v>541</v>
      </c>
      <c r="W1317" t="s">
        <v>548</v>
      </c>
      <c r="X1317" s="784">
        <v>39941279.609447442</v>
      </c>
    </row>
    <row r="1318" spans="1:24">
      <c r="A1318" t="s">
        <v>358</v>
      </c>
      <c r="B1318" t="s">
        <v>675</v>
      </c>
      <c r="C1318" t="s">
        <v>155</v>
      </c>
      <c r="D1318" t="s">
        <v>130</v>
      </c>
      <c r="E1318" t="s">
        <v>377</v>
      </c>
      <c r="F1318" t="s">
        <v>383</v>
      </c>
      <c r="G1318" t="s">
        <v>747</v>
      </c>
      <c r="H1318" t="s">
        <v>747</v>
      </c>
      <c r="I1318" t="s">
        <v>743</v>
      </c>
      <c r="J1318" t="s">
        <v>744</v>
      </c>
      <c r="K1318" t="s">
        <v>546</v>
      </c>
      <c r="L1318" s="784" t="s">
        <v>575</v>
      </c>
      <c r="M1318" t="s">
        <v>745</v>
      </c>
      <c r="P1318" t="s">
        <v>1887</v>
      </c>
      <c r="R1318" t="s">
        <v>152</v>
      </c>
      <c r="S1318" t="s">
        <v>145</v>
      </c>
      <c r="U1318">
        <v>0</v>
      </c>
      <c r="V1318" t="s">
        <v>541</v>
      </c>
      <c r="W1318" t="s">
        <v>542</v>
      </c>
      <c r="X1318" s="784">
        <v>24761675.260059897</v>
      </c>
    </row>
    <row r="1319" spans="1:24">
      <c r="A1319" t="s">
        <v>358</v>
      </c>
      <c r="B1319" t="s">
        <v>676</v>
      </c>
      <c r="C1319" t="s">
        <v>276</v>
      </c>
      <c r="D1319" t="s">
        <v>131</v>
      </c>
      <c r="E1319" t="s">
        <v>377</v>
      </c>
      <c r="F1319" t="s">
        <v>383</v>
      </c>
      <c r="G1319" t="s">
        <v>747</v>
      </c>
      <c r="H1319" t="s">
        <v>747</v>
      </c>
      <c r="I1319" t="s">
        <v>743</v>
      </c>
      <c r="J1319" t="s">
        <v>744</v>
      </c>
      <c r="K1319" t="s">
        <v>546</v>
      </c>
      <c r="L1319" s="784" t="s">
        <v>575</v>
      </c>
      <c r="M1319" t="s">
        <v>745</v>
      </c>
      <c r="P1319" t="s">
        <v>1887</v>
      </c>
      <c r="R1319" t="s">
        <v>150</v>
      </c>
      <c r="S1319" t="s">
        <v>145</v>
      </c>
      <c r="U1319">
        <v>0</v>
      </c>
      <c r="V1319" t="s">
        <v>544</v>
      </c>
      <c r="W1319" t="s">
        <v>546</v>
      </c>
      <c r="X1319" s="784" t="s">
        <v>575</v>
      </c>
    </row>
    <row r="1320" spans="1:24">
      <c r="A1320" t="s">
        <v>358</v>
      </c>
      <c r="B1320" t="s">
        <v>677</v>
      </c>
      <c r="C1320" t="s">
        <v>277</v>
      </c>
      <c r="D1320" t="s">
        <v>131</v>
      </c>
      <c r="E1320" t="s">
        <v>377</v>
      </c>
      <c r="F1320" t="s">
        <v>383</v>
      </c>
      <c r="G1320" t="s">
        <v>747</v>
      </c>
      <c r="H1320" t="s">
        <v>747</v>
      </c>
      <c r="I1320" t="s">
        <v>743</v>
      </c>
      <c r="J1320" t="s">
        <v>744</v>
      </c>
      <c r="K1320" t="s">
        <v>546</v>
      </c>
      <c r="L1320" s="784" t="s">
        <v>575</v>
      </c>
      <c r="M1320" t="s">
        <v>745</v>
      </c>
      <c r="P1320" t="s">
        <v>1887</v>
      </c>
      <c r="R1320" t="s">
        <v>148</v>
      </c>
      <c r="S1320" t="s">
        <v>145</v>
      </c>
      <c r="U1320">
        <v>1</v>
      </c>
      <c r="V1320" t="s">
        <v>544</v>
      </c>
      <c r="W1320" t="s">
        <v>546</v>
      </c>
      <c r="X1320" s="784">
        <v>577156172.71229994</v>
      </c>
    </row>
    <row r="1321" spans="1:24">
      <c r="A1321" t="s">
        <v>358</v>
      </c>
      <c r="B1321" t="s">
        <v>678</v>
      </c>
      <c r="C1321" t="s">
        <v>278</v>
      </c>
      <c r="D1321" t="s">
        <v>126</v>
      </c>
      <c r="E1321" t="s">
        <v>377</v>
      </c>
      <c r="F1321" t="s">
        <v>383</v>
      </c>
      <c r="G1321" t="s">
        <v>747</v>
      </c>
      <c r="H1321" t="s">
        <v>747</v>
      </c>
      <c r="I1321" t="s">
        <v>743</v>
      </c>
      <c r="J1321" t="s">
        <v>744</v>
      </c>
      <c r="K1321" t="s">
        <v>546</v>
      </c>
      <c r="L1321" s="784" t="s">
        <v>575</v>
      </c>
      <c r="M1321" t="s">
        <v>745</v>
      </c>
      <c r="P1321" t="s">
        <v>1887</v>
      </c>
      <c r="R1321" t="s">
        <v>152</v>
      </c>
      <c r="S1321" t="s">
        <v>146</v>
      </c>
      <c r="U1321">
        <v>0</v>
      </c>
      <c r="V1321" t="s">
        <v>541</v>
      </c>
      <c r="W1321" t="s">
        <v>575</v>
      </c>
      <c r="X1321" s="784">
        <v>180052034.19851837</v>
      </c>
    </row>
    <row r="1322" spans="1:24">
      <c r="A1322" t="s">
        <v>358</v>
      </c>
      <c r="B1322" t="s">
        <v>679</v>
      </c>
      <c r="C1322" t="s">
        <v>279</v>
      </c>
      <c r="D1322" t="s">
        <v>131</v>
      </c>
      <c r="E1322" t="s">
        <v>377</v>
      </c>
      <c r="F1322" t="s">
        <v>383</v>
      </c>
      <c r="G1322" t="s">
        <v>747</v>
      </c>
      <c r="H1322" t="s">
        <v>747</v>
      </c>
      <c r="I1322" t="s">
        <v>743</v>
      </c>
      <c r="J1322" t="s">
        <v>744</v>
      </c>
      <c r="K1322" t="s">
        <v>546</v>
      </c>
      <c r="L1322" s="784" t="s">
        <v>575</v>
      </c>
      <c r="M1322" t="s">
        <v>745</v>
      </c>
      <c r="P1322" t="s">
        <v>1887</v>
      </c>
      <c r="R1322" t="s">
        <v>148</v>
      </c>
      <c r="S1322" t="s">
        <v>145</v>
      </c>
      <c r="U1322">
        <v>1</v>
      </c>
      <c r="V1322" t="s">
        <v>544</v>
      </c>
      <c r="W1322" t="s">
        <v>546</v>
      </c>
      <c r="X1322" s="784" t="s">
        <v>575</v>
      </c>
    </row>
    <row r="1323" spans="1:24">
      <c r="A1323" t="s">
        <v>358</v>
      </c>
      <c r="B1323" t="s">
        <v>680</v>
      </c>
      <c r="C1323" t="s">
        <v>280</v>
      </c>
      <c r="D1323" t="s">
        <v>127</v>
      </c>
      <c r="E1323" t="s">
        <v>377</v>
      </c>
      <c r="F1323" t="s">
        <v>383</v>
      </c>
      <c r="G1323" t="s">
        <v>747</v>
      </c>
      <c r="H1323" t="s">
        <v>747</v>
      </c>
      <c r="I1323" t="s">
        <v>743</v>
      </c>
      <c r="J1323" t="s">
        <v>744</v>
      </c>
      <c r="K1323" t="s">
        <v>546</v>
      </c>
      <c r="L1323" s="784" t="s">
        <v>575</v>
      </c>
      <c r="M1323" t="s">
        <v>745</v>
      </c>
      <c r="P1323" t="s">
        <v>1887</v>
      </c>
      <c r="R1323" t="s">
        <v>150</v>
      </c>
      <c r="S1323" t="s">
        <v>145</v>
      </c>
      <c r="U1323">
        <v>0</v>
      </c>
      <c r="V1323" t="s">
        <v>544</v>
      </c>
      <c r="W1323" t="s">
        <v>542</v>
      </c>
      <c r="X1323" s="784">
        <v>147296124.32232863</v>
      </c>
    </row>
    <row r="1324" spans="1:24">
      <c r="A1324" t="s">
        <v>358</v>
      </c>
      <c r="B1324" t="s">
        <v>681</v>
      </c>
      <c r="C1324" t="s">
        <v>156</v>
      </c>
      <c r="D1324" t="s">
        <v>128</v>
      </c>
      <c r="E1324" t="s">
        <v>377</v>
      </c>
      <c r="F1324" t="s">
        <v>383</v>
      </c>
      <c r="G1324" t="s">
        <v>747</v>
      </c>
      <c r="H1324" t="s">
        <v>747</v>
      </c>
      <c r="I1324" t="s">
        <v>743</v>
      </c>
      <c r="J1324" t="s">
        <v>744</v>
      </c>
      <c r="K1324" t="s">
        <v>546</v>
      </c>
      <c r="L1324" s="784" t="s">
        <v>575</v>
      </c>
      <c r="M1324" t="s">
        <v>745</v>
      </c>
      <c r="P1324" t="s">
        <v>1887</v>
      </c>
      <c r="R1324" t="s">
        <v>150</v>
      </c>
      <c r="S1324" t="s">
        <v>145</v>
      </c>
      <c r="U1324">
        <v>0</v>
      </c>
      <c r="V1324" t="s">
        <v>544</v>
      </c>
      <c r="W1324" t="s">
        <v>548</v>
      </c>
      <c r="X1324" s="784">
        <v>890576536.83065879</v>
      </c>
    </row>
    <row r="1325" spans="1:24">
      <c r="A1325" t="s">
        <v>358</v>
      </c>
      <c r="B1325" t="s">
        <v>682</v>
      </c>
      <c r="C1325" t="s">
        <v>157</v>
      </c>
      <c r="D1325" t="s">
        <v>126</v>
      </c>
      <c r="E1325" t="s">
        <v>377</v>
      </c>
      <c r="F1325" t="s">
        <v>383</v>
      </c>
      <c r="G1325" t="s">
        <v>747</v>
      </c>
      <c r="H1325" t="s">
        <v>747</v>
      </c>
      <c r="I1325" t="s">
        <v>743</v>
      </c>
      <c r="J1325" t="s">
        <v>744</v>
      </c>
      <c r="K1325" t="s">
        <v>546</v>
      </c>
      <c r="L1325" s="784" t="s">
        <v>575</v>
      </c>
      <c r="M1325" t="s">
        <v>745</v>
      </c>
      <c r="P1325" t="s">
        <v>1887</v>
      </c>
      <c r="R1325" t="s">
        <v>152</v>
      </c>
      <c r="S1325" t="s">
        <v>146</v>
      </c>
      <c r="U1325">
        <v>0</v>
      </c>
      <c r="V1325" t="s">
        <v>544</v>
      </c>
      <c r="W1325" t="s">
        <v>575</v>
      </c>
      <c r="X1325" s="784">
        <v>14611129792.346064</v>
      </c>
    </row>
    <row r="1326" spans="1:24">
      <c r="A1326" t="s">
        <v>358</v>
      </c>
      <c r="B1326" t="s">
        <v>683</v>
      </c>
      <c r="C1326" t="s">
        <v>281</v>
      </c>
      <c r="D1326" t="s">
        <v>126</v>
      </c>
      <c r="E1326" t="s">
        <v>377</v>
      </c>
      <c r="F1326" t="s">
        <v>383</v>
      </c>
      <c r="G1326" t="s">
        <v>747</v>
      </c>
      <c r="H1326" t="s">
        <v>747</v>
      </c>
      <c r="I1326" t="s">
        <v>743</v>
      </c>
      <c r="J1326" t="s">
        <v>744</v>
      </c>
      <c r="K1326" t="s">
        <v>546</v>
      </c>
      <c r="L1326" s="784" t="s">
        <v>575</v>
      </c>
      <c r="M1326" t="s">
        <v>745</v>
      </c>
      <c r="P1326" t="s">
        <v>1887</v>
      </c>
      <c r="R1326" t="s">
        <v>150</v>
      </c>
      <c r="S1326" t="s">
        <v>145</v>
      </c>
      <c r="U1326">
        <v>0</v>
      </c>
      <c r="V1326" t="s">
        <v>541</v>
      </c>
      <c r="W1326" t="s">
        <v>558</v>
      </c>
      <c r="X1326" s="784">
        <v>72046877.233008593</v>
      </c>
    </row>
    <row r="1327" spans="1:24">
      <c r="A1327" t="s">
        <v>358</v>
      </c>
      <c r="B1327" t="s">
        <v>684</v>
      </c>
      <c r="C1327" t="s">
        <v>282</v>
      </c>
      <c r="D1327" t="s">
        <v>129</v>
      </c>
      <c r="E1327" t="s">
        <v>377</v>
      </c>
      <c r="F1327" t="s">
        <v>383</v>
      </c>
      <c r="G1327" t="s">
        <v>747</v>
      </c>
      <c r="H1327" t="s">
        <v>747</v>
      </c>
      <c r="I1327" t="s">
        <v>743</v>
      </c>
      <c r="J1327" t="s">
        <v>744</v>
      </c>
      <c r="K1327" t="s">
        <v>546</v>
      </c>
      <c r="L1327" s="784" t="s">
        <v>575</v>
      </c>
      <c r="M1327" t="s">
        <v>745</v>
      </c>
      <c r="P1327" t="s">
        <v>1887</v>
      </c>
      <c r="R1327" t="s">
        <v>148</v>
      </c>
      <c r="S1327" t="s">
        <v>145</v>
      </c>
      <c r="U1327">
        <v>0</v>
      </c>
      <c r="V1327" t="s">
        <v>544</v>
      </c>
      <c r="W1327" t="s">
        <v>542</v>
      </c>
      <c r="X1327" s="784">
        <v>56248139.267255567</v>
      </c>
    </row>
    <row r="1328" spans="1:24">
      <c r="A1328" t="s">
        <v>358</v>
      </c>
      <c r="B1328" t="s">
        <v>685</v>
      </c>
      <c r="C1328" t="s">
        <v>283</v>
      </c>
      <c r="D1328" t="s">
        <v>126</v>
      </c>
      <c r="E1328" t="s">
        <v>377</v>
      </c>
      <c r="F1328" t="s">
        <v>383</v>
      </c>
      <c r="G1328" t="s">
        <v>747</v>
      </c>
      <c r="H1328" t="s">
        <v>747</v>
      </c>
      <c r="I1328" t="s">
        <v>743</v>
      </c>
      <c r="J1328" t="s">
        <v>744</v>
      </c>
      <c r="K1328" t="s">
        <v>546</v>
      </c>
      <c r="L1328" s="784" t="s">
        <v>575</v>
      </c>
      <c r="M1328" t="s">
        <v>745</v>
      </c>
      <c r="P1328" t="s">
        <v>1887</v>
      </c>
      <c r="R1328" t="s">
        <v>152</v>
      </c>
      <c r="S1328" t="s">
        <v>145</v>
      </c>
      <c r="U1328">
        <v>0</v>
      </c>
      <c r="V1328" t="s">
        <v>541</v>
      </c>
      <c r="W1328" t="s">
        <v>542</v>
      </c>
      <c r="X1328" s="784">
        <v>15464031.712942109</v>
      </c>
    </row>
    <row r="1329" spans="1:24">
      <c r="A1329" t="s">
        <v>358</v>
      </c>
      <c r="B1329" t="s">
        <v>686</v>
      </c>
      <c r="C1329" t="s">
        <v>284</v>
      </c>
      <c r="D1329" t="s">
        <v>130</v>
      </c>
      <c r="E1329" t="s">
        <v>377</v>
      </c>
      <c r="F1329" t="s">
        <v>383</v>
      </c>
      <c r="G1329" t="s">
        <v>747</v>
      </c>
      <c r="H1329" t="s">
        <v>747</v>
      </c>
      <c r="I1329" t="s">
        <v>743</v>
      </c>
      <c r="J1329" t="s">
        <v>744</v>
      </c>
      <c r="K1329" t="s">
        <v>546</v>
      </c>
      <c r="L1329" s="784" t="s">
        <v>575</v>
      </c>
      <c r="M1329" t="s">
        <v>745</v>
      </c>
      <c r="P1329" t="s">
        <v>1887</v>
      </c>
      <c r="R1329" t="s">
        <v>550</v>
      </c>
      <c r="S1329" t="s">
        <v>146</v>
      </c>
      <c r="U1329">
        <v>0</v>
      </c>
      <c r="V1329" t="s">
        <v>541</v>
      </c>
      <c r="W1329" t="s">
        <v>546</v>
      </c>
      <c r="X1329" s="784">
        <v>769564399.33249676</v>
      </c>
    </row>
    <row r="1330" spans="1:24">
      <c r="A1330" t="s">
        <v>358</v>
      </c>
      <c r="B1330" t="s">
        <v>687</v>
      </c>
      <c r="C1330" t="s">
        <v>285</v>
      </c>
      <c r="D1330" t="s">
        <v>131</v>
      </c>
      <c r="E1330" t="s">
        <v>377</v>
      </c>
      <c r="F1330" t="s">
        <v>383</v>
      </c>
      <c r="G1330" t="s">
        <v>747</v>
      </c>
      <c r="H1330" t="s">
        <v>747</v>
      </c>
      <c r="I1330" t="s">
        <v>743</v>
      </c>
      <c r="J1330" t="s">
        <v>744</v>
      </c>
      <c r="K1330" t="s">
        <v>546</v>
      </c>
      <c r="L1330" s="784">
        <v>2200000</v>
      </c>
      <c r="M1330" t="s">
        <v>745</v>
      </c>
      <c r="P1330" t="s">
        <v>1887</v>
      </c>
      <c r="R1330" t="s">
        <v>150</v>
      </c>
      <c r="S1330" t="s">
        <v>145</v>
      </c>
      <c r="U1330">
        <v>0</v>
      </c>
      <c r="V1330" t="s">
        <v>544</v>
      </c>
      <c r="W1330" t="s">
        <v>546</v>
      </c>
      <c r="X1330" s="784">
        <v>1668954539.7630196</v>
      </c>
    </row>
    <row r="1331" spans="1:24">
      <c r="A1331" t="s">
        <v>358</v>
      </c>
      <c r="B1331" t="s">
        <v>688</v>
      </c>
      <c r="C1331" t="s">
        <v>286</v>
      </c>
      <c r="D1331" t="s">
        <v>127</v>
      </c>
      <c r="E1331" t="s">
        <v>377</v>
      </c>
      <c r="F1331" t="s">
        <v>383</v>
      </c>
      <c r="G1331" t="s">
        <v>747</v>
      </c>
      <c r="H1331" t="s">
        <v>747</v>
      </c>
      <c r="I1331" t="s">
        <v>743</v>
      </c>
      <c r="J1331" t="s">
        <v>744</v>
      </c>
      <c r="K1331" t="s">
        <v>546</v>
      </c>
      <c r="L1331" s="784" t="s">
        <v>575</v>
      </c>
      <c r="M1331" t="s">
        <v>745</v>
      </c>
      <c r="P1331" t="s">
        <v>1887</v>
      </c>
      <c r="R1331" t="s">
        <v>152</v>
      </c>
      <c r="S1331" t="s">
        <v>146</v>
      </c>
      <c r="U1331">
        <v>0</v>
      </c>
      <c r="V1331" t="s">
        <v>544</v>
      </c>
      <c r="W1331" t="s">
        <v>575</v>
      </c>
      <c r="X1331" s="784">
        <v>24840920016.18832</v>
      </c>
    </row>
    <row r="1332" spans="1:24">
      <c r="A1332" t="s">
        <v>358</v>
      </c>
      <c r="B1332" t="s">
        <v>689</v>
      </c>
      <c r="C1332" t="s">
        <v>287</v>
      </c>
      <c r="D1332" t="s">
        <v>127</v>
      </c>
      <c r="E1332" t="s">
        <v>377</v>
      </c>
      <c r="F1332" t="s">
        <v>383</v>
      </c>
      <c r="G1332" t="s">
        <v>747</v>
      </c>
      <c r="H1332" t="s">
        <v>747</v>
      </c>
      <c r="I1332" t="s">
        <v>743</v>
      </c>
      <c r="J1332" t="s">
        <v>744</v>
      </c>
      <c r="K1332" t="s">
        <v>546</v>
      </c>
      <c r="L1332" s="784" t="s">
        <v>575</v>
      </c>
      <c r="M1332" t="s">
        <v>745</v>
      </c>
      <c r="P1332" t="s">
        <v>1887</v>
      </c>
      <c r="R1332" t="s">
        <v>152</v>
      </c>
      <c r="S1332" t="s">
        <v>146</v>
      </c>
      <c r="U1332">
        <v>0</v>
      </c>
      <c r="V1332" t="s">
        <v>544</v>
      </c>
      <c r="W1332" t="s">
        <v>546</v>
      </c>
      <c r="X1332" s="784">
        <v>487888462.83720118</v>
      </c>
    </row>
    <row r="1333" spans="1:24">
      <c r="A1333" t="s">
        <v>358</v>
      </c>
      <c r="B1333" t="s">
        <v>690</v>
      </c>
      <c r="C1333" t="s">
        <v>288</v>
      </c>
      <c r="D1333" t="s">
        <v>126</v>
      </c>
      <c r="E1333" t="s">
        <v>377</v>
      </c>
      <c r="F1333" t="s">
        <v>383</v>
      </c>
      <c r="G1333" t="s">
        <v>747</v>
      </c>
      <c r="H1333" t="s">
        <v>747</v>
      </c>
      <c r="I1333" t="s">
        <v>743</v>
      </c>
      <c r="J1333" t="s">
        <v>744</v>
      </c>
      <c r="K1333" t="s">
        <v>546</v>
      </c>
      <c r="L1333" s="784" t="s">
        <v>575</v>
      </c>
      <c r="M1333" t="s">
        <v>745</v>
      </c>
      <c r="P1333" t="s">
        <v>1887</v>
      </c>
      <c r="R1333" t="s">
        <v>152</v>
      </c>
      <c r="S1333" t="s">
        <v>145</v>
      </c>
      <c r="U1333">
        <v>0</v>
      </c>
      <c r="V1333" t="s">
        <v>541</v>
      </c>
      <c r="W1333" t="s">
        <v>548</v>
      </c>
      <c r="X1333" s="784">
        <v>6365061.1736073596</v>
      </c>
    </row>
    <row r="1334" spans="1:24">
      <c r="A1334" t="s">
        <v>358</v>
      </c>
      <c r="B1334" t="s">
        <v>691</v>
      </c>
      <c r="C1334" t="s">
        <v>289</v>
      </c>
      <c r="D1334" t="s">
        <v>128</v>
      </c>
      <c r="E1334" t="s">
        <v>377</v>
      </c>
      <c r="F1334" t="s">
        <v>383</v>
      </c>
      <c r="G1334" t="s">
        <v>747</v>
      </c>
      <c r="H1334" t="s">
        <v>747</v>
      </c>
      <c r="I1334" t="s">
        <v>743</v>
      </c>
      <c r="J1334" t="s">
        <v>744</v>
      </c>
      <c r="K1334" t="s">
        <v>546</v>
      </c>
      <c r="L1334" s="784" t="s">
        <v>575</v>
      </c>
      <c r="M1334" t="s">
        <v>745</v>
      </c>
      <c r="P1334" t="s">
        <v>1887</v>
      </c>
      <c r="R1334" t="s">
        <v>148</v>
      </c>
      <c r="S1334" t="s">
        <v>145</v>
      </c>
      <c r="U1334">
        <v>2</v>
      </c>
      <c r="V1334" t="s">
        <v>544</v>
      </c>
      <c r="W1334" t="s">
        <v>558</v>
      </c>
      <c r="X1334" s="784">
        <v>291799092.90196139</v>
      </c>
    </row>
    <row r="1335" spans="1:24">
      <c r="A1335" t="s">
        <v>358</v>
      </c>
      <c r="B1335" t="s">
        <v>692</v>
      </c>
      <c r="C1335" t="s">
        <v>290</v>
      </c>
      <c r="D1335" t="s">
        <v>127</v>
      </c>
      <c r="E1335" t="s">
        <v>377</v>
      </c>
      <c r="F1335" t="s">
        <v>383</v>
      </c>
      <c r="G1335" t="s">
        <v>747</v>
      </c>
      <c r="H1335" t="s">
        <v>747</v>
      </c>
      <c r="I1335" t="s">
        <v>743</v>
      </c>
      <c r="J1335" t="s">
        <v>744</v>
      </c>
      <c r="K1335" t="s">
        <v>546</v>
      </c>
      <c r="L1335" s="784" t="s">
        <v>575</v>
      </c>
      <c r="M1335" t="s">
        <v>745</v>
      </c>
      <c r="P1335" t="s">
        <v>1887</v>
      </c>
      <c r="R1335" t="s">
        <v>150</v>
      </c>
      <c r="S1335" t="s">
        <v>145</v>
      </c>
      <c r="U1335">
        <v>0</v>
      </c>
      <c r="V1335" t="s">
        <v>544</v>
      </c>
      <c r="W1335" t="s">
        <v>546</v>
      </c>
      <c r="X1335" s="784">
        <v>4844815340.2135534</v>
      </c>
    </row>
    <row r="1336" spans="1:24">
      <c r="A1336" t="s">
        <v>358</v>
      </c>
      <c r="B1336" t="s">
        <v>693</v>
      </c>
      <c r="C1336" t="s">
        <v>291</v>
      </c>
      <c r="D1336" t="s">
        <v>130</v>
      </c>
      <c r="E1336" t="s">
        <v>377</v>
      </c>
      <c r="F1336" t="s">
        <v>383</v>
      </c>
      <c r="G1336" t="s">
        <v>747</v>
      </c>
      <c r="H1336" t="s">
        <v>747</v>
      </c>
      <c r="I1336" t="s">
        <v>743</v>
      </c>
      <c r="J1336" t="s">
        <v>744</v>
      </c>
      <c r="K1336" t="s">
        <v>546</v>
      </c>
      <c r="L1336" s="784" t="s">
        <v>575</v>
      </c>
      <c r="M1336" t="s">
        <v>745</v>
      </c>
      <c r="P1336" t="s">
        <v>1887</v>
      </c>
      <c r="R1336" t="s">
        <v>550</v>
      </c>
      <c r="S1336" t="s">
        <v>146</v>
      </c>
      <c r="U1336">
        <v>0</v>
      </c>
      <c r="V1336" t="s">
        <v>544</v>
      </c>
      <c r="W1336" t="s">
        <v>575</v>
      </c>
      <c r="X1336" s="784">
        <v>4001891446.6871672</v>
      </c>
    </row>
    <row r="1337" spans="1:24">
      <c r="A1337" t="s">
        <v>358</v>
      </c>
      <c r="B1337" t="s">
        <v>694</v>
      </c>
      <c r="C1337" t="s">
        <v>292</v>
      </c>
      <c r="D1337" t="s">
        <v>127</v>
      </c>
      <c r="E1337" t="s">
        <v>377</v>
      </c>
      <c r="F1337" t="s">
        <v>383</v>
      </c>
      <c r="G1337" t="s">
        <v>747</v>
      </c>
      <c r="H1337" t="s">
        <v>747</v>
      </c>
      <c r="I1337" t="s">
        <v>743</v>
      </c>
      <c r="J1337" t="s">
        <v>744</v>
      </c>
      <c r="K1337" t="s">
        <v>546</v>
      </c>
      <c r="L1337" s="784" t="s">
        <v>575</v>
      </c>
      <c r="M1337" t="s">
        <v>745</v>
      </c>
      <c r="P1337" t="s">
        <v>1887</v>
      </c>
      <c r="R1337" t="s">
        <v>150</v>
      </c>
      <c r="S1337" t="s">
        <v>145</v>
      </c>
      <c r="U1337">
        <v>0</v>
      </c>
      <c r="V1337" t="s">
        <v>544</v>
      </c>
      <c r="W1337" t="s">
        <v>558</v>
      </c>
      <c r="X1337" s="784">
        <v>1019800630.5853213</v>
      </c>
    </row>
    <row r="1338" spans="1:24">
      <c r="A1338" t="s">
        <v>358</v>
      </c>
      <c r="B1338" t="s">
        <v>695</v>
      </c>
      <c r="C1338" t="s">
        <v>293</v>
      </c>
      <c r="D1338" t="s">
        <v>126</v>
      </c>
      <c r="E1338" t="s">
        <v>377</v>
      </c>
      <c r="F1338" t="s">
        <v>383</v>
      </c>
      <c r="G1338" t="s">
        <v>747</v>
      </c>
      <c r="H1338" t="s">
        <v>747</v>
      </c>
      <c r="I1338" t="s">
        <v>743</v>
      </c>
      <c r="J1338" t="s">
        <v>744</v>
      </c>
      <c r="K1338" t="s">
        <v>546</v>
      </c>
      <c r="L1338" s="784" t="s">
        <v>575</v>
      </c>
      <c r="M1338" t="s">
        <v>745</v>
      </c>
      <c r="P1338" t="s">
        <v>1887</v>
      </c>
      <c r="R1338" t="s">
        <v>150</v>
      </c>
      <c r="S1338" t="s">
        <v>145</v>
      </c>
      <c r="U1338">
        <v>0</v>
      </c>
      <c r="V1338" t="s">
        <v>541</v>
      </c>
      <c r="W1338" t="s">
        <v>562</v>
      </c>
      <c r="X1338" s="784">
        <v>19578671.310841195</v>
      </c>
    </row>
    <row r="1339" spans="1:24">
      <c r="A1339" t="s">
        <v>358</v>
      </c>
      <c r="B1339" t="s">
        <v>696</v>
      </c>
      <c r="C1339" t="s">
        <v>294</v>
      </c>
      <c r="D1339" t="s">
        <v>130</v>
      </c>
      <c r="E1339" t="s">
        <v>377</v>
      </c>
      <c r="F1339" t="s">
        <v>383</v>
      </c>
      <c r="G1339" t="s">
        <v>747</v>
      </c>
      <c r="H1339" t="s">
        <v>747</v>
      </c>
      <c r="I1339" t="s">
        <v>743</v>
      </c>
      <c r="J1339" t="s">
        <v>744</v>
      </c>
      <c r="K1339" t="s">
        <v>546</v>
      </c>
      <c r="L1339" s="784" t="s">
        <v>575</v>
      </c>
      <c r="M1339" t="s">
        <v>745</v>
      </c>
      <c r="P1339" t="s">
        <v>1887</v>
      </c>
      <c r="R1339" t="s">
        <v>322</v>
      </c>
      <c r="S1339" t="s">
        <v>146</v>
      </c>
      <c r="U1339">
        <v>0</v>
      </c>
      <c r="V1339" t="s">
        <v>544</v>
      </c>
      <c r="W1339" t="s">
        <v>546</v>
      </c>
      <c r="X1339" s="784">
        <v>3551452001.0684834</v>
      </c>
    </row>
    <row r="1340" spans="1:24">
      <c r="A1340" t="s">
        <v>358</v>
      </c>
      <c r="B1340" t="s">
        <v>697</v>
      </c>
      <c r="C1340" t="s">
        <v>295</v>
      </c>
      <c r="D1340" t="s">
        <v>126</v>
      </c>
      <c r="E1340" t="s">
        <v>377</v>
      </c>
      <c r="F1340" t="s">
        <v>383</v>
      </c>
      <c r="G1340" t="s">
        <v>747</v>
      </c>
      <c r="H1340" t="s">
        <v>747</v>
      </c>
      <c r="I1340" t="s">
        <v>743</v>
      </c>
      <c r="J1340" t="s">
        <v>744</v>
      </c>
      <c r="K1340" t="s">
        <v>546</v>
      </c>
      <c r="L1340" s="784" t="s">
        <v>575</v>
      </c>
      <c r="M1340" t="s">
        <v>745</v>
      </c>
      <c r="P1340" t="s">
        <v>1887</v>
      </c>
      <c r="R1340" t="s">
        <v>150</v>
      </c>
      <c r="S1340" t="s">
        <v>145</v>
      </c>
      <c r="U1340">
        <v>0</v>
      </c>
      <c r="V1340" t="s">
        <v>544</v>
      </c>
      <c r="W1340" t="s">
        <v>546</v>
      </c>
      <c r="X1340" s="784">
        <v>6603048821.7575006</v>
      </c>
    </row>
    <row r="1341" spans="1:24">
      <c r="A1341" t="s">
        <v>358</v>
      </c>
      <c r="B1341" t="s">
        <v>698</v>
      </c>
      <c r="C1341" t="s">
        <v>296</v>
      </c>
      <c r="D1341" t="s">
        <v>131</v>
      </c>
      <c r="E1341" t="s">
        <v>377</v>
      </c>
      <c r="F1341" t="s">
        <v>383</v>
      </c>
      <c r="G1341" t="s">
        <v>747</v>
      </c>
      <c r="H1341" t="s">
        <v>747</v>
      </c>
      <c r="I1341" t="s">
        <v>743</v>
      </c>
      <c r="J1341" t="s">
        <v>744</v>
      </c>
      <c r="K1341" t="s">
        <v>546</v>
      </c>
      <c r="L1341" s="784" t="s">
        <v>575</v>
      </c>
      <c r="M1341" t="s">
        <v>745</v>
      </c>
      <c r="P1341" t="s">
        <v>1887</v>
      </c>
      <c r="R1341" t="s">
        <v>148</v>
      </c>
      <c r="S1341" t="s">
        <v>145</v>
      </c>
      <c r="U1341">
        <v>1</v>
      </c>
      <c r="V1341" t="s">
        <v>544</v>
      </c>
      <c r="W1341" t="s">
        <v>548</v>
      </c>
      <c r="X1341" s="784" t="s">
        <v>575</v>
      </c>
    </row>
    <row r="1342" spans="1:24">
      <c r="A1342" t="s">
        <v>358</v>
      </c>
      <c r="B1342" t="s">
        <v>699</v>
      </c>
      <c r="C1342" t="s">
        <v>297</v>
      </c>
      <c r="D1342" t="s">
        <v>128</v>
      </c>
      <c r="E1342" t="s">
        <v>377</v>
      </c>
      <c r="F1342" t="s">
        <v>383</v>
      </c>
      <c r="G1342" t="s">
        <v>747</v>
      </c>
      <c r="H1342" t="s">
        <v>747</v>
      </c>
      <c r="I1342" t="s">
        <v>743</v>
      </c>
      <c r="J1342" t="s">
        <v>744</v>
      </c>
      <c r="K1342" t="s">
        <v>546</v>
      </c>
      <c r="L1342" s="784" t="s">
        <v>575</v>
      </c>
      <c r="M1342" t="s">
        <v>745</v>
      </c>
      <c r="P1342" t="s">
        <v>1887</v>
      </c>
      <c r="R1342" t="s">
        <v>150</v>
      </c>
      <c r="S1342" t="s">
        <v>145</v>
      </c>
      <c r="U1342">
        <v>0</v>
      </c>
      <c r="V1342" t="s">
        <v>544</v>
      </c>
      <c r="W1342" t="s">
        <v>542</v>
      </c>
      <c r="X1342" s="784">
        <v>515352723.9821828</v>
      </c>
    </row>
    <row r="1343" spans="1:24">
      <c r="A1343" t="s">
        <v>358</v>
      </c>
      <c r="B1343" t="s">
        <v>700</v>
      </c>
      <c r="C1343" t="s">
        <v>298</v>
      </c>
      <c r="D1343" t="s">
        <v>128</v>
      </c>
      <c r="E1343" t="s">
        <v>377</v>
      </c>
      <c r="F1343" t="s">
        <v>383</v>
      </c>
      <c r="G1343" t="s">
        <v>747</v>
      </c>
      <c r="H1343" t="s">
        <v>747</v>
      </c>
      <c r="I1343" t="s">
        <v>743</v>
      </c>
      <c r="J1343" t="s">
        <v>744</v>
      </c>
      <c r="K1343" t="s">
        <v>546</v>
      </c>
      <c r="L1343" s="784" t="s">
        <v>575</v>
      </c>
      <c r="M1343" t="s">
        <v>745</v>
      </c>
      <c r="P1343" t="s">
        <v>1887</v>
      </c>
      <c r="R1343" t="s">
        <v>150</v>
      </c>
      <c r="S1343" t="s">
        <v>145</v>
      </c>
      <c r="U1343">
        <v>0</v>
      </c>
      <c r="V1343" t="s">
        <v>544</v>
      </c>
      <c r="W1343" t="s">
        <v>546</v>
      </c>
      <c r="X1343" s="784">
        <v>566711742.22428358</v>
      </c>
    </row>
    <row r="1344" spans="1:24">
      <c r="A1344" t="s">
        <v>358</v>
      </c>
      <c r="B1344" t="s">
        <v>540</v>
      </c>
      <c r="C1344" t="s">
        <v>160</v>
      </c>
      <c r="D1344" t="s">
        <v>132</v>
      </c>
      <c r="E1344" t="s">
        <v>377</v>
      </c>
      <c r="F1344" t="s">
        <v>310</v>
      </c>
      <c r="G1344" t="s">
        <v>339</v>
      </c>
      <c r="H1344" t="s">
        <v>310</v>
      </c>
      <c r="I1344">
        <v>2021</v>
      </c>
      <c r="J1344" t="s">
        <v>379</v>
      </c>
      <c r="K1344" t="s">
        <v>748</v>
      </c>
      <c r="L1344" s="784">
        <v>922566</v>
      </c>
      <c r="M1344" t="s">
        <v>745</v>
      </c>
      <c r="P1344" t="s">
        <v>1887</v>
      </c>
      <c r="R1344" t="s">
        <v>148</v>
      </c>
      <c r="S1344" t="s">
        <v>145</v>
      </c>
      <c r="U1344">
        <v>1</v>
      </c>
      <c r="V1344" t="s">
        <v>544</v>
      </c>
      <c r="W1344" t="s">
        <v>542</v>
      </c>
      <c r="X1344" s="784">
        <v>95829480.719269618</v>
      </c>
    </row>
    <row r="1345" spans="1:24">
      <c r="A1345" t="s">
        <v>358</v>
      </c>
      <c r="B1345" t="s">
        <v>543</v>
      </c>
      <c r="C1345" t="s">
        <v>161</v>
      </c>
      <c r="D1345" t="s">
        <v>127</v>
      </c>
      <c r="E1345" t="s">
        <v>377</v>
      </c>
      <c r="F1345" t="s">
        <v>310</v>
      </c>
      <c r="G1345" t="s">
        <v>339</v>
      </c>
      <c r="H1345" t="s">
        <v>310</v>
      </c>
      <c r="I1345">
        <v>2021</v>
      </c>
      <c r="J1345" t="s">
        <v>379</v>
      </c>
      <c r="K1345" t="s">
        <v>748</v>
      </c>
      <c r="L1345" s="784" t="s">
        <v>575</v>
      </c>
      <c r="M1345" t="s">
        <v>745</v>
      </c>
      <c r="P1345" t="s">
        <v>1887</v>
      </c>
      <c r="R1345" t="s">
        <v>152</v>
      </c>
      <c r="S1345" t="s">
        <v>146</v>
      </c>
      <c r="U1345">
        <v>0</v>
      </c>
      <c r="V1345" t="s">
        <v>544</v>
      </c>
      <c r="W1345" t="s">
        <v>575</v>
      </c>
      <c r="X1345" s="784">
        <v>427904035.52443534</v>
      </c>
    </row>
    <row r="1346" spans="1:24">
      <c r="A1346" t="s">
        <v>358</v>
      </c>
      <c r="B1346" t="s">
        <v>545</v>
      </c>
      <c r="C1346" t="s">
        <v>143</v>
      </c>
      <c r="D1346" t="s">
        <v>131</v>
      </c>
      <c r="E1346" t="s">
        <v>377</v>
      </c>
      <c r="F1346" t="s">
        <v>310</v>
      </c>
      <c r="G1346" t="s">
        <v>339</v>
      </c>
      <c r="H1346" t="s">
        <v>310</v>
      </c>
      <c r="I1346">
        <v>2021</v>
      </c>
      <c r="J1346" t="s">
        <v>379</v>
      </c>
      <c r="K1346" t="s">
        <v>748</v>
      </c>
      <c r="L1346" s="784">
        <v>682071</v>
      </c>
      <c r="M1346" t="s">
        <v>745</v>
      </c>
      <c r="P1346" t="s">
        <v>1887</v>
      </c>
      <c r="R1346" t="s">
        <v>150</v>
      </c>
      <c r="S1346" t="s">
        <v>145</v>
      </c>
      <c r="U1346">
        <v>0</v>
      </c>
      <c r="V1346" t="s">
        <v>544</v>
      </c>
      <c r="W1346" t="s">
        <v>546</v>
      </c>
      <c r="X1346" s="784">
        <v>7113361022.7267885</v>
      </c>
    </row>
    <row r="1347" spans="1:24">
      <c r="A1347" t="s">
        <v>358</v>
      </c>
      <c r="B1347" t="s">
        <v>547</v>
      </c>
      <c r="C1347" t="s">
        <v>162</v>
      </c>
      <c r="D1347" t="s">
        <v>128</v>
      </c>
      <c r="E1347" t="s">
        <v>377</v>
      </c>
      <c r="F1347" t="s">
        <v>310</v>
      </c>
      <c r="G1347" t="s">
        <v>339</v>
      </c>
      <c r="H1347" t="s">
        <v>310</v>
      </c>
      <c r="I1347">
        <v>2021</v>
      </c>
      <c r="J1347" t="s">
        <v>379</v>
      </c>
      <c r="K1347" t="s">
        <v>748</v>
      </c>
      <c r="L1347" s="784">
        <v>539335</v>
      </c>
      <c r="M1347" t="s">
        <v>745</v>
      </c>
      <c r="P1347" t="s">
        <v>1887</v>
      </c>
      <c r="R1347" t="s">
        <v>150</v>
      </c>
      <c r="S1347" t="s">
        <v>145</v>
      </c>
      <c r="U1347">
        <v>0</v>
      </c>
      <c r="V1347" t="s">
        <v>544</v>
      </c>
      <c r="W1347" t="s">
        <v>548</v>
      </c>
      <c r="X1347" s="784">
        <v>1131865946.5875781</v>
      </c>
    </row>
    <row r="1348" spans="1:24">
      <c r="A1348" t="s">
        <v>358</v>
      </c>
      <c r="B1348" t="s">
        <v>549</v>
      </c>
      <c r="C1348" t="s">
        <v>163</v>
      </c>
      <c r="D1348" t="s">
        <v>130</v>
      </c>
      <c r="E1348" t="s">
        <v>377</v>
      </c>
      <c r="F1348" t="s">
        <v>310</v>
      </c>
      <c r="G1348" t="s">
        <v>339</v>
      </c>
      <c r="H1348" t="s">
        <v>310</v>
      </c>
      <c r="I1348">
        <v>2021</v>
      </c>
      <c r="J1348" t="s">
        <v>379</v>
      </c>
      <c r="K1348" t="s">
        <v>748</v>
      </c>
      <c r="L1348" s="784" t="s">
        <v>575</v>
      </c>
      <c r="M1348" t="s">
        <v>745</v>
      </c>
      <c r="P1348" t="s">
        <v>1887</v>
      </c>
      <c r="R1348" t="s">
        <v>550</v>
      </c>
      <c r="S1348" t="s">
        <v>146</v>
      </c>
      <c r="U1348">
        <v>0</v>
      </c>
      <c r="V1348" t="s">
        <v>541</v>
      </c>
      <c r="W1348" t="s">
        <v>575</v>
      </c>
      <c r="X1348" s="784">
        <v>46777779.823447868</v>
      </c>
    </row>
    <row r="1349" spans="1:24">
      <c r="A1349" t="s">
        <v>358</v>
      </c>
      <c r="B1349" t="s">
        <v>551</v>
      </c>
      <c r="C1349" t="s">
        <v>164</v>
      </c>
      <c r="D1349" t="s">
        <v>130</v>
      </c>
      <c r="E1349" t="s">
        <v>377</v>
      </c>
      <c r="F1349" t="s">
        <v>310</v>
      </c>
      <c r="G1349" t="s">
        <v>339</v>
      </c>
      <c r="H1349" t="s">
        <v>310</v>
      </c>
      <c r="I1349">
        <v>2021</v>
      </c>
      <c r="J1349" t="s">
        <v>379</v>
      </c>
      <c r="K1349" t="s">
        <v>748</v>
      </c>
      <c r="L1349" s="784" t="s">
        <v>575</v>
      </c>
      <c r="M1349" t="s">
        <v>745</v>
      </c>
      <c r="P1349" t="s">
        <v>1887</v>
      </c>
      <c r="R1349" t="s">
        <v>152</v>
      </c>
      <c r="S1349" t="s">
        <v>146</v>
      </c>
      <c r="U1349">
        <v>0</v>
      </c>
      <c r="V1349" t="s">
        <v>544</v>
      </c>
      <c r="W1349" t="s">
        <v>575</v>
      </c>
      <c r="X1349" s="784">
        <v>30725305777.596794</v>
      </c>
    </row>
    <row r="1350" spans="1:24">
      <c r="A1350" t="s">
        <v>358</v>
      </c>
      <c r="B1350" t="s">
        <v>553</v>
      </c>
      <c r="C1350" t="s">
        <v>165</v>
      </c>
      <c r="D1350" t="s">
        <v>127</v>
      </c>
      <c r="E1350" t="s">
        <v>377</v>
      </c>
      <c r="F1350" t="s">
        <v>310</v>
      </c>
      <c r="G1350" t="s">
        <v>339</v>
      </c>
      <c r="H1350" t="s">
        <v>310</v>
      </c>
      <c r="I1350">
        <v>2021</v>
      </c>
      <c r="J1350" t="s">
        <v>379</v>
      </c>
      <c r="K1350" t="s">
        <v>748</v>
      </c>
      <c r="L1350" s="784" t="s">
        <v>575</v>
      </c>
      <c r="M1350" t="s">
        <v>745</v>
      </c>
      <c r="P1350" t="s">
        <v>1887</v>
      </c>
      <c r="R1350" t="s">
        <v>152</v>
      </c>
      <c r="S1350" t="s">
        <v>146</v>
      </c>
      <c r="U1350">
        <v>0</v>
      </c>
      <c r="V1350" t="s">
        <v>544</v>
      </c>
      <c r="W1350" t="s">
        <v>575</v>
      </c>
      <c r="X1350" s="784">
        <v>153815827.8380394</v>
      </c>
    </row>
    <row r="1351" spans="1:24">
      <c r="A1351" t="s">
        <v>358</v>
      </c>
      <c r="B1351" t="s">
        <v>554</v>
      </c>
      <c r="C1351" t="s">
        <v>166</v>
      </c>
      <c r="D1351" t="s">
        <v>127</v>
      </c>
      <c r="E1351" t="s">
        <v>377</v>
      </c>
      <c r="F1351" t="s">
        <v>310</v>
      </c>
      <c r="G1351" t="s">
        <v>339</v>
      </c>
      <c r="H1351" t="s">
        <v>310</v>
      </c>
      <c r="I1351">
        <v>2021</v>
      </c>
      <c r="J1351" t="s">
        <v>379</v>
      </c>
      <c r="K1351" t="s">
        <v>748</v>
      </c>
      <c r="L1351" s="784" t="s">
        <v>575</v>
      </c>
      <c r="M1351" t="s">
        <v>745</v>
      </c>
      <c r="P1351" t="s">
        <v>1887</v>
      </c>
      <c r="R1351" t="s">
        <v>152</v>
      </c>
      <c r="S1351" t="s">
        <v>146</v>
      </c>
      <c r="U1351">
        <v>0</v>
      </c>
      <c r="V1351" t="s">
        <v>544</v>
      </c>
      <c r="W1351" t="s">
        <v>546</v>
      </c>
      <c r="X1351" s="784">
        <v>437525105.31216973</v>
      </c>
    </row>
    <row r="1352" spans="1:24">
      <c r="A1352" t="s">
        <v>358</v>
      </c>
      <c r="B1352" t="s">
        <v>555</v>
      </c>
      <c r="C1352" t="s">
        <v>556</v>
      </c>
      <c r="D1352" t="s">
        <v>130</v>
      </c>
      <c r="E1352" t="s">
        <v>377</v>
      </c>
      <c r="F1352" t="s">
        <v>310</v>
      </c>
      <c r="G1352" t="s">
        <v>339</v>
      </c>
      <c r="H1352" t="s">
        <v>310</v>
      </c>
      <c r="I1352">
        <v>2021</v>
      </c>
      <c r="J1352" t="s">
        <v>379</v>
      </c>
      <c r="K1352" t="s">
        <v>748</v>
      </c>
      <c r="L1352" s="784" t="s">
        <v>575</v>
      </c>
      <c r="M1352" t="s">
        <v>745</v>
      </c>
      <c r="P1352" t="s">
        <v>1887</v>
      </c>
      <c r="R1352" t="s">
        <v>550</v>
      </c>
      <c r="S1352" t="s">
        <v>146</v>
      </c>
      <c r="U1352">
        <v>0</v>
      </c>
      <c r="V1352" t="s">
        <v>541</v>
      </c>
      <c r="W1352" t="s">
        <v>575</v>
      </c>
      <c r="X1352" s="784">
        <v>149463302.00602186</v>
      </c>
    </row>
    <row r="1353" spans="1:24">
      <c r="A1353" t="s">
        <v>358</v>
      </c>
      <c r="B1353" t="s">
        <v>557</v>
      </c>
      <c r="C1353" t="s">
        <v>167</v>
      </c>
      <c r="D1353" t="s">
        <v>132</v>
      </c>
      <c r="E1353" t="s">
        <v>377</v>
      </c>
      <c r="F1353" t="s">
        <v>310</v>
      </c>
      <c r="G1353" t="s">
        <v>339</v>
      </c>
      <c r="H1353" t="s">
        <v>310</v>
      </c>
      <c r="I1353">
        <v>2021</v>
      </c>
      <c r="J1353" t="s">
        <v>379</v>
      </c>
      <c r="K1353" t="s">
        <v>748</v>
      </c>
      <c r="L1353" s="784">
        <v>2482278</v>
      </c>
      <c r="M1353" t="s">
        <v>745</v>
      </c>
      <c r="P1353" t="s">
        <v>1887</v>
      </c>
      <c r="R1353" t="s">
        <v>150</v>
      </c>
      <c r="S1353" t="s">
        <v>145</v>
      </c>
      <c r="U1353">
        <v>0</v>
      </c>
      <c r="V1353" t="s">
        <v>544</v>
      </c>
      <c r="W1353" t="s">
        <v>558</v>
      </c>
      <c r="X1353" s="784">
        <v>1148322593.9600098</v>
      </c>
    </row>
    <row r="1354" spans="1:24">
      <c r="A1354" t="s">
        <v>358</v>
      </c>
      <c r="B1354" t="s">
        <v>559</v>
      </c>
      <c r="C1354" t="s">
        <v>168</v>
      </c>
      <c r="D1354" t="s">
        <v>127</v>
      </c>
      <c r="E1354" t="s">
        <v>377</v>
      </c>
      <c r="F1354" t="s">
        <v>310</v>
      </c>
      <c r="G1354" t="s">
        <v>339</v>
      </c>
      <c r="H1354" t="s">
        <v>310</v>
      </c>
      <c r="I1354">
        <v>2021</v>
      </c>
      <c r="J1354" t="s">
        <v>379</v>
      </c>
      <c r="K1354" t="s">
        <v>748</v>
      </c>
      <c r="L1354" s="784" t="s">
        <v>575</v>
      </c>
      <c r="M1354" t="s">
        <v>745</v>
      </c>
      <c r="P1354" t="s">
        <v>1887</v>
      </c>
      <c r="R1354" t="s">
        <v>152</v>
      </c>
      <c r="S1354" t="s">
        <v>146</v>
      </c>
      <c r="U1354">
        <v>0</v>
      </c>
      <c r="V1354" t="s">
        <v>544</v>
      </c>
      <c r="W1354" t="s">
        <v>575</v>
      </c>
      <c r="X1354" s="784">
        <v>2371102058.1093163</v>
      </c>
    </row>
    <row r="1355" spans="1:24">
      <c r="A1355" t="s">
        <v>358</v>
      </c>
      <c r="B1355" t="s">
        <v>560</v>
      </c>
      <c r="C1355" t="s">
        <v>169</v>
      </c>
      <c r="D1355" t="s">
        <v>130</v>
      </c>
      <c r="E1355" t="s">
        <v>377</v>
      </c>
      <c r="F1355" t="s">
        <v>310</v>
      </c>
      <c r="G1355" t="s">
        <v>339</v>
      </c>
      <c r="H1355" t="s">
        <v>310</v>
      </c>
      <c r="I1355">
        <v>2021</v>
      </c>
      <c r="J1355" t="s">
        <v>379</v>
      </c>
      <c r="K1355" t="s">
        <v>748</v>
      </c>
      <c r="L1355" s="784" t="s">
        <v>575</v>
      </c>
      <c r="M1355" t="s">
        <v>745</v>
      </c>
      <c r="P1355" t="s">
        <v>1887</v>
      </c>
      <c r="R1355" t="s">
        <v>150</v>
      </c>
      <c r="S1355" t="s">
        <v>146</v>
      </c>
      <c r="U1355">
        <v>0</v>
      </c>
      <c r="V1355" t="s">
        <v>541</v>
      </c>
      <c r="W1355" t="s">
        <v>546</v>
      </c>
      <c r="X1355" s="784">
        <v>75151620.005215243</v>
      </c>
    </row>
    <row r="1356" spans="1:24">
      <c r="A1356" t="s">
        <v>358</v>
      </c>
      <c r="B1356" t="s">
        <v>561</v>
      </c>
      <c r="C1356" t="s">
        <v>170</v>
      </c>
      <c r="D1356" t="s">
        <v>129</v>
      </c>
      <c r="E1356" t="s">
        <v>377</v>
      </c>
      <c r="F1356" t="s">
        <v>310</v>
      </c>
      <c r="G1356" t="s">
        <v>339</v>
      </c>
      <c r="H1356" t="s">
        <v>310</v>
      </c>
      <c r="I1356">
        <v>2021</v>
      </c>
      <c r="J1356" t="s">
        <v>379</v>
      </c>
      <c r="K1356" t="s">
        <v>748</v>
      </c>
      <c r="L1356" s="784">
        <v>386989</v>
      </c>
      <c r="M1356" t="s">
        <v>745</v>
      </c>
      <c r="P1356" t="s">
        <v>1887</v>
      </c>
      <c r="R1356" t="s">
        <v>150</v>
      </c>
      <c r="S1356" t="s">
        <v>145</v>
      </c>
      <c r="U1356">
        <v>0</v>
      </c>
      <c r="V1356" t="s">
        <v>544</v>
      </c>
      <c r="W1356" t="s">
        <v>562</v>
      </c>
      <c r="X1356" s="784">
        <v>69958487.197715744</v>
      </c>
    </row>
    <row r="1357" spans="1:24">
      <c r="A1357" t="s">
        <v>358</v>
      </c>
      <c r="B1357" t="s">
        <v>563</v>
      </c>
      <c r="C1357" t="s">
        <v>171</v>
      </c>
      <c r="D1357" t="s">
        <v>132</v>
      </c>
      <c r="E1357" t="s">
        <v>377</v>
      </c>
      <c r="F1357" t="s">
        <v>310</v>
      </c>
      <c r="G1357" t="s">
        <v>339</v>
      </c>
      <c r="H1357" t="s">
        <v>310</v>
      </c>
      <c r="I1357">
        <v>2021</v>
      </c>
      <c r="J1357" t="s">
        <v>379</v>
      </c>
      <c r="K1357" t="s">
        <v>748</v>
      </c>
      <c r="L1357" s="784">
        <v>69721</v>
      </c>
      <c r="M1357" t="s">
        <v>745</v>
      </c>
      <c r="P1357" t="s">
        <v>1887</v>
      </c>
      <c r="R1357" t="s">
        <v>150</v>
      </c>
      <c r="S1357" t="s">
        <v>145</v>
      </c>
      <c r="U1357">
        <v>0</v>
      </c>
      <c r="V1357" t="s">
        <v>544</v>
      </c>
      <c r="W1357" t="s">
        <v>548</v>
      </c>
      <c r="X1357" s="784">
        <v>61654608.560629159</v>
      </c>
    </row>
    <row r="1358" spans="1:24">
      <c r="A1358" t="s">
        <v>358</v>
      </c>
      <c r="B1358" t="s">
        <v>564</v>
      </c>
      <c r="C1358" t="s">
        <v>172</v>
      </c>
      <c r="D1358" t="s">
        <v>130</v>
      </c>
      <c r="E1358" t="s">
        <v>377</v>
      </c>
      <c r="F1358" t="s">
        <v>310</v>
      </c>
      <c r="G1358" t="s">
        <v>339</v>
      </c>
      <c r="H1358" t="s">
        <v>310</v>
      </c>
      <c r="I1358">
        <v>2021</v>
      </c>
      <c r="J1358" t="s">
        <v>379</v>
      </c>
      <c r="K1358" t="s">
        <v>748</v>
      </c>
      <c r="L1358" s="784">
        <v>283036</v>
      </c>
      <c r="M1358" t="s">
        <v>745</v>
      </c>
      <c r="P1358" t="s">
        <v>1887</v>
      </c>
      <c r="R1358" t="s">
        <v>150</v>
      </c>
      <c r="S1358" t="s">
        <v>145</v>
      </c>
      <c r="U1358">
        <v>0</v>
      </c>
      <c r="V1358" t="s">
        <v>544</v>
      </c>
      <c r="W1358" t="s">
        <v>546</v>
      </c>
      <c r="X1358" s="784">
        <v>1806638707.7615163</v>
      </c>
    </row>
    <row r="1359" spans="1:24">
      <c r="A1359" t="s">
        <v>358</v>
      </c>
      <c r="B1359" t="s">
        <v>565</v>
      </c>
      <c r="C1359" t="s">
        <v>174</v>
      </c>
      <c r="D1359" t="s">
        <v>127</v>
      </c>
      <c r="E1359" t="s">
        <v>377</v>
      </c>
      <c r="F1359" t="s">
        <v>310</v>
      </c>
      <c r="G1359" t="s">
        <v>339</v>
      </c>
      <c r="H1359" t="s">
        <v>310</v>
      </c>
      <c r="I1359">
        <v>2021</v>
      </c>
      <c r="J1359" t="s">
        <v>379</v>
      </c>
      <c r="K1359" t="s">
        <v>748</v>
      </c>
      <c r="L1359" s="784" t="s">
        <v>575</v>
      </c>
      <c r="M1359" t="s">
        <v>745</v>
      </c>
      <c r="P1359" t="s">
        <v>1887</v>
      </c>
      <c r="R1359" t="s">
        <v>152</v>
      </c>
      <c r="S1359" t="s">
        <v>146</v>
      </c>
      <c r="U1359">
        <v>0</v>
      </c>
      <c r="V1359" t="s">
        <v>544</v>
      </c>
      <c r="W1359" t="s">
        <v>546</v>
      </c>
      <c r="X1359" s="784">
        <v>1252696525.0627904</v>
      </c>
    </row>
    <row r="1360" spans="1:24">
      <c r="A1360" t="s">
        <v>358</v>
      </c>
      <c r="B1360" t="s">
        <v>566</v>
      </c>
      <c r="C1360" t="s">
        <v>175</v>
      </c>
      <c r="D1360" t="s">
        <v>128</v>
      </c>
      <c r="E1360" t="s">
        <v>377</v>
      </c>
      <c r="F1360" t="s">
        <v>310</v>
      </c>
      <c r="G1360" t="s">
        <v>339</v>
      </c>
      <c r="H1360" t="s">
        <v>310</v>
      </c>
      <c r="I1360">
        <v>2021</v>
      </c>
      <c r="J1360" t="s">
        <v>379</v>
      </c>
      <c r="K1360" t="s">
        <v>748</v>
      </c>
      <c r="L1360" s="784" t="s">
        <v>575</v>
      </c>
      <c r="M1360" t="s">
        <v>745</v>
      </c>
      <c r="P1360" t="s">
        <v>1887</v>
      </c>
      <c r="R1360" t="s">
        <v>152</v>
      </c>
      <c r="S1360" t="s">
        <v>146</v>
      </c>
      <c r="U1360">
        <v>0</v>
      </c>
      <c r="V1360" t="s">
        <v>544</v>
      </c>
      <c r="W1360" t="s">
        <v>575</v>
      </c>
      <c r="X1360" s="784">
        <v>843425084.07334602</v>
      </c>
    </row>
    <row r="1361" spans="1:24">
      <c r="A1361" t="s">
        <v>358</v>
      </c>
      <c r="B1361" t="s">
        <v>567</v>
      </c>
      <c r="C1361" t="s">
        <v>144</v>
      </c>
      <c r="D1361" t="s">
        <v>130</v>
      </c>
      <c r="E1361" t="s">
        <v>377</v>
      </c>
      <c r="F1361" t="s">
        <v>310</v>
      </c>
      <c r="G1361" t="s">
        <v>339</v>
      </c>
      <c r="H1361" t="s">
        <v>310</v>
      </c>
      <c r="I1361">
        <v>2021</v>
      </c>
      <c r="J1361" t="s">
        <v>379</v>
      </c>
      <c r="K1361" t="s">
        <v>748</v>
      </c>
      <c r="L1361" s="784" t="s">
        <v>575</v>
      </c>
      <c r="M1361" t="s">
        <v>745</v>
      </c>
      <c r="P1361" t="s">
        <v>1887</v>
      </c>
      <c r="R1361" t="s">
        <v>152</v>
      </c>
      <c r="S1361" t="s">
        <v>146</v>
      </c>
      <c r="U1361">
        <v>0</v>
      </c>
      <c r="V1361" t="s">
        <v>544</v>
      </c>
      <c r="W1361" t="s">
        <v>546</v>
      </c>
      <c r="X1361" s="784">
        <v>74055620038.853683</v>
      </c>
    </row>
    <row r="1362" spans="1:24">
      <c r="A1362" t="s">
        <v>358</v>
      </c>
      <c r="B1362" t="s">
        <v>568</v>
      </c>
      <c r="C1362" t="s">
        <v>176</v>
      </c>
      <c r="D1362" t="s">
        <v>127</v>
      </c>
      <c r="E1362" t="s">
        <v>377</v>
      </c>
      <c r="F1362" t="s">
        <v>310</v>
      </c>
      <c r="G1362" t="s">
        <v>339</v>
      </c>
      <c r="H1362" t="s">
        <v>310</v>
      </c>
      <c r="I1362">
        <v>2021</v>
      </c>
      <c r="J1362" t="s">
        <v>379</v>
      </c>
      <c r="K1362" t="s">
        <v>748</v>
      </c>
      <c r="L1362" s="784" t="s">
        <v>575</v>
      </c>
      <c r="M1362" t="s">
        <v>745</v>
      </c>
      <c r="P1362" t="s">
        <v>1887</v>
      </c>
      <c r="R1362" t="s">
        <v>152</v>
      </c>
      <c r="S1362" t="s">
        <v>146</v>
      </c>
      <c r="U1362">
        <v>0</v>
      </c>
      <c r="V1362" t="s">
        <v>544</v>
      </c>
      <c r="W1362" t="s">
        <v>575</v>
      </c>
      <c r="X1362" s="784">
        <v>2803357765.5888777</v>
      </c>
    </row>
    <row r="1363" spans="1:24">
      <c r="A1363" t="s">
        <v>358</v>
      </c>
      <c r="B1363" t="s">
        <v>569</v>
      </c>
      <c r="C1363" t="s">
        <v>177</v>
      </c>
      <c r="D1363" t="s">
        <v>129</v>
      </c>
      <c r="E1363" t="s">
        <v>377</v>
      </c>
      <c r="F1363" t="s">
        <v>310</v>
      </c>
      <c r="G1363" t="s">
        <v>339</v>
      </c>
      <c r="H1363" t="s">
        <v>310</v>
      </c>
      <c r="I1363">
        <v>2021</v>
      </c>
      <c r="J1363" t="s">
        <v>379</v>
      </c>
      <c r="K1363" t="s">
        <v>748</v>
      </c>
      <c r="L1363" s="784">
        <v>555832</v>
      </c>
      <c r="M1363" t="s">
        <v>745</v>
      </c>
      <c r="P1363" t="s">
        <v>1887</v>
      </c>
      <c r="R1363" t="s">
        <v>148</v>
      </c>
      <c r="S1363" t="s">
        <v>145</v>
      </c>
      <c r="U1363">
        <v>2</v>
      </c>
      <c r="V1363" t="s">
        <v>544</v>
      </c>
      <c r="W1363" t="s">
        <v>562</v>
      </c>
      <c r="X1363" s="784">
        <v>337927779.25510043</v>
      </c>
    </row>
    <row r="1364" spans="1:24">
      <c r="A1364" t="s">
        <v>358</v>
      </c>
      <c r="B1364" t="s">
        <v>570</v>
      </c>
      <c r="C1364" t="s">
        <v>178</v>
      </c>
      <c r="D1364" t="s">
        <v>128</v>
      </c>
      <c r="E1364" t="s">
        <v>377</v>
      </c>
      <c r="F1364" t="s">
        <v>310</v>
      </c>
      <c r="G1364" t="s">
        <v>339</v>
      </c>
      <c r="H1364" t="s">
        <v>310</v>
      </c>
      <c r="I1364">
        <v>2021</v>
      </c>
      <c r="J1364" t="s">
        <v>379</v>
      </c>
      <c r="K1364" t="s">
        <v>748</v>
      </c>
      <c r="L1364" s="784" t="s">
        <v>1437</v>
      </c>
      <c r="M1364" t="s">
        <v>745</v>
      </c>
      <c r="P1364" t="s">
        <v>1887</v>
      </c>
      <c r="R1364" t="s">
        <v>148</v>
      </c>
      <c r="S1364" t="s">
        <v>145</v>
      </c>
      <c r="U1364">
        <v>2</v>
      </c>
      <c r="V1364" t="s">
        <v>544</v>
      </c>
      <c r="W1364" t="s">
        <v>548</v>
      </c>
      <c r="X1364" s="784">
        <v>65979512.47399316</v>
      </c>
    </row>
    <row r="1365" spans="1:24">
      <c r="A1365" t="s">
        <v>358</v>
      </c>
      <c r="B1365" t="s">
        <v>571</v>
      </c>
      <c r="C1365" t="s">
        <v>179</v>
      </c>
      <c r="D1365" t="s">
        <v>129</v>
      </c>
      <c r="E1365" t="s">
        <v>377</v>
      </c>
      <c r="F1365" t="s">
        <v>310</v>
      </c>
      <c r="G1365" t="s">
        <v>339</v>
      </c>
      <c r="H1365" t="s">
        <v>310</v>
      </c>
      <c r="I1365">
        <v>2021</v>
      </c>
      <c r="J1365" t="s">
        <v>379</v>
      </c>
      <c r="K1365" t="s">
        <v>748</v>
      </c>
      <c r="L1365" s="784" t="s">
        <v>1437</v>
      </c>
      <c r="M1365" t="s">
        <v>745</v>
      </c>
      <c r="P1365" t="s">
        <v>1887</v>
      </c>
      <c r="R1365" t="s">
        <v>150</v>
      </c>
      <c r="S1365" t="s">
        <v>145</v>
      </c>
      <c r="U1365">
        <v>0</v>
      </c>
      <c r="V1365" t="s">
        <v>541</v>
      </c>
      <c r="W1365" t="s">
        <v>542</v>
      </c>
      <c r="X1365" s="784">
        <v>63748362.778827004</v>
      </c>
    </row>
    <row r="1366" spans="1:24">
      <c r="A1366" t="s">
        <v>358</v>
      </c>
      <c r="B1366" t="s">
        <v>572</v>
      </c>
      <c r="C1366" t="s">
        <v>180</v>
      </c>
      <c r="D1366" t="s">
        <v>126</v>
      </c>
      <c r="E1366" t="s">
        <v>377</v>
      </c>
      <c r="F1366" t="s">
        <v>310</v>
      </c>
      <c r="G1366" t="s">
        <v>339</v>
      </c>
      <c r="H1366" t="s">
        <v>310</v>
      </c>
      <c r="I1366">
        <v>2021</v>
      </c>
      <c r="J1366" t="s">
        <v>379</v>
      </c>
      <c r="K1366" t="s">
        <v>748</v>
      </c>
      <c r="L1366" s="784">
        <v>459999</v>
      </c>
      <c r="M1366" t="s">
        <v>745</v>
      </c>
      <c r="P1366" t="s">
        <v>1887</v>
      </c>
      <c r="R1366" t="s">
        <v>150</v>
      </c>
      <c r="S1366" t="s">
        <v>145</v>
      </c>
      <c r="U1366">
        <v>0</v>
      </c>
      <c r="V1366" t="s">
        <v>544</v>
      </c>
      <c r="W1366" t="s">
        <v>558</v>
      </c>
      <c r="X1366" s="784">
        <v>313039649.45369786</v>
      </c>
    </row>
    <row r="1367" spans="1:24">
      <c r="A1367" t="s">
        <v>358</v>
      </c>
      <c r="B1367" t="s">
        <v>573</v>
      </c>
      <c r="C1367" t="s">
        <v>181</v>
      </c>
      <c r="D1367" t="s">
        <v>129</v>
      </c>
      <c r="E1367" t="s">
        <v>377</v>
      </c>
      <c r="F1367" t="s">
        <v>310</v>
      </c>
      <c r="G1367" t="s">
        <v>339</v>
      </c>
      <c r="H1367" t="s">
        <v>310</v>
      </c>
      <c r="I1367">
        <v>2021</v>
      </c>
      <c r="J1367" t="s">
        <v>379</v>
      </c>
      <c r="K1367" t="s">
        <v>748</v>
      </c>
      <c r="L1367" s="784">
        <v>690768</v>
      </c>
      <c r="M1367" t="s">
        <v>745</v>
      </c>
      <c r="P1367" t="s">
        <v>1887</v>
      </c>
      <c r="R1367" t="s">
        <v>150</v>
      </c>
      <c r="S1367" t="s">
        <v>145</v>
      </c>
      <c r="U1367">
        <v>2</v>
      </c>
      <c r="V1367" t="s">
        <v>544</v>
      </c>
      <c r="W1367" t="s">
        <v>542</v>
      </c>
      <c r="X1367" s="784">
        <v>81361801.477472037</v>
      </c>
    </row>
    <row r="1368" spans="1:24">
      <c r="A1368" t="s">
        <v>358</v>
      </c>
      <c r="B1368" t="s">
        <v>574</v>
      </c>
      <c r="C1368" t="s">
        <v>182</v>
      </c>
      <c r="D1368" t="s">
        <v>129</v>
      </c>
      <c r="E1368" t="s">
        <v>377</v>
      </c>
      <c r="F1368" t="s">
        <v>310</v>
      </c>
      <c r="G1368" t="s">
        <v>339</v>
      </c>
      <c r="H1368" t="s">
        <v>310</v>
      </c>
      <c r="I1368">
        <v>2021</v>
      </c>
      <c r="J1368" t="s">
        <v>379</v>
      </c>
      <c r="K1368" t="s">
        <v>748</v>
      </c>
      <c r="L1368" s="784">
        <v>201700</v>
      </c>
      <c r="M1368" t="s">
        <v>745</v>
      </c>
      <c r="P1368" t="s">
        <v>1887</v>
      </c>
      <c r="R1368" t="s">
        <v>148</v>
      </c>
      <c r="S1368" t="s">
        <v>145</v>
      </c>
      <c r="U1368">
        <v>1</v>
      </c>
      <c r="V1368" t="s">
        <v>544</v>
      </c>
      <c r="W1368" t="s">
        <v>542</v>
      </c>
      <c r="X1368" s="784" t="s">
        <v>575</v>
      </c>
    </row>
    <row r="1369" spans="1:24">
      <c r="A1369" t="s">
        <v>358</v>
      </c>
      <c r="B1369" t="s">
        <v>576</v>
      </c>
      <c r="C1369" t="s">
        <v>183</v>
      </c>
      <c r="D1369" t="s">
        <v>129</v>
      </c>
      <c r="E1369" t="s">
        <v>377</v>
      </c>
      <c r="F1369" t="s">
        <v>310</v>
      </c>
      <c r="G1369" t="s">
        <v>339</v>
      </c>
      <c r="H1369" t="s">
        <v>310</v>
      </c>
      <c r="I1369">
        <v>2021</v>
      </c>
      <c r="J1369" t="s">
        <v>379</v>
      </c>
      <c r="K1369" t="s">
        <v>748</v>
      </c>
      <c r="L1369" s="784" t="s">
        <v>1437</v>
      </c>
      <c r="M1369" t="s">
        <v>745</v>
      </c>
      <c r="P1369" t="s">
        <v>1887</v>
      </c>
      <c r="R1369" t="s">
        <v>148</v>
      </c>
      <c r="S1369" t="s">
        <v>145</v>
      </c>
      <c r="U1369">
        <v>1</v>
      </c>
      <c r="V1369" t="s">
        <v>544</v>
      </c>
      <c r="W1369" t="s">
        <v>542</v>
      </c>
      <c r="X1369" s="784">
        <v>76939306.715636879</v>
      </c>
    </row>
    <row r="1370" spans="1:24">
      <c r="A1370" t="s">
        <v>358</v>
      </c>
      <c r="B1370" t="s">
        <v>577</v>
      </c>
      <c r="C1370" t="s">
        <v>184</v>
      </c>
      <c r="D1370" t="s">
        <v>130</v>
      </c>
      <c r="E1370" t="s">
        <v>377</v>
      </c>
      <c r="F1370" t="s">
        <v>310</v>
      </c>
      <c r="G1370" t="s">
        <v>339</v>
      </c>
      <c r="H1370" t="s">
        <v>310</v>
      </c>
      <c r="I1370">
        <v>2021</v>
      </c>
      <c r="J1370" t="s">
        <v>379</v>
      </c>
      <c r="K1370" t="s">
        <v>748</v>
      </c>
      <c r="L1370" s="784" t="s">
        <v>575</v>
      </c>
      <c r="M1370" t="s">
        <v>745</v>
      </c>
      <c r="P1370" t="s">
        <v>1887</v>
      </c>
      <c r="R1370" t="s">
        <v>550</v>
      </c>
      <c r="S1370" t="s">
        <v>146</v>
      </c>
      <c r="U1370">
        <v>0</v>
      </c>
      <c r="V1370" t="s">
        <v>544</v>
      </c>
      <c r="W1370" t="s">
        <v>575</v>
      </c>
      <c r="X1370" s="784">
        <v>13859708717.682571</v>
      </c>
    </row>
    <row r="1371" spans="1:24">
      <c r="A1371" t="s">
        <v>358</v>
      </c>
      <c r="B1371" t="s">
        <v>578</v>
      </c>
      <c r="C1371" t="s">
        <v>185</v>
      </c>
      <c r="D1371" t="s">
        <v>126</v>
      </c>
      <c r="E1371" t="s">
        <v>377</v>
      </c>
      <c r="F1371" t="s">
        <v>310</v>
      </c>
      <c r="G1371" t="s">
        <v>339</v>
      </c>
      <c r="H1371" t="s">
        <v>310</v>
      </c>
      <c r="I1371">
        <v>2021</v>
      </c>
      <c r="J1371" t="s">
        <v>379</v>
      </c>
      <c r="K1371" t="s">
        <v>748</v>
      </c>
      <c r="L1371" s="784" t="s">
        <v>575</v>
      </c>
      <c r="M1371" t="s">
        <v>745</v>
      </c>
      <c r="P1371" t="s">
        <v>1887</v>
      </c>
      <c r="R1371" t="s">
        <v>152</v>
      </c>
      <c r="S1371" t="s">
        <v>146</v>
      </c>
      <c r="U1371">
        <v>0</v>
      </c>
      <c r="V1371" t="s">
        <v>544</v>
      </c>
      <c r="W1371" t="s">
        <v>575</v>
      </c>
      <c r="X1371" s="784">
        <v>403567160707.7016</v>
      </c>
    </row>
    <row r="1372" spans="1:24">
      <c r="A1372" t="s">
        <v>358</v>
      </c>
      <c r="B1372" t="s">
        <v>579</v>
      </c>
      <c r="C1372" t="s">
        <v>186</v>
      </c>
      <c r="D1372" t="s">
        <v>130</v>
      </c>
      <c r="E1372" t="s">
        <v>377</v>
      </c>
      <c r="F1372" t="s">
        <v>310</v>
      </c>
      <c r="G1372" t="s">
        <v>339</v>
      </c>
      <c r="H1372" t="s">
        <v>310</v>
      </c>
      <c r="I1372">
        <v>2021</v>
      </c>
      <c r="J1372" t="s">
        <v>379</v>
      </c>
      <c r="K1372" t="s">
        <v>748</v>
      </c>
      <c r="L1372" s="784" t="s">
        <v>575</v>
      </c>
      <c r="M1372" t="s">
        <v>745</v>
      </c>
      <c r="P1372" t="s">
        <v>1887</v>
      </c>
      <c r="R1372" t="s">
        <v>152</v>
      </c>
      <c r="S1372" t="s">
        <v>146</v>
      </c>
      <c r="U1372">
        <v>0</v>
      </c>
      <c r="V1372" t="s">
        <v>544</v>
      </c>
      <c r="W1372" t="s">
        <v>575</v>
      </c>
      <c r="X1372" s="784">
        <v>18250225995.972618</v>
      </c>
    </row>
    <row r="1373" spans="1:24">
      <c r="A1373" t="s">
        <v>358</v>
      </c>
      <c r="B1373" t="s">
        <v>580</v>
      </c>
      <c r="C1373" t="s">
        <v>187</v>
      </c>
      <c r="D1373" t="s">
        <v>128</v>
      </c>
      <c r="E1373" t="s">
        <v>377</v>
      </c>
      <c r="F1373" t="s">
        <v>310</v>
      </c>
      <c r="G1373" t="s">
        <v>339</v>
      </c>
      <c r="H1373" t="s">
        <v>310</v>
      </c>
      <c r="I1373">
        <v>2021</v>
      </c>
      <c r="J1373" t="s">
        <v>379</v>
      </c>
      <c r="K1373" t="s">
        <v>748</v>
      </c>
      <c r="L1373" s="784">
        <v>80000</v>
      </c>
      <c r="M1373" t="s">
        <v>745</v>
      </c>
      <c r="P1373" t="s">
        <v>1887</v>
      </c>
      <c r="R1373" t="s">
        <v>150</v>
      </c>
      <c r="S1373" t="s">
        <v>145</v>
      </c>
      <c r="U1373">
        <v>0</v>
      </c>
      <c r="V1373" t="s">
        <v>541</v>
      </c>
      <c r="W1373" t="s">
        <v>562</v>
      </c>
      <c r="X1373" s="784">
        <v>5027591.1682657599</v>
      </c>
    </row>
    <row r="1374" spans="1:24">
      <c r="A1374" t="s">
        <v>358</v>
      </c>
      <c r="B1374" t="s">
        <v>581</v>
      </c>
      <c r="C1374" t="s">
        <v>188</v>
      </c>
      <c r="D1374" t="s">
        <v>129</v>
      </c>
      <c r="E1374" t="s">
        <v>377</v>
      </c>
      <c r="F1374" t="s">
        <v>310</v>
      </c>
      <c r="G1374" t="s">
        <v>339</v>
      </c>
      <c r="H1374" t="s">
        <v>310</v>
      </c>
      <c r="I1374">
        <v>2021</v>
      </c>
      <c r="J1374" t="s">
        <v>379</v>
      </c>
      <c r="K1374" t="s">
        <v>748</v>
      </c>
      <c r="L1374" s="784">
        <v>1737208</v>
      </c>
      <c r="M1374" t="s">
        <v>745</v>
      </c>
      <c r="P1374" t="s">
        <v>1887</v>
      </c>
      <c r="R1374" t="s">
        <v>148</v>
      </c>
      <c r="S1374" t="s">
        <v>145</v>
      </c>
      <c r="U1374">
        <v>3</v>
      </c>
      <c r="V1374" t="s">
        <v>544</v>
      </c>
      <c r="W1374" t="s">
        <v>562</v>
      </c>
      <c r="X1374" s="784">
        <v>234645958.63289919</v>
      </c>
    </row>
    <row r="1375" spans="1:24">
      <c r="A1375" t="s">
        <v>358</v>
      </c>
      <c r="B1375" t="s">
        <v>582</v>
      </c>
      <c r="C1375" t="s">
        <v>189</v>
      </c>
      <c r="D1375" t="s">
        <v>129</v>
      </c>
      <c r="E1375" t="s">
        <v>377</v>
      </c>
      <c r="F1375" t="s">
        <v>310</v>
      </c>
      <c r="G1375" t="s">
        <v>339</v>
      </c>
      <c r="H1375" t="s">
        <v>310</v>
      </c>
      <c r="I1375">
        <v>2021</v>
      </c>
      <c r="J1375" t="s">
        <v>379</v>
      </c>
      <c r="K1375" t="s">
        <v>748</v>
      </c>
      <c r="L1375" s="784">
        <v>180490</v>
      </c>
      <c r="M1375" t="s">
        <v>745</v>
      </c>
      <c r="P1375" t="s">
        <v>1887</v>
      </c>
      <c r="R1375" t="s">
        <v>150</v>
      </c>
      <c r="S1375" t="s">
        <v>145</v>
      </c>
      <c r="U1375">
        <v>2</v>
      </c>
      <c r="V1375" t="s">
        <v>544</v>
      </c>
      <c r="W1375" t="s">
        <v>583</v>
      </c>
      <c r="X1375" s="784">
        <v>91590910.247314155</v>
      </c>
    </row>
    <row r="1376" spans="1:24">
      <c r="A1376" t="s">
        <v>358</v>
      </c>
      <c r="B1376" t="s">
        <v>584</v>
      </c>
      <c r="C1376" t="s">
        <v>190</v>
      </c>
      <c r="D1376" t="s">
        <v>126</v>
      </c>
      <c r="E1376" t="s">
        <v>377</v>
      </c>
      <c r="F1376" t="s">
        <v>310</v>
      </c>
      <c r="G1376" t="s">
        <v>339</v>
      </c>
      <c r="H1376" t="s">
        <v>310</v>
      </c>
      <c r="I1376">
        <v>2021</v>
      </c>
      <c r="J1376" t="s">
        <v>379</v>
      </c>
      <c r="K1376" t="s">
        <v>748</v>
      </c>
      <c r="L1376" s="784" t="s">
        <v>575</v>
      </c>
      <c r="M1376" t="s">
        <v>745</v>
      </c>
      <c r="P1376" t="s">
        <v>1887</v>
      </c>
      <c r="R1376" t="s">
        <v>322</v>
      </c>
      <c r="S1376" t="s">
        <v>146</v>
      </c>
      <c r="U1376">
        <v>0</v>
      </c>
      <c r="V1376" t="s">
        <v>541</v>
      </c>
      <c r="W1376" t="s">
        <v>546</v>
      </c>
      <c r="X1376" s="784">
        <v>8560012.8840167802</v>
      </c>
    </row>
    <row r="1377" spans="1:24">
      <c r="A1377" t="s">
        <v>358</v>
      </c>
      <c r="B1377" t="s">
        <v>585</v>
      </c>
      <c r="C1377" t="s">
        <v>191</v>
      </c>
      <c r="D1377" t="s">
        <v>130</v>
      </c>
      <c r="E1377" t="s">
        <v>377</v>
      </c>
      <c r="F1377" t="s">
        <v>310</v>
      </c>
      <c r="G1377" t="s">
        <v>339</v>
      </c>
      <c r="H1377" t="s">
        <v>310</v>
      </c>
      <c r="I1377">
        <v>2021</v>
      </c>
      <c r="J1377" t="s">
        <v>379</v>
      </c>
      <c r="K1377" t="s">
        <v>748</v>
      </c>
      <c r="L1377" s="784" t="s">
        <v>575</v>
      </c>
      <c r="M1377" t="s">
        <v>745</v>
      </c>
      <c r="P1377" t="s">
        <v>1887</v>
      </c>
      <c r="R1377" t="s">
        <v>152</v>
      </c>
      <c r="S1377" t="s">
        <v>146</v>
      </c>
      <c r="U1377">
        <v>0</v>
      </c>
      <c r="V1377" t="s">
        <v>544</v>
      </c>
      <c r="W1377" t="s">
        <v>546</v>
      </c>
      <c r="X1377" s="784">
        <v>3292372960.3962669</v>
      </c>
    </row>
    <row r="1378" spans="1:24">
      <c r="A1378" t="s">
        <v>358</v>
      </c>
      <c r="B1378" t="s">
        <v>586</v>
      </c>
      <c r="C1378" t="s">
        <v>192</v>
      </c>
      <c r="D1378" t="s">
        <v>129</v>
      </c>
      <c r="E1378" t="s">
        <v>377</v>
      </c>
      <c r="F1378" t="s">
        <v>310</v>
      </c>
      <c r="G1378" t="s">
        <v>339</v>
      </c>
      <c r="H1378" t="s">
        <v>310</v>
      </c>
      <c r="I1378">
        <v>2021</v>
      </c>
      <c r="J1378" t="s">
        <v>379</v>
      </c>
      <c r="K1378" t="s">
        <v>748</v>
      </c>
      <c r="L1378" s="784">
        <v>664320</v>
      </c>
      <c r="M1378" t="s">
        <v>745</v>
      </c>
      <c r="P1378" t="s">
        <v>1887</v>
      </c>
      <c r="R1378" t="s">
        <v>150</v>
      </c>
      <c r="S1378" t="s">
        <v>145</v>
      </c>
      <c r="U1378">
        <v>0</v>
      </c>
      <c r="V1378" t="s">
        <v>544</v>
      </c>
      <c r="W1378" t="s">
        <v>562</v>
      </c>
      <c r="X1378" s="784">
        <v>519209981.22981054</v>
      </c>
    </row>
    <row r="1379" spans="1:24">
      <c r="A1379" t="s">
        <v>358</v>
      </c>
      <c r="B1379" t="s">
        <v>587</v>
      </c>
      <c r="C1379" t="s">
        <v>193</v>
      </c>
      <c r="D1379" t="s">
        <v>127</v>
      </c>
      <c r="E1379" t="s">
        <v>377</v>
      </c>
      <c r="F1379" t="s">
        <v>310</v>
      </c>
      <c r="G1379" t="s">
        <v>339</v>
      </c>
      <c r="H1379" t="s">
        <v>310</v>
      </c>
      <c r="I1379">
        <v>2021</v>
      </c>
      <c r="J1379" t="s">
        <v>379</v>
      </c>
      <c r="K1379" t="s">
        <v>748</v>
      </c>
      <c r="L1379" s="784" t="s">
        <v>575</v>
      </c>
      <c r="M1379" t="s">
        <v>745</v>
      </c>
      <c r="P1379" t="s">
        <v>1887</v>
      </c>
      <c r="R1379" t="s">
        <v>550</v>
      </c>
      <c r="S1379" t="s">
        <v>146</v>
      </c>
      <c r="U1379">
        <v>0</v>
      </c>
      <c r="V1379" t="s">
        <v>544</v>
      </c>
      <c r="W1379" t="s">
        <v>575</v>
      </c>
      <c r="X1379" s="784">
        <v>3464739907.1604805</v>
      </c>
    </row>
    <row r="1380" spans="1:24">
      <c r="A1380" t="s">
        <v>358</v>
      </c>
      <c r="B1380" t="s">
        <v>588</v>
      </c>
      <c r="C1380" t="s">
        <v>147</v>
      </c>
      <c r="D1380" t="s">
        <v>130</v>
      </c>
      <c r="E1380" t="s">
        <v>377</v>
      </c>
      <c r="F1380" t="s">
        <v>310</v>
      </c>
      <c r="G1380" t="s">
        <v>339</v>
      </c>
      <c r="H1380" t="s">
        <v>310</v>
      </c>
      <c r="I1380">
        <v>2021</v>
      </c>
      <c r="J1380" t="s">
        <v>379</v>
      </c>
      <c r="K1380" t="s">
        <v>748</v>
      </c>
      <c r="L1380" s="784" t="s">
        <v>575</v>
      </c>
      <c r="M1380" t="s">
        <v>745</v>
      </c>
      <c r="P1380" t="s">
        <v>1887</v>
      </c>
      <c r="R1380" t="s">
        <v>152</v>
      </c>
      <c r="S1380" t="s">
        <v>146</v>
      </c>
      <c r="U1380">
        <v>0</v>
      </c>
      <c r="V1380" t="s">
        <v>541</v>
      </c>
      <c r="W1380" t="s">
        <v>575</v>
      </c>
      <c r="X1380" s="784">
        <v>9948521252.2569065</v>
      </c>
    </row>
    <row r="1381" spans="1:24">
      <c r="A1381" t="s">
        <v>358</v>
      </c>
      <c r="B1381" t="s">
        <v>589</v>
      </c>
      <c r="C1381" t="s">
        <v>194</v>
      </c>
      <c r="D1381" t="s">
        <v>131</v>
      </c>
      <c r="E1381" t="s">
        <v>377</v>
      </c>
      <c r="F1381" t="s">
        <v>310</v>
      </c>
      <c r="G1381" t="s">
        <v>339</v>
      </c>
      <c r="H1381" t="s">
        <v>310</v>
      </c>
      <c r="I1381">
        <v>2021</v>
      </c>
      <c r="J1381" t="s">
        <v>379</v>
      </c>
      <c r="K1381" t="s">
        <v>748</v>
      </c>
      <c r="L1381" s="784" t="s">
        <v>1437</v>
      </c>
      <c r="M1381" t="s">
        <v>745</v>
      </c>
      <c r="P1381" t="s">
        <v>1887</v>
      </c>
      <c r="R1381" t="s">
        <v>150</v>
      </c>
      <c r="S1381" t="s">
        <v>145</v>
      </c>
      <c r="U1381">
        <v>1</v>
      </c>
      <c r="V1381" t="s">
        <v>544</v>
      </c>
      <c r="W1381" t="s">
        <v>542</v>
      </c>
      <c r="X1381" s="784">
        <v>33679192.765657313</v>
      </c>
    </row>
    <row r="1382" spans="1:24">
      <c r="A1382" t="s">
        <v>358</v>
      </c>
      <c r="B1382" t="s">
        <v>590</v>
      </c>
      <c r="C1382" t="s">
        <v>195</v>
      </c>
      <c r="D1382" t="s">
        <v>130</v>
      </c>
      <c r="E1382" t="s">
        <v>377</v>
      </c>
      <c r="F1382" t="s">
        <v>310</v>
      </c>
      <c r="G1382" t="s">
        <v>339</v>
      </c>
      <c r="H1382" t="s">
        <v>310</v>
      </c>
      <c r="I1382">
        <v>2021</v>
      </c>
      <c r="J1382" t="s">
        <v>379</v>
      </c>
      <c r="K1382" t="s">
        <v>748</v>
      </c>
      <c r="L1382" s="784" t="s">
        <v>1437</v>
      </c>
      <c r="M1382" t="s">
        <v>745</v>
      </c>
      <c r="P1382" t="s">
        <v>1887</v>
      </c>
      <c r="R1382" t="s">
        <v>152</v>
      </c>
      <c r="S1382" t="s">
        <v>145</v>
      </c>
      <c r="U1382">
        <v>0</v>
      </c>
      <c r="V1382" t="s">
        <v>541</v>
      </c>
      <c r="W1382" t="s">
        <v>548</v>
      </c>
      <c r="X1382" s="784">
        <v>22784494.365742501</v>
      </c>
    </row>
    <row r="1383" spans="1:24">
      <c r="A1383" t="s">
        <v>358</v>
      </c>
      <c r="B1383" t="s">
        <v>591</v>
      </c>
      <c r="C1383" t="s">
        <v>196</v>
      </c>
      <c r="D1383" t="s">
        <v>130</v>
      </c>
      <c r="E1383" t="s">
        <v>377</v>
      </c>
      <c r="F1383" t="s">
        <v>310</v>
      </c>
      <c r="G1383" t="s">
        <v>339</v>
      </c>
      <c r="H1383" t="s">
        <v>310</v>
      </c>
      <c r="I1383">
        <v>2021</v>
      </c>
      <c r="J1383" t="s">
        <v>379</v>
      </c>
      <c r="K1383" t="s">
        <v>748</v>
      </c>
      <c r="L1383" s="784" t="s">
        <v>575</v>
      </c>
      <c r="M1383" t="s">
        <v>745</v>
      </c>
      <c r="P1383" t="s">
        <v>1887</v>
      </c>
      <c r="R1383" t="s">
        <v>152</v>
      </c>
      <c r="S1383" t="s">
        <v>146</v>
      </c>
      <c r="U1383">
        <v>0</v>
      </c>
      <c r="V1383" t="s">
        <v>541</v>
      </c>
      <c r="W1383" t="s">
        <v>575</v>
      </c>
      <c r="X1383" s="784">
        <v>2173208011.4858823</v>
      </c>
    </row>
    <row r="1384" spans="1:24">
      <c r="A1384" t="s">
        <v>358</v>
      </c>
      <c r="B1384" t="s">
        <v>592</v>
      </c>
      <c r="C1384" t="s">
        <v>197</v>
      </c>
      <c r="D1384" t="s">
        <v>130</v>
      </c>
      <c r="E1384" t="s">
        <v>377</v>
      </c>
      <c r="F1384" t="s">
        <v>310</v>
      </c>
      <c r="G1384" t="s">
        <v>339</v>
      </c>
      <c r="H1384" t="s">
        <v>310</v>
      </c>
      <c r="I1384">
        <v>2021</v>
      </c>
      <c r="J1384" t="s">
        <v>379</v>
      </c>
      <c r="K1384" t="s">
        <v>748</v>
      </c>
      <c r="L1384" s="784" t="s">
        <v>575</v>
      </c>
      <c r="M1384" t="s">
        <v>745</v>
      </c>
      <c r="P1384" t="s">
        <v>1887</v>
      </c>
      <c r="R1384" t="s">
        <v>152</v>
      </c>
      <c r="S1384" t="s">
        <v>146</v>
      </c>
      <c r="U1384">
        <v>0</v>
      </c>
      <c r="V1384" t="s">
        <v>544</v>
      </c>
      <c r="W1384" t="s">
        <v>546</v>
      </c>
      <c r="X1384" s="784">
        <v>4585736158.8323269</v>
      </c>
    </row>
    <row r="1385" spans="1:24">
      <c r="A1385" t="s">
        <v>358</v>
      </c>
      <c r="B1385" t="s">
        <v>593</v>
      </c>
      <c r="C1385" t="s">
        <v>198</v>
      </c>
      <c r="D1385" t="s">
        <v>131</v>
      </c>
      <c r="E1385" t="s">
        <v>377</v>
      </c>
      <c r="F1385" t="s">
        <v>310</v>
      </c>
      <c r="G1385" t="s">
        <v>339</v>
      </c>
      <c r="H1385" t="s">
        <v>310</v>
      </c>
      <c r="I1385">
        <v>2021</v>
      </c>
      <c r="J1385" t="s">
        <v>379</v>
      </c>
      <c r="K1385" t="s">
        <v>748</v>
      </c>
      <c r="L1385" s="784">
        <v>1466837</v>
      </c>
      <c r="M1385" t="s">
        <v>745</v>
      </c>
      <c r="P1385" t="s">
        <v>1887</v>
      </c>
      <c r="R1385" t="s">
        <v>150</v>
      </c>
      <c r="S1385" t="s">
        <v>145</v>
      </c>
      <c r="U1385">
        <v>0</v>
      </c>
      <c r="V1385" t="s">
        <v>544</v>
      </c>
      <c r="W1385" t="s">
        <v>546</v>
      </c>
      <c r="X1385" s="784">
        <v>3550291584.8645592</v>
      </c>
    </row>
    <row r="1386" spans="1:24">
      <c r="A1386" t="s">
        <v>358</v>
      </c>
      <c r="B1386" t="s">
        <v>594</v>
      </c>
      <c r="C1386" t="s">
        <v>199</v>
      </c>
      <c r="D1386" t="s">
        <v>130</v>
      </c>
      <c r="E1386" t="s">
        <v>377</v>
      </c>
      <c r="F1386" t="s">
        <v>310</v>
      </c>
      <c r="G1386" t="s">
        <v>339</v>
      </c>
      <c r="H1386" t="s">
        <v>310</v>
      </c>
      <c r="I1386">
        <v>2021</v>
      </c>
      <c r="J1386" t="s">
        <v>379</v>
      </c>
      <c r="K1386" t="s">
        <v>748</v>
      </c>
      <c r="L1386" s="784">
        <v>158796</v>
      </c>
      <c r="M1386" t="s">
        <v>745</v>
      </c>
      <c r="P1386" t="s">
        <v>1887</v>
      </c>
      <c r="R1386" t="s">
        <v>150</v>
      </c>
      <c r="S1386" t="s">
        <v>145</v>
      </c>
      <c r="U1386">
        <v>0</v>
      </c>
      <c r="V1386" t="s">
        <v>544</v>
      </c>
      <c r="W1386" t="s">
        <v>546</v>
      </c>
      <c r="X1386" s="784">
        <v>1182840319.0410969</v>
      </c>
    </row>
    <row r="1387" spans="1:24">
      <c r="A1387" t="s">
        <v>358</v>
      </c>
      <c r="B1387" t="s">
        <v>595</v>
      </c>
      <c r="C1387" t="s">
        <v>200</v>
      </c>
      <c r="D1387" t="s">
        <v>130</v>
      </c>
      <c r="E1387" t="s">
        <v>377</v>
      </c>
      <c r="F1387" t="s">
        <v>310</v>
      </c>
      <c r="G1387" t="s">
        <v>339</v>
      </c>
      <c r="H1387" t="s">
        <v>310</v>
      </c>
      <c r="I1387">
        <v>2021</v>
      </c>
      <c r="J1387" t="s">
        <v>379</v>
      </c>
      <c r="K1387" t="s">
        <v>748</v>
      </c>
      <c r="L1387" s="784" t="s">
        <v>575</v>
      </c>
      <c r="M1387" t="s">
        <v>745</v>
      </c>
      <c r="P1387" t="s">
        <v>1887</v>
      </c>
      <c r="R1387" t="s">
        <v>152</v>
      </c>
      <c r="S1387" t="s">
        <v>146</v>
      </c>
      <c r="U1387">
        <v>0</v>
      </c>
      <c r="V1387" t="s">
        <v>544</v>
      </c>
      <c r="W1387" t="s">
        <v>575</v>
      </c>
      <c r="X1387" s="784">
        <v>81728347.604567245</v>
      </c>
    </row>
    <row r="1388" spans="1:24">
      <c r="A1388" t="s">
        <v>358</v>
      </c>
      <c r="B1388" t="s">
        <v>596</v>
      </c>
      <c r="C1388" t="s">
        <v>201</v>
      </c>
      <c r="D1388" t="s">
        <v>128</v>
      </c>
      <c r="E1388" t="s">
        <v>377</v>
      </c>
      <c r="F1388" t="s">
        <v>310</v>
      </c>
      <c r="G1388" t="s">
        <v>339</v>
      </c>
      <c r="H1388" t="s">
        <v>310</v>
      </c>
      <c r="I1388">
        <v>2021</v>
      </c>
      <c r="J1388" t="s">
        <v>379</v>
      </c>
      <c r="K1388" t="s">
        <v>748</v>
      </c>
      <c r="L1388" s="784" t="s">
        <v>1437</v>
      </c>
      <c r="M1388" t="s">
        <v>745</v>
      </c>
      <c r="P1388" t="s">
        <v>1887</v>
      </c>
      <c r="R1388" t="s">
        <v>148</v>
      </c>
      <c r="S1388" t="s">
        <v>145</v>
      </c>
      <c r="U1388">
        <v>2</v>
      </c>
      <c r="V1388" t="s">
        <v>544</v>
      </c>
      <c r="W1388" t="s">
        <v>546</v>
      </c>
      <c r="X1388" s="784">
        <v>12787914.977715338</v>
      </c>
    </row>
    <row r="1389" spans="1:24">
      <c r="A1389" t="s">
        <v>358</v>
      </c>
      <c r="B1389" t="s">
        <v>597</v>
      </c>
      <c r="C1389" t="s">
        <v>202</v>
      </c>
      <c r="D1389" t="s">
        <v>128</v>
      </c>
      <c r="E1389" t="s">
        <v>377</v>
      </c>
      <c r="F1389" t="s">
        <v>310</v>
      </c>
      <c r="G1389" t="s">
        <v>339</v>
      </c>
      <c r="H1389" t="s">
        <v>310</v>
      </c>
      <c r="I1389">
        <v>2021</v>
      </c>
      <c r="J1389" t="s">
        <v>379</v>
      </c>
      <c r="K1389" t="s">
        <v>748</v>
      </c>
      <c r="L1389" s="784">
        <v>50213</v>
      </c>
      <c r="M1389" t="s">
        <v>745</v>
      </c>
      <c r="P1389" t="s">
        <v>1887</v>
      </c>
      <c r="R1389" t="s">
        <v>150</v>
      </c>
      <c r="S1389" t="s">
        <v>145</v>
      </c>
      <c r="U1389">
        <v>2</v>
      </c>
      <c r="V1389" t="s">
        <v>544</v>
      </c>
      <c r="W1389" t="s">
        <v>546</v>
      </c>
      <c r="X1389" s="784">
        <v>101271737.65410839</v>
      </c>
    </row>
    <row r="1390" spans="1:24">
      <c r="A1390" t="s">
        <v>358</v>
      </c>
      <c r="B1390" t="s">
        <v>598</v>
      </c>
      <c r="C1390" t="s">
        <v>203</v>
      </c>
      <c r="D1390" t="s">
        <v>128</v>
      </c>
      <c r="E1390" t="s">
        <v>377</v>
      </c>
      <c r="F1390" t="s">
        <v>310</v>
      </c>
      <c r="G1390" t="s">
        <v>339</v>
      </c>
      <c r="H1390" t="s">
        <v>310</v>
      </c>
      <c r="I1390">
        <v>2021</v>
      </c>
      <c r="J1390" t="s">
        <v>379</v>
      </c>
      <c r="K1390" t="s">
        <v>748</v>
      </c>
      <c r="L1390" s="784">
        <v>2119570</v>
      </c>
      <c r="M1390" t="s">
        <v>745</v>
      </c>
      <c r="P1390" t="s">
        <v>1887</v>
      </c>
      <c r="R1390" t="s">
        <v>148</v>
      </c>
      <c r="S1390" t="s">
        <v>145</v>
      </c>
      <c r="U1390">
        <v>3</v>
      </c>
      <c r="V1390" t="s">
        <v>544</v>
      </c>
      <c r="W1390" t="s">
        <v>542</v>
      </c>
      <c r="X1390" s="784">
        <v>618344226.71759331</v>
      </c>
    </row>
    <row r="1391" spans="1:24">
      <c r="A1391" t="s">
        <v>358</v>
      </c>
      <c r="B1391" t="s">
        <v>599</v>
      </c>
      <c r="C1391" t="s">
        <v>204</v>
      </c>
      <c r="D1391" t="s">
        <v>126</v>
      </c>
      <c r="E1391" t="s">
        <v>377</v>
      </c>
      <c r="F1391" t="s">
        <v>310</v>
      </c>
      <c r="G1391" t="s">
        <v>339</v>
      </c>
      <c r="H1391" t="s">
        <v>310</v>
      </c>
      <c r="I1391">
        <v>2021</v>
      </c>
      <c r="J1391" t="s">
        <v>379</v>
      </c>
      <c r="K1391" t="s">
        <v>748</v>
      </c>
      <c r="L1391" s="784" t="s">
        <v>1437</v>
      </c>
      <c r="M1391" t="s">
        <v>745</v>
      </c>
      <c r="P1391" t="s">
        <v>1887</v>
      </c>
      <c r="R1391" t="s">
        <v>152</v>
      </c>
      <c r="S1391" t="s">
        <v>145</v>
      </c>
      <c r="U1391">
        <v>0</v>
      </c>
      <c r="V1391" t="s">
        <v>541</v>
      </c>
      <c r="W1391" t="s">
        <v>548</v>
      </c>
      <c r="X1391" s="784">
        <v>129483872.95906857</v>
      </c>
    </row>
    <row r="1392" spans="1:24">
      <c r="A1392" t="s">
        <v>358</v>
      </c>
      <c r="B1392" t="s">
        <v>600</v>
      </c>
      <c r="C1392" t="s">
        <v>205</v>
      </c>
      <c r="D1392" t="s">
        <v>129</v>
      </c>
      <c r="E1392" t="s">
        <v>377</v>
      </c>
      <c r="F1392" t="s">
        <v>310</v>
      </c>
      <c r="G1392" t="s">
        <v>339</v>
      </c>
      <c r="H1392" t="s">
        <v>310</v>
      </c>
      <c r="I1392">
        <v>2021</v>
      </c>
      <c r="J1392" t="s">
        <v>379</v>
      </c>
      <c r="K1392" t="s">
        <v>748</v>
      </c>
      <c r="L1392" s="784" t="s">
        <v>575</v>
      </c>
      <c r="M1392" t="s">
        <v>745</v>
      </c>
      <c r="P1392" t="s">
        <v>1887</v>
      </c>
      <c r="R1392" t="s">
        <v>152</v>
      </c>
      <c r="S1392" t="s">
        <v>146</v>
      </c>
      <c r="U1392">
        <v>0</v>
      </c>
      <c r="V1392" t="s">
        <v>544</v>
      </c>
      <c r="W1392" t="s">
        <v>546</v>
      </c>
      <c r="X1392" s="784">
        <v>271184658.35014349</v>
      </c>
    </row>
    <row r="1393" spans="1:24">
      <c r="A1393" t="s">
        <v>358</v>
      </c>
      <c r="B1393" t="s">
        <v>601</v>
      </c>
      <c r="C1393" t="s">
        <v>206</v>
      </c>
      <c r="D1393" t="s">
        <v>129</v>
      </c>
      <c r="E1393" t="s">
        <v>377</v>
      </c>
      <c r="F1393" t="s">
        <v>310</v>
      </c>
      <c r="G1393" t="s">
        <v>339</v>
      </c>
      <c r="H1393" t="s">
        <v>310</v>
      </c>
      <c r="I1393">
        <v>2021</v>
      </c>
      <c r="J1393" t="s">
        <v>379</v>
      </c>
      <c r="K1393" t="s">
        <v>748</v>
      </c>
      <c r="L1393" s="784">
        <v>98207</v>
      </c>
      <c r="M1393" t="s">
        <v>745</v>
      </c>
      <c r="P1393" t="s">
        <v>1887</v>
      </c>
      <c r="R1393" t="s">
        <v>148</v>
      </c>
      <c r="S1393" t="s">
        <v>145</v>
      </c>
      <c r="U1393">
        <v>0</v>
      </c>
      <c r="V1393" t="s">
        <v>544</v>
      </c>
      <c r="W1393" t="s">
        <v>542</v>
      </c>
      <c r="X1393" s="784">
        <v>15455265.086884515</v>
      </c>
    </row>
    <row r="1394" spans="1:24">
      <c r="A1394" t="s">
        <v>358</v>
      </c>
      <c r="B1394" t="s">
        <v>602</v>
      </c>
      <c r="C1394" t="s">
        <v>207</v>
      </c>
      <c r="D1394" t="s">
        <v>127</v>
      </c>
      <c r="E1394" t="s">
        <v>377</v>
      </c>
      <c r="F1394" t="s">
        <v>310</v>
      </c>
      <c r="G1394" t="s">
        <v>339</v>
      </c>
      <c r="H1394" t="s">
        <v>310</v>
      </c>
      <c r="I1394">
        <v>2021</v>
      </c>
      <c r="J1394" t="s">
        <v>379</v>
      </c>
      <c r="K1394" t="s">
        <v>748</v>
      </c>
      <c r="L1394" s="784" t="s">
        <v>575</v>
      </c>
      <c r="M1394" t="s">
        <v>745</v>
      </c>
      <c r="P1394" t="s">
        <v>1887</v>
      </c>
      <c r="R1394" t="s">
        <v>152</v>
      </c>
      <c r="S1394" t="s">
        <v>146</v>
      </c>
      <c r="U1394">
        <v>0</v>
      </c>
      <c r="V1394" t="s">
        <v>544</v>
      </c>
      <c r="W1394" t="s">
        <v>546</v>
      </c>
      <c r="X1394" s="784">
        <v>494021502.525527</v>
      </c>
    </row>
    <row r="1395" spans="1:24">
      <c r="A1395" t="s">
        <v>358</v>
      </c>
      <c r="B1395" t="s">
        <v>603</v>
      </c>
      <c r="C1395" t="s">
        <v>208</v>
      </c>
      <c r="D1395" t="s">
        <v>129</v>
      </c>
      <c r="E1395" t="s">
        <v>377</v>
      </c>
      <c r="F1395" t="s">
        <v>310</v>
      </c>
      <c r="G1395" t="s">
        <v>339</v>
      </c>
      <c r="H1395" t="s">
        <v>310</v>
      </c>
      <c r="I1395">
        <v>2021</v>
      </c>
      <c r="J1395" t="s">
        <v>379</v>
      </c>
      <c r="K1395" t="s">
        <v>748</v>
      </c>
      <c r="L1395" s="784">
        <v>793746</v>
      </c>
      <c r="M1395" t="s">
        <v>745</v>
      </c>
      <c r="P1395" t="s">
        <v>1887</v>
      </c>
      <c r="R1395" t="s">
        <v>150</v>
      </c>
      <c r="S1395" t="s">
        <v>145</v>
      </c>
      <c r="U1395">
        <v>0</v>
      </c>
      <c r="V1395" t="s">
        <v>544</v>
      </c>
      <c r="W1395" t="s">
        <v>542</v>
      </c>
      <c r="X1395" s="784">
        <v>902005621.73836684</v>
      </c>
    </row>
    <row r="1396" spans="1:24">
      <c r="A1396" t="s">
        <v>358</v>
      </c>
      <c r="B1396" t="s">
        <v>604</v>
      </c>
      <c r="C1396" t="s">
        <v>209</v>
      </c>
      <c r="D1396" t="s">
        <v>130</v>
      </c>
      <c r="E1396" t="s">
        <v>377</v>
      </c>
      <c r="F1396" t="s">
        <v>310</v>
      </c>
      <c r="G1396" t="s">
        <v>339</v>
      </c>
      <c r="H1396" t="s">
        <v>310</v>
      </c>
      <c r="I1396">
        <v>2021</v>
      </c>
      <c r="J1396" t="s">
        <v>379</v>
      </c>
      <c r="K1396" t="s">
        <v>748</v>
      </c>
      <c r="L1396" s="784" t="s">
        <v>1437</v>
      </c>
      <c r="M1396" t="s">
        <v>745</v>
      </c>
      <c r="P1396" t="s">
        <v>1887</v>
      </c>
      <c r="R1396" t="s">
        <v>152</v>
      </c>
      <c r="S1396" t="s">
        <v>145</v>
      </c>
      <c r="U1396">
        <v>0</v>
      </c>
      <c r="V1396" t="s">
        <v>541</v>
      </c>
      <c r="W1396" t="s">
        <v>583</v>
      </c>
      <c r="X1396" s="784">
        <v>20201670.142996579</v>
      </c>
    </row>
    <row r="1397" spans="1:24">
      <c r="A1397" t="s">
        <v>358</v>
      </c>
      <c r="B1397" t="s">
        <v>605</v>
      </c>
      <c r="C1397" t="s">
        <v>210</v>
      </c>
      <c r="D1397" t="s">
        <v>130</v>
      </c>
      <c r="E1397" t="s">
        <v>377</v>
      </c>
      <c r="F1397" t="s">
        <v>310</v>
      </c>
      <c r="G1397" t="s">
        <v>339</v>
      </c>
      <c r="H1397" t="s">
        <v>310</v>
      </c>
      <c r="I1397">
        <v>2021</v>
      </c>
      <c r="J1397" t="s">
        <v>379</v>
      </c>
      <c r="K1397" t="s">
        <v>748</v>
      </c>
      <c r="L1397" s="784" t="s">
        <v>575</v>
      </c>
      <c r="M1397" t="s">
        <v>745</v>
      </c>
      <c r="P1397" t="s">
        <v>1887</v>
      </c>
      <c r="R1397" t="s">
        <v>152</v>
      </c>
      <c r="S1397" t="s">
        <v>146</v>
      </c>
      <c r="U1397">
        <v>0</v>
      </c>
      <c r="V1397" t="s">
        <v>544</v>
      </c>
      <c r="W1397" t="s">
        <v>575</v>
      </c>
      <c r="X1397" s="784">
        <v>1612434649.6948864</v>
      </c>
    </row>
    <row r="1398" spans="1:24">
      <c r="A1398" t="s">
        <v>358</v>
      </c>
      <c r="B1398" t="s">
        <v>606</v>
      </c>
      <c r="C1398" t="s">
        <v>211</v>
      </c>
      <c r="D1398" t="s">
        <v>129</v>
      </c>
      <c r="E1398" t="s">
        <v>377</v>
      </c>
      <c r="F1398" t="s">
        <v>310</v>
      </c>
      <c r="G1398" t="s">
        <v>339</v>
      </c>
      <c r="H1398" t="s">
        <v>310</v>
      </c>
      <c r="I1398">
        <v>2021</v>
      </c>
      <c r="J1398" t="s">
        <v>379</v>
      </c>
      <c r="K1398" t="s">
        <v>748</v>
      </c>
      <c r="L1398" s="784">
        <v>390259</v>
      </c>
      <c r="M1398" t="s">
        <v>745</v>
      </c>
      <c r="P1398" t="s">
        <v>1887</v>
      </c>
      <c r="R1398" t="s">
        <v>148</v>
      </c>
      <c r="S1398" t="s">
        <v>145</v>
      </c>
      <c r="U1398">
        <v>0</v>
      </c>
      <c r="V1398" t="s">
        <v>544</v>
      </c>
      <c r="W1398" t="s">
        <v>562</v>
      </c>
      <c r="X1398" s="784">
        <v>78203134.118229344</v>
      </c>
    </row>
    <row r="1399" spans="1:24">
      <c r="A1399" t="s">
        <v>358</v>
      </c>
      <c r="B1399" t="s">
        <v>607</v>
      </c>
      <c r="C1399" t="s">
        <v>212</v>
      </c>
      <c r="D1399" t="s">
        <v>129</v>
      </c>
      <c r="E1399" t="s">
        <v>377</v>
      </c>
      <c r="F1399" t="s">
        <v>310</v>
      </c>
      <c r="G1399" t="s">
        <v>339</v>
      </c>
      <c r="H1399" t="s">
        <v>310</v>
      </c>
      <c r="I1399">
        <v>2021</v>
      </c>
      <c r="J1399" t="s">
        <v>379</v>
      </c>
      <c r="K1399" t="s">
        <v>748</v>
      </c>
      <c r="L1399" s="784">
        <v>105973</v>
      </c>
      <c r="M1399" t="s">
        <v>745</v>
      </c>
      <c r="P1399" t="s">
        <v>1887</v>
      </c>
      <c r="R1399" t="s">
        <v>148</v>
      </c>
      <c r="S1399" t="s">
        <v>145</v>
      </c>
      <c r="U1399">
        <v>2</v>
      </c>
      <c r="V1399" t="s">
        <v>541</v>
      </c>
      <c r="W1399" t="s">
        <v>542</v>
      </c>
      <c r="X1399" s="784">
        <v>9151637.7411015611</v>
      </c>
    </row>
    <row r="1400" spans="1:24">
      <c r="A1400" t="s">
        <v>358</v>
      </c>
      <c r="B1400" t="s">
        <v>608</v>
      </c>
      <c r="C1400" t="s">
        <v>213</v>
      </c>
      <c r="D1400" t="s">
        <v>130</v>
      </c>
      <c r="E1400" t="s">
        <v>377</v>
      </c>
      <c r="F1400" t="s">
        <v>310</v>
      </c>
      <c r="G1400" t="s">
        <v>339</v>
      </c>
      <c r="H1400" t="s">
        <v>310</v>
      </c>
      <c r="I1400">
        <v>2021</v>
      </c>
      <c r="J1400" t="s">
        <v>379</v>
      </c>
      <c r="K1400" t="s">
        <v>748</v>
      </c>
      <c r="L1400" s="784">
        <v>62549</v>
      </c>
      <c r="M1400" t="s">
        <v>745</v>
      </c>
      <c r="P1400" t="s">
        <v>1887</v>
      </c>
      <c r="R1400" t="s">
        <v>152</v>
      </c>
      <c r="S1400" t="s">
        <v>145</v>
      </c>
      <c r="U1400">
        <v>0</v>
      </c>
      <c r="V1400" t="s">
        <v>541</v>
      </c>
      <c r="W1400" t="s">
        <v>562</v>
      </c>
      <c r="X1400" s="784">
        <v>142455920.02856269</v>
      </c>
    </row>
    <row r="1401" spans="1:24">
      <c r="A1401" t="s">
        <v>358</v>
      </c>
      <c r="B1401" t="s">
        <v>609</v>
      </c>
      <c r="C1401" t="s">
        <v>214</v>
      </c>
      <c r="D1401" t="s">
        <v>130</v>
      </c>
      <c r="E1401" t="s">
        <v>377</v>
      </c>
      <c r="F1401" t="s">
        <v>310</v>
      </c>
      <c r="G1401" t="s">
        <v>339</v>
      </c>
      <c r="H1401" t="s">
        <v>310</v>
      </c>
      <c r="I1401">
        <v>2021</v>
      </c>
      <c r="J1401" t="s">
        <v>379</v>
      </c>
      <c r="K1401" t="s">
        <v>748</v>
      </c>
      <c r="L1401" s="784">
        <v>365688</v>
      </c>
      <c r="M1401" t="s">
        <v>745</v>
      </c>
      <c r="P1401" t="s">
        <v>1887</v>
      </c>
      <c r="R1401" t="s">
        <v>150</v>
      </c>
      <c r="S1401" t="s">
        <v>145</v>
      </c>
      <c r="U1401">
        <v>1</v>
      </c>
      <c r="V1401" t="s">
        <v>541</v>
      </c>
      <c r="W1401" t="s">
        <v>542</v>
      </c>
      <c r="X1401" s="784">
        <v>85611818.171245083</v>
      </c>
    </row>
    <row r="1402" spans="1:24">
      <c r="A1402" t="s">
        <v>358</v>
      </c>
      <c r="B1402" t="s">
        <v>610</v>
      </c>
      <c r="C1402" t="s">
        <v>215</v>
      </c>
      <c r="D1402" t="s">
        <v>130</v>
      </c>
      <c r="E1402" t="s">
        <v>377</v>
      </c>
      <c r="F1402" t="s">
        <v>310</v>
      </c>
      <c r="G1402" t="s">
        <v>339</v>
      </c>
      <c r="H1402" t="s">
        <v>310</v>
      </c>
      <c r="I1402">
        <v>2021</v>
      </c>
      <c r="J1402" t="s">
        <v>379</v>
      </c>
      <c r="K1402" t="s">
        <v>748</v>
      </c>
      <c r="L1402" s="784">
        <v>219032</v>
      </c>
      <c r="M1402" t="s">
        <v>745</v>
      </c>
      <c r="P1402" t="s">
        <v>1887</v>
      </c>
      <c r="R1402" t="s">
        <v>150</v>
      </c>
      <c r="S1402" t="s">
        <v>145</v>
      </c>
      <c r="U1402">
        <v>0</v>
      </c>
      <c r="V1402" t="s">
        <v>544</v>
      </c>
      <c r="W1402" t="s">
        <v>558</v>
      </c>
      <c r="X1402" s="784">
        <v>680289736.30082119</v>
      </c>
    </row>
    <row r="1403" spans="1:24">
      <c r="A1403" t="s">
        <v>358</v>
      </c>
      <c r="B1403" t="s">
        <v>611</v>
      </c>
      <c r="C1403" t="s">
        <v>216</v>
      </c>
      <c r="D1403" t="s">
        <v>132</v>
      </c>
      <c r="E1403" t="s">
        <v>377</v>
      </c>
      <c r="F1403" t="s">
        <v>310</v>
      </c>
      <c r="G1403" t="s">
        <v>339</v>
      </c>
      <c r="H1403" t="s">
        <v>310</v>
      </c>
      <c r="I1403">
        <v>2021</v>
      </c>
      <c r="J1403" t="s">
        <v>379</v>
      </c>
      <c r="K1403" t="s">
        <v>748</v>
      </c>
      <c r="L1403" s="784">
        <v>8716494</v>
      </c>
      <c r="M1403" t="s">
        <v>745</v>
      </c>
      <c r="P1403" t="s">
        <v>1887</v>
      </c>
      <c r="R1403" t="s">
        <v>150</v>
      </c>
      <c r="S1403" t="s">
        <v>145</v>
      </c>
      <c r="U1403">
        <v>0</v>
      </c>
      <c r="V1403" t="s">
        <v>544</v>
      </c>
      <c r="W1403" t="s">
        <v>546</v>
      </c>
      <c r="X1403" s="784">
        <v>26554332750.47023</v>
      </c>
    </row>
    <row r="1404" spans="1:24">
      <c r="A1404" t="s">
        <v>358</v>
      </c>
      <c r="B1404" t="s">
        <v>612</v>
      </c>
      <c r="C1404" t="s">
        <v>217</v>
      </c>
      <c r="D1404" t="s">
        <v>126</v>
      </c>
      <c r="E1404" t="s">
        <v>377</v>
      </c>
      <c r="F1404" t="s">
        <v>310</v>
      </c>
      <c r="G1404" t="s">
        <v>339</v>
      </c>
      <c r="H1404" t="s">
        <v>310</v>
      </c>
      <c r="I1404">
        <v>2021</v>
      </c>
      <c r="J1404" t="s">
        <v>379</v>
      </c>
      <c r="K1404" t="s">
        <v>748</v>
      </c>
      <c r="L1404" s="784">
        <v>1734565</v>
      </c>
      <c r="M1404" t="s">
        <v>745</v>
      </c>
      <c r="P1404" t="s">
        <v>1887</v>
      </c>
      <c r="R1404" t="s">
        <v>150</v>
      </c>
      <c r="S1404" t="s">
        <v>145</v>
      </c>
      <c r="U1404">
        <v>0</v>
      </c>
      <c r="V1404" t="s">
        <v>544</v>
      </c>
      <c r="W1404" t="s">
        <v>546</v>
      </c>
      <c r="X1404" s="784">
        <v>14745961064.890842</v>
      </c>
    </row>
    <row r="1405" spans="1:24">
      <c r="A1405" t="s">
        <v>358</v>
      </c>
      <c r="B1405" t="s">
        <v>613</v>
      </c>
      <c r="C1405" t="s">
        <v>149</v>
      </c>
      <c r="D1405" t="s">
        <v>131</v>
      </c>
      <c r="E1405" t="s">
        <v>377</v>
      </c>
      <c r="F1405" t="s">
        <v>310</v>
      </c>
      <c r="G1405" t="s">
        <v>339</v>
      </c>
      <c r="H1405" t="s">
        <v>310</v>
      </c>
      <c r="I1405">
        <v>2021</v>
      </c>
      <c r="J1405" t="s">
        <v>379</v>
      </c>
      <c r="K1405" t="s">
        <v>748</v>
      </c>
      <c r="L1405" s="784" t="s">
        <v>575</v>
      </c>
      <c r="M1405" t="s">
        <v>745</v>
      </c>
      <c r="P1405" t="s">
        <v>1887</v>
      </c>
      <c r="R1405" t="s">
        <v>150</v>
      </c>
      <c r="S1405" t="s">
        <v>146</v>
      </c>
      <c r="U1405">
        <v>0</v>
      </c>
      <c r="V1405" t="s">
        <v>544</v>
      </c>
      <c r="W1405" t="s">
        <v>546</v>
      </c>
      <c r="X1405" s="784">
        <v>18194076299.786381</v>
      </c>
    </row>
    <row r="1406" spans="1:24">
      <c r="A1406" t="s">
        <v>358</v>
      </c>
      <c r="B1406" t="s">
        <v>614</v>
      </c>
      <c r="C1406" t="s">
        <v>218</v>
      </c>
      <c r="D1406" t="s">
        <v>131</v>
      </c>
      <c r="E1406" t="s">
        <v>377</v>
      </c>
      <c r="F1406" t="s">
        <v>310</v>
      </c>
      <c r="G1406" t="s">
        <v>339</v>
      </c>
      <c r="H1406" t="s">
        <v>310</v>
      </c>
      <c r="I1406">
        <v>2021</v>
      </c>
      <c r="J1406" t="s">
        <v>379</v>
      </c>
      <c r="K1406" t="s">
        <v>748</v>
      </c>
      <c r="L1406" s="784" t="s">
        <v>575</v>
      </c>
      <c r="M1406" t="s">
        <v>745</v>
      </c>
      <c r="P1406" t="s">
        <v>1887</v>
      </c>
      <c r="R1406" t="s">
        <v>152</v>
      </c>
      <c r="S1406" t="s">
        <v>146</v>
      </c>
      <c r="U1406">
        <v>0</v>
      </c>
      <c r="V1406" t="s">
        <v>544</v>
      </c>
      <c r="W1406" t="s">
        <v>546</v>
      </c>
      <c r="X1406" s="784">
        <v>4428819387.769825</v>
      </c>
    </row>
    <row r="1407" spans="1:24">
      <c r="A1407" t="s">
        <v>358</v>
      </c>
      <c r="B1407" t="s">
        <v>615</v>
      </c>
      <c r="C1407" t="s">
        <v>219</v>
      </c>
      <c r="D1407" t="s">
        <v>130</v>
      </c>
      <c r="E1407" t="s">
        <v>377</v>
      </c>
      <c r="F1407" t="s">
        <v>310</v>
      </c>
      <c r="G1407" t="s">
        <v>339</v>
      </c>
      <c r="H1407" t="s">
        <v>310</v>
      </c>
      <c r="I1407">
        <v>2021</v>
      </c>
      <c r="J1407" t="s">
        <v>379</v>
      </c>
      <c r="K1407" t="s">
        <v>748</v>
      </c>
      <c r="L1407" s="784" t="s">
        <v>575</v>
      </c>
      <c r="M1407" t="s">
        <v>745</v>
      </c>
      <c r="P1407" t="s">
        <v>1887</v>
      </c>
      <c r="R1407" t="s">
        <v>152</v>
      </c>
      <c r="S1407" t="s">
        <v>146</v>
      </c>
      <c r="U1407">
        <v>0</v>
      </c>
      <c r="V1407" t="s">
        <v>541</v>
      </c>
      <c r="W1407" t="s">
        <v>575</v>
      </c>
      <c r="X1407" s="784">
        <v>611739560.62679195</v>
      </c>
    </row>
    <row r="1408" spans="1:24">
      <c r="A1408" t="s">
        <v>358</v>
      </c>
      <c r="B1408" t="s">
        <v>616</v>
      </c>
      <c r="C1408" t="s">
        <v>220</v>
      </c>
      <c r="D1408" t="s">
        <v>131</v>
      </c>
      <c r="E1408" t="s">
        <v>377</v>
      </c>
      <c r="F1408" t="s">
        <v>310</v>
      </c>
      <c r="G1408" t="s">
        <v>339</v>
      </c>
      <c r="H1408" t="s">
        <v>310</v>
      </c>
      <c r="I1408">
        <v>2021</v>
      </c>
      <c r="J1408" t="s">
        <v>379</v>
      </c>
      <c r="K1408" t="s">
        <v>748</v>
      </c>
      <c r="L1408" s="784" t="s">
        <v>575</v>
      </c>
      <c r="M1408" t="s">
        <v>745</v>
      </c>
      <c r="P1408" t="s">
        <v>1887</v>
      </c>
      <c r="R1408" t="s">
        <v>152</v>
      </c>
      <c r="S1408" t="s">
        <v>146</v>
      </c>
      <c r="U1408">
        <v>0</v>
      </c>
      <c r="V1408" t="s">
        <v>544</v>
      </c>
      <c r="W1408" t="s">
        <v>546</v>
      </c>
      <c r="X1408" s="784">
        <v>1617913383.0481031</v>
      </c>
    </row>
    <row r="1409" spans="1:24">
      <c r="A1409" t="s">
        <v>358</v>
      </c>
      <c r="B1409" t="s">
        <v>617</v>
      </c>
      <c r="C1409" t="s">
        <v>221</v>
      </c>
      <c r="D1409" t="s">
        <v>127</v>
      </c>
      <c r="E1409" t="s">
        <v>377</v>
      </c>
      <c r="F1409" t="s">
        <v>310</v>
      </c>
      <c r="G1409" t="s">
        <v>339</v>
      </c>
      <c r="H1409" t="s">
        <v>310</v>
      </c>
      <c r="I1409">
        <v>2021</v>
      </c>
      <c r="J1409" t="s">
        <v>379</v>
      </c>
      <c r="K1409" t="s">
        <v>748</v>
      </c>
      <c r="L1409" s="784" t="s">
        <v>575</v>
      </c>
      <c r="M1409" t="s">
        <v>745</v>
      </c>
      <c r="P1409" t="s">
        <v>1887</v>
      </c>
      <c r="R1409" t="s">
        <v>152</v>
      </c>
      <c r="S1409" t="s">
        <v>146</v>
      </c>
      <c r="U1409">
        <v>0</v>
      </c>
      <c r="V1409" t="s">
        <v>544</v>
      </c>
      <c r="W1409" t="s">
        <v>575</v>
      </c>
      <c r="X1409" s="784">
        <v>3074419112.4562683</v>
      </c>
    </row>
    <row r="1410" spans="1:24">
      <c r="A1410" t="s">
        <v>358</v>
      </c>
      <c r="B1410" t="s">
        <v>618</v>
      </c>
      <c r="C1410" t="s">
        <v>222</v>
      </c>
      <c r="D1410" t="s">
        <v>128</v>
      </c>
      <c r="E1410" t="s">
        <v>377</v>
      </c>
      <c r="F1410" t="s">
        <v>310</v>
      </c>
      <c r="G1410" t="s">
        <v>339</v>
      </c>
      <c r="H1410" t="s">
        <v>310</v>
      </c>
      <c r="I1410">
        <v>2021</v>
      </c>
      <c r="J1410" t="s">
        <v>379</v>
      </c>
      <c r="K1410" t="s">
        <v>748</v>
      </c>
      <c r="L1410" s="784">
        <v>1181227</v>
      </c>
      <c r="M1410" t="s">
        <v>745</v>
      </c>
      <c r="P1410" t="s">
        <v>1887</v>
      </c>
      <c r="R1410" t="s">
        <v>150</v>
      </c>
      <c r="S1410" t="s">
        <v>145</v>
      </c>
      <c r="U1410">
        <v>0</v>
      </c>
      <c r="V1410" t="s">
        <v>544</v>
      </c>
      <c r="W1410" t="s">
        <v>542</v>
      </c>
      <c r="X1410" s="784">
        <v>1914014279.8929913</v>
      </c>
    </row>
    <row r="1411" spans="1:24">
      <c r="A1411" t="s">
        <v>358</v>
      </c>
      <c r="B1411" t="s">
        <v>619</v>
      </c>
      <c r="C1411" t="s">
        <v>223</v>
      </c>
      <c r="D1411" t="s">
        <v>126</v>
      </c>
      <c r="E1411" t="s">
        <v>377</v>
      </c>
      <c r="F1411" t="s">
        <v>310</v>
      </c>
      <c r="G1411" t="s">
        <v>339</v>
      </c>
      <c r="H1411" t="s">
        <v>310</v>
      </c>
      <c r="I1411">
        <v>2021</v>
      </c>
      <c r="J1411" t="s">
        <v>379</v>
      </c>
      <c r="K1411" t="s">
        <v>748</v>
      </c>
      <c r="L1411" s="784" t="s">
        <v>1437</v>
      </c>
      <c r="M1411" t="s">
        <v>745</v>
      </c>
      <c r="P1411" t="s">
        <v>1887</v>
      </c>
      <c r="R1411" t="s">
        <v>150</v>
      </c>
      <c r="S1411" t="s">
        <v>145</v>
      </c>
      <c r="U1411">
        <v>0</v>
      </c>
      <c r="V1411" t="s">
        <v>541</v>
      </c>
      <c r="W1411" t="s">
        <v>542</v>
      </c>
      <c r="X1411" s="784">
        <v>17422005.762907442</v>
      </c>
    </row>
    <row r="1412" spans="1:24">
      <c r="A1412" t="s">
        <v>358</v>
      </c>
      <c r="B1412" t="s">
        <v>620</v>
      </c>
      <c r="C1412" t="s">
        <v>224</v>
      </c>
      <c r="D1412" t="s">
        <v>126</v>
      </c>
      <c r="E1412" t="s">
        <v>377</v>
      </c>
      <c r="F1412" t="s">
        <v>310</v>
      </c>
      <c r="G1412" t="s">
        <v>339</v>
      </c>
      <c r="H1412" t="s">
        <v>310</v>
      </c>
      <c r="I1412">
        <v>2021</v>
      </c>
      <c r="J1412" t="s">
        <v>379</v>
      </c>
      <c r="K1412" t="s">
        <v>748</v>
      </c>
      <c r="L1412" s="784" t="s">
        <v>1437</v>
      </c>
      <c r="M1412" t="s">
        <v>745</v>
      </c>
      <c r="P1412" t="s">
        <v>1887</v>
      </c>
      <c r="R1412" t="s">
        <v>148</v>
      </c>
      <c r="S1412" t="s">
        <v>145</v>
      </c>
      <c r="U1412">
        <v>0</v>
      </c>
      <c r="V1412" t="s">
        <v>544</v>
      </c>
      <c r="W1412" t="s">
        <v>546</v>
      </c>
      <c r="X1412" s="784" t="s">
        <v>575</v>
      </c>
    </row>
    <row r="1413" spans="1:24">
      <c r="A1413" t="s">
        <v>358</v>
      </c>
      <c r="B1413" t="s">
        <v>621</v>
      </c>
      <c r="C1413" t="s">
        <v>225</v>
      </c>
      <c r="D1413" t="s">
        <v>127</v>
      </c>
      <c r="E1413" t="s">
        <v>377</v>
      </c>
      <c r="F1413" t="s">
        <v>310</v>
      </c>
      <c r="G1413" t="s">
        <v>339</v>
      </c>
      <c r="H1413" t="s">
        <v>310</v>
      </c>
      <c r="I1413">
        <v>2021</v>
      </c>
      <c r="J1413" t="s">
        <v>379</v>
      </c>
      <c r="K1413" t="s">
        <v>748</v>
      </c>
      <c r="L1413" s="784">
        <v>60336</v>
      </c>
      <c r="M1413" t="s">
        <v>745</v>
      </c>
      <c r="P1413" t="s">
        <v>1887</v>
      </c>
      <c r="R1413" t="s">
        <v>152</v>
      </c>
      <c r="S1413" t="s">
        <v>145</v>
      </c>
      <c r="U1413">
        <v>0</v>
      </c>
      <c r="V1413" t="s">
        <v>544</v>
      </c>
      <c r="W1413" t="s">
        <v>548</v>
      </c>
      <c r="X1413" s="784" t="s">
        <v>575</v>
      </c>
    </row>
    <row r="1414" spans="1:24">
      <c r="A1414" t="s">
        <v>358</v>
      </c>
      <c r="B1414" t="s">
        <v>622</v>
      </c>
      <c r="C1414" t="s">
        <v>226</v>
      </c>
      <c r="D1414" t="s">
        <v>127</v>
      </c>
      <c r="E1414" t="s">
        <v>377</v>
      </c>
      <c r="F1414" t="s">
        <v>310</v>
      </c>
      <c r="G1414" t="s">
        <v>339</v>
      </c>
      <c r="H1414" t="s">
        <v>310</v>
      </c>
      <c r="I1414">
        <v>2021</v>
      </c>
      <c r="J1414" t="s">
        <v>379</v>
      </c>
      <c r="K1414" t="s">
        <v>748</v>
      </c>
      <c r="L1414" s="784">
        <v>211426</v>
      </c>
      <c r="M1414" t="s">
        <v>745</v>
      </c>
      <c r="P1414" t="s">
        <v>1887</v>
      </c>
      <c r="R1414" t="s">
        <v>150</v>
      </c>
      <c r="S1414" t="s">
        <v>145</v>
      </c>
      <c r="U1414">
        <v>2</v>
      </c>
      <c r="V1414" t="s">
        <v>544</v>
      </c>
      <c r="W1414" t="s">
        <v>562</v>
      </c>
      <c r="X1414" s="784">
        <v>231506834.84347546</v>
      </c>
    </row>
    <row r="1415" spans="1:24">
      <c r="A1415" t="s">
        <v>358</v>
      </c>
      <c r="B1415" t="s">
        <v>623</v>
      </c>
      <c r="C1415" t="s">
        <v>227</v>
      </c>
      <c r="D1415" t="s">
        <v>126</v>
      </c>
      <c r="E1415" t="s">
        <v>377</v>
      </c>
      <c r="F1415" t="s">
        <v>310</v>
      </c>
      <c r="G1415" t="s">
        <v>339</v>
      </c>
      <c r="H1415" t="s">
        <v>310</v>
      </c>
      <c r="I1415">
        <v>2021</v>
      </c>
      <c r="J1415" t="s">
        <v>379</v>
      </c>
      <c r="K1415" t="s">
        <v>748</v>
      </c>
      <c r="L1415" s="784">
        <v>134999</v>
      </c>
      <c r="M1415" t="s">
        <v>745</v>
      </c>
      <c r="P1415" t="s">
        <v>1887</v>
      </c>
      <c r="R1415" t="s">
        <v>150</v>
      </c>
      <c r="S1415" t="s">
        <v>145</v>
      </c>
      <c r="U1415">
        <v>0</v>
      </c>
      <c r="V1415" t="s">
        <v>544</v>
      </c>
      <c r="W1415" t="s">
        <v>542</v>
      </c>
      <c r="X1415" s="784">
        <v>156059428.62944782</v>
      </c>
    </row>
    <row r="1416" spans="1:24">
      <c r="A1416" t="s">
        <v>358</v>
      </c>
      <c r="B1416" t="s">
        <v>624</v>
      </c>
      <c r="C1416" t="s">
        <v>228</v>
      </c>
      <c r="D1416" t="s">
        <v>131</v>
      </c>
      <c r="E1416" t="s">
        <v>377</v>
      </c>
      <c r="F1416" t="s">
        <v>310</v>
      </c>
      <c r="G1416" t="s">
        <v>339</v>
      </c>
      <c r="H1416" t="s">
        <v>310</v>
      </c>
      <c r="I1416">
        <v>2021</v>
      </c>
      <c r="J1416" t="s">
        <v>379</v>
      </c>
      <c r="K1416" t="s">
        <v>748</v>
      </c>
      <c r="L1416" s="784" t="s">
        <v>575</v>
      </c>
      <c r="M1416" t="s">
        <v>745</v>
      </c>
      <c r="P1416" t="s">
        <v>1887</v>
      </c>
      <c r="R1416" t="s">
        <v>152</v>
      </c>
      <c r="S1416" t="s">
        <v>146</v>
      </c>
      <c r="U1416">
        <v>0</v>
      </c>
      <c r="V1416" t="s">
        <v>544</v>
      </c>
      <c r="W1416" t="s">
        <v>546</v>
      </c>
      <c r="X1416" s="784">
        <v>2355391507.1635861</v>
      </c>
    </row>
    <row r="1417" spans="1:24">
      <c r="A1417" t="s">
        <v>358</v>
      </c>
      <c r="B1417" t="s">
        <v>625</v>
      </c>
      <c r="C1417" t="s">
        <v>229</v>
      </c>
      <c r="D1417" t="s">
        <v>128</v>
      </c>
      <c r="E1417" t="s">
        <v>377</v>
      </c>
      <c r="F1417" t="s">
        <v>310</v>
      </c>
      <c r="G1417" t="s">
        <v>339</v>
      </c>
      <c r="H1417" t="s">
        <v>310</v>
      </c>
      <c r="I1417">
        <v>2021</v>
      </c>
      <c r="J1417" t="s">
        <v>379</v>
      </c>
      <c r="K1417" t="s">
        <v>748</v>
      </c>
      <c r="L1417" s="784">
        <v>86879</v>
      </c>
      <c r="M1417" t="s">
        <v>745</v>
      </c>
      <c r="P1417" t="s">
        <v>1887</v>
      </c>
      <c r="R1417" t="s">
        <v>150</v>
      </c>
      <c r="S1417" t="s">
        <v>145</v>
      </c>
      <c r="U1417">
        <v>0</v>
      </c>
      <c r="V1417" t="s">
        <v>544</v>
      </c>
      <c r="W1417" t="s">
        <v>562</v>
      </c>
      <c r="X1417" s="784">
        <v>152760919.7684873</v>
      </c>
    </row>
    <row r="1418" spans="1:24">
      <c r="A1418" t="s">
        <v>358</v>
      </c>
      <c r="B1418" t="s">
        <v>626</v>
      </c>
      <c r="C1418" t="s">
        <v>230</v>
      </c>
      <c r="D1418" t="s">
        <v>129</v>
      </c>
      <c r="E1418" t="s">
        <v>377</v>
      </c>
      <c r="F1418" t="s">
        <v>310</v>
      </c>
      <c r="G1418" t="s">
        <v>339</v>
      </c>
      <c r="H1418" t="s">
        <v>310</v>
      </c>
      <c r="I1418">
        <v>2021</v>
      </c>
      <c r="J1418" t="s">
        <v>379</v>
      </c>
      <c r="K1418" t="s">
        <v>748</v>
      </c>
      <c r="L1418" s="784">
        <v>162026</v>
      </c>
      <c r="M1418" t="s">
        <v>745</v>
      </c>
      <c r="P1418" t="s">
        <v>1887</v>
      </c>
      <c r="R1418" t="s">
        <v>148</v>
      </c>
      <c r="S1418" t="s">
        <v>145</v>
      </c>
      <c r="U1418">
        <v>0</v>
      </c>
      <c r="V1418" t="s">
        <v>544</v>
      </c>
      <c r="W1418" t="s">
        <v>542</v>
      </c>
      <c r="X1418" s="784">
        <v>55072006.864440605</v>
      </c>
    </row>
    <row r="1419" spans="1:24">
      <c r="A1419" t="s">
        <v>358</v>
      </c>
      <c r="B1419" t="s">
        <v>627</v>
      </c>
      <c r="C1419" t="s">
        <v>231</v>
      </c>
      <c r="D1419" t="s">
        <v>131</v>
      </c>
      <c r="E1419" t="s">
        <v>377</v>
      </c>
      <c r="F1419" t="s">
        <v>310</v>
      </c>
      <c r="G1419" t="s">
        <v>339</v>
      </c>
      <c r="H1419" t="s">
        <v>310</v>
      </c>
      <c r="I1419">
        <v>2021</v>
      </c>
      <c r="J1419" t="s">
        <v>379</v>
      </c>
      <c r="K1419" t="s">
        <v>748</v>
      </c>
      <c r="L1419" s="784" t="s">
        <v>575</v>
      </c>
      <c r="M1419" t="s">
        <v>745</v>
      </c>
      <c r="P1419" t="s">
        <v>1887</v>
      </c>
      <c r="R1419" t="s">
        <v>152</v>
      </c>
      <c r="S1419" t="s">
        <v>146</v>
      </c>
      <c r="U1419">
        <v>0</v>
      </c>
      <c r="V1419" t="s">
        <v>544</v>
      </c>
      <c r="W1419" t="s">
        <v>546</v>
      </c>
      <c r="X1419" s="784" t="s">
        <v>575</v>
      </c>
    </row>
    <row r="1420" spans="1:24">
      <c r="A1420" t="s">
        <v>358</v>
      </c>
      <c r="B1420" t="s">
        <v>628</v>
      </c>
      <c r="C1420" t="s">
        <v>232</v>
      </c>
      <c r="D1420" t="s">
        <v>128</v>
      </c>
      <c r="E1420" t="s">
        <v>377</v>
      </c>
      <c r="F1420" t="s">
        <v>310</v>
      </c>
      <c r="G1420" t="s">
        <v>339</v>
      </c>
      <c r="H1420" t="s">
        <v>310</v>
      </c>
      <c r="I1420">
        <v>2021</v>
      </c>
      <c r="J1420" t="s">
        <v>379</v>
      </c>
      <c r="K1420" t="s">
        <v>748</v>
      </c>
      <c r="L1420" s="784">
        <v>694958</v>
      </c>
      <c r="M1420" t="s">
        <v>745</v>
      </c>
      <c r="P1420" t="s">
        <v>1887</v>
      </c>
      <c r="R1420" t="s">
        <v>148</v>
      </c>
      <c r="S1420" t="s">
        <v>145</v>
      </c>
      <c r="U1420">
        <v>2</v>
      </c>
      <c r="V1420" t="s">
        <v>544</v>
      </c>
      <c r="W1420" t="s">
        <v>562</v>
      </c>
      <c r="X1420" s="784">
        <v>206914157.05429548</v>
      </c>
    </row>
    <row r="1421" spans="1:24">
      <c r="A1421" t="s">
        <v>358</v>
      </c>
      <c r="B1421" t="s">
        <v>629</v>
      </c>
      <c r="C1421" t="s">
        <v>233</v>
      </c>
      <c r="D1421" t="s">
        <v>128</v>
      </c>
      <c r="E1421" t="s">
        <v>377</v>
      </c>
      <c r="F1421" t="s">
        <v>310</v>
      </c>
      <c r="G1421" t="s">
        <v>339</v>
      </c>
      <c r="H1421" t="s">
        <v>310</v>
      </c>
      <c r="I1421">
        <v>2021</v>
      </c>
      <c r="J1421" t="s">
        <v>379</v>
      </c>
      <c r="K1421" t="s">
        <v>748</v>
      </c>
      <c r="L1421" s="784">
        <v>386999</v>
      </c>
      <c r="M1421" t="s">
        <v>745</v>
      </c>
      <c r="P1421" t="s">
        <v>1887</v>
      </c>
      <c r="R1421" t="s">
        <v>148</v>
      </c>
      <c r="S1421" t="s">
        <v>145</v>
      </c>
      <c r="U1421">
        <v>2</v>
      </c>
      <c r="V1421" t="s">
        <v>544</v>
      </c>
      <c r="W1421" t="s">
        <v>542</v>
      </c>
      <c r="X1421" s="784">
        <v>185999915.02066413</v>
      </c>
    </row>
    <row r="1422" spans="1:24">
      <c r="A1422" t="s">
        <v>358</v>
      </c>
      <c r="B1422" t="s">
        <v>630</v>
      </c>
      <c r="C1422" t="s">
        <v>234</v>
      </c>
      <c r="D1422" t="s">
        <v>126</v>
      </c>
      <c r="E1422" t="s">
        <v>377</v>
      </c>
      <c r="F1422" t="s">
        <v>310</v>
      </c>
      <c r="G1422" t="s">
        <v>339</v>
      </c>
      <c r="H1422" t="s">
        <v>310</v>
      </c>
      <c r="I1422">
        <v>2021</v>
      </c>
      <c r="J1422" t="s">
        <v>379</v>
      </c>
      <c r="K1422" t="s">
        <v>748</v>
      </c>
      <c r="L1422" s="784" t="s">
        <v>575</v>
      </c>
      <c r="M1422" t="s">
        <v>745</v>
      </c>
      <c r="P1422" t="s">
        <v>1887</v>
      </c>
      <c r="R1422" t="s">
        <v>152</v>
      </c>
      <c r="S1422" t="s">
        <v>146</v>
      </c>
      <c r="U1422">
        <v>0</v>
      </c>
      <c r="V1422" t="s">
        <v>544</v>
      </c>
      <c r="W1422" t="s">
        <v>575</v>
      </c>
      <c r="X1422" s="784">
        <v>6893755763.2501726</v>
      </c>
    </row>
    <row r="1423" spans="1:24">
      <c r="A1423" t="s">
        <v>358</v>
      </c>
      <c r="B1423" t="s">
        <v>631</v>
      </c>
      <c r="C1423" t="s">
        <v>235</v>
      </c>
      <c r="D1423" t="s">
        <v>132</v>
      </c>
      <c r="E1423" t="s">
        <v>377</v>
      </c>
      <c r="F1423" t="s">
        <v>310</v>
      </c>
      <c r="G1423" t="s">
        <v>339</v>
      </c>
      <c r="H1423" t="s">
        <v>310</v>
      </c>
      <c r="I1423">
        <v>2021</v>
      </c>
      <c r="J1423" t="s">
        <v>379</v>
      </c>
      <c r="K1423" t="s">
        <v>748</v>
      </c>
      <c r="L1423" s="784">
        <v>60026</v>
      </c>
      <c r="M1423" t="s">
        <v>745</v>
      </c>
      <c r="P1423" t="s">
        <v>1887</v>
      </c>
      <c r="R1423" t="s">
        <v>152</v>
      </c>
      <c r="S1423" t="s">
        <v>145</v>
      </c>
      <c r="U1423">
        <v>0</v>
      </c>
      <c r="V1423" t="s">
        <v>541</v>
      </c>
      <c r="W1423" t="s">
        <v>542</v>
      </c>
      <c r="X1423" s="784">
        <v>354560231.58276606</v>
      </c>
    </row>
    <row r="1424" spans="1:24">
      <c r="A1424" t="s">
        <v>358</v>
      </c>
      <c r="B1424" t="s">
        <v>632</v>
      </c>
      <c r="C1424" t="s">
        <v>236</v>
      </c>
      <c r="D1424" t="s">
        <v>129</v>
      </c>
      <c r="E1424" t="s">
        <v>377</v>
      </c>
      <c r="F1424" t="s">
        <v>310</v>
      </c>
      <c r="G1424" t="s">
        <v>339</v>
      </c>
      <c r="H1424" t="s">
        <v>310</v>
      </c>
      <c r="I1424">
        <v>2021</v>
      </c>
      <c r="J1424" t="s">
        <v>379</v>
      </c>
      <c r="K1424" t="s">
        <v>748</v>
      </c>
      <c r="L1424" s="784">
        <v>530000</v>
      </c>
      <c r="M1424" t="s">
        <v>745</v>
      </c>
      <c r="P1424" t="s">
        <v>1887</v>
      </c>
      <c r="R1424" t="s">
        <v>148</v>
      </c>
      <c r="S1424" t="s">
        <v>145</v>
      </c>
      <c r="U1424">
        <v>1</v>
      </c>
      <c r="V1424" t="s">
        <v>544</v>
      </c>
      <c r="W1424" t="s">
        <v>562</v>
      </c>
      <c r="X1424" s="784">
        <v>188169167.56540567</v>
      </c>
    </row>
    <row r="1425" spans="1:24">
      <c r="A1425" t="s">
        <v>358</v>
      </c>
      <c r="B1425" t="s">
        <v>633</v>
      </c>
      <c r="C1425" t="s">
        <v>237</v>
      </c>
      <c r="D1425" t="s">
        <v>126</v>
      </c>
      <c r="E1425" t="s">
        <v>377</v>
      </c>
      <c r="F1425" t="s">
        <v>310</v>
      </c>
      <c r="G1425" t="s">
        <v>339</v>
      </c>
      <c r="H1425" t="s">
        <v>310</v>
      </c>
      <c r="I1425">
        <v>2021</v>
      </c>
      <c r="J1425" t="s">
        <v>379</v>
      </c>
      <c r="K1425" t="s">
        <v>748</v>
      </c>
      <c r="L1425" s="784" t="s">
        <v>1437</v>
      </c>
      <c r="M1425" t="s">
        <v>745</v>
      </c>
      <c r="P1425" t="s">
        <v>1887</v>
      </c>
      <c r="R1425" t="s">
        <v>152</v>
      </c>
      <c r="S1425" t="s">
        <v>145</v>
      </c>
      <c r="U1425">
        <v>0</v>
      </c>
      <c r="V1425" t="s">
        <v>541</v>
      </c>
      <c r="W1425" t="s">
        <v>575</v>
      </c>
      <c r="X1425" s="784">
        <v>16312106.556340856</v>
      </c>
    </row>
    <row r="1426" spans="1:24">
      <c r="A1426" t="s">
        <v>358</v>
      </c>
      <c r="B1426" t="s">
        <v>634</v>
      </c>
      <c r="C1426" t="s">
        <v>238</v>
      </c>
      <c r="D1426" t="s">
        <v>129</v>
      </c>
      <c r="E1426" t="s">
        <v>377</v>
      </c>
      <c r="F1426" t="s">
        <v>310</v>
      </c>
      <c r="G1426" t="s">
        <v>339</v>
      </c>
      <c r="H1426" t="s">
        <v>310</v>
      </c>
      <c r="I1426">
        <v>2021</v>
      </c>
      <c r="J1426" t="s">
        <v>379</v>
      </c>
      <c r="K1426" t="s">
        <v>748</v>
      </c>
      <c r="L1426" s="784">
        <v>180361</v>
      </c>
      <c r="M1426" t="s">
        <v>745</v>
      </c>
      <c r="P1426" t="s">
        <v>1887</v>
      </c>
      <c r="R1426" t="s">
        <v>150</v>
      </c>
      <c r="S1426" t="s">
        <v>145</v>
      </c>
      <c r="U1426">
        <v>2</v>
      </c>
      <c r="V1426" t="s">
        <v>544</v>
      </c>
      <c r="W1426" t="s">
        <v>542</v>
      </c>
      <c r="X1426" s="784">
        <v>86083833.534053758</v>
      </c>
    </row>
    <row r="1427" spans="1:24">
      <c r="A1427" t="s">
        <v>358</v>
      </c>
      <c r="B1427" t="s">
        <v>635</v>
      </c>
      <c r="C1427" t="s">
        <v>239</v>
      </c>
      <c r="D1427" t="s">
        <v>128</v>
      </c>
      <c r="E1427" t="s">
        <v>377</v>
      </c>
      <c r="F1427" t="s">
        <v>310</v>
      </c>
      <c r="G1427" t="s">
        <v>339</v>
      </c>
      <c r="H1427" t="s">
        <v>310</v>
      </c>
      <c r="I1427">
        <v>2021</v>
      </c>
      <c r="J1427" t="s">
        <v>379</v>
      </c>
      <c r="K1427" t="s">
        <v>748</v>
      </c>
      <c r="L1427" s="784" t="s">
        <v>575</v>
      </c>
      <c r="M1427" t="s">
        <v>745</v>
      </c>
      <c r="P1427" t="s">
        <v>1887</v>
      </c>
      <c r="R1427" t="s">
        <v>152</v>
      </c>
      <c r="S1427" t="s">
        <v>146</v>
      </c>
      <c r="U1427">
        <v>0</v>
      </c>
      <c r="V1427" t="s">
        <v>541</v>
      </c>
      <c r="W1427" t="s">
        <v>546</v>
      </c>
      <c r="X1427" s="784">
        <v>357220835.93762809</v>
      </c>
    </row>
    <row r="1428" spans="1:24">
      <c r="A1428" t="s">
        <v>358</v>
      </c>
      <c r="B1428" t="s">
        <v>636</v>
      </c>
      <c r="C1428" t="s">
        <v>240</v>
      </c>
      <c r="D1428" t="s">
        <v>130</v>
      </c>
      <c r="E1428" t="s">
        <v>377</v>
      </c>
      <c r="F1428" t="s">
        <v>310</v>
      </c>
      <c r="G1428" t="s">
        <v>339</v>
      </c>
      <c r="H1428" t="s">
        <v>310</v>
      </c>
      <c r="I1428">
        <v>2021</v>
      </c>
      <c r="J1428" t="s">
        <v>379</v>
      </c>
      <c r="K1428" t="s">
        <v>748</v>
      </c>
      <c r="L1428" s="784" t="s">
        <v>575</v>
      </c>
      <c r="M1428" t="s">
        <v>745</v>
      </c>
      <c r="P1428" t="s">
        <v>1887</v>
      </c>
      <c r="R1428" t="s">
        <v>152</v>
      </c>
      <c r="S1428" t="s">
        <v>146</v>
      </c>
      <c r="U1428">
        <v>0</v>
      </c>
      <c r="V1428" t="s">
        <v>544</v>
      </c>
      <c r="W1428" t="s">
        <v>575</v>
      </c>
      <c r="X1428" s="784">
        <v>32831598153.796387</v>
      </c>
    </row>
    <row r="1429" spans="1:24">
      <c r="A1429" t="s">
        <v>358</v>
      </c>
      <c r="B1429" t="s">
        <v>637</v>
      </c>
      <c r="C1429" t="s">
        <v>241</v>
      </c>
      <c r="D1429" t="s">
        <v>126</v>
      </c>
      <c r="E1429" t="s">
        <v>377</v>
      </c>
      <c r="F1429" t="s">
        <v>310</v>
      </c>
      <c r="G1429" t="s">
        <v>339</v>
      </c>
      <c r="H1429" t="s">
        <v>310</v>
      </c>
      <c r="I1429">
        <v>2021</v>
      </c>
      <c r="J1429" t="s">
        <v>379</v>
      </c>
      <c r="K1429" t="s">
        <v>748</v>
      </c>
      <c r="L1429" s="784" t="s">
        <v>1437</v>
      </c>
      <c r="M1429" t="s">
        <v>745</v>
      </c>
      <c r="P1429" t="s">
        <v>1887</v>
      </c>
      <c r="R1429" t="s">
        <v>150</v>
      </c>
      <c r="S1429" t="s">
        <v>145</v>
      </c>
      <c r="U1429">
        <v>0</v>
      </c>
      <c r="V1429" t="s">
        <v>541</v>
      </c>
      <c r="W1429" t="s">
        <v>542</v>
      </c>
      <c r="X1429" s="784">
        <v>12329056.093798399</v>
      </c>
    </row>
    <row r="1430" spans="1:24">
      <c r="A1430" t="s">
        <v>358</v>
      </c>
      <c r="B1430" t="s">
        <v>638</v>
      </c>
      <c r="C1430" t="s">
        <v>242</v>
      </c>
      <c r="D1430" t="s">
        <v>127</v>
      </c>
      <c r="E1430" t="s">
        <v>377</v>
      </c>
      <c r="F1430" t="s">
        <v>310</v>
      </c>
      <c r="G1430" t="s">
        <v>339</v>
      </c>
      <c r="H1430" t="s">
        <v>310</v>
      </c>
      <c r="I1430">
        <v>2021</v>
      </c>
      <c r="J1430" t="s">
        <v>379</v>
      </c>
      <c r="K1430" t="s">
        <v>748</v>
      </c>
      <c r="L1430" s="784">
        <v>90649</v>
      </c>
      <c r="M1430" t="s">
        <v>745</v>
      </c>
      <c r="P1430" t="s">
        <v>1887</v>
      </c>
      <c r="R1430" t="s">
        <v>152</v>
      </c>
      <c r="S1430" t="s">
        <v>145</v>
      </c>
      <c r="U1430">
        <v>0</v>
      </c>
      <c r="V1430" t="s">
        <v>544</v>
      </c>
      <c r="W1430" t="s">
        <v>558</v>
      </c>
      <c r="X1430" s="784">
        <v>426639742.85328001</v>
      </c>
    </row>
    <row r="1431" spans="1:24">
      <c r="A1431" t="s">
        <v>358</v>
      </c>
      <c r="B1431" t="s">
        <v>639</v>
      </c>
      <c r="C1431" t="s">
        <v>243</v>
      </c>
      <c r="D1431" t="s">
        <v>126</v>
      </c>
      <c r="E1431" t="s">
        <v>377</v>
      </c>
      <c r="F1431" t="s">
        <v>310</v>
      </c>
      <c r="G1431" t="s">
        <v>339</v>
      </c>
      <c r="H1431" t="s">
        <v>310</v>
      </c>
      <c r="I1431">
        <v>2021</v>
      </c>
      <c r="J1431" t="s">
        <v>379</v>
      </c>
      <c r="K1431" t="s">
        <v>748</v>
      </c>
      <c r="L1431" s="784">
        <v>71067</v>
      </c>
      <c r="M1431" t="s">
        <v>745</v>
      </c>
      <c r="P1431" t="s">
        <v>1887</v>
      </c>
      <c r="R1431" t="s">
        <v>150</v>
      </c>
      <c r="S1431" t="s">
        <v>145</v>
      </c>
      <c r="U1431">
        <v>0</v>
      </c>
      <c r="V1431" t="s">
        <v>544</v>
      </c>
      <c r="W1431" t="s">
        <v>548</v>
      </c>
      <c r="X1431" s="784">
        <v>288519671.85870522</v>
      </c>
    </row>
    <row r="1432" spans="1:24">
      <c r="A1432" t="s">
        <v>358</v>
      </c>
      <c r="B1432" t="s">
        <v>640</v>
      </c>
      <c r="C1432" t="s">
        <v>244</v>
      </c>
      <c r="D1432" t="s">
        <v>127</v>
      </c>
      <c r="E1432" t="s">
        <v>377</v>
      </c>
      <c r="F1432" t="s">
        <v>310</v>
      </c>
      <c r="G1432" t="s">
        <v>339</v>
      </c>
      <c r="H1432" t="s">
        <v>310</v>
      </c>
      <c r="I1432">
        <v>2021</v>
      </c>
      <c r="J1432" t="s">
        <v>379</v>
      </c>
      <c r="K1432" t="s">
        <v>748</v>
      </c>
      <c r="L1432" s="784" t="s">
        <v>575</v>
      </c>
      <c r="M1432" t="s">
        <v>745</v>
      </c>
      <c r="P1432" t="s">
        <v>1887</v>
      </c>
      <c r="R1432" t="s">
        <v>152</v>
      </c>
      <c r="S1432" t="s">
        <v>146</v>
      </c>
      <c r="U1432">
        <v>0</v>
      </c>
      <c r="V1432" t="s">
        <v>544</v>
      </c>
      <c r="W1432" t="s">
        <v>546</v>
      </c>
      <c r="X1432" s="784">
        <v>275606560.78491527</v>
      </c>
    </row>
    <row r="1433" spans="1:24">
      <c r="A1433" t="s">
        <v>358</v>
      </c>
      <c r="B1433" t="s">
        <v>641</v>
      </c>
      <c r="C1433" t="s">
        <v>245</v>
      </c>
      <c r="D1433" t="s">
        <v>131</v>
      </c>
      <c r="E1433" t="s">
        <v>377</v>
      </c>
      <c r="F1433" t="s">
        <v>310</v>
      </c>
      <c r="G1433" t="s">
        <v>339</v>
      </c>
      <c r="H1433" t="s">
        <v>310</v>
      </c>
      <c r="I1433">
        <v>2021</v>
      </c>
      <c r="J1433" t="s">
        <v>379</v>
      </c>
      <c r="K1433" t="s">
        <v>748</v>
      </c>
      <c r="L1433" s="784" t="s">
        <v>1437</v>
      </c>
      <c r="M1433" t="s">
        <v>745</v>
      </c>
      <c r="P1433" t="s">
        <v>1887</v>
      </c>
      <c r="R1433" t="s">
        <v>150</v>
      </c>
      <c r="S1433" t="s">
        <v>145</v>
      </c>
      <c r="U1433">
        <v>0</v>
      </c>
      <c r="V1433" t="s">
        <v>544</v>
      </c>
      <c r="W1433" t="s">
        <v>546</v>
      </c>
      <c r="X1433" s="784">
        <v>2530937679.3725696</v>
      </c>
    </row>
    <row r="1434" spans="1:24">
      <c r="A1434" t="s">
        <v>358</v>
      </c>
      <c r="B1434" t="s">
        <v>642</v>
      </c>
      <c r="C1434" t="s">
        <v>246</v>
      </c>
      <c r="D1434" t="s">
        <v>128</v>
      </c>
      <c r="E1434" t="s">
        <v>377</v>
      </c>
      <c r="F1434" t="s">
        <v>310</v>
      </c>
      <c r="G1434" t="s">
        <v>339</v>
      </c>
      <c r="H1434" t="s">
        <v>310</v>
      </c>
      <c r="I1434">
        <v>2021</v>
      </c>
      <c r="J1434" t="s">
        <v>379</v>
      </c>
      <c r="K1434" t="s">
        <v>748</v>
      </c>
      <c r="L1434" s="784">
        <v>322906</v>
      </c>
      <c r="M1434" t="s">
        <v>745</v>
      </c>
      <c r="P1434" t="s">
        <v>1887</v>
      </c>
      <c r="R1434" t="s">
        <v>148</v>
      </c>
      <c r="S1434" t="s">
        <v>145</v>
      </c>
      <c r="U1434">
        <v>0</v>
      </c>
      <c r="V1434" t="s">
        <v>544</v>
      </c>
      <c r="W1434" t="s">
        <v>583</v>
      </c>
      <c r="X1434" s="784">
        <v>251432156.86255455</v>
      </c>
    </row>
    <row r="1435" spans="1:24">
      <c r="A1435" t="s">
        <v>358</v>
      </c>
      <c r="B1435" t="s">
        <v>643</v>
      </c>
      <c r="C1435" t="s">
        <v>247</v>
      </c>
      <c r="D1435" t="s">
        <v>126</v>
      </c>
      <c r="E1435" t="s">
        <v>377</v>
      </c>
      <c r="F1435" t="s">
        <v>310</v>
      </c>
      <c r="G1435" t="s">
        <v>339</v>
      </c>
      <c r="H1435" t="s">
        <v>310</v>
      </c>
      <c r="I1435">
        <v>2021</v>
      </c>
      <c r="J1435" t="s">
        <v>379</v>
      </c>
      <c r="K1435" t="s">
        <v>748</v>
      </c>
      <c r="L1435" s="784" t="s">
        <v>1437</v>
      </c>
      <c r="M1435" t="s">
        <v>745</v>
      </c>
      <c r="P1435" t="s">
        <v>1887</v>
      </c>
      <c r="R1435" t="s">
        <v>150</v>
      </c>
      <c r="S1435" t="s">
        <v>145</v>
      </c>
      <c r="U1435">
        <v>0</v>
      </c>
      <c r="V1435" t="s">
        <v>544</v>
      </c>
      <c r="W1435" t="s">
        <v>558</v>
      </c>
      <c r="X1435" s="784">
        <v>471534500.60109437</v>
      </c>
    </row>
    <row r="1436" spans="1:24">
      <c r="A1436" t="s">
        <v>358</v>
      </c>
      <c r="B1436" t="s">
        <v>644</v>
      </c>
      <c r="C1436" t="s">
        <v>248</v>
      </c>
      <c r="D1436" t="s">
        <v>128</v>
      </c>
      <c r="E1436" t="s">
        <v>377</v>
      </c>
      <c r="F1436" t="s">
        <v>310</v>
      </c>
      <c r="G1436" t="s">
        <v>339</v>
      </c>
      <c r="H1436" t="s">
        <v>310</v>
      </c>
      <c r="I1436">
        <v>2021</v>
      </c>
      <c r="J1436" t="s">
        <v>379</v>
      </c>
      <c r="K1436" t="s">
        <v>748</v>
      </c>
      <c r="L1436" s="784" t="s">
        <v>575</v>
      </c>
      <c r="M1436" t="s">
        <v>745</v>
      </c>
      <c r="P1436" t="s">
        <v>1887</v>
      </c>
      <c r="R1436" t="s">
        <v>152</v>
      </c>
      <c r="S1436" t="s">
        <v>146</v>
      </c>
      <c r="U1436">
        <v>0</v>
      </c>
      <c r="V1436" t="s">
        <v>544</v>
      </c>
      <c r="W1436" t="s">
        <v>575</v>
      </c>
      <c r="X1436" s="784">
        <v>531677611.80447447</v>
      </c>
    </row>
    <row r="1437" spans="1:24">
      <c r="A1437" t="s">
        <v>358</v>
      </c>
      <c r="B1437" t="s">
        <v>645</v>
      </c>
      <c r="C1437" t="s">
        <v>249</v>
      </c>
      <c r="D1437" t="s">
        <v>126</v>
      </c>
      <c r="E1437" t="s">
        <v>377</v>
      </c>
      <c r="F1437" t="s">
        <v>310</v>
      </c>
      <c r="G1437" t="s">
        <v>339</v>
      </c>
      <c r="H1437" t="s">
        <v>310</v>
      </c>
      <c r="I1437">
        <v>2021</v>
      </c>
      <c r="J1437" t="s">
        <v>379</v>
      </c>
      <c r="K1437" t="s">
        <v>748</v>
      </c>
      <c r="L1437" s="784" t="s">
        <v>575</v>
      </c>
      <c r="M1437" t="s">
        <v>745</v>
      </c>
      <c r="P1437" t="s">
        <v>1887</v>
      </c>
      <c r="R1437" t="s">
        <v>550</v>
      </c>
      <c r="S1437" t="s">
        <v>146</v>
      </c>
      <c r="U1437">
        <v>0</v>
      </c>
      <c r="V1437" t="s">
        <v>541</v>
      </c>
      <c r="W1437" t="s">
        <v>575</v>
      </c>
      <c r="X1437" s="784">
        <v>8528751.6418357007</v>
      </c>
    </row>
    <row r="1438" spans="1:24">
      <c r="A1438" t="s">
        <v>358</v>
      </c>
      <c r="B1438" t="s">
        <v>646</v>
      </c>
      <c r="C1438" t="s">
        <v>250</v>
      </c>
      <c r="D1438" t="s">
        <v>132</v>
      </c>
      <c r="E1438" t="s">
        <v>377</v>
      </c>
      <c r="F1438" t="s">
        <v>310</v>
      </c>
      <c r="G1438" t="s">
        <v>339</v>
      </c>
      <c r="H1438" t="s">
        <v>310</v>
      </c>
      <c r="I1438">
        <v>2021</v>
      </c>
      <c r="J1438" t="s">
        <v>379</v>
      </c>
      <c r="K1438" t="s">
        <v>748</v>
      </c>
      <c r="L1438" s="784">
        <v>737464</v>
      </c>
      <c r="M1438" t="s">
        <v>745</v>
      </c>
      <c r="P1438" t="s">
        <v>1887</v>
      </c>
      <c r="R1438" t="s">
        <v>150</v>
      </c>
      <c r="S1438" t="s">
        <v>145</v>
      </c>
      <c r="U1438">
        <v>0</v>
      </c>
      <c r="V1438" t="s">
        <v>544</v>
      </c>
      <c r="W1438" t="s">
        <v>558</v>
      </c>
      <c r="X1438" s="784">
        <v>407084543.19089872</v>
      </c>
    </row>
    <row r="1439" spans="1:24">
      <c r="A1439" t="s">
        <v>358</v>
      </c>
      <c r="B1439" t="s">
        <v>647</v>
      </c>
      <c r="C1439" t="s">
        <v>251</v>
      </c>
      <c r="D1439" t="s">
        <v>130</v>
      </c>
      <c r="E1439" t="s">
        <v>377</v>
      </c>
      <c r="F1439" t="s">
        <v>310</v>
      </c>
      <c r="G1439" t="s">
        <v>339</v>
      </c>
      <c r="H1439" t="s">
        <v>310</v>
      </c>
      <c r="I1439">
        <v>2021</v>
      </c>
      <c r="J1439" t="s">
        <v>379</v>
      </c>
      <c r="K1439" t="s">
        <v>748</v>
      </c>
      <c r="L1439" s="784">
        <v>218802</v>
      </c>
      <c r="M1439" t="s">
        <v>745</v>
      </c>
      <c r="P1439" t="s">
        <v>1887</v>
      </c>
      <c r="R1439" t="s">
        <v>150</v>
      </c>
      <c r="S1439" t="s">
        <v>145</v>
      </c>
      <c r="U1439">
        <v>0</v>
      </c>
      <c r="V1439" t="s">
        <v>544</v>
      </c>
      <c r="W1439" t="s">
        <v>562</v>
      </c>
      <c r="X1439" s="784">
        <v>671998341.93592453</v>
      </c>
    </row>
    <row r="1440" spans="1:24">
      <c r="A1440" t="s">
        <v>358</v>
      </c>
      <c r="B1440" t="s">
        <v>648</v>
      </c>
      <c r="C1440" t="s">
        <v>252</v>
      </c>
      <c r="D1440" t="s">
        <v>129</v>
      </c>
      <c r="E1440" t="s">
        <v>377</v>
      </c>
      <c r="F1440" t="s">
        <v>310</v>
      </c>
      <c r="G1440" t="s">
        <v>339</v>
      </c>
      <c r="H1440" t="s">
        <v>310</v>
      </c>
      <c r="I1440">
        <v>2021</v>
      </c>
      <c r="J1440" t="s">
        <v>379</v>
      </c>
      <c r="K1440" t="s">
        <v>748</v>
      </c>
      <c r="L1440" s="784">
        <v>639701</v>
      </c>
      <c r="M1440" t="s">
        <v>745</v>
      </c>
      <c r="P1440" t="s">
        <v>1887</v>
      </c>
      <c r="R1440" t="s">
        <v>148</v>
      </c>
      <c r="S1440" t="s">
        <v>145</v>
      </c>
      <c r="U1440">
        <v>1</v>
      </c>
      <c r="V1440" t="s">
        <v>544</v>
      </c>
      <c r="W1440" t="s">
        <v>562</v>
      </c>
      <c r="X1440" s="784">
        <v>226203289.67158964</v>
      </c>
    </row>
    <row r="1441" spans="1:24">
      <c r="A1441" t="s">
        <v>358</v>
      </c>
      <c r="B1441" t="s">
        <v>649</v>
      </c>
      <c r="C1441" t="s">
        <v>253</v>
      </c>
      <c r="D1441" t="s">
        <v>129</v>
      </c>
      <c r="E1441" t="s">
        <v>377</v>
      </c>
      <c r="F1441" t="s">
        <v>310</v>
      </c>
      <c r="G1441" t="s">
        <v>339</v>
      </c>
      <c r="H1441" t="s">
        <v>310</v>
      </c>
      <c r="I1441">
        <v>2021</v>
      </c>
      <c r="J1441" t="s">
        <v>379</v>
      </c>
      <c r="K1441" t="s">
        <v>748</v>
      </c>
      <c r="L1441" s="784">
        <v>2554787</v>
      </c>
      <c r="M1441" t="s">
        <v>745</v>
      </c>
      <c r="P1441" t="s">
        <v>1887</v>
      </c>
      <c r="R1441" t="s">
        <v>150</v>
      </c>
      <c r="S1441" t="s">
        <v>145</v>
      </c>
      <c r="U1441">
        <v>3</v>
      </c>
      <c r="V1441" t="s">
        <v>544</v>
      </c>
      <c r="W1441" t="s">
        <v>548</v>
      </c>
      <c r="X1441" s="784">
        <v>2438881113.1244688</v>
      </c>
    </row>
    <row r="1442" spans="1:24">
      <c r="A1442" t="s">
        <v>358</v>
      </c>
      <c r="B1442" t="s">
        <v>650</v>
      </c>
      <c r="C1442" t="s">
        <v>254</v>
      </c>
      <c r="D1442" t="s">
        <v>127</v>
      </c>
      <c r="E1442" t="s">
        <v>377</v>
      </c>
      <c r="F1442" t="s">
        <v>310</v>
      </c>
      <c r="G1442" t="s">
        <v>339</v>
      </c>
      <c r="H1442" t="s">
        <v>310</v>
      </c>
      <c r="I1442">
        <v>2021</v>
      </c>
      <c r="J1442" t="s">
        <v>379</v>
      </c>
      <c r="K1442" t="s">
        <v>748</v>
      </c>
      <c r="L1442" s="784" t="s">
        <v>575</v>
      </c>
      <c r="M1442" t="s">
        <v>745</v>
      </c>
      <c r="P1442" t="s">
        <v>1887</v>
      </c>
      <c r="R1442" t="s">
        <v>152</v>
      </c>
      <c r="S1442" t="s">
        <v>146</v>
      </c>
      <c r="U1442">
        <v>0</v>
      </c>
      <c r="V1442" t="s">
        <v>544</v>
      </c>
      <c r="W1442" t="s">
        <v>575</v>
      </c>
      <c r="X1442" s="784">
        <v>476517795.73174149</v>
      </c>
    </row>
    <row r="1443" spans="1:24">
      <c r="A1443" t="s">
        <v>358</v>
      </c>
      <c r="B1443" t="s">
        <v>651</v>
      </c>
      <c r="C1443" t="s">
        <v>255</v>
      </c>
      <c r="D1443" t="s">
        <v>132</v>
      </c>
      <c r="E1443" t="s">
        <v>377</v>
      </c>
      <c r="F1443" t="s">
        <v>310</v>
      </c>
      <c r="G1443" t="s">
        <v>339</v>
      </c>
      <c r="H1443" t="s">
        <v>310</v>
      </c>
      <c r="I1443">
        <v>2021</v>
      </c>
      <c r="J1443" t="s">
        <v>379</v>
      </c>
      <c r="K1443" t="s">
        <v>748</v>
      </c>
      <c r="L1443" s="784">
        <v>2538909</v>
      </c>
      <c r="M1443" t="s">
        <v>745</v>
      </c>
      <c r="P1443" t="s">
        <v>1887</v>
      </c>
      <c r="R1443" t="s">
        <v>150</v>
      </c>
      <c r="S1443" t="s">
        <v>145</v>
      </c>
      <c r="U1443">
        <v>0</v>
      </c>
      <c r="V1443" t="s">
        <v>544</v>
      </c>
      <c r="W1443" t="s">
        <v>548</v>
      </c>
      <c r="X1443" s="784">
        <v>3233351297.7679496</v>
      </c>
    </row>
    <row r="1444" spans="1:24">
      <c r="A1444" t="s">
        <v>358</v>
      </c>
      <c r="B1444" t="s">
        <v>652</v>
      </c>
      <c r="C1444" t="s">
        <v>256</v>
      </c>
      <c r="D1444" t="s">
        <v>130</v>
      </c>
      <c r="E1444" t="s">
        <v>377</v>
      </c>
      <c r="F1444" t="s">
        <v>310</v>
      </c>
      <c r="G1444" t="s">
        <v>339</v>
      </c>
      <c r="H1444" t="s">
        <v>310</v>
      </c>
      <c r="I1444">
        <v>2021</v>
      </c>
      <c r="J1444" t="s">
        <v>379</v>
      </c>
      <c r="K1444" t="s">
        <v>748</v>
      </c>
      <c r="L1444" s="784" t="s">
        <v>575</v>
      </c>
      <c r="M1444" t="s">
        <v>745</v>
      </c>
      <c r="P1444" t="s">
        <v>1887</v>
      </c>
      <c r="R1444" t="s">
        <v>550</v>
      </c>
      <c r="S1444" t="s">
        <v>146</v>
      </c>
      <c r="U1444">
        <v>0</v>
      </c>
      <c r="V1444" t="s">
        <v>541</v>
      </c>
      <c r="W1444" t="s">
        <v>575</v>
      </c>
      <c r="X1444" s="784">
        <v>18180646.808608256</v>
      </c>
    </row>
    <row r="1445" spans="1:24">
      <c r="A1445" t="s">
        <v>358</v>
      </c>
      <c r="B1445" t="s">
        <v>653</v>
      </c>
      <c r="C1445" t="s">
        <v>257</v>
      </c>
      <c r="D1445" t="s">
        <v>130</v>
      </c>
      <c r="E1445" t="s">
        <v>377</v>
      </c>
      <c r="F1445" t="s">
        <v>310</v>
      </c>
      <c r="G1445" t="s">
        <v>339</v>
      </c>
      <c r="H1445" t="s">
        <v>310</v>
      </c>
      <c r="I1445">
        <v>2021</v>
      </c>
      <c r="J1445" t="s">
        <v>379</v>
      </c>
      <c r="K1445" t="s">
        <v>748</v>
      </c>
      <c r="L1445" s="784" t="s">
        <v>575</v>
      </c>
      <c r="M1445" t="s">
        <v>745</v>
      </c>
      <c r="P1445" t="s">
        <v>1887</v>
      </c>
      <c r="R1445" t="s">
        <v>152</v>
      </c>
      <c r="S1445" t="s">
        <v>146</v>
      </c>
      <c r="U1445">
        <v>0</v>
      </c>
      <c r="V1445" t="s">
        <v>544</v>
      </c>
      <c r="W1445" t="s">
        <v>546</v>
      </c>
      <c r="X1445" s="784">
        <v>3020530707.3485303</v>
      </c>
    </row>
    <row r="1446" spans="1:24">
      <c r="A1446" t="s">
        <v>358</v>
      </c>
      <c r="B1446" t="s">
        <v>654</v>
      </c>
      <c r="C1446" t="s">
        <v>258</v>
      </c>
      <c r="D1446" t="s">
        <v>126</v>
      </c>
      <c r="E1446" t="s">
        <v>377</v>
      </c>
      <c r="F1446" t="s">
        <v>310</v>
      </c>
      <c r="G1446" t="s">
        <v>339</v>
      </c>
      <c r="H1446" t="s">
        <v>310</v>
      </c>
      <c r="I1446">
        <v>2021</v>
      </c>
      <c r="J1446" t="s">
        <v>379</v>
      </c>
      <c r="K1446" t="s">
        <v>748</v>
      </c>
      <c r="L1446" s="784">
        <v>199349</v>
      </c>
      <c r="M1446" t="s">
        <v>745</v>
      </c>
      <c r="P1446" t="s">
        <v>1887</v>
      </c>
      <c r="R1446" t="s">
        <v>150</v>
      </c>
      <c r="S1446" t="s">
        <v>145</v>
      </c>
      <c r="U1446">
        <v>1</v>
      </c>
      <c r="V1446" t="s">
        <v>541</v>
      </c>
      <c r="W1446" t="s">
        <v>542</v>
      </c>
      <c r="X1446" s="784">
        <v>384406316.46074712</v>
      </c>
    </row>
    <row r="1447" spans="1:24">
      <c r="A1447" t="s">
        <v>358</v>
      </c>
      <c r="B1447" t="s">
        <v>655</v>
      </c>
      <c r="C1447" t="s">
        <v>259</v>
      </c>
      <c r="D1447" t="s">
        <v>130</v>
      </c>
      <c r="E1447" t="s">
        <v>377</v>
      </c>
      <c r="F1447" t="s">
        <v>310</v>
      </c>
      <c r="G1447" t="s">
        <v>339</v>
      </c>
      <c r="H1447" t="s">
        <v>310</v>
      </c>
      <c r="I1447">
        <v>2021</v>
      </c>
      <c r="J1447" t="s">
        <v>379</v>
      </c>
      <c r="K1447" t="s">
        <v>748</v>
      </c>
      <c r="L1447" s="784" t="s">
        <v>575</v>
      </c>
      <c r="M1447" t="s">
        <v>745</v>
      </c>
      <c r="P1447" t="s">
        <v>1887</v>
      </c>
      <c r="R1447" t="s">
        <v>152</v>
      </c>
      <c r="S1447" t="s">
        <v>146</v>
      </c>
      <c r="U1447">
        <v>0</v>
      </c>
      <c r="V1447" t="s">
        <v>544</v>
      </c>
      <c r="W1447" t="s">
        <v>575</v>
      </c>
      <c r="X1447" s="784">
        <v>1218747108.9554784</v>
      </c>
    </row>
    <row r="1448" spans="1:24">
      <c r="A1448" t="s">
        <v>358</v>
      </c>
      <c r="B1448" t="s">
        <v>656</v>
      </c>
      <c r="C1448" t="s">
        <v>260</v>
      </c>
      <c r="D1448" t="s">
        <v>130</v>
      </c>
      <c r="E1448" t="s">
        <v>377</v>
      </c>
      <c r="F1448" t="s">
        <v>310</v>
      </c>
      <c r="G1448" t="s">
        <v>339</v>
      </c>
      <c r="H1448" t="s">
        <v>310</v>
      </c>
      <c r="I1448">
        <v>2021</v>
      </c>
      <c r="J1448" t="s">
        <v>379</v>
      </c>
      <c r="K1448" t="s">
        <v>748</v>
      </c>
      <c r="L1448" s="784" t="s">
        <v>575</v>
      </c>
      <c r="M1448" t="s">
        <v>745</v>
      </c>
      <c r="P1448" t="s">
        <v>1887</v>
      </c>
      <c r="R1448" t="s">
        <v>152</v>
      </c>
      <c r="S1448" t="s">
        <v>146</v>
      </c>
      <c r="U1448">
        <v>0</v>
      </c>
      <c r="V1448" t="s">
        <v>544</v>
      </c>
      <c r="W1448" t="s">
        <v>575</v>
      </c>
      <c r="X1448" s="784">
        <v>7392665952.5895758</v>
      </c>
    </row>
    <row r="1449" spans="1:24">
      <c r="A1449" t="s">
        <v>358</v>
      </c>
      <c r="B1449" t="s">
        <v>657</v>
      </c>
      <c r="C1449" t="s">
        <v>261</v>
      </c>
      <c r="D1449" t="s">
        <v>126</v>
      </c>
      <c r="E1449" t="s">
        <v>377</v>
      </c>
      <c r="F1449" t="s">
        <v>310</v>
      </c>
      <c r="G1449" t="s">
        <v>339</v>
      </c>
      <c r="H1449" t="s">
        <v>310</v>
      </c>
      <c r="I1449">
        <v>2021</v>
      </c>
      <c r="J1449" t="s">
        <v>379</v>
      </c>
      <c r="K1449" t="s">
        <v>748</v>
      </c>
      <c r="L1449" s="784">
        <v>1428676</v>
      </c>
      <c r="M1449" t="s">
        <v>745</v>
      </c>
      <c r="P1449" t="s">
        <v>1887</v>
      </c>
      <c r="R1449" t="s">
        <v>150</v>
      </c>
      <c r="S1449" t="s">
        <v>145</v>
      </c>
      <c r="U1449">
        <v>0</v>
      </c>
      <c r="V1449" t="s">
        <v>544</v>
      </c>
      <c r="W1449" t="s">
        <v>546</v>
      </c>
      <c r="X1449" s="784">
        <v>4754985988.6004429</v>
      </c>
    </row>
    <row r="1450" spans="1:24">
      <c r="A1450" t="s">
        <v>358</v>
      </c>
      <c r="B1450" t="s">
        <v>658</v>
      </c>
      <c r="C1450" t="s">
        <v>262</v>
      </c>
      <c r="D1450" t="s">
        <v>127</v>
      </c>
      <c r="E1450" t="s">
        <v>377</v>
      </c>
      <c r="F1450" t="s">
        <v>310</v>
      </c>
      <c r="G1450" t="s">
        <v>339</v>
      </c>
      <c r="H1450" t="s">
        <v>310</v>
      </c>
      <c r="I1450">
        <v>2021</v>
      </c>
      <c r="J1450" t="s">
        <v>379</v>
      </c>
      <c r="K1450" t="s">
        <v>748</v>
      </c>
      <c r="L1450" s="784" t="s">
        <v>575</v>
      </c>
      <c r="M1450" t="s">
        <v>745</v>
      </c>
      <c r="P1450" t="s">
        <v>1887</v>
      </c>
      <c r="R1450" t="s">
        <v>550</v>
      </c>
      <c r="S1450" t="s">
        <v>146</v>
      </c>
      <c r="U1450">
        <v>0</v>
      </c>
      <c r="V1450" t="s">
        <v>544</v>
      </c>
      <c r="W1450" t="s">
        <v>575</v>
      </c>
      <c r="X1450" s="784">
        <v>26422210443.037273</v>
      </c>
    </row>
    <row r="1451" spans="1:24">
      <c r="A1451" t="s">
        <v>358</v>
      </c>
      <c r="B1451" t="s">
        <v>659</v>
      </c>
      <c r="C1451" t="s">
        <v>151</v>
      </c>
      <c r="D1451" t="s">
        <v>127</v>
      </c>
      <c r="E1451" t="s">
        <v>377</v>
      </c>
      <c r="F1451" t="s">
        <v>310</v>
      </c>
      <c r="G1451" t="s">
        <v>339</v>
      </c>
      <c r="H1451" t="s">
        <v>310</v>
      </c>
      <c r="I1451">
        <v>2021</v>
      </c>
      <c r="J1451" t="s">
        <v>379</v>
      </c>
      <c r="K1451" t="s">
        <v>748</v>
      </c>
      <c r="L1451" s="784" t="s">
        <v>575</v>
      </c>
      <c r="M1451" t="s">
        <v>745</v>
      </c>
      <c r="P1451" t="s">
        <v>1887</v>
      </c>
      <c r="R1451" t="s">
        <v>152</v>
      </c>
      <c r="S1451" t="s">
        <v>146</v>
      </c>
      <c r="U1451">
        <v>0</v>
      </c>
      <c r="V1451" t="s">
        <v>544</v>
      </c>
      <c r="W1451" t="s">
        <v>575</v>
      </c>
      <c r="X1451" s="784">
        <v>10696495313.15033</v>
      </c>
    </row>
    <row r="1452" spans="1:24">
      <c r="A1452" t="s">
        <v>358</v>
      </c>
      <c r="B1452" t="s">
        <v>660</v>
      </c>
      <c r="C1452" t="s">
        <v>263</v>
      </c>
      <c r="D1452" t="s">
        <v>127</v>
      </c>
      <c r="E1452" t="s">
        <v>377</v>
      </c>
      <c r="F1452" t="s">
        <v>310</v>
      </c>
      <c r="G1452" t="s">
        <v>339</v>
      </c>
      <c r="H1452" t="s">
        <v>310</v>
      </c>
      <c r="I1452">
        <v>2021</v>
      </c>
      <c r="J1452" t="s">
        <v>379</v>
      </c>
      <c r="K1452" t="s">
        <v>748</v>
      </c>
      <c r="L1452" s="784" t="s">
        <v>575</v>
      </c>
      <c r="M1452" t="s">
        <v>745</v>
      </c>
      <c r="P1452" t="s">
        <v>1887</v>
      </c>
      <c r="R1452" t="s">
        <v>152</v>
      </c>
      <c r="S1452" t="s">
        <v>146</v>
      </c>
      <c r="U1452">
        <v>0</v>
      </c>
      <c r="V1452" t="s">
        <v>544</v>
      </c>
      <c r="W1452" t="s">
        <v>575</v>
      </c>
      <c r="X1452" s="784">
        <v>52769713433.240509</v>
      </c>
    </row>
    <row r="1453" spans="1:24">
      <c r="A1453" t="s">
        <v>358</v>
      </c>
      <c r="B1453" t="s">
        <v>661</v>
      </c>
      <c r="C1453" t="s">
        <v>264</v>
      </c>
      <c r="D1453" t="s">
        <v>128</v>
      </c>
      <c r="E1453" t="s">
        <v>377</v>
      </c>
      <c r="F1453" t="s">
        <v>310</v>
      </c>
      <c r="G1453" t="s">
        <v>339</v>
      </c>
      <c r="H1453" t="s">
        <v>310</v>
      </c>
      <c r="I1453">
        <v>2021</v>
      </c>
      <c r="J1453" t="s">
        <v>379</v>
      </c>
      <c r="K1453" t="s">
        <v>748</v>
      </c>
      <c r="L1453" s="784">
        <v>381994</v>
      </c>
      <c r="M1453" t="s">
        <v>745</v>
      </c>
      <c r="P1453" t="s">
        <v>1887</v>
      </c>
      <c r="R1453" t="s">
        <v>148</v>
      </c>
      <c r="S1453" t="s">
        <v>145</v>
      </c>
      <c r="U1453">
        <v>0</v>
      </c>
      <c r="V1453" t="s">
        <v>544</v>
      </c>
      <c r="W1453" t="s">
        <v>562</v>
      </c>
      <c r="X1453" s="784">
        <v>225799814.51943746</v>
      </c>
    </row>
    <row r="1454" spans="1:24">
      <c r="A1454" t="s">
        <v>358</v>
      </c>
      <c r="B1454" t="s">
        <v>662</v>
      </c>
      <c r="C1454" t="s">
        <v>265</v>
      </c>
      <c r="D1454" t="s">
        <v>126</v>
      </c>
      <c r="E1454" t="s">
        <v>377</v>
      </c>
      <c r="F1454" t="s">
        <v>310</v>
      </c>
      <c r="G1454" t="s">
        <v>339</v>
      </c>
      <c r="H1454" t="s">
        <v>310</v>
      </c>
      <c r="I1454">
        <v>2021</v>
      </c>
      <c r="J1454" t="s">
        <v>379</v>
      </c>
      <c r="K1454" t="s">
        <v>748</v>
      </c>
      <c r="L1454" s="784" t="s">
        <v>1437</v>
      </c>
      <c r="M1454" t="s">
        <v>745</v>
      </c>
      <c r="P1454" t="s">
        <v>1887</v>
      </c>
      <c r="R1454" t="s">
        <v>150</v>
      </c>
      <c r="S1454" t="s">
        <v>145</v>
      </c>
      <c r="U1454">
        <v>0</v>
      </c>
      <c r="V1454" t="s">
        <v>541</v>
      </c>
      <c r="W1454" t="s">
        <v>542</v>
      </c>
      <c r="X1454" s="784">
        <v>32192988.027009469</v>
      </c>
    </row>
    <row r="1455" spans="1:24">
      <c r="A1455" t="s">
        <v>358</v>
      </c>
      <c r="B1455" t="s">
        <v>663</v>
      </c>
      <c r="C1455" t="s">
        <v>266</v>
      </c>
      <c r="D1455" t="s">
        <v>129</v>
      </c>
      <c r="E1455" t="s">
        <v>377</v>
      </c>
      <c r="F1455" t="s">
        <v>310</v>
      </c>
      <c r="G1455" t="s">
        <v>339</v>
      </c>
      <c r="H1455" t="s">
        <v>310</v>
      </c>
      <c r="I1455">
        <v>2021</v>
      </c>
      <c r="J1455" t="s">
        <v>379</v>
      </c>
      <c r="K1455" t="s">
        <v>748</v>
      </c>
      <c r="L1455" s="784">
        <v>91602</v>
      </c>
      <c r="M1455" t="s">
        <v>745</v>
      </c>
      <c r="P1455" t="s">
        <v>1887</v>
      </c>
      <c r="R1455" t="s">
        <v>150</v>
      </c>
      <c r="S1455" t="s">
        <v>145</v>
      </c>
      <c r="U1455">
        <v>0</v>
      </c>
      <c r="V1455" t="s">
        <v>541</v>
      </c>
      <c r="W1455" t="s">
        <v>583</v>
      </c>
      <c r="X1455" s="784">
        <v>11633535.136477679</v>
      </c>
    </row>
    <row r="1456" spans="1:24">
      <c r="A1456" t="s">
        <v>358</v>
      </c>
      <c r="B1456" t="s">
        <v>664</v>
      </c>
      <c r="C1456" t="s">
        <v>267</v>
      </c>
      <c r="D1456" t="s">
        <v>129</v>
      </c>
      <c r="E1456" t="s">
        <v>377</v>
      </c>
      <c r="F1456" t="s">
        <v>310</v>
      </c>
      <c r="G1456" t="s">
        <v>339</v>
      </c>
      <c r="H1456" t="s">
        <v>310</v>
      </c>
      <c r="I1456">
        <v>2021</v>
      </c>
      <c r="J1456" t="s">
        <v>379</v>
      </c>
      <c r="K1456" t="s">
        <v>748</v>
      </c>
      <c r="L1456" s="784">
        <v>463070</v>
      </c>
      <c r="M1456" t="s">
        <v>745</v>
      </c>
      <c r="P1456" t="s">
        <v>1887</v>
      </c>
      <c r="R1456" t="s">
        <v>150</v>
      </c>
      <c r="S1456" t="s">
        <v>145</v>
      </c>
      <c r="U1456">
        <v>2</v>
      </c>
      <c r="V1456" t="s">
        <v>544</v>
      </c>
      <c r="W1456" t="s">
        <v>562</v>
      </c>
      <c r="X1456" s="784">
        <v>222008693.93354639</v>
      </c>
    </row>
    <row r="1457" spans="1:24">
      <c r="A1457" t="s">
        <v>358</v>
      </c>
      <c r="B1457" t="s">
        <v>665</v>
      </c>
      <c r="C1457" t="s">
        <v>153</v>
      </c>
      <c r="D1457" t="s">
        <v>127</v>
      </c>
      <c r="E1457" t="s">
        <v>377</v>
      </c>
      <c r="F1457" t="s">
        <v>310</v>
      </c>
      <c r="G1457" t="s">
        <v>339</v>
      </c>
      <c r="H1457" t="s">
        <v>310</v>
      </c>
      <c r="I1457">
        <v>2021</v>
      </c>
      <c r="J1457" t="s">
        <v>379</v>
      </c>
      <c r="K1457" t="s">
        <v>748</v>
      </c>
      <c r="L1457" s="784" t="s">
        <v>575</v>
      </c>
      <c r="M1457" t="s">
        <v>745</v>
      </c>
      <c r="P1457" t="s">
        <v>1887</v>
      </c>
      <c r="R1457" t="s">
        <v>152</v>
      </c>
      <c r="S1457" t="s">
        <v>146</v>
      </c>
      <c r="U1457">
        <v>0</v>
      </c>
      <c r="V1457" t="s">
        <v>544</v>
      </c>
      <c r="W1457" t="s">
        <v>575</v>
      </c>
      <c r="X1457" s="784">
        <v>2564993795.1894679</v>
      </c>
    </row>
    <row r="1458" spans="1:24">
      <c r="A1458" t="s">
        <v>358</v>
      </c>
      <c r="B1458" t="s">
        <v>666</v>
      </c>
      <c r="C1458" t="s">
        <v>268</v>
      </c>
      <c r="D1458" t="s">
        <v>128</v>
      </c>
      <c r="E1458" t="s">
        <v>377</v>
      </c>
      <c r="F1458" t="s">
        <v>310</v>
      </c>
      <c r="G1458" t="s">
        <v>339</v>
      </c>
      <c r="H1458" t="s">
        <v>310</v>
      </c>
      <c r="I1458">
        <v>2021</v>
      </c>
      <c r="J1458" t="s">
        <v>379</v>
      </c>
      <c r="K1458" t="s">
        <v>748</v>
      </c>
      <c r="L1458" s="784" t="s">
        <v>575</v>
      </c>
      <c r="M1458" t="s">
        <v>745</v>
      </c>
      <c r="P1458" t="s">
        <v>1887</v>
      </c>
      <c r="R1458" t="s">
        <v>550</v>
      </c>
      <c r="S1458" t="s">
        <v>146</v>
      </c>
      <c r="U1458">
        <v>0</v>
      </c>
      <c r="V1458" t="s">
        <v>541</v>
      </c>
      <c r="W1458" t="s">
        <v>546</v>
      </c>
      <c r="X1458" s="784">
        <v>60237542.945069775</v>
      </c>
    </row>
    <row r="1459" spans="1:24">
      <c r="A1459" t="s">
        <v>358</v>
      </c>
      <c r="B1459" t="s">
        <v>667</v>
      </c>
      <c r="C1459" t="s">
        <v>269</v>
      </c>
      <c r="D1459" t="s">
        <v>129</v>
      </c>
      <c r="E1459" t="s">
        <v>377</v>
      </c>
      <c r="F1459" t="s">
        <v>310</v>
      </c>
      <c r="G1459" t="s">
        <v>339</v>
      </c>
      <c r="H1459" t="s">
        <v>310</v>
      </c>
      <c r="I1459">
        <v>2021</v>
      </c>
      <c r="J1459" t="s">
        <v>379</v>
      </c>
      <c r="K1459" t="s">
        <v>748</v>
      </c>
      <c r="L1459" s="784">
        <v>279827</v>
      </c>
      <c r="M1459" t="s">
        <v>745</v>
      </c>
      <c r="P1459" t="s">
        <v>1887</v>
      </c>
      <c r="R1459" t="s">
        <v>148</v>
      </c>
      <c r="S1459" t="s">
        <v>145</v>
      </c>
      <c r="U1459">
        <v>0</v>
      </c>
      <c r="V1459" t="s">
        <v>544</v>
      </c>
      <c r="W1459" t="s">
        <v>542</v>
      </c>
      <c r="X1459" s="784">
        <v>63738640.538260505</v>
      </c>
    </row>
    <row r="1460" spans="1:24">
      <c r="A1460" t="s">
        <v>358</v>
      </c>
      <c r="B1460" t="s">
        <v>668</v>
      </c>
      <c r="C1460" t="s">
        <v>270</v>
      </c>
      <c r="D1460" t="s">
        <v>126</v>
      </c>
      <c r="E1460" t="s">
        <v>377</v>
      </c>
      <c r="F1460" t="s">
        <v>310</v>
      </c>
      <c r="G1460" t="s">
        <v>339</v>
      </c>
      <c r="H1460" t="s">
        <v>310</v>
      </c>
      <c r="I1460">
        <v>2021</v>
      </c>
      <c r="J1460" t="s">
        <v>379</v>
      </c>
      <c r="K1460" t="s">
        <v>748</v>
      </c>
      <c r="L1460" s="784" t="s">
        <v>1437</v>
      </c>
      <c r="M1460" t="s">
        <v>745</v>
      </c>
      <c r="P1460" t="s">
        <v>1887</v>
      </c>
      <c r="R1460" t="s">
        <v>150</v>
      </c>
      <c r="S1460" t="s">
        <v>145</v>
      </c>
      <c r="U1460">
        <v>0</v>
      </c>
      <c r="V1460" t="s">
        <v>541</v>
      </c>
      <c r="W1460" t="s">
        <v>562</v>
      </c>
      <c r="X1460" s="784">
        <v>49012774.055630356</v>
      </c>
    </row>
    <row r="1461" spans="1:24">
      <c r="A1461" t="s">
        <v>358</v>
      </c>
      <c r="B1461" t="s">
        <v>669</v>
      </c>
      <c r="C1461" t="s">
        <v>271</v>
      </c>
      <c r="D1461" t="s">
        <v>128</v>
      </c>
      <c r="E1461" t="s">
        <v>377</v>
      </c>
      <c r="F1461" t="s">
        <v>310</v>
      </c>
      <c r="G1461" t="s">
        <v>339</v>
      </c>
      <c r="H1461" t="s">
        <v>310</v>
      </c>
      <c r="I1461">
        <v>2021</v>
      </c>
      <c r="J1461" t="s">
        <v>379</v>
      </c>
      <c r="K1461" t="s">
        <v>748</v>
      </c>
      <c r="L1461" s="784">
        <v>455449</v>
      </c>
      <c r="M1461" t="s">
        <v>745</v>
      </c>
      <c r="P1461" t="s">
        <v>1887</v>
      </c>
      <c r="R1461" t="s">
        <v>148</v>
      </c>
      <c r="S1461" t="s">
        <v>145</v>
      </c>
      <c r="U1461">
        <v>1</v>
      </c>
      <c r="V1461" t="s">
        <v>544</v>
      </c>
      <c r="W1461" t="s">
        <v>583</v>
      </c>
      <c r="X1461" s="784" t="s">
        <v>575</v>
      </c>
    </row>
    <row r="1462" spans="1:24">
      <c r="A1462" t="s">
        <v>358</v>
      </c>
      <c r="B1462" t="s">
        <v>670</v>
      </c>
      <c r="C1462" t="s">
        <v>272</v>
      </c>
      <c r="D1462" t="s">
        <v>128</v>
      </c>
      <c r="E1462" t="s">
        <v>377</v>
      </c>
      <c r="F1462" t="s">
        <v>310</v>
      </c>
      <c r="G1462" t="s">
        <v>339</v>
      </c>
      <c r="H1462" t="s">
        <v>310</v>
      </c>
      <c r="I1462">
        <v>2021</v>
      </c>
      <c r="J1462" t="s">
        <v>379</v>
      </c>
      <c r="K1462" t="s">
        <v>748</v>
      </c>
      <c r="L1462" s="784" t="s">
        <v>575</v>
      </c>
      <c r="M1462" t="s">
        <v>745</v>
      </c>
      <c r="P1462" t="s">
        <v>1887</v>
      </c>
      <c r="R1462" t="s">
        <v>152</v>
      </c>
      <c r="S1462" t="s">
        <v>146</v>
      </c>
      <c r="U1462">
        <v>0</v>
      </c>
      <c r="V1462" t="s">
        <v>544</v>
      </c>
      <c r="W1462" t="s">
        <v>546</v>
      </c>
      <c r="X1462" s="784">
        <v>16429121142.784708</v>
      </c>
    </row>
    <row r="1463" spans="1:24">
      <c r="A1463" t="s">
        <v>358</v>
      </c>
      <c r="B1463" t="s">
        <v>671</v>
      </c>
      <c r="C1463" t="s">
        <v>273</v>
      </c>
      <c r="D1463" t="s">
        <v>128</v>
      </c>
      <c r="E1463" t="s">
        <v>377</v>
      </c>
      <c r="F1463" t="s">
        <v>310</v>
      </c>
      <c r="G1463" t="s">
        <v>339</v>
      </c>
      <c r="H1463" t="s">
        <v>310</v>
      </c>
      <c r="I1463">
        <v>2021</v>
      </c>
      <c r="J1463" t="s">
        <v>379</v>
      </c>
      <c r="K1463" t="s">
        <v>748</v>
      </c>
      <c r="L1463" s="784">
        <v>344160</v>
      </c>
      <c r="M1463" t="s">
        <v>745</v>
      </c>
      <c r="P1463" t="s">
        <v>1887</v>
      </c>
      <c r="R1463" t="s">
        <v>148</v>
      </c>
      <c r="S1463" t="s">
        <v>145</v>
      </c>
      <c r="U1463">
        <v>1</v>
      </c>
      <c r="V1463" t="s">
        <v>544</v>
      </c>
      <c r="W1463" t="s">
        <v>542</v>
      </c>
      <c r="X1463" s="784">
        <v>31684581.76217727</v>
      </c>
    </row>
    <row r="1464" spans="1:24">
      <c r="A1464" t="s">
        <v>358</v>
      </c>
      <c r="B1464" t="s">
        <v>672</v>
      </c>
      <c r="C1464" t="s">
        <v>274</v>
      </c>
      <c r="D1464" t="s">
        <v>132</v>
      </c>
      <c r="E1464" t="s">
        <v>377</v>
      </c>
      <c r="F1464" t="s">
        <v>310</v>
      </c>
      <c r="G1464" t="s">
        <v>339</v>
      </c>
      <c r="H1464" t="s">
        <v>310</v>
      </c>
      <c r="I1464">
        <v>2021</v>
      </c>
      <c r="J1464" t="s">
        <v>379</v>
      </c>
      <c r="K1464" t="s">
        <v>748</v>
      </c>
      <c r="L1464" s="784">
        <v>374093</v>
      </c>
      <c r="M1464" t="s">
        <v>745</v>
      </c>
      <c r="P1464" t="s">
        <v>1887</v>
      </c>
      <c r="R1464" t="s">
        <v>150</v>
      </c>
      <c r="S1464" t="s">
        <v>145</v>
      </c>
      <c r="U1464">
        <v>0</v>
      </c>
      <c r="V1464" t="s">
        <v>544</v>
      </c>
      <c r="W1464" t="s">
        <v>546</v>
      </c>
      <c r="X1464" s="784">
        <v>1373621563.5182886</v>
      </c>
    </row>
    <row r="1465" spans="1:24">
      <c r="A1465" t="s">
        <v>358</v>
      </c>
      <c r="B1465" t="s">
        <v>673</v>
      </c>
      <c r="C1465" t="s">
        <v>275</v>
      </c>
      <c r="D1465" t="s">
        <v>130</v>
      </c>
      <c r="E1465" t="s">
        <v>377</v>
      </c>
      <c r="F1465" t="s">
        <v>310</v>
      </c>
      <c r="G1465" t="s">
        <v>339</v>
      </c>
      <c r="H1465" t="s">
        <v>310</v>
      </c>
      <c r="I1465">
        <v>2021</v>
      </c>
      <c r="J1465" t="s">
        <v>379</v>
      </c>
      <c r="K1465" t="s">
        <v>748</v>
      </c>
      <c r="L1465" s="784" t="s">
        <v>575</v>
      </c>
      <c r="M1465" t="s">
        <v>745</v>
      </c>
      <c r="P1465" t="s">
        <v>1887</v>
      </c>
      <c r="R1465" t="s">
        <v>550</v>
      </c>
      <c r="S1465" t="s">
        <v>146</v>
      </c>
      <c r="U1465">
        <v>0</v>
      </c>
      <c r="V1465" t="s">
        <v>541</v>
      </c>
      <c r="W1465" t="s">
        <v>575</v>
      </c>
      <c r="X1465" s="784">
        <v>24214370.889062837</v>
      </c>
    </row>
    <row r="1466" spans="1:24">
      <c r="A1466" t="s">
        <v>358</v>
      </c>
      <c r="B1466" t="s">
        <v>674</v>
      </c>
      <c r="C1466" t="s">
        <v>154</v>
      </c>
      <c r="D1466" t="s">
        <v>130</v>
      </c>
      <c r="E1466" t="s">
        <v>377</v>
      </c>
      <c r="F1466" t="s">
        <v>310</v>
      </c>
      <c r="G1466" t="s">
        <v>339</v>
      </c>
      <c r="H1466" t="s">
        <v>310</v>
      </c>
      <c r="I1466">
        <v>2021</v>
      </c>
      <c r="J1466" t="s">
        <v>379</v>
      </c>
      <c r="K1466" t="s">
        <v>748</v>
      </c>
      <c r="L1466" s="784" t="s">
        <v>1437</v>
      </c>
      <c r="M1466" t="s">
        <v>745</v>
      </c>
      <c r="P1466" t="s">
        <v>1887</v>
      </c>
      <c r="R1466" t="s">
        <v>152</v>
      </c>
      <c r="S1466" t="s">
        <v>145</v>
      </c>
      <c r="U1466">
        <v>0</v>
      </c>
      <c r="V1466" t="s">
        <v>541</v>
      </c>
      <c r="W1466" t="s">
        <v>548</v>
      </c>
      <c r="X1466" s="784">
        <v>39941279.609447442</v>
      </c>
    </row>
    <row r="1467" spans="1:24">
      <c r="A1467" t="s">
        <v>358</v>
      </c>
      <c r="B1467" t="s">
        <v>675</v>
      </c>
      <c r="C1467" t="s">
        <v>155</v>
      </c>
      <c r="D1467" t="s">
        <v>130</v>
      </c>
      <c r="E1467" t="s">
        <v>377</v>
      </c>
      <c r="F1467" t="s">
        <v>310</v>
      </c>
      <c r="G1467" t="s">
        <v>339</v>
      </c>
      <c r="H1467" t="s">
        <v>310</v>
      </c>
      <c r="I1467">
        <v>2021</v>
      </c>
      <c r="J1467" t="s">
        <v>379</v>
      </c>
      <c r="K1467" t="s">
        <v>748</v>
      </c>
      <c r="L1467" s="784" t="s">
        <v>1437</v>
      </c>
      <c r="M1467" t="s">
        <v>745</v>
      </c>
      <c r="P1467" t="s">
        <v>1887</v>
      </c>
      <c r="R1467" t="s">
        <v>152</v>
      </c>
      <c r="S1467" t="s">
        <v>145</v>
      </c>
      <c r="U1467">
        <v>0</v>
      </c>
      <c r="V1467" t="s">
        <v>541</v>
      </c>
      <c r="W1467" t="s">
        <v>542</v>
      </c>
      <c r="X1467" s="784">
        <v>24761675.260059897</v>
      </c>
    </row>
    <row r="1468" spans="1:24">
      <c r="A1468" t="s">
        <v>358</v>
      </c>
      <c r="B1468" t="s">
        <v>676</v>
      </c>
      <c r="C1468" t="s">
        <v>276</v>
      </c>
      <c r="D1468" t="s">
        <v>131</v>
      </c>
      <c r="E1468" t="s">
        <v>377</v>
      </c>
      <c r="F1468" t="s">
        <v>310</v>
      </c>
      <c r="G1468" t="s">
        <v>339</v>
      </c>
      <c r="H1468" t="s">
        <v>310</v>
      </c>
      <c r="I1468">
        <v>2021</v>
      </c>
      <c r="J1468" t="s">
        <v>379</v>
      </c>
      <c r="K1468" t="s">
        <v>748</v>
      </c>
      <c r="L1468" s="784" t="s">
        <v>1437</v>
      </c>
      <c r="M1468" t="s">
        <v>745</v>
      </c>
      <c r="P1468" t="s">
        <v>1887</v>
      </c>
      <c r="R1468" t="s">
        <v>150</v>
      </c>
      <c r="S1468" t="s">
        <v>145</v>
      </c>
      <c r="U1468">
        <v>0</v>
      </c>
      <c r="V1468" t="s">
        <v>544</v>
      </c>
      <c r="W1468" t="s">
        <v>546</v>
      </c>
      <c r="X1468" s="784" t="s">
        <v>575</v>
      </c>
    </row>
    <row r="1469" spans="1:24">
      <c r="A1469" t="s">
        <v>358</v>
      </c>
      <c r="B1469" t="s">
        <v>677</v>
      </c>
      <c r="C1469" t="s">
        <v>277</v>
      </c>
      <c r="D1469" t="s">
        <v>131</v>
      </c>
      <c r="E1469" t="s">
        <v>377</v>
      </c>
      <c r="F1469" t="s">
        <v>310</v>
      </c>
      <c r="G1469" t="s">
        <v>339</v>
      </c>
      <c r="H1469" t="s">
        <v>310</v>
      </c>
      <c r="I1469">
        <v>2021</v>
      </c>
      <c r="J1469" t="s">
        <v>379</v>
      </c>
      <c r="K1469" t="s">
        <v>748</v>
      </c>
      <c r="L1469" s="784">
        <v>936629</v>
      </c>
      <c r="M1469" t="s">
        <v>745</v>
      </c>
      <c r="P1469" t="s">
        <v>1887</v>
      </c>
      <c r="R1469" t="s">
        <v>148</v>
      </c>
      <c r="S1469" t="s">
        <v>145</v>
      </c>
      <c r="U1469">
        <v>1</v>
      </c>
      <c r="V1469" t="s">
        <v>544</v>
      </c>
      <c r="W1469" t="s">
        <v>546</v>
      </c>
      <c r="X1469" s="784">
        <v>577156172.71229994</v>
      </c>
    </row>
    <row r="1470" spans="1:24">
      <c r="A1470" t="s">
        <v>358</v>
      </c>
      <c r="B1470" t="s">
        <v>678</v>
      </c>
      <c r="C1470" t="s">
        <v>278</v>
      </c>
      <c r="D1470" t="s">
        <v>126</v>
      </c>
      <c r="E1470" t="s">
        <v>377</v>
      </c>
      <c r="F1470" t="s">
        <v>310</v>
      </c>
      <c r="G1470" t="s">
        <v>339</v>
      </c>
      <c r="H1470" t="s">
        <v>310</v>
      </c>
      <c r="I1470">
        <v>2021</v>
      </c>
      <c r="J1470" t="s">
        <v>379</v>
      </c>
      <c r="K1470" t="s">
        <v>748</v>
      </c>
      <c r="L1470" s="784" t="s">
        <v>575</v>
      </c>
      <c r="M1470" t="s">
        <v>745</v>
      </c>
      <c r="P1470" t="s">
        <v>1887</v>
      </c>
      <c r="R1470" t="s">
        <v>152</v>
      </c>
      <c r="S1470" t="s">
        <v>146</v>
      </c>
      <c r="U1470">
        <v>0</v>
      </c>
      <c r="V1470" t="s">
        <v>541</v>
      </c>
      <c r="W1470" t="s">
        <v>575</v>
      </c>
      <c r="X1470" s="784">
        <v>180052034.19851837</v>
      </c>
    </row>
    <row r="1471" spans="1:24">
      <c r="A1471" t="s">
        <v>358</v>
      </c>
      <c r="B1471" t="s">
        <v>679</v>
      </c>
      <c r="C1471" t="s">
        <v>279</v>
      </c>
      <c r="D1471" t="s">
        <v>131</v>
      </c>
      <c r="E1471" t="s">
        <v>377</v>
      </c>
      <c r="F1471" t="s">
        <v>310</v>
      </c>
      <c r="G1471" t="s">
        <v>339</v>
      </c>
      <c r="H1471" t="s">
        <v>310</v>
      </c>
      <c r="I1471">
        <v>2021</v>
      </c>
      <c r="J1471" t="s">
        <v>379</v>
      </c>
      <c r="K1471" t="s">
        <v>748</v>
      </c>
      <c r="L1471" s="784">
        <v>340991</v>
      </c>
      <c r="M1471" t="s">
        <v>745</v>
      </c>
      <c r="P1471" t="s">
        <v>1887</v>
      </c>
      <c r="R1471" t="s">
        <v>148</v>
      </c>
      <c r="S1471" t="s">
        <v>145</v>
      </c>
      <c r="U1471">
        <v>1</v>
      </c>
      <c r="V1471" t="s">
        <v>544</v>
      </c>
      <c r="W1471" t="s">
        <v>546</v>
      </c>
      <c r="X1471" s="784" t="s">
        <v>575</v>
      </c>
    </row>
    <row r="1472" spans="1:24">
      <c r="A1472" t="s">
        <v>358</v>
      </c>
      <c r="B1472" t="s">
        <v>680</v>
      </c>
      <c r="C1472" t="s">
        <v>280</v>
      </c>
      <c r="D1472" t="s">
        <v>127</v>
      </c>
      <c r="E1472" t="s">
        <v>377</v>
      </c>
      <c r="F1472" t="s">
        <v>310</v>
      </c>
      <c r="G1472" t="s">
        <v>339</v>
      </c>
      <c r="H1472" t="s">
        <v>310</v>
      </c>
      <c r="I1472">
        <v>2021</v>
      </c>
      <c r="J1472" t="s">
        <v>379</v>
      </c>
      <c r="K1472" t="s">
        <v>748</v>
      </c>
      <c r="L1472" s="784">
        <v>365913</v>
      </c>
      <c r="M1472" t="s">
        <v>745</v>
      </c>
      <c r="P1472" t="s">
        <v>1887</v>
      </c>
      <c r="R1472" t="s">
        <v>150</v>
      </c>
      <c r="S1472" t="s">
        <v>145</v>
      </c>
      <c r="U1472">
        <v>0</v>
      </c>
      <c r="V1472" t="s">
        <v>544</v>
      </c>
      <c r="W1472" t="s">
        <v>542</v>
      </c>
      <c r="X1472" s="784">
        <v>147296124.32232863</v>
      </c>
    </row>
    <row r="1473" spans="1:24">
      <c r="A1473" t="s">
        <v>358</v>
      </c>
      <c r="B1473" t="s">
        <v>681</v>
      </c>
      <c r="C1473" t="s">
        <v>156</v>
      </c>
      <c r="D1473" t="s">
        <v>128</v>
      </c>
      <c r="E1473" t="s">
        <v>377</v>
      </c>
      <c r="F1473" t="s">
        <v>310</v>
      </c>
      <c r="G1473" t="s">
        <v>339</v>
      </c>
      <c r="H1473" t="s">
        <v>310</v>
      </c>
      <c r="I1473">
        <v>2021</v>
      </c>
      <c r="J1473" t="s">
        <v>379</v>
      </c>
      <c r="K1473" t="s">
        <v>748</v>
      </c>
      <c r="L1473" s="784">
        <v>1266103</v>
      </c>
      <c r="M1473" t="s">
        <v>745</v>
      </c>
      <c r="P1473" t="s">
        <v>1887</v>
      </c>
      <c r="R1473" t="s">
        <v>150</v>
      </c>
      <c r="S1473" t="s">
        <v>145</v>
      </c>
      <c r="U1473">
        <v>0</v>
      </c>
      <c r="V1473" t="s">
        <v>544</v>
      </c>
      <c r="W1473" t="s">
        <v>548</v>
      </c>
      <c r="X1473" s="784">
        <v>890576536.83065879</v>
      </c>
    </row>
    <row r="1474" spans="1:24">
      <c r="A1474" t="s">
        <v>358</v>
      </c>
      <c r="B1474" t="s">
        <v>682</v>
      </c>
      <c r="C1474" t="s">
        <v>157</v>
      </c>
      <c r="D1474" t="s">
        <v>126</v>
      </c>
      <c r="E1474" t="s">
        <v>377</v>
      </c>
      <c r="F1474" t="s">
        <v>310</v>
      </c>
      <c r="G1474" t="s">
        <v>339</v>
      </c>
      <c r="H1474" t="s">
        <v>310</v>
      </c>
      <c r="I1474">
        <v>2021</v>
      </c>
      <c r="J1474" t="s">
        <v>379</v>
      </c>
      <c r="K1474" t="s">
        <v>748</v>
      </c>
      <c r="L1474" s="784" t="s">
        <v>575</v>
      </c>
      <c r="M1474" t="s">
        <v>745</v>
      </c>
      <c r="P1474" t="s">
        <v>1887</v>
      </c>
      <c r="R1474" t="s">
        <v>152</v>
      </c>
      <c r="S1474" t="s">
        <v>146</v>
      </c>
      <c r="U1474">
        <v>0</v>
      </c>
      <c r="V1474" t="s">
        <v>544</v>
      </c>
      <c r="W1474" t="s">
        <v>575</v>
      </c>
      <c r="X1474" s="784">
        <v>14611129792.346064</v>
      </c>
    </row>
    <row r="1475" spans="1:24">
      <c r="A1475" t="s">
        <v>358</v>
      </c>
      <c r="B1475" t="s">
        <v>683</v>
      </c>
      <c r="C1475" t="s">
        <v>281</v>
      </c>
      <c r="D1475" t="s">
        <v>126</v>
      </c>
      <c r="E1475" t="s">
        <v>377</v>
      </c>
      <c r="F1475" t="s">
        <v>310</v>
      </c>
      <c r="G1475" t="s">
        <v>339</v>
      </c>
      <c r="H1475" t="s">
        <v>310</v>
      </c>
      <c r="I1475">
        <v>2021</v>
      </c>
      <c r="J1475" t="s">
        <v>379</v>
      </c>
      <c r="K1475" t="s">
        <v>748</v>
      </c>
      <c r="L1475" s="784">
        <v>50361</v>
      </c>
      <c r="M1475" t="s">
        <v>745</v>
      </c>
      <c r="P1475" t="s">
        <v>1887</v>
      </c>
      <c r="R1475" t="s">
        <v>150</v>
      </c>
      <c r="S1475" t="s">
        <v>145</v>
      </c>
      <c r="U1475">
        <v>0</v>
      </c>
      <c r="V1475" t="s">
        <v>541</v>
      </c>
      <c r="W1475" t="s">
        <v>558</v>
      </c>
      <c r="X1475" s="784">
        <v>72046877.233008593</v>
      </c>
    </row>
    <row r="1476" spans="1:24">
      <c r="A1476" t="s">
        <v>358</v>
      </c>
      <c r="B1476" t="s">
        <v>684</v>
      </c>
      <c r="C1476" t="s">
        <v>282</v>
      </c>
      <c r="D1476" t="s">
        <v>129</v>
      </c>
      <c r="E1476" t="s">
        <v>377</v>
      </c>
      <c r="F1476" t="s">
        <v>310</v>
      </c>
      <c r="G1476" t="s">
        <v>339</v>
      </c>
      <c r="H1476" t="s">
        <v>310</v>
      </c>
      <c r="I1476">
        <v>2021</v>
      </c>
      <c r="J1476" t="s">
        <v>379</v>
      </c>
      <c r="K1476" t="s">
        <v>748</v>
      </c>
      <c r="L1476" s="784">
        <v>283310</v>
      </c>
      <c r="M1476" t="s">
        <v>745</v>
      </c>
      <c r="P1476" t="s">
        <v>1887</v>
      </c>
      <c r="R1476" t="s">
        <v>148</v>
      </c>
      <c r="S1476" t="s">
        <v>145</v>
      </c>
      <c r="U1476">
        <v>0</v>
      </c>
      <c r="V1476" t="s">
        <v>544</v>
      </c>
      <c r="W1476" t="s">
        <v>542</v>
      </c>
      <c r="X1476" s="784">
        <v>56248139.267255567</v>
      </c>
    </row>
    <row r="1477" spans="1:24">
      <c r="A1477" t="s">
        <v>358</v>
      </c>
      <c r="B1477" t="s">
        <v>685</v>
      </c>
      <c r="C1477" t="s">
        <v>283</v>
      </c>
      <c r="D1477" t="s">
        <v>126</v>
      </c>
      <c r="E1477" t="s">
        <v>377</v>
      </c>
      <c r="F1477" t="s">
        <v>310</v>
      </c>
      <c r="G1477" t="s">
        <v>339</v>
      </c>
      <c r="H1477" t="s">
        <v>310</v>
      </c>
      <c r="I1477">
        <v>2021</v>
      </c>
      <c r="J1477" t="s">
        <v>379</v>
      </c>
      <c r="K1477" t="s">
        <v>748</v>
      </c>
      <c r="L1477" s="784" t="s">
        <v>1437</v>
      </c>
      <c r="M1477" t="s">
        <v>745</v>
      </c>
      <c r="P1477" t="s">
        <v>1887</v>
      </c>
      <c r="R1477" t="s">
        <v>152</v>
      </c>
      <c r="S1477" t="s">
        <v>145</v>
      </c>
      <c r="U1477">
        <v>0</v>
      </c>
      <c r="V1477" t="s">
        <v>541</v>
      </c>
      <c r="W1477" t="s">
        <v>542</v>
      </c>
      <c r="X1477" s="784">
        <v>15464031.712942109</v>
      </c>
    </row>
    <row r="1478" spans="1:24">
      <c r="A1478" t="s">
        <v>358</v>
      </c>
      <c r="B1478" t="s">
        <v>686</v>
      </c>
      <c r="C1478" t="s">
        <v>284</v>
      </c>
      <c r="D1478" t="s">
        <v>130</v>
      </c>
      <c r="E1478" t="s">
        <v>377</v>
      </c>
      <c r="F1478" t="s">
        <v>310</v>
      </c>
      <c r="G1478" t="s">
        <v>339</v>
      </c>
      <c r="H1478" t="s">
        <v>310</v>
      </c>
      <c r="I1478">
        <v>2021</v>
      </c>
      <c r="J1478" t="s">
        <v>379</v>
      </c>
      <c r="K1478" t="s">
        <v>748</v>
      </c>
      <c r="L1478" s="784" t="s">
        <v>575</v>
      </c>
      <c r="M1478" t="s">
        <v>745</v>
      </c>
      <c r="P1478" t="s">
        <v>1887</v>
      </c>
      <c r="R1478" t="s">
        <v>550</v>
      </c>
      <c r="S1478" t="s">
        <v>146</v>
      </c>
      <c r="U1478">
        <v>0</v>
      </c>
      <c r="V1478" t="s">
        <v>541</v>
      </c>
      <c r="W1478" t="s">
        <v>546</v>
      </c>
      <c r="X1478" s="784">
        <v>769564399.33249676</v>
      </c>
    </row>
    <row r="1479" spans="1:24">
      <c r="A1479" t="s">
        <v>358</v>
      </c>
      <c r="B1479" t="s">
        <v>687</v>
      </c>
      <c r="C1479" t="s">
        <v>285</v>
      </c>
      <c r="D1479" t="s">
        <v>131</v>
      </c>
      <c r="E1479" t="s">
        <v>377</v>
      </c>
      <c r="F1479" t="s">
        <v>310</v>
      </c>
      <c r="G1479" t="s">
        <v>339</v>
      </c>
      <c r="H1479" t="s">
        <v>310</v>
      </c>
      <c r="I1479">
        <v>2021</v>
      </c>
      <c r="J1479" t="s">
        <v>379</v>
      </c>
      <c r="K1479" t="s">
        <v>748</v>
      </c>
      <c r="L1479" s="784">
        <v>275648</v>
      </c>
      <c r="M1479" t="s">
        <v>745</v>
      </c>
      <c r="P1479" t="s">
        <v>1887</v>
      </c>
      <c r="R1479" t="s">
        <v>150</v>
      </c>
      <c r="S1479" t="s">
        <v>145</v>
      </c>
      <c r="U1479">
        <v>0</v>
      </c>
      <c r="V1479" t="s">
        <v>544</v>
      </c>
      <c r="W1479" t="s">
        <v>546</v>
      </c>
      <c r="X1479" s="784">
        <v>1668954539.7630196</v>
      </c>
    </row>
    <row r="1480" spans="1:24">
      <c r="A1480" t="s">
        <v>358</v>
      </c>
      <c r="B1480" t="s">
        <v>688</v>
      </c>
      <c r="C1480" t="s">
        <v>286</v>
      </c>
      <c r="D1480" t="s">
        <v>127</v>
      </c>
      <c r="E1480" t="s">
        <v>377</v>
      </c>
      <c r="F1480" t="s">
        <v>310</v>
      </c>
      <c r="G1480" t="s">
        <v>339</v>
      </c>
      <c r="H1480" t="s">
        <v>310</v>
      </c>
      <c r="I1480">
        <v>2021</v>
      </c>
      <c r="J1480" t="s">
        <v>379</v>
      </c>
      <c r="K1480" t="s">
        <v>748</v>
      </c>
      <c r="L1480" s="784" t="s">
        <v>575</v>
      </c>
      <c r="M1480" t="s">
        <v>745</v>
      </c>
      <c r="P1480" t="s">
        <v>1887</v>
      </c>
      <c r="R1480" t="s">
        <v>152</v>
      </c>
      <c r="S1480" t="s">
        <v>146</v>
      </c>
      <c r="U1480">
        <v>0</v>
      </c>
      <c r="V1480" t="s">
        <v>544</v>
      </c>
      <c r="W1480" t="s">
        <v>575</v>
      </c>
      <c r="X1480" s="784">
        <v>24840920016.18832</v>
      </c>
    </row>
    <row r="1481" spans="1:24">
      <c r="A1481" t="s">
        <v>358</v>
      </c>
      <c r="B1481" t="s">
        <v>689</v>
      </c>
      <c r="C1481" t="s">
        <v>287</v>
      </c>
      <c r="D1481" t="s">
        <v>127</v>
      </c>
      <c r="E1481" t="s">
        <v>377</v>
      </c>
      <c r="F1481" t="s">
        <v>310</v>
      </c>
      <c r="G1481" t="s">
        <v>339</v>
      </c>
      <c r="H1481" t="s">
        <v>310</v>
      </c>
      <c r="I1481">
        <v>2021</v>
      </c>
      <c r="J1481" t="s">
        <v>379</v>
      </c>
      <c r="K1481" t="s">
        <v>748</v>
      </c>
      <c r="L1481" s="784" t="s">
        <v>575</v>
      </c>
      <c r="M1481" t="s">
        <v>745</v>
      </c>
      <c r="P1481" t="s">
        <v>1887</v>
      </c>
      <c r="R1481" t="s">
        <v>152</v>
      </c>
      <c r="S1481" t="s">
        <v>146</v>
      </c>
      <c r="U1481">
        <v>0</v>
      </c>
      <c r="V1481" t="s">
        <v>544</v>
      </c>
      <c r="W1481" t="s">
        <v>546</v>
      </c>
      <c r="X1481" s="784">
        <v>487888462.83720118</v>
      </c>
    </row>
    <row r="1482" spans="1:24">
      <c r="A1482" t="s">
        <v>358</v>
      </c>
      <c r="B1482" t="s">
        <v>690</v>
      </c>
      <c r="C1482" t="s">
        <v>288</v>
      </c>
      <c r="D1482" t="s">
        <v>126</v>
      </c>
      <c r="E1482" t="s">
        <v>377</v>
      </c>
      <c r="F1482" t="s">
        <v>310</v>
      </c>
      <c r="G1482" t="s">
        <v>339</v>
      </c>
      <c r="H1482" t="s">
        <v>310</v>
      </c>
      <c r="I1482">
        <v>2021</v>
      </c>
      <c r="J1482" t="s">
        <v>379</v>
      </c>
      <c r="K1482" t="s">
        <v>748</v>
      </c>
      <c r="L1482" s="784" t="s">
        <v>1437</v>
      </c>
      <c r="M1482" t="s">
        <v>745</v>
      </c>
      <c r="P1482" t="s">
        <v>1887</v>
      </c>
      <c r="R1482" t="s">
        <v>152</v>
      </c>
      <c r="S1482" t="s">
        <v>145</v>
      </c>
      <c r="U1482">
        <v>0</v>
      </c>
      <c r="V1482" t="s">
        <v>541</v>
      </c>
      <c r="W1482" t="s">
        <v>548</v>
      </c>
      <c r="X1482" s="784">
        <v>6365061.1736073596</v>
      </c>
    </row>
    <row r="1483" spans="1:24">
      <c r="A1483" t="s">
        <v>358</v>
      </c>
      <c r="B1483" t="s">
        <v>691</v>
      </c>
      <c r="C1483" t="s">
        <v>289</v>
      </c>
      <c r="D1483" t="s">
        <v>128</v>
      </c>
      <c r="E1483" t="s">
        <v>377</v>
      </c>
      <c r="F1483" t="s">
        <v>310</v>
      </c>
      <c r="G1483" t="s">
        <v>339</v>
      </c>
      <c r="H1483" t="s">
        <v>310</v>
      </c>
      <c r="I1483">
        <v>2021</v>
      </c>
      <c r="J1483" t="s">
        <v>379</v>
      </c>
      <c r="K1483" t="s">
        <v>748</v>
      </c>
      <c r="L1483" s="784">
        <v>1044909</v>
      </c>
      <c r="M1483" t="s">
        <v>745</v>
      </c>
      <c r="P1483" t="s">
        <v>1887</v>
      </c>
      <c r="R1483" t="s">
        <v>148</v>
      </c>
      <c r="S1483" t="s">
        <v>145</v>
      </c>
      <c r="U1483">
        <v>2</v>
      </c>
      <c r="V1483" t="s">
        <v>544</v>
      </c>
      <c r="W1483" t="s">
        <v>558</v>
      </c>
      <c r="X1483" s="784">
        <v>291799092.90196139</v>
      </c>
    </row>
    <row r="1484" spans="1:24">
      <c r="A1484" t="s">
        <v>358</v>
      </c>
      <c r="B1484" t="s">
        <v>692</v>
      </c>
      <c r="C1484" t="s">
        <v>290</v>
      </c>
      <c r="D1484" t="s">
        <v>127</v>
      </c>
      <c r="E1484" t="s">
        <v>377</v>
      </c>
      <c r="F1484" t="s">
        <v>310</v>
      </c>
      <c r="G1484" t="s">
        <v>339</v>
      </c>
      <c r="H1484" t="s">
        <v>310</v>
      </c>
      <c r="I1484">
        <v>2021</v>
      </c>
      <c r="J1484" t="s">
        <v>379</v>
      </c>
      <c r="K1484" t="s">
        <v>748</v>
      </c>
      <c r="L1484" s="784">
        <v>681003</v>
      </c>
      <c r="M1484" t="s">
        <v>745</v>
      </c>
      <c r="P1484" t="s">
        <v>1887</v>
      </c>
      <c r="R1484" t="s">
        <v>150</v>
      </c>
      <c r="S1484" t="s">
        <v>145</v>
      </c>
      <c r="U1484">
        <v>0</v>
      </c>
      <c r="V1484" t="s">
        <v>544</v>
      </c>
      <c r="W1484" t="s">
        <v>546</v>
      </c>
      <c r="X1484" s="784">
        <v>4844815340.2135534</v>
      </c>
    </row>
    <row r="1485" spans="1:24">
      <c r="A1485" t="s">
        <v>358</v>
      </c>
      <c r="B1485" t="s">
        <v>693</v>
      </c>
      <c r="C1485" t="s">
        <v>291</v>
      </c>
      <c r="D1485" t="s">
        <v>130</v>
      </c>
      <c r="E1485" t="s">
        <v>377</v>
      </c>
      <c r="F1485" t="s">
        <v>310</v>
      </c>
      <c r="G1485" t="s">
        <v>339</v>
      </c>
      <c r="H1485" t="s">
        <v>310</v>
      </c>
      <c r="I1485">
        <v>2021</v>
      </c>
      <c r="J1485" t="s">
        <v>379</v>
      </c>
      <c r="K1485" t="s">
        <v>748</v>
      </c>
      <c r="L1485" s="784" t="s">
        <v>575</v>
      </c>
      <c r="M1485" t="s">
        <v>745</v>
      </c>
      <c r="P1485" t="s">
        <v>1887</v>
      </c>
      <c r="R1485" t="s">
        <v>550</v>
      </c>
      <c r="S1485" t="s">
        <v>146</v>
      </c>
      <c r="U1485">
        <v>0</v>
      </c>
      <c r="V1485" t="s">
        <v>544</v>
      </c>
      <c r="W1485" t="s">
        <v>575</v>
      </c>
      <c r="X1485" s="784">
        <v>4001891446.6871672</v>
      </c>
    </row>
    <row r="1486" spans="1:24">
      <c r="A1486" t="s">
        <v>358</v>
      </c>
      <c r="B1486" t="s">
        <v>694</v>
      </c>
      <c r="C1486" t="s">
        <v>292</v>
      </c>
      <c r="D1486" t="s">
        <v>127</v>
      </c>
      <c r="E1486" t="s">
        <v>377</v>
      </c>
      <c r="F1486" t="s">
        <v>310</v>
      </c>
      <c r="G1486" t="s">
        <v>339</v>
      </c>
      <c r="H1486" t="s">
        <v>310</v>
      </c>
      <c r="I1486">
        <v>2021</v>
      </c>
      <c r="J1486" t="s">
        <v>379</v>
      </c>
      <c r="K1486" t="s">
        <v>748</v>
      </c>
      <c r="L1486" s="784">
        <v>949999</v>
      </c>
      <c r="M1486" t="s">
        <v>745</v>
      </c>
      <c r="P1486" t="s">
        <v>1887</v>
      </c>
      <c r="R1486" t="s">
        <v>150</v>
      </c>
      <c r="S1486" t="s">
        <v>145</v>
      </c>
      <c r="U1486">
        <v>0</v>
      </c>
      <c r="V1486" t="s">
        <v>544</v>
      </c>
      <c r="W1486" t="s">
        <v>558</v>
      </c>
      <c r="X1486" s="784">
        <v>1019800630.5853213</v>
      </c>
    </row>
    <row r="1487" spans="1:24">
      <c r="A1487" t="s">
        <v>358</v>
      </c>
      <c r="B1487" t="s">
        <v>695</v>
      </c>
      <c r="C1487" t="s">
        <v>293</v>
      </c>
      <c r="D1487" t="s">
        <v>126</v>
      </c>
      <c r="E1487" t="s">
        <v>377</v>
      </c>
      <c r="F1487" t="s">
        <v>310</v>
      </c>
      <c r="G1487" t="s">
        <v>339</v>
      </c>
      <c r="H1487" t="s">
        <v>310</v>
      </c>
      <c r="I1487">
        <v>2021</v>
      </c>
      <c r="J1487" t="s">
        <v>379</v>
      </c>
      <c r="K1487" t="s">
        <v>748</v>
      </c>
      <c r="L1487" s="784" t="s">
        <v>1437</v>
      </c>
      <c r="M1487" t="s">
        <v>745</v>
      </c>
      <c r="P1487" t="s">
        <v>1887</v>
      </c>
      <c r="R1487" t="s">
        <v>150</v>
      </c>
      <c r="S1487" t="s">
        <v>145</v>
      </c>
      <c r="U1487">
        <v>0</v>
      </c>
      <c r="V1487" t="s">
        <v>541</v>
      </c>
      <c r="W1487" t="s">
        <v>562</v>
      </c>
      <c r="X1487" s="784">
        <v>19578671.310841195</v>
      </c>
    </row>
    <row r="1488" spans="1:24">
      <c r="A1488" t="s">
        <v>358</v>
      </c>
      <c r="B1488" t="s">
        <v>696</v>
      </c>
      <c r="C1488" t="s">
        <v>294</v>
      </c>
      <c r="D1488" t="s">
        <v>130</v>
      </c>
      <c r="E1488" t="s">
        <v>377</v>
      </c>
      <c r="F1488" t="s">
        <v>310</v>
      </c>
      <c r="G1488" t="s">
        <v>339</v>
      </c>
      <c r="H1488" t="s">
        <v>310</v>
      </c>
      <c r="I1488">
        <v>2021</v>
      </c>
      <c r="J1488" t="s">
        <v>379</v>
      </c>
      <c r="K1488" t="s">
        <v>748</v>
      </c>
      <c r="L1488" s="784" t="s">
        <v>575</v>
      </c>
      <c r="M1488" t="s">
        <v>745</v>
      </c>
      <c r="P1488" t="s">
        <v>1887</v>
      </c>
      <c r="R1488" t="s">
        <v>322</v>
      </c>
      <c r="S1488" t="s">
        <v>146</v>
      </c>
      <c r="U1488">
        <v>0</v>
      </c>
      <c r="V1488" t="s">
        <v>544</v>
      </c>
      <c r="W1488" t="s">
        <v>546</v>
      </c>
      <c r="X1488" s="784">
        <v>3551452001.0684834</v>
      </c>
    </row>
    <row r="1489" spans="1:24">
      <c r="A1489" t="s">
        <v>358</v>
      </c>
      <c r="B1489" t="s">
        <v>697</v>
      </c>
      <c r="C1489" t="s">
        <v>295</v>
      </c>
      <c r="D1489" t="s">
        <v>126</v>
      </c>
      <c r="E1489" t="s">
        <v>377</v>
      </c>
      <c r="F1489" t="s">
        <v>310</v>
      </c>
      <c r="G1489" t="s">
        <v>339</v>
      </c>
      <c r="H1489" t="s">
        <v>310</v>
      </c>
      <c r="I1489">
        <v>2021</v>
      </c>
      <c r="J1489" t="s">
        <v>379</v>
      </c>
      <c r="K1489" t="s">
        <v>748</v>
      </c>
      <c r="L1489" s="784">
        <v>1230395</v>
      </c>
      <c r="M1489" t="s">
        <v>745</v>
      </c>
      <c r="P1489" t="s">
        <v>1887</v>
      </c>
      <c r="R1489" t="s">
        <v>150</v>
      </c>
      <c r="S1489" t="s">
        <v>145</v>
      </c>
      <c r="U1489">
        <v>0</v>
      </c>
      <c r="V1489" t="s">
        <v>544</v>
      </c>
      <c r="W1489" t="s">
        <v>546</v>
      </c>
      <c r="X1489" s="784">
        <v>6603048821.7575006</v>
      </c>
    </row>
    <row r="1490" spans="1:24">
      <c r="A1490" t="s">
        <v>358</v>
      </c>
      <c r="B1490" t="s">
        <v>698</v>
      </c>
      <c r="C1490" t="s">
        <v>296</v>
      </c>
      <c r="D1490" t="s">
        <v>131</v>
      </c>
      <c r="E1490" t="s">
        <v>377</v>
      </c>
      <c r="F1490" t="s">
        <v>310</v>
      </c>
      <c r="G1490" t="s">
        <v>339</v>
      </c>
      <c r="H1490" t="s">
        <v>310</v>
      </c>
      <c r="I1490">
        <v>2021</v>
      </c>
      <c r="J1490" t="s">
        <v>379</v>
      </c>
      <c r="K1490" t="s">
        <v>748</v>
      </c>
      <c r="L1490" s="784">
        <v>738190</v>
      </c>
      <c r="M1490" t="s">
        <v>745</v>
      </c>
      <c r="P1490" t="s">
        <v>1887</v>
      </c>
      <c r="R1490" t="s">
        <v>148</v>
      </c>
      <c r="S1490" t="s">
        <v>145</v>
      </c>
      <c r="U1490">
        <v>1</v>
      </c>
      <c r="V1490" t="s">
        <v>544</v>
      </c>
      <c r="W1490" t="s">
        <v>548</v>
      </c>
      <c r="X1490" s="784" t="s">
        <v>575</v>
      </c>
    </row>
    <row r="1491" spans="1:24">
      <c r="A1491" t="s">
        <v>358</v>
      </c>
      <c r="B1491" t="s">
        <v>699</v>
      </c>
      <c r="C1491" t="s">
        <v>297</v>
      </c>
      <c r="D1491" t="s">
        <v>128</v>
      </c>
      <c r="E1491" t="s">
        <v>377</v>
      </c>
      <c r="F1491" t="s">
        <v>310</v>
      </c>
      <c r="G1491" t="s">
        <v>339</v>
      </c>
      <c r="H1491" t="s">
        <v>310</v>
      </c>
      <c r="I1491">
        <v>2021</v>
      </c>
      <c r="J1491" t="s">
        <v>379</v>
      </c>
      <c r="K1491" t="s">
        <v>748</v>
      </c>
      <c r="L1491" s="784">
        <v>520291</v>
      </c>
      <c r="M1491" t="s">
        <v>745</v>
      </c>
      <c r="P1491" t="s">
        <v>1887</v>
      </c>
      <c r="R1491" t="s">
        <v>150</v>
      </c>
      <c r="S1491" t="s">
        <v>145</v>
      </c>
      <c r="U1491">
        <v>0</v>
      </c>
      <c r="V1491" t="s">
        <v>544</v>
      </c>
      <c r="W1491" t="s">
        <v>542</v>
      </c>
      <c r="X1491" s="784">
        <v>515352723.9821828</v>
      </c>
    </row>
    <row r="1492" spans="1:24">
      <c r="A1492" t="s">
        <v>358</v>
      </c>
      <c r="B1492" t="s">
        <v>700</v>
      </c>
      <c r="C1492" t="s">
        <v>298</v>
      </c>
      <c r="D1492" t="s">
        <v>128</v>
      </c>
      <c r="E1492" t="s">
        <v>377</v>
      </c>
      <c r="F1492" t="s">
        <v>310</v>
      </c>
      <c r="G1492" t="s">
        <v>339</v>
      </c>
      <c r="H1492" t="s">
        <v>310</v>
      </c>
      <c r="I1492">
        <v>2021</v>
      </c>
      <c r="J1492" t="s">
        <v>379</v>
      </c>
      <c r="K1492" t="s">
        <v>748</v>
      </c>
      <c r="L1492" s="784" t="s">
        <v>1437</v>
      </c>
      <c r="M1492" t="s">
        <v>745</v>
      </c>
      <c r="P1492" t="s">
        <v>1887</v>
      </c>
      <c r="R1492" t="s">
        <v>150</v>
      </c>
      <c r="S1492" t="s">
        <v>145</v>
      </c>
      <c r="U1492">
        <v>0</v>
      </c>
      <c r="V1492" t="s">
        <v>544</v>
      </c>
      <c r="W1492" t="s">
        <v>546</v>
      </c>
      <c r="X1492" s="784">
        <v>566711742.22428358</v>
      </c>
    </row>
    <row r="1493" spans="1:24">
      <c r="A1493" t="s">
        <v>358</v>
      </c>
      <c r="B1493" t="s">
        <v>540</v>
      </c>
      <c r="C1493" t="s">
        <v>160</v>
      </c>
      <c r="D1493" t="s">
        <v>132</v>
      </c>
      <c r="E1493" t="s">
        <v>377</v>
      </c>
      <c r="F1493" t="s">
        <v>310</v>
      </c>
      <c r="G1493" t="s">
        <v>389</v>
      </c>
      <c r="H1493" t="s">
        <v>310</v>
      </c>
      <c r="I1493">
        <v>2021</v>
      </c>
      <c r="J1493" t="s">
        <v>379</v>
      </c>
      <c r="K1493" t="s">
        <v>546</v>
      </c>
      <c r="L1493" s="784">
        <v>7900000</v>
      </c>
      <c r="M1493" t="s">
        <v>745</v>
      </c>
      <c r="N1493" s="784">
        <v>7481878</v>
      </c>
      <c r="P1493" t="s">
        <v>1887</v>
      </c>
      <c r="R1493" t="s">
        <v>148</v>
      </c>
      <c r="S1493" t="s">
        <v>145</v>
      </c>
      <c r="U1493">
        <v>1</v>
      </c>
      <c r="V1493" t="s">
        <v>544</v>
      </c>
      <c r="W1493" t="s">
        <v>542</v>
      </c>
      <c r="X1493" s="784">
        <v>95829480.719269618</v>
      </c>
    </row>
    <row r="1494" spans="1:24">
      <c r="A1494" t="s">
        <v>358</v>
      </c>
      <c r="B1494" t="s">
        <v>543</v>
      </c>
      <c r="C1494" t="s">
        <v>161</v>
      </c>
      <c r="D1494" t="s">
        <v>127</v>
      </c>
      <c r="E1494" t="s">
        <v>377</v>
      </c>
      <c r="F1494" t="s">
        <v>310</v>
      </c>
      <c r="G1494" t="s">
        <v>389</v>
      </c>
      <c r="H1494" t="s">
        <v>575</v>
      </c>
      <c r="I1494">
        <v>2021</v>
      </c>
      <c r="J1494" t="s">
        <v>379</v>
      </c>
      <c r="K1494" t="s">
        <v>546</v>
      </c>
      <c r="L1494" s="784" t="s">
        <v>575</v>
      </c>
      <c r="M1494" t="s">
        <v>745</v>
      </c>
      <c r="N1494" s="784" t="s">
        <v>575</v>
      </c>
      <c r="P1494" t="s">
        <v>1887</v>
      </c>
      <c r="R1494" t="s">
        <v>152</v>
      </c>
      <c r="S1494" t="s">
        <v>146</v>
      </c>
      <c r="U1494">
        <v>0</v>
      </c>
      <c r="V1494" t="s">
        <v>544</v>
      </c>
      <c r="W1494" t="s">
        <v>575</v>
      </c>
      <c r="X1494" s="784">
        <v>427904035.52443534</v>
      </c>
    </row>
    <row r="1495" spans="1:24">
      <c r="A1495" t="s">
        <v>358</v>
      </c>
      <c r="B1495" t="s">
        <v>545</v>
      </c>
      <c r="C1495" t="s">
        <v>143</v>
      </c>
      <c r="D1495" t="s">
        <v>131</v>
      </c>
      <c r="E1495" t="s">
        <v>377</v>
      </c>
      <c r="F1495" t="s">
        <v>310</v>
      </c>
      <c r="G1495" t="s">
        <v>389</v>
      </c>
      <c r="H1495" t="s">
        <v>104</v>
      </c>
      <c r="I1495">
        <v>2021</v>
      </c>
      <c r="J1495" t="s">
        <v>379</v>
      </c>
      <c r="K1495" t="s">
        <v>546</v>
      </c>
      <c r="L1495" s="784">
        <v>847780</v>
      </c>
      <c r="M1495" t="s">
        <v>745</v>
      </c>
      <c r="N1495" s="784">
        <v>847780</v>
      </c>
      <c r="P1495" t="s">
        <v>1887</v>
      </c>
      <c r="R1495" t="s">
        <v>150</v>
      </c>
      <c r="S1495" t="s">
        <v>145</v>
      </c>
      <c r="U1495">
        <v>0</v>
      </c>
      <c r="V1495" t="s">
        <v>544</v>
      </c>
      <c r="W1495" t="s">
        <v>546</v>
      </c>
      <c r="X1495" s="784">
        <v>7113361022.7267885</v>
      </c>
    </row>
    <row r="1496" spans="1:24">
      <c r="A1496" t="s">
        <v>358</v>
      </c>
      <c r="B1496" t="s">
        <v>547</v>
      </c>
      <c r="C1496" t="s">
        <v>162</v>
      </c>
      <c r="D1496" t="s">
        <v>128</v>
      </c>
      <c r="E1496" t="s">
        <v>377</v>
      </c>
      <c r="F1496" t="s">
        <v>310</v>
      </c>
      <c r="G1496" t="s">
        <v>389</v>
      </c>
      <c r="H1496" t="s">
        <v>310</v>
      </c>
      <c r="I1496">
        <v>2021</v>
      </c>
      <c r="J1496" t="s">
        <v>379</v>
      </c>
      <c r="K1496" t="s">
        <v>546</v>
      </c>
      <c r="L1496" s="784">
        <v>3845583</v>
      </c>
      <c r="M1496" t="s">
        <v>745</v>
      </c>
      <c r="N1496" s="784">
        <v>3845583</v>
      </c>
      <c r="P1496" t="s">
        <v>1887</v>
      </c>
      <c r="R1496" t="s">
        <v>150</v>
      </c>
      <c r="S1496" t="s">
        <v>145</v>
      </c>
      <c r="U1496">
        <v>0</v>
      </c>
      <c r="V1496" t="s">
        <v>544</v>
      </c>
      <c r="W1496" t="s">
        <v>548</v>
      </c>
      <c r="X1496" s="784">
        <v>1131865946.5875781</v>
      </c>
    </row>
    <row r="1497" spans="1:24">
      <c r="A1497" t="s">
        <v>358</v>
      </c>
      <c r="B1497" t="s">
        <v>549</v>
      </c>
      <c r="C1497" t="s">
        <v>163</v>
      </c>
      <c r="D1497" t="s">
        <v>130</v>
      </c>
      <c r="E1497" t="s">
        <v>377</v>
      </c>
      <c r="F1497" t="s">
        <v>310</v>
      </c>
      <c r="G1497" t="s">
        <v>389</v>
      </c>
      <c r="H1497" t="s">
        <v>575</v>
      </c>
      <c r="I1497">
        <v>2021</v>
      </c>
      <c r="J1497" t="s">
        <v>379</v>
      </c>
      <c r="K1497" t="s">
        <v>546</v>
      </c>
      <c r="L1497" s="784" t="s">
        <v>575</v>
      </c>
      <c r="M1497" t="s">
        <v>745</v>
      </c>
      <c r="N1497" s="784" t="s">
        <v>575</v>
      </c>
      <c r="P1497" t="s">
        <v>1887</v>
      </c>
      <c r="R1497" t="s">
        <v>550</v>
      </c>
      <c r="S1497" t="s">
        <v>146</v>
      </c>
      <c r="U1497">
        <v>0</v>
      </c>
      <c r="V1497" t="s">
        <v>541</v>
      </c>
      <c r="W1497" t="s">
        <v>575</v>
      </c>
      <c r="X1497" s="784">
        <v>46777779.823447868</v>
      </c>
    </row>
    <row r="1498" spans="1:24">
      <c r="A1498" t="s">
        <v>358</v>
      </c>
      <c r="B1498" t="s">
        <v>551</v>
      </c>
      <c r="C1498" t="s">
        <v>164</v>
      </c>
      <c r="D1498" t="s">
        <v>130</v>
      </c>
      <c r="E1498" t="s">
        <v>377</v>
      </c>
      <c r="F1498" t="s">
        <v>310</v>
      </c>
      <c r="G1498" t="s">
        <v>389</v>
      </c>
      <c r="H1498" t="s">
        <v>575</v>
      </c>
      <c r="I1498">
        <v>2021</v>
      </c>
      <c r="J1498" t="s">
        <v>379</v>
      </c>
      <c r="K1498" t="s">
        <v>546</v>
      </c>
      <c r="L1498" s="784" t="s">
        <v>575</v>
      </c>
      <c r="M1498" t="s">
        <v>745</v>
      </c>
      <c r="N1498" s="784" t="s">
        <v>575</v>
      </c>
      <c r="P1498" t="s">
        <v>1887</v>
      </c>
      <c r="R1498" t="s">
        <v>152</v>
      </c>
      <c r="S1498" t="s">
        <v>146</v>
      </c>
      <c r="U1498">
        <v>0</v>
      </c>
      <c r="V1498" t="s">
        <v>544</v>
      </c>
      <c r="W1498" t="s">
        <v>575</v>
      </c>
      <c r="X1498" s="784">
        <v>30725305777.596794</v>
      </c>
    </row>
    <row r="1499" spans="1:24">
      <c r="A1499" t="s">
        <v>358</v>
      </c>
      <c r="B1499" t="s">
        <v>553</v>
      </c>
      <c r="C1499" t="s">
        <v>165</v>
      </c>
      <c r="D1499" t="s">
        <v>127</v>
      </c>
      <c r="E1499" t="s">
        <v>377</v>
      </c>
      <c r="F1499" t="s">
        <v>310</v>
      </c>
      <c r="G1499" t="s">
        <v>389</v>
      </c>
      <c r="H1499" t="s">
        <v>575</v>
      </c>
      <c r="I1499">
        <v>2021</v>
      </c>
      <c r="J1499" t="s">
        <v>379</v>
      </c>
      <c r="K1499" t="s">
        <v>546</v>
      </c>
      <c r="L1499" s="784" t="s">
        <v>575</v>
      </c>
      <c r="M1499" t="s">
        <v>745</v>
      </c>
      <c r="N1499" s="784" t="s">
        <v>575</v>
      </c>
      <c r="P1499" t="s">
        <v>1887</v>
      </c>
      <c r="R1499" t="s">
        <v>152</v>
      </c>
      <c r="S1499" t="s">
        <v>146</v>
      </c>
      <c r="U1499">
        <v>0</v>
      </c>
      <c r="V1499" t="s">
        <v>544</v>
      </c>
      <c r="W1499" t="s">
        <v>575</v>
      </c>
      <c r="X1499" s="784">
        <v>153815827.8380394</v>
      </c>
    </row>
    <row r="1500" spans="1:24">
      <c r="A1500" t="s">
        <v>358</v>
      </c>
      <c r="B1500" t="s">
        <v>554</v>
      </c>
      <c r="C1500" t="s">
        <v>166</v>
      </c>
      <c r="D1500" t="s">
        <v>127</v>
      </c>
      <c r="E1500" t="s">
        <v>377</v>
      </c>
      <c r="F1500" t="s">
        <v>310</v>
      </c>
      <c r="G1500" t="s">
        <v>389</v>
      </c>
      <c r="H1500" t="s">
        <v>575</v>
      </c>
      <c r="I1500">
        <v>2021</v>
      </c>
      <c r="J1500" t="s">
        <v>379</v>
      </c>
      <c r="K1500" t="s">
        <v>546</v>
      </c>
      <c r="L1500" s="784" t="s">
        <v>575</v>
      </c>
      <c r="M1500" t="s">
        <v>745</v>
      </c>
      <c r="N1500" s="784" t="s">
        <v>575</v>
      </c>
      <c r="P1500" t="s">
        <v>1887</v>
      </c>
      <c r="R1500" t="s">
        <v>152</v>
      </c>
      <c r="S1500" t="s">
        <v>146</v>
      </c>
      <c r="U1500">
        <v>0</v>
      </c>
      <c r="V1500" t="s">
        <v>544</v>
      </c>
      <c r="W1500" t="s">
        <v>546</v>
      </c>
      <c r="X1500" s="784">
        <v>437525105.31216973</v>
      </c>
    </row>
    <row r="1501" spans="1:24">
      <c r="A1501" t="s">
        <v>358</v>
      </c>
      <c r="B1501" t="s">
        <v>555</v>
      </c>
      <c r="C1501" t="s">
        <v>556</v>
      </c>
      <c r="D1501" t="s">
        <v>130</v>
      </c>
      <c r="E1501" t="s">
        <v>377</v>
      </c>
      <c r="F1501" t="s">
        <v>310</v>
      </c>
      <c r="G1501" t="s">
        <v>389</v>
      </c>
      <c r="H1501" t="s">
        <v>575</v>
      </c>
      <c r="I1501">
        <v>2021</v>
      </c>
      <c r="J1501" t="s">
        <v>379</v>
      </c>
      <c r="K1501" t="s">
        <v>546</v>
      </c>
      <c r="L1501" s="784" t="s">
        <v>575</v>
      </c>
      <c r="M1501" t="s">
        <v>745</v>
      </c>
      <c r="N1501" s="784" t="s">
        <v>575</v>
      </c>
      <c r="P1501" t="s">
        <v>1887</v>
      </c>
      <c r="R1501" t="s">
        <v>550</v>
      </c>
      <c r="S1501" t="s">
        <v>146</v>
      </c>
      <c r="U1501">
        <v>0</v>
      </c>
      <c r="V1501" t="s">
        <v>541</v>
      </c>
      <c r="W1501" t="s">
        <v>575</v>
      </c>
      <c r="X1501" s="784">
        <v>149463302.00602186</v>
      </c>
    </row>
    <row r="1502" spans="1:24">
      <c r="A1502" t="s">
        <v>358</v>
      </c>
      <c r="B1502" t="s">
        <v>557</v>
      </c>
      <c r="C1502" t="s">
        <v>167</v>
      </c>
      <c r="D1502" t="s">
        <v>132</v>
      </c>
      <c r="E1502" t="s">
        <v>377</v>
      </c>
      <c r="F1502" t="s">
        <v>310</v>
      </c>
      <c r="G1502" t="s">
        <v>389</v>
      </c>
      <c r="H1502" t="s">
        <v>310</v>
      </c>
      <c r="I1502">
        <v>2021</v>
      </c>
      <c r="J1502" t="s">
        <v>379</v>
      </c>
      <c r="K1502" t="s">
        <v>546</v>
      </c>
      <c r="L1502" s="784">
        <v>10151221</v>
      </c>
      <c r="M1502" t="s">
        <v>745</v>
      </c>
      <c r="N1502" s="784">
        <v>10151220</v>
      </c>
      <c r="P1502" t="s">
        <v>1887</v>
      </c>
      <c r="R1502" t="s">
        <v>150</v>
      </c>
      <c r="S1502" t="s">
        <v>145</v>
      </c>
      <c r="U1502">
        <v>0</v>
      </c>
      <c r="V1502" t="s">
        <v>544</v>
      </c>
      <c r="W1502" t="s">
        <v>558</v>
      </c>
      <c r="X1502" s="784">
        <v>1148322593.9600098</v>
      </c>
    </row>
    <row r="1503" spans="1:24">
      <c r="A1503" t="s">
        <v>358</v>
      </c>
      <c r="B1503" t="s">
        <v>559</v>
      </c>
      <c r="C1503" t="s">
        <v>168</v>
      </c>
      <c r="D1503" t="s">
        <v>127</v>
      </c>
      <c r="E1503" t="s">
        <v>377</v>
      </c>
      <c r="F1503" t="s">
        <v>310</v>
      </c>
      <c r="G1503" t="s">
        <v>389</v>
      </c>
      <c r="H1503" t="s">
        <v>575</v>
      </c>
      <c r="I1503">
        <v>2021</v>
      </c>
      <c r="J1503" t="s">
        <v>379</v>
      </c>
      <c r="K1503" t="s">
        <v>546</v>
      </c>
      <c r="L1503" s="784" t="s">
        <v>575</v>
      </c>
      <c r="M1503" t="s">
        <v>745</v>
      </c>
      <c r="N1503" s="784" t="s">
        <v>575</v>
      </c>
      <c r="P1503" t="s">
        <v>1887</v>
      </c>
      <c r="R1503" t="s">
        <v>152</v>
      </c>
      <c r="S1503" t="s">
        <v>146</v>
      </c>
      <c r="U1503">
        <v>0</v>
      </c>
      <c r="V1503" t="s">
        <v>544</v>
      </c>
      <c r="W1503" t="s">
        <v>575</v>
      </c>
      <c r="X1503" s="784">
        <v>2371102058.1093163</v>
      </c>
    </row>
    <row r="1504" spans="1:24">
      <c r="A1504" t="s">
        <v>358</v>
      </c>
      <c r="B1504" t="s">
        <v>560</v>
      </c>
      <c r="C1504" t="s">
        <v>169</v>
      </c>
      <c r="D1504" t="s">
        <v>130</v>
      </c>
      <c r="E1504" t="s">
        <v>377</v>
      </c>
      <c r="F1504" t="s">
        <v>310</v>
      </c>
      <c r="G1504" t="s">
        <v>389</v>
      </c>
      <c r="H1504" t="s">
        <v>575</v>
      </c>
      <c r="I1504">
        <v>2021</v>
      </c>
      <c r="J1504" t="s">
        <v>379</v>
      </c>
      <c r="K1504" t="s">
        <v>546</v>
      </c>
      <c r="L1504" s="784" t="s">
        <v>575</v>
      </c>
      <c r="M1504" t="s">
        <v>745</v>
      </c>
      <c r="N1504" s="784" t="s">
        <v>575</v>
      </c>
      <c r="P1504" t="s">
        <v>1887</v>
      </c>
      <c r="R1504" t="s">
        <v>150</v>
      </c>
      <c r="S1504" t="s">
        <v>146</v>
      </c>
      <c r="U1504">
        <v>0</v>
      </c>
      <c r="V1504" t="s">
        <v>541</v>
      </c>
      <c r="W1504" t="s">
        <v>546</v>
      </c>
      <c r="X1504" s="784">
        <v>75151620.005215243</v>
      </c>
    </row>
    <row r="1505" spans="1:24">
      <c r="A1505" t="s">
        <v>358</v>
      </c>
      <c r="B1505" t="s">
        <v>561</v>
      </c>
      <c r="C1505" t="s">
        <v>170</v>
      </c>
      <c r="D1505" t="s">
        <v>129</v>
      </c>
      <c r="E1505" t="s">
        <v>377</v>
      </c>
      <c r="F1505" t="s">
        <v>310</v>
      </c>
      <c r="G1505" t="s">
        <v>389</v>
      </c>
      <c r="H1505" t="s">
        <v>310</v>
      </c>
      <c r="I1505">
        <v>2021</v>
      </c>
      <c r="J1505" t="s">
        <v>379</v>
      </c>
      <c r="K1505" t="s">
        <v>546</v>
      </c>
      <c r="L1505" s="784">
        <v>1974300</v>
      </c>
      <c r="M1505" t="s">
        <v>745</v>
      </c>
      <c r="N1505" s="784">
        <v>1974291</v>
      </c>
      <c r="P1505" t="s">
        <v>1887</v>
      </c>
      <c r="R1505" t="s">
        <v>150</v>
      </c>
      <c r="S1505" t="s">
        <v>145</v>
      </c>
      <c r="U1505">
        <v>0</v>
      </c>
      <c r="V1505" t="s">
        <v>544</v>
      </c>
      <c r="W1505" t="s">
        <v>562</v>
      </c>
      <c r="X1505" s="784">
        <v>69958487.197715744</v>
      </c>
    </row>
    <row r="1506" spans="1:24">
      <c r="A1506" t="s">
        <v>358</v>
      </c>
      <c r="B1506" t="s">
        <v>563</v>
      </c>
      <c r="C1506" t="s">
        <v>171</v>
      </c>
      <c r="D1506" t="s">
        <v>132</v>
      </c>
      <c r="E1506" t="s">
        <v>377</v>
      </c>
      <c r="F1506" t="s">
        <v>310</v>
      </c>
      <c r="G1506" t="s">
        <v>389</v>
      </c>
      <c r="H1506" t="s">
        <v>104</v>
      </c>
      <c r="I1506">
        <v>2021</v>
      </c>
      <c r="J1506" t="s">
        <v>379</v>
      </c>
      <c r="K1506" t="s">
        <v>546</v>
      </c>
      <c r="L1506" s="784">
        <v>230000</v>
      </c>
      <c r="M1506" t="s">
        <v>745</v>
      </c>
      <c r="N1506" s="784">
        <v>230000</v>
      </c>
      <c r="P1506" t="s">
        <v>1887</v>
      </c>
      <c r="R1506" t="s">
        <v>150</v>
      </c>
      <c r="S1506" t="s">
        <v>145</v>
      </c>
      <c r="U1506">
        <v>0</v>
      </c>
      <c r="V1506" t="s">
        <v>544</v>
      </c>
      <c r="W1506" t="s">
        <v>548</v>
      </c>
      <c r="X1506" s="784">
        <v>61654608.560629159</v>
      </c>
    </row>
    <row r="1507" spans="1:24">
      <c r="A1507" t="s">
        <v>358</v>
      </c>
      <c r="B1507" t="s">
        <v>564</v>
      </c>
      <c r="C1507" t="s">
        <v>172</v>
      </c>
      <c r="D1507" t="s">
        <v>130</v>
      </c>
      <c r="E1507" t="s">
        <v>377</v>
      </c>
      <c r="F1507" t="s">
        <v>310</v>
      </c>
      <c r="G1507" t="s">
        <v>389</v>
      </c>
      <c r="H1507" t="s">
        <v>104</v>
      </c>
      <c r="I1507">
        <v>2021</v>
      </c>
      <c r="J1507" t="s">
        <v>379</v>
      </c>
      <c r="K1507" t="s">
        <v>546</v>
      </c>
      <c r="L1507" s="784">
        <v>920000</v>
      </c>
      <c r="M1507" t="s">
        <v>745</v>
      </c>
      <c r="N1507" s="784">
        <v>920000</v>
      </c>
      <c r="P1507" t="s">
        <v>1887</v>
      </c>
      <c r="R1507" t="s">
        <v>150</v>
      </c>
      <c r="S1507" t="s">
        <v>145</v>
      </c>
      <c r="U1507">
        <v>0</v>
      </c>
      <c r="V1507" t="s">
        <v>544</v>
      </c>
      <c r="W1507" t="s">
        <v>546</v>
      </c>
      <c r="X1507" s="784">
        <v>1806638707.7615163</v>
      </c>
    </row>
    <row r="1508" spans="1:24">
      <c r="A1508" t="s">
        <v>358</v>
      </c>
      <c r="B1508" t="s">
        <v>565</v>
      </c>
      <c r="C1508" t="s">
        <v>174</v>
      </c>
      <c r="D1508" t="s">
        <v>127</v>
      </c>
      <c r="E1508" t="s">
        <v>377</v>
      </c>
      <c r="F1508" t="s">
        <v>310</v>
      </c>
      <c r="G1508" t="s">
        <v>389</v>
      </c>
      <c r="H1508" t="s">
        <v>575</v>
      </c>
      <c r="I1508">
        <v>2021</v>
      </c>
      <c r="J1508" t="s">
        <v>379</v>
      </c>
      <c r="K1508" t="s">
        <v>546</v>
      </c>
      <c r="L1508" s="784" t="s">
        <v>575</v>
      </c>
      <c r="M1508" t="s">
        <v>745</v>
      </c>
      <c r="N1508" s="784" t="s">
        <v>575</v>
      </c>
      <c r="P1508" t="s">
        <v>1887</v>
      </c>
      <c r="R1508" t="s">
        <v>152</v>
      </c>
      <c r="S1508" t="s">
        <v>146</v>
      </c>
      <c r="U1508">
        <v>0</v>
      </c>
      <c r="V1508" t="s">
        <v>544</v>
      </c>
      <c r="W1508" t="s">
        <v>546</v>
      </c>
      <c r="X1508" s="784">
        <v>1252696525.0627904</v>
      </c>
    </row>
    <row r="1509" spans="1:24">
      <c r="A1509" t="s">
        <v>358</v>
      </c>
      <c r="B1509" t="s">
        <v>566</v>
      </c>
      <c r="C1509" t="s">
        <v>175</v>
      </c>
      <c r="D1509" t="s">
        <v>128</v>
      </c>
      <c r="E1509" t="s">
        <v>377</v>
      </c>
      <c r="F1509" t="s">
        <v>310</v>
      </c>
      <c r="G1509" t="s">
        <v>389</v>
      </c>
      <c r="H1509" t="s">
        <v>575</v>
      </c>
      <c r="I1509">
        <v>2021</v>
      </c>
      <c r="J1509" t="s">
        <v>379</v>
      </c>
      <c r="K1509" t="s">
        <v>546</v>
      </c>
      <c r="L1509" s="784" t="s">
        <v>575</v>
      </c>
      <c r="M1509" t="s">
        <v>745</v>
      </c>
      <c r="N1509" s="784" t="s">
        <v>575</v>
      </c>
      <c r="P1509" t="s">
        <v>1887</v>
      </c>
      <c r="R1509" t="s">
        <v>152</v>
      </c>
      <c r="S1509" t="s">
        <v>146</v>
      </c>
      <c r="U1509">
        <v>0</v>
      </c>
      <c r="V1509" t="s">
        <v>544</v>
      </c>
      <c r="W1509" t="s">
        <v>575</v>
      </c>
      <c r="X1509" s="784">
        <v>843425084.07334602</v>
      </c>
    </row>
    <row r="1510" spans="1:24">
      <c r="A1510" t="s">
        <v>358</v>
      </c>
      <c r="B1510" t="s">
        <v>567</v>
      </c>
      <c r="C1510" t="s">
        <v>144</v>
      </c>
      <c r="D1510" t="s">
        <v>130</v>
      </c>
      <c r="E1510" t="s">
        <v>377</v>
      </c>
      <c r="F1510" t="s">
        <v>310</v>
      </c>
      <c r="G1510" t="s">
        <v>389</v>
      </c>
      <c r="H1510" t="s">
        <v>575</v>
      </c>
      <c r="I1510">
        <v>2021</v>
      </c>
      <c r="J1510" t="s">
        <v>379</v>
      </c>
      <c r="K1510" t="s">
        <v>546</v>
      </c>
      <c r="L1510" s="784" t="s">
        <v>575</v>
      </c>
      <c r="M1510" t="s">
        <v>745</v>
      </c>
      <c r="N1510" s="784" t="s">
        <v>575</v>
      </c>
      <c r="P1510" t="s">
        <v>1887</v>
      </c>
      <c r="R1510" t="s">
        <v>152</v>
      </c>
      <c r="S1510" t="s">
        <v>146</v>
      </c>
      <c r="U1510">
        <v>0</v>
      </c>
      <c r="V1510" t="s">
        <v>544</v>
      </c>
      <c r="W1510" t="s">
        <v>546</v>
      </c>
      <c r="X1510" s="784">
        <v>74055620038.853683</v>
      </c>
    </row>
    <row r="1511" spans="1:24">
      <c r="A1511" t="s">
        <v>358</v>
      </c>
      <c r="B1511" t="s">
        <v>568</v>
      </c>
      <c r="C1511" t="s">
        <v>176</v>
      </c>
      <c r="D1511" t="s">
        <v>127</v>
      </c>
      <c r="E1511" t="s">
        <v>377</v>
      </c>
      <c r="F1511" t="s">
        <v>310</v>
      </c>
      <c r="G1511" t="s">
        <v>389</v>
      </c>
      <c r="H1511" t="s">
        <v>575</v>
      </c>
      <c r="I1511">
        <v>2021</v>
      </c>
      <c r="J1511" t="s">
        <v>379</v>
      </c>
      <c r="K1511" t="s">
        <v>546</v>
      </c>
      <c r="L1511" s="784" t="s">
        <v>575</v>
      </c>
      <c r="M1511" t="s">
        <v>745</v>
      </c>
      <c r="N1511" s="784" t="s">
        <v>575</v>
      </c>
      <c r="P1511" t="s">
        <v>1887</v>
      </c>
      <c r="R1511" t="s">
        <v>152</v>
      </c>
      <c r="S1511" t="s">
        <v>146</v>
      </c>
      <c r="U1511">
        <v>0</v>
      </c>
      <c r="V1511" t="s">
        <v>544</v>
      </c>
      <c r="W1511" t="s">
        <v>575</v>
      </c>
      <c r="X1511" s="784">
        <v>2803357765.5888777</v>
      </c>
    </row>
    <row r="1512" spans="1:24">
      <c r="A1512" t="s">
        <v>358</v>
      </c>
      <c r="B1512" t="s">
        <v>569</v>
      </c>
      <c r="C1512" t="s">
        <v>177</v>
      </c>
      <c r="D1512" t="s">
        <v>129</v>
      </c>
      <c r="E1512" t="s">
        <v>377</v>
      </c>
      <c r="F1512" t="s">
        <v>310</v>
      </c>
      <c r="G1512" t="s">
        <v>389</v>
      </c>
      <c r="H1512" t="s">
        <v>310</v>
      </c>
      <c r="I1512">
        <v>2021</v>
      </c>
      <c r="J1512" t="s">
        <v>379</v>
      </c>
      <c r="K1512" t="s">
        <v>546</v>
      </c>
      <c r="L1512" s="784">
        <v>1144242</v>
      </c>
      <c r="M1512" t="s">
        <v>745</v>
      </c>
      <c r="N1512" s="784">
        <v>1144242</v>
      </c>
      <c r="P1512" t="s">
        <v>1887</v>
      </c>
      <c r="R1512" t="s">
        <v>148</v>
      </c>
      <c r="S1512" t="s">
        <v>145</v>
      </c>
      <c r="U1512">
        <v>2</v>
      </c>
      <c r="V1512" t="s">
        <v>544</v>
      </c>
      <c r="W1512" t="s">
        <v>562</v>
      </c>
      <c r="X1512" s="784">
        <v>337927779.25510043</v>
      </c>
    </row>
    <row r="1513" spans="1:24">
      <c r="A1513" t="s">
        <v>358</v>
      </c>
      <c r="B1513" t="s">
        <v>570</v>
      </c>
      <c r="C1513" t="s">
        <v>178</v>
      </c>
      <c r="D1513" t="s">
        <v>128</v>
      </c>
      <c r="E1513" t="s">
        <v>377</v>
      </c>
      <c r="F1513" t="s">
        <v>310</v>
      </c>
      <c r="G1513" t="s">
        <v>389</v>
      </c>
      <c r="H1513" t="s">
        <v>575</v>
      </c>
      <c r="I1513">
        <v>2021</v>
      </c>
      <c r="J1513" t="s">
        <v>379</v>
      </c>
      <c r="K1513" t="s">
        <v>546</v>
      </c>
      <c r="L1513" s="784" t="s">
        <v>575</v>
      </c>
      <c r="M1513" t="s">
        <v>745</v>
      </c>
      <c r="N1513" s="784" t="s">
        <v>575</v>
      </c>
      <c r="P1513" t="s">
        <v>1887</v>
      </c>
      <c r="R1513" t="s">
        <v>148</v>
      </c>
      <c r="S1513" t="s">
        <v>145</v>
      </c>
      <c r="U1513">
        <v>2</v>
      </c>
      <c r="V1513" t="s">
        <v>544</v>
      </c>
      <c r="W1513" t="s">
        <v>548</v>
      </c>
      <c r="X1513" s="784">
        <v>65979512.47399316</v>
      </c>
    </row>
    <row r="1514" spans="1:24">
      <c r="A1514" t="s">
        <v>358</v>
      </c>
      <c r="B1514" t="s">
        <v>571</v>
      </c>
      <c r="C1514" t="s">
        <v>179</v>
      </c>
      <c r="D1514" t="s">
        <v>129</v>
      </c>
      <c r="E1514" t="s">
        <v>377</v>
      </c>
      <c r="F1514" t="s">
        <v>310</v>
      </c>
      <c r="G1514" t="s">
        <v>389</v>
      </c>
      <c r="H1514" t="s">
        <v>104</v>
      </c>
      <c r="I1514">
        <v>2021</v>
      </c>
      <c r="J1514" t="s">
        <v>379</v>
      </c>
      <c r="K1514" t="s">
        <v>546</v>
      </c>
      <c r="L1514" s="784">
        <v>72358</v>
      </c>
      <c r="M1514" t="s">
        <v>745</v>
      </c>
      <c r="N1514" s="784">
        <v>72358</v>
      </c>
      <c r="P1514" t="s">
        <v>1887</v>
      </c>
      <c r="R1514" t="s">
        <v>150</v>
      </c>
      <c r="S1514" t="s">
        <v>145</v>
      </c>
      <c r="U1514">
        <v>0</v>
      </c>
      <c r="V1514" t="s">
        <v>541</v>
      </c>
      <c r="W1514" t="s">
        <v>542</v>
      </c>
      <c r="X1514" s="784">
        <v>63748362.778827004</v>
      </c>
    </row>
    <row r="1515" spans="1:24">
      <c r="A1515" t="s">
        <v>358</v>
      </c>
      <c r="B1515" t="s">
        <v>572</v>
      </c>
      <c r="C1515" t="s">
        <v>180</v>
      </c>
      <c r="D1515" t="s">
        <v>126</v>
      </c>
      <c r="E1515" t="s">
        <v>377</v>
      </c>
      <c r="F1515" t="s">
        <v>310</v>
      </c>
      <c r="G1515" t="s">
        <v>389</v>
      </c>
      <c r="H1515" t="s">
        <v>310</v>
      </c>
      <c r="I1515">
        <v>2021</v>
      </c>
      <c r="J1515" t="s">
        <v>379</v>
      </c>
      <c r="K1515" t="s">
        <v>546</v>
      </c>
      <c r="L1515" s="784">
        <v>1299795</v>
      </c>
      <c r="M1515" t="s">
        <v>745</v>
      </c>
      <c r="N1515" s="784">
        <v>1238955</v>
      </c>
      <c r="P1515" t="s">
        <v>1887</v>
      </c>
      <c r="R1515" t="s">
        <v>150</v>
      </c>
      <c r="S1515" t="s">
        <v>145</v>
      </c>
      <c r="U1515">
        <v>0</v>
      </c>
      <c r="V1515" t="s">
        <v>544</v>
      </c>
      <c r="W1515" t="s">
        <v>558</v>
      </c>
      <c r="X1515" s="784">
        <v>313039649.45369786</v>
      </c>
    </row>
    <row r="1516" spans="1:24">
      <c r="A1516" t="s">
        <v>358</v>
      </c>
      <c r="B1516" t="s">
        <v>573</v>
      </c>
      <c r="C1516" t="s">
        <v>181</v>
      </c>
      <c r="D1516" t="s">
        <v>129</v>
      </c>
      <c r="E1516" t="s">
        <v>377</v>
      </c>
      <c r="F1516" t="s">
        <v>310</v>
      </c>
      <c r="G1516" t="s">
        <v>389</v>
      </c>
      <c r="H1516" t="s">
        <v>310</v>
      </c>
      <c r="I1516">
        <v>2021</v>
      </c>
      <c r="J1516" t="s">
        <v>379</v>
      </c>
      <c r="K1516" t="s">
        <v>546</v>
      </c>
      <c r="L1516" s="784">
        <v>5507618</v>
      </c>
      <c r="M1516" t="s">
        <v>745</v>
      </c>
      <c r="N1516" s="784">
        <v>5427618</v>
      </c>
      <c r="P1516" t="s">
        <v>1887</v>
      </c>
      <c r="R1516" t="s">
        <v>150</v>
      </c>
      <c r="S1516" t="s">
        <v>145</v>
      </c>
      <c r="U1516">
        <v>2</v>
      </c>
      <c r="V1516" t="s">
        <v>544</v>
      </c>
      <c r="W1516" t="s">
        <v>542</v>
      </c>
      <c r="X1516" s="784">
        <v>81361801.477472037</v>
      </c>
    </row>
    <row r="1517" spans="1:24">
      <c r="A1517" t="s">
        <v>358</v>
      </c>
      <c r="B1517" t="s">
        <v>574</v>
      </c>
      <c r="C1517" t="s">
        <v>182</v>
      </c>
      <c r="D1517" t="s">
        <v>129</v>
      </c>
      <c r="E1517" t="s">
        <v>377</v>
      </c>
      <c r="F1517" t="s">
        <v>310</v>
      </c>
      <c r="G1517" t="s">
        <v>389</v>
      </c>
      <c r="H1517" t="s">
        <v>310</v>
      </c>
      <c r="I1517">
        <v>2021</v>
      </c>
      <c r="J1517" t="s">
        <v>379</v>
      </c>
      <c r="K1517" t="s">
        <v>546</v>
      </c>
      <c r="L1517" s="784">
        <v>1303508</v>
      </c>
      <c r="M1517" t="s">
        <v>745</v>
      </c>
      <c r="N1517" s="784">
        <v>1303508</v>
      </c>
      <c r="P1517" t="s">
        <v>1887</v>
      </c>
      <c r="R1517" t="s">
        <v>148</v>
      </c>
      <c r="S1517" t="s">
        <v>145</v>
      </c>
      <c r="U1517">
        <v>1</v>
      </c>
      <c r="V1517" t="s">
        <v>544</v>
      </c>
      <c r="W1517" t="s">
        <v>542</v>
      </c>
      <c r="X1517" s="784" t="s">
        <v>575</v>
      </c>
    </row>
    <row r="1518" spans="1:24">
      <c r="A1518" t="s">
        <v>358</v>
      </c>
      <c r="B1518" t="s">
        <v>576</v>
      </c>
      <c r="C1518" t="s">
        <v>183</v>
      </c>
      <c r="D1518" t="s">
        <v>129</v>
      </c>
      <c r="E1518" t="s">
        <v>377</v>
      </c>
      <c r="F1518" t="s">
        <v>310</v>
      </c>
      <c r="G1518" t="s">
        <v>389</v>
      </c>
      <c r="H1518" t="s">
        <v>310</v>
      </c>
      <c r="I1518">
        <v>2021</v>
      </c>
      <c r="J1518" t="s">
        <v>379</v>
      </c>
      <c r="K1518" t="s">
        <v>546</v>
      </c>
      <c r="L1518" s="784">
        <v>5000000</v>
      </c>
      <c r="M1518" t="s">
        <v>745</v>
      </c>
      <c r="N1518" s="784">
        <v>4700000</v>
      </c>
      <c r="P1518" t="s">
        <v>1887</v>
      </c>
      <c r="R1518" t="s">
        <v>148</v>
      </c>
      <c r="S1518" t="s">
        <v>145</v>
      </c>
      <c r="U1518">
        <v>1</v>
      </c>
      <c r="V1518" t="s">
        <v>544</v>
      </c>
      <c r="W1518" t="s">
        <v>542</v>
      </c>
      <c r="X1518" s="784">
        <v>76939306.715636879</v>
      </c>
    </row>
    <row r="1519" spans="1:24">
      <c r="A1519" t="s">
        <v>358</v>
      </c>
      <c r="B1519" t="s">
        <v>577</v>
      </c>
      <c r="C1519" t="s">
        <v>184</v>
      </c>
      <c r="D1519" t="s">
        <v>130</v>
      </c>
      <c r="E1519" t="s">
        <v>377</v>
      </c>
      <c r="F1519" t="s">
        <v>310</v>
      </c>
      <c r="G1519" t="s">
        <v>389</v>
      </c>
      <c r="H1519" t="s">
        <v>575</v>
      </c>
      <c r="I1519">
        <v>2021</v>
      </c>
      <c r="J1519" t="s">
        <v>379</v>
      </c>
      <c r="K1519" t="s">
        <v>546</v>
      </c>
      <c r="L1519" s="784" t="s">
        <v>575</v>
      </c>
      <c r="M1519" t="s">
        <v>745</v>
      </c>
      <c r="N1519" s="784" t="s">
        <v>575</v>
      </c>
      <c r="P1519" t="s">
        <v>1887</v>
      </c>
      <c r="R1519" t="s">
        <v>550</v>
      </c>
      <c r="S1519" t="s">
        <v>146</v>
      </c>
      <c r="U1519">
        <v>0</v>
      </c>
      <c r="V1519" t="s">
        <v>544</v>
      </c>
      <c r="W1519" t="s">
        <v>575</v>
      </c>
      <c r="X1519" s="784">
        <v>13859708717.682571</v>
      </c>
    </row>
    <row r="1520" spans="1:24">
      <c r="A1520" t="s">
        <v>358</v>
      </c>
      <c r="B1520" t="s">
        <v>578</v>
      </c>
      <c r="C1520" t="s">
        <v>185</v>
      </c>
      <c r="D1520" t="s">
        <v>126</v>
      </c>
      <c r="E1520" t="s">
        <v>377</v>
      </c>
      <c r="F1520" t="s">
        <v>310</v>
      </c>
      <c r="G1520" t="s">
        <v>389</v>
      </c>
      <c r="H1520" t="s">
        <v>575</v>
      </c>
      <c r="I1520">
        <v>2021</v>
      </c>
      <c r="J1520" t="s">
        <v>379</v>
      </c>
      <c r="K1520" t="s">
        <v>546</v>
      </c>
      <c r="L1520" s="784" t="s">
        <v>575</v>
      </c>
      <c r="M1520" t="s">
        <v>745</v>
      </c>
      <c r="N1520" s="784" t="s">
        <v>575</v>
      </c>
      <c r="P1520" t="s">
        <v>1887</v>
      </c>
      <c r="R1520" t="s">
        <v>152</v>
      </c>
      <c r="S1520" t="s">
        <v>146</v>
      </c>
      <c r="U1520">
        <v>0</v>
      </c>
      <c r="V1520" t="s">
        <v>544</v>
      </c>
      <c r="W1520" t="s">
        <v>575</v>
      </c>
      <c r="X1520" s="784">
        <v>403567160707.7016</v>
      </c>
    </row>
    <row r="1521" spans="1:24">
      <c r="A1521" t="s">
        <v>358</v>
      </c>
      <c r="B1521" t="s">
        <v>579</v>
      </c>
      <c r="C1521" t="s">
        <v>186</v>
      </c>
      <c r="D1521" t="s">
        <v>130</v>
      </c>
      <c r="E1521" t="s">
        <v>377</v>
      </c>
      <c r="F1521" t="s">
        <v>310</v>
      </c>
      <c r="G1521" t="s">
        <v>389</v>
      </c>
      <c r="H1521" t="s">
        <v>575</v>
      </c>
      <c r="I1521">
        <v>2021</v>
      </c>
      <c r="J1521" t="s">
        <v>379</v>
      </c>
      <c r="K1521" t="s">
        <v>546</v>
      </c>
      <c r="L1521" s="784" t="s">
        <v>575</v>
      </c>
      <c r="M1521" t="s">
        <v>745</v>
      </c>
      <c r="N1521" s="784" t="s">
        <v>575</v>
      </c>
      <c r="P1521" t="s">
        <v>1887</v>
      </c>
      <c r="R1521" t="s">
        <v>152</v>
      </c>
      <c r="S1521" t="s">
        <v>146</v>
      </c>
      <c r="U1521">
        <v>0</v>
      </c>
      <c r="V1521" t="s">
        <v>544</v>
      </c>
      <c r="W1521" t="s">
        <v>575</v>
      </c>
      <c r="X1521" s="784">
        <v>18250225995.972618</v>
      </c>
    </row>
    <row r="1522" spans="1:24">
      <c r="A1522" t="s">
        <v>358</v>
      </c>
      <c r="B1522" t="s">
        <v>580</v>
      </c>
      <c r="C1522" t="s">
        <v>187</v>
      </c>
      <c r="D1522" t="s">
        <v>128</v>
      </c>
      <c r="E1522" t="s">
        <v>377</v>
      </c>
      <c r="F1522" t="s">
        <v>310</v>
      </c>
      <c r="G1522" t="s">
        <v>389</v>
      </c>
      <c r="H1522" t="s">
        <v>310</v>
      </c>
      <c r="I1522">
        <v>2021</v>
      </c>
      <c r="J1522" t="s">
        <v>379</v>
      </c>
      <c r="K1522" t="s">
        <v>546</v>
      </c>
      <c r="L1522" s="784">
        <v>146720</v>
      </c>
      <c r="M1522" t="s">
        <v>745</v>
      </c>
      <c r="N1522" s="784">
        <v>146720</v>
      </c>
      <c r="P1522" t="s">
        <v>1887</v>
      </c>
      <c r="R1522" t="s">
        <v>150</v>
      </c>
      <c r="S1522" t="s">
        <v>145</v>
      </c>
      <c r="U1522">
        <v>0</v>
      </c>
      <c r="V1522" t="s">
        <v>541</v>
      </c>
      <c r="W1522" t="s">
        <v>562</v>
      </c>
      <c r="X1522" s="784">
        <v>5027591.1682657599</v>
      </c>
    </row>
    <row r="1523" spans="1:24">
      <c r="A1523" t="s">
        <v>358</v>
      </c>
      <c r="B1523" t="s">
        <v>581</v>
      </c>
      <c r="C1523" t="s">
        <v>188</v>
      </c>
      <c r="D1523" t="s">
        <v>129</v>
      </c>
      <c r="E1523" t="s">
        <v>377</v>
      </c>
      <c r="F1523" t="s">
        <v>310</v>
      </c>
      <c r="G1523" t="s">
        <v>389</v>
      </c>
      <c r="H1523" t="s">
        <v>310</v>
      </c>
      <c r="I1523">
        <v>2021</v>
      </c>
      <c r="J1523" t="s">
        <v>379</v>
      </c>
      <c r="K1523" t="s">
        <v>546</v>
      </c>
      <c r="L1523" s="784">
        <v>13252291</v>
      </c>
      <c r="M1523" t="s">
        <v>745</v>
      </c>
      <c r="N1523" s="784">
        <v>13184599</v>
      </c>
      <c r="P1523" t="s">
        <v>1887</v>
      </c>
      <c r="R1523" t="s">
        <v>148</v>
      </c>
      <c r="S1523" t="s">
        <v>145</v>
      </c>
      <c r="U1523">
        <v>3</v>
      </c>
      <c r="V1523" t="s">
        <v>544</v>
      </c>
      <c r="W1523" t="s">
        <v>562</v>
      </c>
      <c r="X1523" s="784">
        <v>234645958.63289919</v>
      </c>
    </row>
    <row r="1524" spans="1:24">
      <c r="A1524" t="s">
        <v>358</v>
      </c>
      <c r="B1524" t="s">
        <v>582</v>
      </c>
      <c r="C1524" t="s">
        <v>189</v>
      </c>
      <c r="D1524" t="s">
        <v>129</v>
      </c>
      <c r="E1524" t="s">
        <v>377</v>
      </c>
      <c r="F1524" t="s">
        <v>310</v>
      </c>
      <c r="G1524" t="s">
        <v>389</v>
      </c>
      <c r="H1524" t="s">
        <v>310</v>
      </c>
      <c r="I1524">
        <v>2021</v>
      </c>
      <c r="J1524" t="s">
        <v>379</v>
      </c>
      <c r="K1524" t="s">
        <v>546</v>
      </c>
      <c r="L1524" s="784">
        <v>978461</v>
      </c>
      <c r="M1524" t="s">
        <v>745</v>
      </c>
      <c r="N1524" s="784">
        <v>978460</v>
      </c>
      <c r="P1524" t="s">
        <v>1887</v>
      </c>
      <c r="R1524" t="s">
        <v>150</v>
      </c>
      <c r="S1524" t="s">
        <v>145</v>
      </c>
      <c r="U1524">
        <v>2</v>
      </c>
      <c r="V1524" t="s">
        <v>544</v>
      </c>
      <c r="W1524" t="s">
        <v>583</v>
      </c>
      <c r="X1524" s="784">
        <v>91590910.247314155</v>
      </c>
    </row>
    <row r="1525" spans="1:24">
      <c r="A1525" t="s">
        <v>358</v>
      </c>
      <c r="B1525" t="s">
        <v>584</v>
      </c>
      <c r="C1525" t="s">
        <v>190</v>
      </c>
      <c r="D1525" t="s">
        <v>126</v>
      </c>
      <c r="E1525" t="s">
        <v>377</v>
      </c>
      <c r="F1525" t="s">
        <v>310</v>
      </c>
      <c r="G1525" t="s">
        <v>389</v>
      </c>
      <c r="H1525" t="s">
        <v>575</v>
      </c>
      <c r="I1525">
        <v>2021</v>
      </c>
      <c r="J1525" t="s">
        <v>379</v>
      </c>
      <c r="K1525" t="s">
        <v>546</v>
      </c>
      <c r="L1525" s="784" t="s">
        <v>575</v>
      </c>
      <c r="M1525" t="s">
        <v>745</v>
      </c>
      <c r="N1525" s="784" t="s">
        <v>575</v>
      </c>
      <c r="P1525" t="s">
        <v>1887</v>
      </c>
      <c r="R1525" t="s">
        <v>322</v>
      </c>
      <c r="S1525" t="s">
        <v>146</v>
      </c>
      <c r="U1525">
        <v>0</v>
      </c>
      <c r="V1525" t="s">
        <v>541</v>
      </c>
      <c r="W1525" t="s">
        <v>546</v>
      </c>
      <c r="X1525" s="784">
        <v>8560012.8840167802</v>
      </c>
    </row>
    <row r="1526" spans="1:24">
      <c r="A1526" t="s">
        <v>358</v>
      </c>
      <c r="B1526" t="s">
        <v>585</v>
      </c>
      <c r="C1526" t="s">
        <v>191</v>
      </c>
      <c r="D1526" t="s">
        <v>130</v>
      </c>
      <c r="E1526" t="s">
        <v>377</v>
      </c>
      <c r="F1526" t="s">
        <v>310</v>
      </c>
      <c r="G1526" t="s">
        <v>389</v>
      </c>
      <c r="H1526" t="s">
        <v>575</v>
      </c>
      <c r="I1526">
        <v>2021</v>
      </c>
      <c r="J1526" t="s">
        <v>379</v>
      </c>
      <c r="K1526" t="s">
        <v>546</v>
      </c>
      <c r="L1526" s="784" t="s">
        <v>575</v>
      </c>
      <c r="M1526" t="s">
        <v>745</v>
      </c>
      <c r="N1526" s="784" t="s">
        <v>575</v>
      </c>
      <c r="P1526" t="s">
        <v>1887</v>
      </c>
      <c r="R1526" t="s">
        <v>152</v>
      </c>
      <c r="S1526" t="s">
        <v>146</v>
      </c>
      <c r="U1526">
        <v>0</v>
      </c>
      <c r="V1526" t="s">
        <v>544</v>
      </c>
      <c r="W1526" t="s">
        <v>546</v>
      </c>
      <c r="X1526" s="784">
        <v>3292372960.3962669</v>
      </c>
    </row>
    <row r="1527" spans="1:24">
      <c r="A1527" t="s">
        <v>358</v>
      </c>
      <c r="B1527" t="s">
        <v>586</v>
      </c>
      <c r="C1527" t="s">
        <v>192</v>
      </c>
      <c r="D1527" t="s">
        <v>129</v>
      </c>
      <c r="E1527" t="s">
        <v>377</v>
      </c>
      <c r="F1527" t="s">
        <v>310</v>
      </c>
      <c r="G1527" t="s">
        <v>389</v>
      </c>
      <c r="H1527" t="s">
        <v>310</v>
      </c>
      <c r="I1527">
        <v>2021</v>
      </c>
      <c r="J1527" t="s">
        <v>379</v>
      </c>
      <c r="K1527" t="s">
        <v>546</v>
      </c>
      <c r="L1527" s="784">
        <v>2628307</v>
      </c>
      <c r="M1527" t="s">
        <v>745</v>
      </c>
      <c r="N1527" s="784">
        <v>2628307</v>
      </c>
      <c r="P1527" t="s">
        <v>1887</v>
      </c>
      <c r="R1527" t="s">
        <v>150</v>
      </c>
      <c r="S1527" t="s">
        <v>145</v>
      </c>
      <c r="U1527">
        <v>0</v>
      </c>
      <c r="V1527" t="s">
        <v>544</v>
      </c>
      <c r="W1527" t="s">
        <v>562</v>
      </c>
      <c r="X1527" s="784">
        <v>519209981.22981054</v>
      </c>
    </row>
    <row r="1528" spans="1:24">
      <c r="A1528" t="s">
        <v>358</v>
      </c>
      <c r="B1528" t="s">
        <v>587</v>
      </c>
      <c r="C1528" t="s">
        <v>193</v>
      </c>
      <c r="D1528" t="s">
        <v>127</v>
      </c>
      <c r="E1528" t="s">
        <v>377</v>
      </c>
      <c r="F1528" t="s">
        <v>310</v>
      </c>
      <c r="G1528" t="s">
        <v>389</v>
      </c>
      <c r="H1528" t="s">
        <v>575</v>
      </c>
      <c r="I1528">
        <v>2021</v>
      </c>
      <c r="J1528" t="s">
        <v>379</v>
      </c>
      <c r="K1528" t="s">
        <v>546</v>
      </c>
      <c r="L1528" s="784" t="s">
        <v>575</v>
      </c>
      <c r="M1528" t="s">
        <v>745</v>
      </c>
      <c r="N1528" s="784" t="s">
        <v>575</v>
      </c>
      <c r="P1528" t="s">
        <v>1887</v>
      </c>
      <c r="R1528" t="s">
        <v>550</v>
      </c>
      <c r="S1528" t="s">
        <v>146</v>
      </c>
      <c r="U1528">
        <v>0</v>
      </c>
      <c r="V1528" t="s">
        <v>544</v>
      </c>
      <c r="W1528" t="s">
        <v>575</v>
      </c>
      <c r="X1528" s="784">
        <v>3464739907.1604805</v>
      </c>
    </row>
    <row r="1529" spans="1:24">
      <c r="A1529" t="s">
        <v>358</v>
      </c>
      <c r="B1529" t="s">
        <v>588</v>
      </c>
      <c r="C1529" t="s">
        <v>147</v>
      </c>
      <c r="D1529" t="s">
        <v>130</v>
      </c>
      <c r="E1529" t="s">
        <v>377</v>
      </c>
      <c r="F1529" t="s">
        <v>310</v>
      </c>
      <c r="G1529" t="s">
        <v>389</v>
      </c>
      <c r="H1529" t="s">
        <v>575</v>
      </c>
      <c r="I1529">
        <v>2021</v>
      </c>
      <c r="J1529" t="s">
        <v>379</v>
      </c>
      <c r="K1529" t="s">
        <v>546</v>
      </c>
      <c r="L1529" s="784" t="s">
        <v>575</v>
      </c>
      <c r="M1529" t="s">
        <v>745</v>
      </c>
      <c r="N1529" s="784" t="s">
        <v>575</v>
      </c>
      <c r="P1529" t="s">
        <v>1887</v>
      </c>
      <c r="R1529" t="s">
        <v>152</v>
      </c>
      <c r="S1529" t="s">
        <v>146</v>
      </c>
      <c r="U1529">
        <v>0</v>
      </c>
      <c r="V1529" t="s">
        <v>541</v>
      </c>
      <c r="W1529" t="s">
        <v>575</v>
      </c>
      <c r="X1529" s="784">
        <v>9948521252.2569065</v>
      </c>
    </row>
    <row r="1530" spans="1:24">
      <c r="A1530" t="s">
        <v>358</v>
      </c>
      <c r="B1530" t="s">
        <v>589</v>
      </c>
      <c r="C1530" t="s">
        <v>194</v>
      </c>
      <c r="D1530" t="s">
        <v>131</v>
      </c>
      <c r="E1530" t="s">
        <v>377</v>
      </c>
      <c r="F1530" t="s">
        <v>310</v>
      </c>
      <c r="G1530" t="s">
        <v>389</v>
      </c>
      <c r="H1530" t="s">
        <v>310</v>
      </c>
      <c r="I1530">
        <v>2021</v>
      </c>
      <c r="J1530" t="s">
        <v>379</v>
      </c>
      <c r="K1530" t="s">
        <v>546</v>
      </c>
      <c r="L1530" s="784">
        <v>978421</v>
      </c>
      <c r="M1530" t="s">
        <v>745</v>
      </c>
      <c r="N1530" s="784">
        <v>978421</v>
      </c>
      <c r="P1530" t="s">
        <v>1887</v>
      </c>
      <c r="R1530" t="s">
        <v>150</v>
      </c>
      <c r="S1530" t="s">
        <v>145</v>
      </c>
      <c r="U1530">
        <v>1</v>
      </c>
      <c r="V1530" t="s">
        <v>544</v>
      </c>
      <c r="W1530" t="s">
        <v>542</v>
      </c>
      <c r="X1530" s="784">
        <v>33679192.765657313</v>
      </c>
    </row>
    <row r="1531" spans="1:24">
      <c r="A1531" t="s">
        <v>358</v>
      </c>
      <c r="B1531" t="s">
        <v>590</v>
      </c>
      <c r="C1531" t="s">
        <v>195</v>
      </c>
      <c r="D1531" t="s">
        <v>130</v>
      </c>
      <c r="E1531" t="s">
        <v>377</v>
      </c>
      <c r="F1531" t="s">
        <v>310</v>
      </c>
      <c r="G1531" t="s">
        <v>389</v>
      </c>
      <c r="H1531" t="s">
        <v>104</v>
      </c>
      <c r="I1531">
        <v>2021</v>
      </c>
      <c r="J1531" t="s">
        <v>379</v>
      </c>
      <c r="K1531" t="s">
        <v>546</v>
      </c>
      <c r="L1531" s="784">
        <v>230000</v>
      </c>
      <c r="M1531" t="s">
        <v>745</v>
      </c>
      <c r="N1531" s="784">
        <v>230000</v>
      </c>
      <c r="P1531" t="s">
        <v>1887</v>
      </c>
      <c r="R1531" t="s">
        <v>152</v>
      </c>
      <c r="S1531" t="s">
        <v>145</v>
      </c>
      <c r="U1531">
        <v>0</v>
      </c>
      <c r="V1531" t="s">
        <v>541</v>
      </c>
      <c r="W1531" t="s">
        <v>548</v>
      </c>
      <c r="X1531" s="784">
        <v>22784494.365742501</v>
      </c>
    </row>
    <row r="1532" spans="1:24">
      <c r="A1532" t="s">
        <v>358</v>
      </c>
      <c r="B1532" t="s">
        <v>591</v>
      </c>
      <c r="C1532" t="s">
        <v>196</v>
      </c>
      <c r="D1532" t="s">
        <v>130</v>
      </c>
      <c r="E1532" t="s">
        <v>377</v>
      </c>
      <c r="F1532" t="s">
        <v>310</v>
      </c>
      <c r="G1532" t="s">
        <v>389</v>
      </c>
      <c r="H1532" t="s">
        <v>575</v>
      </c>
      <c r="I1532">
        <v>2021</v>
      </c>
      <c r="J1532" t="s">
        <v>379</v>
      </c>
      <c r="K1532" t="s">
        <v>546</v>
      </c>
      <c r="L1532" s="784" t="s">
        <v>575</v>
      </c>
      <c r="M1532" t="s">
        <v>745</v>
      </c>
      <c r="N1532" s="784" t="s">
        <v>575</v>
      </c>
      <c r="P1532" t="s">
        <v>1887</v>
      </c>
      <c r="R1532" t="s">
        <v>152</v>
      </c>
      <c r="S1532" t="s">
        <v>146</v>
      </c>
      <c r="U1532">
        <v>0</v>
      </c>
      <c r="V1532" t="s">
        <v>541</v>
      </c>
      <c r="W1532" t="s">
        <v>575</v>
      </c>
      <c r="X1532" s="784">
        <v>2173208011.4858823</v>
      </c>
    </row>
    <row r="1533" spans="1:24">
      <c r="A1533" t="s">
        <v>358</v>
      </c>
      <c r="B1533" t="s">
        <v>592</v>
      </c>
      <c r="C1533" t="s">
        <v>197</v>
      </c>
      <c r="D1533" t="s">
        <v>130</v>
      </c>
      <c r="E1533" t="s">
        <v>377</v>
      </c>
      <c r="F1533" t="s">
        <v>310</v>
      </c>
      <c r="G1533" t="s">
        <v>389</v>
      </c>
      <c r="H1533" t="s">
        <v>575</v>
      </c>
      <c r="I1533">
        <v>2021</v>
      </c>
      <c r="J1533" t="s">
        <v>379</v>
      </c>
      <c r="K1533" t="s">
        <v>546</v>
      </c>
      <c r="L1533" s="784" t="s">
        <v>575</v>
      </c>
      <c r="M1533" t="s">
        <v>745</v>
      </c>
      <c r="N1533" s="784" t="s">
        <v>575</v>
      </c>
      <c r="P1533" t="s">
        <v>1887</v>
      </c>
      <c r="R1533" t="s">
        <v>152</v>
      </c>
      <c r="S1533" t="s">
        <v>146</v>
      </c>
      <c r="U1533">
        <v>0</v>
      </c>
      <c r="V1533" t="s">
        <v>544</v>
      </c>
      <c r="W1533" t="s">
        <v>546</v>
      </c>
      <c r="X1533" s="784">
        <v>4585736158.8323269</v>
      </c>
    </row>
    <row r="1534" spans="1:24">
      <c r="A1534" t="s">
        <v>358</v>
      </c>
      <c r="B1534" t="s">
        <v>593</v>
      </c>
      <c r="C1534" t="s">
        <v>198</v>
      </c>
      <c r="D1534" t="s">
        <v>131</v>
      </c>
      <c r="E1534" t="s">
        <v>377</v>
      </c>
      <c r="F1534" t="s">
        <v>310</v>
      </c>
      <c r="G1534" t="s">
        <v>389</v>
      </c>
      <c r="H1534" t="s">
        <v>104</v>
      </c>
      <c r="I1534">
        <v>2021</v>
      </c>
      <c r="J1534" t="s">
        <v>379</v>
      </c>
      <c r="K1534" t="s">
        <v>546</v>
      </c>
      <c r="L1534" s="784">
        <v>4499931</v>
      </c>
      <c r="M1534" t="s">
        <v>745</v>
      </c>
      <c r="N1534" s="784">
        <v>4499931</v>
      </c>
      <c r="P1534" t="s">
        <v>1887</v>
      </c>
      <c r="R1534" t="s">
        <v>150</v>
      </c>
      <c r="S1534" t="s">
        <v>145</v>
      </c>
      <c r="U1534">
        <v>0</v>
      </c>
      <c r="V1534" t="s">
        <v>544</v>
      </c>
      <c r="W1534" t="s">
        <v>546</v>
      </c>
      <c r="X1534" s="784">
        <v>3550291584.8645592</v>
      </c>
    </row>
    <row r="1535" spans="1:24">
      <c r="A1535" t="s">
        <v>358</v>
      </c>
      <c r="B1535" t="s">
        <v>594</v>
      </c>
      <c r="C1535" t="s">
        <v>199</v>
      </c>
      <c r="D1535" t="s">
        <v>130</v>
      </c>
      <c r="E1535" t="s">
        <v>377</v>
      </c>
      <c r="F1535" t="s">
        <v>310</v>
      </c>
      <c r="G1535" t="s">
        <v>389</v>
      </c>
      <c r="H1535" t="s">
        <v>104</v>
      </c>
      <c r="I1535">
        <v>2021</v>
      </c>
      <c r="J1535" t="s">
        <v>379</v>
      </c>
      <c r="K1535" t="s">
        <v>546</v>
      </c>
      <c r="L1535" s="784">
        <v>279812</v>
      </c>
      <c r="M1535" t="s">
        <v>745</v>
      </c>
      <c r="N1535" s="784">
        <v>279812</v>
      </c>
      <c r="P1535" t="s">
        <v>1887</v>
      </c>
      <c r="R1535" t="s">
        <v>150</v>
      </c>
      <c r="S1535" t="s">
        <v>145</v>
      </c>
      <c r="U1535">
        <v>0</v>
      </c>
      <c r="V1535" t="s">
        <v>544</v>
      </c>
      <c r="W1535" t="s">
        <v>546</v>
      </c>
      <c r="X1535" s="784">
        <v>1182840319.0410969</v>
      </c>
    </row>
    <row r="1536" spans="1:24">
      <c r="A1536" t="s">
        <v>358</v>
      </c>
      <c r="B1536" t="s">
        <v>595</v>
      </c>
      <c r="C1536" t="s">
        <v>200</v>
      </c>
      <c r="D1536" t="s">
        <v>130</v>
      </c>
      <c r="E1536" t="s">
        <v>377</v>
      </c>
      <c r="F1536" t="s">
        <v>310</v>
      </c>
      <c r="G1536" t="s">
        <v>389</v>
      </c>
      <c r="H1536" t="s">
        <v>575</v>
      </c>
      <c r="I1536">
        <v>2021</v>
      </c>
      <c r="J1536" t="s">
        <v>379</v>
      </c>
      <c r="K1536" t="s">
        <v>546</v>
      </c>
      <c r="L1536" s="784" t="s">
        <v>575</v>
      </c>
      <c r="M1536" t="s">
        <v>745</v>
      </c>
      <c r="N1536" s="784" t="s">
        <v>575</v>
      </c>
      <c r="P1536" t="s">
        <v>1887</v>
      </c>
      <c r="R1536" t="s">
        <v>152</v>
      </c>
      <c r="S1536" t="s">
        <v>146</v>
      </c>
      <c r="U1536">
        <v>0</v>
      </c>
      <c r="V1536" t="s">
        <v>544</v>
      </c>
      <c r="W1536" t="s">
        <v>575</v>
      </c>
      <c r="X1536" s="784">
        <v>81728347.604567245</v>
      </c>
    </row>
    <row r="1537" spans="1:24">
      <c r="A1537" t="s">
        <v>358</v>
      </c>
      <c r="B1537" t="s">
        <v>596</v>
      </c>
      <c r="C1537" t="s">
        <v>201</v>
      </c>
      <c r="D1537" t="s">
        <v>128</v>
      </c>
      <c r="E1537" t="s">
        <v>377</v>
      </c>
      <c r="F1537" t="s">
        <v>310</v>
      </c>
      <c r="G1537" t="s">
        <v>389</v>
      </c>
      <c r="H1537" t="s">
        <v>575</v>
      </c>
      <c r="I1537">
        <v>2021</v>
      </c>
      <c r="J1537" t="s">
        <v>379</v>
      </c>
      <c r="K1537" t="s">
        <v>546</v>
      </c>
      <c r="L1537" s="784" t="s">
        <v>575</v>
      </c>
      <c r="M1537" t="s">
        <v>745</v>
      </c>
      <c r="N1537" s="784" t="s">
        <v>575</v>
      </c>
      <c r="P1537" t="s">
        <v>1887</v>
      </c>
      <c r="R1537" t="s">
        <v>148</v>
      </c>
      <c r="S1537" t="s">
        <v>145</v>
      </c>
      <c r="U1537">
        <v>2</v>
      </c>
      <c r="V1537" t="s">
        <v>544</v>
      </c>
      <c r="W1537" t="s">
        <v>546</v>
      </c>
      <c r="X1537" s="784">
        <v>12787914.977715338</v>
      </c>
    </row>
    <row r="1538" spans="1:24">
      <c r="A1538" t="s">
        <v>358</v>
      </c>
      <c r="B1538" t="s">
        <v>597</v>
      </c>
      <c r="C1538" t="s">
        <v>202</v>
      </c>
      <c r="D1538" t="s">
        <v>128</v>
      </c>
      <c r="E1538" t="s">
        <v>377</v>
      </c>
      <c r="F1538" t="s">
        <v>310</v>
      </c>
      <c r="G1538" t="s">
        <v>389</v>
      </c>
      <c r="H1538" t="s">
        <v>104</v>
      </c>
      <c r="I1538">
        <v>2021</v>
      </c>
      <c r="J1538" t="s">
        <v>379</v>
      </c>
      <c r="K1538" t="s">
        <v>546</v>
      </c>
      <c r="L1538" s="784">
        <v>230000</v>
      </c>
      <c r="M1538" t="s">
        <v>745</v>
      </c>
      <c r="N1538" s="784">
        <v>230000</v>
      </c>
      <c r="P1538" t="s">
        <v>1887</v>
      </c>
      <c r="R1538" t="s">
        <v>150</v>
      </c>
      <c r="S1538" t="s">
        <v>145</v>
      </c>
      <c r="U1538">
        <v>2</v>
      </c>
      <c r="V1538" t="s">
        <v>544</v>
      </c>
      <c r="W1538" t="s">
        <v>546</v>
      </c>
      <c r="X1538" s="784">
        <v>101271737.65410839</v>
      </c>
    </row>
    <row r="1539" spans="1:24">
      <c r="A1539" t="s">
        <v>358</v>
      </c>
      <c r="B1539" t="s">
        <v>598</v>
      </c>
      <c r="C1539" t="s">
        <v>203</v>
      </c>
      <c r="D1539" t="s">
        <v>128</v>
      </c>
      <c r="E1539" t="s">
        <v>377</v>
      </c>
      <c r="F1539" t="s">
        <v>310</v>
      </c>
      <c r="G1539" t="s">
        <v>389</v>
      </c>
      <c r="H1539" t="s">
        <v>310</v>
      </c>
      <c r="I1539">
        <v>2021</v>
      </c>
      <c r="J1539" t="s">
        <v>379</v>
      </c>
      <c r="K1539" t="s">
        <v>546</v>
      </c>
      <c r="L1539" s="784">
        <v>15000000</v>
      </c>
      <c r="M1539" t="s">
        <v>745</v>
      </c>
      <c r="N1539" s="784">
        <v>14685613</v>
      </c>
      <c r="P1539" t="s">
        <v>1887</v>
      </c>
      <c r="R1539" t="s">
        <v>148</v>
      </c>
      <c r="S1539" t="s">
        <v>145</v>
      </c>
      <c r="U1539">
        <v>3</v>
      </c>
      <c r="V1539" t="s">
        <v>544</v>
      </c>
      <c r="W1539" t="s">
        <v>542</v>
      </c>
      <c r="X1539" s="784">
        <v>618344226.71759331</v>
      </c>
    </row>
    <row r="1540" spans="1:24">
      <c r="A1540" t="s">
        <v>358</v>
      </c>
      <c r="B1540" t="s">
        <v>599</v>
      </c>
      <c r="C1540" t="s">
        <v>204</v>
      </c>
      <c r="D1540" t="s">
        <v>126</v>
      </c>
      <c r="E1540" t="s">
        <v>377</v>
      </c>
      <c r="F1540" t="s">
        <v>310</v>
      </c>
      <c r="G1540" t="s">
        <v>389</v>
      </c>
      <c r="H1540" t="s">
        <v>104</v>
      </c>
      <c r="I1540">
        <v>2021</v>
      </c>
      <c r="J1540" t="s">
        <v>379</v>
      </c>
      <c r="K1540" t="s">
        <v>546</v>
      </c>
      <c r="L1540" s="784">
        <v>230000</v>
      </c>
      <c r="M1540" t="s">
        <v>745</v>
      </c>
      <c r="N1540" s="784">
        <v>230000</v>
      </c>
      <c r="P1540" t="s">
        <v>1887</v>
      </c>
      <c r="R1540" t="s">
        <v>152</v>
      </c>
      <c r="S1540" t="s">
        <v>145</v>
      </c>
      <c r="U1540">
        <v>0</v>
      </c>
      <c r="V1540" t="s">
        <v>541</v>
      </c>
      <c r="W1540" t="s">
        <v>548</v>
      </c>
      <c r="X1540" s="784">
        <v>129483872.95906857</v>
      </c>
    </row>
    <row r="1541" spans="1:24">
      <c r="A1541" t="s">
        <v>358</v>
      </c>
      <c r="B1541" t="s">
        <v>600</v>
      </c>
      <c r="C1541" t="s">
        <v>205</v>
      </c>
      <c r="D1541" t="s">
        <v>129</v>
      </c>
      <c r="E1541" t="s">
        <v>377</v>
      </c>
      <c r="F1541" t="s">
        <v>310</v>
      </c>
      <c r="G1541" t="s">
        <v>389</v>
      </c>
      <c r="H1541" t="s">
        <v>575</v>
      </c>
      <c r="I1541">
        <v>2021</v>
      </c>
      <c r="J1541" t="s">
        <v>379</v>
      </c>
      <c r="K1541" t="s">
        <v>546</v>
      </c>
      <c r="L1541" s="784" t="s">
        <v>575</v>
      </c>
      <c r="M1541" t="s">
        <v>745</v>
      </c>
      <c r="N1541" s="784" t="s">
        <v>575</v>
      </c>
      <c r="P1541" t="s">
        <v>1887</v>
      </c>
      <c r="R1541" t="s">
        <v>152</v>
      </c>
      <c r="S1541" t="s">
        <v>146</v>
      </c>
      <c r="U1541">
        <v>0</v>
      </c>
      <c r="V1541" t="s">
        <v>544</v>
      </c>
      <c r="W1541" t="s">
        <v>546</v>
      </c>
      <c r="X1541" s="784">
        <v>271184658.35014349</v>
      </c>
    </row>
    <row r="1542" spans="1:24">
      <c r="A1542" t="s">
        <v>358</v>
      </c>
      <c r="B1542" t="s">
        <v>601</v>
      </c>
      <c r="C1542" t="s">
        <v>206</v>
      </c>
      <c r="D1542" t="s">
        <v>129</v>
      </c>
      <c r="E1542" t="s">
        <v>377</v>
      </c>
      <c r="F1542" t="s">
        <v>310</v>
      </c>
      <c r="G1542" t="s">
        <v>389</v>
      </c>
      <c r="H1542" t="s">
        <v>310</v>
      </c>
      <c r="I1542">
        <v>2021</v>
      </c>
      <c r="J1542" t="s">
        <v>379</v>
      </c>
      <c r="K1542" t="s">
        <v>546</v>
      </c>
      <c r="L1542" s="784">
        <v>977007</v>
      </c>
      <c r="M1542" t="s">
        <v>745</v>
      </c>
      <c r="N1542" s="784">
        <v>977007</v>
      </c>
      <c r="P1542" t="s">
        <v>1887</v>
      </c>
      <c r="R1542" t="s">
        <v>148</v>
      </c>
      <c r="S1542" t="s">
        <v>145</v>
      </c>
      <c r="U1542">
        <v>0</v>
      </c>
      <c r="V1542" t="s">
        <v>544</v>
      </c>
      <c r="W1542" t="s">
        <v>542</v>
      </c>
      <c r="X1542" s="784">
        <v>15455265.086884515</v>
      </c>
    </row>
    <row r="1543" spans="1:24">
      <c r="A1543" t="s">
        <v>358</v>
      </c>
      <c r="B1543" t="s">
        <v>602</v>
      </c>
      <c r="C1543" t="s">
        <v>207</v>
      </c>
      <c r="D1543" t="s">
        <v>127</v>
      </c>
      <c r="E1543" t="s">
        <v>377</v>
      </c>
      <c r="F1543" t="s">
        <v>310</v>
      </c>
      <c r="G1543" t="s">
        <v>389</v>
      </c>
      <c r="H1543" t="s">
        <v>575</v>
      </c>
      <c r="I1543">
        <v>2021</v>
      </c>
      <c r="J1543" t="s">
        <v>379</v>
      </c>
      <c r="K1543" t="s">
        <v>546</v>
      </c>
      <c r="L1543" s="784" t="s">
        <v>575</v>
      </c>
      <c r="M1543" t="s">
        <v>745</v>
      </c>
      <c r="N1543" s="784" t="s">
        <v>575</v>
      </c>
      <c r="P1543" t="s">
        <v>1887</v>
      </c>
      <c r="R1543" t="s">
        <v>152</v>
      </c>
      <c r="S1543" t="s">
        <v>146</v>
      </c>
      <c r="U1543">
        <v>0</v>
      </c>
      <c r="V1543" t="s">
        <v>544</v>
      </c>
      <c r="W1543" t="s">
        <v>546</v>
      </c>
      <c r="X1543" s="784">
        <v>494021502.525527</v>
      </c>
    </row>
    <row r="1544" spans="1:24">
      <c r="A1544" t="s">
        <v>358</v>
      </c>
      <c r="B1544" t="s">
        <v>603</v>
      </c>
      <c r="C1544" t="s">
        <v>208</v>
      </c>
      <c r="D1544" t="s">
        <v>129</v>
      </c>
      <c r="E1544" t="s">
        <v>377</v>
      </c>
      <c r="F1544" t="s">
        <v>310</v>
      </c>
      <c r="G1544" t="s">
        <v>389</v>
      </c>
      <c r="H1544" t="s">
        <v>310</v>
      </c>
      <c r="I1544">
        <v>2021</v>
      </c>
      <c r="J1544" t="s">
        <v>379</v>
      </c>
      <c r="K1544" t="s">
        <v>546</v>
      </c>
      <c r="L1544" s="784">
        <v>2211196</v>
      </c>
      <c r="M1544" t="s">
        <v>745</v>
      </c>
      <c r="N1544" s="784">
        <v>2108935</v>
      </c>
      <c r="P1544" t="s">
        <v>1887</v>
      </c>
      <c r="R1544" t="s">
        <v>150</v>
      </c>
      <c r="S1544" t="s">
        <v>145</v>
      </c>
      <c r="U1544">
        <v>0</v>
      </c>
      <c r="V1544" t="s">
        <v>544</v>
      </c>
      <c r="W1544" t="s">
        <v>542</v>
      </c>
      <c r="X1544" s="784">
        <v>902005621.73836684</v>
      </c>
    </row>
    <row r="1545" spans="1:24">
      <c r="A1545" t="s">
        <v>358</v>
      </c>
      <c r="B1545" t="s">
        <v>604</v>
      </c>
      <c r="C1545" t="s">
        <v>209</v>
      </c>
      <c r="D1545" t="s">
        <v>130</v>
      </c>
      <c r="E1545" t="s">
        <v>377</v>
      </c>
      <c r="F1545" t="s">
        <v>310</v>
      </c>
      <c r="G1545" t="s">
        <v>389</v>
      </c>
      <c r="H1545" t="s">
        <v>104</v>
      </c>
      <c r="I1545">
        <v>2021</v>
      </c>
      <c r="J1545" t="s">
        <v>379</v>
      </c>
      <c r="K1545" t="s">
        <v>546</v>
      </c>
      <c r="L1545" s="784">
        <v>230000</v>
      </c>
      <c r="M1545" t="s">
        <v>745</v>
      </c>
      <c r="N1545" s="784">
        <v>230000</v>
      </c>
      <c r="P1545" t="s">
        <v>1887</v>
      </c>
      <c r="R1545" t="s">
        <v>152</v>
      </c>
      <c r="S1545" t="s">
        <v>145</v>
      </c>
      <c r="U1545">
        <v>0</v>
      </c>
      <c r="V1545" t="s">
        <v>541</v>
      </c>
      <c r="W1545" t="s">
        <v>583</v>
      </c>
      <c r="X1545" s="784">
        <v>20201670.142996579</v>
      </c>
    </row>
    <row r="1546" spans="1:24">
      <c r="A1546" t="s">
        <v>358</v>
      </c>
      <c r="B1546" t="s">
        <v>605</v>
      </c>
      <c r="C1546" t="s">
        <v>210</v>
      </c>
      <c r="D1546" t="s">
        <v>130</v>
      </c>
      <c r="E1546" t="s">
        <v>377</v>
      </c>
      <c r="F1546" t="s">
        <v>310</v>
      </c>
      <c r="G1546" t="s">
        <v>389</v>
      </c>
      <c r="H1546" t="s">
        <v>575</v>
      </c>
      <c r="I1546">
        <v>2021</v>
      </c>
      <c r="J1546" t="s">
        <v>379</v>
      </c>
      <c r="K1546" t="s">
        <v>546</v>
      </c>
      <c r="L1546" s="784" t="s">
        <v>575</v>
      </c>
      <c r="M1546" t="s">
        <v>745</v>
      </c>
      <c r="N1546" s="784" t="s">
        <v>575</v>
      </c>
      <c r="P1546" t="s">
        <v>1887</v>
      </c>
      <c r="R1546" t="s">
        <v>152</v>
      </c>
      <c r="S1546" t="s">
        <v>146</v>
      </c>
      <c r="U1546">
        <v>0</v>
      </c>
      <c r="V1546" t="s">
        <v>544</v>
      </c>
      <c r="W1546" t="s">
        <v>575</v>
      </c>
      <c r="X1546" s="784">
        <v>1612434649.6948864</v>
      </c>
    </row>
    <row r="1547" spans="1:24">
      <c r="A1547" t="s">
        <v>358</v>
      </c>
      <c r="B1547" t="s">
        <v>606</v>
      </c>
      <c r="C1547" t="s">
        <v>211</v>
      </c>
      <c r="D1547" t="s">
        <v>129</v>
      </c>
      <c r="E1547" t="s">
        <v>377</v>
      </c>
      <c r="F1547" t="s">
        <v>310</v>
      </c>
      <c r="G1547" t="s">
        <v>389</v>
      </c>
      <c r="H1547" t="s">
        <v>310</v>
      </c>
      <c r="I1547">
        <v>2021</v>
      </c>
      <c r="J1547" t="s">
        <v>379</v>
      </c>
      <c r="K1547" t="s">
        <v>546</v>
      </c>
      <c r="L1547" s="784">
        <v>3959315</v>
      </c>
      <c r="M1547" t="s">
        <v>745</v>
      </c>
      <c r="N1547" s="784">
        <v>2304800</v>
      </c>
      <c r="P1547" t="s">
        <v>1887</v>
      </c>
      <c r="R1547" t="s">
        <v>148</v>
      </c>
      <c r="S1547" t="s">
        <v>145</v>
      </c>
      <c r="U1547">
        <v>0</v>
      </c>
      <c r="V1547" t="s">
        <v>544</v>
      </c>
      <c r="W1547" t="s">
        <v>562</v>
      </c>
      <c r="X1547" s="784">
        <v>78203134.118229344</v>
      </c>
    </row>
    <row r="1548" spans="1:24">
      <c r="A1548" t="s">
        <v>358</v>
      </c>
      <c r="B1548" t="s">
        <v>607</v>
      </c>
      <c r="C1548" t="s">
        <v>212</v>
      </c>
      <c r="D1548" t="s">
        <v>129</v>
      </c>
      <c r="E1548" t="s">
        <v>377</v>
      </c>
      <c r="F1548" t="s">
        <v>310</v>
      </c>
      <c r="G1548" t="s">
        <v>389</v>
      </c>
      <c r="H1548" t="s">
        <v>310</v>
      </c>
      <c r="I1548">
        <v>2021</v>
      </c>
      <c r="J1548" t="s">
        <v>379</v>
      </c>
      <c r="K1548" t="s">
        <v>546</v>
      </c>
      <c r="L1548" s="784">
        <v>978460</v>
      </c>
      <c r="M1548" t="s">
        <v>745</v>
      </c>
      <c r="N1548" s="784">
        <v>978460</v>
      </c>
      <c r="P1548" t="s">
        <v>1887</v>
      </c>
      <c r="R1548" t="s">
        <v>148</v>
      </c>
      <c r="S1548" t="s">
        <v>145</v>
      </c>
      <c r="U1548">
        <v>2</v>
      </c>
      <c r="V1548" t="s">
        <v>541</v>
      </c>
      <c r="W1548" t="s">
        <v>542</v>
      </c>
      <c r="X1548" s="784">
        <v>9151637.7411015611</v>
      </c>
    </row>
    <row r="1549" spans="1:24">
      <c r="A1549" t="s">
        <v>358</v>
      </c>
      <c r="B1549" t="s">
        <v>608</v>
      </c>
      <c r="C1549" t="s">
        <v>213</v>
      </c>
      <c r="D1549" t="s">
        <v>130</v>
      </c>
      <c r="E1549" t="s">
        <v>377</v>
      </c>
      <c r="F1549" t="s">
        <v>310</v>
      </c>
      <c r="G1549" t="s">
        <v>389</v>
      </c>
      <c r="H1549" t="s">
        <v>104</v>
      </c>
      <c r="I1549">
        <v>2021</v>
      </c>
      <c r="J1549" t="s">
        <v>379</v>
      </c>
      <c r="K1549" t="s">
        <v>546</v>
      </c>
      <c r="L1549" s="784">
        <v>230000</v>
      </c>
      <c r="M1549" t="s">
        <v>745</v>
      </c>
      <c r="N1549" s="784">
        <v>230000</v>
      </c>
      <c r="P1549" t="s">
        <v>1887</v>
      </c>
      <c r="R1549" t="s">
        <v>152</v>
      </c>
      <c r="S1549" t="s">
        <v>145</v>
      </c>
      <c r="U1549">
        <v>0</v>
      </c>
      <c r="V1549" t="s">
        <v>541</v>
      </c>
      <c r="W1549" t="s">
        <v>562</v>
      </c>
      <c r="X1549" s="784">
        <v>142455920.02856269</v>
      </c>
    </row>
    <row r="1550" spans="1:24">
      <c r="A1550" t="s">
        <v>358</v>
      </c>
      <c r="B1550" t="s">
        <v>609</v>
      </c>
      <c r="C1550" t="s">
        <v>214</v>
      </c>
      <c r="D1550" t="s">
        <v>130</v>
      </c>
      <c r="E1550" t="s">
        <v>377</v>
      </c>
      <c r="F1550" t="s">
        <v>310</v>
      </c>
      <c r="G1550" t="s">
        <v>389</v>
      </c>
      <c r="H1550" t="s">
        <v>310</v>
      </c>
      <c r="I1550">
        <v>2021</v>
      </c>
      <c r="J1550" t="s">
        <v>379</v>
      </c>
      <c r="K1550" t="s">
        <v>546</v>
      </c>
      <c r="L1550" s="784">
        <v>2138482</v>
      </c>
      <c r="M1550" t="s">
        <v>745</v>
      </c>
      <c r="N1550" s="784">
        <v>2138482</v>
      </c>
      <c r="P1550" t="s">
        <v>1887</v>
      </c>
      <c r="R1550" t="s">
        <v>150</v>
      </c>
      <c r="S1550" t="s">
        <v>145</v>
      </c>
      <c r="U1550">
        <v>1</v>
      </c>
      <c r="V1550" t="s">
        <v>541</v>
      </c>
      <c r="W1550" t="s">
        <v>542</v>
      </c>
      <c r="X1550" s="784">
        <v>85611818.171245083</v>
      </c>
    </row>
    <row r="1551" spans="1:24">
      <c r="A1551" t="s">
        <v>358</v>
      </c>
      <c r="B1551" t="s">
        <v>610</v>
      </c>
      <c r="C1551" t="s">
        <v>215</v>
      </c>
      <c r="D1551" t="s">
        <v>130</v>
      </c>
      <c r="E1551" t="s">
        <v>377</v>
      </c>
      <c r="F1551" t="s">
        <v>310</v>
      </c>
      <c r="G1551" t="s">
        <v>389</v>
      </c>
      <c r="H1551" t="s">
        <v>104</v>
      </c>
      <c r="I1551">
        <v>2021</v>
      </c>
      <c r="J1551" t="s">
        <v>379</v>
      </c>
      <c r="K1551" t="s">
        <v>546</v>
      </c>
      <c r="L1551" s="784">
        <v>369382</v>
      </c>
      <c r="M1551" t="s">
        <v>745</v>
      </c>
      <c r="N1551" s="784">
        <v>369382</v>
      </c>
      <c r="P1551" t="s">
        <v>1887</v>
      </c>
      <c r="R1551" t="s">
        <v>150</v>
      </c>
      <c r="S1551" t="s">
        <v>145</v>
      </c>
      <c r="U1551">
        <v>0</v>
      </c>
      <c r="V1551" t="s">
        <v>544</v>
      </c>
      <c r="W1551" t="s">
        <v>558</v>
      </c>
      <c r="X1551" s="784">
        <v>680289736.30082119</v>
      </c>
    </row>
    <row r="1552" spans="1:24">
      <c r="A1552" t="s">
        <v>358</v>
      </c>
      <c r="B1552" t="s">
        <v>611</v>
      </c>
      <c r="C1552" t="s">
        <v>216</v>
      </c>
      <c r="D1552" t="s">
        <v>132</v>
      </c>
      <c r="E1552" t="s">
        <v>377</v>
      </c>
      <c r="F1552" t="s">
        <v>310</v>
      </c>
      <c r="G1552" t="s">
        <v>389</v>
      </c>
      <c r="H1552" t="s">
        <v>310</v>
      </c>
      <c r="I1552">
        <v>2021</v>
      </c>
      <c r="J1552" t="s">
        <v>379</v>
      </c>
      <c r="K1552" t="s">
        <v>546</v>
      </c>
      <c r="L1552" s="784">
        <v>15000000</v>
      </c>
      <c r="M1552" t="s">
        <v>745</v>
      </c>
      <c r="N1552" s="784">
        <v>10867000</v>
      </c>
      <c r="P1552" t="s">
        <v>1887</v>
      </c>
      <c r="R1552" t="s">
        <v>150</v>
      </c>
      <c r="S1552" t="s">
        <v>145</v>
      </c>
      <c r="U1552">
        <v>0</v>
      </c>
      <c r="V1552" t="s">
        <v>544</v>
      </c>
      <c r="W1552" t="s">
        <v>546</v>
      </c>
      <c r="X1552" s="784">
        <v>26554332750.47023</v>
      </c>
    </row>
    <row r="1553" spans="1:24">
      <c r="A1553" t="s">
        <v>358</v>
      </c>
      <c r="B1553" t="s">
        <v>612</v>
      </c>
      <c r="C1553" t="s">
        <v>217</v>
      </c>
      <c r="D1553" t="s">
        <v>126</v>
      </c>
      <c r="E1553" t="s">
        <v>377</v>
      </c>
      <c r="F1553" t="s">
        <v>310</v>
      </c>
      <c r="G1553" t="s">
        <v>389</v>
      </c>
      <c r="H1553" t="s">
        <v>310</v>
      </c>
      <c r="I1553">
        <v>2021</v>
      </c>
      <c r="J1553" t="s">
        <v>379</v>
      </c>
      <c r="K1553" t="s">
        <v>546</v>
      </c>
      <c r="L1553" s="784">
        <v>3466850</v>
      </c>
      <c r="M1553" t="s">
        <v>745</v>
      </c>
      <c r="N1553" s="784">
        <v>0</v>
      </c>
      <c r="P1553" t="s">
        <v>1887</v>
      </c>
      <c r="R1553" t="s">
        <v>150</v>
      </c>
      <c r="S1553" t="s">
        <v>145</v>
      </c>
      <c r="U1553">
        <v>0</v>
      </c>
      <c r="V1553" t="s">
        <v>544</v>
      </c>
      <c r="W1553" t="s">
        <v>546</v>
      </c>
      <c r="X1553" s="784">
        <v>14745961064.890842</v>
      </c>
    </row>
    <row r="1554" spans="1:24">
      <c r="A1554" t="s">
        <v>358</v>
      </c>
      <c r="B1554" t="s">
        <v>613</v>
      </c>
      <c r="C1554" t="s">
        <v>149</v>
      </c>
      <c r="D1554" t="s">
        <v>131</v>
      </c>
      <c r="E1554" t="s">
        <v>377</v>
      </c>
      <c r="F1554" t="s">
        <v>310</v>
      </c>
      <c r="G1554" t="s">
        <v>389</v>
      </c>
      <c r="H1554" t="s">
        <v>575</v>
      </c>
      <c r="I1554">
        <v>2021</v>
      </c>
      <c r="J1554" t="s">
        <v>379</v>
      </c>
      <c r="K1554" t="s">
        <v>546</v>
      </c>
      <c r="L1554" s="784" t="s">
        <v>575</v>
      </c>
      <c r="M1554" t="s">
        <v>745</v>
      </c>
      <c r="N1554" s="784" t="s">
        <v>575</v>
      </c>
      <c r="P1554" t="s">
        <v>1887</v>
      </c>
      <c r="R1554" t="s">
        <v>150</v>
      </c>
      <c r="S1554" t="s">
        <v>146</v>
      </c>
      <c r="U1554">
        <v>0</v>
      </c>
      <c r="V1554" t="s">
        <v>544</v>
      </c>
      <c r="W1554" t="s">
        <v>546</v>
      </c>
      <c r="X1554" s="784">
        <v>18194076299.786381</v>
      </c>
    </row>
    <row r="1555" spans="1:24">
      <c r="A1555" t="s">
        <v>358</v>
      </c>
      <c r="B1555" t="s">
        <v>614</v>
      </c>
      <c r="C1555" t="s">
        <v>218</v>
      </c>
      <c r="D1555" t="s">
        <v>131</v>
      </c>
      <c r="E1555" t="s">
        <v>377</v>
      </c>
      <c r="F1555" t="s">
        <v>310</v>
      </c>
      <c r="G1555" t="s">
        <v>389</v>
      </c>
      <c r="H1555" t="s">
        <v>575</v>
      </c>
      <c r="I1555">
        <v>2021</v>
      </c>
      <c r="J1555" t="s">
        <v>379</v>
      </c>
      <c r="K1555" t="s">
        <v>546</v>
      </c>
      <c r="L1555" s="784" t="s">
        <v>575</v>
      </c>
      <c r="M1555" t="s">
        <v>745</v>
      </c>
      <c r="N1555" s="784" t="s">
        <v>575</v>
      </c>
      <c r="P1555" t="s">
        <v>1887</v>
      </c>
      <c r="R1555" t="s">
        <v>152</v>
      </c>
      <c r="S1555" t="s">
        <v>146</v>
      </c>
      <c r="U1555">
        <v>0</v>
      </c>
      <c r="V1555" t="s">
        <v>544</v>
      </c>
      <c r="W1555" t="s">
        <v>546</v>
      </c>
      <c r="X1555" s="784">
        <v>4428819387.769825</v>
      </c>
    </row>
    <row r="1556" spans="1:24">
      <c r="A1556" t="s">
        <v>358</v>
      </c>
      <c r="B1556" t="s">
        <v>615</v>
      </c>
      <c r="C1556" t="s">
        <v>219</v>
      </c>
      <c r="D1556" t="s">
        <v>130</v>
      </c>
      <c r="E1556" t="s">
        <v>377</v>
      </c>
      <c r="F1556" t="s">
        <v>310</v>
      </c>
      <c r="G1556" t="s">
        <v>389</v>
      </c>
      <c r="H1556" t="s">
        <v>575</v>
      </c>
      <c r="I1556">
        <v>2021</v>
      </c>
      <c r="J1556" t="s">
        <v>379</v>
      </c>
      <c r="K1556" t="s">
        <v>546</v>
      </c>
      <c r="L1556" s="784" t="s">
        <v>575</v>
      </c>
      <c r="M1556" t="s">
        <v>745</v>
      </c>
      <c r="N1556" s="784" t="s">
        <v>575</v>
      </c>
      <c r="P1556" t="s">
        <v>1887</v>
      </c>
      <c r="R1556" t="s">
        <v>152</v>
      </c>
      <c r="S1556" t="s">
        <v>146</v>
      </c>
      <c r="U1556">
        <v>0</v>
      </c>
      <c r="V1556" t="s">
        <v>541</v>
      </c>
      <c r="W1556" t="s">
        <v>575</v>
      </c>
      <c r="X1556" s="784">
        <v>611739560.62679195</v>
      </c>
    </row>
    <row r="1557" spans="1:24">
      <c r="A1557" t="s">
        <v>358</v>
      </c>
      <c r="B1557" t="s">
        <v>616</v>
      </c>
      <c r="C1557" t="s">
        <v>220</v>
      </c>
      <c r="D1557" t="s">
        <v>131</v>
      </c>
      <c r="E1557" t="s">
        <v>377</v>
      </c>
      <c r="F1557" t="s">
        <v>310</v>
      </c>
      <c r="G1557" t="s">
        <v>389</v>
      </c>
      <c r="H1557" t="s">
        <v>575</v>
      </c>
      <c r="I1557">
        <v>2021</v>
      </c>
      <c r="J1557" t="s">
        <v>379</v>
      </c>
      <c r="K1557" t="s">
        <v>546</v>
      </c>
      <c r="L1557" s="784" t="s">
        <v>575</v>
      </c>
      <c r="M1557" t="s">
        <v>745</v>
      </c>
      <c r="N1557" s="784" t="s">
        <v>575</v>
      </c>
      <c r="P1557" t="s">
        <v>1887</v>
      </c>
      <c r="R1557" t="s">
        <v>152</v>
      </c>
      <c r="S1557" t="s">
        <v>146</v>
      </c>
      <c r="U1557">
        <v>0</v>
      </c>
      <c r="V1557" t="s">
        <v>544</v>
      </c>
      <c r="W1557" t="s">
        <v>546</v>
      </c>
      <c r="X1557" s="784">
        <v>1617913383.0481031</v>
      </c>
    </row>
    <row r="1558" spans="1:24">
      <c r="A1558" t="s">
        <v>358</v>
      </c>
      <c r="B1558" t="s">
        <v>617</v>
      </c>
      <c r="C1558" t="s">
        <v>221</v>
      </c>
      <c r="D1558" t="s">
        <v>127</v>
      </c>
      <c r="E1558" t="s">
        <v>377</v>
      </c>
      <c r="F1558" t="s">
        <v>310</v>
      </c>
      <c r="G1558" t="s">
        <v>389</v>
      </c>
      <c r="H1558" t="s">
        <v>575</v>
      </c>
      <c r="I1558">
        <v>2021</v>
      </c>
      <c r="J1558" t="s">
        <v>379</v>
      </c>
      <c r="K1558" t="s">
        <v>546</v>
      </c>
      <c r="L1558" s="784" t="s">
        <v>575</v>
      </c>
      <c r="M1558" t="s">
        <v>745</v>
      </c>
      <c r="N1558" s="784" t="s">
        <v>575</v>
      </c>
      <c r="P1558" t="s">
        <v>1887</v>
      </c>
      <c r="R1558" t="s">
        <v>152</v>
      </c>
      <c r="S1558" t="s">
        <v>146</v>
      </c>
      <c r="U1558">
        <v>0</v>
      </c>
      <c r="V1558" t="s">
        <v>544</v>
      </c>
      <c r="W1558" t="s">
        <v>575</v>
      </c>
      <c r="X1558" s="784">
        <v>3074419112.4562683</v>
      </c>
    </row>
    <row r="1559" spans="1:24">
      <c r="A1559" t="s">
        <v>358</v>
      </c>
      <c r="B1559" t="s">
        <v>618</v>
      </c>
      <c r="C1559" t="s">
        <v>222</v>
      </c>
      <c r="D1559" t="s">
        <v>128</v>
      </c>
      <c r="E1559" t="s">
        <v>377</v>
      </c>
      <c r="F1559" t="s">
        <v>310</v>
      </c>
      <c r="G1559" t="s">
        <v>389</v>
      </c>
      <c r="H1559" t="s">
        <v>310</v>
      </c>
      <c r="I1559">
        <v>2021</v>
      </c>
      <c r="J1559" t="s">
        <v>379</v>
      </c>
      <c r="K1559" t="s">
        <v>546</v>
      </c>
      <c r="L1559" s="784">
        <v>4306517</v>
      </c>
      <c r="M1559" t="s">
        <v>745</v>
      </c>
      <c r="N1559" s="784">
        <v>3006517</v>
      </c>
      <c r="P1559" t="s">
        <v>1887</v>
      </c>
      <c r="R1559" t="s">
        <v>150</v>
      </c>
      <c r="S1559" t="s">
        <v>145</v>
      </c>
      <c r="U1559">
        <v>0</v>
      </c>
      <c r="V1559" t="s">
        <v>544</v>
      </c>
      <c r="W1559" t="s">
        <v>542</v>
      </c>
      <c r="X1559" s="784">
        <v>1914014279.8929913</v>
      </c>
    </row>
    <row r="1560" spans="1:24">
      <c r="A1560" t="s">
        <v>358</v>
      </c>
      <c r="B1560" t="s">
        <v>619</v>
      </c>
      <c r="C1560" t="s">
        <v>223</v>
      </c>
      <c r="D1560" t="s">
        <v>126</v>
      </c>
      <c r="E1560" t="s">
        <v>377</v>
      </c>
      <c r="F1560" t="s">
        <v>310</v>
      </c>
      <c r="G1560" t="s">
        <v>389</v>
      </c>
      <c r="H1560" t="s">
        <v>575</v>
      </c>
      <c r="I1560">
        <v>2021</v>
      </c>
      <c r="J1560" t="s">
        <v>379</v>
      </c>
      <c r="K1560" t="s">
        <v>546</v>
      </c>
      <c r="L1560" s="784" t="s">
        <v>575</v>
      </c>
      <c r="M1560" t="s">
        <v>745</v>
      </c>
      <c r="N1560" s="784" t="s">
        <v>575</v>
      </c>
      <c r="P1560" t="s">
        <v>1887</v>
      </c>
      <c r="R1560" t="s">
        <v>150</v>
      </c>
      <c r="S1560" t="s">
        <v>145</v>
      </c>
      <c r="U1560">
        <v>0</v>
      </c>
      <c r="V1560" t="s">
        <v>541</v>
      </c>
      <c r="W1560" t="s">
        <v>542</v>
      </c>
      <c r="X1560" s="784">
        <v>17422005.762907442</v>
      </c>
    </row>
    <row r="1561" spans="1:24">
      <c r="A1561" t="s">
        <v>358</v>
      </c>
      <c r="B1561" t="s">
        <v>620</v>
      </c>
      <c r="C1561" t="s">
        <v>224</v>
      </c>
      <c r="D1561" t="s">
        <v>126</v>
      </c>
      <c r="E1561" t="s">
        <v>377</v>
      </c>
      <c r="F1561" t="s">
        <v>310</v>
      </c>
      <c r="G1561" t="s">
        <v>389</v>
      </c>
      <c r="H1561" t="s">
        <v>575</v>
      </c>
      <c r="I1561">
        <v>2021</v>
      </c>
      <c r="J1561" t="s">
        <v>379</v>
      </c>
      <c r="K1561" t="s">
        <v>546</v>
      </c>
      <c r="L1561" s="784" t="s">
        <v>575</v>
      </c>
      <c r="M1561" t="s">
        <v>745</v>
      </c>
      <c r="N1561" s="784" t="s">
        <v>575</v>
      </c>
      <c r="P1561" t="s">
        <v>1887</v>
      </c>
      <c r="R1561" t="s">
        <v>148</v>
      </c>
      <c r="S1561" t="s">
        <v>145</v>
      </c>
      <c r="U1561">
        <v>0</v>
      </c>
      <c r="V1561" t="s">
        <v>544</v>
      </c>
      <c r="W1561" t="s">
        <v>546</v>
      </c>
      <c r="X1561" s="784" t="s">
        <v>575</v>
      </c>
    </row>
    <row r="1562" spans="1:24">
      <c r="A1562" t="s">
        <v>358</v>
      </c>
      <c r="B1562" t="s">
        <v>621</v>
      </c>
      <c r="C1562" t="s">
        <v>225</v>
      </c>
      <c r="D1562" t="s">
        <v>127</v>
      </c>
      <c r="E1562" t="s">
        <v>377</v>
      </c>
      <c r="F1562" t="s">
        <v>310</v>
      </c>
      <c r="G1562" t="s">
        <v>389</v>
      </c>
      <c r="H1562" t="s">
        <v>104</v>
      </c>
      <c r="I1562">
        <v>2021</v>
      </c>
      <c r="J1562" t="s">
        <v>379</v>
      </c>
      <c r="K1562" t="s">
        <v>546</v>
      </c>
      <c r="L1562" s="784">
        <v>230000</v>
      </c>
      <c r="M1562" t="s">
        <v>745</v>
      </c>
      <c r="N1562" s="784">
        <v>230000</v>
      </c>
      <c r="P1562" t="s">
        <v>1887</v>
      </c>
      <c r="R1562" t="s">
        <v>152</v>
      </c>
      <c r="S1562" t="s">
        <v>145</v>
      </c>
      <c r="U1562">
        <v>0</v>
      </c>
      <c r="V1562" t="s">
        <v>544</v>
      </c>
      <c r="W1562" t="s">
        <v>548</v>
      </c>
      <c r="X1562" s="784" t="s">
        <v>575</v>
      </c>
    </row>
    <row r="1563" spans="1:24">
      <c r="A1563" t="s">
        <v>358</v>
      </c>
      <c r="B1563" t="s">
        <v>622</v>
      </c>
      <c r="C1563" t="s">
        <v>226</v>
      </c>
      <c r="D1563" t="s">
        <v>127</v>
      </c>
      <c r="E1563" t="s">
        <v>377</v>
      </c>
      <c r="F1563" t="s">
        <v>310</v>
      </c>
      <c r="G1563" t="s">
        <v>389</v>
      </c>
      <c r="H1563" t="s">
        <v>310</v>
      </c>
      <c r="I1563">
        <v>2021</v>
      </c>
      <c r="J1563" t="s">
        <v>379</v>
      </c>
      <c r="K1563" t="s">
        <v>546</v>
      </c>
      <c r="L1563" s="784">
        <v>978461</v>
      </c>
      <c r="M1563" t="s">
        <v>745</v>
      </c>
      <c r="N1563" s="784">
        <v>978461</v>
      </c>
      <c r="P1563" t="s">
        <v>1887</v>
      </c>
      <c r="R1563" t="s">
        <v>150</v>
      </c>
      <c r="S1563" t="s">
        <v>145</v>
      </c>
      <c r="U1563">
        <v>2</v>
      </c>
      <c r="V1563" t="s">
        <v>544</v>
      </c>
      <c r="W1563" t="s">
        <v>562</v>
      </c>
      <c r="X1563" s="784">
        <v>231506834.84347546</v>
      </c>
    </row>
    <row r="1564" spans="1:24">
      <c r="A1564" t="s">
        <v>358</v>
      </c>
      <c r="B1564" t="s">
        <v>623</v>
      </c>
      <c r="C1564" t="s">
        <v>227</v>
      </c>
      <c r="D1564" t="s">
        <v>126</v>
      </c>
      <c r="E1564" t="s">
        <v>377</v>
      </c>
      <c r="F1564" t="s">
        <v>310</v>
      </c>
      <c r="G1564" t="s">
        <v>389</v>
      </c>
      <c r="H1564" t="s">
        <v>310</v>
      </c>
      <c r="I1564">
        <v>2021</v>
      </c>
      <c r="J1564" t="s">
        <v>379</v>
      </c>
      <c r="K1564" t="s">
        <v>546</v>
      </c>
      <c r="L1564" s="784">
        <v>1185375</v>
      </c>
      <c r="M1564" t="s">
        <v>745</v>
      </c>
      <c r="N1564" s="784">
        <v>1112744</v>
      </c>
      <c r="P1564" t="s">
        <v>1887</v>
      </c>
      <c r="R1564" t="s">
        <v>150</v>
      </c>
      <c r="S1564" t="s">
        <v>145</v>
      </c>
      <c r="U1564">
        <v>0</v>
      </c>
      <c r="V1564" t="s">
        <v>544</v>
      </c>
      <c r="W1564" t="s">
        <v>542</v>
      </c>
      <c r="X1564" s="784">
        <v>156059428.62944782</v>
      </c>
    </row>
    <row r="1565" spans="1:24">
      <c r="A1565" t="s">
        <v>358</v>
      </c>
      <c r="B1565" t="s">
        <v>624</v>
      </c>
      <c r="C1565" t="s">
        <v>228</v>
      </c>
      <c r="D1565" t="s">
        <v>131</v>
      </c>
      <c r="E1565" t="s">
        <v>377</v>
      </c>
      <c r="F1565" t="s">
        <v>310</v>
      </c>
      <c r="G1565" t="s">
        <v>389</v>
      </c>
      <c r="H1565" t="s">
        <v>575</v>
      </c>
      <c r="I1565">
        <v>2021</v>
      </c>
      <c r="J1565" t="s">
        <v>379</v>
      </c>
      <c r="K1565" t="s">
        <v>546</v>
      </c>
      <c r="L1565" s="784" t="s">
        <v>575</v>
      </c>
      <c r="M1565" t="s">
        <v>745</v>
      </c>
      <c r="N1565" s="784" t="s">
        <v>575</v>
      </c>
      <c r="P1565" t="s">
        <v>1887</v>
      </c>
      <c r="R1565" t="s">
        <v>152</v>
      </c>
      <c r="S1565" t="s">
        <v>146</v>
      </c>
      <c r="U1565">
        <v>0</v>
      </c>
      <c r="V1565" t="s">
        <v>544</v>
      </c>
      <c r="W1565" t="s">
        <v>546</v>
      </c>
      <c r="X1565" s="784">
        <v>2355391507.1635861</v>
      </c>
    </row>
    <row r="1566" spans="1:24">
      <c r="A1566" t="s">
        <v>358</v>
      </c>
      <c r="B1566" t="s">
        <v>625</v>
      </c>
      <c r="C1566" t="s">
        <v>229</v>
      </c>
      <c r="D1566" t="s">
        <v>128</v>
      </c>
      <c r="E1566" t="s">
        <v>377</v>
      </c>
      <c r="F1566" t="s">
        <v>310</v>
      </c>
      <c r="G1566" t="s">
        <v>389</v>
      </c>
      <c r="H1566" t="s">
        <v>310</v>
      </c>
      <c r="I1566">
        <v>2021</v>
      </c>
      <c r="J1566" t="s">
        <v>379</v>
      </c>
      <c r="K1566" t="s">
        <v>546</v>
      </c>
      <c r="L1566" s="784">
        <v>978454</v>
      </c>
      <c r="M1566" t="s">
        <v>745</v>
      </c>
      <c r="N1566" s="784">
        <v>390226</v>
      </c>
      <c r="P1566" t="s">
        <v>1887</v>
      </c>
      <c r="R1566" t="s">
        <v>150</v>
      </c>
      <c r="S1566" t="s">
        <v>145</v>
      </c>
      <c r="U1566">
        <v>0</v>
      </c>
      <c r="V1566" t="s">
        <v>544</v>
      </c>
      <c r="W1566" t="s">
        <v>562</v>
      </c>
      <c r="X1566" s="784">
        <v>152760919.7684873</v>
      </c>
    </row>
    <row r="1567" spans="1:24">
      <c r="A1567" t="s">
        <v>358</v>
      </c>
      <c r="B1567" t="s">
        <v>626</v>
      </c>
      <c r="C1567" t="s">
        <v>230</v>
      </c>
      <c r="D1567" t="s">
        <v>129</v>
      </c>
      <c r="E1567" t="s">
        <v>377</v>
      </c>
      <c r="F1567" t="s">
        <v>310</v>
      </c>
      <c r="G1567" t="s">
        <v>389</v>
      </c>
      <c r="H1567" t="s">
        <v>310</v>
      </c>
      <c r="I1567">
        <v>2021</v>
      </c>
      <c r="J1567" t="s">
        <v>379</v>
      </c>
      <c r="K1567" t="s">
        <v>546</v>
      </c>
      <c r="L1567" s="784">
        <v>978461</v>
      </c>
      <c r="M1567" t="s">
        <v>745</v>
      </c>
      <c r="N1567" s="784">
        <v>977644</v>
      </c>
      <c r="P1567" t="s">
        <v>1887</v>
      </c>
      <c r="R1567" t="s">
        <v>148</v>
      </c>
      <c r="S1567" t="s">
        <v>145</v>
      </c>
      <c r="U1567">
        <v>0</v>
      </c>
      <c r="V1567" t="s">
        <v>544</v>
      </c>
      <c r="W1567" t="s">
        <v>542</v>
      </c>
      <c r="X1567" s="784">
        <v>55072006.864440605</v>
      </c>
    </row>
    <row r="1568" spans="1:24">
      <c r="A1568" t="s">
        <v>358</v>
      </c>
      <c r="B1568" t="s">
        <v>627</v>
      </c>
      <c r="C1568" t="s">
        <v>231</v>
      </c>
      <c r="D1568" t="s">
        <v>131</v>
      </c>
      <c r="E1568" t="s">
        <v>377</v>
      </c>
      <c r="F1568" t="s">
        <v>310</v>
      </c>
      <c r="G1568" t="s">
        <v>389</v>
      </c>
      <c r="H1568" t="s">
        <v>575</v>
      </c>
      <c r="I1568">
        <v>2021</v>
      </c>
      <c r="J1568" t="s">
        <v>379</v>
      </c>
      <c r="K1568" t="s">
        <v>546</v>
      </c>
      <c r="L1568" s="784" t="s">
        <v>575</v>
      </c>
      <c r="M1568" t="s">
        <v>745</v>
      </c>
      <c r="N1568" s="784" t="s">
        <v>575</v>
      </c>
      <c r="P1568" t="s">
        <v>1887</v>
      </c>
      <c r="R1568" t="s">
        <v>152</v>
      </c>
      <c r="S1568" t="s">
        <v>146</v>
      </c>
      <c r="U1568">
        <v>0</v>
      </c>
      <c r="V1568" t="s">
        <v>544</v>
      </c>
      <c r="W1568" t="s">
        <v>546</v>
      </c>
      <c r="X1568" s="784" t="s">
        <v>575</v>
      </c>
    </row>
    <row r="1569" spans="1:24">
      <c r="A1569" t="s">
        <v>358</v>
      </c>
      <c r="B1569" t="s">
        <v>628</v>
      </c>
      <c r="C1569" t="s">
        <v>232</v>
      </c>
      <c r="D1569" t="s">
        <v>128</v>
      </c>
      <c r="E1569" t="s">
        <v>377</v>
      </c>
      <c r="F1569" t="s">
        <v>310</v>
      </c>
      <c r="G1569" t="s">
        <v>389</v>
      </c>
      <c r="H1569" t="s">
        <v>310</v>
      </c>
      <c r="I1569">
        <v>2021</v>
      </c>
      <c r="J1569" t="s">
        <v>379</v>
      </c>
      <c r="K1569" t="s">
        <v>546</v>
      </c>
      <c r="L1569" s="784">
        <v>4070028</v>
      </c>
      <c r="M1569" t="s">
        <v>745</v>
      </c>
      <c r="N1569" s="784">
        <v>4064028</v>
      </c>
      <c r="P1569" t="s">
        <v>1887</v>
      </c>
      <c r="R1569" t="s">
        <v>148</v>
      </c>
      <c r="S1569" t="s">
        <v>145</v>
      </c>
      <c r="U1569">
        <v>2</v>
      </c>
      <c r="V1569" t="s">
        <v>544</v>
      </c>
      <c r="W1569" t="s">
        <v>562</v>
      </c>
      <c r="X1569" s="784">
        <v>206914157.05429548</v>
      </c>
    </row>
    <row r="1570" spans="1:24">
      <c r="A1570" t="s">
        <v>358</v>
      </c>
      <c r="B1570" t="s">
        <v>629</v>
      </c>
      <c r="C1570" t="s">
        <v>233</v>
      </c>
      <c r="D1570" t="s">
        <v>128</v>
      </c>
      <c r="E1570" t="s">
        <v>377</v>
      </c>
      <c r="F1570" t="s">
        <v>310</v>
      </c>
      <c r="G1570" t="s">
        <v>389</v>
      </c>
      <c r="H1570" t="s">
        <v>310</v>
      </c>
      <c r="I1570">
        <v>2021</v>
      </c>
      <c r="J1570" t="s">
        <v>379</v>
      </c>
      <c r="K1570" t="s">
        <v>546</v>
      </c>
      <c r="L1570" s="784">
        <v>1493213</v>
      </c>
      <c r="M1570" t="s">
        <v>745</v>
      </c>
      <c r="N1570" s="784">
        <v>1451414</v>
      </c>
      <c r="P1570" t="s">
        <v>1887</v>
      </c>
      <c r="R1570" t="s">
        <v>148</v>
      </c>
      <c r="S1570" t="s">
        <v>145</v>
      </c>
      <c r="U1570">
        <v>2</v>
      </c>
      <c r="V1570" t="s">
        <v>544</v>
      </c>
      <c r="W1570" t="s">
        <v>542</v>
      </c>
      <c r="X1570" s="784">
        <v>185999915.02066413</v>
      </c>
    </row>
    <row r="1571" spans="1:24">
      <c r="A1571" t="s">
        <v>358</v>
      </c>
      <c r="B1571" t="s">
        <v>630</v>
      </c>
      <c r="C1571" t="s">
        <v>234</v>
      </c>
      <c r="D1571" t="s">
        <v>126</v>
      </c>
      <c r="E1571" t="s">
        <v>377</v>
      </c>
      <c r="F1571" t="s">
        <v>310</v>
      </c>
      <c r="G1571" t="s">
        <v>389</v>
      </c>
      <c r="H1571" t="s">
        <v>575</v>
      </c>
      <c r="I1571">
        <v>2021</v>
      </c>
      <c r="J1571" t="s">
        <v>379</v>
      </c>
      <c r="K1571" t="s">
        <v>546</v>
      </c>
      <c r="L1571" s="784" t="s">
        <v>575</v>
      </c>
      <c r="M1571" t="s">
        <v>745</v>
      </c>
      <c r="N1571" s="784" t="s">
        <v>575</v>
      </c>
      <c r="P1571" t="s">
        <v>1887</v>
      </c>
      <c r="R1571" t="s">
        <v>152</v>
      </c>
      <c r="S1571" t="s">
        <v>146</v>
      </c>
      <c r="U1571">
        <v>0</v>
      </c>
      <c r="V1571" t="s">
        <v>544</v>
      </c>
      <c r="W1571" t="s">
        <v>575</v>
      </c>
      <c r="X1571" s="784">
        <v>6893755763.2501726</v>
      </c>
    </row>
    <row r="1572" spans="1:24">
      <c r="A1572" t="s">
        <v>358</v>
      </c>
      <c r="B1572" t="s">
        <v>631</v>
      </c>
      <c r="C1572" t="s">
        <v>235</v>
      </c>
      <c r="D1572" t="s">
        <v>132</v>
      </c>
      <c r="E1572" t="s">
        <v>377</v>
      </c>
      <c r="F1572" t="s">
        <v>310</v>
      </c>
      <c r="G1572" t="s">
        <v>389</v>
      </c>
      <c r="H1572" t="s">
        <v>104</v>
      </c>
      <c r="I1572">
        <v>2021</v>
      </c>
      <c r="J1572" t="s">
        <v>379</v>
      </c>
      <c r="K1572" t="s">
        <v>546</v>
      </c>
      <c r="L1572" s="784">
        <v>230000</v>
      </c>
      <c r="M1572" t="s">
        <v>745</v>
      </c>
      <c r="N1572" s="784">
        <v>230000</v>
      </c>
      <c r="P1572" t="s">
        <v>1887</v>
      </c>
      <c r="R1572" t="s">
        <v>152</v>
      </c>
      <c r="S1572" t="s">
        <v>145</v>
      </c>
      <c r="U1572">
        <v>0</v>
      </c>
      <c r="V1572" t="s">
        <v>541</v>
      </c>
      <c r="W1572" t="s">
        <v>542</v>
      </c>
      <c r="X1572" s="784">
        <v>354560231.58276606</v>
      </c>
    </row>
    <row r="1573" spans="1:24">
      <c r="A1573" t="s">
        <v>358</v>
      </c>
      <c r="B1573" t="s">
        <v>632</v>
      </c>
      <c r="C1573" t="s">
        <v>236</v>
      </c>
      <c r="D1573" t="s">
        <v>129</v>
      </c>
      <c r="E1573" t="s">
        <v>377</v>
      </c>
      <c r="F1573" t="s">
        <v>310</v>
      </c>
      <c r="G1573" t="s">
        <v>389</v>
      </c>
      <c r="H1573" t="s">
        <v>310</v>
      </c>
      <c r="I1573">
        <v>2021</v>
      </c>
      <c r="J1573" t="s">
        <v>379</v>
      </c>
      <c r="K1573" t="s">
        <v>546</v>
      </c>
      <c r="L1573" s="784">
        <v>3105169</v>
      </c>
      <c r="M1573" t="s">
        <v>745</v>
      </c>
      <c r="N1573" s="784">
        <v>124207</v>
      </c>
      <c r="P1573" t="s">
        <v>1887</v>
      </c>
      <c r="R1573" t="s">
        <v>148</v>
      </c>
      <c r="S1573" t="s">
        <v>145</v>
      </c>
      <c r="U1573">
        <v>1</v>
      </c>
      <c r="V1573" t="s">
        <v>544</v>
      </c>
      <c r="W1573" t="s">
        <v>562</v>
      </c>
      <c r="X1573" s="784">
        <v>188169167.56540567</v>
      </c>
    </row>
    <row r="1574" spans="1:24">
      <c r="A1574" t="s">
        <v>358</v>
      </c>
      <c r="B1574" t="s">
        <v>633</v>
      </c>
      <c r="C1574" t="s">
        <v>237</v>
      </c>
      <c r="D1574" t="s">
        <v>126</v>
      </c>
      <c r="E1574" t="s">
        <v>377</v>
      </c>
      <c r="F1574" t="s">
        <v>310</v>
      </c>
      <c r="G1574" t="s">
        <v>389</v>
      </c>
      <c r="H1574" t="s">
        <v>575</v>
      </c>
      <c r="I1574">
        <v>2021</v>
      </c>
      <c r="J1574" t="s">
        <v>379</v>
      </c>
      <c r="K1574" t="s">
        <v>546</v>
      </c>
      <c r="L1574" s="784" t="s">
        <v>575</v>
      </c>
      <c r="M1574" t="s">
        <v>745</v>
      </c>
      <c r="N1574" s="784" t="s">
        <v>575</v>
      </c>
      <c r="P1574" t="s">
        <v>1887</v>
      </c>
      <c r="R1574" t="s">
        <v>152</v>
      </c>
      <c r="S1574" t="s">
        <v>145</v>
      </c>
      <c r="U1574">
        <v>0</v>
      </c>
      <c r="V1574" t="s">
        <v>541</v>
      </c>
      <c r="W1574" t="s">
        <v>575</v>
      </c>
      <c r="X1574" s="784">
        <v>16312106.556340856</v>
      </c>
    </row>
    <row r="1575" spans="1:24">
      <c r="A1575" t="s">
        <v>358</v>
      </c>
      <c r="B1575" t="s">
        <v>634</v>
      </c>
      <c r="C1575" t="s">
        <v>238</v>
      </c>
      <c r="D1575" t="s">
        <v>129</v>
      </c>
      <c r="E1575" t="s">
        <v>377</v>
      </c>
      <c r="F1575" t="s">
        <v>310</v>
      </c>
      <c r="G1575" t="s">
        <v>389</v>
      </c>
      <c r="H1575" t="s">
        <v>310</v>
      </c>
      <c r="I1575">
        <v>2021</v>
      </c>
      <c r="J1575" t="s">
        <v>379</v>
      </c>
      <c r="K1575" t="s">
        <v>546</v>
      </c>
      <c r="L1575" s="784">
        <v>978364</v>
      </c>
      <c r="M1575" t="s">
        <v>745</v>
      </c>
      <c r="N1575" s="784">
        <v>978364</v>
      </c>
      <c r="P1575" t="s">
        <v>1887</v>
      </c>
      <c r="R1575" t="s">
        <v>150</v>
      </c>
      <c r="S1575" t="s">
        <v>145</v>
      </c>
      <c r="U1575">
        <v>2</v>
      </c>
      <c r="V1575" t="s">
        <v>544</v>
      </c>
      <c r="W1575" t="s">
        <v>542</v>
      </c>
      <c r="X1575" s="784">
        <v>86083833.534053758</v>
      </c>
    </row>
    <row r="1576" spans="1:24">
      <c r="A1576" t="s">
        <v>358</v>
      </c>
      <c r="B1576" t="s">
        <v>635</v>
      </c>
      <c r="C1576" t="s">
        <v>239</v>
      </c>
      <c r="D1576" t="s">
        <v>128</v>
      </c>
      <c r="E1576" t="s">
        <v>377</v>
      </c>
      <c r="F1576" t="s">
        <v>310</v>
      </c>
      <c r="G1576" t="s">
        <v>389</v>
      </c>
      <c r="H1576" t="s">
        <v>575</v>
      </c>
      <c r="I1576">
        <v>2021</v>
      </c>
      <c r="J1576" t="s">
        <v>379</v>
      </c>
      <c r="K1576" t="s">
        <v>546</v>
      </c>
      <c r="L1576" s="784" t="s">
        <v>575</v>
      </c>
      <c r="M1576" t="s">
        <v>745</v>
      </c>
      <c r="N1576" s="784" t="s">
        <v>575</v>
      </c>
      <c r="P1576" t="s">
        <v>1887</v>
      </c>
      <c r="R1576" t="s">
        <v>152</v>
      </c>
      <c r="S1576" t="s">
        <v>146</v>
      </c>
      <c r="U1576">
        <v>0</v>
      </c>
      <c r="V1576" t="s">
        <v>541</v>
      </c>
      <c r="W1576" t="s">
        <v>546</v>
      </c>
      <c r="X1576" s="784">
        <v>357220835.93762809</v>
      </c>
    </row>
    <row r="1577" spans="1:24">
      <c r="A1577" t="s">
        <v>358</v>
      </c>
      <c r="B1577" t="s">
        <v>636</v>
      </c>
      <c r="C1577" t="s">
        <v>240</v>
      </c>
      <c r="D1577" t="s">
        <v>130</v>
      </c>
      <c r="E1577" t="s">
        <v>377</v>
      </c>
      <c r="F1577" t="s">
        <v>310</v>
      </c>
      <c r="G1577" t="s">
        <v>389</v>
      </c>
      <c r="H1577" t="s">
        <v>575</v>
      </c>
      <c r="I1577">
        <v>2021</v>
      </c>
      <c r="J1577" t="s">
        <v>379</v>
      </c>
      <c r="K1577" t="s">
        <v>546</v>
      </c>
      <c r="L1577" s="784" t="s">
        <v>575</v>
      </c>
      <c r="M1577" t="s">
        <v>745</v>
      </c>
      <c r="N1577" s="784" t="s">
        <v>575</v>
      </c>
      <c r="P1577" t="s">
        <v>1887</v>
      </c>
      <c r="R1577" t="s">
        <v>152</v>
      </c>
      <c r="S1577" t="s">
        <v>146</v>
      </c>
      <c r="U1577">
        <v>0</v>
      </c>
      <c r="V1577" t="s">
        <v>544</v>
      </c>
      <c r="W1577" t="s">
        <v>575</v>
      </c>
      <c r="X1577" s="784">
        <v>32831598153.796387</v>
      </c>
    </row>
    <row r="1578" spans="1:24">
      <c r="A1578" t="s">
        <v>358</v>
      </c>
      <c r="B1578" t="s">
        <v>637</v>
      </c>
      <c r="C1578" t="s">
        <v>241</v>
      </c>
      <c r="D1578" t="s">
        <v>126</v>
      </c>
      <c r="E1578" t="s">
        <v>377</v>
      </c>
      <c r="F1578" t="s">
        <v>310</v>
      </c>
      <c r="G1578" t="s">
        <v>389</v>
      </c>
      <c r="H1578" t="s">
        <v>575</v>
      </c>
      <c r="I1578">
        <v>2021</v>
      </c>
      <c r="J1578" t="s">
        <v>379</v>
      </c>
      <c r="K1578" t="s">
        <v>546</v>
      </c>
      <c r="L1578" s="784" t="s">
        <v>575</v>
      </c>
      <c r="M1578" t="s">
        <v>745</v>
      </c>
      <c r="N1578" s="784" t="s">
        <v>575</v>
      </c>
      <c r="P1578" t="s">
        <v>1887</v>
      </c>
      <c r="R1578" t="s">
        <v>150</v>
      </c>
      <c r="S1578" t="s">
        <v>145</v>
      </c>
      <c r="U1578">
        <v>0</v>
      </c>
      <c r="V1578" t="s">
        <v>541</v>
      </c>
      <c r="W1578" t="s">
        <v>542</v>
      </c>
      <c r="X1578" s="784">
        <v>12329056.093798399</v>
      </c>
    </row>
    <row r="1579" spans="1:24">
      <c r="A1579" t="s">
        <v>358</v>
      </c>
      <c r="B1579" t="s">
        <v>638</v>
      </c>
      <c r="C1579" t="s">
        <v>242</v>
      </c>
      <c r="D1579" t="s">
        <v>127</v>
      </c>
      <c r="E1579" t="s">
        <v>377</v>
      </c>
      <c r="F1579" t="s">
        <v>310</v>
      </c>
      <c r="G1579" t="s">
        <v>389</v>
      </c>
      <c r="H1579" t="s">
        <v>104</v>
      </c>
      <c r="I1579">
        <v>2021</v>
      </c>
      <c r="J1579" t="s">
        <v>379</v>
      </c>
      <c r="K1579" t="s">
        <v>546</v>
      </c>
      <c r="L1579" s="784">
        <v>367944</v>
      </c>
      <c r="M1579" t="s">
        <v>745</v>
      </c>
      <c r="N1579" s="784">
        <v>367944</v>
      </c>
      <c r="P1579" t="s">
        <v>1887</v>
      </c>
      <c r="R1579" t="s">
        <v>152</v>
      </c>
      <c r="S1579" t="s">
        <v>145</v>
      </c>
      <c r="U1579">
        <v>0</v>
      </c>
      <c r="V1579" t="s">
        <v>544</v>
      </c>
      <c r="W1579" t="s">
        <v>558</v>
      </c>
      <c r="X1579" s="784">
        <v>426639742.85328001</v>
      </c>
    </row>
    <row r="1580" spans="1:24">
      <c r="A1580" t="s">
        <v>358</v>
      </c>
      <c r="B1580" t="s">
        <v>639</v>
      </c>
      <c r="C1580" t="s">
        <v>243</v>
      </c>
      <c r="D1580" t="s">
        <v>126</v>
      </c>
      <c r="E1580" t="s">
        <v>377</v>
      </c>
      <c r="F1580" t="s">
        <v>310</v>
      </c>
      <c r="G1580" t="s">
        <v>389</v>
      </c>
      <c r="H1580" t="s">
        <v>104</v>
      </c>
      <c r="I1580">
        <v>2021</v>
      </c>
      <c r="J1580" t="s">
        <v>379</v>
      </c>
      <c r="K1580" t="s">
        <v>546</v>
      </c>
      <c r="L1580" s="784">
        <v>230000</v>
      </c>
      <c r="M1580" t="s">
        <v>745</v>
      </c>
      <c r="N1580" s="784">
        <v>230000</v>
      </c>
      <c r="P1580" t="s">
        <v>1887</v>
      </c>
      <c r="R1580" t="s">
        <v>150</v>
      </c>
      <c r="S1580" t="s">
        <v>145</v>
      </c>
      <c r="U1580">
        <v>0</v>
      </c>
      <c r="V1580" t="s">
        <v>544</v>
      </c>
      <c r="W1580" t="s">
        <v>548</v>
      </c>
      <c r="X1580" s="784">
        <v>288519671.85870522</v>
      </c>
    </row>
    <row r="1581" spans="1:24">
      <c r="A1581" t="s">
        <v>358</v>
      </c>
      <c r="B1581" t="s">
        <v>640</v>
      </c>
      <c r="C1581" t="s">
        <v>244</v>
      </c>
      <c r="D1581" t="s">
        <v>127</v>
      </c>
      <c r="E1581" t="s">
        <v>377</v>
      </c>
      <c r="F1581" t="s">
        <v>310</v>
      </c>
      <c r="G1581" t="s">
        <v>389</v>
      </c>
      <c r="H1581" t="s">
        <v>575</v>
      </c>
      <c r="I1581">
        <v>2021</v>
      </c>
      <c r="J1581" t="s">
        <v>379</v>
      </c>
      <c r="K1581" t="s">
        <v>546</v>
      </c>
      <c r="L1581" s="784" t="s">
        <v>575</v>
      </c>
      <c r="M1581" t="s">
        <v>745</v>
      </c>
      <c r="N1581" s="784" t="s">
        <v>575</v>
      </c>
      <c r="P1581" t="s">
        <v>1887</v>
      </c>
      <c r="R1581" t="s">
        <v>152</v>
      </c>
      <c r="S1581" t="s">
        <v>146</v>
      </c>
      <c r="U1581">
        <v>0</v>
      </c>
      <c r="V1581" t="s">
        <v>544</v>
      </c>
      <c r="W1581" t="s">
        <v>546</v>
      </c>
      <c r="X1581" s="784">
        <v>275606560.78491527</v>
      </c>
    </row>
    <row r="1582" spans="1:24">
      <c r="A1582" t="s">
        <v>358</v>
      </c>
      <c r="B1582" t="s">
        <v>641</v>
      </c>
      <c r="C1582" t="s">
        <v>245</v>
      </c>
      <c r="D1582" t="s">
        <v>131</v>
      </c>
      <c r="E1582" t="s">
        <v>377</v>
      </c>
      <c r="F1582" t="s">
        <v>310</v>
      </c>
      <c r="G1582" t="s">
        <v>389</v>
      </c>
      <c r="H1582" t="s">
        <v>575</v>
      </c>
      <c r="I1582">
        <v>2021</v>
      </c>
      <c r="J1582" t="s">
        <v>379</v>
      </c>
      <c r="K1582" t="s">
        <v>546</v>
      </c>
      <c r="L1582" s="784" t="s">
        <v>575</v>
      </c>
      <c r="M1582" t="s">
        <v>745</v>
      </c>
      <c r="N1582" s="784" t="s">
        <v>575</v>
      </c>
      <c r="P1582" t="s">
        <v>1887</v>
      </c>
      <c r="R1582" t="s">
        <v>150</v>
      </c>
      <c r="S1582" t="s">
        <v>145</v>
      </c>
      <c r="U1582">
        <v>0</v>
      </c>
      <c r="V1582" t="s">
        <v>544</v>
      </c>
      <c r="W1582" t="s">
        <v>546</v>
      </c>
      <c r="X1582" s="784">
        <v>2530937679.3725696</v>
      </c>
    </row>
    <row r="1583" spans="1:24">
      <c r="A1583" t="s">
        <v>358</v>
      </c>
      <c r="B1583" t="s">
        <v>642</v>
      </c>
      <c r="C1583" t="s">
        <v>246</v>
      </c>
      <c r="D1583" t="s">
        <v>128</v>
      </c>
      <c r="E1583" t="s">
        <v>377</v>
      </c>
      <c r="F1583" t="s">
        <v>310</v>
      </c>
      <c r="G1583" t="s">
        <v>389</v>
      </c>
      <c r="H1583" t="s">
        <v>310</v>
      </c>
      <c r="I1583">
        <v>2021</v>
      </c>
      <c r="J1583" t="s">
        <v>379</v>
      </c>
      <c r="K1583" t="s">
        <v>546</v>
      </c>
      <c r="L1583" s="784">
        <v>3422310</v>
      </c>
      <c r="M1583" t="s">
        <v>745</v>
      </c>
      <c r="N1583" s="784">
        <v>3299996</v>
      </c>
      <c r="P1583" t="s">
        <v>1887</v>
      </c>
      <c r="R1583" t="s">
        <v>148</v>
      </c>
      <c r="S1583" t="s">
        <v>145</v>
      </c>
      <c r="U1583">
        <v>0</v>
      </c>
      <c r="V1583" t="s">
        <v>544</v>
      </c>
      <c r="W1583" t="s">
        <v>583</v>
      </c>
      <c r="X1583" s="784">
        <v>251432156.86255455</v>
      </c>
    </row>
    <row r="1584" spans="1:24">
      <c r="A1584" t="s">
        <v>358</v>
      </c>
      <c r="B1584" t="s">
        <v>643</v>
      </c>
      <c r="C1584" t="s">
        <v>247</v>
      </c>
      <c r="D1584" t="s">
        <v>126</v>
      </c>
      <c r="E1584" t="s">
        <v>377</v>
      </c>
      <c r="F1584" t="s">
        <v>310</v>
      </c>
      <c r="G1584" t="s">
        <v>389</v>
      </c>
      <c r="H1584" t="s">
        <v>310</v>
      </c>
      <c r="I1584">
        <v>2021</v>
      </c>
      <c r="J1584" t="s">
        <v>379</v>
      </c>
      <c r="K1584" t="s">
        <v>546</v>
      </c>
      <c r="L1584" s="784">
        <v>0</v>
      </c>
      <c r="M1584" t="s">
        <v>745</v>
      </c>
      <c r="N1584" s="784">
        <v>0</v>
      </c>
      <c r="P1584" t="s">
        <v>1887</v>
      </c>
      <c r="R1584" t="s">
        <v>150</v>
      </c>
      <c r="S1584" t="s">
        <v>145</v>
      </c>
      <c r="U1584">
        <v>0</v>
      </c>
      <c r="V1584" t="s">
        <v>544</v>
      </c>
      <c r="W1584" t="s">
        <v>558</v>
      </c>
      <c r="X1584" s="784">
        <v>471534500.60109437</v>
      </c>
    </row>
    <row r="1585" spans="1:24">
      <c r="A1585" t="s">
        <v>358</v>
      </c>
      <c r="B1585" t="s">
        <v>644</v>
      </c>
      <c r="C1585" t="s">
        <v>248</v>
      </c>
      <c r="D1585" t="s">
        <v>128</v>
      </c>
      <c r="E1585" t="s">
        <v>377</v>
      </c>
      <c r="F1585" t="s">
        <v>310</v>
      </c>
      <c r="G1585" t="s">
        <v>389</v>
      </c>
      <c r="H1585" t="s">
        <v>575</v>
      </c>
      <c r="I1585">
        <v>2021</v>
      </c>
      <c r="J1585" t="s">
        <v>379</v>
      </c>
      <c r="K1585" t="s">
        <v>546</v>
      </c>
      <c r="L1585" s="784" t="s">
        <v>575</v>
      </c>
      <c r="M1585" t="s">
        <v>745</v>
      </c>
      <c r="N1585" s="784" t="s">
        <v>575</v>
      </c>
      <c r="P1585" t="s">
        <v>1887</v>
      </c>
      <c r="R1585" t="s">
        <v>152</v>
      </c>
      <c r="S1585" t="s">
        <v>146</v>
      </c>
      <c r="U1585">
        <v>0</v>
      </c>
      <c r="V1585" t="s">
        <v>544</v>
      </c>
      <c r="W1585" t="s">
        <v>575</v>
      </c>
      <c r="X1585" s="784">
        <v>531677611.80447447</v>
      </c>
    </row>
    <row r="1586" spans="1:24">
      <c r="A1586" t="s">
        <v>358</v>
      </c>
      <c r="B1586" t="s">
        <v>645</v>
      </c>
      <c r="C1586" t="s">
        <v>249</v>
      </c>
      <c r="D1586" t="s">
        <v>126</v>
      </c>
      <c r="E1586" t="s">
        <v>377</v>
      </c>
      <c r="F1586" t="s">
        <v>310</v>
      </c>
      <c r="G1586" t="s">
        <v>389</v>
      </c>
      <c r="H1586" t="s">
        <v>575</v>
      </c>
      <c r="I1586">
        <v>2021</v>
      </c>
      <c r="J1586" t="s">
        <v>379</v>
      </c>
      <c r="K1586" t="s">
        <v>546</v>
      </c>
      <c r="L1586" s="784" t="s">
        <v>575</v>
      </c>
      <c r="M1586" t="s">
        <v>745</v>
      </c>
      <c r="N1586" s="784" t="s">
        <v>575</v>
      </c>
      <c r="P1586" t="s">
        <v>1887</v>
      </c>
      <c r="R1586" t="s">
        <v>550</v>
      </c>
      <c r="S1586" t="s">
        <v>146</v>
      </c>
      <c r="U1586">
        <v>0</v>
      </c>
      <c r="V1586" t="s">
        <v>541</v>
      </c>
      <c r="W1586" t="s">
        <v>575</v>
      </c>
      <c r="X1586" s="784">
        <v>8528751.6418357007</v>
      </c>
    </row>
    <row r="1587" spans="1:24">
      <c r="A1587" t="s">
        <v>358</v>
      </c>
      <c r="B1587" t="s">
        <v>646</v>
      </c>
      <c r="C1587" t="s">
        <v>250</v>
      </c>
      <c r="D1587" t="s">
        <v>132</v>
      </c>
      <c r="E1587" t="s">
        <v>377</v>
      </c>
      <c r="F1587" t="s">
        <v>310</v>
      </c>
      <c r="G1587" t="s">
        <v>389</v>
      </c>
      <c r="H1587" t="s">
        <v>310</v>
      </c>
      <c r="I1587">
        <v>2021</v>
      </c>
      <c r="J1587" t="s">
        <v>379</v>
      </c>
      <c r="K1587" t="s">
        <v>546</v>
      </c>
      <c r="L1587" s="784">
        <v>2159910</v>
      </c>
      <c r="M1587" t="s">
        <v>745</v>
      </c>
      <c r="N1587" s="784">
        <v>2159909</v>
      </c>
      <c r="P1587" t="s">
        <v>1887</v>
      </c>
      <c r="R1587" t="s">
        <v>150</v>
      </c>
      <c r="S1587" t="s">
        <v>145</v>
      </c>
      <c r="U1587">
        <v>0</v>
      </c>
      <c r="V1587" t="s">
        <v>544</v>
      </c>
      <c r="W1587" t="s">
        <v>558</v>
      </c>
      <c r="X1587" s="784">
        <v>407084543.19089872</v>
      </c>
    </row>
    <row r="1588" spans="1:24">
      <c r="A1588" t="s">
        <v>358</v>
      </c>
      <c r="B1588" t="s">
        <v>647</v>
      </c>
      <c r="C1588" t="s">
        <v>251</v>
      </c>
      <c r="D1588" t="s">
        <v>130</v>
      </c>
      <c r="E1588" t="s">
        <v>377</v>
      </c>
      <c r="F1588" t="s">
        <v>310</v>
      </c>
      <c r="G1588" t="s">
        <v>389</v>
      </c>
      <c r="H1588" t="s">
        <v>310</v>
      </c>
      <c r="I1588">
        <v>2021</v>
      </c>
      <c r="J1588" t="s">
        <v>379</v>
      </c>
      <c r="K1588" t="s">
        <v>546</v>
      </c>
      <c r="L1588" s="784">
        <v>978461</v>
      </c>
      <c r="M1588" t="s">
        <v>745</v>
      </c>
      <c r="N1588" s="784">
        <v>0</v>
      </c>
      <c r="P1588" t="s">
        <v>1887</v>
      </c>
      <c r="R1588" t="s">
        <v>150</v>
      </c>
      <c r="S1588" t="s">
        <v>145</v>
      </c>
      <c r="U1588">
        <v>0</v>
      </c>
      <c r="V1588" t="s">
        <v>544</v>
      </c>
      <c r="W1588" t="s">
        <v>562</v>
      </c>
      <c r="X1588" s="784">
        <v>671998341.93592453</v>
      </c>
    </row>
    <row r="1589" spans="1:24">
      <c r="A1589" t="s">
        <v>358</v>
      </c>
      <c r="B1589" t="s">
        <v>648</v>
      </c>
      <c r="C1589" t="s">
        <v>252</v>
      </c>
      <c r="D1589" t="s">
        <v>129</v>
      </c>
      <c r="E1589" t="s">
        <v>377</v>
      </c>
      <c r="F1589" t="s">
        <v>310</v>
      </c>
      <c r="G1589" t="s">
        <v>389</v>
      </c>
      <c r="H1589" t="s">
        <v>310</v>
      </c>
      <c r="I1589">
        <v>2021</v>
      </c>
      <c r="J1589" t="s">
        <v>379</v>
      </c>
      <c r="K1589" t="s">
        <v>546</v>
      </c>
      <c r="L1589" s="784">
        <v>3500000</v>
      </c>
      <c r="M1589" t="s">
        <v>745</v>
      </c>
      <c r="N1589" s="784">
        <v>3500000</v>
      </c>
      <c r="P1589" t="s">
        <v>1887</v>
      </c>
      <c r="R1589" t="s">
        <v>148</v>
      </c>
      <c r="S1589" t="s">
        <v>145</v>
      </c>
      <c r="U1589">
        <v>1</v>
      </c>
      <c r="V1589" t="s">
        <v>544</v>
      </c>
      <c r="W1589" t="s">
        <v>562</v>
      </c>
      <c r="X1589" s="784">
        <v>226203289.67158964</v>
      </c>
    </row>
    <row r="1590" spans="1:24">
      <c r="A1590" t="s">
        <v>358</v>
      </c>
      <c r="B1590" t="s">
        <v>649</v>
      </c>
      <c r="C1590" t="s">
        <v>253</v>
      </c>
      <c r="D1590" t="s">
        <v>129</v>
      </c>
      <c r="E1590" t="s">
        <v>377</v>
      </c>
      <c r="F1590" t="s">
        <v>310</v>
      </c>
      <c r="G1590" t="s">
        <v>389</v>
      </c>
      <c r="H1590" t="s">
        <v>310</v>
      </c>
      <c r="I1590">
        <v>2021</v>
      </c>
      <c r="J1590" t="s">
        <v>379</v>
      </c>
      <c r="K1590" t="s">
        <v>546</v>
      </c>
      <c r="L1590" s="784">
        <v>9995380</v>
      </c>
      <c r="M1590" t="s">
        <v>745</v>
      </c>
      <c r="N1590" s="784">
        <v>9995381</v>
      </c>
      <c r="P1590" t="s">
        <v>1887</v>
      </c>
      <c r="R1590" t="s">
        <v>150</v>
      </c>
      <c r="S1590" t="s">
        <v>145</v>
      </c>
      <c r="U1590">
        <v>3</v>
      </c>
      <c r="V1590" t="s">
        <v>544</v>
      </c>
      <c r="W1590" t="s">
        <v>548</v>
      </c>
      <c r="X1590" s="784">
        <v>2438881113.1244688</v>
      </c>
    </row>
    <row r="1591" spans="1:24">
      <c r="A1591" t="s">
        <v>358</v>
      </c>
      <c r="B1591" t="s">
        <v>650</v>
      </c>
      <c r="C1591" t="s">
        <v>254</v>
      </c>
      <c r="D1591" t="s">
        <v>127</v>
      </c>
      <c r="E1591" t="s">
        <v>377</v>
      </c>
      <c r="F1591" t="s">
        <v>310</v>
      </c>
      <c r="G1591" t="s">
        <v>389</v>
      </c>
      <c r="H1591" t="s">
        <v>575</v>
      </c>
      <c r="I1591">
        <v>2021</v>
      </c>
      <c r="J1591" t="s">
        <v>379</v>
      </c>
      <c r="K1591" t="s">
        <v>546</v>
      </c>
      <c r="L1591" s="784" t="s">
        <v>575</v>
      </c>
      <c r="M1591" t="s">
        <v>745</v>
      </c>
      <c r="N1591" s="784" t="s">
        <v>575</v>
      </c>
      <c r="P1591" t="s">
        <v>1887</v>
      </c>
      <c r="R1591" t="s">
        <v>152</v>
      </c>
      <c r="S1591" t="s">
        <v>146</v>
      </c>
      <c r="U1591">
        <v>0</v>
      </c>
      <c r="V1591" t="s">
        <v>544</v>
      </c>
      <c r="W1591" t="s">
        <v>575</v>
      </c>
      <c r="X1591" s="784">
        <v>476517795.73174149</v>
      </c>
    </row>
    <row r="1592" spans="1:24">
      <c r="A1592" t="s">
        <v>358</v>
      </c>
      <c r="B1592" t="s">
        <v>651</v>
      </c>
      <c r="C1592" t="s">
        <v>255</v>
      </c>
      <c r="D1592" t="s">
        <v>132</v>
      </c>
      <c r="E1592" t="s">
        <v>377</v>
      </c>
      <c r="F1592" t="s">
        <v>310</v>
      </c>
      <c r="G1592" t="s">
        <v>389</v>
      </c>
      <c r="H1592" t="s">
        <v>310</v>
      </c>
      <c r="I1592">
        <v>2021</v>
      </c>
      <c r="J1592" t="s">
        <v>379</v>
      </c>
      <c r="K1592" t="s">
        <v>546</v>
      </c>
      <c r="L1592" s="784">
        <v>14999987</v>
      </c>
      <c r="M1592" t="s">
        <v>745</v>
      </c>
      <c r="N1592" s="784">
        <v>14360986</v>
      </c>
      <c r="P1592" t="s">
        <v>1887</v>
      </c>
      <c r="R1592" t="s">
        <v>150</v>
      </c>
      <c r="S1592" t="s">
        <v>145</v>
      </c>
      <c r="U1592">
        <v>0</v>
      </c>
      <c r="V1592" t="s">
        <v>544</v>
      </c>
      <c r="W1592" t="s">
        <v>548</v>
      </c>
      <c r="X1592" s="784">
        <v>3233351297.7679496</v>
      </c>
    </row>
    <row r="1593" spans="1:24">
      <c r="A1593" t="s">
        <v>358</v>
      </c>
      <c r="B1593" t="s">
        <v>652</v>
      </c>
      <c r="C1593" t="s">
        <v>256</v>
      </c>
      <c r="D1593" t="s">
        <v>130</v>
      </c>
      <c r="E1593" t="s">
        <v>377</v>
      </c>
      <c r="F1593" t="s">
        <v>310</v>
      </c>
      <c r="G1593" t="s">
        <v>389</v>
      </c>
      <c r="H1593" t="s">
        <v>575</v>
      </c>
      <c r="I1593">
        <v>2021</v>
      </c>
      <c r="J1593" t="s">
        <v>379</v>
      </c>
      <c r="K1593" t="s">
        <v>546</v>
      </c>
      <c r="L1593" s="784" t="s">
        <v>575</v>
      </c>
      <c r="M1593" t="s">
        <v>745</v>
      </c>
      <c r="N1593" s="784" t="s">
        <v>575</v>
      </c>
      <c r="P1593" t="s">
        <v>1887</v>
      </c>
      <c r="R1593" t="s">
        <v>550</v>
      </c>
      <c r="S1593" t="s">
        <v>146</v>
      </c>
      <c r="U1593">
        <v>0</v>
      </c>
      <c r="V1593" t="s">
        <v>541</v>
      </c>
      <c r="W1593" t="s">
        <v>575</v>
      </c>
      <c r="X1593" s="784">
        <v>18180646.808608256</v>
      </c>
    </row>
    <row r="1594" spans="1:24">
      <c r="A1594" t="s">
        <v>358</v>
      </c>
      <c r="B1594" t="s">
        <v>653</v>
      </c>
      <c r="C1594" t="s">
        <v>257</v>
      </c>
      <c r="D1594" t="s">
        <v>130</v>
      </c>
      <c r="E1594" t="s">
        <v>377</v>
      </c>
      <c r="F1594" t="s">
        <v>310</v>
      </c>
      <c r="G1594" t="s">
        <v>389</v>
      </c>
      <c r="H1594" t="s">
        <v>575</v>
      </c>
      <c r="I1594">
        <v>2021</v>
      </c>
      <c r="J1594" t="s">
        <v>379</v>
      </c>
      <c r="K1594" t="s">
        <v>546</v>
      </c>
      <c r="L1594" s="784" t="s">
        <v>575</v>
      </c>
      <c r="M1594" t="s">
        <v>745</v>
      </c>
      <c r="N1594" s="784" t="s">
        <v>575</v>
      </c>
      <c r="P1594" t="s">
        <v>1887</v>
      </c>
      <c r="R1594" t="s">
        <v>152</v>
      </c>
      <c r="S1594" t="s">
        <v>146</v>
      </c>
      <c r="U1594">
        <v>0</v>
      </c>
      <c r="V1594" t="s">
        <v>544</v>
      </c>
      <c r="W1594" t="s">
        <v>546</v>
      </c>
      <c r="X1594" s="784">
        <v>3020530707.3485303</v>
      </c>
    </row>
    <row r="1595" spans="1:24">
      <c r="A1595" t="s">
        <v>358</v>
      </c>
      <c r="B1595" t="s">
        <v>654</v>
      </c>
      <c r="C1595" t="s">
        <v>258</v>
      </c>
      <c r="D1595" t="s">
        <v>126</v>
      </c>
      <c r="E1595" t="s">
        <v>377</v>
      </c>
      <c r="F1595" t="s">
        <v>310</v>
      </c>
      <c r="G1595" t="s">
        <v>389</v>
      </c>
      <c r="H1595" t="s">
        <v>310</v>
      </c>
      <c r="I1595">
        <v>2021</v>
      </c>
      <c r="J1595" t="s">
        <v>379</v>
      </c>
      <c r="K1595" t="s">
        <v>546</v>
      </c>
      <c r="L1595" s="784">
        <v>2745604</v>
      </c>
      <c r="M1595" t="s">
        <v>745</v>
      </c>
      <c r="N1595" s="784">
        <v>31079</v>
      </c>
      <c r="P1595" t="s">
        <v>1887</v>
      </c>
      <c r="R1595" t="s">
        <v>150</v>
      </c>
      <c r="S1595" t="s">
        <v>145</v>
      </c>
      <c r="U1595">
        <v>1</v>
      </c>
      <c r="V1595" t="s">
        <v>541</v>
      </c>
      <c r="W1595" t="s">
        <v>542</v>
      </c>
      <c r="X1595" s="784">
        <v>384406316.46074712</v>
      </c>
    </row>
    <row r="1596" spans="1:24">
      <c r="A1596" t="s">
        <v>358</v>
      </c>
      <c r="B1596" t="s">
        <v>655</v>
      </c>
      <c r="C1596" t="s">
        <v>259</v>
      </c>
      <c r="D1596" t="s">
        <v>130</v>
      </c>
      <c r="E1596" t="s">
        <v>377</v>
      </c>
      <c r="F1596" t="s">
        <v>310</v>
      </c>
      <c r="G1596" t="s">
        <v>389</v>
      </c>
      <c r="H1596" t="s">
        <v>575</v>
      </c>
      <c r="I1596">
        <v>2021</v>
      </c>
      <c r="J1596" t="s">
        <v>379</v>
      </c>
      <c r="K1596" t="s">
        <v>546</v>
      </c>
      <c r="L1596" s="784" t="s">
        <v>575</v>
      </c>
      <c r="M1596" t="s">
        <v>745</v>
      </c>
      <c r="N1596" s="784" t="s">
        <v>575</v>
      </c>
      <c r="P1596" t="s">
        <v>1887</v>
      </c>
      <c r="R1596" t="s">
        <v>152</v>
      </c>
      <c r="S1596" t="s">
        <v>146</v>
      </c>
      <c r="U1596">
        <v>0</v>
      </c>
      <c r="V1596" t="s">
        <v>544</v>
      </c>
      <c r="W1596" t="s">
        <v>575</v>
      </c>
      <c r="X1596" s="784">
        <v>1218747108.9554784</v>
      </c>
    </row>
    <row r="1597" spans="1:24">
      <c r="A1597" t="s">
        <v>358</v>
      </c>
      <c r="B1597" t="s">
        <v>656</v>
      </c>
      <c r="C1597" t="s">
        <v>260</v>
      </c>
      <c r="D1597" t="s">
        <v>130</v>
      </c>
      <c r="E1597" t="s">
        <v>377</v>
      </c>
      <c r="F1597" t="s">
        <v>310</v>
      </c>
      <c r="G1597" t="s">
        <v>389</v>
      </c>
      <c r="H1597" t="s">
        <v>575</v>
      </c>
      <c r="I1597">
        <v>2021</v>
      </c>
      <c r="J1597" t="s">
        <v>379</v>
      </c>
      <c r="K1597" t="s">
        <v>546</v>
      </c>
      <c r="L1597" s="784" t="s">
        <v>575</v>
      </c>
      <c r="M1597" t="s">
        <v>745</v>
      </c>
      <c r="N1597" s="784" t="s">
        <v>575</v>
      </c>
      <c r="P1597" t="s">
        <v>1887</v>
      </c>
      <c r="R1597" t="s">
        <v>152</v>
      </c>
      <c r="S1597" t="s">
        <v>146</v>
      </c>
      <c r="U1597">
        <v>0</v>
      </c>
      <c r="V1597" t="s">
        <v>544</v>
      </c>
      <c r="W1597" t="s">
        <v>575</v>
      </c>
      <c r="X1597" s="784">
        <v>7392665952.5895758</v>
      </c>
    </row>
    <row r="1598" spans="1:24">
      <c r="A1598" t="s">
        <v>358</v>
      </c>
      <c r="B1598" t="s">
        <v>657</v>
      </c>
      <c r="C1598" t="s">
        <v>261</v>
      </c>
      <c r="D1598" t="s">
        <v>126</v>
      </c>
      <c r="E1598" t="s">
        <v>377</v>
      </c>
      <c r="F1598" t="s">
        <v>310</v>
      </c>
      <c r="G1598" t="s">
        <v>389</v>
      </c>
      <c r="H1598" t="s">
        <v>104</v>
      </c>
      <c r="I1598">
        <v>2021</v>
      </c>
      <c r="J1598" t="s">
        <v>379</v>
      </c>
      <c r="K1598" t="s">
        <v>546</v>
      </c>
      <c r="L1598" s="784">
        <v>4914708</v>
      </c>
      <c r="M1598" t="s">
        <v>745</v>
      </c>
      <c r="N1598" s="784">
        <v>4914708</v>
      </c>
      <c r="P1598" t="s">
        <v>1887</v>
      </c>
      <c r="R1598" t="s">
        <v>150</v>
      </c>
      <c r="S1598" t="s">
        <v>145</v>
      </c>
      <c r="U1598">
        <v>0</v>
      </c>
      <c r="V1598" t="s">
        <v>544</v>
      </c>
      <c r="W1598" t="s">
        <v>546</v>
      </c>
      <c r="X1598" s="784">
        <v>4754985988.6004429</v>
      </c>
    </row>
    <row r="1599" spans="1:24">
      <c r="A1599" t="s">
        <v>358</v>
      </c>
      <c r="B1599" t="s">
        <v>658</v>
      </c>
      <c r="C1599" t="s">
        <v>262</v>
      </c>
      <c r="D1599" t="s">
        <v>127</v>
      </c>
      <c r="E1599" t="s">
        <v>377</v>
      </c>
      <c r="F1599" t="s">
        <v>310</v>
      </c>
      <c r="G1599" t="s">
        <v>389</v>
      </c>
      <c r="H1599" t="s">
        <v>575</v>
      </c>
      <c r="I1599">
        <v>2021</v>
      </c>
      <c r="J1599" t="s">
        <v>379</v>
      </c>
      <c r="K1599" t="s">
        <v>546</v>
      </c>
      <c r="L1599" s="784" t="s">
        <v>575</v>
      </c>
      <c r="M1599" t="s">
        <v>745</v>
      </c>
      <c r="N1599" s="784" t="s">
        <v>575</v>
      </c>
      <c r="P1599" t="s">
        <v>1887</v>
      </c>
      <c r="R1599" t="s">
        <v>550</v>
      </c>
      <c r="S1599" t="s">
        <v>146</v>
      </c>
      <c r="U1599">
        <v>0</v>
      </c>
      <c r="V1599" t="s">
        <v>544</v>
      </c>
      <c r="W1599" t="s">
        <v>575</v>
      </c>
      <c r="X1599" s="784">
        <v>26422210443.037273</v>
      </c>
    </row>
    <row r="1600" spans="1:24">
      <c r="A1600" t="s">
        <v>358</v>
      </c>
      <c r="B1600" t="s">
        <v>659</v>
      </c>
      <c r="C1600" t="s">
        <v>151</v>
      </c>
      <c r="D1600" t="s">
        <v>127</v>
      </c>
      <c r="E1600" t="s">
        <v>377</v>
      </c>
      <c r="F1600" t="s">
        <v>310</v>
      </c>
      <c r="G1600" t="s">
        <v>389</v>
      </c>
      <c r="H1600" t="s">
        <v>575</v>
      </c>
      <c r="I1600">
        <v>2021</v>
      </c>
      <c r="J1600" t="s">
        <v>379</v>
      </c>
      <c r="K1600" t="s">
        <v>546</v>
      </c>
      <c r="L1600" s="784" t="s">
        <v>575</v>
      </c>
      <c r="M1600" t="s">
        <v>745</v>
      </c>
      <c r="N1600" s="784" t="s">
        <v>575</v>
      </c>
      <c r="P1600" t="s">
        <v>1887</v>
      </c>
      <c r="R1600" t="s">
        <v>152</v>
      </c>
      <c r="S1600" t="s">
        <v>146</v>
      </c>
      <c r="U1600">
        <v>0</v>
      </c>
      <c r="V1600" t="s">
        <v>544</v>
      </c>
      <c r="W1600" t="s">
        <v>575</v>
      </c>
      <c r="X1600" s="784">
        <v>10696495313.15033</v>
      </c>
    </row>
    <row r="1601" spans="1:24">
      <c r="A1601" t="s">
        <v>358</v>
      </c>
      <c r="B1601" t="s">
        <v>660</v>
      </c>
      <c r="C1601" t="s">
        <v>263</v>
      </c>
      <c r="D1601" t="s">
        <v>127</v>
      </c>
      <c r="E1601" t="s">
        <v>377</v>
      </c>
      <c r="F1601" t="s">
        <v>310</v>
      </c>
      <c r="G1601" t="s">
        <v>389</v>
      </c>
      <c r="H1601" t="s">
        <v>575</v>
      </c>
      <c r="I1601">
        <v>2021</v>
      </c>
      <c r="J1601" t="s">
        <v>379</v>
      </c>
      <c r="K1601" t="s">
        <v>546</v>
      </c>
      <c r="L1601" s="784" t="s">
        <v>575</v>
      </c>
      <c r="M1601" t="s">
        <v>745</v>
      </c>
      <c r="N1601" s="784" t="s">
        <v>575</v>
      </c>
      <c r="P1601" t="s">
        <v>1887</v>
      </c>
      <c r="R1601" t="s">
        <v>152</v>
      </c>
      <c r="S1601" t="s">
        <v>146</v>
      </c>
      <c r="U1601">
        <v>0</v>
      </c>
      <c r="V1601" t="s">
        <v>544</v>
      </c>
      <c r="W1601" t="s">
        <v>575</v>
      </c>
      <c r="X1601" s="784">
        <v>52769713433.240509</v>
      </c>
    </row>
    <row r="1602" spans="1:24">
      <c r="A1602" t="s">
        <v>358</v>
      </c>
      <c r="B1602" t="s">
        <v>661</v>
      </c>
      <c r="C1602" t="s">
        <v>264</v>
      </c>
      <c r="D1602" t="s">
        <v>128</v>
      </c>
      <c r="E1602" t="s">
        <v>377</v>
      </c>
      <c r="F1602" t="s">
        <v>310</v>
      </c>
      <c r="G1602" t="s">
        <v>389</v>
      </c>
      <c r="H1602" t="s">
        <v>310</v>
      </c>
      <c r="I1602">
        <v>2021</v>
      </c>
      <c r="J1602" t="s">
        <v>379</v>
      </c>
      <c r="K1602" t="s">
        <v>546</v>
      </c>
      <c r="L1602" s="784">
        <v>978461</v>
      </c>
      <c r="M1602" t="s">
        <v>745</v>
      </c>
      <c r="N1602" s="784">
        <v>893334</v>
      </c>
      <c r="P1602" t="s">
        <v>1887</v>
      </c>
      <c r="R1602" t="s">
        <v>148</v>
      </c>
      <c r="S1602" t="s">
        <v>145</v>
      </c>
      <c r="U1602">
        <v>0</v>
      </c>
      <c r="V1602" t="s">
        <v>544</v>
      </c>
      <c r="W1602" t="s">
        <v>562</v>
      </c>
      <c r="X1602" s="784">
        <v>225799814.51943746</v>
      </c>
    </row>
    <row r="1603" spans="1:24">
      <c r="A1603" t="s">
        <v>358</v>
      </c>
      <c r="B1603" t="s">
        <v>662</v>
      </c>
      <c r="C1603" t="s">
        <v>265</v>
      </c>
      <c r="D1603" t="s">
        <v>126</v>
      </c>
      <c r="E1603" t="s">
        <v>377</v>
      </c>
      <c r="F1603" t="s">
        <v>310</v>
      </c>
      <c r="G1603" t="s">
        <v>389</v>
      </c>
      <c r="H1603" t="s">
        <v>575</v>
      </c>
      <c r="I1603">
        <v>2021</v>
      </c>
      <c r="J1603" t="s">
        <v>379</v>
      </c>
      <c r="K1603" t="s">
        <v>546</v>
      </c>
      <c r="L1603" s="784" t="s">
        <v>575</v>
      </c>
      <c r="M1603" t="s">
        <v>745</v>
      </c>
      <c r="N1603" s="784" t="s">
        <v>575</v>
      </c>
      <c r="P1603" t="s">
        <v>1887</v>
      </c>
      <c r="R1603" t="s">
        <v>150</v>
      </c>
      <c r="S1603" t="s">
        <v>145</v>
      </c>
      <c r="U1603">
        <v>0</v>
      </c>
      <c r="V1603" t="s">
        <v>541</v>
      </c>
      <c r="W1603" t="s">
        <v>542</v>
      </c>
      <c r="X1603" s="784">
        <v>32192988.027009469</v>
      </c>
    </row>
    <row r="1604" spans="1:24">
      <c r="A1604" t="s">
        <v>358</v>
      </c>
      <c r="B1604" t="s">
        <v>663</v>
      </c>
      <c r="C1604" t="s">
        <v>266</v>
      </c>
      <c r="D1604" t="s">
        <v>129</v>
      </c>
      <c r="E1604" t="s">
        <v>377</v>
      </c>
      <c r="F1604" t="s">
        <v>310</v>
      </c>
      <c r="G1604" t="s">
        <v>389</v>
      </c>
      <c r="H1604" t="s">
        <v>310</v>
      </c>
      <c r="I1604">
        <v>2021</v>
      </c>
      <c r="J1604" t="s">
        <v>379</v>
      </c>
      <c r="K1604" t="s">
        <v>546</v>
      </c>
      <c r="L1604" s="784">
        <v>978461</v>
      </c>
      <c r="M1604" t="s">
        <v>745</v>
      </c>
      <c r="N1604" s="784">
        <v>978461</v>
      </c>
      <c r="P1604" t="s">
        <v>1887</v>
      </c>
      <c r="R1604" t="s">
        <v>150</v>
      </c>
      <c r="S1604" t="s">
        <v>145</v>
      </c>
      <c r="U1604">
        <v>0</v>
      </c>
      <c r="V1604" t="s">
        <v>541</v>
      </c>
      <c r="W1604" t="s">
        <v>583</v>
      </c>
      <c r="X1604" s="784">
        <v>11633535.136477679</v>
      </c>
    </row>
    <row r="1605" spans="1:24">
      <c r="A1605" t="s">
        <v>358</v>
      </c>
      <c r="B1605" t="s">
        <v>664</v>
      </c>
      <c r="C1605" t="s">
        <v>267</v>
      </c>
      <c r="D1605" t="s">
        <v>129</v>
      </c>
      <c r="E1605" t="s">
        <v>377</v>
      </c>
      <c r="F1605" t="s">
        <v>310</v>
      </c>
      <c r="G1605" t="s">
        <v>389</v>
      </c>
      <c r="H1605" t="s">
        <v>310</v>
      </c>
      <c r="I1605">
        <v>2021</v>
      </c>
      <c r="J1605" t="s">
        <v>379</v>
      </c>
      <c r="K1605" t="s">
        <v>546</v>
      </c>
      <c r="L1605" s="784">
        <v>1380115</v>
      </c>
      <c r="M1605" t="s">
        <v>745</v>
      </c>
      <c r="N1605" s="784">
        <v>1380115</v>
      </c>
      <c r="P1605" t="s">
        <v>1887</v>
      </c>
      <c r="R1605" t="s">
        <v>150</v>
      </c>
      <c r="S1605" t="s">
        <v>145</v>
      </c>
      <c r="U1605">
        <v>2</v>
      </c>
      <c r="V1605" t="s">
        <v>544</v>
      </c>
      <c r="W1605" t="s">
        <v>562</v>
      </c>
      <c r="X1605" s="784">
        <v>222008693.93354639</v>
      </c>
    </row>
    <row r="1606" spans="1:24">
      <c r="A1606" t="s">
        <v>358</v>
      </c>
      <c r="B1606" t="s">
        <v>665</v>
      </c>
      <c r="C1606" t="s">
        <v>153</v>
      </c>
      <c r="D1606" t="s">
        <v>127</v>
      </c>
      <c r="E1606" t="s">
        <v>377</v>
      </c>
      <c r="F1606" t="s">
        <v>310</v>
      </c>
      <c r="G1606" t="s">
        <v>389</v>
      </c>
      <c r="H1606" t="s">
        <v>575</v>
      </c>
      <c r="I1606">
        <v>2021</v>
      </c>
      <c r="J1606" t="s">
        <v>379</v>
      </c>
      <c r="K1606" t="s">
        <v>546</v>
      </c>
      <c r="L1606" s="784" t="s">
        <v>575</v>
      </c>
      <c r="M1606" t="s">
        <v>745</v>
      </c>
      <c r="N1606" s="784" t="s">
        <v>575</v>
      </c>
      <c r="P1606" t="s">
        <v>1887</v>
      </c>
      <c r="R1606" t="s">
        <v>152</v>
      </c>
      <c r="S1606" t="s">
        <v>146</v>
      </c>
      <c r="U1606">
        <v>0</v>
      </c>
      <c r="V1606" t="s">
        <v>544</v>
      </c>
      <c r="W1606" t="s">
        <v>575</v>
      </c>
      <c r="X1606" s="784">
        <v>2564993795.1894679</v>
      </c>
    </row>
    <row r="1607" spans="1:24">
      <c r="A1607" t="s">
        <v>358</v>
      </c>
      <c r="B1607" t="s">
        <v>666</v>
      </c>
      <c r="C1607" t="s">
        <v>268</v>
      </c>
      <c r="D1607" t="s">
        <v>128</v>
      </c>
      <c r="E1607" t="s">
        <v>377</v>
      </c>
      <c r="F1607" t="s">
        <v>310</v>
      </c>
      <c r="G1607" t="s">
        <v>389</v>
      </c>
      <c r="H1607" t="s">
        <v>575</v>
      </c>
      <c r="I1607">
        <v>2021</v>
      </c>
      <c r="J1607" t="s">
        <v>379</v>
      </c>
      <c r="K1607" t="s">
        <v>546</v>
      </c>
      <c r="L1607" s="784" t="s">
        <v>575</v>
      </c>
      <c r="M1607" t="s">
        <v>745</v>
      </c>
      <c r="N1607" s="784" t="s">
        <v>575</v>
      </c>
      <c r="P1607" t="s">
        <v>1887</v>
      </c>
      <c r="R1607" t="s">
        <v>550</v>
      </c>
      <c r="S1607" t="s">
        <v>146</v>
      </c>
      <c r="U1607">
        <v>0</v>
      </c>
      <c r="V1607" t="s">
        <v>541</v>
      </c>
      <c r="W1607" t="s">
        <v>546</v>
      </c>
      <c r="X1607" s="784">
        <v>60237542.945069775</v>
      </c>
    </row>
    <row r="1608" spans="1:24">
      <c r="A1608" t="s">
        <v>358</v>
      </c>
      <c r="B1608" t="s">
        <v>667</v>
      </c>
      <c r="C1608" t="s">
        <v>269</v>
      </c>
      <c r="D1608" t="s">
        <v>129</v>
      </c>
      <c r="E1608" t="s">
        <v>377</v>
      </c>
      <c r="F1608" t="s">
        <v>310</v>
      </c>
      <c r="G1608" t="s">
        <v>389</v>
      </c>
      <c r="H1608" t="s">
        <v>310</v>
      </c>
      <c r="I1608">
        <v>2021</v>
      </c>
      <c r="J1608" t="s">
        <v>379</v>
      </c>
      <c r="K1608" t="s">
        <v>546</v>
      </c>
      <c r="L1608" s="784">
        <v>967690</v>
      </c>
      <c r="M1608" t="s">
        <v>745</v>
      </c>
      <c r="N1608" s="784">
        <v>967687</v>
      </c>
      <c r="P1608" t="s">
        <v>1887</v>
      </c>
      <c r="R1608" t="s">
        <v>148</v>
      </c>
      <c r="S1608" t="s">
        <v>145</v>
      </c>
      <c r="U1608">
        <v>0</v>
      </c>
      <c r="V1608" t="s">
        <v>544</v>
      </c>
      <c r="W1608" t="s">
        <v>542</v>
      </c>
      <c r="X1608" s="784">
        <v>63738640.538260505</v>
      </c>
    </row>
    <row r="1609" spans="1:24">
      <c r="A1609" t="s">
        <v>358</v>
      </c>
      <c r="B1609" t="s">
        <v>668</v>
      </c>
      <c r="C1609" t="s">
        <v>270</v>
      </c>
      <c r="D1609" t="s">
        <v>126</v>
      </c>
      <c r="E1609" t="s">
        <v>377</v>
      </c>
      <c r="F1609" t="s">
        <v>310</v>
      </c>
      <c r="G1609" t="s">
        <v>389</v>
      </c>
      <c r="H1609" t="s">
        <v>575</v>
      </c>
      <c r="I1609">
        <v>2021</v>
      </c>
      <c r="J1609" t="s">
        <v>379</v>
      </c>
      <c r="K1609" t="s">
        <v>546</v>
      </c>
      <c r="L1609" s="784" t="s">
        <v>575</v>
      </c>
      <c r="M1609" t="s">
        <v>745</v>
      </c>
      <c r="N1609" s="784" t="s">
        <v>575</v>
      </c>
      <c r="P1609" t="s">
        <v>1887</v>
      </c>
      <c r="R1609" t="s">
        <v>150</v>
      </c>
      <c r="S1609" t="s">
        <v>145</v>
      </c>
      <c r="U1609">
        <v>0</v>
      </c>
      <c r="V1609" t="s">
        <v>541</v>
      </c>
      <c r="W1609" t="s">
        <v>562</v>
      </c>
      <c r="X1609" s="784">
        <v>49012774.055630356</v>
      </c>
    </row>
    <row r="1610" spans="1:24">
      <c r="A1610" t="s">
        <v>358</v>
      </c>
      <c r="B1610" t="s">
        <v>669</v>
      </c>
      <c r="C1610" t="s">
        <v>271</v>
      </c>
      <c r="D1610" t="s">
        <v>128</v>
      </c>
      <c r="E1610" t="s">
        <v>377</v>
      </c>
      <c r="F1610" t="s">
        <v>310</v>
      </c>
      <c r="G1610" t="s">
        <v>389</v>
      </c>
      <c r="H1610" t="s">
        <v>310</v>
      </c>
      <c r="I1610">
        <v>2021</v>
      </c>
      <c r="J1610" t="s">
        <v>379</v>
      </c>
      <c r="K1610" t="s">
        <v>546</v>
      </c>
      <c r="L1610" s="784">
        <v>5100000</v>
      </c>
      <c r="M1610" t="s">
        <v>745</v>
      </c>
      <c r="N1610" s="784">
        <v>5100000</v>
      </c>
      <c r="P1610" t="s">
        <v>1887</v>
      </c>
      <c r="R1610" t="s">
        <v>148</v>
      </c>
      <c r="S1610" t="s">
        <v>145</v>
      </c>
      <c r="U1610">
        <v>1</v>
      </c>
      <c r="V1610" t="s">
        <v>544</v>
      </c>
      <c r="W1610" t="s">
        <v>583</v>
      </c>
      <c r="X1610" s="784" t="s">
        <v>575</v>
      </c>
    </row>
    <row r="1611" spans="1:24">
      <c r="A1611" t="s">
        <v>358</v>
      </c>
      <c r="B1611" t="s">
        <v>670</v>
      </c>
      <c r="C1611" t="s">
        <v>272</v>
      </c>
      <c r="D1611" t="s">
        <v>128</v>
      </c>
      <c r="E1611" t="s">
        <v>377</v>
      </c>
      <c r="F1611" t="s">
        <v>310</v>
      </c>
      <c r="G1611" t="s">
        <v>389</v>
      </c>
      <c r="H1611" t="s">
        <v>575</v>
      </c>
      <c r="I1611">
        <v>2021</v>
      </c>
      <c r="J1611" t="s">
        <v>379</v>
      </c>
      <c r="K1611" t="s">
        <v>546</v>
      </c>
      <c r="L1611" s="784" t="s">
        <v>575</v>
      </c>
      <c r="M1611" t="s">
        <v>745</v>
      </c>
      <c r="N1611" s="784" t="s">
        <v>575</v>
      </c>
      <c r="P1611" t="s">
        <v>1887</v>
      </c>
      <c r="R1611" t="s">
        <v>152</v>
      </c>
      <c r="S1611" t="s">
        <v>146</v>
      </c>
      <c r="U1611">
        <v>0</v>
      </c>
      <c r="V1611" t="s">
        <v>544</v>
      </c>
      <c r="W1611" t="s">
        <v>546</v>
      </c>
      <c r="X1611" s="784">
        <v>16429121142.784708</v>
      </c>
    </row>
    <row r="1612" spans="1:24">
      <c r="A1612" t="s">
        <v>358</v>
      </c>
      <c r="B1612" t="s">
        <v>671</v>
      </c>
      <c r="C1612" t="s">
        <v>273</v>
      </c>
      <c r="D1612" t="s">
        <v>128</v>
      </c>
      <c r="E1612" t="s">
        <v>377</v>
      </c>
      <c r="F1612" t="s">
        <v>310</v>
      </c>
      <c r="G1612" t="s">
        <v>389</v>
      </c>
      <c r="H1612" t="s">
        <v>310</v>
      </c>
      <c r="I1612">
        <v>2021</v>
      </c>
      <c r="J1612" t="s">
        <v>379</v>
      </c>
      <c r="K1612" t="s">
        <v>546</v>
      </c>
      <c r="L1612" s="784">
        <v>2988882</v>
      </c>
      <c r="M1612" t="s">
        <v>745</v>
      </c>
      <c r="N1612" s="784">
        <v>2766766</v>
      </c>
      <c r="P1612" t="s">
        <v>1887</v>
      </c>
      <c r="R1612" t="s">
        <v>148</v>
      </c>
      <c r="S1612" t="s">
        <v>145</v>
      </c>
      <c r="U1612">
        <v>1</v>
      </c>
      <c r="V1612" t="s">
        <v>544</v>
      </c>
      <c r="W1612" t="s">
        <v>542</v>
      </c>
      <c r="X1612" s="784">
        <v>31684581.76217727</v>
      </c>
    </row>
    <row r="1613" spans="1:24">
      <c r="A1613" t="s">
        <v>358</v>
      </c>
      <c r="B1613" t="s">
        <v>672</v>
      </c>
      <c r="C1613" t="s">
        <v>274</v>
      </c>
      <c r="D1613" t="s">
        <v>132</v>
      </c>
      <c r="E1613" t="s">
        <v>377</v>
      </c>
      <c r="F1613" t="s">
        <v>310</v>
      </c>
      <c r="G1613" t="s">
        <v>389</v>
      </c>
      <c r="H1613" t="s">
        <v>104</v>
      </c>
      <c r="I1613">
        <v>2021</v>
      </c>
      <c r="J1613" t="s">
        <v>379</v>
      </c>
      <c r="K1613" t="s">
        <v>546</v>
      </c>
      <c r="L1613" s="784">
        <v>981803</v>
      </c>
      <c r="M1613" t="s">
        <v>745</v>
      </c>
      <c r="N1613" s="784">
        <v>981803</v>
      </c>
      <c r="P1613" t="s">
        <v>1887</v>
      </c>
      <c r="R1613" t="s">
        <v>150</v>
      </c>
      <c r="S1613" t="s">
        <v>145</v>
      </c>
      <c r="U1613">
        <v>0</v>
      </c>
      <c r="V1613" t="s">
        <v>544</v>
      </c>
      <c r="W1613" t="s">
        <v>546</v>
      </c>
      <c r="X1613" s="784">
        <v>1373621563.5182886</v>
      </c>
    </row>
    <row r="1614" spans="1:24">
      <c r="A1614" t="s">
        <v>358</v>
      </c>
      <c r="B1614" t="s">
        <v>673</v>
      </c>
      <c r="C1614" t="s">
        <v>275</v>
      </c>
      <c r="D1614" t="s">
        <v>130</v>
      </c>
      <c r="E1614" t="s">
        <v>377</v>
      </c>
      <c r="F1614" t="s">
        <v>310</v>
      </c>
      <c r="G1614" t="s">
        <v>389</v>
      </c>
      <c r="H1614" t="s">
        <v>575</v>
      </c>
      <c r="I1614">
        <v>2021</v>
      </c>
      <c r="J1614" t="s">
        <v>379</v>
      </c>
      <c r="K1614" t="s">
        <v>546</v>
      </c>
      <c r="L1614" s="784" t="s">
        <v>575</v>
      </c>
      <c r="M1614" t="s">
        <v>745</v>
      </c>
      <c r="N1614" s="784" t="s">
        <v>575</v>
      </c>
      <c r="P1614" t="s">
        <v>1887</v>
      </c>
      <c r="R1614" t="s">
        <v>550</v>
      </c>
      <c r="S1614" t="s">
        <v>146</v>
      </c>
      <c r="U1614">
        <v>0</v>
      </c>
      <c r="V1614" t="s">
        <v>541</v>
      </c>
      <c r="W1614" t="s">
        <v>575</v>
      </c>
      <c r="X1614" s="784">
        <v>24214370.889062837</v>
      </c>
    </row>
    <row r="1615" spans="1:24">
      <c r="A1615" t="s">
        <v>358</v>
      </c>
      <c r="B1615" t="s">
        <v>674</v>
      </c>
      <c r="C1615" t="s">
        <v>154</v>
      </c>
      <c r="D1615" t="s">
        <v>130</v>
      </c>
      <c r="E1615" t="s">
        <v>377</v>
      </c>
      <c r="F1615" t="s">
        <v>310</v>
      </c>
      <c r="G1615" t="s">
        <v>389</v>
      </c>
      <c r="H1615" t="s">
        <v>104</v>
      </c>
      <c r="I1615">
        <v>2021</v>
      </c>
      <c r="J1615" t="s">
        <v>379</v>
      </c>
      <c r="K1615" t="s">
        <v>546</v>
      </c>
      <c r="L1615" s="784">
        <v>230000</v>
      </c>
      <c r="M1615" t="s">
        <v>745</v>
      </c>
      <c r="N1615" s="784">
        <v>230000</v>
      </c>
      <c r="P1615" t="s">
        <v>1887</v>
      </c>
      <c r="R1615" t="s">
        <v>152</v>
      </c>
      <c r="S1615" t="s">
        <v>145</v>
      </c>
      <c r="U1615">
        <v>0</v>
      </c>
      <c r="V1615" t="s">
        <v>541</v>
      </c>
      <c r="W1615" t="s">
        <v>548</v>
      </c>
      <c r="X1615" s="784">
        <v>39941279.609447442</v>
      </c>
    </row>
    <row r="1616" spans="1:24">
      <c r="A1616" t="s">
        <v>358</v>
      </c>
      <c r="B1616" t="s">
        <v>675</v>
      </c>
      <c r="C1616" t="s">
        <v>155</v>
      </c>
      <c r="D1616" t="s">
        <v>130</v>
      </c>
      <c r="E1616" t="s">
        <v>377</v>
      </c>
      <c r="F1616" t="s">
        <v>310</v>
      </c>
      <c r="G1616" t="s">
        <v>389</v>
      </c>
      <c r="H1616" t="s">
        <v>104</v>
      </c>
      <c r="I1616">
        <v>2021</v>
      </c>
      <c r="J1616" t="s">
        <v>379</v>
      </c>
      <c r="K1616" t="s">
        <v>546</v>
      </c>
      <c r="L1616" s="784">
        <v>230000</v>
      </c>
      <c r="M1616" t="s">
        <v>745</v>
      </c>
      <c r="N1616" s="784">
        <v>230000</v>
      </c>
      <c r="P1616" t="s">
        <v>1887</v>
      </c>
      <c r="R1616" t="s">
        <v>152</v>
      </c>
      <c r="S1616" t="s">
        <v>145</v>
      </c>
      <c r="U1616">
        <v>0</v>
      </c>
      <c r="V1616" t="s">
        <v>541</v>
      </c>
      <c r="W1616" t="s">
        <v>542</v>
      </c>
      <c r="X1616" s="784">
        <v>24761675.260059897</v>
      </c>
    </row>
    <row r="1617" spans="1:24">
      <c r="A1617" t="s">
        <v>358</v>
      </c>
      <c r="B1617" t="s">
        <v>676</v>
      </c>
      <c r="C1617" t="s">
        <v>276</v>
      </c>
      <c r="D1617" t="s">
        <v>131</v>
      </c>
      <c r="E1617" t="s">
        <v>377</v>
      </c>
      <c r="F1617" t="s">
        <v>310</v>
      </c>
      <c r="G1617" t="s">
        <v>389</v>
      </c>
      <c r="H1617" t="s">
        <v>104</v>
      </c>
      <c r="I1617">
        <v>2021</v>
      </c>
      <c r="J1617" t="s">
        <v>379</v>
      </c>
      <c r="K1617" t="s">
        <v>546</v>
      </c>
      <c r="L1617" s="784">
        <v>230000</v>
      </c>
      <c r="M1617" t="s">
        <v>745</v>
      </c>
      <c r="N1617" s="784">
        <v>230000</v>
      </c>
      <c r="P1617" t="s">
        <v>1887</v>
      </c>
      <c r="R1617" t="s">
        <v>150</v>
      </c>
      <c r="S1617" t="s">
        <v>145</v>
      </c>
      <c r="U1617">
        <v>0</v>
      </c>
      <c r="V1617" t="s">
        <v>544</v>
      </c>
      <c r="W1617" t="s">
        <v>546</v>
      </c>
      <c r="X1617" s="784" t="s">
        <v>575</v>
      </c>
    </row>
    <row r="1618" spans="1:24">
      <c r="A1618" t="s">
        <v>358</v>
      </c>
      <c r="B1618" t="s">
        <v>677</v>
      </c>
      <c r="C1618" t="s">
        <v>277</v>
      </c>
      <c r="D1618" t="s">
        <v>131</v>
      </c>
      <c r="E1618" t="s">
        <v>377</v>
      </c>
      <c r="F1618" t="s">
        <v>310</v>
      </c>
      <c r="G1618" t="s">
        <v>389</v>
      </c>
      <c r="H1618" t="s">
        <v>310</v>
      </c>
      <c r="I1618">
        <v>2021</v>
      </c>
      <c r="J1618" t="s">
        <v>379</v>
      </c>
      <c r="K1618" t="s">
        <v>546</v>
      </c>
      <c r="L1618" s="784">
        <v>3536420</v>
      </c>
      <c r="M1618" t="s">
        <v>745</v>
      </c>
      <c r="N1618" s="784">
        <v>3536433</v>
      </c>
      <c r="P1618" t="s">
        <v>1887</v>
      </c>
      <c r="R1618" t="s">
        <v>148</v>
      </c>
      <c r="S1618" t="s">
        <v>145</v>
      </c>
      <c r="U1618">
        <v>1</v>
      </c>
      <c r="V1618" t="s">
        <v>544</v>
      </c>
      <c r="W1618" t="s">
        <v>546</v>
      </c>
      <c r="X1618" s="784">
        <v>577156172.71229994</v>
      </c>
    </row>
    <row r="1619" spans="1:24">
      <c r="A1619" t="s">
        <v>358</v>
      </c>
      <c r="B1619" t="s">
        <v>678</v>
      </c>
      <c r="C1619" t="s">
        <v>278</v>
      </c>
      <c r="D1619" t="s">
        <v>126</v>
      </c>
      <c r="E1619" t="s">
        <v>377</v>
      </c>
      <c r="F1619" t="s">
        <v>310</v>
      </c>
      <c r="G1619" t="s">
        <v>389</v>
      </c>
      <c r="H1619" t="s">
        <v>575</v>
      </c>
      <c r="I1619">
        <v>2021</v>
      </c>
      <c r="J1619" t="s">
        <v>379</v>
      </c>
      <c r="K1619" t="s">
        <v>546</v>
      </c>
      <c r="L1619" s="784" t="s">
        <v>575</v>
      </c>
      <c r="M1619" t="s">
        <v>745</v>
      </c>
      <c r="N1619" s="784" t="s">
        <v>575</v>
      </c>
      <c r="P1619" t="s">
        <v>1887</v>
      </c>
      <c r="R1619" t="s">
        <v>152</v>
      </c>
      <c r="S1619" t="s">
        <v>146</v>
      </c>
      <c r="U1619">
        <v>0</v>
      </c>
      <c r="V1619" t="s">
        <v>541</v>
      </c>
      <c r="W1619" t="s">
        <v>575</v>
      </c>
      <c r="X1619" s="784">
        <v>180052034.19851837</v>
      </c>
    </row>
    <row r="1620" spans="1:24">
      <c r="A1620" t="s">
        <v>358</v>
      </c>
      <c r="B1620" t="s">
        <v>679</v>
      </c>
      <c r="C1620" t="s">
        <v>279</v>
      </c>
      <c r="D1620" t="s">
        <v>131</v>
      </c>
      <c r="E1620" t="s">
        <v>377</v>
      </c>
      <c r="F1620" t="s">
        <v>310</v>
      </c>
      <c r="G1620" t="s">
        <v>389</v>
      </c>
      <c r="H1620" t="s">
        <v>310</v>
      </c>
      <c r="I1620">
        <v>2021</v>
      </c>
      <c r="J1620" t="s">
        <v>379</v>
      </c>
      <c r="K1620" t="s">
        <v>546</v>
      </c>
      <c r="L1620" s="784">
        <v>3451738</v>
      </c>
      <c r="M1620" t="s">
        <v>745</v>
      </c>
      <c r="N1620" s="784">
        <v>2730325</v>
      </c>
      <c r="P1620" t="s">
        <v>1887</v>
      </c>
      <c r="R1620" t="s">
        <v>148</v>
      </c>
      <c r="S1620" t="s">
        <v>145</v>
      </c>
      <c r="U1620">
        <v>1</v>
      </c>
      <c r="V1620" t="s">
        <v>544</v>
      </c>
      <c r="W1620" t="s">
        <v>546</v>
      </c>
      <c r="X1620" s="784" t="s">
        <v>575</v>
      </c>
    </row>
    <row r="1621" spans="1:24">
      <c r="A1621" t="s">
        <v>358</v>
      </c>
      <c r="B1621" t="s">
        <v>680</v>
      </c>
      <c r="C1621" t="s">
        <v>280</v>
      </c>
      <c r="D1621" t="s">
        <v>127</v>
      </c>
      <c r="E1621" t="s">
        <v>377</v>
      </c>
      <c r="F1621" t="s">
        <v>310</v>
      </c>
      <c r="G1621" t="s">
        <v>389</v>
      </c>
      <c r="H1621" t="s">
        <v>310</v>
      </c>
      <c r="I1621">
        <v>2021</v>
      </c>
      <c r="J1621" t="s">
        <v>379</v>
      </c>
      <c r="K1621" t="s">
        <v>546</v>
      </c>
      <c r="L1621" s="784">
        <v>978461</v>
      </c>
      <c r="M1621" t="s">
        <v>745</v>
      </c>
      <c r="N1621" s="784">
        <v>978461</v>
      </c>
      <c r="P1621" t="s">
        <v>1887</v>
      </c>
      <c r="R1621" t="s">
        <v>150</v>
      </c>
      <c r="S1621" t="s">
        <v>145</v>
      </c>
      <c r="U1621">
        <v>0</v>
      </c>
      <c r="V1621" t="s">
        <v>544</v>
      </c>
      <c r="W1621" t="s">
        <v>542</v>
      </c>
      <c r="X1621" s="784">
        <v>147296124.32232863</v>
      </c>
    </row>
    <row r="1622" spans="1:24">
      <c r="A1622" t="s">
        <v>358</v>
      </c>
      <c r="B1622" t="s">
        <v>681</v>
      </c>
      <c r="C1622" t="s">
        <v>156</v>
      </c>
      <c r="D1622" t="s">
        <v>128</v>
      </c>
      <c r="E1622" t="s">
        <v>377</v>
      </c>
      <c r="F1622" t="s">
        <v>310</v>
      </c>
      <c r="G1622" t="s">
        <v>389</v>
      </c>
      <c r="H1622" t="s">
        <v>310</v>
      </c>
      <c r="I1622">
        <v>2021</v>
      </c>
      <c r="J1622" t="s">
        <v>379</v>
      </c>
      <c r="K1622" t="s">
        <v>546</v>
      </c>
      <c r="L1622" s="784">
        <v>6752492</v>
      </c>
      <c r="M1622" t="s">
        <v>745</v>
      </c>
      <c r="N1622" s="784">
        <v>6752492</v>
      </c>
      <c r="P1622" t="s">
        <v>1887</v>
      </c>
      <c r="R1622" t="s">
        <v>150</v>
      </c>
      <c r="S1622" t="s">
        <v>145</v>
      </c>
      <c r="U1622">
        <v>0</v>
      </c>
      <c r="V1622" t="s">
        <v>544</v>
      </c>
      <c r="W1622" t="s">
        <v>548</v>
      </c>
      <c r="X1622" s="784">
        <v>890576536.83065879</v>
      </c>
    </row>
    <row r="1623" spans="1:24">
      <c r="A1623" t="s">
        <v>358</v>
      </c>
      <c r="B1623" t="s">
        <v>682</v>
      </c>
      <c r="C1623" t="s">
        <v>157</v>
      </c>
      <c r="D1623" t="s">
        <v>126</v>
      </c>
      <c r="E1623" t="s">
        <v>377</v>
      </c>
      <c r="F1623" t="s">
        <v>310</v>
      </c>
      <c r="G1623" t="s">
        <v>389</v>
      </c>
      <c r="H1623" t="s">
        <v>575</v>
      </c>
      <c r="I1623">
        <v>2021</v>
      </c>
      <c r="J1623" t="s">
        <v>379</v>
      </c>
      <c r="K1623" t="s">
        <v>546</v>
      </c>
      <c r="L1623" s="784" t="s">
        <v>575</v>
      </c>
      <c r="M1623" t="s">
        <v>745</v>
      </c>
      <c r="N1623" s="784" t="s">
        <v>575</v>
      </c>
      <c r="P1623" t="s">
        <v>1887</v>
      </c>
      <c r="R1623" t="s">
        <v>152</v>
      </c>
      <c r="S1623" t="s">
        <v>146</v>
      </c>
      <c r="U1623">
        <v>0</v>
      </c>
      <c r="V1623" t="s">
        <v>544</v>
      </c>
      <c r="W1623" t="s">
        <v>575</v>
      </c>
      <c r="X1623" s="784">
        <v>14611129792.346064</v>
      </c>
    </row>
    <row r="1624" spans="1:24">
      <c r="A1624" t="s">
        <v>358</v>
      </c>
      <c r="B1624" t="s">
        <v>683</v>
      </c>
      <c r="C1624" t="s">
        <v>281</v>
      </c>
      <c r="D1624" t="s">
        <v>126</v>
      </c>
      <c r="E1624" t="s">
        <v>377</v>
      </c>
      <c r="F1624" t="s">
        <v>310</v>
      </c>
      <c r="G1624" t="s">
        <v>389</v>
      </c>
      <c r="H1624" t="s">
        <v>310</v>
      </c>
      <c r="I1624">
        <v>2021</v>
      </c>
      <c r="J1624" t="s">
        <v>379</v>
      </c>
      <c r="K1624" t="s">
        <v>546</v>
      </c>
      <c r="L1624" s="784">
        <v>244615</v>
      </c>
      <c r="M1624" t="s">
        <v>745</v>
      </c>
      <c r="N1624" s="784">
        <v>244615</v>
      </c>
      <c r="P1624" t="s">
        <v>1887</v>
      </c>
      <c r="R1624" t="s">
        <v>150</v>
      </c>
      <c r="S1624" t="s">
        <v>145</v>
      </c>
      <c r="U1624">
        <v>0</v>
      </c>
      <c r="V1624" t="s">
        <v>541</v>
      </c>
      <c r="W1624" t="s">
        <v>558</v>
      </c>
      <c r="X1624" s="784">
        <v>72046877.233008593</v>
      </c>
    </row>
    <row r="1625" spans="1:24">
      <c r="A1625" t="s">
        <v>358</v>
      </c>
      <c r="B1625" t="s">
        <v>684</v>
      </c>
      <c r="C1625" t="s">
        <v>282</v>
      </c>
      <c r="D1625" t="s">
        <v>129</v>
      </c>
      <c r="E1625" t="s">
        <v>377</v>
      </c>
      <c r="F1625" t="s">
        <v>310</v>
      </c>
      <c r="G1625" t="s">
        <v>389</v>
      </c>
      <c r="H1625" t="s">
        <v>310</v>
      </c>
      <c r="I1625">
        <v>2021</v>
      </c>
      <c r="J1625" t="s">
        <v>379</v>
      </c>
      <c r="K1625" t="s">
        <v>546</v>
      </c>
      <c r="L1625" s="784">
        <v>1000017</v>
      </c>
      <c r="M1625" t="s">
        <v>745</v>
      </c>
      <c r="N1625" s="784">
        <v>1000017</v>
      </c>
      <c r="P1625" t="s">
        <v>1887</v>
      </c>
      <c r="R1625" t="s">
        <v>148</v>
      </c>
      <c r="S1625" t="s">
        <v>145</v>
      </c>
      <c r="U1625">
        <v>0</v>
      </c>
      <c r="V1625" t="s">
        <v>544</v>
      </c>
      <c r="W1625" t="s">
        <v>542</v>
      </c>
      <c r="X1625" s="784">
        <v>56248139.267255567</v>
      </c>
    </row>
    <row r="1626" spans="1:24">
      <c r="A1626" t="s">
        <v>358</v>
      </c>
      <c r="B1626" t="s">
        <v>685</v>
      </c>
      <c r="C1626" t="s">
        <v>283</v>
      </c>
      <c r="D1626" t="s">
        <v>126</v>
      </c>
      <c r="E1626" t="s">
        <v>377</v>
      </c>
      <c r="F1626" t="s">
        <v>310</v>
      </c>
      <c r="G1626" t="s">
        <v>389</v>
      </c>
      <c r="H1626" t="s">
        <v>104</v>
      </c>
      <c r="I1626">
        <v>2021</v>
      </c>
      <c r="J1626" t="s">
        <v>379</v>
      </c>
      <c r="K1626" t="s">
        <v>546</v>
      </c>
      <c r="L1626" s="784">
        <v>230000</v>
      </c>
      <c r="M1626" t="s">
        <v>745</v>
      </c>
      <c r="N1626" s="784">
        <v>230000</v>
      </c>
      <c r="P1626" t="s">
        <v>1887</v>
      </c>
      <c r="R1626" t="s">
        <v>152</v>
      </c>
      <c r="S1626" t="s">
        <v>145</v>
      </c>
      <c r="U1626">
        <v>0</v>
      </c>
      <c r="V1626" t="s">
        <v>541</v>
      </c>
      <c r="W1626" t="s">
        <v>542</v>
      </c>
      <c r="X1626" s="784">
        <v>15464031.712942109</v>
      </c>
    </row>
    <row r="1627" spans="1:24">
      <c r="A1627" t="s">
        <v>358</v>
      </c>
      <c r="B1627" t="s">
        <v>686</v>
      </c>
      <c r="C1627" t="s">
        <v>284</v>
      </c>
      <c r="D1627" t="s">
        <v>130</v>
      </c>
      <c r="E1627" t="s">
        <v>377</v>
      </c>
      <c r="F1627" t="s">
        <v>310</v>
      </c>
      <c r="G1627" t="s">
        <v>389</v>
      </c>
      <c r="H1627" t="s">
        <v>575</v>
      </c>
      <c r="I1627">
        <v>2021</v>
      </c>
      <c r="J1627" t="s">
        <v>379</v>
      </c>
      <c r="K1627" t="s">
        <v>546</v>
      </c>
      <c r="L1627" s="784" t="s">
        <v>575</v>
      </c>
      <c r="M1627" t="s">
        <v>745</v>
      </c>
      <c r="N1627" s="784" t="s">
        <v>575</v>
      </c>
      <c r="P1627" t="s">
        <v>1887</v>
      </c>
      <c r="R1627" t="s">
        <v>550</v>
      </c>
      <c r="S1627" t="s">
        <v>146</v>
      </c>
      <c r="U1627">
        <v>0</v>
      </c>
      <c r="V1627" t="s">
        <v>541</v>
      </c>
      <c r="W1627" t="s">
        <v>546</v>
      </c>
      <c r="X1627" s="784">
        <v>769564399.33249676</v>
      </c>
    </row>
    <row r="1628" spans="1:24">
      <c r="A1628" t="s">
        <v>358</v>
      </c>
      <c r="B1628" t="s">
        <v>687</v>
      </c>
      <c r="C1628" t="s">
        <v>285</v>
      </c>
      <c r="D1628" t="s">
        <v>131</v>
      </c>
      <c r="E1628" t="s">
        <v>377</v>
      </c>
      <c r="F1628" t="s">
        <v>310</v>
      </c>
      <c r="G1628" t="s">
        <v>389</v>
      </c>
      <c r="H1628" t="s">
        <v>104</v>
      </c>
      <c r="I1628">
        <v>2021</v>
      </c>
      <c r="J1628" t="s">
        <v>379</v>
      </c>
      <c r="K1628" t="s">
        <v>546</v>
      </c>
      <c r="L1628" s="784">
        <v>530082</v>
      </c>
      <c r="M1628" t="s">
        <v>745</v>
      </c>
      <c r="N1628" s="784">
        <v>530082</v>
      </c>
      <c r="P1628" t="s">
        <v>1887</v>
      </c>
      <c r="R1628" t="s">
        <v>150</v>
      </c>
      <c r="S1628" t="s">
        <v>145</v>
      </c>
      <c r="U1628">
        <v>0</v>
      </c>
      <c r="V1628" t="s">
        <v>544</v>
      </c>
      <c r="W1628" t="s">
        <v>546</v>
      </c>
      <c r="X1628" s="784">
        <v>1668954539.7630196</v>
      </c>
    </row>
    <row r="1629" spans="1:24">
      <c r="A1629" t="s">
        <v>358</v>
      </c>
      <c r="B1629" t="s">
        <v>688</v>
      </c>
      <c r="C1629" t="s">
        <v>286</v>
      </c>
      <c r="D1629" t="s">
        <v>127</v>
      </c>
      <c r="E1629" t="s">
        <v>377</v>
      </c>
      <c r="F1629" t="s">
        <v>310</v>
      </c>
      <c r="G1629" t="s">
        <v>389</v>
      </c>
      <c r="H1629" t="s">
        <v>575</v>
      </c>
      <c r="I1629">
        <v>2021</v>
      </c>
      <c r="J1629" t="s">
        <v>379</v>
      </c>
      <c r="K1629" t="s">
        <v>546</v>
      </c>
      <c r="L1629" s="784" t="s">
        <v>575</v>
      </c>
      <c r="M1629" t="s">
        <v>745</v>
      </c>
      <c r="N1629" s="784" t="s">
        <v>575</v>
      </c>
      <c r="P1629" t="s">
        <v>1887</v>
      </c>
      <c r="R1629" t="s">
        <v>152</v>
      </c>
      <c r="S1629" t="s">
        <v>146</v>
      </c>
      <c r="U1629">
        <v>0</v>
      </c>
      <c r="V1629" t="s">
        <v>544</v>
      </c>
      <c r="W1629" t="s">
        <v>575</v>
      </c>
      <c r="X1629" s="784">
        <v>24840920016.18832</v>
      </c>
    </row>
    <row r="1630" spans="1:24">
      <c r="A1630" t="s">
        <v>358</v>
      </c>
      <c r="B1630" t="s">
        <v>689</v>
      </c>
      <c r="C1630" t="s">
        <v>287</v>
      </c>
      <c r="D1630" t="s">
        <v>127</v>
      </c>
      <c r="E1630" t="s">
        <v>377</v>
      </c>
      <c r="F1630" t="s">
        <v>310</v>
      </c>
      <c r="G1630" t="s">
        <v>389</v>
      </c>
      <c r="H1630" t="s">
        <v>575</v>
      </c>
      <c r="I1630">
        <v>2021</v>
      </c>
      <c r="J1630" t="s">
        <v>379</v>
      </c>
      <c r="K1630" t="s">
        <v>546</v>
      </c>
      <c r="L1630" s="784" t="s">
        <v>575</v>
      </c>
      <c r="M1630" t="s">
        <v>745</v>
      </c>
      <c r="N1630" s="784" t="s">
        <v>575</v>
      </c>
      <c r="P1630" t="s">
        <v>1887</v>
      </c>
      <c r="R1630" t="s">
        <v>152</v>
      </c>
      <c r="S1630" t="s">
        <v>146</v>
      </c>
      <c r="U1630">
        <v>0</v>
      </c>
      <c r="V1630" t="s">
        <v>544</v>
      </c>
      <c r="W1630" t="s">
        <v>546</v>
      </c>
      <c r="X1630" s="784">
        <v>487888462.83720118</v>
      </c>
    </row>
    <row r="1631" spans="1:24">
      <c r="A1631" t="s">
        <v>358</v>
      </c>
      <c r="B1631" t="s">
        <v>690</v>
      </c>
      <c r="C1631" t="s">
        <v>288</v>
      </c>
      <c r="D1631" t="s">
        <v>126</v>
      </c>
      <c r="E1631" t="s">
        <v>377</v>
      </c>
      <c r="F1631" t="s">
        <v>310</v>
      </c>
      <c r="G1631" t="s">
        <v>389</v>
      </c>
      <c r="H1631" t="s">
        <v>104</v>
      </c>
      <c r="I1631">
        <v>2021</v>
      </c>
      <c r="J1631" t="s">
        <v>379</v>
      </c>
      <c r="K1631" t="s">
        <v>546</v>
      </c>
      <c r="L1631" s="784">
        <v>230000</v>
      </c>
      <c r="M1631" t="s">
        <v>745</v>
      </c>
      <c r="N1631" s="784">
        <v>230000</v>
      </c>
      <c r="P1631" t="s">
        <v>1887</v>
      </c>
      <c r="R1631" t="s">
        <v>152</v>
      </c>
      <c r="S1631" t="s">
        <v>145</v>
      </c>
      <c r="U1631">
        <v>0</v>
      </c>
      <c r="V1631" t="s">
        <v>541</v>
      </c>
      <c r="W1631" t="s">
        <v>548</v>
      </c>
      <c r="X1631" s="784">
        <v>6365061.1736073596</v>
      </c>
    </row>
    <row r="1632" spans="1:24">
      <c r="A1632" t="s">
        <v>358</v>
      </c>
      <c r="B1632" t="s">
        <v>691</v>
      </c>
      <c r="C1632" t="s">
        <v>289</v>
      </c>
      <c r="D1632" t="s">
        <v>128</v>
      </c>
      <c r="E1632" t="s">
        <v>377</v>
      </c>
      <c r="F1632" t="s">
        <v>310</v>
      </c>
      <c r="G1632" t="s">
        <v>389</v>
      </c>
      <c r="H1632" t="s">
        <v>310</v>
      </c>
      <c r="I1632">
        <v>2021</v>
      </c>
      <c r="J1632" t="s">
        <v>379</v>
      </c>
      <c r="K1632" t="s">
        <v>546</v>
      </c>
      <c r="L1632" s="784">
        <v>3554186</v>
      </c>
      <c r="M1632" t="s">
        <v>745</v>
      </c>
      <c r="N1632" s="784">
        <v>3554186</v>
      </c>
      <c r="P1632" t="s">
        <v>1887</v>
      </c>
      <c r="R1632" t="s">
        <v>148</v>
      </c>
      <c r="S1632" t="s">
        <v>145</v>
      </c>
      <c r="U1632">
        <v>2</v>
      </c>
      <c r="V1632" t="s">
        <v>544</v>
      </c>
      <c r="W1632" t="s">
        <v>558</v>
      </c>
      <c r="X1632" s="784">
        <v>291799092.90196139</v>
      </c>
    </row>
    <row r="1633" spans="1:24">
      <c r="A1633" t="s">
        <v>358</v>
      </c>
      <c r="B1633" t="s">
        <v>692</v>
      </c>
      <c r="C1633" t="s">
        <v>290</v>
      </c>
      <c r="D1633" t="s">
        <v>127</v>
      </c>
      <c r="E1633" t="s">
        <v>377</v>
      </c>
      <c r="F1633" t="s">
        <v>310</v>
      </c>
      <c r="G1633" t="s">
        <v>389</v>
      </c>
      <c r="H1633" t="s">
        <v>104</v>
      </c>
      <c r="I1633">
        <v>2021</v>
      </c>
      <c r="J1633" t="s">
        <v>379</v>
      </c>
      <c r="K1633" t="s">
        <v>546</v>
      </c>
      <c r="L1633" s="784">
        <v>1977835</v>
      </c>
      <c r="M1633" t="s">
        <v>745</v>
      </c>
      <c r="N1633" s="784">
        <v>1977835</v>
      </c>
      <c r="P1633" t="s">
        <v>1887</v>
      </c>
      <c r="R1633" t="s">
        <v>150</v>
      </c>
      <c r="S1633" t="s">
        <v>145</v>
      </c>
      <c r="U1633">
        <v>0</v>
      </c>
      <c r="V1633" t="s">
        <v>544</v>
      </c>
      <c r="W1633" t="s">
        <v>546</v>
      </c>
      <c r="X1633" s="784">
        <v>4844815340.2135534</v>
      </c>
    </row>
    <row r="1634" spans="1:24">
      <c r="A1634" t="s">
        <v>358</v>
      </c>
      <c r="B1634" t="s">
        <v>693</v>
      </c>
      <c r="C1634" t="s">
        <v>291</v>
      </c>
      <c r="D1634" t="s">
        <v>130</v>
      </c>
      <c r="E1634" t="s">
        <v>377</v>
      </c>
      <c r="F1634" t="s">
        <v>310</v>
      </c>
      <c r="G1634" t="s">
        <v>389</v>
      </c>
      <c r="H1634" t="s">
        <v>575</v>
      </c>
      <c r="I1634">
        <v>2021</v>
      </c>
      <c r="J1634" t="s">
        <v>379</v>
      </c>
      <c r="K1634" t="s">
        <v>546</v>
      </c>
      <c r="L1634" s="784" t="s">
        <v>575</v>
      </c>
      <c r="M1634" t="s">
        <v>745</v>
      </c>
      <c r="N1634" s="784" t="s">
        <v>575</v>
      </c>
      <c r="P1634" t="s">
        <v>1887</v>
      </c>
      <c r="R1634" t="s">
        <v>550</v>
      </c>
      <c r="S1634" t="s">
        <v>146</v>
      </c>
      <c r="U1634">
        <v>0</v>
      </c>
      <c r="V1634" t="s">
        <v>544</v>
      </c>
      <c r="W1634" t="s">
        <v>575</v>
      </c>
      <c r="X1634" s="784">
        <v>4001891446.6871672</v>
      </c>
    </row>
    <row r="1635" spans="1:24">
      <c r="A1635" t="s">
        <v>358</v>
      </c>
      <c r="B1635" t="s">
        <v>694</v>
      </c>
      <c r="C1635" t="s">
        <v>292</v>
      </c>
      <c r="D1635" t="s">
        <v>127</v>
      </c>
      <c r="E1635" t="s">
        <v>377</v>
      </c>
      <c r="F1635" t="s">
        <v>310</v>
      </c>
      <c r="G1635" t="s">
        <v>389</v>
      </c>
      <c r="H1635" t="s">
        <v>310</v>
      </c>
      <c r="I1635">
        <v>2021</v>
      </c>
      <c r="J1635" t="s">
        <v>379</v>
      </c>
      <c r="K1635" t="s">
        <v>546</v>
      </c>
      <c r="L1635" s="784">
        <v>2404057</v>
      </c>
      <c r="M1635" t="s">
        <v>745</v>
      </c>
      <c r="N1635" s="784">
        <v>2404057</v>
      </c>
      <c r="P1635" t="s">
        <v>1887</v>
      </c>
      <c r="R1635" t="s">
        <v>150</v>
      </c>
      <c r="S1635" t="s">
        <v>145</v>
      </c>
      <c r="U1635">
        <v>0</v>
      </c>
      <c r="V1635" t="s">
        <v>544</v>
      </c>
      <c r="W1635" t="s">
        <v>558</v>
      </c>
      <c r="X1635" s="784">
        <v>1019800630.5853213</v>
      </c>
    </row>
    <row r="1636" spans="1:24">
      <c r="A1636" t="s">
        <v>358</v>
      </c>
      <c r="B1636" t="s">
        <v>695</v>
      </c>
      <c r="C1636" t="s">
        <v>293</v>
      </c>
      <c r="D1636" t="s">
        <v>126</v>
      </c>
      <c r="E1636" t="s">
        <v>377</v>
      </c>
      <c r="F1636" t="s">
        <v>310</v>
      </c>
      <c r="G1636" t="s">
        <v>389</v>
      </c>
      <c r="H1636" t="s">
        <v>104</v>
      </c>
      <c r="I1636">
        <v>2021</v>
      </c>
      <c r="J1636" t="s">
        <v>379</v>
      </c>
      <c r="K1636" t="s">
        <v>546</v>
      </c>
      <c r="L1636" s="784">
        <v>230000</v>
      </c>
      <c r="M1636" t="s">
        <v>745</v>
      </c>
      <c r="N1636" s="784">
        <v>230000</v>
      </c>
      <c r="P1636" t="s">
        <v>1887</v>
      </c>
      <c r="R1636" t="s">
        <v>150</v>
      </c>
      <c r="S1636" t="s">
        <v>145</v>
      </c>
      <c r="U1636">
        <v>0</v>
      </c>
      <c r="V1636" t="s">
        <v>541</v>
      </c>
      <c r="W1636" t="s">
        <v>562</v>
      </c>
      <c r="X1636" s="784">
        <v>19578671.310841195</v>
      </c>
    </row>
    <row r="1637" spans="1:24">
      <c r="A1637" t="s">
        <v>358</v>
      </c>
      <c r="B1637" t="s">
        <v>696</v>
      </c>
      <c r="C1637" t="s">
        <v>294</v>
      </c>
      <c r="D1637" t="s">
        <v>130</v>
      </c>
      <c r="E1637" t="s">
        <v>377</v>
      </c>
      <c r="F1637" t="s">
        <v>310</v>
      </c>
      <c r="G1637" t="s">
        <v>389</v>
      </c>
      <c r="H1637" t="s">
        <v>575</v>
      </c>
      <c r="I1637">
        <v>2021</v>
      </c>
      <c r="J1637" t="s">
        <v>379</v>
      </c>
      <c r="K1637" t="s">
        <v>546</v>
      </c>
      <c r="L1637" s="784" t="s">
        <v>575</v>
      </c>
      <c r="M1637" t="s">
        <v>745</v>
      </c>
      <c r="N1637" s="784" t="s">
        <v>575</v>
      </c>
      <c r="P1637" t="s">
        <v>1887</v>
      </c>
      <c r="R1637" t="s">
        <v>322</v>
      </c>
      <c r="S1637" t="s">
        <v>146</v>
      </c>
      <c r="U1637">
        <v>0</v>
      </c>
      <c r="V1637" t="s">
        <v>544</v>
      </c>
      <c r="W1637" t="s">
        <v>546</v>
      </c>
      <c r="X1637" s="784">
        <v>3551452001.0684834</v>
      </c>
    </row>
    <row r="1638" spans="1:24">
      <c r="A1638" t="s">
        <v>358</v>
      </c>
      <c r="B1638" t="s">
        <v>697</v>
      </c>
      <c r="C1638" t="s">
        <v>295</v>
      </c>
      <c r="D1638" t="s">
        <v>126</v>
      </c>
      <c r="E1638" t="s">
        <v>377</v>
      </c>
      <c r="F1638" t="s">
        <v>310</v>
      </c>
      <c r="G1638" t="s">
        <v>389</v>
      </c>
      <c r="H1638" t="s">
        <v>310</v>
      </c>
      <c r="I1638">
        <v>2021</v>
      </c>
      <c r="J1638" t="s">
        <v>379</v>
      </c>
      <c r="K1638" t="s">
        <v>546</v>
      </c>
      <c r="L1638" s="784">
        <v>3000000</v>
      </c>
      <c r="M1638" t="s">
        <v>745</v>
      </c>
      <c r="N1638" s="784">
        <v>1172197</v>
      </c>
      <c r="P1638" t="s">
        <v>1887</v>
      </c>
      <c r="R1638" t="s">
        <v>150</v>
      </c>
      <c r="S1638" t="s">
        <v>145</v>
      </c>
      <c r="U1638">
        <v>0</v>
      </c>
      <c r="V1638" t="s">
        <v>544</v>
      </c>
      <c r="W1638" t="s">
        <v>546</v>
      </c>
      <c r="X1638" s="784">
        <v>6603048821.7575006</v>
      </c>
    </row>
    <row r="1639" spans="1:24">
      <c r="A1639" t="s">
        <v>358</v>
      </c>
      <c r="B1639" t="s">
        <v>698</v>
      </c>
      <c r="C1639" t="s">
        <v>296</v>
      </c>
      <c r="D1639" t="s">
        <v>131</v>
      </c>
      <c r="E1639" t="s">
        <v>377</v>
      </c>
      <c r="F1639" t="s">
        <v>310</v>
      </c>
      <c r="G1639" t="s">
        <v>389</v>
      </c>
      <c r="H1639" t="s">
        <v>310</v>
      </c>
      <c r="I1639">
        <v>2021</v>
      </c>
      <c r="J1639" t="s">
        <v>379</v>
      </c>
      <c r="K1639" t="s">
        <v>546</v>
      </c>
      <c r="L1639" s="784">
        <v>4283509</v>
      </c>
      <c r="M1639" t="s">
        <v>745</v>
      </c>
      <c r="N1639" s="784">
        <v>4283508</v>
      </c>
      <c r="P1639" t="s">
        <v>1887</v>
      </c>
      <c r="R1639" t="s">
        <v>148</v>
      </c>
      <c r="S1639" t="s">
        <v>145</v>
      </c>
      <c r="U1639">
        <v>1</v>
      </c>
      <c r="V1639" t="s">
        <v>544</v>
      </c>
      <c r="W1639" t="s">
        <v>548</v>
      </c>
      <c r="X1639" s="784" t="s">
        <v>575</v>
      </c>
    </row>
    <row r="1640" spans="1:24">
      <c r="A1640" t="s">
        <v>358</v>
      </c>
      <c r="B1640" t="s">
        <v>699</v>
      </c>
      <c r="C1640" t="s">
        <v>297</v>
      </c>
      <c r="D1640" t="s">
        <v>128</v>
      </c>
      <c r="E1640" t="s">
        <v>377</v>
      </c>
      <c r="F1640" t="s">
        <v>310</v>
      </c>
      <c r="G1640" t="s">
        <v>389</v>
      </c>
      <c r="H1640" t="s">
        <v>310</v>
      </c>
      <c r="I1640">
        <v>2021</v>
      </c>
      <c r="J1640" t="s">
        <v>379</v>
      </c>
      <c r="K1640" t="s">
        <v>546</v>
      </c>
      <c r="L1640" s="784">
        <v>1920838</v>
      </c>
      <c r="M1640" t="s">
        <v>745</v>
      </c>
      <c r="N1640" s="784">
        <v>1920838</v>
      </c>
      <c r="P1640" t="s">
        <v>1887</v>
      </c>
      <c r="R1640" t="s">
        <v>150</v>
      </c>
      <c r="S1640" t="s">
        <v>145</v>
      </c>
      <c r="U1640">
        <v>0</v>
      </c>
      <c r="V1640" t="s">
        <v>544</v>
      </c>
      <c r="W1640" t="s">
        <v>542</v>
      </c>
      <c r="X1640" s="784">
        <v>515352723.9821828</v>
      </c>
    </row>
    <row r="1641" spans="1:24">
      <c r="A1641" t="s">
        <v>358</v>
      </c>
      <c r="B1641" t="s">
        <v>700</v>
      </c>
      <c r="C1641" t="s">
        <v>298</v>
      </c>
      <c r="D1641" t="s">
        <v>128</v>
      </c>
      <c r="E1641" t="s">
        <v>377</v>
      </c>
      <c r="F1641" t="s">
        <v>310</v>
      </c>
      <c r="G1641" t="s">
        <v>389</v>
      </c>
      <c r="H1641" t="s">
        <v>310</v>
      </c>
      <c r="I1641">
        <v>2021</v>
      </c>
      <c r="J1641" t="s">
        <v>379</v>
      </c>
      <c r="K1641" t="s">
        <v>546</v>
      </c>
      <c r="L1641" s="784">
        <v>1388818</v>
      </c>
      <c r="M1641" t="s">
        <v>745</v>
      </c>
      <c r="N1641" s="784">
        <v>1388818</v>
      </c>
      <c r="P1641" t="s">
        <v>1887</v>
      </c>
      <c r="R1641" t="s">
        <v>150</v>
      </c>
      <c r="S1641" t="s">
        <v>145</v>
      </c>
      <c r="U1641">
        <v>0</v>
      </c>
      <c r="V1641" t="s">
        <v>544</v>
      </c>
      <c r="W1641" t="s">
        <v>546</v>
      </c>
      <c r="X1641" s="784">
        <v>566711742.22428358</v>
      </c>
    </row>
    <row r="1642" spans="1:24">
      <c r="A1642" t="s">
        <v>358</v>
      </c>
      <c r="B1642" t="s">
        <v>540</v>
      </c>
      <c r="C1642" t="s">
        <v>160</v>
      </c>
      <c r="D1642" t="s">
        <v>132</v>
      </c>
      <c r="E1642" t="s">
        <v>377</v>
      </c>
      <c r="F1642" t="s">
        <v>310</v>
      </c>
      <c r="G1642" t="s">
        <v>343</v>
      </c>
      <c r="H1642" t="s">
        <v>111</v>
      </c>
      <c r="I1642">
        <v>2021</v>
      </c>
      <c r="J1642" t="s">
        <v>379</v>
      </c>
      <c r="K1642" t="s">
        <v>546</v>
      </c>
      <c r="L1642" s="784">
        <v>502703</v>
      </c>
      <c r="M1642" t="s">
        <v>745</v>
      </c>
      <c r="P1642" t="s">
        <v>1887</v>
      </c>
      <c r="R1642" t="s">
        <v>148</v>
      </c>
      <c r="S1642" t="s">
        <v>145</v>
      </c>
      <c r="U1642">
        <v>1</v>
      </c>
      <c r="V1642" t="s">
        <v>544</v>
      </c>
      <c r="W1642" t="s">
        <v>542</v>
      </c>
      <c r="X1642" s="784">
        <v>95829480.719269618</v>
      </c>
    </row>
    <row r="1643" spans="1:24">
      <c r="A1643" t="s">
        <v>358</v>
      </c>
      <c r="B1643" t="s">
        <v>543</v>
      </c>
      <c r="C1643" t="s">
        <v>161</v>
      </c>
      <c r="D1643" t="s">
        <v>127</v>
      </c>
      <c r="E1643" t="s">
        <v>377</v>
      </c>
      <c r="F1643" t="s">
        <v>310</v>
      </c>
      <c r="G1643" t="s">
        <v>343</v>
      </c>
      <c r="H1643" t="s">
        <v>111</v>
      </c>
      <c r="I1643">
        <v>2021</v>
      </c>
      <c r="J1643" t="s">
        <v>379</v>
      </c>
      <c r="K1643" t="s">
        <v>546</v>
      </c>
      <c r="L1643" s="784">
        <v>0</v>
      </c>
      <c r="M1643" t="s">
        <v>745</v>
      </c>
      <c r="P1643" t="s">
        <v>1887</v>
      </c>
      <c r="R1643" t="s">
        <v>152</v>
      </c>
      <c r="S1643" t="s">
        <v>146</v>
      </c>
      <c r="U1643">
        <v>0</v>
      </c>
      <c r="V1643" t="s">
        <v>544</v>
      </c>
      <c r="W1643" t="s">
        <v>575</v>
      </c>
      <c r="X1643" s="784">
        <v>427904035.52443534</v>
      </c>
    </row>
    <row r="1644" spans="1:24">
      <c r="A1644" t="s">
        <v>358</v>
      </c>
      <c r="B1644" t="s">
        <v>545</v>
      </c>
      <c r="C1644" t="s">
        <v>143</v>
      </c>
      <c r="D1644" t="s">
        <v>131</v>
      </c>
      <c r="E1644" t="s">
        <v>377</v>
      </c>
      <c r="F1644" t="s">
        <v>310</v>
      </c>
      <c r="G1644" t="s">
        <v>343</v>
      </c>
      <c r="H1644" t="s">
        <v>111</v>
      </c>
      <c r="I1644">
        <v>2021</v>
      </c>
      <c r="J1644" t="s">
        <v>379</v>
      </c>
      <c r="K1644" t="s">
        <v>546</v>
      </c>
      <c r="L1644" s="784">
        <v>33499.5</v>
      </c>
      <c r="M1644" t="s">
        <v>745</v>
      </c>
      <c r="P1644" t="s">
        <v>1887</v>
      </c>
      <c r="R1644" t="s">
        <v>150</v>
      </c>
      <c r="S1644" t="s">
        <v>145</v>
      </c>
      <c r="U1644">
        <v>0</v>
      </c>
      <c r="V1644" t="s">
        <v>544</v>
      </c>
      <c r="W1644" t="s">
        <v>546</v>
      </c>
      <c r="X1644" s="784">
        <v>7113361022.7267885</v>
      </c>
    </row>
    <row r="1645" spans="1:24">
      <c r="A1645" t="s">
        <v>358</v>
      </c>
      <c r="B1645" t="s">
        <v>547</v>
      </c>
      <c r="C1645" t="s">
        <v>162</v>
      </c>
      <c r="D1645" t="s">
        <v>128</v>
      </c>
      <c r="E1645" t="s">
        <v>377</v>
      </c>
      <c r="F1645" t="s">
        <v>310</v>
      </c>
      <c r="G1645" t="s">
        <v>343</v>
      </c>
      <c r="H1645" t="s">
        <v>111</v>
      </c>
      <c r="I1645">
        <v>2021</v>
      </c>
      <c r="J1645" t="s">
        <v>379</v>
      </c>
      <c r="K1645" t="s">
        <v>546</v>
      </c>
      <c r="L1645" s="784">
        <v>29999.59</v>
      </c>
      <c r="M1645" t="s">
        <v>745</v>
      </c>
      <c r="P1645" t="s">
        <v>1887</v>
      </c>
      <c r="R1645" t="s">
        <v>150</v>
      </c>
      <c r="S1645" t="s">
        <v>145</v>
      </c>
      <c r="U1645">
        <v>0</v>
      </c>
      <c r="V1645" t="s">
        <v>544</v>
      </c>
      <c r="W1645" t="s">
        <v>548</v>
      </c>
      <c r="X1645" s="784">
        <v>1131865946.5875781</v>
      </c>
    </row>
    <row r="1646" spans="1:24">
      <c r="A1646" t="s">
        <v>358</v>
      </c>
      <c r="B1646" t="s">
        <v>549</v>
      </c>
      <c r="C1646" t="s">
        <v>163</v>
      </c>
      <c r="D1646" t="s">
        <v>130</v>
      </c>
      <c r="E1646" t="s">
        <v>377</v>
      </c>
      <c r="F1646" t="s">
        <v>310</v>
      </c>
      <c r="G1646" t="s">
        <v>343</v>
      </c>
      <c r="H1646" t="s">
        <v>111</v>
      </c>
      <c r="I1646">
        <v>2021</v>
      </c>
      <c r="J1646" t="s">
        <v>379</v>
      </c>
      <c r="K1646" t="s">
        <v>546</v>
      </c>
      <c r="L1646" s="784">
        <v>0</v>
      </c>
      <c r="M1646" t="s">
        <v>745</v>
      </c>
      <c r="P1646" t="s">
        <v>1887</v>
      </c>
      <c r="R1646" t="s">
        <v>550</v>
      </c>
      <c r="S1646" t="s">
        <v>146</v>
      </c>
      <c r="U1646">
        <v>0</v>
      </c>
      <c r="V1646" t="s">
        <v>541</v>
      </c>
      <c r="W1646" t="s">
        <v>575</v>
      </c>
      <c r="X1646" s="784">
        <v>46777779.823447868</v>
      </c>
    </row>
    <row r="1647" spans="1:24">
      <c r="A1647" t="s">
        <v>358</v>
      </c>
      <c r="B1647" t="s">
        <v>551</v>
      </c>
      <c r="C1647" t="s">
        <v>164</v>
      </c>
      <c r="D1647" t="s">
        <v>130</v>
      </c>
      <c r="E1647" t="s">
        <v>377</v>
      </c>
      <c r="F1647" t="s">
        <v>310</v>
      </c>
      <c r="G1647" t="s">
        <v>343</v>
      </c>
      <c r="H1647" t="s">
        <v>111</v>
      </c>
      <c r="I1647">
        <v>2021</v>
      </c>
      <c r="J1647" t="s">
        <v>379</v>
      </c>
      <c r="K1647" t="s">
        <v>546</v>
      </c>
      <c r="L1647" s="784">
        <v>0</v>
      </c>
      <c r="M1647" t="s">
        <v>745</v>
      </c>
      <c r="P1647" t="s">
        <v>1887</v>
      </c>
      <c r="R1647" t="s">
        <v>152</v>
      </c>
      <c r="S1647" t="s">
        <v>146</v>
      </c>
      <c r="U1647">
        <v>0</v>
      </c>
      <c r="V1647" t="s">
        <v>544</v>
      </c>
      <c r="W1647" t="s">
        <v>575</v>
      </c>
      <c r="X1647" s="784">
        <v>30725305777.596794</v>
      </c>
    </row>
    <row r="1648" spans="1:24">
      <c r="A1648" t="s">
        <v>358</v>
      </c>
      <c r="B1648" t="s">
        <v>553</v>
      </c>
      <c r="C1648" t="s">
        <v>165</v>
      </c>
      <c r="D1648" t="s">
        <v>127</v>
      </c>
      <c r="E1648" t="s">
        <v>377</v>
      </c>
      <c r="F1648" t="s">
        <v>310</v>
      </c>
      <c r="G1648" t="s">
        <v>343</v>
      </c>
      <c r="H1648" t="s">
        <v>111</v>
      </c>
      <c r="I1648">
        <v>2021</v>
      </c>
      <c r="J1648" t="s">
        <v>379</v>
      </c>
      <c r="K1648" t="s">
        <v>546</v>
      </c>
      <c r="L1648" s="784">
        <v>0</v>
      </c>
      <c r="M1648" t="s">
        <v>745</v>
      </c>
      <c r="P1648" t="s">
        <v>1887</v>
      </c>
      <c r="R1648" t="s">
        <v>152</v>
      </c>
      <c r="S1648" t="s">
        <v>146</v>
      </c>
      <c r="U1648">
        <v>0</v>
      </c>
      <c r="V1648" t="s">
        <v>544</v>
      </c>
      <c r="W1648" t="s">
        <v>575</v>
      </c>
      <c r="X1648" s="784">
        <v>153815827.8380394</v>
      </c>
    </row>
    <row r="1649" spans="1:24">
      <c r="A1649" t="s">
        <v>358</v>
      </c>
      <c r="B1649" t="s">
        <v>554</v>
      </c>
      <c r="C1649" t="s">
        <v>166</v>
      </c>
      <c r="D1649" t="s">
        <v>127</v>
      </c>
      <c r="E1649" t="s">
        <v>377</v>
      </c>
      <c r="F1649" t="s">
        <v>310</v>
      </c>
      <c r="G1649" t="s">
        <v>343</v>
      </c>
      <c r="H1649" t="s">
        <v>111</v>
      </c>
      <c r="I1649">
        <v>2021</v>
      </c>
      <c r="J1649" t="s">
        <v>379</v>
      </c>
      <c r="K1649" t="s">
        <v>546</v>
      </c>
      <c r="L1649" s="784">
        <v>0</v>
      </c>
      <c r="M1649" t="s">
        <v>745</v>
      </c>
      <c r="P1649" t="s">
        <v>1887</v>
      </c>
      <c r="R1649" t="s">
        <v>152</v>
      </c>
      <c r="S1649" t="s">
        <v>146</v>
      </c>
      <c r="U1649">
        <v>0</v>
      </c>
      <c r="V1649" t="s">
        <v>544</v>
      </c>
      <c r="W1649" t="s">
        <v>546</v>
      </c>
      <c r="X1649" s="784">
        <v>437525105.31216973</v>
      </c>
    </row>
    <row r="1650" spans="1:24">
      <c r="A1650" t="s">
        <v>358</v>
      </c>
      <c r="B1650" t="s">
        <v>555</v>
      </c>
      <c r="C1650" t="s">
        <v>556</v>
      </c>
      <c r="D1650" t="s">
        <v>130</v>
      </c>
      <c r="E1650" t="s">
        <v>377</v>
      </c>
      <c r="F1650" t="s">
        <v>310</v>
      </c>
      <c r="G1650" t="s">
        <v>343</v>
      </c>
      <c r="H1650" t="s">
        <v>111</v>
      </c>
      <c r="I1650">
        <v>2021</v>
      </c>
      <c r="J1650" t="s">
        <v>379</v>
      </c>
      <c r="K1650" t="s">
        <v>546</v>
      </c>
      <c r="L1650" s="784">
        <v>0</v>
      </c>
      <c r="M1650" t="s">
        <v>745</v>
      </c>
      <c r="P1650" t="s">
        <v>1887</v>
      </c>
      <c r="R1650" t="s">
        <v>550</v>
      </c>
      <c r="S1650" t="s">
        <v>146</v>
      </c>
      <c r="U1650">
        <v>0</v>
      </c>
      <c r="V1650" t="s">
        <v>541</v>
      </c>
      <c r="W1650" t="s">
        <v>575</v>
      </c>
      <c r="X1650" s="784">
        <v>149463302.00602186</v>
      </c>
    </row>
    <row r="1651" spans="1:24">
      <c r="A1651" t="s">
        <v>358</v>
      </c>
      <c r="B1651" t="s">
        <v>557</v>
      </c>
      <c r="C1651" t="s">
        <v>167</v>
      </c>
      <c r="D1651" t="s">
        <v>132</v>
      </c>
      <c r="E1651" t="s">
        <v>377</v>
      </c>
      <c r="F1651" t="s">
        <v>310</v>
      </c>
      <c r="G1651" t="s">
        <v>343</v>
      </c>
      <c r="H1651" t="s">
        <v>111</v>
      </c>
      <c r="I1651">
        <v>2021</v>
      </c>
      <c r="J1651" t="s">
        <v>379</v>
      </c>
      <c r="K1651" t="s">
        <v>546</v>
      </c>
      <c r="L1651" s="784">
        <v>389427</v>
      </c>
      <c r="M1651" t="s">
        <v>745</v>
      </c>
      <c r="P1651" t="s">
        <v>1887</v>
      </c>
      <c r="R1651" t="s">
        <v>150</v>
      </c>
      <c r="S1651" t="s">
        <v>145</v>
      </c>
      <c r="U1651">
        <v>0</v>
      </c>
      <c r="V1651" t="s">
        <v>544</v>
      </c>
      <c r="W1651" t="s">
        <v>558</v>
      </c>
      <c r="X1651" s="784">
        <v>1148322593.9600098</v>
      </c>
    </row>
    <row r="1652" spans="1:24">
      <c r="A1652" t="s">
        <v>358</v>
      </c>
      <c r="B1652" t="s">
        <v>559</v>
      </c>
      <c r="C1652" t="s">
        <v>168</v>
      </c>
      <c r="D1652" t="s">
        <v>127</v>
      </c>
      <c r="E1652" t="s">
        <v>377</v>
      </c>
      <c r="F1652" t="s">
        <v>310</v>
      </c>
      <c r="G1652" t="s">
        <v>343</v>
      </c>
      <c r="H1652" t="s">
        <v>111</v>
      </c>
      <c r="I1652">
        <v>2021</v>
      </c>
      <c r="J1652" t="s">
        <v>379</v>
      </c>
      <c r="K1652" t="s">
        <v>546</v>
      </c>
      <c r="L1652" s="784">
        <v>0</v>
      </c>
      <c r="M1652" t="s">
        <v>745</v>
      </c>
      <c r="P1652" t="s">
        <v>1887</v>
      </c>
      <c r="R1652" t="s">
        <v>152</v>
      </c>
      <c r="S1652" t="s">
        <v>146</v>
      </c>
      <c r="U1652">
        <v>0</v>
      </c>
      <c r="V1652" t="s">
        <v>544</v>
      </c>
      <c r="W1652" t="s">
        <v>575</v>
      </c>
      <c r="X1652" s="784">
        <v>2371102058.1093163</v>
      </c>
    </row>
    <row r="1653" spans="1:24">
      <c r="A1653" t="s">
        <v>358</v>
      </c>
      <c r="B1653" t="s">
        <v>560</v>
      </c>
      <c r="C1653" t="s">
        <v>169</v>
      </c>
      <c r="D1653" t="s">
        <v>130</v>
      </c>
      <c r="E1653" t="s">
        <v>377</v>
      </c>
      <c r="F1653" t="s">
        <v>310</v>
      </c>
      <c r="G1653" t="s">
        <v>343</v>
      </c>
      <c r="H1653" t="s">
        <v>111</v>
      </c>
      <c r="I1653">
        <v>2021</v>
      </c>
      <c r="J1653" t="s">
        <v>379</v>
      </c>
      <c r="K1653" t="s">
        <v>546</v>
      </c>
      <c r="L1653" s="784">
        <v>0</v>
      </c>
      <c r="M1653" t="s">
        <v>745</v>
      </c>
      <c r="P1653" t="s">
        <v>1887</v>
      </c>
      <c r="R1653" t="s">
        <v>150</v>
      </c>
      <c r="S1653" t="s">
        <v>146</v>
      </c>
      <c r="U1653">
        <v>0</v>
      </c>
      <c r="V1653" t="s">
        <v>541</v>
      </c>
      <c r="W1653" t="s">
        <v>546</v>
      </c>
      <c r="X1653" s="784">
        <v>75151620.005215243</v>
      </c>
    </row>
    <row r="1654" spans="1:24">
      <c r="A1654" t="s">
        <v>358</v>
      </c>
      <c r="B1654" t="s">
        <v>561</v>
      </c>
      <c r="C1654" t="s">
        <v>170</v>
      </c>
      <c r="D1654" t="s">
        <v>129</v>
      </c>
      <c r="E1654" t="s">
        <v>377</v>
      </c>
      <c r="F1654" t="s">
        <v>310</v>
      </c>
      <c r="G1654" t="s">
        <v>343</v>
      </c>
      <c r="H1654" t="s">
        <v>111</v>
      </c>
      <c r="I1654">
        <v>2021</v>
      </c>
      <c r="J1654" t="s">
        <v>379</v>
      </c>
      <c r="K1654" t="s">
        <v>546</v>
      </c>
      <c r="L1654" s="784">
        <v>142437</v>
      </c>
      <c r="M1654" t="s">
        <v>745</v>
      </c>
      <c r="P1654" t="s">
        <v>1887</v>
      </c>
      <c r="R1654" t="s">
        <v>150</v>
      </c>
      <c r="S1654" t="s">
        <v>145</v>
      </c>
      <c r="U1654">
        <v>0</v>
      </c>
      <c r="V1654" t="s">
        <v>544</v>
      </c>
      <c r="W1654" t="s">
        <v>562</v>
      </c>
      <c r="X1654" s="784">
        <v>69958487.197715744</v>
      </c>
    </row>
    <row r="1655" spans="1:24">
      <c r="A1655" t="s">
        <v>358</v>
      </c>
      <c r="B1655" t="s">
        <v>563</v>
      </c>
      <c r="C1655" t="s">
        <v>171</v>
      </c>
      <c r="D1655" t="s">
        <v>132</v>
      </c>
      <c r="E1655" t="s">
        <v>377</v>
      </c>
      <c r="F1655" t="s">
        <v>310</v>
      </c>
      <c r="G1655" t="s">
        <v>343</v>
      </c>
      <c r="H1655" t="s">
        <v>111</v>
      </c>
      <c r="I1655">
        <v>2021</v>
      </c>
      <c r="J1655" t="s">
        <v>379</v>
      </c>
      <c r="K1655" t="s">
        <v>546</v>
      </c>
      <c r="L1655" s="784">
        <v>40000</v>
      </c>
      <c r="M1655" t="s">
        <v>745</v>
      </c>
      <c r="P1655" t="s">
        <v>1887</v>
      </c>
      <c r="R1655" t="s">
        <v>150</v>
      </c>
      <c r="S1655" t="s">
        <v>145</v>
      </c>
      <c r="U1655">
        <v>0</v>
      </c>
      <c r="V1655" t="s">
        <v>544</v>
      </c>
      <c r="W1655" t="s">
        <v>548</v>
      </c>
      <c r="X1655" s="784">
        <v>61654608.560629159</v>
      </c>
    </row>
    <row r="1656" spans="1:24">
      <c r="A1656" t="s">
        <v>358</v>
      </c>
      <c r="B1656" t="s">
        <v>564</v>
      </c>
      <c r="C1656" t="s">
        <v>172</v>
      </c>
      <c r="D1656" t="s">
        <v>130</v>
      </c>
      <c r="E1656" t="s">
        <v>377</v>
      </c>
      <c r="F1656" t="s">
        <v>310</v>
      </c>
      <c r="G1656" t="s">
        <v>343</v>
      </c>
      <c r="H1656" t="s">
        <v>111</v>
      </c>
      <c r="I1656">
        <v>2021</v>
      </c>
      <c r="J1656" t="s">
        <v>379</v>
      </c>
      <c r="K1656" t="s">
        <v>546</v>
      </c>
      <c r="L1656" s="784">
        <v>100000</v>
      </c>
      <c r="M1656" t="s">
        <v>745</v>
      </c>
      <c r="P1656" t="s">
        <v>1887</v>
      </c>
      <c r="R1656" t="s">
        <v>150</v>
      </c>
      <c r="S1656" t="s">
        <v>145</v>
      </c>
      <c r="U1656">
        <v>0</v>
      </c>
      <c r="V1656" t="s">
        <v>544</v>
      </c>
      <c r="W1656" t="s">
        <v>546</v>
      </c>
      <c r="X1656" s="784">
        <v>1806638707.7615163</v>
      </c>
    </row>
    <row r="1657" spans="1:24">
      <c r="A1657" t="s">
        <v>358</v>
      </c>
      <c r="B1657" t="s">
        <v>565</v>
      </c>
      <c r="C1657" t="s">
        <v>174</v>
      </c>
      <c r="D1657" t="s">
        <v>127</v>
      </c>
      <c r="E1657" t="s">
        <v>377</v>
      </c>
      <c r="F1657" t="s">
        <v>310</v>
      </c>
      <c r="G1657" t="s">
        <v>343</v>
      </c>
      <c r="H1657" t="s">
        <v>111</v>
      </c>
      <c r="I1657">
        <v>2021</v>
      </c>
      <c r="J1657" t="s">
        <v>379</v>
      </c>
      <c r="K1657" t="s">
        <v>546</v>
      </c>
      <c r="L1657" s="784">
        <v>0</v>
      </c>
      <c r="M1657" t="s">
        <v>745</v>
      </c>
      <c r="P1657" t="s">
        <v>1887</v>
      </c>
      <c r="R1657" t="s">
        <v>152</v>
      </c>
      <c r="S1657" t="s">
        <v>146</v>
      </c>
      <c r="U1657">
        <v>0</v>
      </c>
      <c r="V1657" t="s">
        <v>544</v>
      </c>
      <c r="W1657" t="s">
        <v>546</v>
      </c>
      <c r="X1657" s="784">
        <v>1252696525.0627904</v>
      </c>
    </row>
    <row r="1658" spans="1:24">
      <c r="A1658" t="s">
        <v>358</v>
      </c>
      <c r="B1658" t="s">
        <v>566</v>
      </c>
      <c r="C1658" t="s">
        <v>175</v>
      </c>
      <c r="D1658" t="s">
        <v>128</v>
      </c>
      <c r="E1658" t="s">
        <v>377</v>
      </c>
      <c r="F1658" t="s">
        <v>310</v>
      </c>
      <c r="G1658" t="s">
        <v>343</v>
      </c>
      <c r="H1658" t="s">
        <v>111</v>
      </c>
      <c r="I1658">
        <v>2021</v>
      </c>
      <c r="J1658" t="s">
        <v>379</v>
      </c>
      <c r="K1658" t="s">
        <v>546</v>
      </c>
      <c r="L1658" s="784">
        <v>0</v>
      </c>
      <c r="M1658" t="s">
        <v>745</v>
      </c>
      <c r="P1658" t="s">
        <v>1887</v>
      </c>
      <c r="R1658" t="s">
        <v>152</v>
      </c>
      <c r="S1658" t="s">
        <v>146</v>
      </c>
      <c r="U1658">
        <v>0</v>
      </c>
      <c r="V1658" t="s">
        <v>544</v>
      </c>
      <c r="W1658" t="s">
        <v>575</v>
      </c>
      <c r="X1658" s="784">
        <v>843425084.07334602</v>
      </c>
    </row>
    <row r="1659" spans="1:24">
      <c r="A1659" t="s">
        <v>358</v>
      </c>
      <c r="B1659" t="s">
        <v>567</v>
      </c>
      <c r="C1659" t="s">
        <v>144</v>
      </c>
      <c r="D1659" t="s">
        <v>130</v>
      </c>
      <c r="E1659" t="s">
        <v>377</v>
      </c>
      <c r="F1659" t="s">
        <v>310</v>
      </c>
      <c r="G1659" t="s">
        <v>343</v>
      </c>
      <c r="H1659" t="s">
        <v>111</v>
      </c>
      <c r="I1659">
        <v>2021</v>
      </c>
      <c r="J1659" t="s">
        <v>379</v>
      </c>
      <c r="K1659" t="s">
        <v>546</v>
      </c>
      <c r="L1659" s="784">
        <v>0</v>
      </c>
      <c r="M1659" t="s">
        <v>745</v>
      </c>
      <c r="P1659" t="s">
        <v>1887</v>
      </c>
      <c r="R1659" t="s">
        <v>152</v>
      </c>
      <c r="S1659" t="s">
        <v>146</v>
      </c>
      <c r="U1659">
        <v>0</v>
      </c>
      <c r="V1659" t="s">
        <v>544</v>
      </c>
      <c r="W1659" t="s">
        <v>546</v>
      </c>
      <c r="X1659" s="784">
        <v>74055620038.853683</v>
      </c>
    </row>
    <row r="1660" spans="1:24">
      <c r="A1660" t="s">
        <v>358</v>
      </c>
      <c r="B1660" t="s">
        <v>568</v>
      </c>
      <c r="C1660" t="s">
        <v>176</v>
      </c>
      <c r="D1660" t="s">
        <v>127</v>
      </c>
      <c r="E1660" t="s">
        <v>377</v>
      </c>
      <c r="F1660" t="s">
        <v>310</v>
      </c>
      <c r="G1660" t="s">
        <v>343</v>
      </c>
      <c r="H1660" t="s">
        <v>111</v>
      </c>
      <c r="I1660">
        <v>2021</v>
      </c>
      <c r="J1660" t="s">
        <v>379</v>
      </c>
      <c r="K1660" t="s">
        <v>546</v>
      </c>
      <c r="L1660" s="784">
        <v>0</v>
      </c>
      <c r="M1660" t="s">
        <v>745</v>
      </c>
      <c r="P1660" t="s">
        <v>1887</v>
      </c>
      <c r="R1660" t="s">
        <v>152</v>
      </c>
      <c r="S1660" t="s">
        <v>146</v>
      </c>
      <c r="U1660">
        <v>0</v>
      </c>
      <c r="V1660" t="s">
        <v>544</v>
      </c>
      <c r="W1660" t="s">
        <v>575</v>
      </c>
      <c r="X1660" s="784">
        <v>2803357765.5888777</v>
      </c>
    </row>
    <row r="1661" spans="1:24">
      <c r="A1661" t="s">
        <v>358</v>
      </c>
      <c r="B1661" t="s">
        <v>569</v>
      </c>
      <c r="C1661" t="s">
        <v>177</v>
      </c>
      <c r="D1661" t="s">
        <v>129</v>
      </c>
      <c r="E1661" t="s">
        <v>377</v>
      </c>
      <c r="F1661" t="s">
        <v>310</v>
      </c>
      <c r="G1661" t="s">
        <v>343</v>
      </c>
      <c r="H1661" t="s">
        <v>111</v>
      </c>
      <c r="I1661">
        <v>2021</v>
      </c>
      <c r="J1661" t="s">
        <v>379</v>
      </c>
      <c r="K1661" t="s">
        <v>546</v>
      </c>
      <c r="L1661" s="784">
        <v>398040</v>
      </c>
      <c r="M1661" t="s">
        <v>745</v>
      </c>
      <c r="P1661" t="s">
        <v>1887</v>
      </c>
      <c r="R1661" t="s">
        <v>148</v>
      </c>
      <c r="S1661" t="s">
        <v>145</v>
      </c>
      <c r="U1661">
        <v>2</v>
      </c>
      <c r="V1661" t="s">
        <v>544</v>
      </c>
      <c r="W1661" t="s">
        <v>562</v>
      </c>
      <c r="X1661" s="784">
        <v>337927779.25510043</v>
      </c>
    </row>
    <row r="1662" spans="1:24">
      <c r="A1662" t="s">
        <v>358</v>
      </c>
      <c r="B1662" t="s">
        <v>570</v>
      </c>
      <c r="C1662" t="s">
        <v>178</v>
      </c>
      <c r="D1662" t="s">
        <v>128</v>
      </c>
      <c r="E1662" t="s">
        <v>377</v>
      </c>
      <c r="F1662" t="s">
        <v>310</v>
      </c>
      <c r="G1662" t="s">
        <v>343</v>
      </c>
      <c r="H1662" t="s">
        <v>111</v>
      </c>
      <c r="I1662">
        <v>2021</v>
      </c>
      <c r="J1662" t="s">
        <v>379</v>
      </c>
      <c r="K1662" t="s">
        <v>546</v>
      </c>
      <c r="L1662" s="784">
        <v>185859</v>
      </c>
      <c r="M1662" t="s">
        <v>745</v>
      </c>
      <c r="P1662" t="s">
        <v>1887</v>
      </c>
      <c r="R1662" t="s">
        <v>148</v>
      </c>
      <c r="S1662" t="s">
        <v>145</v>
      </c>
      <c r="U1662">
        <v>2</v>
      </c>
      <c r="V1662" t="s">
        <v>544</v>
      </c>
      <c r="W1662" t="s">
        <v>548</v>
      </c>
      <c r="X1662" s="784">
        <v>65979512.47399316</v>
      </c>
    </row>
    <row r="1663" spans="1:24">
      <c r="A1663" t="s">
        <v>358</v>
      </c>
      <c r="B1663" t="s">
        <v>571</v>
      </c>
      <c r="C1663" t="s">
        <v>179</v>
      </c>
      <c r="D1663" t="s">
        <v>129</v>
      </c>
      <c r="E1663" t="s">
        <v>377</v>
      </c>
      <c r="F1663" t="s">
        <v>310</v>
      </c>
      <c r="G1663" t="s">
        <v>343</v>
      </c>
      <c r="H1663" t="s">
        <v>111</v>
      </c>
      <c r="I1663">
        <v>2021</v>
      </c>
      <c r="J1663" t="s">
        <v>379</v>
      </c>
      <c r="K1663" t="s">
        <v>546</v>
      </c>
      <c r="L1663" s="784">
        <v>104999.54000000001</v>
      </c>
      <c r="M1663" t="s">
        <v>745</v>
      </c>
      <c r="P1663" t="s">
        <v>1887</v>
      </c>
      <c r="R1663" t="s">
        <v>150</v>
      </c>
      <c r="S1663" t="s">
        <v>145</v>
      </c>
      <c r="U1663">
        <v>0</v>
      </c>
      <c r="V1663" t="s">
        <v>541</v>
      </c>
      <c r="W1663" t="s">
        <v>542</v>
      </c>
      <c r="X1663" s="784">
        <v>63748362.778827004</v>
      </c>
    </row>
    <row r="1664" spans="1:24">
      <c r="A1664" t="s">
        <v>358</v>
      </c>
      <c r="B1664" t="s">
        <v>572</v>
      </c>
      <c r="C1664" t="s">
        <v>180</v>
      </c>
      <c r="D1664" t="s">
        <v>126</v>
      </c>
      <c r="E1664" t="s">
        <v>377</v>
      </c>
      <c r="F1664" t="s">
        <v>310</v>
      </c>
      <c r="G1664" t="s">
        <v>343</v>
      </c>
      <c r="H1664" t="s">
        <v>111</v>
      </c>
      <c r="I1664">
        <v>2021</v>
      </c>
      <c r="J1664" t="s">
        <v>379</v>
      </c>
      <c r="K1664" t="s">
        <v>546</v>
      </c>
      <c r="L1664" s="784">
        <v>136826</v>
      </c>
      <c r="M1664" t="s">
        <v>745</v>
      </c>
      <c r="P1664" t="s">
        <v>1887</v>
      </c>
      <c r="R1664" t="s">
        <v>150</v>
      </c>
      <c r="S1664" t="s">
        <v>145</v>
      </c>
      <c r="U1664">
        <v>0</v>
      </c>
      <c r="V1664" t="s">
        <v>544</v>
      </c>
      <c r="W1664" t="s">
        <v>558</v>
      </c>
      <c r="X1664" s="784">
        <v>313039649.45369786</v>
      </c>
    </row>
    <row r="1665" spans="1:24">
      <c r="A1665" t="s">
        <v>358</v>
      </c>
      <c r="B1665" t="s">
        <v>573</v>
      </c>
      <c r="C1665" t="s">
        <v>181</v>
      </c>
      <c r="D1665" t="s">
        <v>129</v>
      </c>
      <c r="E1665" t="s">
        <v>377</v>
      </c>
      <c r="F1665" t="s">
        <v>310</v>
      </c>
      <c r="G1665" t="s">
        <v>343</v>
      </c>
      <c r="H1665" t="s">
        <v>111</v>
      </c>
      <c r="I1665">
        <v>2021</v>
      </c>
      <c r="J1665" t="s">
        <v>379</v>
      </c>
      <c r="K1665" t="s">
        <v>546</v>
      </c>
      <c r="L1665" s="784">
        <v>328692</v>
      </c>
      <c r="M1665" t="s">
        <v>745</v>
      </c>
      <c r="P1665" t="s">
        <v>1887</v>
      </c>
      <c r="R1665" t="s">
        <v>150</v>
      </c>
      <c r="S1665" t="s">
        <v>145</v>
      </c>
      <c r="U1665">
        <v>2</v>
      </c>
      <c r="V1665" t="s">
        <v>544</v>
      </c>
      <c r="W1665" t="s">
        <v>542</v>
      </c>
      <c r="X1665" s="784">
        <v>81361801.477472037</v>
      </c>
    </row>
    <row r="1666" spans="1:24">
      <c r="A1666" t="s">
        <v>358</v>
      </c>
      <c r="B1666" t="s">
        <v>574</v>
      </c>
      <c r="C1666" t="s">
        <v>182</v>
      </c>
      <c r="D1666" t="s">
        <v>129</v>
      </c>
      <c r="E1666" t="s">
        <v>377</v>
      </c>
      <c r="F1666" t="s">
        <v>310</v>
      </c>
      <c r="G1666" t="s">
        <v>343</v>
      </c>
      <c r="H1666" t="s">
        <v>111</v>
      </c>
      <c r="I1666">
        <v>2021</v>
      </c>
      <c r="J1666" t="s">
        <v>379</v>
      </c>
      <c r="K1666" t="s">
        <v>546</v>
      </c>
      <c r="L1666" s="784">
        <v>557042</v>
      </c>
      <c r="M1666" t="s">
        <v>745</v>
      </c>
      <c r="P1666" t="s">
        <v>1887</v>
      </c>
      <c r="R1666" t="s">
        <v>148</v>
      </c>
      <c r="S1666" t="s">
        <v>145</v>
      </c>
      <c r="U1666">
        <v>1</v>
      </c>
      <c r="V1666" t="s">
        <v>544</v>
      </c>
      <c r="W1666" t="s">
        <v>542</v>
      </c>
      <c r="X1666" s="784" t="s">
        <v>575</v>
      </c>
    </row>
    <row r="1667" spans="1:24">
      <c r="A1667" t="s">
        <v>358</v>
      </c>
      <c r="B1667" t="s">
        <v>576</v>
      </c>
      <c r="C1667" t="s">
        <v>183</v>
      </c>
      <c r="D1667" t="s">
        <v>129</v>
      </c>
      <c r="E1667" t="s">
        <v>377</v>
      </c>
      <c r="F1667" t="s">
        <v>310</v>
      </c>
      <c r="G1667" t="s">
        <v>343</v>
      </c>
      <c r="H1667" t="s">
        <v>111</v>
      </c>
      <c r="I1667">
        <v>2021</v>
      </c>
      <c r="J1667" t="s">
        <v>379</v>
      </c>
      <c r="K1667" t="s">
        <v>546</v>
      </c>
      <c r="L1667" s="784">
        <v>455627</v>
      </c>
      <c r="M1667" t="s">
        <v>745</v>
      </c>
      <c r="P1667" t="s">
        <v>1887</v>
      </c>
      <c r="R1667" t="s">
        <v>148</v>
      </c>
      <c r="S1667" t="s">
        <v>145</v>
      </c>
      <c r="U1667">
        <v>1</v>
      </c>
      <c r="V1667" t="s">
        <v>544</v>
      </c>
      <c r="W1667" t="s">
        <v>542</v>
      </c>
      <c r="X1667" s="784">
        <v>76939306.715636879</v>
      </c>
    </row>
    <row r="1668" spans="1:24">
      <c r="A1668" t="s">
        <v>358</v>
      </c>
      <c r="B1668" t="s">
        <v>577</v>
      </c>
      <c r="C1668" t="s">
        <v>184</v>
      </c>
      <c r="D1668" t="s">
        <v>130</v>
      </c>
      <c r="E1668" t="s">
        <v>377</v>
      </c>
      <c r="F1668" t="s">
        <v>310</v>
      </c>
      <c r="G1668" t="s">
        <v>343</v>
      </c>
      <c r="H1668" t="s">
        <v>111</v>
      </c>
      <c r="I1668">
        <v>2021</v>
      </c>
      <c r="J1668" t="s">
        <v>379</v>
      </c>
      <c r="K1668" t="s">
        <v>546</v>
      </c>
      <c r="L1668" s="784">
        <v>0</v>
      </c>
      <c r="M1668" t="s">
        <v>745</v>
      </c>
      <c r="P1668" t="s">
        <v>1887</v>
      </c>
      <c r="R1668" t="s">
        <v>550</v>
      </c>
      <c r="S1668" t="s">
        <v>146</v>
      </c>
      <c r="U1668">
        <v>0</v>
      </c>
      <c r="V1668" t="s">
        <v>544</v>
      </c>
      <c r="W1668" t="s">
        <v>575</v>
      </c>
      <c r="X1668" s="784">
        <v>13859708717.682571</v>
      </c>
    </row>
    <row r="1669" spans="1:24">
      <c r="A1669" t="s">
        <v>358</v>
      </c>
      <c r="B1669" t="s">
        <v>578</v>
      </c>
      <c r="C1669" t="s">
        <v>185</v>
      </c>
      <c r="D1669" t="s">
        <v>126</v>
      </c>
      <c r="E1669" t="s">
        <v>377</v>
      </c>
      <c r="F1669" t="s">
        <v>310</v>
      </c>
      <c r="G1669" t="s">
        <v>343</v>
      </c>
      <c r="H1669" t="s">
        <v>111</v>
      </c>
      <c r="I1669">
        <v>2021</v>
      </c>
      <c r="J1669" t="s">
        <v>379</v>
      </c>
      <c r="K1669" t="s">
        <v>546</v>
      </c>
      <c r="L1669" s="784">
        <v>0</v>
      </c>
      <c r="M1669" t="s">
        <v>745</v>
      </c>
      <c r="P1669" t="s">
        <v>1887</v>
      </c>
      <c r="R1669" t="s">
        <v>152</v>
      </c>
      <c r="S1669" t="s">
        <v>146</v>
      </c>
      <c r="U1669">
        <v>0</v>
      </c>
      <c r="V1669" t="s">
        <v>544</v>
      </c>
      <c r="W1669" t="s">
        <v>575</v>
      </c>
      <c r="X1669" s="784">
        <v>403567160707.7016</v>
      </c>
    </row>
    <row r="1670" spans="1:24">
      <c r="A1670" t="s">
        <v>358</v>
      </c>
      <c r="B1670" t="s">
        <v>579</v>
      </c>
      <c r="C1670" t="s">
        <v>186</v>
      </c>
      <c r="D1670" t="s">
        <v>130</v>
      </c>
      <c r="E1670" t="s">
        <v>377</v>
      </c>
      <c r="F1670" t="s">
        <v>310</v>
      </c>
      <c r="G1670" t="s">
        <v>343</v>
      </c>
      <c r="H1670" t="s">
        <v>111</v>
      </c>
      <c r="I1670">
        <v>2021</v>
      </c>
      <c r="J1670" t="s">
        <v>379</v>
      </c>
      <c r="K1670" t="s">
        <v>546</v>
      </c>
      <c r="L1670" s="784">
        <v>0</v>
      </c>
      <c r="M1670" t="s">
        <v>745</v>
      </c>
      <c r="P1670" t="s">
        <v>1887</v>
      </c>
      <c r="R1670" t="s">
        <v>152</v>
      </c>
      <c r="S1670" t="s">
        <v>146</v>
      </c>
      <c r="U1670">
        <v>0</v>
      </c>
      <c r="V1670" t="s">
        <v>544</v>
      </c>
      <c r="W1670" t="s">
        <v>575</v>
      </c>
      <c r="X1670" s="784">
        <v>18250225995.972618</v>
      </c>
    </row>
    <row r="1671" spans="1:24">
      <c r="A1671" t="s">
        <v>358</v>
      </c>
      <c r="B1671" t="s">
        <v>580</v>
      </c>
      <c r="C1671" t="s">
        <v>187</v>
      </c>
      <c r="D1671" t="s">
        <v>128</v>
      </c>
      <c r="E1671" t="s">
        <v>377</v>
      </c>
      <c r="F1671" t="s">
        <v>310</v>
      </c>
      <c r="G1671" t="s">
        <v>343</v>
      </c>
      <c r="H1671" t="s">
        <v>111</v>
      </c>
      <c r="I1671">
        <v>2021</v>
      </c>
      <c r="J1671" t="s">
        <v>379</v>
      </c>
      <c r="K1671" t="s">
        <v>546</v>
      </c>
      <c r="L1671" s="784">
        <v>146590</v>
      </c>
      <c r="M1671" t="s">
        <v>745</v>
      </c>
      <c r="P1671" t="s">
        <v>1887</v>
      </c>
      <c r="R1671" t="s">
        <v>150</v>
      </c>
      <c r="S1671" t="s">
        <v>145</v>
      </c>
      <c r="U1671">
        <v>0</v>
      </c>
      <c r="V1671" t="s">
        <v>541</v>
      </c>
      <c r="W1671" t="s">
        <v>562</v>
      </c>
      <c r="X1671" s="784">
        <v>5027591.1682657599</v>
      </c>
    </row>
    <row r="1672" spans="1:24">
      <c r="A1672" t="s">
        <v>358</v>
      </c>
      <c r="B1672" t="s">
        <v>581</v>
      </c>
      <c r="C1672" t="s">
        <v>188</v>
      </c>
      <c r="D1672" t="s">
        <v>129</v>
      </c>
      <c r="E1672" t="s">
        <v>377</v>
      </c>
      <c r="F1672" t="s">
        <v>310</v>
      </c>
      <c r="G1672" t="s">
        <v>343</v>
      </c>
      <c r="H1672" t="s">
        <v>111</v>
      </c>
      <c r="I1672">
        <v>2021</v>
      </c>
      <c r="J1672" t="s">
        <v>379</v>
      </c>
      <c r="K1672" t="s">
        <v>546</v>
      </c>
      <c r="L1672" s="784">
        <v>512667</v>
      </c>
      <c r="M1672" t="s">
        <v>745</v>
      </c>
      <c r="P1672" t="s">
        <v>1887</v>
      </c>
      <c r="R1672" t="s">
        <v>148</v>
      </c>
      <c r="S1672" t="s">
        <v>145</v>
      </c>
      <c r="U1672">
        <v>3</v>
      </c>
      <c r="V1672" t="s">
        <v>544</v>
      </c>
      <c r="W1672" t="s">
        <v>562</v>
      </c>
      <c r="X1672" s="784">
        <v>234645958.63289919</v>
      </c>
    </row>
    <row r="1673" spans="1:24">
      <c r="A1673" t="s">
        <v>358</v>
      </c>
      <c r="B1673" t="s">
        <v>582</v>
      </c>
      <c r="C1673" t="s">
        <v>189</v>
      </c>
      <c r="D1673" t="s">
        <v>129</v>
      </c>
      <c r="E1673" t="s">
        <v>377</v>
      </c>
      <c r="F1673" t="s">
        <v>310</v>
      </c>
      <c r="G1673" t="s">
        <v>343</v>
      </c>
      <c r="H1673" t="s">
        <v>111</v>
      </c>
      <c r="I1673">
        <v>2021</v>
      </c>
      <c r="J1673" t="s">
        <v>379</v>
      </c>
      <c r="K1673" t="s">
        <v>546</v>
      </c>
      <c r="L1673" s="784">
        <v>203300</v>
      </c>
      <c r="M1673" t="s">
        <v>745</v>
      </c>
      <c r="P1673" t="s">
        <v>1887</v>
      </c>
      <c r="R1673" t="s">
        <v>150</v>
      </c>
      <c r="S1673" t="s">
        <v>145</v>
      </c>
      <c r="U1673">
        <v>2</v>
      </c>
      <c r="V1673" t="s">
        <v>544</v>
      </c>
      <c r="W1673" t="s">
        <v>583</v>
      </c>
      <c r="X1673" s="784">
        <v>91590910.247314155</v>
      </c>
    </row>
    <row r="1674" spans="1:24">
      <c r="A1674" t="s">
        <v>358</v>
      </c>
      <c r="B1674" t="s">
        <v>584</v>
      </c>
      <c r="C1674" t="s">
        <v>190</v>
      </c>
      <c r="D1674" t="s">
        <v>126</v>
      </c>
      <c r="E1674" t="s">
        <v>377</v>
      </c>
      <c r="F1674" t="s">
        <v>310</v>
      </c>
      <c r="G1674" t="s">
        <v>343</v>
      </c>
      <c r="H1674" t="s">
        <v>111</v>
      </c>
      <c r="I1674">
        <v>2021</v>
      </c>
      <c r="J1674" t="s">
        <v>379</v>
      </c>
      <c r="K1674" t="s">
        <v>546</v>
      </c>
      <c r="L1674" s="784">
        <v>0</v>
      </c>
      <c r="M1674" t="s">
        <v>745</v>
      </c>
      <c r="P1674" t="s">
        <v>1887</v>
      </c>
      <c r="R1674" t="s">
        <v>322</v>
      </c>
      <c r="S1674" t="s">
        <v>146</v>
      </c>
      <c r="U1674">
        <v>0</v>
      </c>
      <c r="V1674" t="s">
        <v>541</v>
      </c>
      <c r="W1674" t="s">
        <v>546</v>
      </c>
      <c r="X1674" s="784">
        <v>8560012.8840167802</v>
      </c>
    </row>
    <row r="1675" spans="1:24">
      <c r="A1675" t="s">
        <v>358</v>
      </c>
      <c r="B1675" t="s">
        <v>585</v>
      </c>
      <c r="C1675" t="s">
        <v>191</v>
      </c>
      <c r="D1675" t="s">
        <v>130</v>
      </c>
      <c r="E1675" t="s">
        <v>377</v>
      </c>
      <c r="F1675" t="s">
        <v>310</v>
      </c>
      <c r="G1675" t="s">
        <v>343</v>
      </c>
      <c r="H1675" t="s">
        <v>111</v>
      </c>
      <c r="I1675">
        <v>2021</v>
      </c>
      <c r="J1675" t="s">
        <v>379</v>
      </c>
      <c r="K1675" t="s">
        <v>546</v>
      </c>
      <c r="L1675" s="784">
        <v>0</v>
      </c>
      <c r="M1675" t="s">
        <v>745</v>
      </c>
      <c r="P1675" t="s">
        <v>1887</v>
      </c>
      <c r="R1675" t="s">
        <v>152</v>
      </c>
      <c r="S1675" t="s">
        <v>146</v>
      </c>
      <c r="U1675">
        <v>0</v>
      </c>
      <c r="V1675" t="s">
        <v>544</v>
      </c>
      <c r="W1675" t="s">
        <v>546</v>
      </c>
      <c r="X1675" s="784">
        <v>3292372960.3962669</v>
      </c>
    </row>
    <row r="1676" spans="1:24">
      <c r="A1676" t="s">
        <v>358</v>
      </c>
      <c r="B1676" t="s">
        <v>586</v>
      </c>
      <c r="C1676" t="s">
        <v>192</v>
      </c>
      <c r="D1676" t="s">
        <v>129</v>
      </c>
      <c r="E1676" t="s">
        <v>377</v>
      </c>
      <c r="F1676" t="s">
        <v>310</v>
      </c>
      <c r="G1676" t="s">
        <v>343</v>
      </c>
      <c r="H1676" t="s">
        <v>111</v>
      </c>
      <c r="I1676">
        <v>2021</v>
      </c>
      <c r="J1676" t="s">
        <v>379</v>
      </c>
      <c r="K1676" t="s">
        <v>546</v>
      </c>
      <c r="L1676" s="784">
        <v>92436.2</v>
      </c>
      <c r="M1676" t="s">
        <v>745</v>
      </c>
      <c r="P1676" t="s">
        <v>1887</v>
      </c>
      <c r="R1676" t="s">
        <v>150</v>
      </c>
      <c r="S1676" t="s">
        <v>145</v>
      </c>
      <c r="U1676">
        <v>0</v>
      </c>
      <c r="V1676" t="s">
        <v>544</v>
      </c>
      <c r="W1676" t="s">
        <v>562</v>
      </c>
      <c r="X1676" s="784">
        <v>519209981.22981054</v>
      </c>
    </row>
    <row r="1677" spans="1:24">
      <c r="A1677" t="s">
        <v>358</v>
      </c>
      <c r="B1677" t="s">
        <v>587</v>
      </c>
      <c r="C1677" t="s">
        <v>193</v>
      </c>
      <c r="D1677" t="s">
        <v>127</v>
      </c>
      <c r="E1677" t="s">
        <v>377</v>
      </c>
      <c r="F1677" t="s">
        <v>310</v>
      </c>
      <c r="G1677" t="s">
        <v>343</v>
      </c>
      <c r="H1677" t="s">
        <v>111</v>
      </c>
      <c r="I1677">
        <v>2021</v>
      </c>
      <c r="J1677" t="s">
        <v>379</v>
      </c>
      <c r="K1677" t="s">
        <v>546</v>
      </c>
      <c r="L1677" s="784">
        <v>0</v>
      </c>
      <c r="M1677" t="s">
        <v>745</v>
      </c>
      <c r="P1677" t="s">
        <v>1887</v>
      </c>
      <c r="R1677" t="s">
        <v>550</v>
      </c>
      <c r="S1677" t="s">
        <v>146</v>
      </c>
      <c r="U1677">
        <v>0</v>
      </c>
      <c r="V1677" t="s">
        <v>544</v>
      </c>
      <c r="W1677" t="s">
        <v>575</v>
      </c>
      <c r="X1677" s="784">
        <v>3464739907.1604805</v>
      </c>
    </row>
    <row r="1678" spans="1:24">
      <c r="A1678" t="s">
        <v>358</v>
      </c>
      <c r="B1678" t="s">
        <v>588</v>
      </c>
      <c r="C1678" t="s">
        <v>147</v>
      </c>
      <c r="D1678" t="s">
        <v>130</v>
      </c>
      <c r="E1678" t="s">
        <v>377</v>
      </c>
      <c r="F1678" t="s">
        <v>310</v>
      </c>
      <c r="G1678" t="s">
        <v>343</v>
      </c>
      <c r="H1678" t="s">
        <v>111</v>
      </c>
      <c r="I1678">
        <v>2021</v>
      </c>
      <c r="J1678" t="s">
        <v>379</v>
      </c>
      <c r="K1678" t="s">
        <v>546</v>
      </c>
      <c r="L1678" s="784">
        <v>0</v>
      </c>
      <c r="M1678" t="s">
        <v>745</v>
      </c>
      <c r="P1678" t="s">
        <v>1887</v>
      </c>
      <c r="R1678" t="s">
        <v>152</v>
      </c>
      <c r="S1678" t="s">
        <v>146</v>
      </c>
      <c r="U1678">
        <v>0</v>
      </c>
      <c r="V1678" t="s">
        <v>541</v>
      </c>
      <c r="W1678" t="s">
        <v>575</v>
      </c>
      <c r="X1678" s="784">
        <v>9948521252.2569065</v>
      </c>
    </row>
    <row r="1679" spans="1:24">
      <c r="A1679" t="s">
        <v>358</v>
      </c>
      <c r="B1679" t="s">
        <v>589</v>
      </c>
      <c r="C1679" t="s">
        <v>194</v>
      </c>
      <c r="D1679" t="s">
        <v>131</v>
      </c>
      <c r="E1679" t="s">
        <v>377</v>
      </c>
      <c r="F1679" t="s">
        <v>310</v>
      </c>
      <c r="G1679" t="s">
        <v>343</v>
      </c>
      <c r="H1679" t="s">
        <v>111</v>
      </c>
      <c r="I1679">
        <v>2021</v>
      </c>
      <c r="J1679" t="s">
        <v>379</v>
      </c>
      <c r="K1679" t="s">
        <v>546</v>
      </c>
      <c r="L1679" s="784">
        <v>189473</v>
      </c>
      <c r="M1679" t="s">
        <v>745</v>
      </c>
      <c r="P1679" t="s">
        <v>1887</v>
      </c>
      <c r="R1679" t="s">
        <v>150</v>
      </c>
      <c r="S1679" t="s">
        <v>145</v>
      </c>
      <c r="U1679">
        <v>1</v>
      </c>
      <c r="V1679" t="s">
        <v>544</v>
      </c>
      <c r="W1679" t="s">
        <v>542</v>
      </c>
      <c r="X1679" s="784">
        <v>33679192.765657313</v>
      </c>
    </row>
    <row r="1680" spans="1:24">
      <c r="A1680" t="s">
        <v>358</v>
      </c>
      <c r="B1680" t="s">
        <v>590</v>
      </c>
      <c r="C1680" t="s">
        <v>195</v>
      </c>
      <c r="D1680" t="s">
        <v>130</v>
      </c>
      <c r="E1680" t="s">
        <v>377</v>
      </c>
      <c r="F1680" t="s">
        <v>310</v>
      </c>
      <c r="G1680" t="s">
        <v>343</v>
      </c>
      <c r="H1680" t="s">
        <v>111</v>
      </c>
      <c r="I1680">
        <v>2021</v>
      </c>
      <c r="J1680" t="s">
        <v>379</v>
      </c>
      <c r="K1680" t="s">
        <v>546</v>
      </c>
      <c r="L1680" s="784">
        <v>50000.030000000006</v>
      </c>
      <c r="M1680" t="s">
        <v>745</v>
      </c>
      <c r="P1680" t="s">
        <v>1887</v>
      </c>
      <c r="R1680" t="s">
        <v>152</v>
      </c>
      <c r="S1680" t="s">
        <v>145</v>
      </c>
      <c r="U1680">
        <v>0</v>
      </c>
      <c r="V1680" t="s">
        <v>541</v>
      </c>
      <c r="W1680" t="s">
        <v>548</v>
      </c>
      <c r="X1680" s="784">
        <v>22784494.365742501</v>
      </c>
    </row>
    <row r="1681" spans="1:24">
      <c r="A1681" t="s">
        <v>358</v>
      </c>
      <c r="B1681" t="s">
        <v>591</v>
      </c>
      <c r="C1681" t="s">
        <v>196</v>
      </c>
      <c r="D1681" t="s">
        <v>130</v>
      </c>
      <c r="E1681" t="s">
        <v>377</v>
      </c>
      <c r="F1681" t="s">
        <v>310</v>
      </c>
      <c r="G1681" t="s">
        <v>343</v>
      </c>
      <c r="H1681" t="s">
        <v>111</v>
      </c>
      <c r="I1681">
        <v>2021</v>
      </c>
      <c r="J1681" t="s">
        <v>379</v>
      </c>
      <c r="K1681" t="s">
        <v>546</v>
      </c>
      <c r="L1681" s="784">
        <v>0</v>
      </c>
      <c r="M1681" t="s">
        <v>745</v>
      </c>
      <c r="P1681" t="s">
        <v>1887</v>
      </c>
      <c r="R1681" t="s">
        <v>152</v>
      </c>
      <c r="S1681" t="s">
        <v>146</v>
      </c>
      <c r="U1681">
        <v>0</v>
      </c>
      <c r="V1681" t="s">
        <v>541</v>
      </c>
      <c r="W1681" t="s">
        <v>575</v>
      </c>
      <c r="X1681" s="784">
        <v>2173208011.4858823</v>
      </c>
    </row>
    <row r="1682" spans="1:24">
      <c r="A1682" t="s">
        <v>358</v>
      </c>
      <c r="B1682" t="s">
        <v>592</v>
      </c>
      <c r="C1682" t="s">
        <v>197</v>
      </c>
      <c r="D1682" t="s">
        <v>130</v>
      </c>
      <c r="E1682" t="s">
        <v>377</v>
      </c>
      <c r="F1682" t="s">
        <v>310</v>
      </c>
      <c r="G1682" t="s">
        <v>343</v>
      </c>
      <c r="H1682" t="s">
        <v>111</v>
      </c>
      <c r="I1682">
        <v>2021</v>
      </c>
      <c r="J1682" t="s">
        <v>379</v>
      </c>
      <c r="K1682" t="s">
        <v>546</v>
      </c>
      <c r="L1682" s="784">
        <v>0</v>
      </c>
      <c r="M1682" t="s">
        <v>745</v>
      </c>
      <c r="P1682" t="s">
        <v>1887</v>
      </c>
      <c r="R1682" t="s">
        <v>152</v>
      </c>
      <c r="S1682" t="s">
        <v>146</v>
      </c>
      <c r="U1682">
        <v>0</v>
      </c>
      <c r="V1682" t="s">
        <v>544</v>
      </c>
      <c r="W1682" t="s">
        <v>546</v>
      </c>
      <c r="X1682" s="784">
        <v>4585736158.8323269</v>
      </c>
    </row>
    <row r="1683" spans="1:24">
      <c r="A1683" t="s">
        <v>358</v>
      </c>
      <c r="B1683" t="s">
        <v>593</v>
      </c>
      <c r="C1683" t="s">
        <v>198</v>
      </c>
      <c r="D1683" t="s">
        <v>131</v>
      </c>
      <c r="E1683" t="s">
        <v>377</v>
      </c>
      <c r="F1683" t="s">
        <v>310</v>
      </c>
      <c r="G1683" t="s">
        <v>343</v>
      </c>
      <c r="H1683" t="s">
        <v>111</v>
      </c>
      <c r="I1683">
        <v>2021</v>
      </c>
      <c r="J1683" t="s">
        <v>379</v>
      </c>
      <c r="K1683" t="s">
        <v>546</v>
      </c>
      <c r="L1683" s="784">
        <v>45000</v>
      </c>
      <c r="M1683" t="s">
        <v>745</v>
      </c>
      <c r="P1683" t="s">
        <v>1887</v>
      </c>
      <c r="R1683" t="s">
        <v>150</v>
      </c>
      <c r="S1683" t="s">
        <v>145</v>
      </c>
      <c r="U1683">
        <v>0</v>
      </c>
      <c r="V1683" t="s">
        <v>544</v>
      </c>
      <c r="W1683" t="s">
        <v>546</v>
      </c>
      <c r="X1683" s="784">
        <v>3550291584.8645592</v>
      </c>
    </row>
    <row r="1684" spans="1:24">
      <c r="A1684" t="s">
        <v>358</v>
      </c>
      <c r="B1684" t="s">
        <v>594</v>
      </c>
      <c r="C1684" t="s">
        <v>199</v>
      </c>
      <c r="D1684" t="s">
        <v>130</v>
      </c>
      <c r="E1684" t="s">
        <v>377</v>
      </c>
      <c r="F1684" t="s">
        <v>310</v>
      </c>
      <c r="G1684" t="s">
        <v>343</v>
      </c>
      <c r="H1684" t="s">
        <v>111</v>
      </c>
      <c r="I1684">
        <v>2021</v>
      </c>
      <c r="J1684" t="s">
        <v>379</v>
      </c>
      <c r="K1684" t="s">
        <v>546</v>
      </c>
      <c r="L1684" s="784">
        <v>30000.000000000007</v>
      </c>
      <c r="M1684" t="s">
        <v>745</v>
      </c>
      <c r="P1684" t="s">
        <v>1887</v>
      </c>
      <c r="R1684" t="s">
        <v>150</v>
      </c>
      <c r="S1684" t="s">
        <v>145</v>
      </c>
      <c r="U1684">
        <v>0</v>
      </c>
      <c r="V1684" t="s">
        <v>544</v>
      </c>
      <c r="W1684" t="s">
        <v>546</v>
      </c>
      <c r="X1684" s="784">
        <v>1182840319.0410969</v>
      </c>
    </row>
    <row r="1685" spans="1:24">
      <c r="A1685" t="s">
        <v>358</v>
      </c>
      <c r="B1685" t="s">
        <v>595</v>
      </c>
      <c r="C1685" t="s">
        <v>200</v>
      </c>
      <c r="D1685" t="s">
        <v>130</v>
      </c>
      <c r="E1685" t="s">
        <v>377</v>
      </c>
      <c r="F1685" t="s">
        <v>310</v>
      </c>
      <c r="G1685" t="s">
        <v>343</v>
      </c>
      <c r="H1685" t="s">
        <v>111</v>
      </c>
      <c r="I1685">
        <v>2021</v>
      </c>
      <c r="J1685" t="s">
        <v>379</v>
      </c>
      <c r="K1685" t="s">
        <v>546</v>
      </c>
      <c r="L1685" s="784">
        <v>0</v>
      </c>
      <c r="M1685" t="s">
        <v>745</v>
      </c>
      <c r="P1685" t="s">
        <v>1887</v>
      </c>
      <c r="R1685" t="s">
        <v>152</v>
      </c>
      <c r="S1685" t="s">
        <v>146</v>
      </c>
      <c r="U1685">
        <v>0</v>
      </c>
      <c r="V1685" t="s">
        <v>544</v>
      </c>
      <c r="W1685" t="s">
        <v>575</v>
      </c>
      <c r="X1685" s="784">
        <v>81728347.604567245</v>
      </c>
    </row>
    <row r="1686" spans="1:24">
      <c r="A1686" t="s">
        <v>358</v>
      </c>
      <c r="B1686" t="s">
        <v>596</v>
      </c>
      <c r="C1686" t="s">
        <v>201</v>
      </c>
      <c r="D1686" t="s">
        <v>128</v>
      </c>
      <c r="E1686" t="s">
        <v>377</v>
      </c>
      <c r="F1686" t="s">
        <v>310</v>
      </c>
      <c r="G1686" t="s">
        <v>343</v>
      </c>
      <c r="H1686" t="s">
        <v>111</v>
      </c>
      <c r="I1686">
        <v>2021</v>
      </c>
      <c r="J1686" t="s">
        <v>379</v>
      </c>
      <c r="K1686" t="s">
        <v>546</v>
      </c>
      <c r="L1686" s="784">
        <v>183655</v>
      </c>
      <c r="M1686" t="s">
        <v>745</v>
      </c>
      <c r="P1686" t="s">
        <v>1887</v>
      </c>
      <c r="R1686" t="s">
        <v>148</v>
      </c>
      <c r="S1686" t="s">
        <v>145</v>
      </c>
      <c r="U1686">
        <v>2</v>
      </c>
      <c r="V1686" t="s">
        <v>544</v>
      </c>
      <c r="W1686" t="s">
        <v>546</v>
      </c>
      <c r="X1686" s="784">
        <v>12787914.977715338</v>
      </c>
    </row>
    <row r="1687" spans="1:24">
      <c r="A1687" t="s">
        <v>358</v>
      </c>
      <c r="B1687" t="s">
        <v>597</v>
      </c>
      <c r="C1687" t="s">
        <v>202</v>
      </c>
      <c r="D1687" t="s">
        <v>128</v>
      </c>
      <c r="E1687" t="s">
        <v>377</v>
      </c>
      <c r="F1687" t="s">
        <v>310</v>
      </c>
      <c r="G1687" t="s">
        <v>343</v>
      </c>
      <c r="H1687" t="s">
        <v>111</v>
      </c>
      <c r="I1687">
        <v>2021</v>
      </c>
      <c r="J1687" t="s">
        <v>379</v>
      </c>
      <c r="K1687" t="s">
        <v>546</v>
      </c>
      <c r="L1687" s="784">
        <v>25000</v>
      </c>
      <c r="M1687" t="s">
        <v>745</v>
      </c>
      <c r="P1687" t="s">
        <v>1887</v>
      </c>
      <c r="R1687" t="s">
        <v>150</v>
      </c>
      <c r="S1687" t="s">
        <v>145</v>
      </c>
      <c r="U1687">
        <v>2</v>
      </c>
      <c r="V1687" t="s">
        <v>544</v>
      </c>
      <c r="W1687" t="s">
        <v>546</v>
      </c>
      <c r="X1687" s="784">
        <v>101271737.65410839</v>
      </c>
    </row>
    <row r="1688" spans="1:24">
      <c r="A1688" t="s">
        <v>358</v>
      </c>
      <c r="B1688" t="s">
        <v>598</v>
      </c>
      <c r="C1688" t="s">
        <v>203</v>
      </c>
      <c r="D1688" t="s">
        <v>128</v>
      </c>
      <c r="E1688" t="s">
        <v>377</v>
      </c>
      <c r="F1688" t="s">
        <v>310</v>
      </c>
      <c r="G1688" t="s">
        <v>343</v>
      </c>
      <c r="H1688" t="s">
        <v>111</v>
      </c>
      <c r="I1688">
        <v>2021</v>
      </c>
      <c r="J1688" t="s">
        <v>379</v>
      </c>
      <c r="K1688" t="s">
        <v>546</v>
      </c>
      <c r="L1688" s="784">
        <v>534413</v>
      </c>
      <c r="M1688" t="s">
        <v>745</v>
      </c>
      <c r="P1688" t="s">
        <v>1887</v>
      </c>
      <c r="R1688" t="s">
        <v>148</v>
      </c>
      <c r="S1688" t="s">
        <v>145</v>
      </c>
      <c r="U1688">
        <v>3</v>
      </c>
      <c r="V1688" t="s">
        <v>544</v>
      </c>
      <c r="W1688" t="s">
        <v>542</v>
      </c>
      <c r="X1688" s="784">
        <v>618344226.71759331</v>
      </c>
    </row>
    <row r="1689" spans="1:24">
      <c r="A1689" t="s">
        <v>358</v>
      </c>
      <c r="B1689" t="s">
        <v>599</v>
      </c>
      <c r="C1689" t="s">
        <v>204</v>
      </c>
      <c r="D1689" t="s">
        <v>126</v>
      </c>
      <c r="E1689" t="s">
        <v>377</v>
      </c>
      <c r="F1689" t="s">
        <v>310</v>
      </c>
      <c r="G1689" t="s">
        <v>343</v>
      </c>
      <c r="H1689" t="s">
        <v>111</v>
      </c>
      <c r="I1689">
        <v>2021</v>
      </c>
      <c r="J1689" t="s">
        <v>379</v>
      </c>
      <c r="K1689" t="s">
        <v>546</v>
      </c>
      <c r="L1689" s="784">
        <v>25000</v>
      </c>
      <c r="M1689" t="s">
        <v>745</v>
      </c>
      <c r="P1689" t="s">
        <v>1887</v>
      </c>
      <c r="R1689" t="s">
        <v>152</v>
      </c>
      <c r="S1689" t="s">
        <v>145</v>
      </c>
      <c r="U1689">
        <v>0</v>
      </c>
      <c r="V1689" t="s">
        <v>541</v>
      </c>
      <c r="W1689" t="s">
        <v>548</v>
      </c>
      <c r="X1689" s="784">
        <v>129483872.95906857</v>
      </c>
    </row>
    <row r="1690" spans="1:24">
      <c r="A1690" t="s">
        <v>358</v>
      </c>
      <c r="B1690" t="s">
        <v>600</v>
      </c>
      <c r="C1690" t="s">
        <v>205</v>
      </c>
      <c r="D1690" t="s">
        <v>129</v>
      </c>
      <c r="E1690" t="s">
        <v>377</v>
      </c>
      <c r="F1690" t="s">
        <v>310</v>
      </c>
      <c r="G1690" t="s">
        <v>343</v>
      </c>
      <c r="H1690" t="s">
        <v>111</v>
      </c>
      <c r="I1690">
        <v>2021</v>
      </c>
      <c r="J1690" t="s">
        <v>379</v>
      </c>
      <c r="K1690" t="s">
        <v>546</v>
      </c>
      <c r="L1690" s="784">
        <v>0</v>
      </c>
      <c r="M1690" t="s">
        <v>745</v>
      </c>
      <c r="P1690" t="s">
        <v>1887</v>
      </c>
      <c r="R1690" t="s">
        <v>152</v>
      </c>
      <c r="S1690" t="s">
        <v>146</v>
      </c>
      <c r="U1690">
        <v>0</v>
      </c>
      <c r="V1690" t="s">
        <v>544</v>
      </c>
      <c r="W1690" t="s">
        <v>546</v>
      </c>
      <c r="X1690" s="784">
        <v>271184658.35014349</v>
      </c>
    </row>
    <row r="1691" spans="1:24">
      <c r="A1691" t="s">
        <v>358</v>
      </c>
      <c r="B1691" t="s">
        <v>601</v>
      </c>
      <c r="C1691" t="s">
        <v>206</v>
      </c>
      <c r="D1691" t="s">
        <v>129</v>
      </c>
      <c r="E1691" t="s">
        <v>377</v>
      </c>
      <c r="F1691" t="s">
        <v>310</v>
      </c>
      <c r="G1691" t="s">
        <v>343</v>
      </c>
      <c r="H1691" t="s">
        <v>111</v>
      </c>
      <c r="I1691">
        <v>2021</v>
      </c>
      <c r="J1691" t="s">
        <v>379</v>
      </c>
      <c r="K1691" t="s">
        <v>546</v>
      </c>
      <c r="L1691" s="784">
        <v>86135</v>
      </c>
      <c r="M1691" t="s">
        <v>745</v>
      </c>
      <c r="P1691" t="s">
        <v>1887</v>
      </c>
      <c r="R1691" t="s">
        <v>148</v>
      </c>
      <c r="S1691" t="s">
        <v>145</v>
      </c>
      <c r="U1691">
        <v>0</v>
      </c>
      <c r="V1691" t="s">
        <v>544</v>
      </c>
      <c r="W1691" t="s">
        <v>542</v>
      </c>
      <c r="X1691" s="784">
        <v>15455265.086884515</v>
      </c>
    </row>
    <row r="1692" spans="1:24">
      <c r="A1692" t="s">
        <v>358</v>
      </c>
      <c r="B1692" t="s">
        <v>602</v>
      </c>
      <c r="C1692" t="s">
        <v>207</v>
      </c>
      <c r="D1692" t="s">
        <v>127</v>
      </c>
      <c r="E1692" t="s">
        <v>377</v>
      </c>
      <c r="F1692" t="s">
        <v>310</v>
      </c>
      <c r="G1692" t="s">
        <v>343</v>
      </c>
      <c r="H1692" t="s">
        <v>111</v>
      </c>
      <c r="I1692">
        <v>2021</v>
      </c>
      <c r="J1692" t="s">
        <v>379</v>
      </c>
      <c r="K1692" t="s">
        <v>546</v>
      </c>
      <c r="L1692" s="784">
        <v>0</v>
      </c>
      <c r="M1692" t="s">
        <v>745</v>
      </c>
      <c r="P1692" t="s">
        <v>1887</v>
      </c>
      <c r="R1692" t="s">
        <v>152</v>
      </c>
      <c r="S1692" t="s">
        <v>146</v>
      </c>
      <c r="U1692">
        <v>0</v>
      </c>
      <c r="V1692" t="s">
        <v>544</v>
      </c>
      <c r="W1692" t="s">
        <v>546</v>
      </c>
      <c r="X1692" s="784">
        <v>494021502.525527</v>
      </c>
    </row>
    <row r="1693" spans="1:24">
      <c r="A1693" t="s">
        <v>358</v>
      </c>
      <c r="B1693" t="s">
        <v>603</v>
      </c>
      <c r="C1693" t="s">
        <v>208</v>
      </c>
      <c r="D1693" t="s">
        <v>129</v>
      </c>
      <c r="E1693" t="s">
        <v>377</v>
      </c>
      <c r="F1693" t="s">
        <v>310</v>
      </c>
      <c r="G1693" t="s">
        <v>343</v>
      </c>
      <c r="H1693" t="s">
        <v>111</v>
      </c>
      <c r="I1693">
        <v>2021</v>
      </c>
      <c r="J1693" t="s">
        <v>379</v>
      </c>
      <c r="K1693" t="s">
        <v>546</v>
      </c>
      <c r="L1693" s="784">
        <v>204263</v>
      </c>
      <c r="M1693" t="s">
        <v>745</v>
      </c>
      <c r="P1693" t="s">
        <v>1887</v>
      </c>
      <c r="R1693" t="s">
        <v>150</v>
      </c>
      <c r="S1693" t="s">
        <v>145</v>
      </c>
      <c r="U1693">
        <v>0</v>
      </c>
      <c r="V1693" t="s">
        <v>544</v>
      </c>
      <c r="W1693" t="s">
        <v>542</v>
      </c>
      <c r="X1693" s="784">
        <v>902005621.73836684</v>
      </c>
    </row>
    <row r="1694" spans="1:24">
      <c r="A1694" t="s">
        <v>358</v>
      </c>
      <c r="B1694" t="s">
        <v>604</v>
      </c>
      <c r="C1694" t="s">
        <v>209</v>
      </c>
      <c r="D1694" t="s">
        <v>130</v>
      </c>
      <c r="E1694" t="s">
        <v>377</v>
      </c>
      <c r="F1694" t="s">
        <v>310</v>
      </c>
      <c r="G1694" t="s">
        <v>343</v>
      </c>
      <c r="H1694" t="s">
        <v>111</v>
      </c>
      <c r="I1694">
        <v>2021</v>
      </c>
      <c r="J1694" t="s">
        <v>379</v>
      </c>
      <c r="K1694" t="s">
        <v>546</v>
      </c>
      <c r="L1694" s="784">
        <v>50000</v>
      </c>
      <c r="M1694" t="s">
        <v>745</v>
      </c>
      <c r="P1694" t="s">
        <v>1887</v>
      </c>
      <c r="R1694" t="s">
        <v>152</v>
      </c>
      <c r="S1694" t="s">
        <v>145</v>
      </c>
      <c r="U1694">
        <v>0</v>
      </c>
      <c r="V1694" t="s">
        <v>541</v>
      </c>
      <c r="W1694" t="s">
        <v>583</v>
      </c>
      <c r="X1694" s="784">
        <v>20201670.142996579</v>
      </c>
    </row>
    <row r="1695" spans="1:24">
      <c r="A1695" t="s">
        <v>358</v>
      </c>
      <c r="B1695" t="s">
        <v>605</v>
      </c>
      <c r="C1695" t="s">
        <v>210</v>
      </c>
      <c r="D1695" t="s">
        <v>130</v>
      </c>
      <c r="E1695" t="s">
        <v>377</v>
      </c>
      <c r="F1695" t="s">
        <v>310</v>
      </c>
      <c r="G1695" t="s">
        <v>343</v>
      </c>
      <c r="H1695" t="s">
        <v>111</v>
      </c>
      <c r="I1695">
        <v>2021</v>
      </c>
      <c r="J1695" t="s">
        <v>379</v>
      </c>
      <c r="K1695" t="s">
        <v>546</v>
      </c>
      <c r="L1695" s="784">
        <v>0</v>
      </c>
      <c r="M1695" t="s">
        <v>745</v>
      </c>
      <c r="P1695" t="s">
        <v>1887</v>
      </c>
      <c r="R1695" t="s">
        <v>152</v>
      </c>
      <c r="S1695" t="s">
        <v>146</v>
      </c>
      <c r="U1695">
        <v>0</v>
      </c>
      <c r="V1695" t="s">
        <v>544</v>
      </c>
      <c r="W1695" t="s">
        <v>575</v>
      </c>
      <c r="X1695" s="784">
        <v>1612434649.6948864</v>
      </c>
    </row>
    <row r="1696" spans="1:24">
      <c r="A1696" t="s">
        <v>358</v>
      </c>
      <c r="B1696" t="s">
        <v>606</v>
      </c>
      <c r="C1696" t="s">
        <v>211</v>
      </c>
      <c r="D1696" t="s">
        <v>129</v>
      </c>
      <c r="E1696" t="s">
        <v>377</v>
      </c>
      <c r="F1696" t="s">
        <v>310</v>
      </c>
      <c r="G1696" t="s">
        <v>343</v>
      </c>
      <c r="H1696" t="s">
        <v>111</v>
      </c>
      <c r="I1696">
        <v>2021</v>
      </c>
      <c r="J1696" t="s">
        <v>379</v>
      </c>
      <c r="K1696" t="s">
        <v>546</v>
      </c>
      <c r="L1696" s="784">
        <v>440787</v>
      </c>
      <c r="M1696" t="s">
        <v>745</v>
      </c>
      <c r="P1696" t="s">
        <v>1887</v>
      </c>
      <c r="R1696" t="s">
        <v>148</v>
      </c>
      <c r="S1696" t="s">
        <v>145</v>
      </c>
      <c r="U1696">
        <v>0</v>
      </c>
      <c r="V1696" t="s">
        <v>544</v>
      </c>
      <c r="W1696" t="s">
        <v>562</v>
      </c>
      <c r="X1696" s="784">
        <v>78203134.118229344</v>
      </c>
    </row>
    <row r="1697" spans="1:24">
      <c r="A1697" t="s">
        <v>358</v>
      </c>
      <c r="B1697" t="s">
        <v>607</v>
      </c>
      <c r="C1697" t="s">
        <v>212</v>
      </c>
      <c r="D1697" t="s">
        <v>129</v>
      </c>
      <c r="E1697" t="s">
        <v>377</v>
      </c>
      <c r="F1697" t="s">
        <v>310</v>
      </c>
      <c r="G1697" t="s">
        <v>343</v>
      </c>
      <c r="H1697" t="s">
        <v>111</v>
      </c>
      <c r="I1697">
        <v>2021</v>
      </c>
      <c r="J1697" t="s">
        <v>379</v>
      </c>
      <c r="K1697" t="s">
        <v>546</v>
      </c>
      <c r="L1697" s="784">
        <v>180992</v>
      </c>
      <c r="M1697" t="s">
        <v>745</v>
      </c>
      <c r="P1697" t="s">
        <v>1887</v>
      </c>
      <c r="R1697" t="s">
        <v>148</v>
      </c>
      <c r="S1697" t="s">
        <v>145</v>
      </c>
      <c r="U1697">
        <v>2</v>
      </c>
      <c r="V1697" t="s">
        <v>541</v>
      </c>
      <c r="W1697" t="s">
        <v>542</v>
      </c>
      <c r="X1697" s="784">
        <v>9151637.7411015611</v>
      </c>
    </row>
    <row r="1698" spans="1:24">
      <c r="A1698" t="s">
        <v>358</v>
      </c>
      <c r="B1698" t="s">
        <v>608</v>
      </c>
      <c r="C1698" t="s">
        <v>213</v>
      </c>
      <c r="D1698" t="s">
        <v>130</v>
      </c>
      <c r="E1698" t="s">
        <v>377</v>
      </c>
      <c r="F1698" t="s">
        <v>310</v>
      </c>
      <c r="G1698" t="s">
        <v>343</v>
      </c>
      <c r="H1698" t="s">
        <v>111</v>
      </c>
      <c r="I1698">
        <v>2021</v>
      </c>
      <c r="J1698" t="s">
        <v>379</v>
      </c>
      <c r="K1698" t="s">
        <v>546</v>
      </c>
      <c r="L1698" s="784">
        <v>44999.999999999964</v>
      </c>
      <c r="M1698" t="s">
        <v>745</v>
      </c>
      <c r="P1698" t="s">
        <v>1887</v>
      </c>
      <c r="R1698" t="s">
        <v>152</v>
      </c>
      <c r="S1698" t="s">
        <v>145</v>
      </c>
      <c r="U1698">
        <v>0</v>
      </c>
      <c r="V1698" t="s">
        <v>541</v>
      </c>
      <c r="W1698" t="s">
        <v>562</v>
      </c>
      <c r="X1698" s="784">
        <v>142455920.02856269</v>
      </c>
    </row>
    <row r="1699" spans="1:24">
      <c r="A1699" t="s">
        <v>358</v>
      </c>
      <c r="B1699" t="s">
        <v>609</v>
      </c>
      <c r="C1699" t="s">
        <v>214</v>
      </c>
      <c r="D1699" t="s">
        <v>130</v>
      </c>
      <c r="E1699" t="s">
        <v>377</v>
      </c>
      <c r="F1699" t="s">
        <v>310</v>
      </c>
      <c r="G1699" t="s">
        <v>343</v>
      </c>
      <c r="H1699" t="s">
        <v>111</v>
      </c>
      <c r="I1699">
        <v>2021</v>
      </c>
      <c r="J1699" t="s">
        <v>379</v>
      </c>
      <c r="K1699" t="s">
        <v>546</v>
      </c>
      <c r="L1699" s="784">
        <v>403390</v>
      </c>
      <c r="M1699" t="s">
        <v>745</v>
      </c>
      <c r="P1699" t="s">
        <v>1887</v>
      </c>
      <c r="R1699" t="s">
        <v>150</v>
      </c>
      <c r="S1699" t="s">
        <v>145</v>
      </c>
      <c r="U1699">
        <v>1</v>
      </c>
      <c r="V1699" t="s">
        <v>541</v>
      </c>
      <c r="W1699" t="s">
        <v>542</v>
      </c>
      <c r="X1699" s="784">
        <v>85611818.171245083</v>
      </c>
    </row>
    <row r="1700" spans="1:24">
      <c r="A1700" t="s">
        <v>358</v>
      </c>
      <c r="B1700" t="s">
        <v>610</v>
      </c>
      <c r="C1700" t="s">
        <v>215</v>
      </c>
      <c r="D1700" t="s">
        <v>130</v>
      </c>
      <c r="E1700" t="s">
        <v>377</v>
      </c>
      <c r="F1700" t="s">
        <v>310</v>
      </c>
      <c r="G1700" t="s">
        <v>343</v>
      </c>
      <c r="H1700" t="s">
        <v>111</v>
      </c>
      <c r="I1700">
        <v>2021</v>
      </c>
      <c r="J1700" t="s">
        <v>379</v>
      </c>
      <c r="K1700" t="s">
        <v>546</v>
      </c>
      <c r="L1700" s="784">
        <v>232501.58</v>
      </c>
      <c r="M1700" t="s">
        <v>745</v>
      </c>
      <c r="P1700" t="s">
        <v>1887</v>
      </c>
      <c r="R1700" t="s">
        <v>150</v>
      </c>
      <c r="S1700" t="s">
        <v>145</v>
      </c>
      <c r="U1700">
        <v>0</v>
      </c>
      <c r="V1700" t="s">
        <v>544</v>
      </c>
      <c r="W1700" t="s">
        <v>558</v>
      </c>
      <c r="X1700" s="784">
        <v>680289736.30082119</v>
      </c>
    </row>
    <row r="1701" spans="1:24">
      <c r="A1701" t="s">
        <v>358</v>
      </c>
      <c r="B1701" t="s">
        <v>611</v>
      </c>
      <c r="C1701" t="s">
        <v>216</v>
      </c>
      <c r="D1701" t="s">
        <v>132</v>
      </c>
      <c r="E1701" t="s">
        <v>377</v>
      </c>
      <c r="F1701" t="s">
        <v>310</v>
      </c>
      <c r="G1701" t="s">
        <v>343</v>
      </c>
      <c r="H1701" t="s">
        <v>111</v>
      </c>
      <c r="I1701">
        <v>2021</v>
      </c>
      <c r="J1701" t="s">
        <v>379</v>
      </c>
      <c r="K1701" t="s">
        <v>546</v>
      </c>
      <c r="L1701" s="784">
        <v>10181364</v>
      </c>
      <c r="M1701" t="s">
        <v>745</v>
      </c>
      <c r="P1701" t="s">
        <v>1887</v>
      </c>
      <c r="R1701" t="s">
        <v>150</v>
      </c>
      <c r="S1701" t="s">
        <v>145</v>
      </c>
      <c r="U1701">
        <v>0</v>
      </c>
      <c r="V1701" t="s">
        <v>544</v>
      </c>
      <c r="W1701" t="s">
        <v>546</v>
      </c>
      <c r="X1701" s="784">
        <v>26554332750.47023</v>
      </c>
    </row>
    <row r="1702" spans="1:24">
      <c r="A1702" t="s">
        <v>358</v>
      </c>
      <c r="B1702" t="s">
        <v>612</v>
      </c>
      <c r="C1702" t="s">
        <v>217</v>
      </c>
      <c r="D1702" t="s">
        <v>126</v>
      </c>
      <c r="E1702" t="s">
        <v>377</v>
      </c>
      <c r="F1702" t="s">
        <v>310</v>
      </c>
      <c r="G1702" t="s">
        <v>343</v>
      </c>
      <c r="H1702" t="s">
        <v>111</v>
      </c>
      <c r="I1702">
        <v>2021</v>
      </c>
      <c r="J1702" t="s">
        <v>379</v>
      </c>
      <c r="K1702" t="s">
        <v>546</v>
      </c>
      <c r="L1702" s="784">
        <v>115000</v>
      </c>
      <c r="M1702" t="s">
        <v>745</v>
      </c>
      <c r="P1702" t="s">
        <v>1887</v>
      </c>
      <c r="R1702" t="s">
        <v>150</v>
      </c>
      <c r="S1702" t="s">
        <v>145</v>
      </c>
      <c r="U1702">
        <v>0</v>
      </c>
      <c r="V1702" t="s">
        <v>544</v>
      </c>
      <c r="W1702" t="s">
        <v>546</v>
      </c>
      <c r="X1702" s="784">
        <v>14745961064.890842</v>
      </c>
    </row>
    <row r="1703" spans="1:24">
      <c r="A1703" t="s">
        <v>358</v>
      </c>
      <c r="B1703" t="s">
        <v>613</v>
      </c>
      <c r="C1703" t="s">
        <v>149</v>
      </c>
      <c r="D1703" t="s">
        <v>131</v>
      </c>
      <c r="E1703" t="s">
        <v>377</v>
      </c>
      <c r="F1703" t="s">
        <v>310</v>
      </c>
      <c r="G1703" t="s">
        <v>343</v>
      </c>
      <c r="H1703" t="s">
        <v>111</v>
      </c>
      <c r="I1703">
        <v>2021</v>
      </c>
      <c r="J1703" t="s">
        <v>379</v>
      </c>
      <c r="K1703" t="s">
        <v>546</v>
      </c>
      <c r="L1703" s="784">
        <v>0</v>
      </c>
      <c r="M1703" t="s">
        <v>745</v>
      </c>
      <c r="P1703" t="s">
        <v>1887</v>
      </c>
      <c r="R1703" t="s">
        <v>150</v>
      </c>
      <c r="S1703" t="s">
        <v>146</v>
      </c>
      <c r="U1703">
        <v>0</v>
      </c>
      <c r="V1703" t="s">
        <v>544</v>
      </c>
      <c r="W1703" t="s">
        <v>546</v>
      </c>
      <c r="X1703" s="784">
        <v>18194076299.786381</v>
      </c>
    </row>
    <row r="1704" spans="1:24">
      <c r="A1704" t="s">
        <v>358</v>
      </c>
      <c r="B1704" t="s">
        <v>614</v>
      </c>
      <c r="C1704" t="s">
        <v>218</v>
      </c>
      <c r="D1704" t="s">
        <v>131</v>
      </c>
      <c r="E1704" t="s">
        <v>377</v>
      </c>
      <c r="F1704" t="s">
        <v>310</v>
      </c>
      <c r="G1704" t="s">
        <v>343</v>
      </c>
      <c r="H1704" t="s">
        <v>111</v>
      </c>
      <c r="I1704">
        <v>2021</v>
      </c>
      <c r="J1704" t="s">
        <v>379</v>
      </c>
      <c r="K1704" t="s">
        <v>546</v>
      </c>
      <c r="L1704" s="784">
        <v>0</v>
      </c>
      <c r="M1704" t="s">
        <v>745</v>
      </c>
      <c r="P1704" t="s">
        <v>1887</v>
      </c>
      <c r="R1704" t="s">
        <v>152</v>
      </c>
      <c r="S1704" t="s">
        <v>146</v>
      </c>
      <c r="U1704">
        <v>0</v>
      </c>
      <c r="V1704" t="s">
        <v>544</v>
      </c>
      <c r="W1704" t="s">
        <v>546</v>
      </c>
      <c r="X1704" s="784">
        <v>4428819387.769825</v>
      </c>
    </row>
    <row r="1705" spans="1:24">
      <c r="A1705" t="s">
        <v>358</v>
      </c>
      <c r="B1705" t="s">
        <v>615</v>
      </c>
      <c r="C1705" t="s">
        <v>219</v>
      </c>
      <c r="D1705" t="s">
        <v>130</v>
      </c>
      <c r="E1705" t="s">
        <v>377</v>
      </c>
      <c r="F1705" t="s">
        <v>310</v>
      </c>
      <c r="G1705" t="s">
        <v>343</v>
      </c>
      <c r="H1705" t="s">
        <v>111</v>
      </c>
      <c r="I1705">
        <v>2021</v>
      </c>
      <c r="J1705" t="s">
        <v>379</v>
      </c>
      <c r="K1705" t="s">
        <v>546</v>
      </c>
      <c r="L1705" s="784">
        <v>0</v>
      </c>
      <c r="M1705" t="s">
        <v>745</v>
      </c>
      <c r="P1705" t="s">
        <v>1887</v>
      </c>
      <c r="R1705" t="s">
        <v>152</v>
      </c>
      <c r="S1705" t="s">
        <v>146</v>
      </c>
      <c r="U1705">
        <v>0</v>
      </c>
      <c r="V1705" t="s">
        <v>541</v>
      </c>
      <c r="W1705" t="s">
        <v>575</v>
      </c>
      <c r="X1705" s="784">
        <v>611739560.62679195</v>
      </c>
    </row>
    <row r="1706" spans="1:24">
      <c r="A1706" t="s">
        <v>358</v>
      </c>
      <c r="B1706" t="s">
        <v>616</v>
      </c>
      <c r="C1706" t="s">
        <v>220</v>
      </c>
      <c r="D1706" t="s">
        <v>131</v>
      </c>
      <c r="E1706" t="s">
        <v>377</v>
      </c>
      <c r="F1706" t="s">
        <v>310</v>
      </c>
      <c r="G1706" t="s">
        <v>343</v>
      </c>
      <c r="H1706" t="s">
        <v>111</v>
      </c>
      <c r="I1706">
        <v>2021</v>
      </c>
      <c r="J1706" t="s">
        <v>379</v>
      </c>
      <c r="K1706" t="s">
        <v>546</v>
      </c>
      <c r="L1706" s="784">
        <v>0</v>
      </c>
      <c r="M1706" t="s">
        <v>745</v>
      </c>
      <c r="P1706" t="s">
        <v>1887</v>
      </c>
      <c r="R1706" t="s">
        <v>152</v>
      </c>
      <c r="S1706" t="s">
        <v>146</v>
      </c>
      <c r="U1706">
        <v>0</v>
      </c>
      <c r="V1706" t="s">
        <v>544</v>
      </c>
      <c r="W1706" t="s">
        <v>546</v>
      </c>
      <c r="X1706" s="784">
        <v>1617913383.0481031</v>
      </c>
    </row>
    <row r="1707" spans="1:24">
      <c r="A1707" t="s">
        <v>358</v>
      </c>
      <c r="B1707" t="s">
        <v>617</v>
      </c>
      <c r="C1707" t="s">
        <v>221</v>
      </c>
      <c r="D1707" t="s">
        <v>127</v>
      </c>
      <c r="E1707" t="s">
        <v>377</v>
      </c>
      <c r="F1707" t="s">
        <v>310</v>
      </c>
      <c r="G1707" t="s">
        <v>343</v>
      </c>
      <c r="H1707" t="s">
        <v>111</v>
      </c>
      <c r="I1707">
        <v>2021</v>
      </c>
      <c r="J1707" t="s">
        <v>379</v>
      </c>
      <c r="K1707" t="s">
        <v>546</v>
      </c>
      <c r="L1707" s="784">
        <v>0</v>
      </c>
      <c r="M1707" t="s">
        <v>745</v>
      </c>
      <c r="P1707" t="s">
        <v>1887</v>
      </c>
      <c r="R1707" t="s">
        <v>152</v>
      </c>
      <c r="S1707" t="s">
        <v>146</v>
      </c>
      <c r="U1707">
        <v>0</v>
      </c>
      <c r="V1707" t="s">
        <v>544</v>
      </c>
      <c r="W1707" t="s">
        <v>575</v>
      </c>
      <c r="X1707" s="784">
        <v>3074419112.4562683</v>
      </c>
    </row>
    <row r="1708" spans="1:24">
      <c r="A1708" t="s">
        <v>358</v>
      </c>
      <c r="B1708" t="s">
        <v>618</v>
      </c>
      <c r="C1708" t="s">
        <v>222</v>
      </c>
      <c r="D1708" t="s">
        <v>128</v>
      </c>
      <c r="E1708" t="s">
        <v>377</v>
      </c>
      <c r="F1708" t="s">
        <v>310</v>
      </c>
      <c r="G1708" t="s">
        <v>343</v>
      </c>
      <c r="H1708" t="s">
        <v>111</v>
      </c>
      <c r="I1708">
        <v>2021</v>
      </c>
      <c r="J1708" t="s">
        <v>379</v>
      </c>
      <c r="K1708" t="s">
        <v>546</v>
      </c>
      <c r="L1708" s="784">
        <v>196345</v>
      </c>
      <c r="M1708" t="s">
        <v>745</v>
      </c>
      <c r="P1708" t="s">
        <v>1887</v>
      </c>
      <c r="R1708" t="s">
        <v>150</v>
      </c>
      <c r="S1708" t="s">
        <v>145</v>
      </c>
      <c r="U1708">
        <v>0</v>
      </c>
      <c r="V1708" t="s">
        <v>544</v>
      </c>
      <c r="W1708" t="s">
        <v>542</v>
      </c>
      <c r="X1708" s="784">
        <v>1914014279.8929913</v>
      </c>
    </row>
    <row r="1709" spans="1:24">
      <c r="A1709" t="s">
        <v>358</v>
      </c>
      <c r="B1709" t="s">
        <v>619</v>
      </c>
      <c r="C1709" t="s">
        <v>223</v>
      </c>
      <c r="D1709" t="s">
        <v>126</v>
      </c>
      <c r="E1709" t="s">
        <v>377</v>
      </c>
      <c r="F1709" t="s">
        <v>310</v>
      </c>
      <c r="G1709" t="s">
        <v>343</v>
      </c>
      <c r="H1709" t="s">
        <v>111</v>
      </c>
      <c r="I1709">
        <v>2021</v>
      </c>
      <c r="J1709" t="s">
        <v>379</v>
      </c>
      <c r="K1709" t="s">
        <v>546</v>
      </c>
      <c r="L1709" s="784">
        <v>0</v>
      </c>
      <c r="M1709" t="s">
        <v>745</v>
      </c>
      <c r="P1709" t="s">
        <v>1887</v>
      </c>
      <c r="R1709" t="s">
        <v>150</v>
      </c>
      <c r="S1709" t="s">
        <v>145</v>
      </c>
      <c r="U1709">
        <v>0</v>
      </c>
      <c r="V1709" t="s">
        <v>541</v>
      </c>
      <c r="W1709" t="s">
        <v>542</v>
      </c>
      <c r="X1709" s="784">
        <v>17422005.762907442</v>
      </c>
    </row>
    <row r="1710" spans="1:24">
      <c r="A1710" t="s">
        <v>358</v>
      </c>
      <c r="B1710" t="s">
        <v>620</v>
      </c>
      <c r="C1710" t="s">
        <v>224</v>
      </c>
      <c r="D1710" t="s">
        <v>126</v>
      </c>
      <c r="E1710" t="s">
        <v>377</v>
      </c>
      <c r="F1710" t="s">
        <v>310</v>
      </c>
      <c r="G1710" t="s">
        <v>343</v>
      </c>
      <c r="H1710" t="s">
        <v>111</v>
      </c>
      <c r="I1710">
        <v>2021</v>
      </c>
      <c r="J1710" t="s">
        <v>379</v>
      </c>
      <c r="K1710" t="s">
        <v>546</v>
      </c>
      <c r="L1710" s="784">
        <v>0</v>
      </c>
      <c r="M1710" t="s">
        <v>745</v>
      </c>
      <c r="P1710" t="s">
        <v>1887</v>
      </c>
      <c r="R1710" t="s">
        <v>148</v>
      </c>
      <c r="S1710" t="s">
        <v>145</v>
      </c>
      <c r="U1710">
        <v>0</v>
      </c>
      <c r="V1710" t="s">
        <v>544</v>
      </c>
      <c r="W1710" t="s">
        <v>546</v>
      </c>
      <c r="X1710" s="784" t="s">
        <v>575</v>
      </c>
    </row>
    <row r="1711" spans="1:24">
      <c r="A1711" t="s">
        <v>358</v>
      </c>
      <c r="B1711" t="s">
        <v>621</v>
      </c>
      <c r="C1711" t="s">
        <v>225</v>
      </c>
      <c r="D1711" t="s">
        <v>127</v>
      </c>
      <c r="E1711" t="s">
        <v>377</v>
      </c>
      <c r="F1711" t="s">
        <v>310</v>
      </c>
      <c r="G1711" t="s">
        <v>343</v>
      </c>
      <c r="H1711" t="s">
        <v>111</v>
      </c>
      <c r="I1711">
        <v>2021</v>
      </c>
      <c r="J1711" t="s">
        <v>379</v>
      </c>
      <c r="K1711" t="s">
        <v>546</v>
      </c>
      <c r="L1711" s="784">
        <v>27000</v>
      </c>
      <c r="M1711" t="s">
        <v>745</v>
      </c>
      <c r="P1711" t="s">
        <v>1887</v>
      </c>
      <c r="R1711" t="s">
        <v>152</v>
      </c>
      <c r="S1711" t="s">
        <v>145</v>
      </c>
      <c r="U1711">
        <v>0</v>
      </c>
      <c r="V1711" t="s">
        <v>544</v>
      </c>
      <c r="W1711" t="s">
        <v>548</v>
      </c>
      <c r="X1711" s="784" t="s">
        <v>575</v>
      </c>
    </row>
    <row r="1712" spans="1:24">
      <c r="A1712" t="s">
        <v>358</v>
      </c>
      <c r="B1712" t="s">
        <v>622</v>
      </c>
      <c r="C1712" t="s">
        <v>226</v>
      </c>
      <c r="D1712" t="s">
        <v>127</v>
      </c>
      <c r="E1712" t="s">
        <v>377</v>
      </c>
      <c r="F1712" t="s">
        <v>310</v>
      </c>
      <c r="G1712" t="s">
        <v>343</v>
      </c>
      <c r="H1712" t="s">
        <v>111</v>
      </c>
      <c r="I1712">
        <v>2021</v>
      </c>
      <c r="J1712" t="s">
        <v>379</v>
      </c>
      <c r="K1712" t="s">
        <v>546</v>
      </c>
      <c r="L1712" s="784">
        <v>161891</v>
      </c>
      <c r="M1712" t="s">
        <v>745</v>
      </c>
      <c r="P1712" t="s">
        <v>1887</v>
      </c>
      <c r="R1712" t="s">
        <v>150</v>
      </c>
      <c r="S1712" t="s">
        <v>145</v>
      </c>
      <c r="U1712">
        <v>2</v>
      </c>
      <c r="V1712" t="s">
        <v>544</v>
      </c>
      <c r="W1712" t="s">
        <v>562</v>
      </c>
      <c r="X1712" s="784">
        <v>231506834.84347546</v>
      </c>
    </row>
    <row r="1713" spans="1:24">
      <c r="A1713" t="s">
        <v>358</v>
      </c>
      <c r="B1713" t="s">
        <v>623</v>
      </c>
      <c r="C1713" t="s">
        <v>227</v>
      </c>
      <c r="D1713" t="s">
        <v>126</v>
      </c>
      <c r="E1713" t="s">
        <v>377</v>
      </c>
      <c r="F1713" t="s">
        <v>310</v>
      </c>
      <c r="G1713" t="s">
        <v>343</v>
      </c>
      <c r="H1713" t="s">
        <v>111</v>
      </c>
      <c r="I1713">
        <v>2021</v>
      </c>
      <c r="J1713" t="s">
        <v>379</v>
      </c>
      <c r="K1713" t="s">
        <v>546</v>
      </c>
      <c r="L1713" s="784">
        <v>177570</v>
      </c>
      <c r="M1713" t="s">
        <v>745</v>
      </c>
      <c r="P1713" t="s">
        <v>1887</v>
      </c>
      <c r="R1713" t="s">
        <v>150</v>
      </c>
      <c r="S1713" t="s">
        <v>145</v>
      </c>
      <c r="U1713">
        <v>0</v>
      </c>
      <c r="V1713" t="s">
        <v>544</v>
      </c>
      <c r="W1713" t="s">
        <v>542</v>
      </c>
      <c r="X1713" s="784">
        <v>156059428.62944782</v>
      </c>
    </row>
    <row r="1714" spans="1:24">
      <c r="A1714" t="s">
        <v>358</v>
      </c>
      <c r="B1714" t="s">
        <v>624</v>
      </c>
      <c r="C1714" t="s">
        <v>228</v>
      </c>
      <c r="D1714" t="s">
        <v>131</v>
      </c>
      <c r="E1714" t="s">
        <v>377</v>
      </c>
      <c r="F1714" t="s">
        <v>310</v>
      </c>
      <c r="G1714" t="s">
        <v>343</v>
      </c>
      <c r="H1714" t="s">
        <v>111</v>
      </c>
      <c r="I1714">
        <v>2021</v>
      </c>
      <c r="J1714" t="s">
        <v>379</v>
      </c>
      <c r="K1714" t="s">
        <v>546</v>
      </c>
      <c r="L1714" s="784">
        <v>0</v>
      </c>
      <c r="M1714" t="s">
        <v>745</v>
      </c>
      <c r="P1714" t="s">
        <v>1887</v>
      </c>
      <c r="R1714" t="s">
        <v>152</v>
      </c>
      <c r="S1714" t="s">
        <v>146</v>
      </c>
      <c r="U1714">
        <v>0</v>
      </c>
      <c r="V1714" t="s">
        <v>544</v>
      </c>
      <c r="W1714" t="s">
        <v>546</v>
      </c>
      <c r="X1714" s="784">
        <v>2355391507.1635861</v>
      </c>
    </row>
    <row r="1715" spans="1:24">
      <c r="A1715" t="s">
        <v>358</v>
      </c>
      <c r="B1715" t="s">
        <v>625</v>
      </c>
      <c r="C1715" t="s">
        <v>229</v>
      </c>
      <c r="D1715" t="s">
        <v>128</v>
      </c>
      <c r="E1715" t="s">
        <v>377</v>
      </c>
      <c r="F1715" t="s">
        <v>310</v>
      </c>
      <c r="G1715" t="s">
        <v>343</v>
      </c>
      <c r="H1715" t="s">
        <v>111</v>
      </c>
      <c r="I1715">
        <v>2021</v>
      </c>
      <c r="J1715" t="s">
        <v>379</v>
      </c>
      <c r="K1715" t="s">
        <v>546</v>
      </c>
      <c r="L1715" s="784">
        <v>117165</v>
      </c>
      <c r="M1715" t="s">
        <v>745</v>
      </c>
      <c r="P1715" t="s">
        <v>1887</v>
      </c>
      <c r="R1715" t="s">
        <v>150</v>
      </c>
      <c r="S1715" t="s">
        <v>145</v>
      </c>
      <c r="U1715">
        <v>0</v>
      </c>
      <c r="V1715" t="s">
        <v>544</v>
      </c>
      <c r="W1715" t="s">
        <v>562</v>
      </c>
      <c r="X1715" s="784">
        <v>152760919.7684873</v>
      </c>
    </row>
    <row r="1716" spans="1:24">
      <c r="A1716" t="s">
        <v>358</v>
      </c>
      <c r="B1716" t="s">
        <v>626</v>
      </c>
      <c r="C1716" t="s">
        <v>230</v>
      </c>
      <c r="D1716" t="s">
        <v>129</v>
      </c>
      <c r="E1716" t="s">
        <v>377</v>
      </c>
      <c r="F1716" t="s">
        <v>310</v>
      </c>
      <c r="G1716" t="s">
        <v>343</v>
      </c>
      <c r="H1716" t="s">
        <v>111</v>
      </c>
      <c r="I1716">
        <v>2021</v>
      </c>
      <c r="J1716" t="s">
        <v>379</v>
      </c>
      <c r="K1716" t="s">
        <v>546</v>
      </c>
      <c r="L1716" s="784">
        <v>147123.23000000001</v>
      </c>
      <c r="M1716" t="s">
        <v>745</v>
      </c>
      <c r="P1716" t="s">
        <v>1887</v>
      </c>
      <c r="R1716" t="s">
        <v>148</v>
      </c>
      <c r="S1716" t="s">
        <v>145</v>
      </c>
      <c r="U1716">
        <v>0</v>
      </c>
      <c r="V1716" t="s">
        <v>544</v>
      </c>
      <c r="W1716" t="s">
        <v>542</v>
      </c>
      <c r="X1716" s="784">
        <v>55072006.864440605</v>
      </c>
    </row>
    <row r="1717" spans="1:24">
      <c r="A1717" t="s">
        <v>358</v>
      </c>
      <c r="B1717" t="s">
        <v>627</v>
      </c>
      <c r="C1717" t="s">
        <v>231</v>
      </c>
      <c r="D1717" t="s">
        <v>131</v>
      </c>
      <c r="E1717" t="s">
        <v>377</v>
      </c>
      <c r="F1717" t="s">
        <v>310</v>
      </c>
      <c r="G1717" t="s">
        <v>343</v>
      </c>
      <c r="H1717" t="s">
        <v>111</v>
      </c>
      <c r="I1717">
        <v>2021</v>
      </c>
      <c r="J1717" t="s">
        <v>379</v>
      </c>
      <c r="K1717" t="s">
        <v>546</v>
      </c>
      <c r="L1717" s="784">
        <v>0</v>
      </c>
      <c r="M1717" t="s">
        <v>745</v>
      </c>
      <c r="P1717" t="s">
        <v>1887</v>
      </c>
      <c r="R1717" t="s">
        <v>152</v>
      </c>
      <c r="S1717" t="s">
        <v>146</v>
      </c>
      <c r="U1717">
        <v>0</v>
      </c>
      <c r="V1717" t="s">
        <v>544</v>
      </c>
      <c r="W1717" t="s">
        <v>546</v>
      </c>
      <c r="X1717" s="784" t="s">
        <v>575</v>
      </c>
    </row>
    <row r="1718" spans="1:24">
      <c r="A1718" t="s">
        <v>358</v>
      </c>
      <c r="B1718" t="s">
        <v>628</v>
      </c>
      <c r="C1718" t="s">
        <v>232</v>
      </c>
      <c r="D1718" t="s">
        <v>128</v>
      </c>
      <c r="E1718" t="s">
        <v>377</v>
      </c>
      <c r="F1718" t="s">
        <v>310</v>
      </c>
      <c r="G1718" t="s">
        <v>343</v>
      </c>
      <c r="H1718" t="s">
        <v>111</v>
      </c>
      <c r="I1718">
        <v>2021</v>
      </c>
      <c r="J1718" t="s">
        <v>379</v>
      </c>
      <c r="K1718" t="s">
        <v>546</v>
      </c>
      <c r="L1718" s="784">
        <v>487213.8</v>
      </c>
      <c r="M1718" t="s">
        <v>745</v>
      </c>
      <c r="P1718" t="s">
        <v>1887</v>
      </c>
      <c r="R1718" t="s">
        <v>148</v>
      </c>
      <c r="S1718" t="s">
        <v>145</v>
      </c>
      <c r="U1718">
        <v>2</v>
      </c>
      <c r="V1718" t="s">
        <v>544</v>
      </c>
      <c r="W1718" t="s">
        <v>562</v>
      </c>
      <c r="X1718" s="784">
        <v>206914157.05429548</v>
      </c>
    </row>
    <row r="1719" spans="1:24">
      <c r="A1719" t="s">
        <v>358</v>
      </c>
      <c r="B1719" t="s">
        <v>629</v>
      </c>
      <c r="C1719" t="s">
        <v>233</v>
      </c>
      <c r="D1719" t="s">
        <v>128</v>
      </c>
      <c r="E1719" t="s">
        <v>377</v>
      </c>
      <c r="F1719" t="s">
        <v>310</v>
      </c>
      <c r="G1719" t="s">
        <v>343</v>
      </c>
      <c r="H1719" t="s">
        <v>111</v>
      </c>
      <c r="I1719">
        <v>2021</v>
      </c>
      <c r="J1719" t="s">
        <v>379</v>
      </c>
      <c r="K1719" t="s">
        <v>546</v>
      </c>
      <c r="L1719" s="784">
        <v>121579</v>
      </c>
      <c r="M1719" t="s">
        <v>745</v>
      </c>
      <c r="P1719" t="s">
        <v>1887</v>
      </c>
      <c r="R1719" t="s">
        <v>148</v>
      </c>
      <c r="S1719" t="s">
        <v>145</v>
      </c>
      <c r="U1719">
        <v>2</v>
      </c>
      <c r="V1719" t="s">
        <v>544</v>
      </c>
      <c r="W1719" t="s">
        <v>542</v>
      </c>
      <c r="X1719" s="784">
        <v>185999915.02066413</v>
      </c>
    </row>
    <row r="1720" spans="1:24">
      <c r="A1720" t="s">
        <v>358</v>
      </c>
      <c r="B1720" t="s">
        <v>630</v>
      </c>
      <c r="C1720" t="s">
        <v>234</v>
      </c>
      <c r="D1720" t="s">
        <v>126</v>
      </c>
      <c r="E1720" t="s">
        <v>377</v>
      </c>
      <c r="F1720" t="s">
        <v>310</v>
      </c>
      <c r="G1720" t="s">
        <v>343</v>
      </c>
      <c r="H1720" t="s">
        <v>111</v>
      </c>
      <c r="I1720">
        <v>2021</v>
      </c>
      <c r="J1720" t="s">
        <v>379</v>
      </c>
      <c r="K1720" t="s">
        <v>546</v>
      </c>
      <c r="L1720" s="784">
        <v>0</v>
      </c>
      <c r="M1720" t="s">
        <v>745</v>
      </c>
      <c r="P1720" t="s">
        <v>1887</v>
      </c>
      <c r="R1720" t="s">
        <v>152</v>
      </c>
      <c r="S1720" t="s">
        <v>146</v>
      </c>
      <c r="U1720">
        <v>0</v>
      </c>
      <c r="V1720" t="s">
        <v>544</v>
      </c>
      <c r="W1720" t="s">
        <v>575</v>
      </c>
      <c r="X1720" s="784">
        <v>6893755763.2501726</v>
      </c>
    </row>
    <row r="1721" spans="1:24">
      <c r="A1721" t="s">
        <v>358</v>
      </c>
      <c r="B1721" t="s">
        <v>631</v>
      </c>
      <c r="C1721" t="s">
        <v>235</v>
      </c>
      <c r="D1721" t="s">
        <v>132</v>
      </c>
      <c r="E1721" t="s">
        <v>377</v>
      </c>
      <c r="F1721" t="s">
        <v>310</v>
      </c>
      <c r="G1721" t="s">
        <v>343</v>
      </c>
      <c r="H1721" t="s">
        <v>111</v>
      </c>
      <c r="I1721">
        <v>2021</v>
      </c>
      <c r="J1721" t="s">
        <v>379</v>
      </c>
      <c r="K1721" t="s">
        <v>546</v>
      </c>
      <c r="L1721" s="784">
        <v>490000.00000000006</v>
      </c>
      <c r="M1721" t="s">
        <v>745</v>
      </c>
      <c r="P1721" t="s">
        <v>1887</v>
      </c>
      <c r="R1721" t="s">
        <v>152</v>
      </c>
      <c r="S1721" t="s">
        <v>145</v>
      </c>
      <c r="U1721">
        <v>0</v>
      </c>
      <c r="V1721" t="s">
        <v>541</v>
      </c>
      <c r="W1721" t="s">
        <v>542</v>
      </c>
      <c r="X1721" s="784">
        <v>354560231.58276606</v>
      </c>
    </row>
    <row r="1722" spans="1:24">
      <c r="A1722" t="s">
        <v>358</v>
      </c>
      <c r="B1722" t="s">
        <v>632</v>
      </c>
      <c r="C1722" t="s">
        <v>236</v>
      </c>
      <c r="D1722" t="s">
        <v>129</v>
      </c>
      <c r="E1722" t="s">
        <v>377</v>
      </c>
      <c r="F1722" t="s">
        <v>310</v>
      </c>
      <c r="G1722" t="s">
        <v>343</v>
      </c>
      <c r="H1722" t="s">
        <v>111</v>
      </c>
      <c r="I1722">
        <v>2021</v>
      </c>
      <c r="J1722" t="s">
        <v>379</v>
      </c>
      <c r="K1722" t="s">
        <v>546</v>
      </c>
      <c r="L1722" s="784">
        <v>487920</v>
      </c>
      <c r="M1722" t="s">
        <v>745</v>
      </c>
      <c r="P1722" t="s">
        <v>1887</v>
      </c>
      <c r="R1722" t="s">
        <v>148</v>
      </c>
      <c r="S1722" t="s">
        <v>145</v>
      </c>
      <c r="U1722">
        <v>1</v>
      </c>
      <c r="V1722" t="s">
        <v>544</v>
      </c>
      <c r="W1722" t="s">
        <v>562</v>
      </c>
      <c r="X1722" s="784">
        <v>188169167.56540567</v>
      </c>
    </row>
    <row r="1723" spans="1:24">
      <c r="A1723" t="s">
        <v>358</v>
      </c>
      <c r="B1723" t="s">
        <v>633</v>
      </c>
      <c r="C1723" t="s">
        <v>237</v>
      </c>
      <c r="D1723" t="s">
        <v>126</v>
      </c>
      <c r="E1723" t="s">
        <v>377</v>
      </c>
      <c r="F1723" t="s">
        <v>310</v>
      </c>
      <c r="G1723" t="s">
        <v>343</v>
      </c>
      <c r="H1723" t="s">
        <v>111</v>
      </c>
      <c r="I1723">
        <v>2021</v>
      </c>
      <c r="J1723" t="s">
        <v>379</v>
      </c>
      <c r="K1723" t="s">
        <v>546</v>
      </c>
      <c r="L1723" s="784">
        <v>65000</v>
      </c>
      <c r="M1723" t="s">
        <v>745</v>
      </c>
      <c r="P1723" t="s">
        <v>1887</v>
      </c>
      <c r="R1723" t="s">
        <v>152</v>
      </c>
      <c r="S1723" t="s">
        <v>145</v>
      </c>
      <c r="U1723">
        <v>0</v>
      </c>
      <c r="V1723" t="s">
        <v>541</v>
      </c>
      <c r="W1723" t="s">
        <v>575</v>
      </c>
      <c r="X1723" s="784">
        <v>16312106.556340856</v>
      </c>
    </row>
    <row r="1724" spans="1:24">
      <c r="A1724" t="s">
        <v>358</v>
      </c>
      <c r="B1724" t="s">
        <v>634</v>
      </c>
      <c r="C1724" t="s">
        <v>238</v>
      </c>
      <c r="D1724" t="s">
        <v>129</v>
      </c>
      <c r="E1724" t="s">
        <v>377</v>
      </c>
      <c r="F1724" t="s">
        <v>310</v>
      </c>
      <c r="G1724" t="s">
        <v>343</v>
      </c>
      <c r="H1724" t="s">
        <v>111</v>
      </c>
      <c r="I1724">
        <v>2021</v>
      </c>
      <c r="J1724" t="s">
        <v>379</v>
      </c>
      <c r="K1724" t="s">
        <v>546</v>
      </c>
      <c r="L1724" s="784">
        <v>194913.52</v>
      </c>
      <c r="M1724" t="s">
        <v>745</v>
      </c>
      <c r="P1724" t="s">
        <v>1887</v>
      </c>
      <c r="R1724" t="s">
        <v>150</v>
      </c>
      <c r="S1724" t="s">
        <v>145</v>
      </c>
      <c r="U1724">
        <v>2</v>
      </c>
      <c r="V1724" t="s">
        <v>544</v>
      </c>
      <c r="W1724" t="s">
        <v>542</v>
      </c>
      <c r="X1724" s="784">
        <v>86083833.534053758</v>
      </c>
    </row>
    <row r="1725" spans="1:24">
      <c r="A1725" t="s">
        <v>358</v>
      </c>
      <c r="B1725" t="s">
        <v>635</v>
      </c>
      <c r="C1725" t="s">
        <v>239</v>
      </c>
      <c r="D1725" t="s">
        <v>128</v>
      </c>
      <c r="E1725" t="s">
        <v>377</v>
      </c>
      <c r="F1725" t="s">
        <v>310</v>
      </c>
      <c r="G1725" t="s">
        <v>343</v>
      </c>
      <c r="H1725" t="s">
        <v>111</v>
      </c>
      <c r="I1725">
        <v>2021</v>
      </c>
      <c r="J1725" t="s">
        <v>379</v>
      </c>
      <c r="K1725" t="s">
        <v>546</v>
      </c>
      <c r="L1725" s="784">
        <v>0</v>
      </c>
      <c r="M1725" t="s">
        <v>745</v>
      </c>
      <c r="P1725" t="s">
        <v>1887</v>
      </c>
      <c r="R1725" t="s">
        <v>152</v>
      </c>
      <c r="S1725" t="s">
        <v>146</v>
      </c>
      <c r="U1725">
        <v>0</v>
      </c>
      <c r="V1725" t="s">
        <v>541</v>
      </c>
      <c r="W1725" t="s">
        <v>546</v>
      </c>
      <c r="X1725" s="784">
        <v>357220835.93762809</v>
      </c>
    </row>
    <row r="1726" spans="1:24">
      <c r="A1726" t="s">
        <v>358</v>
      </c>
      <c r="B1726" t="s">
        <v>636</v>
      </c>
      <c r="C1726" t="s">
        <v>240</v>
      </c>
      <c r="D1726" t="s">
        <v>130</v>
      </c>
      <c r="E1726" t="s">
        <v>377</v>
      </c>
      <c r="F1726" t="s">
        <v>310</v>
      </c>
      <c r="G1726" t="s">
        <v>343</v>
      </c>
      <c r="H1726" t="s">
        <v>111</v>
      </c>
      <c r="I1726">
        <v>2021</v>
      </c>
      <c r="J1726" t="s">
        <v>379</v>
      </c>
      <c r="K1726" t="s">
        <v>546</v>
      </c>
      <c r="L1726" s="784">
        <v>0</v>
      </c>
      <c r="M1726" t="s">
        <v>745</v>
      </c>
      <c r="P1726" t="s">
        <v>1887</v>
      </c>
      <c r="R1726" t="s">
        <v>152</v>
      </c>
      <c r="S1726" t="s">
        <v>146</v>
      </c>
      <c r="U1726">
        <v>0</v>
      </c>
      <c r="V1726" t="s">
        <v>544</v>
      </c>
      <c r="W1726" t="s">
        <v>575</v>
      </c>
      <c r="X1726" s="784">
        <v>32831598153.796387</v>
      </c>
    </row>
    <row r="1727" spans="1:24">
      <c r="A1727" t="s">
        <v>358</v>
      </c>
      <c r="B1727" t="s">
        <v>637</v>
      </c>
      <c r="C1727" t="s">
        <v>241</v>
      </c>
      <c r="D1727" t="s">
        <v>126</v>
      </c>
      <c r="E1727" t="s">
        <v>377</v>
      </c>
      <c r="F1727" t="s">
        <v>310</v>
      </c>
      <c r="G1727" t="s">
        <v>343</v>
      </c>
      <c r="H1727" t="s">
        <v>111</v>
      </c>
      <c r="I1727">
        <v>2021</v>
      </c>
      <c r="J1727" t="s">
        <v>379</v>
      </c>
      <c r="K1727" t="s">
        <v>546</v>
      </c>
      <c r="L1727" s="784">
        <v>180000</v>
      </c>
      <c r="M1727" t="s">
        <v>745</v>
      </c>
      <c r="P1727" t="s">
        <v>1887</v>
      </c>
      <c r="R1727" t="s">
        <v>150</v>
      </c>
      <c r="S1727" t="s">
        <v>145</v>
      </c>
      <c r="U1727">
        <v>0</v>
      </c>
      <c r="V1727" t="s">
        <v>541</v>
      </c>
      <c r="W1727" t="s">
        <v>542</v>
      </c>
      <c r="X1727" s="784">
        <v>12329056.093798399</v>
      </c>
    </row>
    <row r="1728" spans="1:24">
      <c r="A1728" t="s">
        <v>358</v>
      </c>
      <c r="B1728" t="s">
        <v>638</v>
      </c>
      <c r="C1728" t="s">
        <v>242</v>
      </c>
      <c r="D1728" t="s">
        <v>127</v>
      </c>
      <c r="E1728" t="s">
        <v>377</v>
      </c>
      <c r="F1728" t="s">
        <v>310</v>
      </c>
      <c r="G1728" t="s">
        <v>343</v>
      </c>
      <c r="H1728" t="s">
        <v>111</v>
      </c>
      <c r="I1728">
        <v>2021</v>
      </c>
      <c r="J1728" t="s">
        <v>379</v>
      </c>
      <c r="K1728" t="s">
        <v>546</v>
      </c>
      <c r="L1728" s="784">
        <v>94999.950000000012</v>
      </c>
      <c r="M1728" t="s">
        <v>745</v>
      </c>
      <c r="P1728" t="s">
        <v>1887</v>
      </c>
      <c r="R1728" t="s">
        <v>152</v>
      </c>
      <c r="S1728" t="s">
        <v>145</v>
      </c>
      <c r="U1728">
        <v>0</v>
      </c>
      <c r="V1728" t="s">
        <v>544</v>
      </c>
      <c r="W1728" t="s">
        <v>558</v>
      </c>
      <c r="X1728" s="784">
        <v>426639742.85328001</v>
      </c>
    </row>
    <row r="1729" spans="1:24">
      <c r="A1729" t="s">
        <v>358</v>
      </c>
      <c r="B1729" t="s">
        <v>639</v>
      </c>
      <c r="C1729" t="s">
        <v>243</v>
      </c>
      <c r="D1729" t="s">
        <v>126</v>
      </c>
      <c r="E1729" t="s">
        <v>377</v>
      </c>
      <c r="F1729" t="s">
        <v>310</v>
      </c>
      <c r="G1729" t="s">
        <v>343</v>
      </c>
      <c r="H1729" t="s">
        <v>111</v>
      </c>
      <c r="I1729">
        <v>2021</v>
      </c>
      <c r="J1729" t="s">
        <v>379</v>
      </c>
      <c r="K1729" t="s">
        <v>546</v>
      </c>
      <c r="L1729" s="784">
        <v>25000</v>
      </c>
      <c r="M1729" t="s">
        <v>745</v>
      </c>
      <c r="P1729" t="s">
        <v>1887</v>
      </c>
      <c r="R1729" t="s">
        <v>150</v>
      </c>
      <c r="S1729" t="s">
        <v>145</v>
      </c>
      <c r="U1729">
        <v>0</v>
      </c>
      <c r="V1729" t="s">
        <v>544</v>
      </c>
      <c r="W1729" t="s">
        <v>548</v>
      </c>
      <c r="X1729" s="784">
        <v>288519671.85870522</v>
      </c>
    </row>
    <row r="1730" spans="1:24">
      <c r="A1730" t="s">
        <v>358</v>
      </c>
      <c r="B1730" t="s">
        <v>640</v>
      </c>
      <c r="C1730" t="s">
        <v>244</v>
      </c>
      <c r="D1730" t="s">
        <v>127</v>
      </c>
      <c r="E1730" t="s">
        <v>377</v>
      </c>
      <c r="F1730" t="s">
        <v>310</v>
      </c>
      <c r="G1730" t="s">
        <v>343</v>
      </c>
      <c r="H1730" t="s">
        <v>111</v>
      </c>
      <c r="I1730">
        <v>2021</v>
      </c>
      <c r="J1730" t="s">
        <v>379</v>
      </c>
      <c r="K1730" t="s">
        <v>546</v>
      </c>
      <c r="L1730" s="784">
        <v>0</v>
      </c>
      <c r="M1730" t="s">
        <v>745</v>
      </c>
      <c r="P1730" t="s">
        <v>1887</v>
      </c>
      <c r="R1730" t="s">
        <v>152</v>
      </c>
      <c r="S1730" t="s">
        <v>146</v>
      </c>
      <c r="U1730">
        <v>0</v>
      </c>
      <c r="V1730" t="s">
        <v>544</v>
      </c>
      <c r="W1730" t="s">
        <v>546</v>
      </c>
      <c r="X1730" s="784">
        <v>275606560.78491527</v>
      </c>
    </row>
    <row r="1731" spans="1:24">
      <c r="A1731" t="s">
        <v>358</v>
      </c>
      <c r="B1731" t="s">
        <v>641</v>
      </c>
      <c r="C1731" t="s">
        <v>245</v>
      </c>
      <c r="D1731" t="s">
        <v>131</v>
      </c>
      <c r="E1731" t="s">
        <v>377</v>
      </c>
      <c r="F1731" t="s">
        <v>310</v>
      </c>
      <c r="G1731" t="s">
        <v>343</v>
      </c>
      <c r="H1731" t="s">
        <v>111</v>
      </c>
      <c r="I1731">
        <v>2021</v>
      </c>
      <c r="J1731" t="s">
        <v>379</v>
      </c>
      <c r="K1731" t="s">
        <v>546</v>
      </c>
      <c r="L1731" s="784">
        <v>66000</v>
      </c>
      <c r="M1731" t="s">
        <v>745</v>
      </c>
      <c r="P1731" t="s">
        <v>1887</v>
      </c>
      <c r="R1731" t="s">
        <v>150</v>
      </c>
      <c r="S1731" t="s">
        <v>145</v>
      </c>
      <c r="U1731">
        <v>0</v>
      </c>
      <c r="V1731" t="s">
        <v>544</v>
      </c>
      <c r="W1731" t="s">
        <v>546</v>
      </c>
      <c r="X1731" s="784">
        <v>2530937679.3725696</v>
      </c>
    </row>
    <row r="1732" spans="1:24">
      <c r="A1732" t="s">
        <v>358</v>
      </c>
      <c r="B1732" t="s">
        <v>642</v>
      </c>
      <c r="C1732" t="s">
        <v>246</v>
      </c>
      <c r="D1732" t="s">
        <v>128</v>
      </c>
      <c r="E1732" t="s">
        <v>377</v>
      </c>
      <c r="F1732" t="s">
        <v>310</v>
      </c>
      <c r="G1732" t="s">
        <v>343</v>
      </c>
      <c r="H1732" t="s">
        <v>111</v>
      </c>
      <c r="I1732">
        <v>2021</v>
      </c>
      <c r="J1732" t="s">
        <v>379</v>
      </c>
      <c r="K1732" t="s">
        <v>546</v>
      </c>
      <c r="L1732" s="784">
        <v>572794.06000000006</v>
      </c>
      <c r="M1732" t="s">
        <v>745</v>
      </c>
      <c r="P1732" t="s">
        <v>1887</v>
      </c>
      <c r="R1732" t="s">
        <v>148</v>
      </c>
      <c r="S1732" t="s">
        <v>145</v>
      </c>
      <c r="U1732">
        <v>0</v>
      </c>
      <c r="V1732" t="s">
        <v>544</v>
      </c>
      <c r="W1732" t="s">
        <v>583</v>
      </c>
      <c r="X1732" s="784">
        <v>251432156.86255455</v>
      </c>
    </row>
    <row r="1733" spans="1:24">
      <c r="A1733" t="s">
        <v>358</v>
      </c>
      <c r="B1733" t="s">
        <v>643</v>
      </c>
      <c r="C1733" t="s">
        <v>247</v>
      </c>
      <c r="D1733" t="s">
        <v>126</v>
      </c>
      <c r="E1733" t="s">
        <v>377</v>
      </c>
      <c r="F1733" t="s">
        <v>310</v>
      </c>
      <c r="G1733" t="s">
        <v>343</v>
      </c>
      <c r="H1733" t="s">
        <v>111</v>
      </c>
      <c r="I1733">
        <v>2021</v>
      </c>
      <c r="J1733" t="s">
        <v>379</v>
      </c>
      <c r="K1733" t="s">
        <v>546</v>
      </c>
      <c r="L1733" s="784">
        <v>630498</v>
      </c>
      <c r="M1733" t="s">
        <v>745</v>
      </c>
      <c r="P1733" t="s">
        <v>1887</v>
      </c>
      <c r="R1733" t="s">
        <v>150</v>
      </c>
      <c r="S1733" t="s">
        <v>145</v>
      </c>
      <c r="U1733">
        <v>0</v>
      </c>
      <c r="V1733" t="s">
        <v>544</v>
      </c>
      <c r="W1733" t="s">
        <v>558</v>
      </c>
      <c r="X1733" s="784">
        <v>471534500.60109437</v>
      </c>
    </row>
    <row r="1734" spans="1:24">
      <c r="A1734" t="s">
        <v>358</v>
      </c>
      <c r="B1734" t="s">
        <v>644</v>
      </c>
      <c r="C1734" t="s">
        <v>248</v>
      </c>
      <c r="D1734" t="s">
        <v>128</v>
      </c>
      <c r="E1734" t="s">
        <v>377</v>
      </c>
      <c r="F1734" t="s">
        <v>310</v>
      </c>
      <c r="G1734" t="s">
        <v>343</v>
      </c>
      <c r="H1734" t="s">
        <v>111</v>
      </c>
      <c r="I1734">
        <v>2021</v>
      </c>
      <c r="J1734" t="s">
        <v>379</v>
      </c>
      <c r="K1734" t="s">
        <v>546</v>
      </c>
      <c r="L1734" s="784">
        <v>0</v>
      </c>
      <c r="M1734" t="s">
        <v>745</v>
      </c>
      <c r="P1734" t="s">
        <v>1887</v>
      </c>
      <c r="R1734" t="s">
        <v>152</v>
      </c>
      <c r="S1734" t="s">
        <v>146</v>
      </c>
      <c r="U1734">
        <v>0</v>
      </c>
      <c r="V1734" t="s">
        <v>544</v>
      </c>
      <c r="W1734" t="s">
        <v>575</v>
      </c>
      <c r="X1734" s="784">
        <v>531677611.80447447</v>
      </c>
    </row>
    <row r="1735" spans="1:24">
      <c r="A1735" t="s">
        <v>358</v>
      </c>
      <c r="B1735" t="s">
        <v>645</v>
      </c>
      <c r="C1735" t="s">
        <v>249</v>
      </c>
      <c r="D1735" t="s">
        <v>126</v>
      </c>
      <c r="E1735" t="s">
        <v>377</v>
      </c>
      <c r="F1735" t="s">
        <v>310</v>
      </c>
      <c r="G1735" t="s">
        <v>343</v>
      </c>
      <c r="H1735" t="s">
        <v>111</v>
      </c>
      <c r="I1735">
        <v>2021</v>
      </c>
      <c r="J1735" t="s">
        <v>379</v>
      </c>
      <c r="K1735" t="s">
        <v>546</v>
      </c>
      <c r="L1735" s="784">
        <v>0</v>
      </c>
      <c r="M1735" t="s">
        <v>745</v>
      </c>
      <c r="P1735" t="s">
        <v>1887</v>
      </c>
      <c r="R1735" t="s">
        <v>550</v>
      </c>
      <c r="S1735" t="s">
        <v>146</v>
      </c>
      <c r="U1735">
        <v>0</v>
      </c>
      <c r="V1735" t="s">
        <v>541</v>
      </c>
      <c r="W1735" t="s">
        <v>575</v>
      </c>
      <c r="X1735" s="784">
        <v>8528751.6418357007</v>
      </c>
    </row>
    <row r="1736" spans="1:24">
      <c r="A1736" t="s">
        <v>358</v>
      </c>
      <c r="B1736" t="s">
        <v>646</v>
      </c>
      <c r="C1736" t="s">
        <v>250</v>
      </c>
      <c r="D1736" t="s">
        <v>132</v>
      </c>
      <c r="E1736" t="s">
        <v>377</v>
      </c>
      <c r="F1736" t="s">
        <v>310</v>
      </c>
      <c r="G1736" t="s">
        <v>343</v>
      </c>
      <c r="H1736" t="s">
        <v>111</v>
      </c>
      <c r="I1736">
        <v>2021</v>
      </c>
      <c r="J1736" t="s">
        <v>379</v>
      </c>
      <c r="K1736" t="s">
        <v>546</v>
      </c>
      <c r="L1736" s="784">
        <v>374143</v>
      </c>
      <c r="M1736" t="s">
        <v>745</v>
      </c>
      <c r="P1736" t="s">
        <v>1887</v>
      </c>
      <c r="R1736" t="s">
        <v>150</v>
      </c>
      <c r="S1736" t="s">
        <v>145</v>
      </c>
      <c r="U1736">
        <v>0</v>
      </c>
      <c r="V1736" t="s">
        <v>544</v>
      </c>
      <c r="W1736" t="s">
        <v>558</v>
      </c>
      <c r="X1736" s="784">
        <v>407084543.19089872</v>
      </c>
    </row>
    <row r="1737" spans="1:24">
      <c r="A1737" t="s">
        <v>358</v>
      </c>
      <c r="B1737" t="s">
        <v>647</v>
      </c>
      <c r="C1737" t="s">
        <v>251</v>
      </c>
      <c r="D1737" t="s">
        <v>130</v>
      </c>
      <c r="E1737" t="s">
        <v>377</v>
      </c>
      <c r="F1737" t="s">
        <v>310</v>
      </c>
      <c r="G1737" t="s">
        <v>343</v>
      </c>
      <c r="H1737" t="s">
        <v>111</v>
      </c>
      <c r="I1737">
        <v>2021</v>
      </c>
      <c r="J1737" t="s">
        <v>379</v>
      </c>
      <c r="K1737" t="s">
        <v>546</v>
      </c>
      <c r="L1737" s="784">
        <v>199223.3</v>
      </c>
      <c r="M1737" t="s">
        <v>745</v>
      </c>
      <c r="P1737" t="s">
        <v>1887</v>
      </c>
      <c r="R1737" t="s">
        <v>150</v>
      </c>
      <c r="S1737" t="s">
        <v>145</v>
      </c>
      <c r="U1737">
        <v>0</v>
      </c>
      <c r="V1737" t="s">
        <v>544</v>
      </c>
      <c r="W1737" t="s">
        <v>562</v>
      </c>
      <c r="X1737" s="784">
        <v>671998341.93592453</v>
      </c>
    </row>
    <row r="1738" spans="1:24">
      <c r="A1738" t="s">
        <v>358</v>
      </c>
      <c r="B1738" t="s">
        <v>648</v>
      </c>
      <c r="C1738" t="s">
        <v>252</v>
      </c>
      <c r="D1738" t="s">
        <v>129</v>
      </c>
      <c r="E1738" t="s">
        <v>377</v>
      </c>
      <c r="F1738" t="s">
        <v>310</v>
      </c>
      <c r="G1738" t="s">
        <v>343</v>
      </c>
      <c r="H1738" t="s">
        <v>111</v>
      </c>
      <c r="I1738">
        <v>2021</v>
      </c>
      <c r="J1738" t="s">
        <v>379</v>
      </c>
      <c r="K1738" t="s">
        <v>546</v>
      </c>
      <c r="L1738" s="784">
        <v>478851</v>
      </c>
      <c r="M1738" t="s">
        <v>745</v>
      </c>
      <c r="P1738" t="s">
        <v>1887</v>
      </c>
      <c r="R1738" t="s">
        <v>148</v>
      </c>
      <c r="S1738" t="s">
        <v>145</v>
      </c>
      <c r="U1738">
        <v>1</v>
      </c>
      <c r="V1738" t="s">
        <v>544</v>
      </c>
      <c r="W1738" t="s">
        <v>562</v>
      </c>
      <c r="X1738" s="784">
        <v>226203289.67158964</v>
      </c>
    </row>
    <row r="1739" spans="1:24">
      <c r="A1739" t="s">
        <v>358</v>
      </c>
      <c r="B1739" t="s">
        <v>649</v>
      </c>
      <c r="C1739" t="s">
        <v>253</v>
      </c>
      <c r="D1739" t="s">
        <v>129</v>
      </c>
      <c r="E1739" t="s">
        <v>377</v>
      </c>
      <c r="F1739" t="s">
        <v>310</v>
      </c>
      <c r="G1739" t="s">
        <v>343</v>
      </c>
      <c r="H1739" t="s">
        <v>111</v>
      </c>
      <c r="I1739">
        <v>2021</v>
      </c>
      <c r="J1739" t="s">
        <v>379</v>
      </c>
      <c r="K1739" t="s">
        <v>546</v>
      </c>
      <c r="L1739" s="784">
        <v>396163</v>
      </c>
      <c r="M1739" t="s">
        <v>745</v>
      </c>
      <c r="P1739" t="s">
        <v>1887</v>
      </c>
      <c r="R1739" t="s">
        <v>150</v>
      </c>
      <c r="S1739" t="s">
        <v>145</v>
      </c>
      <c r="U1739">
        <v>3</v>
      </c>
      <c r="V1739" t="s">
        <v>544</v>
      </c>
      <c r="W1739" t="s">
        <v>548</v>
      </c>
      <c r="X1739" s="784">
        <v>2438881113.1244688</v>
      </c>
    </row>
    <row r="1740" spans="1:24">
      <c r="A1740" t="s">
        <v>358</v>
      </c>
      <c r="B1740" t="s">
        <v>650</v>
      </c>
      <c r="C1740" t="s">
        <v>254</v>
      </c>
      <c r="D1740" t="s">
        <v>127</v>
      </c>
      <c r="E1740" t="s">
        <v>377</v>
      </c>
      <c r="F1740" t="s">
        <v>310</v>
      </c>
      <c r="G1740" t="s">
        <v>343</v>
      </c>
      <c r="H1740" t="s">
        <v>111</v>
      </c>
      <c r="I1740">
        <v>2021</v>
      </c>
      <c r="J1740" t="s">
        <v>379</v>
      </c>
      <c r="K1740" t="s">
        <v>546</v>
      </c>
      <c r="L1740" s="784">
        <v>0</v>
      </c>
      <c r="M1740" t="s">
        <v>745</v>
      </c>
      <c r="P1740" t="s">
        <v>1887</v>
      </c>
      <c r="R1740" t="s">
        <v>152</v>
      </c>
      <c r="S1740" t="s">
        <v>146</v>
      </c>
      <c r="U1740">
        <v>0</v>
      </c>
      <c r="V1740" t="s">
        <v>544</v>
      </c>
      <c r="W1740" t="s">
        <v>575</v>
      </c>
      <c r="X1740" s="784">
        <v>476517795.73174149</v>
      </c>
    </row>
    <row r="1741" spans="1:24">
      <c r="A1741" t="s">
        <v>358</v>
      </c>
      <c r="B1741" t="s">
        <v>651</v>
      </c>
      <c r="C1741" t="s">
        <v>255</v>
      </c>
      <c r="D1741" t="s">
        <v>132</v>
      </c>
      <c r="E1741" t="s">
        <v>377</v>
      </c>
      <c r="F1741" t="s">
        <v>310</v>
      </c>
      <c r="G1741" t="s">
        <v>343</v>
      </c>
      <c r="H1741" t="s">
        <v>111</v>
      </c>
      <c r="I1741">
        <v>2021</v>
      </c>
      <c r="J1741" t="s">
        <v>379</v>
      </c>
      <c r="K1741" t="s">
        <v>546</v>
      </c>
      <c r="L1741" s="784">
        <v>693360</v>
      </c>
      <c r="M1741" t="s">
        <v>745</v>
      </c>
      <c r="P1741" t="s">
        <v>1887</v>
      </c>
      <c r="R1741" t="s">
        <v>150</v>
      </c>
      <c r="S1741" t="s">
        <v>145</v>
      </c>
      <c r="U1741">
        <v>0</v>
      </c>
      <c r="V1741" t="s">
        <v>544</v>
      </c>
      <c r="W1741" t="s">
        <v>548</v>
      </c>
      <c r="X1741" s="784">
        <v>3233351297.7679496</v>
      </c>
    </row>
    <row r="1742" spans="1:24">
      <c r="A1742" t="s">
        <v>358</v>
      </c>
      <c r="B1742" t="s">
        <v>652</v>
      </c>
      <c r="C1742" t="s">
        <v>256</v>
      </c>
      <c r="D1742" t="s">
        <v>130</v>
      </c>
      <c r="E1742" t="s">
        <v>377</v>
      </c>
      <c r="F1742" t="s">
        <v>310</v>
      </c>
      <c r="G1742" t="s">
        <v>343</v>
      </c>
      <c r="H1742" t="s">
        <v>111</v>
      </c>
      <c r="I1742">
        <v>2021</v>
      </c>
      <c r="J1742" t="s">
        <v>379</v>
      </c>
      <c r="K1742" t="s">
        <v>546</v>
      </c>
      <c r="L1742" s="784">
        <v>0</v>
      </c>
      <c r="M1742" t="s">
        <v>745</v>
      </c>
      <c r="P1742" t="s">
        <v>1887</v>
      </c>
      <c r="R1742" t="s">
        <v>550</v>
      </c>
      <c r="S1742" t="s">
        <v>146</v>
      </c>
      <c r="U1742">
        <v>0</v>
      </c>
      <c r="V1742" t="s">
        <v>541</v>
      </c>
      <c r="W1742" t="s">
        <v>575</v>
      </c>
      <c r="X1742" s="784">
        <v>18180646.808608256</v>
      </c>
    </row>
    <row r="1743" spans="1:24">
      <c r="A1743" t="s">
        <v>358</v>
      </c>
      <c r="B1743" t="s">
        <v>653</v>
      </c>
      <c r="C1743" t="s">
        <v>257</v>
      </c>
      <c r="D1743" t="s">
        <v>130</v>
      </c>
      <c r="E1743" t="s">
        <v>377</v>
      </c>
      <c r="F1743" t="s">
        <v>310</v>
      </c>
      <c r="G1743" t="s">
        <v>343</v>
      </c>
      <c r="H1743" t="s">
        <v>111</v>
      </c>
      <c r="I1743">
        <v>2021</v>
      </c>
      <c r="J1743" t="s">
        <v>379</v>
      </c>
      <c r="K1743" t="s">
        <v>546</v>
      </c>
      <c r="L1743" s="784">
        <v>0</v>
      </c>
      <c r="M1743" t="s">
        <v>745</v>
      </c>
      <c r="P1743" t="s">
        <v>1887</v>
      </c>
      <c r="R1743" t="s">
        <v>152</v>
      </c>
      <c r="S1743" t="s">
        <v>146</v>
      </c>
      <c r="U1743">
        <v>0</v>
      </c>
      <c r="V1743" t="s">
        <v>544</v>
      </c>
      <c r="W1743" t="s">
        <v>546</v>
      </c>
      <c r="X1743" s="784">
        <v>3020530707.3485303</v>
      </c>
    </row>
    <row r="1744" spans="1:24">
      <c r="A1744" t="s">
        <v>358</v>
      </c>
      <c r="B1744" t="s">
        <v>654</v>
      </c>
      <c r="C1744" t="s">
        <v>258</v>
      </c>
      <c r="D1744" t="s">
        <v>126</v>
      </c>
      <c r="E1744" t="s">
        <v>377</v>
      </c>
      <c r="F1744" t="s">
        <v>310</v>
      </c>
      <c r="G1744" t="s">
        <v>343</v>
      </c>
      <c r="H1744" t="s">
        <v>111</v>
      </c>
      <c r="I1744">
        <v>2021</v>
      </c>
      <c r="J1744" t="s">
        <v>379</v>
      </c>
      <c r="K1744" t="s">
        <v>546</v>
      </c>
      <c r="L1744" s="784">
        <v>464915</v>
      </c>
      <c r="M1744" t="s">
        <v>745</v>
      </c>
      <c r="P1744" t="s">
        <v>1887</v>
      </c>
      <c r="R1744" t="s">
        <v>150</v>
      </c>
      <c r="S1744" t="s">
        <v>145</v>
      </c>
      <c r="U1744">
        <v>1</v>
      </c>
      <c r="V1744" t="s">
        <v>541</v>
      </c>
      <c r="W1744" t="s">
        <v>542</v>
      </c>
      <c r="X1744" s="784">
        <v>384406316.46074712</v>
      </c>
    </row>
    <row r="1745" spans="1:24">
      <c r="A1745" t="s">
        <v>358</v>
      </c>
      <c r="B1745" t="s">
        <v>655</v>
      </c>
      <c r="C1745" t="s">
        <v>259</v>
      </c>
      <c r="D1745" t="s">
        <v>130</v>
      </c>
      <c r="E1745" t="s">
        <v>377</v>
      </c>
      <c r="F1745" t="s">
        <v>310</v>
      </c>
      <c r="G1745" t="s">
        <v>343</v>
      </c>
      <c r="H1745" t="s">
        <v>111</v>
      </c>
      <c r="I1745">
        <v>2021</v>
      </c>
      <c r="J1745" t="s">
        <v>379</v>
      </c>
      <c r="K1745" t="s">
        <v>546</v>
      </c>
      <c r="L1745" s="784">
        <v>0</v>
      </c>
      <c r="M1745" t="s">
        <v>745</v>
      </c>
      <c r="P1745" t="s">
        <v>1887</v>
      </c>
      <c r="R1745" t="s">
        <v>152</v>
      </c>
      <c r="S1745" t="s">
        <v>146</v>
      </c>
      <c r="U1745">
        <v>0</v>
      </c>
      <c r="V1745" t="s">
        <v>544</v>
      </c>
      <c r="W1745" t="s">
        <v>575</v>
      </c>
      <c r="X1745" s="784">
        <v>1218747108.9554784</v>
      </c>
    </row>
    <row r="1746" spans="1:24">
      <c r="A1746" t="s">
        <v>358</v>
      </c>
      <c r="B1746" t="s">
        <v>656</v>
      </c>
      <c r="C1746" t="s">
        <v>260</v>
      </c>
      <c r="D1746" t="s">
        <v>130</v>
      </c>
      <c r="E1746" t="s">
        <v>377</v>
      </c>
      <c r="F1746" t="s">
        <v>310</v>
      </c>
      <c r="G1746" t="s">
        <v>343</v>
      </c>
      <c r="H1746" t="s">
        <v>111</v>
      </c>
      <c r="I1746">
        <v>2021</v>
      </c>
      <c r="J1746" t="s">
        <v>379</v>
      </c>
      <c r="K1746" t="s">
        <v>546</v>
      </c>
      <c r="L1746" s="784">
        <v>0</v>
      </c>
      <c r="M1746" t="s">
        <v>745</v>
      </c>
      <c r="P1746" t="s">
        <v>1887</v>
      </c>
      <c r="R1746" t="s">
        <v>152</v>
      </c>
      <c r="S1746" t="s">
        <v>146</v>
      </c>
      <c r="U1746">
        <v>0</v>
      </c>
      <c r="V1746" t="s">
        <v>544</v>
      </c>
      <c r="W1746" t="s">
        <v>575</v>
      </c>
      <c r="X1746" s="784">
        <v>7392665952.5895758</v>
      </c>
    </row>
    <row r="1747" spans="1:24">
      <c r="A1747" t="s">
        <v>358</v>
      </c>
      <c r="B1747" t="s">
        <v>657</v>
      </c>
      <c r="C1747" t="s">
        <v>261</v>
      </c>
      <c r="D1747" t="s">
        <v>126</v>
      </c>
      <c r="E1747" t="s">
        <v>377</v>
      </c>
      <c r="F1747" t="s">
        <v>310</v>
      </c>
      <c r="G1747" t="s">
        <v>343</v>
      </c>
      <c r="H1747" t="s">
        <v>111</v>
      </c>
      <c r="I1747">
        <v>2021</v>
      </c>
      <c r="J1747" t="s">
        <v>379</v>
      </c>
      <c r="K1747" t="s">
        <v>546</v>
      </c>
      <c r="L1747" s="784">
        <v>25000</v>
      </c>
      <c r="M1747" t="s">
        <v>745</v>
      </c>
      <c r="P1747" t="s">
        <v>1887</v>
      </c>
      <c r="R1747" t="s">
        <v>150</v>
      </c>
      <c r="S1747" t="s">
        <v>145</v>
      </c>
      <c r="U1747">
        <v>0</v>
      </c>
      <c r="V1747" t="s">
        <v>544</v>
      </c>
      <c r="W1747" t="s">
        <v>546</v>
      </c>
      <c r="X1747" s="784">
        <v>4754985988.6004429</v>
      </c>
    </row>
    <row r="1748" spans="1:24">
      <c r="A1748" t="s">
        <v>358</v>
      </c>
      <c r="B1748" t="s">
        <v>658</v>
      </c>
      <c r="C1748" t="s">
        <v>262</v>
      </c>
      <c r="D1748" t="s">
        <v>127</v>
      </c>
      <c r="E1748" t="s">
        <v>377</v>
      </c>
      <c r="F1748" t="s">
        <v>310</v>
      </c>
      <c r="G1748" t="s">
        <v>343</v>
      </c>
      <c r="H1748" t="s">
        <v>111</v>
      </c>
      <c r="I1748">
        <v>2021</v>
      </c>
      <c r="J1748" t="s">
        <v>379</v>
      </c>
      <c r="K1748" t="s">
        <v>546</v>
      </c>
      <c r="L1748" s="784">
        <v>0</v>
      </c>
      <c r="M1748" t="s">
        <v>745</v>
      </c>
      <c r="P1748" t="s">
        <v>1887</v>
      </c>
      <c r="R1748" t="s">
        <v>550</v>
      </c>
      <c r="S1748" t="s">
        <v>146</v>
      </c>
      <c r="U1748">
        <v>0</v>
      </c>
      <c r="V1748" t="s">
        <v>544</v>
      </c>
      <c r="W1748" t="s">
        <v>575</v>
      </c>
      <c r="X1748" s="784">
        <v>26422210443.037273</v>
      </c>
    </row>
    <row r="1749" spans="1:24">
      <c r="A1749" t="s">
        <v>358</v>
      </c>
      <c r="B1749" t="s">
        <v>659</v>
      </c>
      <c r="C1749" t="s">
        <v>151</v>
      </c>
      <c r="D1749" t="s">
        <v>127</v>
      </c>
      <c r="E1749" t="s">
        <v>377</v>
      </c>
      <c r="F1749" t="s">
        <v>310</v>
      </c>
      <c r="G1749" t="s">
        <v>343</v>
      </c>
      <c r="H1749" t="s">
        <v>111</v>
      </c>
      <c r="I1749">
        <v>2021</v>
      </c>
      <c r="J1749" t="s">
        <v>379</v>
      </c>
      <c r="K1749" t="s">
        <v>546</v>
      </c>
      <c r="L1749" s="784">
        <v>0</v>
      </c>
      <c r="M1749" t="s">
        <v>745</v>
      </c>
      <c r="P1749" t="s">
        <v>1887</v>
      </c>
      <c r="R1749" t="s">
        <v>152</v>
      </c>
      <c r="S1749" t="s">
        <v>146</v>
      </c>
      <c r="U1749">
        <v>0</v>
      </c>
      <c r="V1749" t="s">
        <v>544</v>
      </c>
      <c r="W1749" t="s">
        <v>575</v>
      </c>
      <c r="X1749" s="784">
        <v>10696495313.15033</v>
      </c>
    </row>
    <row r="1750" spans="1:24">
      <c r="A1750" t="s">
        <v>358</v>
      </c>
      <c r="B1750" t="s">
        <v>660</v>
      </c>
      <c r="C1750" t="s">
        <v>263</v>
      </c>
      <c r="D1750" t="s">
        <v>127</v>
      </c>
      <c r="E1750" t="s">
        <v>377</v>
      </c>
      <c r="F1750" t="s">
        <v>310</v>
      </c>
      <c r="G1750" t="s">
        <v>343</v>
      </c>
      <c r="H1750" t="s">
        <v>111</v>
      </c>
      <c r="I1750">
        <v>2021</v>
      </c>
      <c r="J1750" t="s">
        <v>379</v>
      </c>
      <c r="K1750" t="s">
        <v>546</v>
      </c>
      <c r="L1750" s="784">
        <v>0</v>
      </c>
      <c r="M1750" t="s">
        <v>745</v>
      </c>
      <c r="P1750" t="s">
        <v>1887</v>
      </c>
      <c r="R1750" t="s">
        <v>152</v>
      </c>
      <c r="S1750" t="s">
        <v>146</v>
      </c>
      <c r="U1750">
        <v>0</v>
      </c>
      <c r="V1750" t="s">
        <v>544</v>
      </c>
      <c r="W1750" t="s">
        <v>575</v>
      </c>
      <c r="X1750" s="784">
        <v>52769713433.240509</v>
      </c>
    </row>
    <row r="1751" spans="1:24">
      <c r="A1751" t="s">
        <v>358</v>
      </c>
      <c r="B1751" t="s">
        <v>661</v>
      </c>
      <c r="C1751" t="s">
        <v>264</v>
      </c>
      <c r="D1751" t="s">
        <v>128</v>
      </c>
      <c r="E1751" t="s">
        <v>377</v>
      </c>
      <c r="F1751" t="s">
        <v>310</v>
      </c>
      <c r="G1751" t="s">
        <v>343</v>
      </c>
      <c r="H1751" t="s">
        <v>111</v>
      </c>
      <c r="I1751">
        <v>2021</v>
      </c>
      <c r="J1751" t="s">
        <v>379</v>
      </c>
      <c r="K1751" t="s">
        <v>546</v>
      </c>
      <c r="L1751" s="784">
        <v>100309</v>
      </c>
      <c r="M1751" t="s">
        <v>745</v>
      </c>
      <c r="P1751" t="s">
        <v>1887</v>
      </c>
      <c r="R1751" t="s">
        <v>148</v>
      </c>
      <c r="S1751" t="s">
        <v>145</v>
      </c>
      <c r="U1751">
        <v>0</v>
      </c>
      <c r="V1751" t="s">
        <v>544</v>
      </c>
      <c r="W1751" t="s">
        <v>562</v>
      </c>
      <c r="X1751" s="784">
        <v>225799814.51943746</v>
      </c>
    </row>
    <row r="1752" spans="1:24">
      <c r="A1752" t="s">
        <v>358</v>
      </c>
      <c r="B1752" t="s">
        <v>662</v>
      </c>
      <c r="C1752" t="s">
        <v>265</v>
      </c>
      <c r="D1752" t="s">
        <v>126</v>
      </c>
      <c r="E1752" t="s">
        <v>377</v>
      </c>
      <c r="F1752" t="s">
        <v>310</v>
      </c>
      <c r="G1752" t="s">
        <v>343</v>
      </c>
      <c r="H1752" t="s">
        <v>111</v>
      </c>
      <c r="I1752">
        <v>2021</v>
      </c>
      <c r="J1752" t="s">
        <v>379</v>
      </c>
      <c r="K1752" t="s">
        <v>546</v>
      </c>
      <c r="L1752" s="784">
        <v>25000</v>
      </c>
      <c r="M1752" t="s">
        <v>745</v>
      </c>
      <c r="P1752" t="s">
        <v>1887</v>
      </c>
      <c r="R1752" t="s">
        <v>150</v>
      </c>
      <c r="S1752" t="s">
        <v>145</v>
      </c>
      <c r="U1752">
        <v>0</v>
      </c>
      <c r="V1752" t="s">
        <v>541</v>
      </c>
      <c r="W1752" t="s">
        <v>542</v>
      </c>
      <c r="X1752" s="784">
        <v>32192988.027009469</v>
      </c>
    </row>
    <row r="1753" spans="1:24">
      <c r="A1753" t="s">
        <v>358</v>
      </c>
      <c r="B1753" t="s">
        <v>663</v>
      </c>
      <c r="C1753" t="s">
        <v>266</v>
      </c>
      <c r="D1753" t="s">
        <v>129</v>
      </c>
      <c r="E1753" t="s">
        <v>377</v>
      </c>
      <c r="F1753" t="s">
        <v>310</v>
      </c>
      <c r="G1753" t="s">
        <v>343</v>
      </c>
      <c r="H1753" t="s">
        <v>111</v>
      </c>
      <c r="I1753">
        <v>2021</v>
      </c>
      <c r="J1753" t="s">
        <v>379</v>
      </c>
      <c r="K1753" t="s">
        <v>546</v>
      </c>
      <c r="L1753" s="784">
        <v>321989</v>
      </c>
      <c r="M1753" t="s">
        <v>745</v>
      </c>
      <c r="P1753" t="s">
        <v>1887</v>
      </c>
      <c r="R1753" t="s">
        <v>150</v>
      </c>
      <c r="S1753" t="s">
        <v>145</v>
      </c>
      <c r="U1753">
        <v>0</v>
      </c>
      <c r="V1753" t="s">
        <v>541</v>
      </c>
      <c r="W1753" t="s">
        <v>583</v>
      </c>
      <c r="X1753" s="784">
        <v>11633535.136477679</v>
      </c>
    </row>
    <row r="1754" spans="1:24">
      <c r="A1754" t="s">
        <v>358</v>
      </c>
      <c r="B1754" t="s">
        <v>664</v>
      </c>
      <c r="C1754" t="s">
        <v>267</v>
      </c>
      <c r="D1754" t="s">
        <v>129</v>
      </c>
      <c r="E1754" t="s">
        <v>377</v>
      </c>
      <c r="F1754" t="s">
        <v>310</v>
      </c>
      <c r="G1754" t="s">
        <v>343</v>
      </c>
      <c r="H1754" t="s">
        <v>111</v>
      </c>
      <c r="I1754">
        <v>2021</v>
      </c>
      <c r="J1754" t="s">
        <v>379</v>
      </c>
      <c r="K1754" t="s">
        <v>546</v>
      </c>
      <c r="L1754" s="784">
        <v>186993</v>
      </c>
      <c r="M1754" t="s">
        <v>745</v>
      </c>
      <c r="P1754" t="s">
        <v>1887</v>
      </c>
      <c r="R1754" t="s">
        <v>150</v>
      </c>
      <c r="S1754" t="s">
        <v>145</v>
      </c>
      <c r="U1754">
        <v>2</v>
      </c>
      <c r="V1754" t="s">
        <v>544</v>
      </c>
      <c r="W1754" t="s">
        <v>562</v>
      </c>
      <c r="X1754" s="784">
        <v>222008693.93354639</v>
      </c>
    </row>
    <row r="1755" spans="1:24">
      <c r="A1755" t="s">
        <v>358</v>
      </c>
      <c r="B1755" t="s">
        <v>665</v>
      </c>
      <c r="C1755" t="s">
        <v>153</v>
      </c>
      <c r="D1755" t="s">
        <v>127</v>
      </c>
      <c r="E1755" t="s">
        <v>377</v>
      </c>
      <c r="F1755" t="s">
        <v>310</v>
      </c>
      <c r="G1755" t="s">
        <v>343</v>
      </c>
      <c r="H1755" t="s">
        <v>111</v>
      </c>
      <c r="I1755">
        <v>2021</v>
      </c>
      <c r="J1755" t="s">
        <v>379</v>
      </c>
      <c r="K1755" t="s">
        <v>546</v>
      </c>
      <c r="L1755" s="784">
        <v>0</v>
      </c>
      <c r="M1755" t="s">
        <v>745</v>
      </c>
      <c r="P1755" t="s">
        <v>1887</v>
      </c>
      <c r="R1755" t="s">
        <v>152</v>
      </c>
      <c r="S1755" t="s">
        <v>146</v>
      </c>
      <c r="U1755">
        <v>0</v>
      </c>
      <c r="V1755" t="s">
        <v>544</v>
      </c>
      <c r="W1755" t="s">
        <v>575</v>
      </c>
      <c r="X1755" s="784">
        <v>2564993795.1894679</v>
      </c>
    </row>
    <row r="1756" spans="1:24">
      <c r="A1756" t="s">
        <v>358</v>
      </c>
      <c r="B1756" t="s">
        <v>666</v>
      </c>
      <c r="C1756" t="s">
        <v>268</v>
      </c>
      <c r="D1756" t="s">
        <v>128</v>
      </c>
      <c r="E1756" t="s">
        <v>377</v>
      </c>
      <c r="F1756" t="s">
        <v>310</v>
      </c>
      <c r="G1756" t="s">
        <v>343</v>
      </c>
      <c r="H1756" t="s">
        <v>111</v>
      </c>
      <c r="I1756">
        <v>2021</v>
      </c>
      <c r="J1756" t="s">
        <v>379</v>
      </c>
      <c r="K1756" t="s">
        <v>546</v>
      </c>
      <c r="L1756" s="784">
        <v>0</v>
      </c>
      <c r="M1756" t="s">
        <v>745</v>
      </c>
      <c r="P1756" t="s">
        <v>1887</v>
      </c>
      <c r="R1756" t="s">
        <v>550</v>
      </c>
      <c r="S1756" t="s">
        <v>146</v>
      </c>
      <c r="U1756">
        <v>0</v>
      </c>
      <c r="V1756" t="s">
        <v>541</v>
      </c>
      <c r="W1756" t="s">
        <v>546</v>
      </c>
      <c r="X1756" s="784">
        <v>60237542.945069775</v>
      </c>
    </row>
    <row r="1757" spans="1:24">
      <c r="A1757" t="s">
        <v>358</v>
      </c>
      <c r="B1757" t="s">
        <v>667</v>
      </c>
      <c r="C1757" t="s">
        <v>269</v>
      </c>
      <c r="D1757" t="s">
        <v>129</v>
      </c>
      <c r="E1757" t="s">
        <v>377</v>
      </c>
      <c r="F1757" t="s">
        <v>310</v>
      </c>
      <c r="G1757" t="s">
        <v>343</v>
      </c>
      <c r="H1757" t="s">
        <v>111</v>
      </c>
      <c r="I1757">
        <v>2021</v>
      </c>
      <c r="J1757" t="s">
        <v>379</v>
      </c>
      <c r="K1757" t="s">
        <v>546</v>
      </c>
      <c r="L1757" s="784">
        <v>148730</v>
      </c>
      <c r="M1757" t="s">
        <v>745</v>
      </c>
      <c r="P1757" t="s">
        <v>1887</v>
      </c>
      <c r="R1757" t="s">
        <v>148</v>
      </c>
      <c r="S1757" t="s">
        <v>145</v>
      </c>
      <c r="U1757">
        <v>0</v>
      </c>
      <c r="V1757" t="s">
        <v>544</v>
      </c>
      <c r="W1757" t="s">
        <v>542</v>
      </c>
      <c r="X1757" s="784">
        <v>63738640.538260505</v>
      </c>
    </row>
    <row r="1758" spans="1:24">
      <c r="A1758" t="s">
        <v>358</v>
      </c>
      <c r="B1758" t="s">
        <v>668</v>
      </c>
      <c r="C1758" t="s">
        <v>270</v>
      </c>
      <c r="D1758" t="s">
        <v>126</v>
      </c>
      <c r="E1758" t="s">
        <v>377</v>
      </c>
      <c r="F1758" t="s">
        <v>310</v>
      </c>
      <c r="G1758" t="s">
        <v>343</v>
      </c>
      <c r="H1758" t="s">
        <v>111</v>
      </c>
      <c r="I1758">
        <v>2021</v>
      </c>
      <c r="J1758" t="s">
        <v>379</v>
      </c>
      <c r="K1758" t="s">
        <v>546</v>
      </c>
      <c r="L1758" s="784">
        <v>93090</v>
      </c>
      <c r="M1758" t="s">
        <v>745</v>
      </c>
      <c r="P1758" t="s">
        <v>1887</v>
      </c>
      <c r="R1758" t="s">
        <v>150</v>
      </c>
      <c r="S1758" t="s">
        <v>145</v>
      </c>
      <c r="U1758">
        <v>0</v>
      </c>
      <c r="V1758" t="s">
        <v>541</v>
      </c>
      <c r="W1758" t="s">
        <v>562</v>
      </c>
      <c r="X1758" s="784">
        <v>49012774.055630356</v>
      </c>
    </row>
    <row r="1759" spans="1:24">
      <c r="A1759" t="s">
        <v>358</v>
      </c>
      <c r="B1759" t="s">
        <v>669</v>
      </c>
      <c r="C1759" t="s">
        <v>271</v>
      </c>
      <c r="D1759" t="s">
        <v>128</v>
      </c>
      <c r="E1759" t="s">
        <v>377</v>
      </c>
      <c r="F1759" t="s">
        <v>310</v>
      </c>
      <c r="G1759" t="s">
        <v>343</v>
      </c>
      <c r="H1759" t="s">
        <v>111</v>
      </c>
      <c r="I1759">
        <v>2021</v>
      </c>
      <c r="J1759" t="s">
        <v>379</v>
      </c>
      <c r="K1759" t="s">
        <v>546</v>
      </c>
      <c r="L1759" s="784">
        <v>557990.22</v>
      </c>
      <c r="M1759" t="s">
        <v>745</v>
      </c>
      <c r="P1759" t="s">
        <v>1887</v>
      </c>
      <c r="R1759" t="s">
        <v>148</v>
      </c>
      <c r="S1759" t="s">
        <v>145</v>
      </c>
      <c r="U1759">
        <v>1</v>
      </c>
      <c r="V1759" t="s">
        <v>544</v>
      </c>
      <c r="W1759" t="s">
        <v>583</v>
      </c>
      <c r="X1759" s="784" t="s">
        <v>575</v>
      </c>
    </row>
    <row r="1760" spans="1:24">
      <c r="A1760" t="s">
        <v>358</v>
      </c>
      <c r="B1760" t="s">
        <v>670</v>
      </c>
      <c r="C1760" t="s">
        <v>272</v>
      </c>
      <c r="D1760" t="s">
        <v>128</v>
      </c>
      <c r="E1760" t="s">
        <v>377</v>
      </c>
      <c r="F1760" t="s">
        <v>310</v>
      </c>
      <c r="G1760" t="s">
        <v>343</v>
      </c>
      <c r="H1760" t="s">
        <v>111</v>
      </c>
      <c r="I1760">
        <v>2021</v>
      </c>
      <c r="J1760" t="s">
        <v>379</v>
      </c>
      <c r="K1760" t="s">
        <v>546</v>
      </c>
      <c r="L1760" s="784">
        <v>0</v>
      </c>
      <c r="M1760" t="s">
        <v>745</v>
      </c>
      <c r="P1760" t="s">
        <v>1887</v>
      </c>
      <c r="R1760" t="s">
        <v>152</v>
      </c>
      <c r="S1760" t="s">
        <v>146</v>
      </c>
      <c r="U1760">
        <v>0</v>
      </c>
      <c r="V1760" t="s">
        <v>544</v>
      </c>
      <c r="W1760" t="s">
        <v>546</v>
      </c>
      <c r="X1760" s="784">
        <v>16429121142.784708</v>
      </c>
    </row>
    <row r="1761" spans="1:24">
      <c r="A1761" t="s">
        <v>358</v>
      </c>
      <c r="B1761" t="s">
        <v>671</v>
      </c>
      <c r="C1761" t="s">
        <v>273</v>
      </c>
      <c r="D1761" t="s">
        <v>128</v>
      </c>
      <c r="E1761" t="s">
        <v>377</v>
      </c>
      <c r="F1761" t="s">
        <v>310</v>
      </c>
      <c r="G1761" t="s">
        <v>343</v>
      </c>
      <c r="H1761" t="s">
        <v>111</v>
      </c>
      <c r="I1761">
        <v>2021</v>
      </c>
      <c r="J1761" t="s">
        <v>379</v>
      </c>
      <c r="K1761" t="s">
        <v>546</v>
      </c>
      <c r="L1761" s="784">
        <v>351367</v>
      </c>
      <c r="M1761" t="s">
        <v>745</v>
      </c>
      <c r="P1761" t="s">
        <v>1887</v>
      </c>
      <c r="R1761" t="s">
        <v>148</v>
      </c>
      <c r="S1761" t="s">
        <v>145</v>
      </c>
      <c r="U1761">
        <v>1</v>
      </c>
      <c r="V1761" t="s">
        <v>544</v>
      </c>
      <c r="W1761" t="s">
        <v>542</v>
      </c>
      <c r="X1761" s="784">
        <v>31684581.76217727</v>
      </c>
    </row>
    <row r="1762" spans="1:24">
      <c r="A1762" t="s">
        <v>358</v>
      </c>
      <c r="B1762" t="s">
        <v>672</v>
      </c>
      <c r="C1762" t="s">
        <v>274</v>
      </c>
      <c r="D1762" t="s">
        <v>132</v>
      </c>
      <c r="E1762" t="s">
        <v>377</v>
      </c>
      <c r="F1762" t="s">
        <v>310</v>
      </c>
      <c r="G1762" t="s">
        <v>343</v>
      </c>
      <c r="H1762" t="s">
        <v>111</v>
      </c>
      <c r="I1762">
        <v>2021</v>
      </c>
      <c r="J1762" t="s">
        <v>379</v>
      </c>
      <c r="K1762" t="s">
        <v>546</v>
      </c>
      <c r="L1762" s="784">
        <v>160000</v>
      </c>
      <c r="M1762" t="s">
        <v>745</v>
      </c>
      <c r="P1762" t="s">
        <v>1887</v>
      </c>
      <c r="R1762" t="s">
        <v>150</v>
      </c>
      <c r="S1762" t="s">
        <v>145</v>
      </c>
      <c r="U1762">
        <v>0</v>
      </c>
      <c r="V1762" t="s">
        <v>544</v>
      </c>
      <c r="W1762" t="s">
        <v>546</v>
      </c>
      <c r="X1762" s="784">
        <v>1373621563.5182886</v>
      </c>
    </row>
    <row r="1763" spans="1:24">
      <c r="A1763" t="s">
        <v>358</v>
      </c>
      <c r="B1763" t="s">
        <v>673</v>
      </c>
      <c r="C1763" t="s">
        <v>275</v>
      </c>
      <c r="D1763" t="s">
        <v>130</v>
      </c>
      <c r="E1763" t="s">
        <v>377</v>
      </c>
      <c r="F1763" t="s">
        <v>310</v>
      </c>
      <c r="G1763" t="s">
        <v>343</v>
      </c>
      <c r="H1763" t="s">
        <v>111</v>
      </c>
      <c r="I1763">
        <v>2021</v>
      </c>
      <c r="J1763" t="s">
        <v>379</v>
      </c>
      <c r="K1763" t="s">
        <v>546</v>
      </c>
      <c r="L1763" s="784">
        <v>0</v>
      </c>
      <c r="M1763" t="s">
        <v>745</v>
      </c>
      <c r="P1763" t="s">
        <v>1887</v>
      </c>
      <c r="R1763" t="s">
        <v>550</v>
      </c>
      <c r="S1763" t="s">
        <v>146</v>
      </c>
      <c r="U1763">
        <v>0</v>
      </c>
      <c r="V1763" t="s">
        <v>541</v>
      </c>
      <c r="W1763" t="s">
        <v>575</v>
      </c>
      <c r="X1763" s="784">
        <v>24214370.889062837</v>
      </c>
    </row>
    <row r="1764" spans="1:24">
      <c r="A1764" t="s">
        <v>358</v>
      </c>
      <c r="B1764" t="s">
        <v>674</v>
      </c>
      <c r="C1764" t="s">
        <v>154</v>
      </c>
      <c r="D1764" t="s">
        <v>130</v>
      </c>
      <c r="E1764" t="s">
        <v>377</v>
      </c>
      <c r="F1764" t="s">
        <v>310</v>
      </c>
      <c r="G1764" t="s">
        <v>343</v>
      </c>
      <c r="H1764" t="s">
        <v>111</v>
      </c>
      <c r="I1764">
        <v>2021</v>
      </c>
      <c r="J1764" t="s">
        <v>379</v>
      </c>
      <c r="K1764" t="s">
        <v>546</v>
      </c>
      <c r="L1764" s="784">
        <v>50000</v>
      </c>
      <c r="M1764" t="s">
        <v>745</v>
      </c>
      <c r="P1764" t="s">
        <v>1887</v>
      </c>
      <c r="R1764" t="s">
        <v>152</v>
      </c>
      <c r="S1764" t="s">
        <v>145</v>
      </c>
      <c r="U1764">
        <v>0</v>
      </c>
      <c r="V1764" t="s">
        <v>541</v>
      </c>
      <c r="W1764" t="s">
        <v>548</v>
      </c>
      <c r="X1764" s="784">
        <v>39941279.609447442</v>
      </c>
    </row>
    <row r="1765" spans="1:24">
      <c r="A1765" t="s">
        <v>358</v>
      </c>
      <c r="B1765" t="s">
        <v>675</v>
      </c>
      <c r="C1765" t="s">
        <v>155</v>
      </c>
      <c r="D1765" t="s">
        <v>130</v>
      </c>
      <c r="E1765" t="s">
        <v>377</v>
      </c>
      <c r="F1765" t="s">
        <v>310</v>
      </c>
      <c r="G1765" t="s">
        <v>343</v>
      </c>
      <c r="H1765" t="s">
        <v>111</v>
      </c>
      <c r="I1765">
        <v>2021</v>
      </c>
      <c r="J1765" t="s">
        <v>379</v>
      </c>
      <c r="K1765" t="s">
        <v>546</v>
      </c>
      <c r="L1765" s="784">
        <v>65000</v>
      </c>
      <c r="M1765" t="s">
        <v>745</v>
      </c>
      <c r="P1765" t="s">
        <v>1887</v>
      </c>
      <c r="R1765" t="s">
        <v>152</v>
      </c>
      <c r="S1765" t="s">
        <v>145</v>
      </c>
      <c r="U1765">
        <v>0</v>
      </c>
      <c r="V1765" t="s">
        <v>541</v>
      </c>
      <c r="W1765" t="s">
        <v>542</v>
      </c>
      <c r="X1765" s="784">
        <v>24761675.260059897</v>
      </c>
    </row>
    <row r="1766" spans="1:24">
      <c r="A1766" t="s">
        <v>358</v>
      </c>
      <c r="B1766" t="s">
        <v>676</v>
      </c>
      <c r="C1766" t="s">
        <v>276</v>
      </c>
      <c r="D1766" t="s">
        <v>131</v>
      </c>
      <c r="E1766" t="s">
        <v>377</v>
      </c>
      <c r="F1766" t="s">
        <v>310</v>
      </c>
      <c r="G1766" t="s">
        <v>343</v>
      </c>
      <c r="H1766" t="s">
        <v>111</v>
      </c>
      <c r="I1766">
        <v>2021</v>
      </c>
      <c r="J1766" t="s">
        <v>379</v>
      </c>
      <c r="K1766" t="s">
        <v>546</v>
      </c>
      <c r="L1766" s="784">
        <v>402999.54000000004</v>
      </c>
      <c r="M1766" t="s">
        <v>745</v>
      </c>
      <c r="P1766" t="s">
        <v>1887</v>
      </c>
      <c r="R1766" t="s">
        <v>150</v>
      </c>
      <c r="S1766" t="s">
        <v>145</v>
      </c>
      <c r="U1766">
        <v>0</v>
      </c>
      <c r="V1766" t="s">
        <v>544</v>
      </c>
      <c r="W1766" t="s">
        <v>546</v>
      </c>
      <c r="X1766" s="784" t="s">
        <v>575</v>
      </c>
    </row>
    <row r="1767" spans="1:24">
      <c r="A1767" t="s">
        <v>358</v>
      </c>
      <c r="B1767" t="s">
        <v>677</v>
      </c>
      <c r="C1767" t="s">
        <v>277</v>
      </c>
      <c r="D1767" t="s">
        <v>131</v>
      </c>
      <c r="E1767" t="s">
        <v>377</v>
      </c>
      <c r="F1767" t="s">
        <v>310</v>
      </c>
      <c r="G1767" t="s">
        <v>343</v>
      </c>
      <c r="H1767" t="s">
        <v>111</v>
      </c>
      <c r="I1767">
        <v>2021</v>
      </c>
      <c r="J1767" t="s">
        <v>379</v>
      </c>
      <c r="K1767" t="s">
        <v>546</v>
      </c>
      <c r="L1767" s="784">
        <v>685003</v>
      </c>
      <c r="M1767" t="s">
        <v>745</v>
      </c>
      <c r="P1767" t="s">
        <v>1887</v>
      </c>
      <c r="R1767" t="s">
        <v>148</v>
      </c>
      <c r="S1767" t="s">
        <v>145</v>
      </c>
      <c r="U1767">
        <v>1</v>
      </c>
      <c r="V1767" t="s">
        <v>544</v>
      </c>
      <c r="W1767" t="s">
        <v>546</v>
      </c>
      <c r="X1767" s="784">
        <v>577156172.71229994</v>
      </c>
    </row>
    <row r="1768" spans="1:24">
      <c r="A1768" t="s">
        <v>358</v>
      </c>
      <c r="B1768" t="s">
        <v>678</v>
      </c>
      <c r="C1768" t="s">
        <v>278</v>
      </c>
      <c r="D1768" t="s">
        <v>126</v>
      </c>
      <c r="E1768" t="s">
        <v>377</v>
      </c>
      <c r="F1768" t="s">
        <v>310</v>
      </c>
      <c r="G1768" t="s">
        <v>343</v>
      </c>
      <c r="H1768" t="s">
        <v>111</v>
      </c>
      <c r="I1768">
        <v>2021</v>
      </c>
      <c r="J1768" t="s">
        <v>379</v>
      </c>
      <c r="K1768" t="s">
        <v>546</v>
      </c>
      <c r="L1768" s="784">
        <v>0</v>
      </c>
      <c r="M1768" t="s">
        <v>745</v>
      </c>
      <c r="P1768" t="s">
        <v>1887</v>
      </c>
      <c r="R1768" t="s">
        <v>152</v>
      </c>
      <c r="S1768" t="s">
        <v>146</v>
      </c>
      <c r="U1768">
        <v>0</v>
      </c>
      <c r="V1768" t="s">
        <v>541</v>
      </c>
      <c r="W1768" t="s">
        <v>575</v>
      </c>
      <c r="X1768" s="784">
        <v>180052034.19851837</v>
      </c>
    </row>
    <row r="1769" spans="1:24">
      <c r="A1769" t="s">
        <v>358</v>
      </c>
      <c r="B1769" t="s">
        <v>679</v>
      </c>
      <c r="C1769" t="s">
        <v>279</v>
      </c>
      <c r="D1769" t="s">
        <v>131</v>
      </c>
      <c r="E1769" t="s">
        <v>377</v>
      </c>
      <c r="F1769" t="s">
        <v>310</v>
      </c>
      <c r="G1769" t="s">
        <v>343</v>
      </c>
      <c r="H1769" t="s">
        <v>111</v>
      </c>
      <c r="I1769">
        <v>2021</v>
      </c>
      <c r="J1769" t="s">
        <v>379</v>
      </c>
      <c r="K1769" t="s">
        <v>546</v>
      </c>
      <c r="L1769" s="784">
        <v>458787.5</v>
      </c>
      <c r="M1769" t="s">
        <v>745</v>
      </c>
      <c r="P1769" t="s">
        <v>1887</v>
      </c>
      <c r="R1769" t="s">
        <v>148</v>
      </c>
      <c r="S1769" t="s">
        <v>145</v>
      </c>
      <c r="U1769">
        <v>1</v>
      </c>
      <c r="V1769" t="s">
        <v>544</v>
      </c>
      <c r="W1769" t="s">
        <v>546</v>
      </c>
      <c r="X1769" s="784" t="s">
        <v>575</v>
      </c>
    </row>
    <row r="1770" spans="1:24">
      <c r="A1770" t="s">
        <v>358</v>
      </c>
      <c r="B1770" t="s">
        <v>680</v>
      </c>
      <c r="C1770" t="s">
        <v>280</v>
      </c>
      <c r="D1770" t="s">
        <v>127</v>
      </c>
      <c r="E1770" t="s">
        <v>377</v>
      </c>
      <c r="F1770" t="s">
        <v>310</v>
      </c>
      <c r="G1770" t="s">
        <v>343</v>
      </c>
      <c r="H1770" t="s">
        <v>111</v>
      </c>
      <c r="I1770">
        <v>2021</v>
      </c>
      <c r="J1770" t="s">
        <v>379</v>
      </c>
      <c r="K1770" t="s">
        <v>546</v>
      </c>
      <c r="L1770" s="784">
        <v>630278.15</v>
      </c>
      <c r="M1770" t="s">
        <v>745</v>
      </c>
      <c r="P1770" t="s">
        <v>1887</v>
      </c>
      <c r="R1770" t="s">
        <v>150</v>
      </c>
      <c r="S1770" t="s">
        <v>145</v>
      </c>
      <c r="U1770">
        <v>0</v>
      </c>
      <c r="V1770" t="s">
        <v>544</v>
      </c>
      <c r="W1770" t="s">
        <v>542</v>
      </c>
      <c r="X1770" s="784">
        <v>147296124.32232863</v>
      </c>
    </row>
    <row r="1771" spans="1:24">
      <c r="A1771" t="s">
        <v>358</v>
      </c>
      <c r="B1771" t="s">
        <v>681</v>
      </c>
      <c r="C1771" t="s">
        <v>156</v>
      </c>
      <c r="D1771" t="s">
        <v>128</v>
      </c>
      <c r="E1771" t="s">
        <v>377</v>
      </c>
      <c r="F1771" t="s">
        <v>310</v>
      </c>
      <c r="G1771" t="s">
        <v>343</v>
      </c>
      <c r="H1771" t="s">
        <v>111</v>
      </c>
      <c r="I1771">
        <v>2021</v>
      </c>
      <c r="J1771" t="s">
        <v>379</v>
      </c>
      <c r="K1771" t="s">
        <v>546</v>
      </c>
      <c r="L1771" s="784">
        <v>49990.400000000001</v>
      </c>
      <c r="M1771" t="s">
        <v>745</v>
      </c>
      <c r="P1771" t="s">
        <v>1887</v>
      </c>
      <c r="R1771" t="s">
        <v>150</v>
      </c>
      <c r="S1771" t="s">
        <v>145</v>
      </c>
      <c r="U1771">
        <v>0</v>
      </c>
      <c r="V1771" t="s">
        <v>544</v>
      </c>
      <c r="W1771" t="s">
        <v>548</v>
      </c>
      <c r="X1771" s="784">
        <v>890576536.83065879</v>
      </c>
    </row>
    <row r="1772" spans="1:24">
      <c r="A1772" t="s">
        <v>358</v>
      </c>
      <c r="B1772" t="s">
        <v>682</v>
      </c>
      <c r="C1772" t="s">
        <v>157</v>
      </c>
      <c r="D1772" t="s">
        <v>126</v>
      </c>
      <c r="E1772" t="s">
        <v>377</v>
      </c>
      <c r="F1772" t="s">
        <v>310</v>
      </c>
      <c r="G1772" t="s">
        <v>343</v>
      </c>
      <c r="H1772" t="s">
        <v>111</v>
      </c>
      <c r="I1772">
        <v>2021</v>
      </c>
      <c r="J1772" t="s">
        <v>379</v>
      </c>
      <c r="K1772" t="s">
        <v>546</v>
      </c>
      <c r="L1772" s="784">
        <v>0</v>
      </c>
      <c r="M1772" t="s">
        <v>745</v>
      </c>
      <c r="P1772" t="s">
        <v>1887</v>
      </c>
      <c r="R1772" t="s">
        <v>152</v>
      </c>
      <c r="S1772" t="s">
        <v>146</v>
      </c>
      <c r="U1772">
        <v>0</v>
      </c>
      <c r="V1772" t="s">
        <v>544</v>
      </c>
      <c r="W1772" t="s">
        <v>575</v>
      </c>
      <c r="X1772" s="784">
        <v>14611129792.346064</v>
      </c>
    </row>
    <row r="1773" spans="1:24">
      <c r="A1773" t="s">
        <v>358</v>
      </c>
      <c r="B1773" t="s">
        <v>683</v>
      </c>
      <c r="C1773" t="s">
        <v>281</v>
      </c>
      <c r="D1773" t="s">
        <v>126</v>
      </c>
      <c r="E1773" t="s">
        <v>377</v>
      </c>
      <c r="F1773" t="s">
        <v>310</v>
      </c>
      <c r="G1773" t="s">
        <v>343</v>
      </c>
      <c r="H1773" t="s">
        <v>111</v>
      </c>
      <c r="I1773">
        <v>2021</v>
      </c>
      <c r="J1773" t="s">
        <v>379</v>
      </c>
      <c r="K1773" t="s">
        <v>546</v>
      </c>
      <c r="L1773" s="784">
        <v>25000</v>
      </c>
      <c r="M1773" t="s">
        <v>745</v>
      </c>
      <c r="P1773" t="s">
        <v>1887</v>
      </c>
      <c r="R1773" t="s">
        <v>150</v>
      </c>
      <c r="S1773" t="s">
        <v>145</v>
      </c>
      <c r="U1773">
        <v>0</v>
      </c>
      <c r="V1773" t="s">
        <v>541</v>
      </c>
      <c r="W1773" t="s">
        <v>558</v>
      </c>
      <c r="X1773" s="784">
        <v>72046877.233008593</v>
      </c>
    </row>
    <row r="1774" spans="1:24">
      <c r="A1774" t="s">
        <v>358</v>
      </c>
      <c r="B1774" t="s">
        <v>684</v>
      </c>
      <c r="C1774" t="s">
        <v>282</v>
      </c>
      <c r="D1774" t="s">
        <v>129</v>
      </c>
      <c r="E1774" t="s">
        <v>377</v>
      </c>
      <c r="F1774" t="s">
        <v>310</v>
      </c>
      <c r="G1774" t="s">
        <v>343</v>
      </c>
      <c r="H1774" t="s">
        <v>111</v>
      </c>
      <c r="I1774">
        <v>2021</v>
      </c>
      <c r="J1774" t="s">
        <v>379</v>
      </c>
      <c r="K1774" t="s">
        <v>546</v>
      </c>
      <c r="L1774" s="784">
        <v>213951</v>
      </c>
      <c r="M1774" t="s">
        <v>745</v>
      </c>
      <c r="P1774" t="s">
        <v>1887</v>
      </c>
      <c r="R1774" t="s">
        <v>148</v>
      </c>
      <c r="S1774" t="s">
        <v>145</v>
      </c>
      <c r="U1774">
        <v>0</v>
      </c>
      <c r="V1774" t="s">
        <v>544</v>
      </c>
      <c r="W1774" t="s">
        <v>542</v>
      </c>
      <c r="X1774" s="784">
        <v>56248139.267255567</v>
      </c>
    </row>
    <row r="1775" spans="1:24">
      <c r="A1775" t="s">
        <v>358</v>
      </c>
      <c r="B1775" t="s">
        <v>685</v>
      </c>
      <c r="C1775" t="s">
        <v>283</v>
      </c>
      <c r="D1775" t="s">
        <v>126</v>
      </c>
      <c r="E1775" t="s">
        <v>377</v>
      </c>
      <c r="F1775" t="s">
        <v>310</v>
      </c>
      <c r="G1775" t="s">
        <v>343</v>
      </c>
      <c r="H1775" t="s">
        <v>111</v>
      </c>
      <c r="I1775">
        <v>2021</v>
      </c>
      <c r="J1775" t="s">
        <v>379</v>
      </c>
      <c r="K1775" t="s">
        <v>546</v>
      </c>
      <c r="L1775" s="784">
        <v>25000</v>
      </c>
      <c r="M1775" t="s">
        <v>745</v>
      </c>
      <c r="P1775" t="s">
        <v>1887</v>
      </c>
      <c r="R1775" t="s">
        <v>152</v>
      </c>
      <c r="S1775" t="s">
        <v>145</v>
      </c>
      <c r="U1775">
        <v>0</v>
      </c>
      <c r="V1775" t="s">
        <v>541</v>
      </c>
      <c r="W1775" t="s">
        <v>542</v>
      </c>
      <c r="X1775" s="784">
        <v>15464031.712942109</v>
      </c>
    </row>
    <row r="1776" spans="1:24">
      <c r="A1776" t="s">
        <v>358</v>
      </c>
      <c r="B1776" t="s">
        <v>686</v>
      </c>
      <c r="C1776" t="s">
        <v>284</v>
      </c>
      <c r="D1776" t="s">
        <v>130</v>
      </c>
      <c r="E1776" t="s">
        <v>377</v>
      </c>
      <c r="F1776" t="s">
        <v>310</v>
      </c>
      <c r="G1776" t="s">
        <v>343</v>
      </c>
      <c r="H1776" t="s">
        <v>111</v>
      </c>
      <c r="I1776">
        <v>2021</v>
      </c>
      <c r="J1776" t="s">
        <v>379</v>
      </c>
      <c r="K1776" t="s">
        <v>546</v>
      </c>
      <c r="L1776" s="784">
        <v>0</v>
      </c>
      <c r="M1776" t="s">
        <v>745</v>
      </c>
      <c r="P1776" t="s">
        <v>1887</v>
      </c>
      <c r="R1776" t="s">
        <v>550</v>
      </c>
      <c r="S1776" t="s">
        <v>146</v>
      </c>
      <c r="U1776">
        <v>0</v>
      </c>
      <c r="V1776" t="s">
        <v>541</v>
      </c>
      <c r="W1776" t="s">
        <v>546</v>
      </c>
      <c r="X1776" s="784">
        <v>769564399.33249676</v>
      </c>
    </row>
    <row r="1777" spans="1:24">
      <c r="A1777" t="s">
        <v>358</v>
      </c>
      <c r="B1777" t="s">
        <v>687</v>
      </c>
      <c r="C1777" t="s">
        <v>285</v>
      </c>
      <c r="D1777" t="s">
        <v>131</v>
      </c>
      <c r="E1777" t="s">
        <v>377</v>
      </c>
      <c r="F1777" t="s">
        <v>310</v>
      </c>
      <c r="G1777" t="s">
        <v>343</v>
      </c>
      <c r="H1777" t="s">
        <v>111</v>
      </c>
      <c r="I1777">
        <v>2021</v>
      </c>
      <c r="J1777" t="s">
        <v>379</v>
      </c>
      <c r="K1777" t="s">
        <v>546</v>
      </c>
      <c r="L1777" s="784">
        <v>50000.03</v>
      </c>
      <c r="M1777" t="s">
        <v>745</v>
      </c>
      <c r="P1777" t="s">
        <v>1887</v>
      </c>
      <c r="R1777" t="s">
        <v>150</v>
      </c>
      <c r="S1777" t="s">
        <v>145</v>
      </c>
      <c r="U1777">
        <v>0</v>
      </c>
      <c r="V1777" t="s">
        <v>544</v>
      </c>
      <c r="W1777" t="s">
        <v>546</v>
      </c>
      <c r="X1777" s="784">
        <v>1668954539.7630196</v>
      </c>
    </row>
    <row r="1778" spans="1:24">
      <c r="A1778" t="s">
        <v>358</v>
      </c>
      <c r="B1778" t="s">
        <v>688</v>
      </c>
      <c r="C1778" t="s">
        <v>286</v>
      </c>
      <c r="D1778" t="s">
        <v>127</v>
      </c>
      <c r="E1778" t="s">
        <v>377</v>
      </c>
      <c r="F1778" t="s">
        <v>310</v>
      </c>
      <c r="G1778" t="s">
        <v>343</v>
      </c>
      <c r="H1778" t="s">
        <v>111</v>
      </c>
      <c r="I1778">
        <v>2021</v>
      </c>
      <c r="J1778" t="s">
        <v>379</v>
      </c>
      <c r="K1778" t="s">
        <v>546</v>
      </c>
      <c r="L1778" s="784">
        <v>0</v>
      </c>
      <c r="M1778" t="s">
        <v>745</v>
      </c>
      <c r="P1778" t="s">
        <v>1887</v>
      </c>
      <c r="R1778" t="s">
        <v>152</v>
      </c>
      <c r="S1778" t="s">
        <v>146</v>
      </c>
      <c r="U1778">
        <v>0</v>
      </c>
      <c r="V1778" t="s">
        <v>544</v>
      </c>
      <c r="W1778" t="s">
        <v>575</v>
      </c>
      <c r="X1778" s="784">
        <v>24840920016.18832</v>
      </c>
    </row>
    <row r="1779" spans="1:24">
      <c r="A1779" t="s">
        <v>358</v>
      </c>
      <c r="B1779" t="s">
        <v>689</v>
      </c>
      <c r="C1779" t="s">
        <v>287</v>
      </c>
      <c r="D1779" t="s">
        <v>127</v>
      </c>
      <c r="E1779" t="s">
        <v>377</v>
      </c>
      <c r="F1779" t="s">
        <v>310</v>
      </c>
      <c r="G1779" t="s">
        <v>343</v>
      </c>
      <c r="H1779" t="s">
        <v>111</v>
      </c>
      <c r="I1779">
        <v>2021</v>
      </c>
      <c r="J1779" t="s">
        <v>379</v>
      </c>
      <c r="K1779" t="s">
        <v>546</v>
      </c>
      <c r="L1779" s="784">
        <v>0</v>
      </c>
      <c r="M1779" t="s">
        <v>745</v>
      </c>
      <c r="P1779" t="s">
        <v>1887</v>
      </c>
      <c r="R1779" t="s">
        <v>152</v>
      </c>
      <c r="S1779" t="s">
        <v>146</v>
      </c>
      <c r="U1779">
        <v>0</v>
      </c>
      <c r="V1779" t="s">
        <v>544</v>
      </c>
      <c r="W1779" t="s">
        <v>546</v>
      </c>
      <c r="X1779" s="784">
        <v>487888462.83720118</v>
      </c>
    </row>
    <row r="1780" spans="1:24">
      <c r="A1780" t="s">
        <v>358</v>
      </c>
      <c r="B1780" t="s">
        <v>690</v>
      </c>
      <c r="C1780" t="s">
        <v>288</v>
      </c>
      <c r="D1780" t="s">
        <v>126</v>
      </c>
      <c r="E1780" t="s">
        <v>377</v>
      </c>
      <c r="F1780" t="s">
        <v>310</v>
      </c>
      <c r="G1780" t="s">
        <v>343</v>
      </c>
      <c r="H1780" t="s">
        <v>111</v>
      </c>
      <c r="I1780">
        <v>2021</v>
      </c>
      <c r="J1780" t="s">
        <v>379</v>
      </c>
      <c r="K1780" t="s">
        <v>546</v>
      </c>
      <c r="L1780" s="784">
        <v>25000</v>
      </c>
      <c r="M1780" t="s">
        <v>745</v>
      </c>
      <c r="P1780" t="s">
        <v>1887</v>
      </c>
      <c r="R1780" t="s">
        <v>152</v>
      </c>
      <c r="S1780" t="s">
        <v>145</v>
      </c>
      <c r="U1780">
        <v>0</v>
      </c>
      <c r="V1780" t="s">
        <v>541</v>
      </c>
      <c r="W1780" t="s">
        <v>548</v>
      </c>
      <c r="X1780" s="784">
        <v>6365061.1736073596</v>
      </c>
    </row>
    <row r="1781" spans="1:24">
      <c r="A1781" t="s">
        <v>358</v>
      </c>
      <c r="B1781" t="s">
        <v>691</v>
      </c>
      <c r="C1781" t="s">
        <v>289</v>
      </c>
      <c r="D1781" t="s">
        <v>128</v>
      </c>
      <c r="E1781" t="s">
        <v>377</v>
      </c>
      <c r="F1781" t="s">
        <v>310</v>
      </c>
      <c r="G1781" t="s">
        <v>343</v>
      </c>
      <c r="H1781" t="s">
        <v>111</v>
      </c>
      <c r="I1781">
        <v>2021</v>
      </c>
      <c r="J1781" t="s">
        <v>379</v>
      </c>
      <c r="K1781" t="s">
        <v>546</v>
      </c>
      <c r="L1781" s="784">
        <v>216660</v>
      </c>
      <c r="M1781" t="s">
        <v>745</v>
      </c>
      <c r="P1781" t="s">
        <v>1887</v>
      </c>
      <c r="R1781" t="s">
        <v>148</v>
      </c>
      <c r="S1781" t="s">
        <v>145</v>
      </c>
      <c r="U1781">
        <v>2</v>
      </c>
      <c r="V1781" t="s">
        <v>544</v>
      </c>
      <c r="W1781" t="s">
        <v>558</v>
      </c>
      <c r="X1781" s="784">
        <v>291799092.90196139</v>
      </c>
    </row>
    <row r="1782" spans="1:24">
      <c r="A1782" t="s">
        <v>358</v>
      </c>
      <c r="B1782" t="s">
        <v>692</v>
      </c>
      <c r="C1782" t="s">
        <v>290</v>
      </c>
      <c r="D1782" t="s">
        <v>127</v>
      </c>
      <c r="E1782" t="s">
        <v>377</v>
      </c>
      <c r="F1782" t="s">
        <v>310</v>
      </c>
      <c r="G1782" t="s">
        <v>343</v>
      </c>
      <c r="H1782" t="s">
        <v>111</v>
      </c>
      <c r="I1782">
        <v>2021</v>
      </c>
      <c r="J1782" t="s">
        <v>379</v>
      </c>
      <c r="K1782" t="s">
        <v>546</v>
      </c>
      <c r="L1782" s="784">
        <v>81000</v>
      </c>
      <c r="M1782" t="s">
        <v>745</v>
      </c>
      <c r="P1782" t="s">
        <v>1887</v>
      </c>
      <c r="R1782" t="s">
        <v>150</v>
      </c>
      <c r="S1782" t="s">
        <v>145</v>
      </c>
      <c r="U1782">
        <v>0</v>
      </c>
      <c r="V1782" t="s">
        <v>544</v>
      </c>
      <c r="W1782" t="s">
        <v>546</v>
      </c>
      <c r="X1782" s="784">
        <v>4844815340.2135534</v>
      </c>
    </row>
    <row r="1783" spans="1:24">
      <c r="A1783" t="s">
        <v>358</v>
      </c>
      <c r="B1783" t="s">
        <v>693</v>
      </c>
      <c r="C1783" t="s">
        <v>291</v>
      </c>
      <c r="D1783" t="s">
        <v>130</v>
      </c>
      <c r="E1783" t="s">
        <v>377</v>
      </c>
      <c r="F1783" t="s">
        <v>310</v>
      </c>
      <c r="G1783" t="s">
        <v>343</v>
      </c>
      <c r="H1783" t="s">
        <v>111</v>
      </c>
      <c r="I1783">
        <v>2021</v>
      </c>
      <c r="J1783" t="s">
        <v>379</v>
      </c>
      <c r="K1783" t="s">
        <v>546</v>
      </c>
      <c r="L1783" s="784">
        <v>0</v>
      </c>
      <c r="M1783" t="s">
        <v>745</v>
      </c>
      <c r="P1783" t="s">
        <v>1887</v>
      </c>
      <c r="R1783" t="s">
        <v>550</v>
      </c>
      <c r="S1783" t="s">
        <v>146</v>
      </c>
      <c r="U1783">
        <v>0</v>
      </c>
      <c r="V1783" t="s">
        <v>544</v>
      </c>
      <c r="W1783" t="s">
        <v>575</v>
      </c>
      <c r="X1783" s="784">
        <v>4001891446.6871672</v>
      </c>
    </row>
    <row r="1784" spans="1:24">
      <c r="A1784" t="s">
        <v>358</v>
      </c>
      <c r="B1784" t="s">
        <v>694</v>
      </c>
      <c r="C1784" t="s">
        <v>292</v>
      </c>
      <c r="D1784" t="s">
        <v>127</v>
      </c>
      <c r="E1784" t="s">
        <v>377</v>
      </c>
      <c r="F1784" t="s">
        <v>310</v>
      </c>
      <c r="G1784" t="s">
        <v>343</v>
      </c>
      <c r="H1784" t="s">
        <v>111</v>
      </c>
      <c r="I1784">
        <v>2021</v>
      </c>
      <c r="J1784" t="s">
        <v>379</v>
      </c>
      <c r="K1784" t="s">
        <v>546</v>
      </c>
      <c r="L1784" s="784">
        <v>135034</v>
      </c>
      <c r="M1784" t="s">
        <v>745</v>
      </c>
      <c r="P1784" t="s">
        <v>1887</v>
      </c>
      <c r="R1784" t="s">
        <v>150</v>
      </c>
      <c r="S1784" t="s">
        <v>145</v>
      </c>
      <c r="U1784">
        <v>0</v>
      </c>
      <c r="V1784" t="s">
        <v>544</v>
      </c>
      <c r="W1784" t="s">
        <v>558</v>
      </c>
      <c r="X1784" s="784">
        <v>1019800630.5853213</v>
      </c>
    </row>
    <row r="1785" spans="1:24">
      <c r="A1785" t="s">
        <v>358</v>
      </c>
      <c r="B1785" t="s">
        <v>695</v>
      </c>
      <c r="C1785" t="s">
        <v>293</v>
      </c>
      <c r="D1785" t="s">
        <v>126</v>
      </c>
      <c r="E1785" t="s">
        <v>377</v>
      </c>
      <c r="F1785" t="s">
        <v>310</v>
      </c>
      <c r="G1785" t="s">
        <v>343</v>
      </c>
      <c r="H1785" t="s">
        <v>111</v>
      </c>
      <c r="I1785">
        <v>2021</v>
      </c>
      <c r="J1785" t="s">
        <v>379</v>
      </c>
      <c r="K1785" t="s">
        <v>546</v>
      </c>
      <c r="L1785" s="784">
        <v>25000</v>
      </c>
      <c r="M1785" t="s">
        <v>745</v>
      </c>
      <c r="P1785" t="s">
        <v>1887</v>
      </c>
      <c r="R1785" t="s">
        <v>150</v>
      </c>
      <c r="S1785" t="s">
        <v>145</v>
      </c>
      <c r="U1785">
        <v>0</v>
      </c>
      <c r="V1785" t="s">
        <v>541</v>
      </c>
      <c r="W1785" t="s">
        <v>562</v>
      </c>
      <c r="X1785" s="784">
        <v>19578671.310841195</v>
      </c>
    </row>
    <row r="1786" spans="1:24">
      <c r="A1786" t="s">
        <v>358</v>
      </c>
      <c r="B1786" t="s">
        <v>696</v>
      </c>
      <c r="C1786" t="s">
        <v>294</v>
      </c>
      <c r="D1786" t="s">
        <v>130</v>
      </c>
      <c r="E1786" t="s">
        <v>377</v>
      </c>
      <c r="F1786" t="s">
        <v>310</v>
      </c>
      <c r="G1786" t="s">
        <v>343</v>
      </c>
      <c r="H1786" t="s">
        <v>111</v>
      </c>
      <c r="I1786">
        <v>2021</v>
      </c>
      <c r="J1786" t="s">
        <v>379</v>
      </c>
      <c r="K1786" t="s">
        <v>546</v>
      </c>
      <c r="L1786" s="784">
        <v>0</v>
      </c>
      <c r="M1786" t="s">
        <v>745</v>
      </c>
      <c r="P1786" t="s">
        <v>1887</v>
      </c>
      <c r="R1786" t="s">
        <v>322</v>
      </c>
      <c r="S1786" t="s">
        <v>146</v>
      </c>
      <c r="U1786">
        <v>0</v>
      </c>
      <c r="V1786" t="s">
        <v>544</v>
      </c>
      <c r="W1786" t="s">
        <v>546</v>
      </c>
      <c r="X1786" s="784">
        <v>3551452001.0684834</v>
      </c>
    </row>
    <row r="1787" spans="1:24">
      <c r="A1787" t="s">
        <v>358</v>
      </c>
      <c r="B1787" t="s">
        <v>697</v>
      </c>
      <c r="C1787" t="s">
        <v>295</v>
      </c>
      <c r="D1787" t="s">
        <v>126</v>
      </c>
      <c r="E1787" t="s">
        <v>377</v>
      </c>
      <c r="F1787" t="s">
        <v>310</v>
      </c>
      <c r="G1787" t="s">
        <v>343</v>
      </c>
      <c r="H1787" t="s">
        <v>111</v>
      </c>
      <c r="I1787">
        <v>2021</v>
      </c>
      <c r="J1787" t="s">
        <v>379</v>
      </c>
      <c r="K1787" t="s">
        <v>546</v>
      </c>
      <c r="L1787" s="784">
        <v>95000</v>
      </c>
      <c r="M1787" t="s">
        <v>745</v>
      </c>
      <c r="P1787" t="s">
        <v>1887</v>
      </c>
      <c r="R1787" t="s">
        <v>150</v>
      </c>
      <c r="S1787" t="s">
        <v>145</v>
      </c>
      <c r="U1787">
        <v>0</v>
      </c>
      <c r="V1787" t="s">
        <v>544</v>
      </c>
      <c r="W1787" t="s">
        <v>546</v>
      </c>
      <c r="X1787" s="784">
        <v>6603048821.7575006</v>
      </c>
    </row>
    <row r="1788" spans="1:24">
      <c r="A1788" t="s">
        <v>358</v>
      </c>
      <c r="B1788" t="s">
        <v>698</v>
      </c>
      <c r="C1788" t="s">
        <v>296</v>
      </c>
      <c r="D1788" t="s">
        <v>131</v>
      </c>
      <c r="E1788" t="s">
        <v>377</v>
      </c>
      <c r="F1788" t="s">
        <v>310</v>
      </c>
      <c r="G1788" t="s">
        <v>343</v>
      </c>
      <c r="H1788" t="s">
        <v>111</v>
      </c>
      <c r="I1788">
        <v>2021</v>
      </c>
      <c r="J1788" t="s">
        <v>379</v>
      </c>
      <c r="K1788" t="s">
        <v>546</v>
      </c>
      <c r="L1788" s="784">
        <v>493313.16</v>
      </c>
      <c r="M1788" t="s">
        <v>745</v>
      </c>
      <c r="P1788" t="s">
        <v>1887</v>
      </c>
      <c r="R1788" t="s">
        <v>148</v>
      </c>
      <c r="S1788" t="s">
        <v>145</v>
      </c>
      <c r="U1788">
        <v>1</v>
      </c>
      <c r="V1788" t="s">
        <v>544</v>
      </c>
      <c r="W1788" t="s">
        <v>548</v>
      </c>
      <c r="X1788" s="784" t="s">
        <v>575</v>
      </c>
    </row>
    <row r="1789" spans="1:24">
      <c r="A1789" t="s">
        <v>358</v>
      </c>
      <c r="B1789" t="s">
        <v>699</v>
      </c>
      <c r="C1789" t="s">
        <v>297</v>
      </c>
      <c r="D1789" t="s">
        <v>128</v>
      </c>
      <c r="E1789" t="s">
        <v>377</v>
      </c>
      <c r="F1789" t="s">
        <v>310</v>
      </c>
      <c r="G1789" t="s">
        <v>343</v>
      </c>
      <c r="H1789" t="s">
        <v>111</v>
      </c>
      <c r="I1789">
        <v>2021</v>
      </c>
      <c r="J1789" t="s">
        <v>379</v>
      </c>
      <c r="K1789" t="s">
        <v>546</v>
      </c>
      <c r="L1789" s="784">
        <v>74900</v>
      </c>
      <c r="M1789" t="s">
        <v>745</v>
      </c>
      <c r="P1789" t="s">
        <v>1887</v>
      </c>
      <c r="R1789" t="s">
        <v>150</v>
      </c>
      <c r="S1789" t="s">
        <v>145</v>
      </c>
      <c r="U1789">
        <v>0</v>
      </c>
      <c r="V1789" t="s">
        <v>544</v>
      </c>
      <c r="W1789" t="s">
        <v>542</v>
      </c>
      <c r="X1789" s="784">
        <v>515352723.9821828</v>
      </c>
    </row>
    <row r="1790" spans="1:24">
      <c r="A1790" t="s">
        <v>358</v>
      </c>
      <c r="B1790" t="s">
        <v>700</v>
      </c>
      <c r="C1790" t="s">
        <v>298</v>
      </c>
      <c r="D1790" t="s">
        <v>128</v>
      </c>
      <c r="E1790" t="s">
        <v>377</v>
      </c>
      <c r="F1790" t="s">
        <v>310</v>
      </c>
      <c r="G1790" t="s">
        <v>343</v>
      </c>
      <c r="H1790" t="s">
        <v>111</v>
      </c>
      <c r="I1790">
        <v>2021</v>
      </c>
      <c r="J1790" t="s">
        <v>379</v>
      </c>
      <c r="K1790" t="s">
        <v>546</v>
      </c>
      <c r="L1790" s="784">
        <v>345203</v>
      </c>
      <c r="M1790" t="s">
        <v>745</v>
      </c>
      <c r="P1790" t="s">
        <v>1887</v>
      </c>
      <c r="R1790" t="s">
        <v>150</v>
      </c>
      <c r="S1790" t="s">
        <v>145</v>
      </c>
      <c r="U1790">
        <v>0</v>
      </c>
      <c r="V1790" t="s">
        <v>544</v>
      </c>
      <c r="W1790" t="s">
        <v>546</v>
      </c>
      <c r="X1790" s="784">
        <v>566711742.22428358</v>
      </c>
    </row>
    <row r="1791" spans="1:24">
      <c r="A1791" t="s">
        <v>358</v>
      </c>
      <c r="B1791" t="s">
        <v>540</v>
      </c>
      <c r="C1791" t="s">
        <v>160</v>
      </c>
      <c r="D1791" t="s">
        <v>132</v>
      </c>
      <c r="E1791" t="s">
        <v>377</v>
      </c>
      <c r="F1791" t="s">
        <v>310</v>
      </c>
      <c r="G1791" t="s">
        <v>342</v>
      </c>
      <c r="H1791" t="s">
        <v>104</v>
      </c>
      <c r="I1791">
        <v>2021</v>
      </c>
      <c r="J1791" t="s">
        <v>379</v>
      </c>
      <c r="K1791" t="s">
        <v>546</v>
      </c>
      <c r="L1791" s="784">
        <v>567847.22222222213</v>
      </c>
      <c r="M1791" t="s">
        <v>745</v>
      </c>
      <c r="N1791" s="784" t="s">
        <v>575</v>
      </c>
      <c r="P1791" t="s">
        <v>1887</v>
      </c>
      <c r="R1791" t="s">
        <v>148</v>
      </c>
      <c r="S1791" t="s">
        <v>145</v>
      </c>
      <c r="U1791">
        <v>1</v>
      </c>
      <c r="V1791" t="s">
        <v>544</v>
      </c>
      <c r="W1791" t="s">
        <v>542</v>
      </c>
      <c r="X1791" s="784">
        <v>95829480.719269618</v>
      </c>
    </row>
    <row r="1792" spans="1:24">
      <c r="A1792" t="s">
        <v>358</v>
      </c>
      <c r="B1792" t="s">
        <v>543</v>
      </c>
      <c r="C1792" t="s">
        <v>161</v>
      </c>
      <c r="D1792" t="s">
        <v>127</v>
      </c>
      <c r="E1792" t="s">
        <v>377</v>
      </c>
      <c r="F1792" t="s">
        <v>310</v>
      </c>
      <c r="G1792" t="s">
        <v>342</v>
      </c>
      <c r="H1792" t="s">
        <v>104</v>
      </c>
      <c r="I1792">
        <v>2021</v>
      </c>
      <c r="J1792" t="s">
        <v>379</v>
      </c>
      <c r="K1792" t="s">
        <v>546</v>
      </c>
      <c r="L1792" s="784">
        <v>0</v>
      </c>
      <c r="M1792" t="s">
        <v>745</v>
      </c>
      <c r="N1792" s="784" t="s">
        <v>575</v>
      </c>
      <c r="P1792" t="s">
        <v>1887</v>
      </c>
      <c r="R1792" t="s">
        <v>152</v>
      </c>
      <c r="S1792" t="s">
        <v>146</v>
      </c>
      <c r="U1792">
        <v>0</v>
      </c>
      <c r="V1792" t="s">
        <v>544</v>
      </c>
      <c r="W1792" t="s">
        <v>575</v>
      </c>
      <c r="X1792" s="784">
        <v>427904035.52443534</v>
      </c>
    </row>
    <row r="1793" spans="1:24">
      <c r="A1793" t="s">
        <v>358</v>
      </c>
      <c r="B1793" t="s">
        <v>545</v>
      </c>
      <c r="C1793" t="s">
        <v>143</v>
      </c>
      <c r="D1793" t="s">
        <v>131</v>
      </c>
      <c r="E1793" t="s">
        <v>377</v>
      </c>
      <c r="F1793" t="s">
        <v>310</v>
      </c>
      <c r="G1793" t="s">
        <v>342</v>
      </c>
      <c r="H1793" t="s">
        <v>104</v>
      </c>
      <c r="I1793">
        <v>2021</v>
      </c>
      <c r="J1793" t="s">
        <v>379</v>
      </c>
      <c r="K1793" t="s">
        <v>546</v>
      </c>
      <c r="L1793" s="784">
        <v>59999.999999999993</v>
      </c>
      <c r="M1793" t="s">
        <v>745</v>
      </c>
      <c r="N1793" s="784" t="s">
        <v>575</v>
      </c>
      <c r="P1793" t="s">
        <v>1887</v>
      </c>
      <c r="R1793" t="s">
        <v>150</v>
      </c>
      <c r="S1793" t="s">
        <v>145</v>
      </c>
      <c r="U1793">
        <v>0</v>
      </c>
      <c r="V1793" t="s">
        <v>544</v>
      </c>
      <c r="W1793" t="s">
        <v>546</v>
      </c>
      <c r="X1793" s="784">
        <v>7113361022.7267885</v>
      </c>
    </row>
    <row r="1794" spans="1:24">
      <c r="A1794" t="s">
        <v>358</v>
      </c>
      <c r="B1794" t="s">
        <v>547</v>
      </c>
      <c r="C1794" t="s">
        <v>162</v>
      </c>
      <c r="D1794" t="s">
        <v>128</v>
      </c>
      <c r="E1794" t="s">
        <v>377</v>
      </c>
      <c r="F1794" t="s">
        <v>310</v>
      </c>
      <c r="G1794" t="s">
        <v>342</v>
      </c>
      <c r="H1794" t="s">
        <v>104</v>
      </c>
      <c r="I1794">
        <v>2021</v>
      </c>
      <c r="J1794" t="s">
        <v>379</v>
      </c>
      <c r="K1794" t="s">
        <v>546</v>
      </c>
      <c r="L1794" s="784">
        <v>20000</v>
      </c>
      <c r="M1794" t="s">
        <v>745</v>
      </c>
      <c r="N1794" s="784" t="s">
        <v>575</v>
      </c>
      <c r="P1794" t="s">
        <v>1887</v>
      </c>
      <c r="R1794" t="s">
        <v>150</v>
      </c>
      <c r="S1794" t="s">
        <v>145</v>
      </c>
      <c r="U1794">
        <v>0</v>
      </c>
      <c r="V1794" t="s">
        <v>544</v>
      </c>
      <c r="W1794" t="s">
        <v>548</v>
      </c>
      <c r="X1794" s="784">
        <v>1131865946.5875781</v>
      </c>
    </row>
    <row r="1795" spans="1:24">
      <c r="A1795" t="s">
        <v>358</v>
      </c>
      <c r="B1795" t="s">
        <v>549</v>
      </c>
      <c r="C1795" t="s">
        <v>163</v>
      </c>
      <c r="D1795" t="s">
        <v>130</v>
      </c>
      <c r="E1795" t="s">
        <v>377</v>
      </c>
      <c r="F1795" t="s">
        <v>310</v>
      </c>
      <c r="G1795" t="s">
        <v>342</v>
      </c>
      <c r="H1795" t="s">
        <v>104</v>
      </c>
      <c r="I1795">
        <v>2021</v>
      </c>
      <c r="J1795" t="s">
        <v>379</v>
      </c>
      <c r="K1795" t="s">
        <v>546</v>
      </c>
      <c r="L1795" s="784">
        <v>0</v>
      </c>
      <c r="M1795" t="s">
        <v>745</v>
      </c>
      <c r="N1795" s="784" t="s">
        <v>575</v>
      </c>
      <c r="P1795" t="s">
        <v>1887</v>
      </c>
      <c r="R1795" t="s">
        <v>550</v>
      </c>
      <c r="S1795" t="s">
        <v>146</v>
      </c>
      <c r="U1795">
        <v>0</v>
      </c>
      <c r="V1795" t="s">
        <v>541</v>
      </c>
      <c r="W1795" t="s">
        <v>575</v>
      </c>
      <c r="X1795" s="784">
        <v>46777779.823447868</v>
      </c>
    </row>
    <row r="1796" spans="1:24">
      <c r="A1796" t="s">
        <v>358</v>
      </c>
      <c r="B1796" t="s">
        <v>551</v>
      </c>
      <c r="C1796" t="s">
        <v>164</v>
      </c>
      <c r="D1796" t="s">
        <v>130</v>
      </c>
      <c r="E1796" t="s">
        <v>377</v>
      </c>
      <c r="F1796" t="s">
        <v>310</v>
      </c>
      <c r="G1796" t="s">
        <v>342</v>
      </c>
      <c r="H1796" t="s">
        <v>104</v>
      </c>
      <c r="I1796">
        <v>2021</v>
      </c>
      <c r="J1796" t="s">
        <v>379</v>
      </c>
      <c r="K1796" t="s">
        <v>546</v>
      </c>
      <c r="L1796" s="784">
        <v>0</v>
      </c>
      <c r="M1796" t="s">
        <v>745</v>
      </c>
      <c r="N1796" s="784" t="s">
        <v>575</v>
      </c>
      <c r="P1796" t="s">
        <v>1887</v>
      </c>
      <c r="R1796" t="s">
        <v>152</v>
      </c>
      <c r="S1796" t="s">
        <v>146</v>
      </c>
      <c r="U1796">
        <v>0</v>
      </c>
      <c r="V1796" t="s">
        <v>544</v>
      </c>
      <c r="W1796" t="s">
        <v>575</v>
      </c>
      <c r="X1796" s="784">
        <v>30725305777.596794</v>
      </c>
    </row>
    <row r="1797" spans="1:24">
      <c r="A1797" t="s">
        <v>358</v>
      </c>
      <c r="B1797" t="s">
        <v>553</v>
      </c>
      <c r="C1797" t="s">
        <v>165</v>
      </c>
      <c r="D1797" t="s">
        <v>127</v>
      </c>
      <c r="E1797" t="s">
        <v>377</v>
      </c>
      <c r="F1797" t="s">
        <v>310</v>
      </c>
      <c r="G1797" t="s">
        <v>342</v>
      </c>
      <c r="H1797" t="s">
        <v>104</v>
      </c>
      <c r="I1797">
        <v>2021</v>
      </c>
      <c r="J1797" t="s">
        <v>379</v>
      </c>
      <c r="K1797" t="s">
        <v>546</v>
      </c>
      <c r="L1797" s="784">
        <v>0</v>
      </c>
      <c r="M1797" t="s">
        <v>745</v>
      </c>
      <c r="N1797" s="784" t="s">
        <v>575</v>
      </c>
      <c r="P1797" t="s">
        <v>1887</v>
      </c>
      <c r="R1797" t="s">
        <v>152</v>
      </c>
      <c r="S1797" t="s">
        <v>146</v>
      </c>
      <c r="U1797">
        <v>0</v>
      </c>
      <c r="V1797" t="s">
        <v>544</v>
      </c>
      <c r="W1797" t="s">
        <v>575</v>
      </c>
      <c r="X1797" s="784">
        <v>153815827.8380394</v>
      </c>
    </row>
    <row r="1798" spans="1:24">
      <c r="A1798" t="s">
        <v>358</v>
      </c>
      <c r="B1798" t="s">
        <v>554</v>
      </c>
      <c r="C1798" t="s">
        <v>166</v>
      </c>
      <c r="D1798" t="s">
        <v>127</v>
      </c>
      <c r="E1798" t="s">
        <v>377</v>
      </c>
      <c r="F1798" t="s">
        <v>310</v>
      </c>
      <c r="G1798" t="s">
        <v>342</v>
      </c>
      <c r="H1798" t="s">
        <v>104</v>
      </c>
      <c r="I1798">
        <v>2021</v>
      </c>
      <c r="J1798" t="s">
        <v>379</v>
      </c>
      <c r="K1798" t="s">
        <v>546</v>
      </c>
      <c r="L1798" s="784">
        <v>0</v>
      </c>
      <c r="M1798" t="s">
        <v>745</v>
      </c>
      <c r="N1798" s="784" t="s">
        <v>575</v>
      </c>
      <c r="P1798" t="s">
        <v>1887</v>
      </c>
      <c r="R1798" t="s">
        <v>152</v>
      </c>
      <c r="S1798" t="s">
        <v>146</v>
      </c>
      <c r="U1798">
        <v>0</v>
      </c>
      <c r="V1798" t="s">
        <v>544</v>
      </c>
      <c r="W1798" t="s">
        <v>546</v>
      </c>
      <c r="X1798" s="784">
        <v>437525105.31216973</v>
      </c>
    </row>
    <row r="1799" spans="1:24">
      <c r="A1799" t="s">
        <v>358</v>
      </c>
      <c r="B1799" t="s">
        <v>555</v>
      </c>
      <c r="C1799" t="s">
        <v>556</v>
      </c>
      <c r="D1799" t="s">
        <v>130</v>
      </c>
      <c r="E1799" t="s">
        <v>377</v>
      </c>
      <c r="F1799" t="s">
        <v>310</v>
      </c>
      <c r="G1799" t="s">
        <v>342</v>
      </c>
      <c r="H1799" t="s">
        <v>104</v>
      </c>
      <c r="I1799">
        <v>2021</v>
      </c>
      <c r="J1799" t="s">
        <v>379</v>
      </c>
      <c r="K1799" t="s">
        <v>546</v>
      </c>
      <c r="L1799" s="784">
        <v>0</v>
      </c>
      <c r="M1799" t="s">
        <v>745</v>
      </c>
      <c r="N1799" s="784" t="s">
        <v>575</v>
      </c>
      <c r="P1799" t="s">
        <v>1887</v>
      </c>
      <c r="R1799" t="s">
        <v>550</v>
      </c>
      <c r="S1799" t="s">
        <v>146</v>
      </c>
      <c r="U1799">
        <v>0</v>
      </c>
      <c r="V1799" t="s">
        <v>541</v>
      </c>
      <c r="W1799" t="s">
        <v>575</v>
      </c>
      <c r="X1799" s="784">
        <v>149463302.00602186</v>
      </c>
    </row>
    <row r="1800" spans="1:24">
      <c r="A1800" t="s">
        <v>358</v>
      </c>
      <c r="B1800" t="s">
        <v>557</v>
      </c>
      <c r="C1800" t="s">
        <v>167</v>
      </c>
      <c r="D1800" t="s">
        <v>132</v>
      </c>
      <c r="E1800" t="s">
        <v>377</v>
      </c>
      <c r="F1800" t="s">
        <v>310</v>
      </c>
      <c r="G1800" t="s">
        <v>342</v>
      </c>
      <c r="H1800" t="s">
        <v>104</v>
      </c>
      <c r="I1800">
        <v>2021</v>
      </c>
      <c r="J1800" t="s">
        <v>379</v>
      </c>
      <c r="K1800" t="s">
        <v>546</v>
      </c>
      <c r="L1800" s="784">
        <v>326500</v>
      </c>
      <c r="M1800" t="s">
        <v>745</v>
      </c>
      <c r="N1800" s="784" t="s">
        <v>575</v>
      </c>
      <c r="P1800" t="s">
        <v>1887</v>
      </c>
      <c r="R1800" t="s">
        <v>150</v>
      </c>
      <c r="S1800" t="s">
        <v>145</v>
      </c>
      <c r="U1800">
        <v>0</v>
      </c>
      <c r="V1800" t="s">
        <v>544</v>
      </c>
      <c r="W1800" t="s">
        <v>558</v>
      </c>
      <c r="X1800" s="784">
        <v>1148322593.9600098</v>
      </c>
    </row>
    <row r="1801" spans="1:24">
      <c r="A1801" t="s">
        <v>358</v>
      </c>
      <c r="B1801" t="s">
        <v>559</v>
      </c>
      <c r="C1801" t="s">
        <v>168</v>
      </c>
      <c r="D1801" t="s">
        <v>127</v>
      </c>
      <c r="E1801" t="s">
        <v>377</v>
      </c>
      <c r="F1801" t="s">
        <v>310</v>
      </c>
      <c r="G1801" t="s">
        <v>342</v>
      </c>
      <c r="H1801" t="s">
        <v>104</v>
      </c>
      <c r="I1801">
        <v>2021</v>
      </c>
      <c r="J1801" t="s">
        <v>379</v>
      </c>
      <c r="K1801" t="s">
        <v>546</v>
      </c>
      <c r="L1801" s="784">
        <v>0</v>
      </c>
      <c r="M1801" t="s">
        <v>745</v>
      </c>
      <c r="N1801" s="784" t="s">
        <v>575</v>
      </c>
      <c r="P1801" t="s">
        <v>1887</v>
      </c>
      <c r="R1801" t="s">
        <v>152</v>
      </c>
      <c r="S1801" t="s">
        <v>146</v>
      </c>
      <c r="U1801">
        <v>0</v>
      </c>
      <c r="V1801" t="s">
        <v>544</v>
      </c>
      <c r="W1801" t="s">
        <v>575</v>
      </c>
      <c r="X1801" s="784">
        <v>2371102058.1093163</v>
      </c>
    </row>
    <row r="1802" spans="1:24">
      <c r="A1802" t="s">
        <v>358</v>
      </c>
      <c r="B1802" t="s">
        <v>560</v>
      </c>
      <c r="C1802" t="s">
        <v>169</v>
      </c>
      <c r="D1802" t="s">
        <v>130</v>
      </c>
      <c r="E1802" t="s">
        <v>377</v>
      </c>
      <c r="F1802" t="s">
        <v>310</v>
      </c>
      <c r="G1802" t="s">
        <v>342</v>
      </c>
      <c r="H1802" t="s">
        <v>104</v>
      </c>
      <c r="I1802">
        <v>2021</v>
      </c>
      <c r="J1802" t="s">
        <v>379</v>
      </c>
      <c r="K1802" t="s">
        <v>546</v>
      </c>
      <c r="L1802" s="784">
        <v>0</v>
      </c>
      <c r="M1802" t="s">
        <v>745</v>
      </c>
      <c r="N1802" s="784" t="s">
        <v>575</v>
      </c>
      <c r="P1802" t="s">
        <v>1887</v>
      </c>
      <c r="R1802" t="s">
        <v>150</v>
      </c>
      <c r="S1802" t="s">
        <v>146</v>
      </c>
      <c r="U1802">
        <v>0</v>
      </c>
      <c r="V1802" t="s">
        <v>541</v>
      </c>
      <c r="W1802" t="s">
        <v>546</v>
      </c>
      <c r="X1802" s="784">
        <v>75151620.005215243</v>
      </c>
    </row>
    <row r="1803" spans="1:24">
      <c r="A1803" t="s">
        <v>358</v>
      </c>
      <c r="B1803" t="s">
        <v>561</v>
      </c>
      <c r="C1803" t="s">
        <v>170</v>
      </c>
      <c r="D1803" t="s">
        <v>129</v>
      </c>
      <c r="E1803" t="s">
        <v>377</v>
      </c>
      <c r="F1803" t="s">
        <v>310</v>
      </c>
      <c r="G1803" t="s">
        <v>342</v>
      </c>
      <c r="H1803" t="s">
        <v>104</v>
      </c>
      <c r="I1803">
        <v>2021</v>
      </c>
      <c r="J1803" t="s">
        <v>379</v>
      </c>
      <c r="K1803" t="s">
        <v>546</v>
      </c>
      <c r="L1803" s="784">
        <v>91200</v>
      </c>
      <c r="M1803" t="s">
        <v>745</v>
      </c>
      <c r="N1803" s="784" t="s">
        <v>575</v>
      </c>
      <c r="P1803" t="s">
        <v>1887</v>
      </c>
      <c r="R1803" t="s">
        <v>150</v>
      </c>
      <c r="S1803" t="s">
        <v>145</v>
      </c>
      <c r="U1803">
        <v>0</v>
      </c>
      <c r="V1803" t="s">
        <v>544</v>
      </c>
      <c r="W1803" t="s">
        <v>562</v>
      </c>
      <c r="X1803" s="784">
        <v>69958487.197715744</v>
      </c>
    </row>
    <row r="1804" spans="1:24">
      <c r="A1804" t="s">
        <v>358</v>
      </c>
      <c r="B1804" t="s">
        <v>563</v>
      </c>
      <c r="C1804" t="s">
        <v>171</v>
      </c>
      <c r="D1804" t="s">
        <v>132</v>
      </c>
      <c r="E1804" t="s">
        <v>377</v>
      </c>
      <c r="F1804" t="s">
        <v>310</v>
      </c>
      <c r="G1804" t="s">
        <v>342</v>
      </c>
      <c r="H1804" t="s">
        <v>104</v>
      </c>
      <c r="I1804">
        <v>2021</v>
      </c>
      <c r="J1804" t="s">
        <v>379</v>
      </c>
      <c r="K1804" t="s">
        <v>546</v>
      </c>
      <c r="L1804" s="784">
        <v>29999.999999999996</v>
      </c>
      <c r="M1804" t="s">
        <v>745</v>
      </c>
      <c r="N1804" s="784" t="s">
        <v>575</v>
      </c>
      <c r="P1804" t="s">
        <v>1887</v>
      </c>
      <c r="R1804" t="s">
        <v>150</v>
      </c>
      <c r="S1804" t="s">
        <v>145</v>
      </c>
      <c r="U1804">
        <v>0</v>
      </c>
      <c r="V1804" t="s">
        <v>544</v>
      </c>
      <c r="W1804" t="s">
        <v>548</v>
      </c>
      <c r="X1804" s="784">
        <v>61654608.560629159</v>
      </c>
    </row>
    <row r="1805" spans="1:24">
      <c r="A1805" t="s">
        <v>358</v>
      </c>
      <c r="B1805" t="s">
        <v>564</v>
      </c>
      <c r="C1805" t="s">
        <v>172</v>
      </c>
      <c r="D1805" t="s">
        <v>130</v>
      </c>
      <c r="E1805" t="s">
        <v>377</v>
      </c>
      <c r="F1805" t="s">
        <v>310</v>
      </c>
      <c r="G1805" t="s">
        <v>342</v>
      </c>
      <c r="H1805" t="s">
        <v>104</v>
      </c>
      <c r="I1805">
        <v>2021</v>
      </c>
      <c r="J1805" t="s">
        <v>379</v>
      </c>
      <c r="K1805" t="s">
        <v>546</v>
      </c>
      <c r="L1805" s="784">
        <v>0</v>
      </c>
      <c r="M1805" t="s">
        <v>745</v>
      </c>
      <c r="N1805" s="784" t="s">
        <v>575</v>
      </c>
      <c r="P1805" t="s">
        <v>1887</v>
      </c>
      <c r="R1805" t="s">
        <v>150</v>
      </c>
      <c r="S1805" t="s">
        <v>145</v>
      </c>
      <c r="U1805">
        <v>0</v>
      </c>
      <c r="V1805" t="s">
        <v>544</v>
      </c>
      <c r="W1805" t="s">
        <v>546</v>
      </c>
      <c r="X1805" s="784">
        <v>1806638707.7615163</v>
      </c>
    </row>
    <row r="1806" spans="1:24">
      <c r="A1806" t="s">
        <v>358</v>
      </c>
      <c r="B1806" t="s">
        <v>565</v>
      </c>
      <c r="C1806" t="s">
        <v>174</v>
      </c>
      <c r="D1806" t="s">
        <v>127</v>
      </c>
      <c r="E1806" t="s">
        <v>377</v>
      </c>
      <c r="F1806" t="s">
        <v>310</v>
      </c>
      <c r="G1806" t="s">
        <v>342</v>
      </c>
      <c r="H1806" t="s">
        <v>104</v>
      </c>
      <c r="I1806">
        <v>2021</v>
      </c>
      <c r="J1806" t="s">
        <v>379</v>
      </c>
      <c r="K1806" t="s">
        <v>546</v>
      </c>
      <c r="L1806" s="784">
        <v>0</v>
      </c>
      <c r="M1806" t="s">
        <v>745</v>
      </c>
      <c r="N1806" s="784" t="s">
        <v>575</v>
      </c>
      <c r="P1806" t="s">
        <v>1887</v>
      </c>
      <c r="R1806" t="s">
        <v>152</v>
      </c>
      <c r="S1806" t="s">
        <v>146</v>
      </c>
      <c r="U1806">
        <v>0</v>
      </c>
      <c r="V1806" t="s">
        <v>544</v>
      </c>
      <c r="W1806" t="s">
        <v>546</v>
      </c>
      <c r="X1806" s="784">
        <v>1252696525.0627904</v>
      </c>
    </row>
    <row r="1807" spans="1:24">
      <c r="A1807" t="s">
        <v>358</v>
      </c>
      <c r="B1807" t="s">
        <v>566</v>
      </c>
      <c r="C1807" t="s">
        <v>175</v>
      </c>
      <c r="D1807" t="s">
        <v>128</v>
      </c>
      <c r="E1807" t="s">
        <v>377</v>
      </c>
      <c r="F1807" t="s">
        <v>310</v>
      </c>
      <c r="G1807" t="s">
        <v>342</v>
      </c>
      <c r="H1807" t="s">
        <v>104</v>
      </c>
      <c r="I1807">
        <v>2021</v>
      </c>
      <c r="J1807" t="s">
        <v>379</v>
      </c>
      <c r="K1807" t="s">
        <v>546</v>
      </c>
      <c r="L1807" s="784">
        <v>0</v>
      </c>
      <c r="M1807" t="s">
        <v>745</v>
      </c>
      <c r="N1807" s="784" t="s">
        <v>575</v>
      </c>
      <c r="P1807" t="s">
        <v>1887</v>
      </c>
      <c r="R1807" t="s">
        <v>152</v>
      </c>
      <c r="S1807" t="s">
        <v>146</v>
      </c>
      <c r="U1807">
        <v>0</v>
      </c>
      <c r="V1807" t="s">
        <v>544</v>
      </c>
      <c r="W1807" t="s">
        <v>575</v>
      </c>
      <c r="X1807" s="784">
        <v>843425084.07334602</v>
      </c>
    </row>
    <row r="1808" spans="1:24">
      <c r="A1808" t="s">
        <v>358</v>
      </c>
      <c r="B1808" t="s">
        <v>567</v>
      </c>
      <c r="C1808" t="s">
        <v>144</v>
      </c>
      <c r="D1808" t="s">
        <v>130</v>
      </c>
      <c r="E1808" t="s">
        <v>377</v>
      </c>
      <c r="F1808" t="s">
        <v>310</v>
      </c>
      <c r="G1808" t="s">
        <v>342</v>
      </c>
      <c r="H1808" t="s">
        <v>104</v>
      </c>
      <c r="I1808">
        <v>2021</v>
      </c>
      <c r="J1808" t="s">
        <v>379</v>
      </c>
      <c r="K1808" t="s">
        <v>546</v>
      </c>
      <c r="L1808" s="784">
        <v>0</v>
      </c>
      <c r="M1808" t="s">
        <v>745</v>
      </c>
      <c r="N1808" s="784" t="s">
        <v>575</v>
      </c>
      <c r="P1808" t="s">
        <v>1887</v>
      </c>
      <c r="R1808" t="s">
        <v>152</v>
      </c>
      <c r="S1808" t="s">
        <v>146</v>
      </c>
      <c r="U1808">
        <v>0</v>
      </c>
      <c r="V1808" t="s">
        <v>544</v>
      </c>
      <c r="W1808" t="s">
        <v>546</v>
      </c>
      <c r="X1808" s="784">
        <v>74055620038.853683</v>
      </c>
    </row>
    <row r="1809" spans="1:24">
      <c r="A1809" t="s">
        <v>358</v>
      </c>
      <c r="B1809" t="s">
        <v>568</v>
      </c>
      <c r="C1809" t="s">
        <v>176</v>
      </c>
      <c r="D1809" t="s">
        <v>127</v>
      </c>
      <c r="E1809" t="s">
        <v>377</v>
      </c>
      <c r="F1809" t="s">
        <v>310</v>
      </c>
      <c r="G1809" t="s">
        <v>342</v>
      </c>
      <c r="H1809" t="s">
        <v>104</v>
      </c>
      <c r="I1809">
        <v>2021</v>
      </c>
      <c r="J1809" t="s">
        <v>379</v>
      </c>
      <c r="K1809" t="s">
        <v>546</v>
      </c>
      <c r="L1809" s="784">
        <v>0</v>
      </c>
      <c r="M1809" t="s">
        <v>745</v>
      </c>
      <c r="N1809" s="784" t="s">
        <v>575</v>
      </c>
      <c r="P1809" t="s">
        <v>1887</v>
      </c>
      <c r="R1809" t="s">
        <v>152</v>
      </c>
      <c r="S1809" t="s">
        <v>146</v>
      </c>
      <c r="U1809">
        <v>0</v>
      </c>
      <c r="V1809" t="s">
        <v>544</v>
      </c>
      <c r="W1809" t="s">
        <v>575</v>
      </c>
      <c r="X1809" s="784">
        <v>2803357765.5888777</v>
      </c>
    </row>
    <row r="1810" spans="1:24">
      <c r="A1810" t="s">
        <v>358</v>
      </c>
      <c r="B1810" t="s">
        <v>569</v>
      </c>
      <c r="C1810" t="s">
        <v>177</v>
      </c>
      <c r="D1810" t="s">
        <v>129</v>
      </c>
      <c r="E1810" t="s">
        <v>377</v>
      </c>
      <c r="F1810" t="s">
        <v>310</v>
      </c>
      <c r="G1810" t="s">
        <v>342</v>
      </c>
      <c r="H1810" t="s">
        <v>104</v>
      </c>
      <c r="I1810">
        <v>2021</v>
      </c>
      <c r="J1810" t="s">
        <v>379</v>
      </c>
      <c r="K1810" t="s">
        <v>546</v>
      </c>
      <c r="L1810" s="784">
        <v>385000</v>
      </c>
      <c r="M1810" t="s">
        <v>745</v>
      </c>
      <c r="N1810" s="784" t="s">
        <v>575</v>
      </c>
      <c r="P1810" t="s">
        <v>1887</v>
      </c>
      <c r="R1810" t="s">
        <v>148</v>
      </c>
      <c r="S1810" t="s">
        <v>145</v>
      </c>
      <c r="U1810">
        <v>2</v>
      </c>
      <c r="V1810" t="s">
        <v>544</v>
      </c>
      <c r="W1810" t="s">
        <v>562</v>
      </c>
      <c r="X1810" s="784">
        <v>337927779.25510043</v>
      </c>
    </row>
    <row r="1811" spans="1:24">
      <c r="A1811" t="s">
        <v>358</v>
      </c>
      <c r="B1811" t="s">
        <v>570</v>
      </c>
      <c r="C1811" t="s">
        <v>178</v>
      </c>
      <c r="D1811" t="s">
        <v>128</v>
      </c>
      <c r="E1811" t="s">
        <v>377</v>
      </c>
      <c r="F1811" t="s">
        <v>310</v>
      </c>
      <c r="G1811" t="s">
        <v>342</v>
      </c>
      <c r="H1811" t="s">
        <v>104</v>
      </c>
      <c r="I1811">
        <v>2021</v>
      </c>
      <c r="J1811" t="s">
        <v>379</v>
      </c>
      <c r="K1811" t="s">
        <v>546</v>
      </c>
      <c r="L1811" s="784">
        <v>172200</v>
      </c>
      <c r="M1811" t="s">
        <v>745</v>
      </c>
      <c r="N1811" s="784" t="s">
        <v>575</v>
      </c>
      <c r="P1811" t="s">
        <v>1887</v>
      </c>
      <c r="R1811" t="s">
        <v>148</v>
      </c>
      <c r="S1811" t="s">
        <v>145</v>
      </c>
      <c r="U1811">
        <v>2</v>
      </c>
      <c r="V1811" t="s">
        <v>544</v>
      </c>
      <c r="W1811" t="s">
        <v>548</v>
      </c>
      <c r="X1811" s="784">
        <v>65979512.47399316</v>
      </c>
    </row>
    <row r="1812" spans="1:24">
      <c r="A1812" t="s">
        <v>358</v>
      </c>
      <c r="B1812" t="s">
        <v>571</v>
      </c>
      <c r="C1812" t="s">
        <v>179</v>
      </c>
      <c r="D1812" t="s">
        <v>129</v>
      </c>
      <c r="E1812" t="s">
        <v>377</v>
      </c>
      <c r="F1812" t="s">
        <v>310</v>
      </c>
      <c r="G1812" t="s">
        <v>342</v>
      </c>
      <c r="H1812" t="s">
        <v>104</v>
      </c>
      <c r="I1812">
        <v>2021</v>
      </c>
      <c r="J1812" t="s">
        <v>379</v>
      </c>
      <c r="K1812" t="s">
        <v>546</v>
      </c>
      <c r="L1812" s="784">
        <v>23148.148148148146</v>
      </c>
      <c r="M1812" t="s">
        <v>745</v>
      </c>
      <c r="N1812" s="784" t="s">
        <v>575</v>
      </c>
      <c r="P1812" t="s">
        <v>1887</v>
      </c>
      <c r="R1812" t="s">
        <v>150</v>
      </c>
      <c r="S1812" t="s">
        <v>145</v>
      </c>
      <c r="U1812">
        <v>0</v>
      </c>
      <c r="V1812" t="s">
        <v>541</v>
      </c>
      <c r="W1812" t="s">
        <v>542</v>
      </c>
      <c r="X1812" s="784">
        <v>63748362.778827004</v>
      </c>
    </row>
    <row r="1813" spans="1:24">
      <c r="A1813" t="s">
        <v>358</v>
      </c>
      <c r="B1813" t="s">
        <v>572</v>
      </c>
      <c r="C1813" t="s">
        <v>180</v>
      </c>
      <c r="D1813" t="s">
        <v>126</v>
      </c>
      <c r="E1813" t="s">
        <v>377</v>
      </c>
      <c r="F1813" t="s">
        <v>310</v>
      </c>
      <c r="G1813" t="s">
        <v>342</v>
      </c>
      <c r="H1813" t="s">
        <v>104</v>
      </c>
      <c r="I1813">
        <v>2021</v>
      </c>
      <c r="J1813" t="s">
        <v>379</v>
      </c>
      <c r="K1813" t="s">
        <v>546</v>
      </c>
      <c r="L1813" s="784">
        <v>95138.888888888876</v>
      </c>
      <c r="M1813" t="s">
        <v>745</v>
      </c>
      <c r="N1813" s="784" t="s">
        <v>575</v>
      </c>
      <c r="P1813" t="s">
        <v>1887</v>
      </c>
      <c r="R1813" t="s">
        <v>150</v>
      </c>
      <c r="S1813" t="s">
        <v>145</v>
      </c>
      <c r="U1813">
        <v>0</v>
      </c>
      <c r="V1813" t="s">
        <v>544</v>
      </c>
      <c r="W1813" t="s">
        <v>558</v>
      </c>
      <c r="X1813" s="784">
        <v>313039649.45369786</v>
      </c>
    </row>
    <row r="1814" spans="1:24">
      <c r="A1814" t="s">
        <v>358</v>
      </c>
      <c r="B1814" t="s">
        <v>573</v>
      </c>
      <c r="C1814" t="s">
        <v>181</v>
      </c>
      <c r="D1814" t="s">
        <v>129</v>
      </c>
      <c r="E1814" t="s">
        <v>377</v>
      </c>
      <c r="F1814" t="s">
        <v>310</v>
      </c>
      <c r="G1814" t="s">
        <v>342</v>
      </c>
      <c r="H1814" t="s">
        <v>104</v>
      </c>
      <c r="I1814">
        <v>2021</v>
      </c>
      <c r="J1814" t="s">
        <v>379</v>
      </c>
      <c r="K1814" t="s">
        <v>546</v>
      </c>
      <c r="L1814" s="784">
        <v>208184.85185185185</v>
      </c>
      <c r="M1814" t="s">
        <v>745</v>
      </c>
      <c r="N1814" s="784" t="s">
        <v>575</v>
      </c>
      <c r="P1814" t="s">
        <v>1887</v>
      </c>
      <c r="R1814" t="s">
        <v>150</v>
      </c>
      <c r="S1814" t="s">
        <v>145</v>
      </c>
      <c r="U1814">
        <v>2</v>
      </c>
      <c r="V1814" t="s">
        <v>544</v>
      </c>
      <c r="W1814" t="s">
        <v>542</v>
      </c>
      <c r="X1814" s="784">
        <v>81361801.477472037</v>
      </c>
    </row>
    <row r="1815" spans="1:24">
      <c r="A1815" t="s">
        <v>358</v>
      </c>
      <c r="B1815" t="s">
        <v>574</v>
      </c>
      <c r="C1815" t="s">
        <v>182</v>
      </c>
      <c r="D1815" t="s">
        <v>129</v>
      </c>
      <c r="E1815" t="s">
        <v>377</v>
      </c>
      <c r="F1815" t="s">
        <v>310</v>
      </c>
      <c r="G1815" t="s">
        <v>342</v>
      </c>
      <c r="H1815" t="s">
        <v>104</v>
      </c>
      <c r="I1815">
        <v>2021</v>
      </c>
      <c r="J1815" t="s">
        <v>379</v>
      </c>
      <c r="K1815" t="s">
        <v>546</v>
      </c>
      <c r="L1815" s="784">
        <v>390170.37037037034</v>
      </c>
      <c r="M1815" t="s">
        <v>745</v>
      </c>
      <c r="N1815" s="784" t="s">
        <v>575</v>
      </c>
      <c r="P1815" t="s">
        <v>1887</v>
      </c>
      <c r="R1815" t="s">
        <v>148</v>
      </c>
      <c r="S1815" t="s">
        <v>145</v>
      </c>
      <c r="U1815">
        <v>1</v>
      </c>
      <c r="V1815" t="s">
        <v>544</v>
      </c>
      <c r="W1815" t="s">
        <v>542</v>
      </c>
      <c r="X1815" s="784" t="s">
        <v>575</v>
      </c>
    </row>
    <row r="1816" spans="1:24">
      <c r="A1816" t="s">
        <v>358</v>
      </c>
      <c r="B1816" t="s">
        <v>576</v>
      </c>
      <c r="C1816" t="s">
        <v>183</v>
      </c>
      <c r="D1816" t="s">
        <v>129</v>
      </c>
      <c r="E1816" t="s">
        <v>377</v>
      </c>
      <c r="F1816" t="s">
        <v>310</v>
      </c>
      <c r="G1816" t="s">
        <v>342</v>
      </c>
      <c r="H1816" t="s">
        <v>104</v>
      </c>
      <c r="I1816">
        <v>2021</v>
      </c>
      <c r="J1816" t="s">
        <v>379</v>
      </c>
      <c r="K1816" t="s">
        <v>546</v>
      </c>
      <c r="L1816" s="784">
        <v>225360.18518518517</v>
      </c>
      <c r="M1816" t="s">
        <v>745</v>
      </c>
      <c r="N1816" s="784" t="s">
        <v>575</v>
      </c>
      <c r="P1816" t="s">
        <v>1887</v>
      </c>
      <c r="R1816" t="s">
        <v>148</v>
      </c>
      <c r="S1816" t="s">
        <v>145</v>
      </c>
      <c r="U1816">
        <v>1</v>
      </c>
      <c r="V1816" t="s">
        <v>544</v>
      </c>
      <c r="W1816" t="s">
        <v>542</v>
      </c>
      <c r="X1816" s="784">
        <v>76939306.715636879</v>
      </c>
    </row>
    <row r="1817" spans="1:24">
      <c r="A1817" t="s">
        <v>358</v>
      </c>
      <c r="B1817" t="s">
        <v>577</v>
      </c>
      <c r="C1817" t="s">
        <v>184</v>
      </c>
      <c r="D1817" t="s">
        <v>130</v>
      </c>
      <c r="E1817" t="s">
        <v>377</v>
      </c>
      <c r="F1817" t="s">
        <v>310</v>
      </c>
      <c r="G1817" t="s">
        <v>342</v>
      </c>
      <c r="H1817" t="s">
        <v>104</v>
      </c>
      <c r="I1817">
        <v>2021</v>
      </c>
      <c r="J1817" t="s">
        <v>379</v>
      </c>
      <c r="K1817" t="s">
        <v>546</v>
      </c>
      <c r="L1817" s="784">
        <v>0</v>
      </c>
      <c r="M1817" t="s">
        <v>745</v>
      </c>
      <c r="N1817" s="784" t="s">
        <v>575</v>
      </c>
      <c r="P1817" t="s">
        <v>1887</v>
      </c>
      <c r="R1817" t="s">
        <v>550</v>
      </c>
      <c r="S1817" t="s">
        <v>146</v>
      </c>
      <c r="U1817">
        <v>0</v>
      </c>
      <c r="V1817" t="s">
        <v>544</v>
      </c>
      <c r="W1817" t="s">
        <v>575</v>
      </c>
      <c r="X1817" s="784">
        <v>13859708717.682571</v>
      </c>
    </row>
    <row r="1818" spans="1:24">
      <c r="A1818" t="s">
        <v>358</v>
      </c>
      <c r="B1818" t="s">
        <v>578</v>
      </c>
      <c r="C1818" t="s">
        <v>185</v>
      </c>
      <c r="D1818" t="s">
        <v>126</v>
      </c>
      <c r="E1818" t="s">
        <v>377</v>
      </c>
      <c r="F1818" t="s">
        <v>310</v>
      </c>
      <c r="G1818" t="s">
        <v>342</v>
      </c>
      <c r="H1818" t="s">
        <v>104</v>
      </c>
      <c r="I1818">
        <v>2021</v>
      </c>
      <c r="J1818" t="s">
        <v>379</v>
      </c>
      <c r="K1818" t="s">
        <v>546</v>
      </c>
      <c r="L1818" s="784">
        <v>0</v>
      </c>
      <c r="M1818" t="s">
        <v>745</v>
      </c>
      <c r="N1818" s="784" t="s">
        <v>575</v>
      </c>
      <c r="P1818" t="s">
        <v>1887</v>
      </c>
      <c r="R1818" t="s">
        <v>152</v>
      </c>
      <c r="S1818" t="s">
        <v>146</v>
      </c>
      <c r="U1818">
        <v>0</v>
      </c>
      <c r="V1818" t="s">
        <v>544</v>
      </c>
      <c r="W1818" t="s">
        <v>575</v>
      </c>
      <c r="X1818" s="784">
        <v>403567160707.7016</v>
      </c>
    </row>
    <row r="1819" spans="1:24">
      <c r="A1819" t="s">
        <v>358</v>
      </c>
      <c r="B1819" t="s">
        <v>579</v>
      </c>
      <c r="C1819" t="s">
        <v>186</v>
      </c>
      <c r="D1819" t="s">
        <v>130</v>
      </c>
      <c r="E1819" t="s">
        <v>377</v>
      </c>
      <c r="F1819" t="s">
        <v>310</v>
      </c>
      <c r="G1819" t="s">
        <v>342</v>
      </c>
      <c r="H1819" t="s">
        <v>104</v>
      </c>
      <c r="I1819">
        <v>2021</v>
      </c>
      <c r="J1819" t="s">
        <v>379</v>
      </c>
      <c r="K1819" t="s">
        <v>546</v>
      </c>
      <c r="L1819" s="784">
        <v>0</v>
      </c>
      <c r="M1819" t="s">
        <v>745</v>
      </c>
      <c r="N1819" s="784" t="s">
        <v>575</v>
      </c>
      <c r="P1819" t="s">
        <v>1887</v>
      </c>
      <c r="R1819" t="s">
        <v>152</v>
      </c>
      <c r="S1819" t="s">
        <v>146</v>
      </c>
      <c r="U1819">
        <v>0</v>
      </c>
      <c r="V1819" t="s">
        <v>544</v>
      </c>
      <c r="W1819" t="s">
        <v>575</v>
      </c>
      <c r="X1819" s="784">
        <v>18250225995.972618</v>
      </c>
    </row>
    <row r="1820" spans="1:24">
      <c r="A1820" t="s">
        <v>358</v>
      </c>
      <c r="B1820" t="s">
        <v>580</v>
      </c>
      <c r="C1820" t="s">
        <v>187</v>
      </c>
      <c r="D1820" t="s">
        <v>128</v>
      </c>
      <c r="E1820" t="s">
        <v>377</v>
      </c>
      <c r="F1820" t="s">
        <v>310</v>
      </c>
      <c r="G1820" t="s">
        <v>342</v>
      </c>
      <c r="H1820" t="s">
        <v>104</v>
      </c>
      <c r="I1820">
        <v>2021</v>
      </c>
      <c r="J1820" t="s">
        <v>379</v>
      </c>
      <c r="K1820" t="s">
        <v>546</v>
      </c>
      <c r="L1820" s="784">
        <v>118499.99999999999</v>
      </c>
      <c r="M1820" t="s">
        <v>745</v>
      </c>
      <c r="N1820" s="784" t="s">
        <v>575</v>
      </c>
      <c r="P1820" t="s">
        <v>1887</v>
      </c>
      <c r="R1820" t="s">
        <v>150</v>
      </c>
      <c r="S1820" t="s">
        <v>145</v>
      </c>
      <c r="U1820">
        <v>0</v>
      </c>
      <c r="V1820" t="s">
        <v>541</v>
      </c>
      <c r="W1820" t="s">
        <v>562</v>
      </c>
      <c r="X1820" s="784">
        <v>5027591.1682657599</v>
      </c>
    </row>
    <row r="1821" spans="1:24">
      <c r="A1821" t="s">
        <v>358</v>
      </c>
      <c r="B1821" t="s">
        <v>581</v>
      </c>
      <c r="C1821" t="s">
        <v>188</v>
      </c>
      <c r="D1821" t="s">
        <v>129</v>
      </c>
      <c r="E1821" t="s">
        <v>377</v>
      </c>
      <c r="F1821" t="s">
        <v>310</v>
      </c>
      <c r="G1821" t="s">
        <v>342</v>
      </c>
      <c r="H1821" t="s">
        <v>104</v>
      </c>
      <c r="I1821">
        <v>2021</v>
      </c>
      <c r="J1821" t="s">
        <v>379</v>
      </c>
      <c r="K1821" t="s">
        <v>546</v>
      </c>
      <c r="L1821" s="784">
        <v>457699.99999999994</v>
      </c>
      <c r="M1821" t="s">
        <v>745</v>
      </c>
      <c r="N1821" s="784" t="s">
        <v>575</v>
      </c>
      <c r="P1821" t="s">
        <v>1887</v>
      </c>
      <c r="R1821" t="s">
        <v>148</v>
      </c>
      <c r="S1821" t="s">
        <v>145</v>
      </c>
      <c r="U1821">
        <v>3</v>
      </c>
      <c r="V1821" t="s">
        <v>544</v>
      </c>
      <c r="W1821" t="s">
        <v>562</v>
      </c>
      <c r="X1821" s="784">
        <v>234645958.63289919</v>
      </c>
    </row>
    <row r="1822" spans="1:24">
      <c r="A1822" t="s">
        <v>358</v>
      </c>
      <c r="B1822" t="s">
        <v>582</v>
      </c>
      <c r="C1822" t="s">
        <v>189</v>
      </c>
      <c r="D1822" t="s">
        <v>129</v>
      </c>
      <c r="E1822" t="s">
        <v>377</v>
      </c>
      <c r="F1822" t="s">
        <v>310</v>
      </c>
      <c r="G1822" t="s">
        <v>342</v>
      </c>
      <c r="H1822" t="s">
        <v>104</v>
      </c>
      <c r="I1822">
        <v>2021</v>
      </c>
      <c r="J1822" t="s">
        <v>379</v>
      </c>
      <c r="K1822" t="s">
        <v>546</v>
      </c>
      <c r="L1822" s="784">
        <v>155000</v>
      </c>
      <c r="M1822" t="s">
        <v>745</v>
      </c>
      <c r="N1822" s="784" t="s">
        <v>575</v>
      </c>
      <c r="P1822" t="s">
        <v>1887</v>
      </c>
      <c r="R1822" t="s">
        <v>150</v>
      </c>
      <c r="S1822" t="s">
        <v>145</v>
      </c>
      <c r="U1822">
        <v>2</v>
      </c>
      <c r="V1822" t="s">
        <v>544</v>
      </c>
      <c r="W1822" t="s">
        <v>583</v>
      </c>
      <c r="X1822" s="784">
        <v>91590910.247314155</v>
      </c>
    </row>
    <row r="1823" spans="1:24">
      <c r="A1823" t="s">
        <v>358</v>
      </c>
      <c r="B1823" t="s">
        <v>584</v>
      </c>
      <c r="C1823" t="s">
        <v>190</v>
      </c>
      <c r="D1823" t="s">
        <v>126</v>
      </c>
      <c r="E1823" t="s">
        <v>377</v>
      </c>
      <c r="F1823" t="s">
        <v>310</v>
      </c>
      <c r="G1823" t="s">
        <v>342</v>
      </c>
      <c r="H1823" t="s">
        <v>104</v>
      </c>
      <c r="I1823">
        <v>2021</v>
      </c>
      <c r="J1823" t="s">
        <v>379</v>
      </c>
      <c r="K1823" t="s">
        <v>546</v>
      </c>
      <c r="L1823" s="784">
        <v>0</v>
      </c>
      <c r="M1823" t="s">
        <v>745</v>
      </c>
      <c r="N1823" s="784" t="s">
        <v>575</v>
      </c>
      <c r="P1823" t="s">
        <v>1887</v>
      </c>
      <c r="R1823" t="s">
        <v>322</v>
      </c>
      <c r="S1823" t="s">
        <v>146</v>
      </c>
      <c r="U1823">
        <v>0</v>
      </c>
      <c r="V1823" t="s">
        <v>541</v>
      </c>
      <c r="W1823" t="s">
        <v>546</v>
      </c>
      <c r="X1823" s="784">
        <v>8560012.8840167802</v>
      </c>
    </row>
    <row r="1824" spans="1:24">
      <c r="A1824" t="s">
        <v>358</v>
      </c>
      <c r="B1824" t="s">
        <v>585</v>
      </c>
      <c r="C1824" t="s">
        <v>191</v>
      </c>
      <c r="D1824" t="s">
        <v>130</v>
      </c>
      <c r="E1824" t="s">
        <v>377</v>
      </c>
      <c r="F1824" t="s">
        <v>310</v>
      </c>
      <c r="G1824" t="s">
        <v>342</v>
      </c>
      <c r="H1824" t="s">
        <v>104</v>
      </c>
      <c r="I1824">
        <v>2021</v>
      </c>
      <c r="J1824" t="s">
        <v>379</v>
      </c>
      <c r="K1824" t="s">
        <v>546</v>
      </c>
      <c r="L1824" s="784">
        <v>0</v>
      </c>
      <c r="M1824" t="s">
        <v>745</v>
      </c>
      <c r="N1824" s="784" t="s">
        <v>575</v>
      </c>
      <c r="P1824" t="s">
        <v>1887</v>
      </c>
      <c r="R1824" t="s">
        <v>152</v>
      </c>
      <c r="S1824" t="s">
        <v>146</v>
      </c>
      <c r="U1824">
        <v>0</v>
      </c>
      <c r="V1824" t="s">
        <v>544</v>
      </c>
      <c r="W1824" t="s">
        <v>546</v>
      </c>
      <c r="X1824" s="784">
        <v>3292372960.3962669</v>
      </c>
    </row>
    <row r="1825" spans="1:24">
      <c r="A1825" t="s">
        <v>358</v>
      </c>
      <c r="B1825" t="s">
        <v>586</v>
      </c>
      <c r="C1825" t="s">
        <v>192</v>
      </c>
      <c r="D1825" t="s">
        <v>129</v>
      </c>
      <c r="E1825" t="s">
        <v>377</v>
      </c>
      <c r="F1825" t="s">
        <v>310</v>
      </c>
      <c r="G1825" t="s">
        <v>342</v>
      </c>
      <c r="H1825" t="s">
        <v>104</v>
      </c>
      <c r="I1825">
        <v>2021</v>
      </c>
      <c r="J1825" t="s">
        <v>379</v>
      </c>
      <c r="K1825" t="s">
        <v>546</v>
      </c>
      <c r="L1825" s="784">
        <v>74074.074074074073</v>
      </c>
      <c r="M1825" t="s">
        <v>745</v>
      </c>
      <c r="N1825" s="784" t="s">
        <v>575</v>
      </c>
      <c r="P1825" t="s">
        <v>1887</v>
      </c>
      <c r="R1825" t="s">
        <v>150</v>
      </c>
      <c r="S1825" t="s">
        <v>145</v>
      </c>
      <c r="U1825">
        <v>0</v>
      </c>
      <c r="V1825" t="s">
        <v>544</v>
      </c>
      <c r="W1825" t="s">
        <v>562</v>
      </c>
      <c r="X1825" s="784">
        <v>519209981.22981054</v>
      </c>
    </row>
    <row r="1826" spans="1:24">
      <c r="A1826" t="s">
        <v>358</v>
      </c>
      <c r="B1826" t="s">
        <v>587</v>
      </c>
      <c r="C1826" t="s">
        <v>193</v>
      </c>
      <c r="D1826" t="s">
        <v>127</v>
      </c>
      <c r="E1826" t="s">
        <v>377</v>
      </c>
      <c r="F1826" t="s">
        <v>310</v>
      </c>
      <c r="G1826" t="s">
        <v>342</v>
      </c>
      <c r="H1826" t="s">
        <v>104</v>
      </c>
      <c r="I1826">
        <v>2021</v>
      </c>
      <c r="J1826" t="s">
        <v>379</v>
      </c>
      <c r="K1826" t="s">
        <v>546</v>
      </c>
      <c r="L1826" s="784">
        <v>0</v>
      </c>
      <c r="M1826" t="s">
        <v>745</v>
      </c>
      <c r="N1826" s="784" t="s">
        <v>575</v>
      </c>
      <c r="P1826" t="s">
        <v>1887</v>
      </c>
      <c r="R1826" t="s">
        <v>550</v>
      </c>
      <c r="S1826" t="s">
        <v>146</v>
      </c>
      <c r="U1826">
        <v>0</v>
      </c>
      <c r="V1826" t="s">
        <v>544</v>
      </c>
      <c r="W1826" t="s">
        <v>575</v>
      </c>
      <c r="X1826" s="784">
        <v>3464739907.1604805</v>
      </c>
    </row>
    <row r="1827" spans="1:24">
      <c r="A1827" t="s">
        <v>358</v>
      </c>
      <c r="B1827" t="s">
        <v>588</v>
      </c>
      <c r="C1827" t="s">
        <v>147</v>
      </c>
      <c r="D1827" t="s">
        <v>130</v>
      </c>
      <c r="E1827" t="s">
        <v>377</v>
      </c>
      <c r="F1827" t="s">
        <v>310</v>
      </c>
      <c r="G1827" t="s">
        <v>342</v>
      </c>
      <c r="H1827" t="s">
        <v>104</v>
      </c>
      <c r="I1827">
        <v>2021</v>
      </c>
      <c r="J1827" t="s">
        <v>379</v>
      </c>
      <c r="K1827" t="s">
        <v>546</v>
      </c>
      <c r="L1827" s="784">
        <v>0</v>
      </c>
      <c r="M1827" t="s">
        <v>745</v>
      </c>
      <c r="N1827" s="784" t="s">
        <v>575</v>
      </c>
      <c r="P1827" t="s">
        <v>1887</v>
      </c>
      <c r="R1827" t="s">
        <v>152</v>
      </c>
      <c r="S1827" t="s">
        <v>146</v>
      </c>
      <c r="U1827">
        <v>0</v>
      </c>
      <c r="V1827" t="s">
        <v>541</v>
      </c>
      <c r="W1827" t="s">
        <v>575</v>
      </c>
      <c r="X1827" s="784">
        <v>9948521252.2569065</v>
      </c>
    </row>
    <row r="1828" spans="1:24">
      <c r="A1828" t="s">
        <v>358</v>
      </c>
      <c r="B1828" t="s">
        <v>589</v>
      </c>
      <c r="C1828" t="s">
        <v>194</v>
      </c>
      <c r="D1828" t="s">
        <v>131</v>
      </c>
      <c r="E1828" t="s">
        <v>377</v>
      </c>
      <c r="F1828" t="s">
        <v>310</v>
      </c>
      <c r="G1828" t="s">
        <v>342</v>
      </c>
      <c r="H1828" t="s">
        <v>104</v>
      </c>
      <c r="I1828">
        <v>2021</v>
      </c>
      <c r="J1828" t="s">
        <v>379</v>
      </c>
      <c r="K1828" t="s">
        <v>546</v>
      </c>
      <c r="L1828" s="784">
        <v>168981.48148148146</v>
      </c>
      <c r="M1828" t="s">
        <v>745</v>
      </c>
      <c r="N1828" s="784" t="s">
        <v>575</v>
      </c>
      <c r="P1828" t="s">
        <v>1887</v>
      </c>
      <c r="R1828" t="s">
        <v>150</v>
      </c>
      <c r="S1828" t="s">
        <v>145</v>
      </c>
      <c r="U1828">
        <v>1</v>
      </c>
      <c r="V1828" t="s">
        <v>544</v>
      </c>
      <c r="W1828" t="s">
        <v>542</v>
      </c>
      <c r="X1828" s="784">
        <v>33679192.765657313</v>
      </c>
    </row>
    <row r="1829" spans="1:24">
      <c r="A1829" t="s">
        <v>358</v>
      </c>
      <c r="B1829" t="s">
        <v>590</v>
      </c>
      <c r="C1829" t="s">
        <v>195</v>
      </c>
      <c r="D1829" t="s">
        <v>130</v>
      </c>
      <c r="E1829" t="s">
        <v>377</v>
      </c>
      <c r="F1829" t="s">
        <v>310</v>
      </c>
      <c r="G1829" t="s">
        <v>342</v>
      </c>
      <c r="H1829" t="s">
        <v>104</v>
      </c>
      <c r="I1829">
        <v>2021</v>
      </c>
      <c r="J1829" t="s">
        <v>379</v>
      </c>
      <c r="K1829" t="s">
        <v>546</v>
      </c>
      <c r="L1829" s="784">
        <v>0</v>
      </c>
      <c r="M1829" t="s">
        <v>745</v>
      </c>
      <c r="N1829" s="784" t="s">
        <v>575</v>
      </c>
      <c r="P1829" t="s">
        <v>1887</v>
      </c>
      <c r="R1829" t="s">
        <v>152</v>
      </c>
      <c r="S1829" t="s">
        <v>145</v>
      </c>
      <c r="U1829">
        <v>0</v>
      </c>
      <c r="V1829" t="s">
        <v>541</v>
      </c>
      <c r="W1829" t="s">
        <v>548</v>
      </c>
      <c r="X1829" s="784">
        <v>22784494.365742501</v>
      </c>
    </row>
    <row r="1830" spans="1:24">
      <c r="A1830" t="s">
        <v>358</v>
      </c>
      <c r="B1830" t="s">
        <v>591</v>
      </c>
      <c r="C1830" t="s">
        <v>196</v>
      </c>
      <c r="D1830" t="s">
        <v>130</v>
      </c>
      <c r="E1830" t="s">
        <v>377</v>
      </c>
      <c r="F1830" t="s">
        <v>310</v>
      </c>
      <c r="G1830" t="s">
        <v>342</v>
      </c>
      <c r="H1830" t="s">
        <v>104</v>
      </c>
      <c r="I1830">
        <v>2021</v>
      </c>
      <c r="J1830" t="s">
        <v>379</v>
      </c>
      <c r="K1830" t="s">
        <v>546</v>
      </c>
      <c r="L1830" s="784">
        <v>0</v>
      </c>
      <c r="M1830" t="s">
        <v>745</v>
      </c>
      <c r="N1830" s="784" t="s">
        <v>575</v>
      </c>
      <c r="P1830" t="s">
        <v>1887</v>
      </c>
      <c r="R1830" t="s">
        <v>152</v>
      </c>
      <c r="S1830" t="s">
        <v>146</v>
      </c>
      <c r="U1830">
        <v>0</v>
      </c>
      <c r="V1830" t="s">
        <v>541</v>
      </c>
      <c r="W1830" t="s">
        <v>575</v>
      </c>
      <c r="X1830" s="784">
        <v>2173208011.4858823</v>
      </c>
    </row>
    <row r="1831" spans="1:24">
      <c r="A1831" t="s">
        <v>358</v>
      </c>
      <c r="B1831" t="s">
        <v>592</v>
      </c>
      <c r="C1831" t="s">
        <v>197</v>
      </c>
      <c r="D1831" t="s">
        <v>130</v>
      </c>
      <c r="E1831" t="s">
        <v>377</v>
      </c>
      <c r="F1831" t="s">
        <v>310</v>
      </c>
      <c r="G1831" t="s">
        <v>342</v>
      </c>
      <c r="H1831" t="s">
        <v>104</v>
      </c>
      <c r="I1831">
        <v>2021</v>
      </c>
      <c r="J1831" t="s">
        <v>379</v>
      </c>
      <c r="K1831" t="s">
        <v>546</v>
      </c>
      <c r="L1831" s="784">
        <v>0</v>
      </c>
      <c r="M1831" t="s">
        <v>745</v>
      </c>
      <c r="N1831" s="784" t="s">
        <v>575</v>
      </c>
      <c r="P1831" t="s">
        <v>1887</v>
      </c>
      <c r="R1831" t="s">
        <v>152</v>
      </c>
      <c r="S1831" t="s">
        <v>146</v>
      </c>
      <c r="U1831">
        <v>0</v>
      </c>
      <c r="V1831" t="s">
        <v>544</v>
      </c>
      <c r="W1831" t="s">
        <v>546</v>
      </c>
      <c r="X1831" s="784">
        <v>4585736158.8323269</v>
      </c>
    </row>
    <row r="1832" spans="1:24">
      <c r="A1832" t="s">
        <v>358</v>
      </c>
      <c r="B1832" t="s">
        <v>593</v>
      </c>
      <c r="C1832" t="s">
        <v>198</v>
      </c>
      <c r="D1832" t="s">
        <v>131</v>
      </c>
      <c r="E1832" t="s">
        <v>377</v>
      </c>
      <c r="F1832" t="s">
        <v>310</v>
      </c>
      <c r="G1832" t="s">
        <v>342</v>
      </c>
      <c r="H1832" t="s">
        <v>104</v>
      </c>
      <c r="I1832">
        <v>2021</v>
      </c>
      <c r="J1832" t="s">
        <v>379</v>
      </c>
      <c r="K1832" t="s">
        <v>546</v>
      </c>
      <c r="L1832" s="784">
        <v>70820.370370370365</v>
      </c>
      <c r="M1832" t="s">
        <v>745</v>
      </c>
      <c r="N1832" s="784" t="s">
        <v>575</v>
      </c>
      <c r="P1832" t="s">
        <v>1887</v>
      </c>
      <c r="R1832" t="s">
        <v>150</v>
      </c>
      <c r="S1832" t="s">
        <v>145</v>
      </c>
      <c r="U1832">
        <v>0</v>
      </c>
      <c r="V1832" t="s">
        <v>544</v>
      </c>
      <c r="W1832" t="s">
        <v>546</v>
      </c>
      <c r="X1832" s="784">
        <v>3550291584.8645592</v>
      </c>
    </row>
    <row r="1833" spans="1:24">
      <c r="A1833" t="s">
        <v>358</v>
      </c>
      <c r="B1833" t="s">
        <v>594</v>
      </c>
      <c r="C1833" t="s">
        <v>199</v>
      </c>
      <c r="D1833" t="s">
        <v>130</v>
      </c>
      <c r="E1833" t="s">
        <v>377</v>
      </c>
      <c r="F1833" t="s">
        <v>310</v>
      </c>
      <c r="G1833" t="s">
        <v>342</v>
      </c>
      <c r="H1833" t="s">
        <v>104</v>
      </c>
      <c r="I1833">
        <v>2021</v>
      </c>
      <c r="J1833" t="s">
        <v>379</v>
      </c>
      <c r="K1833" t="s">
        <v>546</v>
      </c>
      <c r="L1833" s="784">
        <v>0</v>
      </c>
      <c r="M1833" t="s">
        <v>745</v>
      </c>
      <c r="N1833" s="784" t="s">
        <v>575</v>
      </c>
      <c r="P1833" t="s">
        <v>1887</v>
      </c>
      <c r="R1833" t="s">
        <v>150</v>
      </c>
      <c r="S1833" t="s">
        <v>145</v>
      </c>
      <c r="U1833">
        <v>0</v>
      </c>
      <c r="V1833" t="s">
        <v>544</v>
      </c>
      <c r="W1833" t="s">
        <v>546</v>
      </c>
      <c r="X1833" s="784">
        <v>1182840319.0410969</v>
      </c>
    </row>
    <row r="1834" spans="1:24">
      <c r="A1834" t="s">
        <v>358</v>
      </c>
      <c r="B1834" t="s">
        <v>595</v>
      </c>
      <c r="C1834" t="s">
        <v>200</v>
      </c>
      <c r="D1834" t="s">
        <v>130</v>
      </c>
      <c r="E1834" t="s">
        <v>377</v>
      </c>
      <c r="F1834" t="s">
        <v>310</v>
      </c>
      <c r="G1834" t="s">
        <v>342</v>
      </c>
      <c r="H1834" t="s">
        <v>104</v>
      </c>
      <c r="I1834">
        <v>2021</v>
      </c>
      <c r="J1834" t="s">
        <v>379</v>
      </c>
      <c r="K1834" t="s">
        <v>546</v>
      </c>
      <c r="L1834" s="784">
        <v>0</v>
      </c>
      <c r="M1834" t="s">
        <v>745</v>
      </c>
      <c r="N1834" s="784" t="s">
        <v>575</v>
      </c>
      <c r="P1834" t="s">
        <v>1887</v>
      </c>
      <c r="R1834" t="s">
        <v>152</v>
      </c>
      <c r="S1834" t="s">
        <v>146</v>
      </c>
      <c r="U1834">
        <v>0</v>
      </c>
      <c r="V1834" t="s">
        <v>544</v>
      </c>
      <c r="W1834" t="s">
        <v>575</v>
      </c>
      <c r="X1834" s="784">
        <v>81728347.604567245</v>
      </c>
    </row>
    <row r="1835" spans="1:24">
      <c r="A1835" t="s">
        <v>358</v>
      </c>
      <c r="B1835" t="s">
        <v>596</v>
      </c>
      <c r="C1835" t="s">
        <v>201</v>
      </c>
      <c r="D1835" t="s">
        <v>128</v>
      </c>
      <c r="E1835" t="s">
        <v>377</v>
      </c>
      <c r="F1835" t="s">
        <v>310</v>
      </c>
      <c r="G1835" t="s">
        <v>342</v>
      </c>
      <c r="H1835" t="s">
        <v>104</v>
      </c>
      <c r="I1835">
        <v>2021</v>
      </c>
      <c r="J1835" t="s">
        <v>379</v>
      </c>
      <c r="K1835" t="s">
        <v>546</v>
      </c>
      <c r="L1835" s="784">
        <v>174129.62962962961</v>
      </c>
      <c r="M1835" t="s">
        <v>745</v>
      </c>
      <c r="N1835" s="784" t="s">
        <v>575</v>
      </c>
      <c r="P1835" t="s">
        <v>1887</v>
      </c>
      <c r="R1835" t="s">
        <v>148</v>
      </c>
      <c r="S1835" t="s">
        <v>145</v>
      </c>
      <c r="U1835">
        <v>2</v>
      </c>
      <c r="V1835" t="s">
        <v>544</v>
      </c>
      <c r="W1835" t="s">
        <v>546</v>
      </c>
      <c r="X1835" s="784">
        <v>12787914.977715338</v>
      </c>
    </row>
    <row r="1836" spans="1:24">
      <c r="A1836" t="s">
        <v>358</v>
      </c>
      <c r="B1836" t="s">
        <v>597</v>
      </c>
      <c r="C1836" t="s">
        <v>202</v>
      </c>
      <c r="D1836" t="s">
        <v>128</v>
      </c>
      <c r="E1836" t="s">
        <v>377</v>
      </c>
      <c r="F1836" t="s">
        <v>310</v>
      </c>
      <c r="G1836" t="s">
        <v>342</v>
      </c>
      <c r="H1836" t="s">
        <v>104</v>
      </c>
      <c r="I1836">
        <v>2021</v>
      </c>
      <c r="J1836" t="s">
        <v>379</v>
      </c>
      <c r="K1836" t="s">
        <v>546</v>
      </c>
      <c r="L1836" s="784">
        <v>26100</v>
      </c>
      <c r="M1836" t="s">
        <v>745</v>
      </c>
      <c r="N1836" s="784" t="s">
        <v>575</v>
      </c>
      <c r="P1836" t="s">
        <v>1887</v>
      </c>
      <c r="R1836" t="s">
        <v>150</v>
      </c>
      <c r="S1836" t="s">
        <v>145</v>
      </c>
      <c r="U1836">
        <v>2</v>
      </c>
      <c r="V1836" t="s">
        <v>544</v>
      </c>
      <c r="W1836" t="s">
        <v>546</v>
      </c>
      <c r="X1836" s="784">
        <v>101271737.65410839</v>
      </c>
    </row>
    <row r="1837" spans="1:24">
      <c r="A1837" t="s">
        <v>358</v>
      </c>
      <c r="B1837" t="s">
        <v>598</v>
      </c>
      <c r="C1837" t="s">
        <v>203</v>
      </c>
      <c r="D1837" t="s">
        <v>128</v>
      </c>
      <c r="E1837" t="s">
        <v>377</v>
      </c>
      <c r="F1837" t="s">
        <v>310</v>
      </c>
      <c r="G1837" t="s">
        <v>342</v>
      </c>
      <c r="H1837" t="s">
        <v>104</v>
      </c>
      <c r="I1837">
        <v>2021</v>
      </c>
      <c r="J1837" t="s">
        <v>379</v>
      </c>
      <c r="K1837" t="s">
        <v>546</v>
      </c>
      <c r="L1837" s="784">
        <v>268302.77777777775</v>
      </c>
      <c r="M1837" t="s">
        <v>745</v>
      </c>
      <c r="N1837" s="784" t="s">
        <v>575</v>
      </c>
      <c r="P1837" t="s">
        <v>1887</v>
      </c>
      <c r="R1837" t="s">
        <v>148</v>
      </c>
      <c r="S1837" t="s">
        <v>145</v>
      </c>
      <c r="U1837">
        <v>3</v>
      </c>
      <c r="V1837" t="s">
        <v>544</v>
      </c>
      <c r="W1837" t="s">
        <v>542</v>
      </c>
      <c r="X1837" s="784">
        <v>618344226.71759331</v>
      </c>
    </row>
    <row r="1838" spans="1:24">
      <c r="A1838" t="s">
        <v>358</v>
      </c>
      <c r="B1838" t="s">
        <v>599</v>
      </c>
      <c r="C1838" t="s">
        <v>204</v>
      </c>
      <c r="D1838" t="s">
        <v>126</v>
      </c>
      <c r="E1838" t="s">
        <v>377</v>
      </c>
      <c r="F1838" t="s">
        <v>310</v>
      </c>
      <c r="G1838" t="s">
        <v>342</v>
      </c>
      <c r="H1838" t="s">
        <v>104</v>
      </c>
      <c r="I1838">
        <v>2021</v>
      </c>
      <c r="J1838" t="s">
        <v>379</v>
      </c>
      <c r="K1838" t="s">
        <v>546</v>
      </c>
      <c r="L1838" s="784">
        <v>46750</v>
      </c>
      <c r="M1838" t="s">
        <v>745</v>
      </c>
      <c r="N1838" s="784" t="s">
        <v>575</v>
      </c>
      <c r="P1838" t="s">
        <v>1887</v>
      </c>
      <c r="R1838" t="s">
        <v>152</v>
      </c>
      <c r="S1838" t="s">
        <v>145</v>
      </c>
      <c r="U1838">
        <v>0</v>
      </c>
      <c r="V1838" t="s">
        <v>541</v>
      </c>
      <c r="W1838" t="s">
        <v>548</v>
      </c>
      <c r="X1838" s="784">
        <v>129483872.95906857</v>
      </c>
    </row>
    <row r="1839" spans="1:24">
      <c r="A1839" t="s">
        <v>358</v>
      </c>
      <c r="B1839" t="s">
        <v>600</v>
      </c>
      <c r="C1839" t="s">
        <v>205</v>
      </c>
      <c r="D1839" t="s">
        <v>129</v>
      </c>
      <c r="E1839" t="s">
        <v>377</v>
      </c>
      <c r="F1839" t="s">
        <v>310</v>
      </c>
      <c r="G1839" t="s">
        <v>342</v>
      </c>
      <c r="H1839" t="s">
        <v>104</v>
      </c>
      <c r="I1839">
        <v>2021</v>
      </c>
      <c r="J1839" t="s">
        <v>379</v>
      </c>
      <c r="K1839" t="s">
        <v>546</v>
      </c>
      <c r="L1839" s="784">
        <v>0</v>
      </c>
      <c r="M1839" t="s">
        <v>745</v>
      </c>
      <c r="N1839" s="784" t="s">
        <v>575</v>
      </c>
      <c r="P1839" t="s">
        <v>1887</v>
      </c>
      <c r="R1839" t="s">
        <v>152</v>
      </c>
      <c r="S1839" t="s">
        <v>146</v>
      </c>
      <c r="U1839">
        <v>0</v>
      </c>
      <c r="V1839" t="s">
        <v>544</v>
      </c>
      <c r="W1839" t="s">
        <v>546</v>
      </c>
      <c r="X1839" s="784">
        <v>271184658.35014349</v>
      </c>
    </row>
    <row r="1840" spans="1:24">
      <c r="A1840" t="s">
        <v>358</v>
      </c>
      <c r="B1840" t="s">
        <v>601</v>
      </c>
      <c r="C1840" t="s">
        <v>206</v>
      </c>
      <c r="D1840" t="s">
        <v>129</v>
      </c>
      <c r="E1840" t="s">
        <v>377</v>
      </c>
      <c r="F1840" t="s">
        <v>310</v>
      </c>
      <c r="G1840" t="s">
        <v>342</v>
      </c>
      <c r="H1840" t="s">
        <v>104</v>
      </c>
      <c r="I1840">
        <v>2021</v>
      </c>
      <c r="J1840" t="s">
        <v>379</v>
      </c>
      <c r="K1840" t="s">
        <v>546</v>
      </c>
      <c r="L1840" s="784">
        <v>104000</v>
      </c>
      <c r="M1840" t="s">
        <v>745</v>
      </c>
      <c r="N1840" s="784" t="s">
        <v>575</v>
      </c>
      <c r="P1840" t="s">
        <v>1887</v>
      </c>
      <c r="R1840" t="s">
        <v>148</v>
      </c>
      <c r="S1840" t="s">
        <v>145</v>
      </c>
      <c r="U1840">
        <v>0</v>
      </c>
      <c r="V1840" t="s">
        <v>544</v>
      </c>
      <c r="W1840" t="s">
        <v>542</v>
      </c>
      <c r="X1840" s="784">
        <v>15455265.086884515</v>
      </c>
    </row>
    <row r="1841" spans="1:24">
      <c r="A1841" t="s">
        <v>358</v>
      </c>
      <c r="B1841" t="s">
        <v>602</v>
      </c>
      <c r="C1841" t="s">
        <v>207</v>
      </c>
      <c r="D1841" t="s">
        <v>127</v>
      </c>
      <c r="E1841" t="s">
        <v>377</v>
      </c>
      <c r="F1841" t="s">
        <v>310</v>
      </c>
      <c r="G1841" t="s">
        <v>342</v>
      </c>
      <c r="H1841" t="s">
        <v>104</v>
      </c>
      <c r="I1841">
        <v>2021</v>
      </c>
      <c r="J1841" t="s">
        <v>379</v>
      </c>
      <c r="K1841" t="s">
        <v>546</v>
      </c>
      <c r="L1841" s="784">
        <v>0</v>
      </c>
      <c r="M1841" t="s">
        <v>745</v>
      </c>
      <c r="N1841" s="784" t="s">
        <v>575</v>
      </c>
      <c r="P1841" t="s">
        <v>1887</v>
      </c>
      <c r="R1841" t="s">
        <v>152</v>
      </c>
      <c r="S1841" t="s">
        <v>146</v>
      </c>
      <c r="U1841">
        <v>0</v>
      </c>
      <c r="V1841" t="s">
        <v>544</v>
      </c>
      <c r="W1841" t="s">
        <v>546</v>
      </c>
      <c r="X1841" s="784">
        <v>494021502.525527</v>
      </c>
    </row>
    <row r="1842" spans="1:24">
      <c r="A1842" t="s">
        <v>358</v>
      </c>
      <c r="B1842" t="s">
        <v>603</v>
      </c>
      <c r="C1842" t="s">
        <v>208</v>
      </c>
      <c r="D1842" t="s">
        <v>129</v>
      </c>
      <c r="E1842" t="s">
        <v>377</v>
      </c>
      <c r="F1842" t="s">
        <v>310</v>
      </c>
      <c r="G1842" t="s">
        <v>342</v>
      </c>
      <c r="H1842" t="s">
        <v>104</v>
      </c>
      <c r="I1842">
        <v>2021</v>
      </c>
      <c r="J1842" t="s">
        <v>379</v>
      </c>
      <c r="K1842" t="s">
        <v>546</v>
      </c>
      <c r="L1842" s="784">
        <v>193425</v>
      </c>
      <c r="M1842" t="s">
        <v>745</v>
      </c>
      <c r="N1842" s="784" t="s">
        <v>575</v>
      </c>
      <c r="P1842" t="s">
        <v>1887</v>
      </c>
      <c r="R1842" t="s">
        <v>150</v>
      </c>
      <c r="S1842" t="s">
        <v>145</v>
      </c>
      <c r="U1842">
        <v>0</v>
      </c>
      <c r="V1842" t="s">
        <v>544</v>
      </c>
      <c r="W1842" t="s">
        <v>542</v>
      </c>
      <c r="X1842" s="784">
        <v>902005621.73836684</v>
      </c>
    </row>
    <row r="1843" spans="1:24">
      <c r="A1843" t="s">
        <v>358</v>
      </c>
      <c r="B1843" t="s">
        <v>604</v>
      </c>
      <c r="C1843" t="s">
        <v>209</v>
      </c>
      <c r="D1843" t="s">
        <v>130</v>
      </c>
      <c r="E1843" t="s">
        <v>377</v>
      </c>
      <c r="F1843" t="s">
        <v>310</v>
      </c>
      <c r="G1843" t="s">
        <v>342</v>
      </c>
      <c r="H1843" t="s">
        <v>104</v>
      </c>
      <c r="I1843">
        <v>2021</v>
      </c>
      <c r="J1843" t="s">
        <v>379</v>
      </c>
      <c r="K1843" t="s">
        <v>546</v>
      </c>
      <c r="L1843" s="784">
        <v>0</v>
      </c>
      <c r="M1843" t="s">
        <v>745</v>
      </c>
      <c r="N1843" s="784" t="s">
        <v>575</v>
      </c>
      <c r="P1843" t="s">
        <v>1887</v>
      </c>
      <c r="R1843" t="s">
        <v>152</v>
      </c>
      <c r="S1843" t="s">
        <v>145</v>
      </c>
      <c r="U1843">
        <v>0</v>
      </c>
      <c r="V1843" t="s">
        <v>541</v>
      </c>
      <c r="W1843" t="s">
        <v>583</v>
      </c>
      <c r="X1843" s="784">
        <v>20201670.142996579</v>
      </c>
    </row>
    <row r="1844" spans="1:24">
      <c r="A1844" t="s">
        <v>358</v>
      </c>
      <c r="B1844" t="s">
        <v>605</v>
      </c>
      <c r="C1844" t="s">
        <v>210</v>
      </c>
      <c r="D1844" t="s">
        <v>130</v>
      </c>
      <c r="E1844" t="s">
        <v>377</v>
      </c>
      <c r="F1844" t="s">
        <v>310</v>
      </c>
      <c r="G1844" t="s">
        <v>342</v>
      </c>
      <c r="H1844" t="s">
        <v>104</v>
      </c>
      <c r="I1844">
        <v>2021</v>
      </c>
      <c r="J1844" t="s">
        <v>379</v>
      </c>
      <c r="K1844" t="s">
        <v>546</v>
      </c>
      <c r="L1844" s="784">
        <v>0</v>
      </c>
      <c r="M1844" t="s">
        <v>745</v>
      </c>
      <c r="N1844" s="784" t="s">
        <v>575</v>
      </c>
      <c r="P1844" t="s">
        <v>1887</v>
      </c>
      <c r="R1844" t="s">
        <v>152</v>
      </c>
      <c r="S1844" t="s">
        <v>146</v>
      </c>
      <c r="U1844">
        <v>0</v>
      </c>
      <c r="V1844" t="s">
        <v>544</v>
      </c>
      <c r="W1844" t="s">
        <v>575</v>
      </c>
      <c r="X1844" s="784">
        <v>1612434649.6948864</v>
      </c>
    </row>
    <row r="1845" spans="1:24">
      <c r="A1845" t="s">
        <v>358</v>
      </c>
      <c r="B1845" t="s">
        <v>606</v>
      </c>
      <c r="C1845" t="s">
        <v>211</v>
      </c>
      <c r="D1845" t="s">
        <v>129</v>
      </c>
      <c r="E1845" t="s">
        <v>377</v>
      </c>
      <c r="F1845" t="s">
        <v>310</v>
      </c>
      <c r="G1845" t="s">
        <v>342</v>
      </c>
      <c r="H1845" t="s">
        <v>104</v>
      </c>
      <c r="I1845">
        <v>2021</v>
      </c>
      <c r="J1845" t="s">
        <v>379</v>
      </c>
      <c r="K1845" t="s">
        <v>546</v>
      </c>
      <c r="L1845" s="784">
        <v>252699.99999999997</v>
      </c>
      <c r="M1845" t="s">
        <v>745</v>
      </c>
      <c r="N1845" s="784" t="s">
        <v>575</v>
      </c>
      <c r="P1845" t="s">
        <v>1887</v>
      </c>
      <c r="R1845" t="s">
        <v>148</v>
      </c>
      <c r="S1845" t="s">
        <v>145</v>
      </c>
      <c r="U1845">
        <v>0</v>
      </c>
      <c r="V1845" t="s">
        <v>544</v>
      </c>
      <c r="W1845" t="s">
        <v>562</v>
      </c>
      <c r="X1845" s="784">
        <v>78203134.118229344</v>
      </c>
    </row>
    <row r="1846" spans="1:24">
      <c r="A1846" t="s">
        <v>358</v>
      </c>
      <c r="B1846" t="s">
        <v>607</v>
      </c>
      <c r="C1846" t="s">
        <v>212</v>
      </c>
      <c r="D1846" t="s">
        <v>129</v>
      </c>
      <c r="E1846" t="s">
        <v>377</v>
      </c>
      <c r="F1846" t="s">
        <v>310</v>
      </c>
      <c r="G1846" t="s">
        <v>342</v>
      </c>
      <c r="H1846" t="s">
        <v>104</v>
      </c>
      <c r="I1846">
        <v>2021</v>
      </c>
      <c r="J1846" t="s">
        <v>379</v>
      </c>
      <c r="K1846" t="s">
        <v>546</v>
      </c>
      <c r="L1846" s="784">
        <v>173660.18518518517</v>
      </c>
      <c r="M1846" t="s">
        <v>745</v>
      </c>
      <c r="N1846" s="784" t="s">
        <v>575</v>
      </c>
      <c r="P1846" t="s">
        <v>1887</v>
      </c>
      <c r="R1846" t="s">
        <v>148</v>
      </c>
      <c r="S1846" t="s">
        <v>145</v>
      </c>
      <c r="U1846">
        <v>2</v>
      </c>
      <c r="V1846" t="s">
        <v>541</v>
      </c>
      <c r="W1846" t="s">
        <v>542</v>
      </c>
      <c r="X1846" s="784">
        <v>9151637.7411015611</v>
      </c>
    </row>
    <row r="1847" spans="1:24">
      <c r="A1847" t="s">
        <v>358</v>
      </c>
      <c r="B1847" t="s">
        <v>608</v>
      </c>
      <c r="C1847" t="s">
        <v>213</v>
      </c>
      <c r="D1847" t="s">
        <v>130</v>
      </c>
      <c r="E1847" t="s">
        <v>377</v>
      </c>
      <c r="F1847" t="s">
        <v>310</v>
      </c>
      <c r="G1847" t="s">
        <v>342</v>
      </c>
      <c r="H1847" t="s">
        <v>104</v>
      </c>
      <c r="I1847">
        <v>2021</v>
      </c>
      <c r="J1847" t="s">
        <v>379</v>
      </c>
      <c r="K1847" t="s">
        <v>546</v>
      </c>
      <c r="L1847" s="784">
        <v>0</v>
      </c>
      <c r="M1847" t="s">
        <v>745</v>
      </c>
      <c r="N1847" s="784" t="s">
        <v>575</v>
      </c>
      <c r="P1847" t="s">
        <v>1887</v>
      </c>
      <c r="R1847" t="s">
        <v>152</v>
      </c>
      <c r="S1847" t="s">
        <v>145</v>
      </c>
      <c r="U1847">
        <v>0</v>
      </c>
      <c r="V1847" t="s">
        <v>541</v>
      </c>
      <c r="W1847" t="s">
        <v>562</v>
      </c>
      <c r="X1847" s="784">
        <v>142455920.02856269</v>
      </c>
    </row>
    <row r="1848" spans="1:24">
      <c r="A1848" t="s">
        <v>358</v>
      </c>
      <c r="B1848" t="s">
        <v>609</v>
      </c>
      <c r="C1848" t="s">
        <v>214</v>
      </c>
      <c r="D1848" t="s">
        <v>130</v>
      </c>
      <c r="E1848" t="s">
        <v>377</v>
      </c>
      <c r="F1848" t="s">
        <v>310</v>
      </c>
      <c r="G1848" t="s">
        <v>342</v>
      </c>
      <c r="H1848" t="s">
        <v>104</v>
      </c>
      <c r="I1848">
        <v>2021</v>
      </c>
      <c r="J1848" t="s">
        <v>379</v>
      </c>
      <c r="K1848" t="s">
        <v>546</v>
      </c>
      <c r="L1848" s="784">
        <v>315255.55555555556</v>
      </c>
      <c r="M1848" t="s">
        <v>745</v>
      </c>
      <c r="N1848" s="784" t="s">
        <v>575</v>
      </c>
      <c r="P1848" t="s">
        <v>1887</v>
      </c>
      <c r="R1848" t="s">
        <v>150</v>
      </c>
      <c r="S1848" t="s">
        <v>145</v>
      </c>
      <c r="U1848">
        <v>1</v>
      </c>
      <c r="V1848" t="s">
        <v>541</v>
      </c>
      <c r="W1848" t="s">
        <v>542</v>
      </c>
      <c r="X1848" s="784">
        <v>85611818.171245083</v>
      </c>
    </row>
    <row r="1849" spans="1:24">
      <c r="A1849" t="s">
        <v>358</v>
      </c>
      <c r="B1849" t="s">
        <v>610</v>
      </c>
      <c r="C1849" t="s">
        <v>215</v>
      </c>
      <c r="D1849" t="s">
        <v>130</v>
      </c>
      <c r="E1849" t="s">
        <v>377</v>
      </c>
      <c r="F1849" t="s">
        <v>310</v>
      </c>
      <c r="G1849" t="s">
        <v>342</v>
      </c>
      <c r="H1849" t="s">
        <v>104</v>
      </c>
      <c r="I1849">
        <v>2021</v>
      </c>
      <c r="J1849" t="s">
        <v>379</v>
      </c>
      <c r="K1849" t="s">
        <v>546</v>
      </c>
      <c r="L1849" s="784">
        <v>24259.259259259259</v>
      </c>
      <c r="M1849" t="s">
        <v>745</v>
      </c>
      <c r="N1849" s="784" t="s">
        <v>575</v>
      </c>
      <c r="P1849" t="s">
        <v>1887</v>
      </c>
      <c r="R1849" t="s">
        <v>150</v>
      </c>
      <c r="S1849" t="s">
        <v>145</v>
      </c>
      <c r="U1849">
        <v>0</v>
      </c>
      <c r="V1849" t="s">
        <v>544</v>
      </c>
      <c r="W1849" t="s">
        <v>558</v>
      </c>
      <c r="X1849" s="784">
        <v>680289736.30082119</v>
      </c>
    </row>
    <row r="1850" spans="1:24">
      <c r="A1850" t="s">
        <v>358</v>
      </c>
      <c r="B1850" t="s">
        <v>611</v>
      </c>
      <c r="C1850" t="s">
        <v>216</v>
      </c>
      <c r="D1850" t="s">
        <v>132</v>
      </c>
      <c r="E1850" t="s">
        <v>377</v>
      </c>
      <c r="F1850" t="s">
        <v>310</v>
      </c>
      <c r="G1850" t="s">
        <v>342</v>
      </c>
      <c r="H1850" t="s">
        <v>104</v>
      </c>
      <c r="I1850">
        <v>2021</v>
      </c>
      <c r="J1850" t="s">
        <v>379</v>
      </c>
      <c r="K1850" t="s">
        <v>546</v>
      </c>
      <c r="L1850" s="784">
        <v>5971660.1851851847</v>
      </c>
      <c r="M1850" t="s">
        <v>745</v>
      </c>
      <c r="N1850" s="784" t="s">
        <v>575</v>
      </c>
      <c r="P1850" t="s">
        <v>1887</v>
      </c>
      <c r="R1850" t="s">
        <v>150</v>
      </c>
      <c r="S1850" t="s">
        <v>145</v>
      </c>
      <c r="U1850">
        <v>0</v>
      </c>
      <c r="V1850" t="s">
        <v>544</v>
      </c>
      <c r="W1850" t="s">
        <v>546</v>
      </c>
      <c r="X1850" s="784">
        <v>26554332750.47023</v>
      </c>
    </row>
    <row r="1851" spans="1:24">
      <c r="A1851" t="s">
        <v>358</v>
      </c>
      <c r="B1851" t="s">
        <v>612</v>
      </c>
      <c r="C1851" t="s">
        <v>217</v>
      </c>
      <c r="D1851" t="s">
        <v>126</v>
      </c>
      <c r="E1851" t="s">
        <v>377</v>
      </c>
      <c r="F1851" t="s">
        <v>310</v>
      </c>
      <c r="G1851" t="s">
        <v>342</v>
      </c>
      <c r="H1851" t="s">
        <v>104</v>
      </c>
      <c r="I1851">
        <v>2021</v>
      </c>
      <c r="J1851" t="s">
        <v>379</v>
      </c>
      <c r="K1851" t="s">
        <v>546</v>
      </c>
      <c r="L1851" s="784">
        <v>100000</v>
      </c>
      <c r="M1851" t="s">
        <v>745</v>
      </c>
      <c r="N1851" s="784" t="s">
        <v>575</v>
      </c>
      <c r="P1851" t="s">
        <v>1887</v>
      </c>
      <c r="R1851" t="s">
        <v>150</v>
      </c>
      <c r="S1851" t="s">
        <v>145</v>
      </c>
      <c r="U1851">
        <v>0</v>
      </c>
      <c r="V1851" t="s">
        <v>544</v>
      </c>
      <c r="W1851" t="s">
        <v>546</v>
      </c>
      <c r="X1851" s="784">
        <v>14745961064.890842</v>
      </c>
    </row>
    <row r="1852" spans="1:24">
      <c r="A1852" t="s">
        <v>358</v>
      </c>
      <c r="B1852" t="s">
        <v>613</v>
      </c>
      <c r="C1852" t="s">
        <v>149</v>
      </c>
      <c r="D1852" t="s">
        <v>131</v>
      </c>
      <c r="E1852" t="s">
        <v>377</v>
      </c>
      <c r="F1852" t="s">
        <v>310</v>
      </c>
      <c r="G1852" t="s">
        <v>342</v>
      </c>
      <c r="H1852" t="s">
        <v>104</v>
      </c>
      <c r="I1852">
        <v>2021</v>
      </c>
      <c r="J1852" t="s">
        <v>379</v>
      </c>
      <c r="K1852" t="s">
        <v>546</v>
      </c>
      <c r="L1852" s="784">
        <v>0</v>
      </c>
      <c r="M1852" t="s">
        <v>745</v>
      </c>
      <c r="N1852" s="784" t="s">
        <v>575</v>
      </c>
      <c r="P1852" t="s">
        <v>1887</v>
      </c>
      <c r="R1852" t="s">
        <v>150</v>
      </c>
      <c r="S1852" t="s">
        <v>146</v>
      </c>
      <c r="U1852">
        <v>0</v>
      </c>
      <c r="V1852" t="s">
        <v>544</v>
      </c>
      <c r="W1852" t="s">
        <v>546</v>
      </c>
      <c r="X1852" s="784">
        <v>18194076299.786381</v>
      </c>
    </row>
    <row r="1853" spans="1:24">
      <c r="A1853" t="s">
        <v>358</v>
      </c>
      <c r="B1853" t="s">
        <v>614</v>
      </c>
      <c r="C1853" t="s">
        <v>218</v>
      </c>
      <c r="D1853" t="s">
        <v>131</v>
      </c>
      <c r="E1853" t="s">
        <v>377</v>
      </c>
      <c r="F1853" t="s">
        <v>310</v>
      </c>
      <c r="G1853" t="s">
        <v>342</v>
      </c>
      <c r="H1853" t="s">
        <v>104</v>
      </c>
      <c r="I1853">
        <v>2021</v>
      </c>
      <c r="J1853" t="s">
        <v>379</v>
      </c>
      <c r="K1853" t="s">
        <v>546</v>
      </c>
      <c r="L1853" s="784">
        <v>0</v>
      </c>
      <c r="M1853" t="s">
        <v>745</v>
      </c>
      <c r="N1853" s="784" t="s">
        <v>575</v>
      </c>
      <c r="P1853" t="s">
        <v>1887</v>
      </c>
      <c r="R1853" t="s">
        <v>152</v>
      </c>
      <c r="S1853" t="s">
        <v>146</v>
      </c>
      <c r="U1853">
        <v>0</v>
      </c>
      <c r="V1853" t="s">
        <v>544</v>
      </c>
      <c r="W1853" t="s">
        <v>546</v>
      </c>
      <c r="X1853" s="784">
        <v>4428819387.769825</v>
      </c>
    </row>
    <row r="1854" spans="1:24">
      <c r="A1854" t="s">
        <v>358</v>
      </c>
      <c r="B1854" t="s">
        <v>615</v>
      </c>
      <c r="C1854" t="s">
        <v>219</v>
      </c>
      <c r="D1854" t="s">
        <v>130</v>
      </c>
      <c r="E1854" t="s">
        <v>377</v>
      </c>
      <c r="F1854" t="s">
        <v>310</v>
      </c>
      <c r="G1854" t="s">
        <v>342</v>
      </c>
      <c r="H1854" t="s">
        <v>104</v>
      </c>
      <c r="I1854">
        <v>2021</v>
      </c>
      <c r="J1854" t="s">
        <v>379</v>
      </c>
      <c r="K1854" t="s">
        <v>546</v>
      </c>
      <c r="L1854" s="784">
        <v>0</v>
      </c>
      <c r="M1854" t="s">
        <v>745</v>
      </c>
      <c r="N1854" s="784" t="s">
        <v>575</v>
      </c>
      <c r="P1854" t="s">
        <v>1887</v>
      </c>
      <c r="R1854" t="s">
        <v>152</v>
      </c>
      <c r="S1854" t="s">
        <v>146</v>
      </c>
      <c r="U1854">
        <v>0</v>
      </c>
      <c r="V1854" t="s">
        <v>541</v>
      </c>
      <c r="W1854" t="s">
        <v>575</v>
      </c>
      <c r="X1854" s="784">
        <v>611739560.62679195</v>
      </c>
    </row>
    <row r="1855" spans="1:24">
      <c r="A1855" t="s">
        <v>358</v>
      </c>
      <c r="B1855" t="s">
        <v>616</v>
      </c>
      <c r="C1855" t="s">
        <v>220</v>
      </c>
      <c r="D1855" t="s">
        <v>131</v>
      </c>
      <c r="E1855" t="s">
        <v>377</v>
      </c>
      <c r="F1855" t="s">
        <v>310</v>
      </c>
      <c r="G1855" t="s">
        <v>342</v>
      </c>
      <c r="H1855" t="s">
        <v>104</v>
      </c>
      <c r="I1855">
        <v>2021</v>
      </c>
      <c r="J1855" t="s">
        <v>379</v>
      </c>
      <c r="K1855" t="s">
        <v>546</v>
      </c>
      <c r="L1855" s="784">
        <v>0</v>
      </c>
      <c r="M1855" t="s">
        <v>745</v>
      </c>
      <c r="N1855" s="784" t="s">
        <v>575</v>
      </c>
      <c r="P1855" t="s">
        <v>1887</v>
      </c>
      <c r="R1855" t="s">
        <v>152</v>
      </c>
      <c r="S1855" t="s">
        <v>146</v>
      </c>
      <c r="U1855">
        <v>0</v>
      </c>
      <c r="V1855" t="s">
        <v>544</v>
      </c>
      <c r="W1855" t="s">
        <v>546</v>
      </c>
      <c r="X1855" s="784">
        <v>1617913383.0481031</v>
      </c>
    </row>
    <row r="1856" spans="1:24">
      <c r="A1856" t="s">
        <v>358</v>
      </c>
      <c r="B1856" t="s">
        <v>617</v>
      </c>
      <c r="C1856" t="s">
        <v>221</v>
      </c>
      <c r="D1856" t="s">
        <v>127</v>
      </c>
      <c r="E1856" t="s">
        <v>377</v>
      </c>
      <c r="F1856" t="s">
        <v>310</v>
      </c>
      <c r="G1856" t="s">
        <v>342</v>
      </c>
      <c r="H1856" t="s">
        <v>104</v>
      </c>
      <c r="I1856">
        <v>2021</v>
      </c>
      <c r="J1856" t="s">
        <v>379</v>
      </c>
      <c r="K1856" t="s">
        <v>546</v>
      </c>
      <c r="L1856" s="784">
        <v>0</v>
      </c>
      <c r="M1856" t="s">
        <v>745</v>
      </c>
      <c r="N1856" s="784" t="s">
        <v>575</v>
      </c>
      <c r="P1856" t="s">
        <v>1887</v>
      </c>
      <c r="R1856" t="s">
        <v>152</v>
      </c>
      <c r="S1856" t="s">
        <v>146</v>
      </c>
      <c r="U1856">
        <v>0</v>
      </c>
      <c r="V1856" t="s">
        <v>544</v>
      </c>
      <c r="W1856" t="s">
        <v>575</v>
      </c>
      <c r="X1856" s="784">
        <v>3074419112.4562683</v>
      </c>
    </row>
    <row r="1857" spans="1:24">
      <c r="A1857" t="s">
        <v>358</v>
      </c>
      <c r="B1857" t="s">
        <v>618</v>
      </c>
      <c r="C1857" t="s">
        <v>222</v>
      </c>
      <c r="D1857" t="s">
        <v>128</v>
      </c>
      <c r="E1857" t="s">
        <v>377</v>
      </c>
      <c r="F1857" t="s">
        <v>310</v>
      </c>
      <c r="G1857" t="s">
        <v>342</v>
      </c>
      <c r="H1857" t="s">
        <v>104</v>
      </c>
      <c r="I1857">
        <v>2021</v>
      </c>
      <c r="J1857" t="s">
        <v>379</v>
      </c>
      <c r="K1857" t="s">
        <v>546</v>
      </c>
      <c r="L1857" s="784">
        <v>279000</v>
      </c>
      <c r="M1857" t="s">
        <v>745</v>
      </c>
      <c r="N1857" s="784" t="s">
        <v>575</v>
      </c>
      <c r="P1857" t="s">
        <v>1887</v>
      </c>
      <c r="R1857" t="s">
        <v>150</v>
      </c>
      <c r="S1857" t="s">
        <v>145</v>
      </c>
      <c r="U1857">
        <v>0</v>
      </c>
      <c r="V1857" t="s">
        <v>544</v>
      </c>
      <c r="W1857" t="s">
        <v>542</v>
      </c>
      <c r="X1857" s="784">
        <v>1914014279.8929913</v>
      </c>
    </row>
    <row r="1858" spans="1:24">
      <c r="A1858" t="s">
        <v>358</v>
      </c>
      <c r="B1858" t="s">
        <v>619</v>
      </c>
      <c r="C1858" t="s">
        <v>223</v>
      </c>
      <c r="D1858" t="s">
        <v>126</v>
      </c>
      <c r="E1858" t="s">
        <v>377</v>
      </c>
      <c r="F1858" t="s">
        <v>310</v>
      </c>
      <c r="G1858" t="s">
        <v>342</v>
      </c>
      <c r="H1858" t="s">
        <v>104</v>
      </c>
      <c r="I1858">
        <v>2021</v>
      </c>
      <c r="J1858" t="s">
        <v>379</v>
      </c>
      <c r="K1858" t="s">
        <v>546</v>
      </c>
      <c r="L1858" s="784">
        <v>46450</v>
      </c>
      <c r="M1858" t="s">
        <v>745</v>
      </c>
      <c r="N1858" s="784" t="s">
        <v>575</v>
      </c>
      <c r="P1858" t="s">
        <v>1887</v>
      </c>
      <c r="R1858" t="s">
        <v>150</v>
      </c>
      <c r="S1858" t="s">
        <v>145</v>
      </c>
      <c r="U1858">
        <v>0</v>
      </c>
      <c r="V1858" t="s">
        <v>541</v>
      </c>
      <c r="W1858" t="s">
        <v>542</v>
      </c>
      <c r="X1858" s="784">
        <v>17422005.762907442</v>
      </c>
    </row>
    <row r="1859" spans="1:24">
      <c r="A1859" t="s">
        <v>358</v>
      </c>
      <c r="B1859" t="s">
        <v>620</v>
      </c>
      <c r="C1859" t="s">
        <v>224</v>
      </c>
      <c r="D1859" t="s">
        <v>126</v>
      </c>
      <c r="E1859" t="s">
        <v>377</v>
      </c>
      <c r="F1859" t="s">
        <v>310</v>
      </c>
      <c r="G1859" t="s">
        <v>342</v>
      </c>
      <c r="H1859" t="s">
        <v>104</v>
      </c>
      <c r="I1859">
        <v>2021</v>
      </c>
      <c r="J1859" t="s">
        <v>379</v>
      </c>
      <c r="K1859" t="s">
        <v>546</v>
      </c>
      <c r="L1859" s="784">
        <v>0</v>
      </c>
      <c r="M1859" t="s">
        <v>745</v>
      </c>
      <c r="N1859" s="784" t="s">
        <v>575</v>
      </c>
      <c r="P1859" t="s">
        <v>1887</v>
      </c>
      <c r="R1859" t="s">
        <v>148</v>
      </c>
      <c r="S1859" t="s">
        <v>145</v>
      </c>
      <c r="U1859">
        <v>0</v>
      </c>
      <c r="V1859" t="s">
        <v>544</v>
      </c>
      <c r="W1859" t="s">
        <v>546</v>
      </c>
      <c r="X1859" s="784" t="s">
        <v>575</v>
      </c>
    </row>
    <row r="1860" spans="1:24">
      <c r="A1860" t="s">
        <v>358</v>
      </c>
      <c r="B1860" t="s">
        <v>621</v>
      </c>
      <c r="C1860" t="s">
        <v>225</v>
      </c>
      <c r="D1860" t="s">
        <v>127</v>
      </c>
      <c r="E1860" t="s">
        <v>377</v>
      </c>
      <c r="F1860" t="s">
        <v>310</v>
      </c>
      <c r="G1860" t="s">
        <v>342</v>
      </c>
      <c r="H1860" t="s">
        <v>104</v>
      </c>
      <c r="I1860">
        <v>2021</v>
      </c>
      <c r="J1860" t="s">
        <v>379</v>
      </c>
      <c r="K1860" t="s">
        <v>546</v>
      </c>
      <c r="L1860" s="784">
        <v>101700</v>
      </c>
      <c r="M1860" t="s">
        <v>745</v>
      </c>
      <c r="N1860" s="784" t="s">
        <v>575</v>
      </c>
      <c r="P1860" t="s">
        <v>1887</v>
      </c>
      <c r="R1860" t="s">
        <v>152</v>
      </c>
      <c r="S1860" t="s">
        <v>145</v>
      </c>
      <c r="U1860">
        <v>0</v>
      </c>
      <c r="V1860" t="s">
        <v>544</v>
      </c>
      <c r="W1860" t="s">
        <v>548</v>
      </c>
      <c r="X1860" s="784" t="s">
        <v>575</v>
      </c>
    </row>
    <row r="1861" spans="1:24">
      <c r="A1861" t="s">
        <v>358</v>
      </c>
      <c r="B1861" t="s">
        <v>622</v>
      </c>
      <c r="C1861" t="s">
        <v>226</v>
      </c>
      <c r="D1861" t="s">
        <v>127</v>
      </c>
      <c r="E1861" t="s">
        <v>377</v>
      </c>
      <c r="F1861" t="s">
        <v>310</v>
      </c>
      <c r="G1861" t="s">
        <v>342</v>
      </c>
      <c r="H1861" t="s">
        <v>104</v>
      </c>
      <c r="I1861">
        <v>2021</v>
      </c>
      <c r="J1861" t="s">
        <v>379</v>
      </c>
      <c r="K1861" t="s">
        <v>546</v>
      </c>
      <c r="L1861" s="784">
        <v>80800</v>
      </c>
      <c r="M1861" t="s">
        <v>745</v>
      </c>
      <c r="N1861" s="784" t="s">
        <v>575</v>
      </c>
      <c r="P1861" t="s">
        <v>1887</v>
      </c>
      <c r="R1861" t="s">
        <v>150</v>
      </c>
      <c r="S1861" t="s">
        <v>145</v>
      </c>
      <c r="U1861">
        <v>2</v>
      </c>
      <c r="V1861" t="s">
        <v>544</v>
      </c>
      <c r="W1861" t="s">
        <v>562</v>
      </c>
      <c r="X1861" s="784">
        <v>231506834.84347546</v>
      </c>
    </row>
    <row r="1862" spans="1:24">
      <c r="A1862" t="s">
        <v>358</v>
      </c>
      <c r="B1862" t="s">
        <v>623</v>
      </c>
      <c r="C1862" t="s">
        <v>227</v>
      </c>
      <c r="D1862" t="s">
        <v>126</v>
      </c>
      <c r="E1862" t="s">
        <v>377</v>
      </c>
      <c r="F1862" t="s">
        <v>310</v>
      </c>
      <c r="G1862" t="s">
        <v>342</v>
      </c>
      <c r="H1862" t="s">
        <v>104</v>
      </c>
      <c r="I1862">
        <v>2021</v>
      </c>
      <c r="J1862" t="s">
        <v>379</v>
      </c>
      <c r="K1862" t="s">
        <v>546</v>
      </c>
      <c r="L1862" s="784">
        <v>66358.333333333328</v>
      </c>
      <c r="M1862" t="s">
        <v>745</v>
      </c>
      <c r="N1862" s="784" t="s">
        <v>575</v>
      </c>
      <c r="P1862" t="s">
        <v>1887</v>
      </c>
      <c r="R1862" t="s">
        <v>150</v>
      </c>
      <c r="S1862" t="s">
        <v>145</v>
      </c>
      <c r="U1862">
        <v>0</v>
      </c>
      <c r="V1862" t="s">
        <v>544</v>
      </c>
      <c r="W1862" t="s">
        <v>542</v>
      </c>
      <c r="X1862" s="784">
        <v>156059428.62944782</v>
      </c>
    </row>
    <row r="1863" spans="1:24">
      <c r="A1863" t="s">
        <v>358</v>
      </c>
      <c r="B1863" t="s">
        <v>624</v>
      </c>
      <c r="C1863" t="s">
        <v>228</v>
      </c>
      <c r="D1863" t="s">
        <v>131</v>
      </c>
      <c r="E1863" t="s">
        <v>377</v>
      </c>
      <c r="F1863" t="s">
        <v>310</v>
      </c>
      <c r="G1863" t="s">
        <v>342</v>
      </c>
      <c r="H1863" t="s">
        <v>104</v>
      </c>
      <c r="I1863">
        <v>2021</v>
      </c>
      <c r="J1863" t="s">
        <v>379</v>
      </c>
      <c r="K1863" t="s">
        <v>546</v>
      </c>
      <c r="L1863" s="784">
        <v>0</v>
      </c>
      <c r="M1863" t="s">
        <v>745</v>
      </c>
      <c r="N1863" s="784" t="s">
        <v>575</v>
      </c>
      <c r="P1863" t="s">
        <v>1887</v>
      </c>
      <c r="R1863" t="s">
        <v>152</v>
      </c>
      <c r="S1863" t="s">
        <v>146</v>
      </c>
      <c r="U1863">
        <v>0</v>
      </c>
      <c r="V1863" t="s">
        <v>544</v>
      </c>
      <c r="W1863" t="s">
        <v>546</v>
      </c>
      <c r="X1863" s="784">
        <v>2355391507.1635861</v>
      </c>
    </row>
    <row r="1864" spans="1:24">
      <c r="A1864" t="s">
        <v>358</v>
      </c>
      <c r="B1864" t="s">
        <v>625</v>
      </c>
      <c r="C1864" t="s">
        <v>229</v>
      </c>
      <c r="D1864" t="s">
        <v>128</v>
      </c>
      <c r="E1864" t="s">
        <v>377</v>
      </c>
      <c r="F1864" t="s">
        <v>310</v>
      </c>
      <c r="G1864" t="s">
        <v>342</v>
      </c>
      <c r="H1864" t="s">
        <v>104</v>
      </c>
      <c r="I1864">
        <v>2021</v>
      </c>
      <c r="J1864" t="s">
        <v>379</v>
      </c>
      <c r="K1864" t="s">
        <v>546</v>
      </c>
      <c r="L1864" s="784">
        <v>119799.99999999999</v>
      </c>
      <c r="M1864" t="s">
        <v>745</v>
      </c>
      <c r="N1864" s="784" t="s">
        <v>575</v>
      </c>
      <c r="P1864" t="s">
        <v>1887</v>
      </c>
      <c r="R1864" t="s">
        <v>150</v>
      </c>
      <c r="S1864" t="s">
        <v>145</v>
      </c>
      <c r="U1864">
        <v>0</v>
      </c>
      <c r="V1864" t="s">
        <v>544</v>
      </c>
      <c r="W1864" t="s">
        <v>562</v>
      </c>
      <c r="X1864" s="784">
        <v>152760919.7684873</v>
      </c>
    </row>
    <row r="1865" spans="1:24">
      <c r="A1865" t="s">
        <v>358</v>
      </c>
      <c r="B1865" t="s">
        <v>626</v>
      </c>
      <c r="C1865" t="s">
        <v>230</v>
      </c>
      <c r="D1865" t="s">
        <v>129</v>
      </c>
      <c r="E1865" t="s">
        <v>377</v>
      </c>
      <c r="F1865" t="s">
        <v>310</v>
      </c>
      <c r="G1865" t="s">
        <v>342</v>
      </c>
      <c r="H1865" t="s">
        <v>104</v>
      </c>
      <c r="I1865">
        <v>2021</v>
      </c>
      <c r="J1865" t="s">
        <v>379</v>
      </c>
      <c r="K1865" t="s">
        <v>546</v>
      </c>
      <c r="L1865" s="784">
        <v>127347.22222222222</v>
      </c>
      <c r="M1865" t="s">
        <v>745</v>
      </c>
      <c r="N1865" s="784" t="s">
        <v>575</v>
      </c>
      <c r="P1865" t="s">
        <v>1887</v>
      </c>
      <c r="R1865" t="s">
        <v>148</v>
      </c>
      <c r="S1865" t="s">
        <v>145</v>
      </c>
      <c r="U1865">
        <v>0</v>
      </c>
      <c r="V1865" t="s">
        <v>544</v>
      </c>
      <c r="W1865" t="s">
        <v>542</v>
      </c>
      <c r="X1865" s="784">
        <v>55072006.864440605</v>
      </c>
    </row>
    <row r="1866" spans="1:24">
      <c r="A1866" t="s">
        <v>358</v>
      </c>
      <c r="B1866" t="s">
        <v>627</v>
      </c>
      <c r="C1866" t="s">
        <v>231</v>
      </c>
      <c r="D1866" t="s">
        <v>131</v>
      </c>
      <c r="E1866" t="s">
        <v>377</v>
      </c>
      <c r="F1866" t="s">
        <v>310</v>
      </c>
      <c r="G1866" t="s">
        <v>342</v>
      </c>
      <c r="H1866" t="s">
        <v>104</v>
      </c>
      <c r="I1866">
        <v>2021</v>
      </c>
      <c r="J1866" t="s">
        <v>379</v>
      </c>
      <c r="K1866" t="s">
        <v>546</v>
      </c>
      <c r="L1866" s="784">
        <v>0</v>
      </c>
      <c r="M1866" t="s">
        <v>745</v>
      </c>
      <c r="N1866" s="784" t="s">
        <v>575</v>
      </c>
      <c r="P1866" t="s">
        <v>1887</v>
      </c>
      <c r="R1866" t="s">
        <v>152</v>
      </c>
      <c r="S1866" t="s">
        <v>146</v>
      </c>
      <c r="U1866">
        <v>0</v>
      </c>
      <c r="V1866" t="s">
        <v>544</v>
      </c>
      <c r="W1866" t="s">
        <v>546</v>
      </c>
      <c r="X1866" s="784" t="s">
        <v>575</v>
      </c>
    </row>
    <row r="1867" spans="1:24">
      <c r="A1867" t="s">
        <v>358</v>
      </c>
      <c r="B1867" t="s">
        <v>628</v>
      </c>
      <c r="C1867" t="s">
        <v>232</v>
      </c>
      <c r="D1867" t="s">
        <v>128</v>
      </c>
      <c r="E1867" t="s">
        <v>377</v>
      </c>
      <c r="F1867" t="s">
        <v>310</v>
      </c>
      <c r="G1867" t="s">
        <v>342</v>
      </c>
      <c r="H1867" t="s">
        <v>104</v>
      </c>
      <c r="I1867">
        <v>2021</v>
      </c>
      <c r="J1867" t="s">
        <v>379</v>
      </c>
      <c r="K1867" t="s">
        <v>546</v>
      </c>
      <c r="L1867" s="784">
        <v>504961.99999999994</v>
      </c>
      <c r="M1867" t="s">
        <v>745</v>
      </c>
      <c r="N1867" s="784" t="s">
        <v>575</v>
      </c>
      <c r="P1867" t="s">
        <v>1887</v>
      </c>
      <c r="R1867" t="s">
        <v>148</v>
      </c>
      <c r="S1867" t="s">
        <v>145</v>
      </c>
      <c r="U1867">
        <v>2</v>
      </c>
      <c r="V1867" t="s">
        <v>544</v>
      </c>
      <c r="W1867" t="s">
        <v>562</v>
      </c>
      <c r="X1867" s="784">
        <v>206914157.05429548</v>
      </c>
    </row>
    <row r="1868" spans="1:24">
      <c r="A1868" t="s">
        <v>358</v>
      </c>
      <c r="B1868" t="s">
        <v>629</v>
      </c>
      <c r="C1868" t="s">
        <v>233</v>
      </c>
      <c r="D1868" t="s">
        <v>128</v>
      </c>
      <c r="E1868" t="s">
        <v>377</v>
      </c>
      <c r="F1868" t="s">
        <v>310</v>
      </c>
      <c r="G1868" t="s">
        <v>342</v>
      </c>
      <c r="H1868" t="s">
        <v>104</v>
      </c>
      <c r="I1868">
        <v>2021</v>
      </c>
      <c r="J1868" t="s">
        <v>379</v>
      </c>
      <c r="K1868" t="s">
        <v>546</v>
      </c>
      <c r="L1868" s="784">
        <v>135565</v>
      </c>
      <c r="M1868" t="s">
        <v>745</v>
      </c>
      <c r="N1868" s="784" t="s">
        <v>575</v>
      </c>
      <c r="P1868" t="s">
        <v>1887</v>
      </c>
      <c r="R1868" t="s">
        <v>148</v>
      </c>
      <c r="S1868" t="s">
        <v>145</v>
      </c>
      <c r="U1868">
        <v>2</v>
      </c>
      <c r="V1868" t="s">
        <v>544</v>
      </c>
      <c r="W1868" t="s">
        <v>542</v>
      </c>
      <c r="X1868" s="784">
        <v>185999915.02066413</v>
      </c>
    </row>
    <row r="1869" spans="1:24">
      <c r="A1869" t="s">
        <v>358</v>
      </c>
      <c r="B1869" t="s">
        <v>630</v>
      </c>
      <c r="C1869" t="s">
        <v>234</v>
      </c>
      <c r="D1869" t="s">
        <v>126</v>
      </c>
      <c r="E1869" t="s">
        <v>377</v>
      </c>
      <c r="F1869" t="s">
        <v>310</v>
      </c>
      <c r="G1869" t="s">
        <v>342</v>
      </c>
      <c r="H1869" t="s">
        <v>104</v>
      </c>
      <c r="I1869">
        <v>2021</v>
      </c>
      <c r="J1869" t="s">
        <v>379</v>
      </c>
      <c r="K1869" t="s">
        <v>546</v>
      </c>
      <c r="L1869" s="784">
        <v>0</v>
      </c>
      <c r="M1869" t="s">
        <v>745</v>
      </c>
      <c r="N1869" s="784" t="s">
        <v>575</v>
      </c>
      <c r="P1869" t="s">
        <v>1887</v>
      </c>
      <c r="R1869" t="s">
        <v>152</v>
      </c>
      <c r="S1869" t="s">
        <v>146</v>
      </c>
      <c r="U1869">
        <v>0</v>
      </c>
      <c r="V1869" t="s">
        <v>544</v>
      </c>
      <c r="W1869" t="s">
        <v>575</v>
      </c>
      <c r="X1869" s="784">
        <v>6893755763.2501726</v>
      </c>
    </row>
    <row r="1870" spans="1:24">
      <c r="A1870" t="s">
        <v>358</v>
      </c>
      <c r="B1870" t="s">
        <v>631</v>
      </c>
      <c r="C1870" t="s">
        <v>235</v>
      </c>
      <c r="D1870" t="s">
        <v>132</v>
      </c>
      <c r="E1870" t="s">
        <v>377</v>
      </c>
      <c r="F1870" t="s">
        <v>310</v>
      </c>
      <c r="G1870" t="s">
        <v>342</v>
      </c>
      <c r="H1870" t="s">
        <v>104</v>
      </c>
      <c r="I1870">
        <v>2021</v>
      </c>
      <c r="J1870" t="s">
        <v>379</v>
      </c>
      <c r="K1870" t="s">
        <v>546</v>
      </c>
      <c r="L1870" s="784">
        <v>115708.33333333333</v>
      </c>
      <c r="M1870" t="s">
        <v>745</v>
      </c>
      <c r="N1870" s="784" t="s">
        <v>575</v>
      </c>
      <c r="P1870" t="s">
        <v>1887</v>
      </c>
      <c r="R1870" t="s">
        <v>152</v>
      </c>
      <c r="S1870" t="s">
        <v>145</v>
      </c>
      <c r="U1870">
        <v>0</v>
      </c>
      <c r="V1870" t="s">
        <v>541</v>
      </c>
      <c r="W1870" t="s">
        <v>542</v>
      </c>
      <c r="X1870" s="784">
        <v>354560231.58276606</v>
      </c>
    </row>
    <row r="1871" spans="1:24">
      <c r="A1871" t="s">
        <v>358</v>
      </c>
      <c r="B1871" t="s">
        <v>632</v>
      </c>
      <c r="C1871" t="s">
        <v>236</v>
      </c>
      <c r="D1871" t="s">
        <v>129</v>
      </c>
      <c r="E1871" t="s">
        <v>377</v>
      </c>
      <c r="F1871" t="s">
        <v>310</v>
      </c>
      <c r="G1871" t="s">
        <v>342</v>
      </c>
      <c r="H1871" t="s">
        <v>104</v>
      </c>
      <c r="I1871">
        <v>2021</v>
      </c>
      <c r="J1871" t="s">
        <v>379</v>
      </c>
      <c r="K1871" t="s">
        <v>546</v>
      </c>
      <c r="L1871" s="784">
        <v>396300</v>
      </c>
      <c r="M1871" t="s">
        <v>745</v>
      </c>
      <c r="N1871" s="784" t="s">
        <v>575</v>
      </c>
      <c r="P1871" t="s">
        <v>1887</v>
      </c>
      <c r="R1871" t="s">
        <v>148</v>
      </c>
      <c r="S1871" t="s">
        <v>145</v>
      </c>
      <c r="U1871">
        <v>1</v>
      </c>
      <c r="V1871" t="s">
        <v>544</v>
      </c>
      <c r="W1871" t="s">
        <v>562</v>
      </c>
      <c r="X1871" s="784">
        <v>188169167.56540567</v>
      </c>
    </row>
    <row r="1872" spans="1:24">
      <c r="A1872" t="s">
        <v>358</v>
      </c>
      <c r="B1872" t="s">
        <v>633</v>
      </c>
      <c r="C1872" t="s">
        <v>237</v>
      </c>
      <c r="D1872" t="s">
        <v>126</v>
      </c>
      <c r="E1872" t="s">
        <v>377</v>
      </c>
      <c r="F1872" t="s">
        <v>310</v>
      </c>
      <c r="G1872" t="s">
        <v>342</v>
      </c>
      <c r="H1872" t="s">
        <v>104</v>
      </c>
      <c r="I1872">
        <v>2021</v>
      </c>
      <c r="J1872" t="s">
        <v>379</v>
      </c>
      <c r="K1872" t="s">
        <v>546</v>
      </c>
      <c r="L1872" s="784">
        <v>63999.999999999993</v>
      </c>
      <c r="M1872" t="s">
        <v>745</v>
      </c>
      <c r="N1872" s="784" t="s">
        <v>575</v>
      </c>
      <c r="P1872" t="s">
        <v>1887</v>
      </c>
      <c r="R1872" t="s">
        <v>152</v>
      </c>
      <c r="S1872" t="s">
        <v>145</v>
      </c>
      <c r="U1872">
        <v>0</v>
      </c>
      <c r="V1872" t="s">
        <v>541</v>
      </c>
      <c r="W1872" t="s">
        <v>575</v>
      </c>
      <c r="X1872" s="784">
        <v>16312106.556340856</v>
      </c>
    </row>
    <row r="1873" spans="1:24">
      <c r="A1873" t="s">
        <v>358</v>
      </c>
      <c r="B1873" t="s">
        <v>634</v>
      </c>
      <c r="C1873" t="s">
        <v>238</v>
      </c>
      <c r="D1873" t="s">
        <v>129</v>
      </c>
      <c r="E1873" t="s">
        <v>377</v>
      </c>
      <c r="F1873" t="s">
        <v>310</v>
      </c>
      <c r="G1873" t="s">
        <v>342</v>
      </c>
      <c r="H1873" t="s">
        <v>104</v>
      </c>
      <c r="I1873">
        <v>2021</v>
      </c>
      <c r="J1873" t="s">
        <v>379</v>
      </c>
      <c r="K1873" t="s">
        <v>546</v>
      </c>
      <c r="L1873" s="784">
        <v>135300</v>
      </c>
      <c r="M1873" t="s">
        <v>745</v>
      </c>
      <c r="N1873" s="784" t="s">
        <v>575</v>
      </c>
      <c r="P1873" t="s">
        <v>1887</v>
      </c>
      <c r="R1873" t="s">
        <v>150</v>
      </c>
      <c r="S1873" t="s">
        <v>145</v>
      </c>
      <c r="U1873">
        <v>2</v>
      </c>
      <c r="V1873" t="s">
        <v>544</v>
      </c>
      <c r="W1873" t="s">
        <v>542</v>
      </c>
      <c r="X1873" s="784">
        <v>86083833.534053758</v>
      </c>
    </row>
    <row r="1874" spans="1:24">
      <c r="A1874" t="s">
        <v>358</v>
      </c>
      <c r="B1874" t="s">
        <v>635</v>
      </c>
      <c r="C1874" t="s">
        <v>239</v>
      </c>
      <c r="D1874" t="s">
        <v>128</v>
      </c>
      <c r="E1874" t="s">
        <v>377</v>
      </c>
      <c r="F1874" t="s">
        <v>310</v>
      </c>
      <c r="G1874" t="s">
        <v>342</v>
      </c>
      <c r="H1874" t="s">
        <v>104</v>
      </c>
      <c r="I1874">
        <v>2021</v>
      </c>
      <c r="J1874" t="s">
        <v>379</v>
      </c>
      <c r="K1874" t="s">
        <v>546</v>
      </c>
      <c r="L1874" s="784">
        <v>0</v>
      </c>
      <c r="M1874" t="s">
        <v>745</v>
      </c>
      <c r="N1874" s="784" t="s">
        <v>575</v>
      </c>
      <c r="P1874" t="s">
        <v>1887</v>
      </c>
      <c r="R1874" t="s">
        <v>152</v>
      </c>
      <c r="S1874" t="s">
        <v>146</v>
      </c>
      <c r="U1874">
        <v>0</v>
      </c>
      <c r="V1874" t="s">
        <v>541</v>
      </c>
      <c r="W1874" t="s">
        <v>546</v>
      </c>
      <c r="X1874" s="784">
        <v>357220835.93762809</v>
      </c>
    </row>
    <row r="1875" spans="1:24">
      <c r="A1875" t="s">
        <v>358</v>
      </c>
      <c r="B1875" t="s">
        <v>636</v>
      </c>
      <c r="C1875" t="s">
        <v>240</v>
      </c>
      <c r="D1875" t="s">
        <v>130</v>
      </c>
      <c r="E1875" t="s">
        <v>377</v>
      </c>
      <c r="F1875" t="s">
        <v>310</v>
      </c>
      <c r="G1875" t="s">
        <v>342</v>
      </c>
      <c r="H1875" t="s">
        <v>104</v>
      </c>
      <c r="I1875">
        <v>2021</v>
      </c>
      <c r="J1875" t="s">
        <v>379</v>
      </c>
      <c r="K1875" t="s">
        <v>546</v>
      </c>
      <c r="L1875" s="784">
        <v>0</v>
      </c>
      <c r="M1875" t="s">
        <v>745</v>
      </c>
      <c r="N1875" s="784" t="s">
        <v>575</v>
      </c>
      <c r="P1875" t="s">
        <v>1887</v>
      </c>
      <c r="R1875" t="s">
        <v>152</v>
      </c>
      <c r="S1875" t="s">
        <v>146</v>
      </c>
      <c r="U1875">
        <v>0</v>
      </c>
      <c r="V1875" t="s">
        <v>544</v>
      </c>
      <c r="W1875" t="s">
        <v>575</v>
      </c>
      <c r="X1875" s="784">
        <v>32831598153.796387</v>
      </c>
    </row>
    <row r="1876" spans="1:24">
      <c r="A1876" t="s">
        <v>358</v>
      </c>
      <c r="B1876" t="s">
        <v>637</v>
      </c>
      <c r="C1876" t="s">
        <v>241</v>
      </c>
      <c r="D1876" t="s">
        <v>126</v>
      </c>
      <c r="E1876" t="s">
        <v>377</v>
      </c>
      <c r="F1876" t="s">
        <v>310</v>
      </c>
      <c r="G1876" t="s">
        <v>342</v>
      </c>
      <c r="H1876" t="s">
        <v>104</v>
      </c>
      <c r="I1876">
        <v>2021</v>
      </c>
      <c r="J1876" t="s">
        <v>379</v>
      </c>
      <c r="K1876" t="s">
        <v>546</v>
      </c>
      <c r="L1876" s="784">
        <v>72000</v>
      </c>
      <c r="M1876" t="s">
        <v>745</v>
      </c>
      <c r="N1876" s="784" t="s">
        <v>575</v>
      </c>
      <c r="P1876" t="s">
        <v>1887</v>
      </c>
      <c r="R1876" t="s">
        <v>150</v>
      </c>
      <c r="S1876" t="s">
        <v>145</v>
      </c>
      <c r="U1876">
        <v>0</v>
      </c>
      <c r="V1876" t="s">
        <v>541</v>
      </c>
      <c r="W1876" t="s">
        <v>542</v>
      </c>
      <c r="X1876" s="784">
        <v>12329056.093798399</v>
      </c>
    </row>
    <row r="1877" spans="1:24">
      <c r="A1877" t="s">
        <v>358</v>
      </c>
      <c r="B1877" t="s">
        <v>638</v>
      </c>
      <c r="C1877" t="s">
        <v>242</v>
      </c>
      <c r="D1877" t="s">
        <v>127</v>
      </c>
      <c r="E1877" t="s">
        <v>377</v>
      </c>
      <c r="F1877" t="s">
        <v>310</v>
      </c>
      <c r="G1877" t="s">
        <v>342</v>
      </c>
      <c r="H1877" t="s">
        <v>104</v>
      </c>
      <c r="I1877">
        <v>2021</v>
      </c>
      <c r="J1877" t="s">
        <v>379</v>
      </c>
      <c r="K1877" t="s">
        <v>546</v>
      </c>
      <c r="L1877" s="784">
        <v>37600</v>
      </c>
      <c r="M1877" t="s">
        <v>745</v>
      </c>
      <c r="N1877" s="784" t="s">
        <v>575</v>
      </c>
      <c r="P1877" t="s">
        <v>1887</v>
      </c>
      <c r="R1877" t="s">
        <v>152</v>
      </c>
      <c r="S1877" t="s">
        <v>145</v>
      </c>
      <c r="U1877">
        <v>0</v>
      </c>
      <c r="V1877" t="s">
        <v>544</v>
      </c>
      <c r="W1877" t="s">
        <v>558</v>
      </c>
      <c r="X1877" s="784">
        <v>426639742.85328001</v>
      </c>
    </row>
    <row r="1878" spans="1:24">
      <c r="A1878" t="s">
        <v>358</v>
      </c>
      <c r="B1878" t="s">
        <v>639</v>
      </c>
      <c r="C1878" t="s">
        <v>243</v>
      </c>
      <c r="D1878" t="s">
        <v>126</v>
      </c>
      <c r="E1878" t="s">
        <v>377</v>
      </c>
      <c r="F1878" t="s">
        <v>310</v>
      </c>
      <c r="G1878" t="s">
        <v>342</v>
      </c>
      <c r="H1878" t="s">
        <v>104</v>
      </c>
      <c r="I1878">
        <v>2021</v>
      </c>
      <c r="J1878" t="s">
        <v>379</v>
      </c>
      <c r="K1878" t="s">
        <v>546</v>
      </c>
      <c r="L1878" s="784">
        <v>123999.99999999999</v>
      </c>
      <c r="M1878" t="s">
        <v>745</v>
      </c>
      <c r="N1878" s="784" t="s">
        <v>575</v>
      </c>
      <c r="P1878" t="s">
        <v>1887</v>
      </c>
      <c r="R1878" t="s">
        <v>150</v>
      </c>
      <c r="S1878" t="s">
        <v>145</v>
      </c>
      <c r="U1878">
        <v>0</v>
      </c>
      <c r="V1878" t="s">
        <v>544</v>
      </c>
      <c r="W1878" t="s">
        <v>548</v>
      </c>
      <c r="X1878" s="784">
        <v>288519671.85870522</v>
      </c>
    </row>
    <row r="1879" spans="1:24">
      <c r="A1879" t="s">
        <v>358</v>
      </c>
      <c r="B1879" t="s">
        <v>640</v>
      </c>
      <c r="C1879" t="s">
        <v>244</v>
      </c>
      <c r="D1879" t="s">
        <v>127</v>
      </c>
      <c r="E1879" t="s">
        <v>377</v>
      </c>
      <c r="F1879" t="s">
        <v>310</v>
      </c>
      <c r="G1879" t="s">
        <v>342</v>
      </c>
      <c r="H1879" t="s">
        <v>104</v>
      </c>
      <c r="I1879">
        <v>2021</v>
      </c>
      <c r="J1879" t="s">
        <v>379</v>
      </c>
      <c r="K1879" t="s">
        <v>546</v>
      </c>
      <c r="L1879" s="784">
        <v>0</v>
      </c>
      <c r="M1879" t="s">
        <v>745</v>
      </c>
      <c r="N1879" s="784" t="s">
        <v>575</v>
      </c>
      <c r="P1879" t="s">
        <v>1887</v>
      </c>
      <c r="R1879" t="s">
        <v>152</v>
      </c>
      <c r="S1879" t="s">
        <v>146</v>
      </c>
      <c r="U1879">
        <v>0</v>
      </c>
      <c r="V1879" t="s">
        <v>544</v>
      </c>
      <c r="W1879" t="s">
        <v>546</v>
      </c>
      <c r="X1879" s="784">
        <v>275606560.78491527</v>
      </c>
    </row>
    <row r="1880" spans="1:24">
      <c r="A1880" t="s">
        <v>358</v>
      </c>
      <c r="B1880" t="s">
        <v>641</v>
      </c>
      <c r="C1880" t="s">
        <v>245</v>
      </c>
      <c r="D1880" t="s">
        <v>131</v>
      </c>
      <c r="E1880" t="s">
        <v>377</v>
      </c>
      <c r="F1880" t="s">
        <v>310</v>
      </c>
      <c r="G1880" t="s">
        <v>342</v>
      </c>
      <c r="H1880" t="s">
        <v>104</v>
      </c>
      <c r="I1880">
        <v>2021</v>
      </c>
      <c r="J1880" t="s">
        <v>379</v>
      </c>
      <c r="K1880" t="s">
        <v>546</v>
      </c>
      <c r="L1880" s="784">
        <v>20000</v>
      </c>
      <c r="M1880" t="s">
        <v>745</v>
      </c>
      <c r="N1880" s="784" t="s">
        <v>575</v>
      </c>
      <c r="P1880" t="s">
        <v>1887</v>
      </c>
      <c r="R1880" t="s">
        <v>150</v>
      </c>
      <c r="S1880" t="s">
        <v>145</v>
      </c>
      <c r="U1880">
        <v>0</v>
      </c>
      <c r="V1880" t="s">
        <v>544</v>
      </c>
      <c r="W1880" t="s">
        <v>546</v>
      </c>
      <c r="X1880" s="784">
        <v>2530937679.3725696</v>
      </c>
    </row>
    <row r="1881" spans="1:24">
      <c r="A1881" t="s">
        <v>358</v>
      </c>
      <c r="B1881" t="s">
        <v>642</v>
      </c>
      <c r="C1881" t="s">
        <v>246</v>
      </c>
      <c r="D1881" t="s">
        <v>128</v>
      </c>
      <c r="E1881" t="s">
        <v>377</v>
      </c>
      <c r="F1881" t="s">
        <v>310</v>
      </c>
      <c r="G1881" t="s">
        <v>342</v>
      </c>
      <c r="H1881" t="s">
        <v>104</v>
      </c>
      <c r="I1881">
        <v>2021</v>
      </c>
      <c r="J1881" t="s">
        <v>379</v>
      </c>
      <c r="K1881" t="s">
        <v>546</v>
      </c>
      <c r="L1881" s="784">
        <v>229312.96296296295</v>
      </c>
      <c r="M1881" t="s">
        <v>745</v>
      </c>
      <c r="N1881" s="784" t="s">
        <v>575</v>
      </c>
      <c r="P1881" t="s">
        <v>1887</v>
      </c>
      <c r="R1881" t="s">
        <v>148</v>
      </c>
      <c r="S1881" t="s">
        <v>145</v>
      </c>
      <c r="U1881">
        <v>0</v>
      </c>
      <c r="V1881" t="s">
        <v>544</v>
      </c>
      <c r="W1881" t="s">
        <v>583</v>
      </c>
      <c r="X1881" s="784">
        <v>251432156.86255455</v>
      </c>
    </row>
    <row r="1882" spans="1:24">
      <c r="A1882" t="s">
        <v>358</v>
      </c>
      <c r="B1882" t="s">
        <v>643</v>
      </c>
      <c r="C1882" t="s">
        <v>247</v>
      </c>
      <c r="D1882" t="s">
        <v>126</v>
      </c>
      <c r="E1882" t="s">
        <v>377</v>
      </c>
      <c r="F1882" t="s">
        <v>310</v>
      </c>
      <c r="G1882" t="s">
        <v>342</v>
      </c>
      <c r="H1882" t="s">
        <v>104</v>
      </c>
      <c r="I1882">
        <v>2021</v>
      </c>
      <c r="J1882" t="s">
        <v>379</v>
      </c>
      <c r="K1882" t="s">
        <v>546</v>
      </c>
      <c r="L1882" s="784">
        <v>505999.99999999994</v>
      </c>
      <c r="M1882" t="s">
        <v>745</v>
      </c>
      <c r="N1882" s="784" t="s">
        <v>575</v>
      </c>
      <c r="P1882" t="s">
        <v>1887</v>
      </c>
      <c r="R1882" t="s">
        <v>150</v>
      </c>
      <c r="S1882" t="s">
        <v>145</v>
      </c>
      <c r="U1882">
        <v>0</v>
      </c>
      <c r="V1882" t="s">
        <v>544</v>
      </c>
      <c r="W1882" t="s">
        <v>558</v>
      </c>
      <c r="X1882" s="784">
        <v>471534500.60109437</v>
      </c>
    </row>
    <row r="1883" spans="1:24">
      <c r="A1883" t="s">
        <v>358</v>
      </c>
      <c r="B1883" t="s">
        <v>644</v>
      </c>
      <c r="C1883" t="s">
        <v>248</v>
      </c>
      <c r="D1883" t="s">
        <v>128</v>
      </c>
      <c r="E1883" t="s">
        <v>377</v>
      </c>
      <c r="F1883" t="s">
        <v>310</v>
      </c>
      <c r="G1883" t="s">
        <v>342</v>
      </c>
      <c r="H1883" t="s">
        <v>104</v>
      </c>
      <c r="I1883">
        <v>2021</v>
      </c>
      <c r="J1883" t="s">
        <v>379</v>
      </c>
      <c r="K1883" t="s">
        <v>546</v>
      </c>
      <c r="L1883" s="784">
        <v>0</v>
      </c>
      <c r="M1883" t="s">
        <v>745</v>
      </c>
      <c r="N1883" s="784" t="s">
        <v>575</v>
      </c>
      <c r="P1883" t="s">
        <v>1887</v>
      </c>
      <c r="R1883" t="s">
        <v>152</v>
      </c>
      <c r="S1883" t="s">
        <v>146</v>
      </c>
      <c r="U1883">
        <v>0</v>
      </c>
      <c r="V1883" t="s">
        <v>544</v>
      </c>
      <c r="W1883" t="s">
        <v>575</v>
      </c>
      <c r="X1883" s="784">
        <v>531677611.80447447</v>
      </c>
    </row>
    <row r="1884" spans="1:24">
      <c r="A1884" t="s">
        <v>358</v>
      </c>
      <c r="B1884" t="s">
        <v>645</v>
      </c>
      <c r="C1884" t="s">
        <v>249</v>
      </c>
      <c r="D1884" t="s">
        <v>126</v>
      </c>
      <c r="E1884" t="s">
        <v>377</v>
      </c>
      <c r="F1884" t="s">
        <v>310</v>
      </c>
      <c r="G1884" t="s">
        <v>342</v>
      </c>
      <c r="H1884" t="s">
        <v>104</v>
      </c>
      <c r="I1884">
        <v>2021</v>
      </c>
      <c r="J1884" t="s">
        <v>379</v>
      </c>
      <c r="K1884" t="s">
        <v>546</v>
      </c>
      <c r="L1884" s="784">
        <v>0</v>
      </c>
      <c r="M1884" t="s">
        <v>745</v>
      </c>
      <c r="N1884" s="784" t="s">
        <v>575</v>
      </c>
      <c r="P1884" t="s">
        <v>1887</v>
      </c>
      <c r="R1884" t="s">
        <v>550</v>
      </c>
      <c r="S1884" t="s">
        <v>146</v>
      </c>
      <c r="U1884">
        <v>0</v>
      </c>
      <c r="V1884" t="s">
        <v>541</v>
      </c>
      <c r="W1884" t="s">
        <v>575</v>
      </c>
      <c r="X1884" s="784">
        <v>8528751.6418357007</v>
      </c>
    </row>
    <row r="1885" spans="1:24">
      <c r="A1885" t="s">
        <v>358</v>
      </c>
      <c r="B1885" t="s">
        <v>646</v>
      </c>
      <c r="C1885" t="s">
        <v>250</v>
      </c>
      <c r="D1885" t="s">
        <v>132</v>
      </c>
      <c r="E1885" t="s">
        <v>377</v>
      </c>
      <c r="F1885" t="s">
        <v>310</v>
      </c>
      <c r="G1885" t="s">
        <v>342</v>
      </c>
      <c r="H1885" t="s">
        <v>104</v>
      </c>
      <c r="I1885">
        <v>2021</v>
      </c>
      <c r="J1885" t="s">
        <v>379</v>
      </c>
      <c r="K1885" t="s">
        <v>546</v>
      </c>
      <c r="L1885" s="784">
        <v>346810.18518518517</v>
      </c>
      <c r="M1885" t="s">
        <v>745</v>
      </c>
      <c r="N1885" s="784" t="s">
        <v>575</v>
      </c>
      <c r="P1885" t="s">
        <v>1887</v>
      </c>
      <c r="R1885" t="s">
        <v>150</v>
      </c>
      <c r="S1885" t="s">
        <v>145</v>
      </c>
      <c r="U1885">
        <v>0</v>
      </c>
      <c r="V1885" t="s">
        <v>544</v>
      </c>
      <c r="W1885" t="s">
        <v>558</v>
      </c>
      <c r="X1885" s="784">
        <v>407084543.19089872</v>
      </c>
    </row>
    <row r="1886" spans="1:24">
      <c r="A1886" t="s">
        <v>358</v>
      </c>
      <c r="B1886" t="s">
        <v>647</v>
      </c>
      <c r="C1886" t="s">
        <v>251</v>
      </c>
      <c r="D1886" t="s">
        <v>130</v>
      </c>
      <c r="E1886" t="s">
        <v>377</v>
      </c>
      <c r="F1886" t="s">
        <v>310</v>
      </c>
      <c r="G1886" t="s">
        <v>342</v>
      </c>
      <c r="H1886" t="s">
        <v>104</v>
      </c>
      <c r="I1886">
        <v>2021</v>
      </c>
      <c r="J1886" t="s">
        <v>379</v>
      </c>
      <c r="K1886" t="s">
        <v>546</v>
      </c>
      <c r="L1886" s="784">
        <v>46300</v>
      </c>
      <c r="M1886" t="s">
        <v>745</v>
      </c>
      <c r="N1886" s="784" t="s">
        <v>575</v>
      </c>
      <c r="P1886" t="s">
        <v>1887</v>
      </c>
      <c r="R1886" t="s">
        <v>150</v>
      </c>
      <c r="S1886" t="s">
        <v>145</v>
      </c>
      <c r="U1886">
        <v>0</v>
      </c>
      <c r="V1886" t="s">
        <v>544</v>
      </c>
      <c r="W1886" t="s">
        <v>562</v>
      </c>
      <c r="X1886" s="784">
        <v>671998341.93592453</v>
      </c>
    </row>
    <row r="1887" spans="1:24">
      <c r="A1887" t="s">
        <v>358</v>
      </c>
      <c r="B1887" t="s">
        <v>648</v>
      </c>
      <c r="C1887" t="s">
        <v>252</v>
      </c>
      <c r="D1887" t="s">
        <v>129</v>
      </c>
      <c r="E1887" t="s">
        <v>377</v>
      </c>
      <c r="F1887" t="s">
        <v>310</v>
      </c>
      <c r="G1887" t="s">
        <v>342</v>
      </c>
      <c r="H1887" t="s">
        <v>104</v>
      </c>
      <c r="I1887">
        <v>2021</v>
      </c>
      <c r="J1887" t="s">
        <v>379</v>
      </c>
      <c r="K1887" t="s">
        <v>546</v>
      </c>
      <c r="L1887" s="784">
        <v>475174.99999999994</v>
      </c>
      <c r="M1887" t="s">
        <v>745</v>
      </c>
      <c r="N1887" s="784" t="s">
        <v>575</v>
      </c>
      <c r="P1887" t="s">
        <v>1887</v>
      </c>
      <c r="R1887" t="s">
        <v>148</v>
      </c>
      <c r="S1887" t="s">
        <v>145</v>
      </c>
      <c r="U1887">
        <v>1</v>
      </c>
      <c r="V1887" t="s">
        <v>544</v>
      </c>
      <c r="W1887" t="s">
        <v>562</v>
      </c>
      <c r="X1887" s="784">
        <v>226203289.67158964</v>
      </c>
    </row>
    <row r="1888" spans="1:24">
      <c r="A1888" t="s">
        <v>358</v>
      </c>
      <c r="B1888" t="s">
        <v>649</v>
      </c>
      <c r="C1888" t="s">
        <v>253</v>
      </c>
      <c r="D1888" t="s">
        <v>129</v>
      </c>
      <c r="E1888" t="s">
        <v>377</v>
      </c>
      <c r="F1888" t="s">
        <v>310</v>
      </c>
      <c r="G1888" t="s">
        <v>342</v>
      </c>
      <c r="H1888" t="s">
        <v>104</v>
      </c>
      <c r="I1888">
        <v>2021</v>
      </c>
      <c r="J1888" t="s">
        <v>379</v>
      </c>
      <c r="K1888" t="s">
        <v>546</v>
      </c>
      <c r="L1888" s="784">
        <v>190600</v>
      </c>
      <c r="M1888" t="s">
        <v>745</v>
      </c>
      <c r="N1888" s="784" t="s">
        <v>575</v>
      </c>
      <c r="P1888" t="s">
        <v>1887</v>
      </c>
      <c r="R1888" t="s">
        <v>150</v>
      </c>
      <c r="S1888" t="s">
        <v>145</v>
      </c>
      <c r="U1888">
        <v>3</v>
      </c>
      <c r="V1888" t="s">
        <v>544</v>
      </c>
      <c r="W1888" t="s">
        <v>548</v>
      </c>
      <c r="X1888" s="784">
        <v>2438881113.1244688</v>
      </c>
    </row>
    <row r="1889" spans="1:24">
      <c r="A1889" t="s">
        <v>358</v>
      </c>
      <c r="B1889" t="s">
        <v>650</v>
      </c>
      <c r="C1889" t="s">
        <v>254</v>
      </c>
      <c r="D1889" t="s">
        <v>127</v>
      </c>
      <c r="E1889" t="s">
        <v>377</v>
      </c>
      <c r="F1889" t="s">
        <v>310</v>
      </c>
      <c r="G1889" t="s">
        <v>342</v>
      </c>
      <c r="H1889" t="s">
        <v>104</v>
      </c>
      <c r="I1889">
        <v>2021</v>
      </c>
      <c r="J1889" t="s">
        <v>379</v>
      </c>
      <c r="K1889" t="s">
        <v>546</v>
      </c>
      <c r="L1889" s="784">
        <v>0</v>
      </c>
      <c r="M1889" t="s">
        <v>745</v>
      </c>
      <c r="N1889" s="784" t="s">
        <v>575</v>
      </c>
      <c r="P1889" t="s">
        <v>1887</v>
      </c>
      <c r="R1889" t="s">
        <v>152</v>
      </c>
      <c r="S1889" t="s">
        <v>146</v>
      </c>
      <c r="U1889">
        <v>0</v>
      </c>
      <c r="V1889" t="s">
        <v>544</v>
      </c>
      <c r="W1889" t="s">
        <v>575</v>
      </c>
      <c r="X1889" s="784">
        <v>476517795.73174149</v>
      </c>
    </row>
    <row r="1890" spans="1:24">
      <c r="A1890" t="s">
        <v>358</v>
      </c>
      <c r="B1890" t="s">
        <v>651</v>
      </c>
      <c r="C1890" t="s">
        <v>255</v>
      </c>
      <c r="D1890" t="s">
        <v>132</v>
      </c>
      <c r="E1890" t="s">
        <v>377</v>
      </c>
      <c r="F1890" t="s">
        <v>310</v>
      </c>
      <c r="G1890" t="s">
        <v>342</v>
      </c>
      <c r="H1890" t="s">
        <v>104</v>
      </c>
      <c r="I1890">
        <v>2021</v>
      </c>
      <c r="J1890" t="s">
        <v>379</v>
      </c>
      <c r="K1890" t="s">
        <v>546</v>
      </c>
      <c r="L1890" s="784">
        <v>262300</v>
      </c>
      <c r="M1890" t="s">
        <v>745</v>
      </c>
      <c r="N1890" s="784" t="s">
        <v>575</v>
      </c>
      <c r="P1890" t="s">
        <v>1887</v>
      </c>
      <c r="R1890" t="s">
        <v>150</v>
      </c>
      <c r="S1890" t="s">
        <v>145</v>
      </c>
      <c r="U1890">
        <v>0</v>
      </c>
      <c r="V1890" t="s">
        <v>544</v>
      </c>
      <c r="W1890" t="s">
        <v>548</v>
      </c>
      <c r="X1890" s="784">
        <v>3233351297.7679496</v>
      </c>
    </row>
    <row r="1891" spans="1:24">
      <c r="A1891" t="s">
        <v>358</v>
      </c>
      <c r="B1891" t="s">
        <v>652</v>
      </c>
      <c r="C1891" t="s">
        <v>256</v>
      </c>
      <c r="D1891" t="s">
        <v>130</v>
      </c>
      <c r="E1891" t="s">
        <v>377</v>
      </c>
      <c r="F1891" t="s">
        <v>310</v>
      </c>
      <c r="G1891" t="s">
        <v>342</v>
      </c>
      <c r="H1891" t="s">
        <v>104</v>
      </c>
      <c r="I1891">
        <v>2021</v>
      </c>
      <c r="J1891" t="s">
        <v>379</v>
      </c>
      <c r="K1891" t="s">
        <v>546</v>
      </c>
      <c r="L1891" s="784">
        <v>0</v>
      </c>
      <c r="M1891" t="s">
        <v>745</v>
      </c>
      <c r="N1891" s="784" t="s">
        <v>575</v>
      </c>
      <c r="P1891" t="s">
        <v>1887</v>
      </c>
      <c r="R1891" t="s">
        <v>550</v>
      </c>
      <c r="S1891" t="s">
        <v>146</v>
      </c>
      <c r="U1891">
        <v>0</v>
      </c>
      <c r="V1891" t="s">
        <v>541</v>
      </c>
      <c r="W1891" t="s">
        <v>575</v>
      </c>
      <c r="X1891" s="784">
        <v>18180646.808608256</v>
      </c>
    </row>
    <row r="1892" spans="1:24">
      <c r="A1892" t="s">
        <v>358</v>
      </c>
      <c r="B1892" t="s">
        <v>653</v>
      </c>
      <c r="C1892" t="s">
        <v>257</v>
      </c>
      <c r="D1892" t="s">
        <v>130</v>
      </c>
      <c r="E1892" t="s">
        <v>377</v>
      </c>
      <c r="F1892" t="s">
        <v>310</v>
      </c>
      <c r="G1892" t="s">
        <v>342</v>
      </c>
      <c r="H1892" t="s">
        <v>104</v>
      </c>
      <c r="I1892">
        <v>2021</v>
      </c>
      <c r="J1892" t="s">
        <v>379</v>
      </c>
      <c r="K1892" t="s">
        <v>546</v>
      </c>
      <c r="L1892" s="784">
        <v>0</v>
      </c>
      <c r="M1892" t="s">
        <v>745</v>
      </c>
      <c r="N1892" s="784" t="s">
        <v>575</v>
      </c>
      <c r="P1892" t="s">
        <v>1887</v>
      </c>
      <c r="R1892" t="s">
        <v>152</v>
      </c>
      <c r="S1892" t="s">
        <v>146</v>
      </c>
      <c r="U1892">
        <v>0</v>
      </c>
      <c r="V1892" t="s">
        <v>544</v>
      </c>
      <c r="W1892" t="s">
        <v>546</v>
      </c>
      <c r="X1892" s="784">
        <v>3020530707.3485303</v>
      </c>
    </row>
    <row r="1893" spans="1:24">
      <c r="A1893" t="s">
        <v>358</v>
      </c>
      <c r="B1893" t="s">
        <v>654</v>
      </c>
      <c r="C1893" t="s">
        <v>258</v>
      </c>
      <c r="D1893" t="s">
        <v>126</v>
      </c>
      <c r="E1893" t="s">
        <v>377</v>
      </c>
      <c r="F1893" t="s">
        <v>310</v>
      </c>
      <c r="G1893" t="s">
        <v>342</v>
      </c>
      <c r="H1893" t="s">
        <v>104</v>
      </c>
      <c r="I1893">
        <v>2021</v>
      </c>
      <c r="J1893" t="s">
        <v>379</v>
      </c>
      <c r="K1893" t="s">
        <v>546</v>
      </c>
      <c r="L1893" s="784">
        <v>258399.99999999997</v>
      </c>
      <c r="M1893" t="s">
        <v>745</v>
      </c>
      <c r="N1893" s="784" t="s">
        <v>575</v>
      </c>
      <c r="P1893" t="s">
        <v>1887</v>
      </c>
      <c r="R1893" t="s">
        <v>150</v>
      </c>
      <c r="S1893" t="s">
        <v>145</v>
      </c>
      <c r="U1893">
        <v>1</v>
      </c>
      <c r="V1893" t="s">
        <v>541</v>
      </c>
      <c r="W1893" t="s">
        <v>542</v>
      </c>
      <c r="X1893" s="784">
        <v>384406316.46074712</v>
      </c>
    </row>
    <row r="1894" spans="1:24">
      <c r="A1894" t="s">
        <v>358</v>
      </c>
      <c r="B1894" t="s">
        <v>655</v>
      </c>
      <c r="C1894" t="s">
        <v>259</v>
      </c>
      <c r="D1894" t="s">
        <v>130</v>
      </c>
      <c r="E1894" t="s">
        <v>377</v>
      </c>
      <c r="F1894" t="s">
        <v>310</v>
      </c>
      <c r="G1894" t="s">
        <v>342</v>
      </c>
      <c r="H1894" t="s">
        <v>104</v>
      </c>
      <c r="I1894">
        <v>2021</v>
      </c>
      <c r="J1894" t="s">
        <v>379</v>
      </c>
      <c r="K1894" t="s">
        <v>546</v>
      </c>
      <c r="L1894" s="784">
        <v>0</v>
      </c>
      <c r="M1894" t="s">
        <v>745</v>
      </c>
      <c r="N1894" s="784" t="s">
        <v>575</v>
      </c>
      <c r="P1894" t="s">
        <v>1887</v>
      </c>
      <c r="R1894" t="s">
        <v>152</v>
      </c>
      <c r="S1894" t="s">
        <v>146</v>
      </c>
      <c r="U1894">
        <v>0</v>
      </c>
      <c r="V1894" t="s">
        <v>544</v>
      </c>
      <c r="W1894" t="s">
        <v>575</v>
      </c>
      <c r="X1894" s="784">
        <v>1218747108.9554784</v>
      </c>
    </row>
    <row r="1895" spans="1:24">
      <c r="A1895" t="s">
        <v>358</v>
      </c>
      <c r="B1895" t="s">
        <v>656</v>
      </c>
      <c r="C1895" t="s">
        <v>260</v>
      </c>
      <c r="D1895" t="s">
        <v>130</v>
      </c>
      <c r="E1895" t="s">
        <v>377</v>
      </c>
      <c r="F1895" t="s">
        <v>310</v>
      </c>
      <c r="G1895" t="s">
        <v>342</v>
      </c>
      <c r="H1895" t="s">
        <v>104</v>
      </c>
      <c r="I1895">
        <v>2021</v>
      </c>
      <c r="J1895" t="s">
        <v>379</v>
      </c>
      <c r="K1895" t="s">
        <v>546</v>
      </c>
      <c r="L1895" s="784">
        <v>0</v>
      </c>
      <c r="M1895" t="s">
        <v>745</v>
      </c>
      <c r="N1895" s="784" t="s">
        <v>575</v>
      </c>
      <c r="P1895" t="s">
        <v>1887</v>
      </c>
      <c r="R1895" t="s">
        <v>152</v>
      </c>
      <c r="S1895" t="s">
        <v>146</v>
      </c>
      <c r="U1895">
        <v>0</v>
      </c>
      <c r="V1895" t="s">
        <v>544</v>
      </c>
      <c r="W1895" t="s">
        <v>575</v>
      </c>
      <c r="X1895" s="784">
        <v>7392665952.5895758</v>
      </c>
    </row>
    <row r="1896" spans="1:24">
      <c r="A1896" t="s">
        <v>358</v>
      </c>
      <c r="B1896" t="s">
        <v>657</v>
      </c>
      <c r="C1896" t="s">
        <v>261</v>
      </c>
      <c r="D1896" t="s">
        <v>126</v>
      </c>
      <c r="E1896" t="s">
        <v>377</v>
      </c>
      <c r="F1896" t="s">
        <v>310</v>
      </c>
      <c r="G1896" t="s">
        <v>342</v>
      </c>
      <c r="H1896" t="s">
        <v>104</v>
      </c>
      <c r="I1896">
        <v>2021</v>
      </c>
      <c r="J1896" t="s">
        <v>379</v>
      </c>
      <c r="K1896" t="s">
        <v>546</v>
      </c>
      <c r="L1896" s="784">
        <v>70000</v>
      </c>
      <c r="M1896" t="s">
        <v>745</v>
      </c>
      <c r="N1896" s="784" t="s">
        <v>575</v>
      </c>
      <c r="P1896" t="s">
        <v>1887</v>
      </c>
      <c r="R1896" t="s">
        <v>150</v>
      </c>
      <c r="S1896" t="s">
        <v>145</v>
      </c>
      <c r="U1896">
        <v>0</v>
      </c>
      <c r="V1896" t="s">
        <v>544</v>
      </c>
      <c r="W1896" t="s">
        <v>546</v>
      </c>
      <c r="X1896" s="784">
        <v>4754985988.6004429</v>
      </c>
    </row>
    <row r="1897" spans="1:24">
      <c r="A1897" t="s">
        <v>358</v>
      </c>
      <c r="B1897" t="s">
        <v>658</v>
      </c>
      <c r="C1897" t="s">
        <v>262</v>
      </c>
      <c r="D1897" t="s">
        <v>127</v>
      </c>
      <c r="E1897" t="s">
        <v>377</v>
      </c>
      <c r="F1897" t="s">
        <v>310</v>
      </c>
      <c r="G1897" t="s">
        <v>342</v>
      </c>
      <c r="H1897" t="s">
        <v>104</v>
      </c>
      <c r="I1897">
        <v>2021</v>
      </c>
      <c r="J1897" t="s">
        <v>379</v>
      </c>
      <c r="K1897" t="s">
        <v>546</v>
      </c>
      <c r="L1897" s="784">
        <v>0</v>
      </c>
      <c r="M1897" t="s">
        <v>745</v>
      </c>
      <c r="N1897" s="784" t="s">
        <v>575</v>
      </c>
      <c r="P1897" t="s">
        <v>1887</v>
      </c>
      <c r="R1897" t="s">
        <v>550</v>
      </c>
      <c r="S1897" t="s">
        <v>146</v>
      </c>
      <c r="U1897">
        <v>0</v>
      </c>
      <c r="V1897" t="s">
        <v>544</v>
      </c>
      <c r="W1897" t="s">
        <v>575</v>
      </c>
      <c r="X1897" s="784">
        <v>26422210443.037273</v>
      </c>
    </row>
    <row r="1898" spans="1:24">
      <c r="A1898" t="s">
        <v>358</v>
      </c>
      <c r="B1898" t="s">
        <v>659</v>
      </c>
      <c r="C1898" t="s">
        <v>151</v>
      </c>
      <c r="D1898" t="s">
        <v>127</v>
      </c>
      <c r="E1898" t="s">
        <v>377</v>
      </c>
      <c r="F1898" t="s">
        <v>310</v>
      </c>
      <c r="G1898" t="s">
        <v>342</v>
      </c>
      <c r="H1898" t="s">
        <v>104</v>
      </c>
      <c r="I1898">
        <v>2021</v>
      </c>
      <c r="J1898" t="s">
        <v>379</v>
      </c>
      <c r="K1898" t="s">
        <v>546</v>
      </c>
      <c r="L1898" s="784">
        <v>0</v>
      </c>
      <c r="M1898" t="s">
        <v>745</v>
      </c>
      <c r="N1898" s="784" t="s">
        <v>575</v>
      </c>
      <c r="P1898" t="s">
        <v>1887</v>
      </c>
      <c r="R1898" t="s">
        <v>152</v>
      </c>
      <c r="S1898" t="s">
        <v>146</v>
      </c>
      <c r="U1898">
        <v>0</v>
      </c>
      <c r="V1898" t="s">
        <v>544</v>
      </c>
      <c r="W1898" t="s">
        <v>575</v>
      </c>
      <c r="X1898" s="784">
        <v>10696495313.15033</v>
      </c>
    </row>
    <row r="1899" spans="1:24">
      <c r="A1899" t="s">
        <v>358</v>
      </c>
      <c r="B1899" t="s">
        <v>660</v>
      </c>
      <c r="C1899" t="s">
        <v>263</v>
      </c>
      <c r="D1899" t="s">
        <v>127</v>
      </c>
      <c r="E1899" t="s">
        <v>377</v>
      </c>
      <c r="F1899" t="s">
        <v>310</v>
      </c>
      <c r="G1899" t="s">
        <v>342</v>
      </c>
      <c r="H1899" t="s">
        <v>104</v>
      </c>
      <c r="I1899">
        <v>2021</v>
      </c>
      <c r="J1899" t="s">
        <v>379</v>
      </c>
      <c r="K1899" t="s">
        <v>546</v>
      </c>
      <c r="L1899" s="784">
        <v>0</v>
      </c>
      <c r="M1899" t="s">
        <v>745</v>
      </c>
      <c r="N1899" s="784" t="s">
        <v>575</v>
      </c>
      <c r="P1899" t="s">
        <v>1887</v>
      </c>
      <c r="R1899" t="s">
        <v>152</v>
      </c>
      <c r="S1899" t="s">
        <v>146</v>
      </c>
      <c r="U1899">
        <v>0</v>
      </c>
      <c r="V1899" t="s">
        <v>544</v>
      </c>
      <c r="W1899" t="s">
        <v>575</v>
      </c>
      <c r="X1899" s="784">
        <v>52769713433.240509</v>
      </c>
    </row>
    <row r="1900" spans="1:24">
      <c r="A1900" t="s">
        <v>358</v>
      </c>
      <c r="B1900" t="s">
        <v>661</v>
      </c>
      <c r="C1900" t="s">
        <v>264</v>
      </c>
      <c r="D1900" t="s">
        <v>128</v>
      </c>
      <c r="E1900" t="s">
        <v>377</v>
      </c>
      <c r="F1900" t="s">
        <v>310</v>
      </c>
      <c r="G1900" t="s">
        <v>342</v>
      </c>
      <c r="H1900" t="s">
        <v>104</v>
      </c>
      <c r="I1900">
        <v>2021</v>
      </c>
      <c r="J1900" t="s">
        <v>379</v>
      </c>
      <c r="K1900" t="s">
        <v>546</v>
      </c>
      <c r="L1900" s="784">
        <v>135238.88888888888</v>
      </c>
      <c r="M1900" t="s">
        <v>745</v>
      </c>
      <c r="N1900" s="784" t="s">
        <v>575</v>
      </c>
      <c r="P1900" t="s">
        <v>1887</v>
      </c>
      <c r="R1900" t="s">
        <v>148</v>
      </c>
      <c r="S1900" t="s">
        <v>145</v>
      </c>
      <c r="U1900">
        <v>0</v>
      </c>
      <c r="V1900" t="s">
        <v>544</v>
      </c>
      <c r="W1900" t="s">
        <v>562</v>
      </c>
      <c r="X1900" s="784">
        <v>225799814.51943746</v>
      </c>
    </row>
    <row r="1901" spans="1:24">
      <c r="A1901" t="s">
        <v>358</v>
      </c>
      <c r="B1901" t="s">
        <v>662</v>
      </c>
      <c r="C1901" t="s">
        <v>265</v>
      </c>
      <c r="D1901" t="s">
        <v>126</v>
      </c>
      <c r="E1901" t="s">
        <v>377</v>
      </c>
      <c r="F1901" t="s">
        <v>310</v>
      </c>
      <c r="G1901" t="s">
        <v>342</v>
      </c>
      <c r="H1901" t="s">
        <v>104</v>
      </c>
      <c r="I1901">
        <v>2021</v>
      </c>
      <c r="J1901" t="s">
        <v>379</v>
      </c>
      <c r="K1901" t="s">
        <v>546</v>
      </c>
      <c r="L1901" s="784">
        <v>50000</v>
      </c>
      <c r="M1901" t="s">
        <v>745</v>
      </c>
      <c r="N1901" s="784" t="s">
        <v>575</v>
      </c>
      <c r="P1901" t="s">
        <v>1887</v>
      </c>
      <c r="R1901" t="s">
        <v>150</v>
      </c>
      <c r="S1901" t="s">
        <v>145</v>
      </c>
      <c r="U1901">
        <v>0</v>
      </c>
      <c r="V1901" t="s">
        <v>541</v>
      </c>
      <c r="W1901" t="s">
        <v>542</v>
      </c>
      <c r="X1901" s="784">
        <v>32192988.027009469</v>
      </c>
    </row>
    <row r="1902" spans="1:24">
      <c r="A1902" t="s">
        <v>358</v>
      </c>
      <c r="B1902" t="s">
        <v>663</v>
      </c>
      <c r="C1902" t="s">
        <v>266</v>
      </c>
      <c r="D1902" t="s">
        <v>129</v>
      </c>
      <c r="E1902" t="s">
        <v>377</v>
      </c>
      <c r="F1902" t="s">
        <v>310</v>
      </c>
      <c r="G1902" t="s">
        <v>342</v>
      </c>
      <c r="H1902" t="s">
        <v>104</v>
      </c>
      <c r="I1902">
        <v>2021</v>
      </c>
      <c r="J1902" t="s">
        <v>379</v>
      </c>
      <c r="K1902" t="s">
        <v>546</v>
      </c>
      <c r="L1902" s="784">
        <v>46300</v>
      </c>
      <c r="M1902" t="s">
        <v>745</v>
      </c>
      <c r="N1902" s="784" t="s">
        <v>575</v>
      </c>
      <c r="P1902" t="s">
        <v>1887</v>
      </c>
      <c r="R1902" t="s">
        <v>150</v>
      </c>
      <c r="S1902" t="s">
        <v>145</v>
      </c>
      <c r="U1902">
        <v>0</v>
      </c>
      <c r="V1902" t="s">
        <v>541</v>
      </c>
      <c r="W1902" t="s">
        <v>583</v>
      </c>
      <c r="X1902" s="784">
        <v>11633535.136477679</v>
      </c>
    </row>
    <row r="1903" spans="1:24">
      <c r="A1903" t="s">
        <v>358</v>
      </c>
      <c r="B1903" t="s">
        <v>664</v>
      </c>
      <c r="C1903" t="s">
        <v>267</v>
      </c>
      <c r="D1903" t="s">
        <v>129</v>
      </c>
      <c r="E1903" t="s">
        <v>377</v>
      </c>
      <c r="F1903" t="s">
        <v>310</v>
      </c>
      <c r="G1903" t="s">
        <v>342</v>
      </c>
      <c r="H1903" t="s">
        <v>104</v>
      </c>
      <c r="I1903">
        <v>2021</v>
      </c>
      <c r="J1903" t="s">
        <v>379</v>
      </c>
      <c r="K1903" t="s">
        <v>546</v>
      </c>
      <c r="L1903" s="784">
        <v>171296.29629629629</v>
      </c>
      <c r="M1903" t="s">
        <v>745</v>
      </c>
      <c r="N1903" s="784" t="s">
        <v>575</v>
      </c>
      <c r="P1903" t="s">
        <v>1887</v>
      </c>
      <c r="R1903" t="s">
        <v>150</v>
      </c>
      <c r="S1903" t="s">
        <v>145</v>
      </c>
      <c r="U1903">
        <v>2</v>
      </c>
      <c r="V1903" t="s">
        <v>544</v>
      </c>
      <c r="W1903" t="s">
        <v>562</v>
      </c>
      <c r="X1903" s="784">
        <v>222008693.93354639</v>
      </c>
    </row>
    <row r="1904" spans="1:24">
      <c r="A1904" t="s">
        <v>358</v>
      </c>
      <c r="B1904" t="s">
        <v>665</v>
      </c>
      <c r="C1904" t="s">
        <v>153</v>
      </c>
      <c r="D1904" t="s">
        <v>127</v>
      </c>
      <c r="E1904" t="s">
        <v>377</v>
      </c>
      <c r="F1904" t="s">
        <v>310</v>
      </c>
      <c r="G1904" t="s">
        <v>342</v>
      </c>
      <c r="H1904" t="s">
        <v>104</v>
      </c>
      <c r="I1904">
        <v>2021</v>
      </c>
      <c r="J1904" t="s">
        <v>379</v>
      </c>
      <c r="K1904" t="s">
        <v>546</v>
      </c>
      <c r="L1904" s="784">
        <v>0</v>
      </c>
      <c r="M1904" t="s">
        <v>745</v>
      </c>
      <c r="N1904" s="784" t="s">
        <v>575</v>
      </c>
      <c r="P1904" t="s">
        <v>1887</v>
      </c>
      <c r="R1904" t="s">
        <v>152</v>
      </c>
      <c r="S1904" t="s">
        <v>146</v>
      </c>
      <c r="U1904">
        <v>0</v>
      </c>
      <c r="V1904" t="s">
        <v>544</v>
      </c>
      <c r="W1904" t="s">
        <v>575</v>
      </c>
      <c r="X1904" s="784">
        <v>2564993795.1894679</v>
      </c>
    </row>
    <row r="1905" spans="1:24">
      <c r="A1905" t="s">
        <v>358</v>
      </c>
      <c r="B1905" t="s">
        <v>666</v>
      </c>
      <c r="C1905" t="s">
        <v>268</v>
      </c>
      <c r="D1905" t="s">
        <v>128</v>
      </c>
      <c r="E1905" t="s">
        <v>377</v>
      </c>
      <c r="F1905" t="s">
        <v>310</v>
      </c>
      <c r="G1905" t="s">
        <v>342</v>
      </c>
      <c r="H1905" t="s">
        <v>104</v>
      </c>
      <c r="I1905">
        <v>2021</v>
      </c>
      <c r="J1905" t="s">
        <v>379</v>
      </c>
      <c r="K1905" t="s">
        <v>546</v>
      </c>
      <c r="L1905" s="784">
        <v>0</v>
      </c>
      <c r="M1905" t="s">
        <v>745</v>
      </c>
      <c r="N1905" s="784" t="s">
        <v>575</v>
      </c>
      <c r="P1905" t="s">
        <v>1887</v>
      </c>
      <c r="R1905" t="s">
        <v>550</v>
      </c>
      <c r="S1905" t="s">
        <v>146</v>
      </c>
      <c r="U1905">
        <v>0</v>
      </c>
      <c r="V1905" t="s">
        <v>541</v>
      </c>
      <c r="W1905" t="s">
        <v>546</v>
      </c>
      <c r="X1905" s="784">
        <v>60237542.945069775</v>
      </c>
    </row>
    <row r="1906" spans="1:24">
      <c r="A1906" t="s">
        <v>358</v>
      </c>
      <c r="B1906" t="s">
        <v>667</v>
      </c>
      <c r="C1906" t="s">
        <v>269</v>
      </c>
      <c r="D1906" t="s">
        <v>129</v>
      </c>
      <c r="E1906" t="s">
        <v>377</v>
      </c>
      <c r="F1906" t="s">
        <v>310</v>
      </c>
      <c r="G1906" t="s">
        <v>342</v>
      </c>
      <c r="H1906" t="s">
        <v>104</v>
      </c>
      <c r="I1906">
        <v>2021</v>
      </c>
      <c r="J1906" t="s">
        <v>379</v>
      </c>
      <c r="K1906" t="s">
        <v>546</v>
      </c>
      <c r="L1906" s="784">
        <v>94500</v>
      </c>
      <c r="M1906" t="s">
        <v>745</v>
      </c>
      <c r="N1906" s="784" t="s">
        <v>575</v>
      </c>
      <c r="P1906" t="s">
        <v>1887</v>
      </c>
      <c r="R1906" t="s">
        <v>148</v>
      </c>
      <c r="S1906" t="s">
        <v>145</v>
      </c>
      <c r="U1906">
        <v>0</v>
      </c>
      <c r="V1906" t="s">
        <v>544</v>
      </c>
      <c r="W1906" t="s">
        <v>542</v>
      </c>
      <c r="X1906" s="784">
        <v>63738640.538260505</v>
      </c>
    </row>
    <row r="1907" spans="1:24">
      <c r="A1907" t="s">
        <v>358</v>
      </c>
      <c r="B1907" t="s">
        <v>668</v>
      </c>
      <c r="C1907" t="s">
        <v>270</v>
      </c>
      <c r="D1907" t="s">
        <v>126</v>
      </c>
      <c r="E1907" t="s">
        <v>377</v>
      </c>
      <c r="F1907" t="s">
        <v>310</v>
      </c>
      <c r="G1907" t="s">
        <v>342</v>
      </c>
      <c r="H1907" t="s">
        <v>104</v>
      </c>
      <c r="I1907">
        <v>2021</v>
      </c>
      <c r="J1907" t="s">
        <v>379</v>
      </c>
      <c r="K1907" t="s">
        <v>546</v>
      </c>
      <c r="L1907" s="784">
        <v>151000</v>
      </c>
      <c r="M1907" t="s">
        <v>745</v>
      </c>
      <c r="N1907" s="784" t="s">
        <v>575</v>
      </c>
      <c r="P1907" t="s">
        <v>1887</v>
      </c>
      <c r="R1907" t="s">
        <v>150</v>
      </c>
      <c r="S1907" t="s">
        <v>145</v>
      </c>
      <c r="U1907">
        <v>0</v>
      </c>
      <c r="V1907" t="s">
        <v>541</v>
      </c>
      <c r="W1907" t="s">
        <v>562</v>
      </c>
      <c r="X1907" s="784">
        <v>49012774.055630356</v>
      </c>
    </row>
    <row r="1908" spans="1:24">
      <c r="A1908" t="s">
        <v>358</v>
      </c>
      <c r="B1908" t="s">
        <v>669</v>
      </c>
      <c r="C1908" t="s">
        <v>271</v>
      </c>
      <c r="D1908" t="s">
        <v>128</v>
      </c>
      <c r="E1908" t="s">
        <v>377</v>
      </c>
      <c r="F1908" t="s">
        <v>310</v>
      </c>
      <c r="G1908" t="s">
        <v>342</v>
      </c>
      <c r="H1908" t="s">
        <v>104</v>
      </c>
      <c r="I1908">
        <v>2021</v>
      </c>
      <c r="J1908" t="s">
        <v>379</v>
      </c>
      <c r="K1908" t="s">
        <v>546</v>
      </c>
      <c r="L1908" s="784">
        <v>499062.40740740742</v>
      </c>
      <c r="M1908" t="s">
        <v>745</v>
      </c>
      <c r="N1908" s="784" t="s">
        <v>575</v>
      </c>
      <c r="P1908" t="s">
        <v>1887</v>
      </c>
      <c r="R1908" t="s">
        <v>148</v>
      </c>
      <c r="S1908" t="s">
        <v>145</v>
      </c>
      <c r="U1908">
        <v>1</v>
      </c>
      <c r="V1908" t="s">
        <v>544</v>
      </c>
      <c r="W1908" t="s">
        <v>583</v>
      </c>
      <c r="X1908" s="784" t="s">
        <v>575</v>
      </c>
    </row>
    <row r="1909" spans="1:24">
      <c r="A1909" t="s">
        <v>358</v>
      </c>
      <c r="B1909" t="s">
        <v>670</v>
      </c>
      <c r="C1909" t="s">
        <v>272</v>
      </c>
      <c r="D1909" t="s">
        <v>128</v>
      </c>
      <c r="E1909" t="s">
        <v>377</v>
      </c>
      <c r="F1909" t="s">
        <v>310</v>
      </c>
      <c r="G1909" t="s">
        <v>342</v>
      </c>
      <c r="H1909" t="s">
        <v>104</v>
      </c>
      <c r="I1909">
        <v>2021</v>
      </c>
      <c r="J1909" t="s">
        <v>379</v>
      </c>
      <c r="K1909" t="s">
        <v>546</v>
      </c>
      <c r="L1909" s="784">
        <v>0</v>
      </c>
      <c r="M1909" t="s">
        <v>745</v>
      </c>
      <c r="N1909" s="784" t="s">
        <v>575</v>
      </c>
      <c r="P1909" t="s">
        <v>1887</v>
      </c>
      <c r="R1909" t="s">
        <v>152</v>
      </c>
      <c r="S1909" t="s">
        <v>146</v>
      </c>
      <c r="U1909">
        <v>0</v>
      </c>
      <c r="V1909" t="s">
        <v>544</v>
      </c>
      <c r="W1909" t="s">
        <v>546</v>
      </c>
      <c r="X1909" s="784">
        <v>16429121142.784708</v>
      </c>
    </row>
    <row r="1910" spans="1:24">
      <c r="A1910" t="s">
        <v>358</v>
      </c>
      <c r="B1910" t="s">
        <v>671</v>
      </c>
      <c r="C1910" t="s">
        <v>273</v>
      </c>
      <c r="D1910" t="s">
        <v>128</v>
      </c>
      <c r="E1910" t="s">
        <v>377</v>
      </c>
      <c r="F1910" t="s">
        <v>310</v>
      </c>
      <c r="G1910" t="s">
        <v>342</v>
      </c>
      <c r="H1910" t="s">
        <v>104</v>
      </c>
      <c r="I1910">
        <v>2021</v>
      </c>
      <c r="J1910" t="s">
        <v>379</v>
      </c>
      <c r="K1910" t="s">
        <v>546</v>
      </c>
      <c r="L1910" s="784">
        <v>305807.40740740742</v>
      </c>
      <c r="M1910" t="s">
        <v>745</v>
      </c>
      <c r="N1910" s="784" t="s">
        <v>575</v>
      </c>
      <c r="P1910" t="s">
        <v>1887</v>
      </c>
      <c r="R1910" t="s">
        <v>148</v>
      </c>
      <c r="S1910" t="s">
        <v>145</v>
      </c>
      <c r="U1910">
        <v>1</v>
      </c>
      <c r="V1910" t="s">
        <v>544</v>
      </c>
      <c r="W1910" t="s">
        <v>542</v>
      </c>
      <c r="X1910" s="784">
        <v>31684581.76217727</v>
      </c>
    </row>
    <row r="1911" spans="1:24">
      <c r="A1911" t="s">
        <v>358</v>
      </c>
      <c r="B1911" t="s">
        <v>672</v>
      </c>
      <c r="C1911" t="s">
        <v>274</v>
      </c>
      <c r="D1911" t="s">
        <v>132</v>
      </c>
      <c r="E1911" t="s">
        <v>377</v>
      </c>
      <c r="F1911" t="s">
        <v>310</v>
      </c>
      <c r="G1911" t="s">
        <v>342</v>
      </c>
      <c r="H1911" t="s">
        <v>104</v>
      </c>
      <c r="I1911">
        <v>2021</v>
      </c>
      <c r="J1911" t="s">
        <v>379</v>
      </c>
      <c r="K1911" t="s">
        <v>546</v>
      </c>
      <c r="L1911" s="784">
        <v>46000</v>
      </c>
      <c r="M1911" t="s">
        <v>745</v>
      </c>
      <c r="N1911" s="784" t="s">
        <v>575</v>
      </c>
      <c r="P1911" t="s">
        <v>1887</v>
      </c>
      <c r="R1911" t="s">
        <v>150</v>
      </c>
      <c r="S1911" t="s">
        <v>145</v>
      </c>
      <c r="U1911">
        <v>0</v>
      </c>
      <c r="V1911" t="s">
        <v>544</v>
      </c>
      <c r="W1911" t="s">
        <v>546</v>
      </c>
      <c r="X1911" s="784">
        <v>1373621563.5182886</v>
      </c>
    </row>
    <row r="1912" spans="1:24">
      <c r="A1912" t="s">
        <v>358</v>
      </c>
      <c r="B1912" t="s">
        <v>673</v>
      </c>
      <c r="C1912" t="s">
        <v>275</v>
      </c>
      <c r="D1912" t="s">
        <v>130</v>
      </c>
      <c r="E1912" t="s">
        <v>377</v>
      </c>
      <c r="F1912" t="s">
        <v>310</v>
      </c>
      <c r="G1912" t="s">
        <v>342</v>
      </c>
      <c r="H1912" t="s">
        <v>104</v>
      </c>
      <c r="I1912">
        <v>2021</v>
      </c>
      <c r="J1912" t="s">
        <v>379</v>
      </c>
      <c r="K1912" t="s">
        <v>546</v>
      </c>
      <c r="L1912" s="784">
        <v>0</v>
      </c>
      <c r="M1912" t="s">
        <v>745</v>
      </c>
      <c r="N1912" s="784" t="s">
        <v>575</v>
      </c>
      <c r="P1912" t="s">
        <v>1887</v>
      </c>
      <c r="R1912" t="s">
        <v>550</v>
      </c>
      <c r="S1912" t="s">
        <v>146</v>
      </c>
      <c r="U1912">
        <v>0</v>
      </c>
      <c r="V1912" t="s">
        <v>541</v>
      </c>
      <c r="W1912" t="s">
        <v>575</v>
      </c>
      <c r="X1912" s="784">
        <v>24214370.889062837</v>
      </c>
    </row>
    <row r="1913" spans="1:24">
      <c r="A1913" t="s">
        <v>358</v>
      </c>
      <c r="B1913" t="s">
        <v>674</v>
      </c>
      <c r="C1913" t="s">
        <v>154</v>
      </c>
      <c r="D1913" t="s">
        <v>130</v>
      </c>
      <c r="E1913" t="s">
        <v>377</v>
      </c>
      <c r="F1913" t="s">
        <v>310</v>
      </c>
      <c r="G1913" t="s">
        <v>342</v>
      </c>
      <c r="H1913" t="s">
        <v>104</v>
      </c>
      <c r="I1913">
        <v>2021</v>
      </c>
      <c r="J1913" t="s">
        <v>379</v>
      </c>
      <c r="K1913" t="s">
        <v>546</v>
      </c>
      <c r="L1913" s="784">
        <v>0</v>
      </c>
      <c r="M1913" t="s">
        <v>745</v>
      </c>
      <c r="N1913" s="784" t="s">
        <v>575</v>
      </c>
      <c r="P1913" t="s">
        <v>1887</v>
      </c>
      <c r="R1913" t="s">
        <v>152</v>
      </c>
      <c r="S1913" t="s">
        <v>145</v>
      </c>
      <c r="U1913">
        <v>0</v>
      </c>
      <c r="V1913" t="s">
        <v>541</v>
      </c>
      <c r="W1913" t="s">
        <v>548</v>
      </c>
      <c r="X1913" s="784">
        <v>39941279.609447442</v>
      </c>
    </row>
    <row r="1914" spans="1:24">
      <c r="A1914" t="s">
        <v>358</v>
      </c>
      <c r="B1914" t="s">
        <v>675</v>
      </c>
      <c r="C1914" t="s">
        <v>155</v>
      </c>
      <c r="D1914" t="s">
        <v>130</v>
      </c>
      <c r="E1914" t="s">
        <v>377</v>
      </c>
      <c r="F1914" t="s">
        <v>310</v>
      </c>
      <c r="G1914" t="s">
        <v>342</v>
      </c>
      <c r="H1914" t="s">
        <v>104</v>
      </c>
      <c r="I1914">
        <v>2021</v>
      </c>
      <c r="J1914" t="s">
        <v>379</v>
      </c>
      <c r="K1914" t="s">
        <v>546</v>
      </c>
      <c r="L1914" s="784">
        <v>0</v>
      </c>
      <c r="M1914" t="s">
        <v>745</v>
      </c>
      <c r="N1914" s="784" t="s">
        <v>575</v>
      </c>
      <c r="P1914" t="s">
        <v>1887</v>
      </c>
      <c r="R1914" t="s">
        <v>152</v>
      </c>
      <c r="S1914" t="s">
        <v>145</v>
      </c>
      <c r="U1914">
        <v>0</v>
      </c>
      <c r="V1914" t="s">
        <v>541</v>
      </c>
      <c r="W1914" t="s">
        <v>542</v>
      </c>
      <c r="X1914" s="784">
        <v>24761675.260059897</v>
      </c>
    </row>
    <row r="1915" spans="1:24">
      <c r="A1915" t="s">
        <v>358</v>
      </c>
      <c r="B1915" t="s">
        <v>676</v>
      </c>
      <c r="C1915" t="s">
        <v>276</v>
      </c>
      <c r="D1915" t="s">
        <v>131</v>
      </c>
      <c r="E1915" t="s">
        <v>377</v>
      </c>
      <c r="F1915" t="s">
        <v>310</v>
      </c>
      <c r="G1915" t="s">
        <v>342</v>
      </c>
      <c r="H1915" t="s">
        <v>104</v>
      </c>
      <c r="I1915">
        <v>2021</v>
      </c>
      <c r="J1915" t="s">
        <v>379</v>
      </c>
      <c r="K1915" t="s">
        <v>546</v>
      </c>
      <c r="L1915" s="784">
        <v>25000</v>
      </c>
      <c r="M1915" t="s">
        <v>745</v>
      </c>
      <c r="N1915" s="784" t="s">
        <v>575</v>
      </c>
      <c r="P1915" t="s">
        <v>1887</v>
      </c>
      <c r="R1915" t="s">
        <v>150</v>
      </c>
      <c r="S1915" t="s">
        <v>145</v>
      </c>
      <c r="U1915">
        <v>0</v>
      </c>
      <c r="V1915" t="s">
        <v>544</v>
      </c>
      <c r="W1915" t="s">
        <v>546</v>
      </c>
      <c r="X1915" s="784" t="s">
        <v>575</v>
      </c>
    </row>
    <row r="1916" spans="1:24">
      <c r="A1916" t="s">
        <v>358</v>
      </c>
      <c r="B1916" t="s">
        <v>677</v>
      </c>
      <c r="C1916" t="s">
        <v>277</v>
      </c>
      <c r="D1916" t="s">
        <v>131</v>
      </c>
      <c r="E1916" t="s">
        <v>377</v>
      </c>
      <c r="F1916" t="s">
        <v>310</v>
      </c>
      <c r="G1916" t="s">
        <v>342</v>
      </c>
      <c r="H1916" t="s">
        <v>104</v>
      </c>
      <c r="I1916">
        <v>2021</v>
      </c>
      <c r="J1916" t="s">
        <v>379</v>
      </c>
      <c r="K1916" t="s">
        <v>546</v>
      </c>
      <c r="L1916" s="784">
        <v>384079.62962962961</v>
      </c>
      <c r="M1916" t="s">
        <v>745</v>
      </c>
      <c r="N1916" s="784" t="s">
        <v>575</v>
      </c>
      <c r="P1916" t="s">
        <v>1887</v>
      </c>
      <c r="R1916" t="s">
        <v>148</v>
      </c>
      <c r="S1916" t="s">
        <v>145</v>
      </c>
      <c r="U1916">
        <v>1</v>
      </c>
      <c r="V1916" t="s">
        <v>544</v>
      </c>
      <c r="W1916" t="s">
        <v>546</v>
      </c>
      <c r="X1916" s="784">
        <v>577156172.71229994</v>
      </c>
    </row>
    <row r="1917" spans="1:24">
      <c r="A1917" t="s">
        <v>358</v>
      </c>
      <c r="B1917" t="s">
        <v>678</v>
      </c>
      <c r="C1917" t="s">
        <v>278</v>
      </c>
      <c r="D1917" t="s">
        <v>126</v>
      </c>
      <c r="E1917" t="s">
        <v>377</v>
      </c>
      <c r="F1917" t="s">
        <v>310</v>
      </c>
      <c r="G1917" t="s">
        <v>342</v>
      </c>
      <c r="H1917" t="s">
        <v>104</v>
      </c>
      <c r="I1917">
        <v>2021</v>
      </c>
      <c r="J1917" t="s">
        <v>379</v>
      </c>
      <c r="K1917" t="s">
        <v>546</v>
      </c>
      <c r="L1917" s="784">
        <v>0</v>
      </c>
      <c r="M1917" t="s">
        <v>745</v>
      </c>
      <c r="N1917" s="784" t="s">
        <v>575</v>
      </c>
      <c r="P1917" t="s">
        <v>1887</v>
      </c>
      <c r="R1917" t="s">
        <v>152</v>
      </c>
      <c r="S1917" t="s">
        <v>146</v>
      </c>
      <c r="U1917">
        <v>0</v>
      </c>
      <c r="V1917" t="s">
        <v>541</v>
      </c>
      <c r="W1917" t="s">
        <v>575</v>
      </c>
      <c r="X1917" s="784">
        <v>180052034.19851837</v>
      </c>
    </row>
    <row r="1918" spans="1:24">
      <c r="A1918" t="s">
        <v>358</v>
      </c>
      <c r="B1918" t="s">
        <v>679</v>
      </c>
      <c r="C1918" t="s">
        <v>279</v>
      </c>
      <c r="D1918" t="s">
        <v>131</v>
      </c>
      <c r="E1918" t="s">
        <v>377</v>
      </c>
      <c r="F1918" t="s">
        <v>310</v>
      </c>
      <c r="G1918" t="s">
        <v>342</v>
      </c>
      <c r="H1918" t="s">
        <v>104</v>
      </c>
      <c r="I1918">
        <v>2021</v>
      </c>
      <c r="J1918" t="s">
        <v>379</v>
      </c>
      <c r="K1918" t="s">
        <v>546</v>
      </c>
      <c r="L1918" s="784">
        <v>460772.22222222219</v>
      </c>
      <c r="M1918" t="s">
        <v>745</v>
      </c>
      <c r="N1918" s="784" t="s">
        <v>575</v>
      </c>
      <c r="P1918" t="s">
        <v>1887</v>
      </c>
      <c r="R1918" t="s">
        <v>148</v>
      </c>
      <c r="S1918" t="s">
        <v>145</v>
      </c>
      <c r="U1918">
        <v>1</v>
      </c>
      <c r="V1918" t="s">
        <v>544</v>
      </c>
      <c r="W1918" t="s">
        <v>546</v>
      </c>
      <c r="X1918" s="784" t="s">
        <v>575</v>
      </c>
    </row>
    <row r="1919" spans="1:24">
      <c r="A1919" t="s">
        <v>358</v>
      </c>
      <c r="B1919" t="s">
        <v>680</v>
      </c>
      <c r="C1919" t="s">
        <v>280</v>
      </c>
      <c r="D1919" t="s">
        <v>127</v>
      </c>
      <c r="E1919" t="s">
        <v>377</v>
      </c>
      <c r="F1919" t="s">
        <v>310</v>
      </c>
      <c r="G1919" t="s">
        <v>342</v>
      </c>
      <c r="H1919" t="s">
        <v>104</v>
      </c>
      <c r="I1919">
        <v>2021</v>
      </c>
      <c r="J1919" t="s">
        <v>379</v>
      </c>
      <c r="K1919" t="s">
        <v>546</v>
      </c>
      <c r="L1919" s="784">
        <v>105279.62962962962</v>
      </c>
      <c r="M1919" t="s">
        <v>745</v>
      </c>
      <c r="N1919" s="784" t="s">
        <v>575</v>
      </c>
      <c r="P1919" t="s">
        <v>1887</v>
      </c>
      <c r="R1919" t="s">
        <v>150</v>
      </c>
      <c r="S1919" t="s">
        <v>145</v>
      </c>
      <c r="U1919">
        <v>0</v>
      </c>
      <c r="V1919" t="s">
        <v>544</v>
      </c>
      <c r="W1919" t="s">
        <v>542</v>
      </c>
      <c r="X1919" s="784">
        <v>147296124.32232863</v>
      </c>
    </row>
    <row r="1920" spans="1:24">
      <c r="A1920" t="s">
        <v>358</v>
      </c>
      <c r="B1920" t="s">
        <v>681</v>
      </c>
      <c r="C1920" t="s">
        <v>156</v>
      </c>
      <c r="D1920" t="s">
        <v>128</v>
      </c>
      <c r="E1920" t="s">
        <v>377</v>
      </c>
      <c r="F1920" t="s">
        <v>310</v>
      </c>
      <c r="G1920" t="s">
        <v>342</v>
      </c>
      <c r="H1920" t="s">
        <v>104</v>
      </c>
      <c r="I1920">
        <v>2021</v>
      </c>
      <c r="J1920" t="s">
        <v>379</v>
      </c>
      <c r="K1920" t="s">
        <v>546</v>
      </c>
      <c r="L1920" s="784">
        <v>48400</v>
      </c>
      <c r="M1920" t="s">
        <v>745</v>
      </c>
      <c r="N1920" s="784" t="s">
        <v>575</v>
      </c>
      <c r="P1920" t="s">
        <v>1887</v>
      </c>
      <c r="R1920" t="s">
        <v>150</v>
      </c>
      <c r="S1920" t="s">
        <v>145</v>
      </c>
      <c r="U1920">
        <v>0</v>
      </c>
      <c r="V1920" t="s">
        <v>544</v>
      </c>
      <c r="W1920" t="s">
        <v>548</v>
      </c>
      <c r="X1920" s="784">
        <v>890576536.83065879</v>
      </c>
    </row>
    <row r="1921" spans="1:24">
      <c r="A1921" t="s">
        <v>358</v>
      </c>
      <c r="B1921" t="s">
        <v>682</v>
      </c>
      <c r="C1921" t="s">
        <v>157</v>
      </c>
      <c r="D1921" t="s">
        <v>126</v>
      </c>
      <c r="E1921" t="s">
        <v>377</v>
      </c>
      <c r="F1921" t="s">
        <v>310</v>
      </c>
      <c r="G1921" t="s">
        <v>342</v>
      </c>
      <c r="H1921" t="s">
        <v>104</v>
      </c>
      <c r="I1921">
        <v>2021</v>
      </c>
      <c r="J1921" t="s">
        <v>379</v>
      </c>
      <c r="K1921" t="s">
        <v>546</v>
      </c>
      <c r="L1921" s="784">
        <v>0</v>
      </c>
      <c r="M1921" t="s">
        <v>745</v>
      </c>
      <c r="N1921" s="784" t="s">
        <v>575</v>
      </c>
      <c r="P1921" t="s">
        <v>1887</v>
      </c>
      <c r="R1921" t="s">
        <v>152</v>
      </c>
      <c r="S1921" t="s">
        <v>146</v>
      </c>
      <c r="U1921">
        <v>0</v>
      </c>
      <c r="V1921" t="s">
        <v>544</v>
      </c>
      <c r="W1921" t="s">
        <v>575</v>
      </c>
      <c r="X1921" s="784">
        <v>14611129792.346064</v>
      </c>
    </row>
    <row r="1922" spans="1:24">
      <c r="A1922" t="s">
        <v>358</v>
      </c>
      <c r="B1922" t="s">
        <v>683</v>
      </c>
      <c r="C1922" t="s">
        <v>281</v>
      </c>
      <c r="D1922" t="s">
        <v>126</v>
      </c>
      <c r="E1922" t="s">
        <v>377</v>
      </c>
      <c r="F1922" t="s">
        <v>310</v>
      </c>
      <c r="G1922" t="s">
        <v>342</v>
      </c>
      <c r="H1922" t="s">
        <v>104</v>
      </c>
      <c r="I1922">
        <v>2021</v>
      </c>
      <c r="J1922" t="s">
        <v>379</v>
      </c>
      <c r="K1922" t="s">
        <v>546</v>
      </c>
      <c r="L1922" s="784">
        <v>129999.99999999999</v>
      </c>
      <c r="M1922" t="s">
        <v>745</v>
      </c>
      <c r="N1922" s="784" t="s">
        <v>575</v>
      </c>
      <c r="P1922" t="s">
        <v>1887</v>
      </c>
      <c r="R1922" t="s">
        <v>150</v>
      </c>
      <c r="S1922" t="s">
        <v>145</v>
      </c>
      <c r="U1922">
        <v>0</v>
      </c>
      <c r="V1922" t="s">
        <v>541</v>
      </c>
      <c r="W1922" t="s">
        <v>558</v>
      </c>
      <c r="X1922" s="784">
        <v>72046877.233008593</v>
      </c>
    </row>
    <row r="1923" spans="1:24">
      <c r="A1923" t="s">
        <v>358</v>
      </c>
      <c r="B1923" t="s">
        <v>684</v>
      </c>
      <c r="C1923" t="s">
        <v>282</v>
      </c>
      <c r="D1923" t="s">
        <v>129</v>
      </c>
      <c r="E1923" t="s">
        <v>377</v>
      </c>
      <c r="F1923" t="s">
        <v>310</v>
      </c>
      <c r="G1923" t="s">
        <v>342</v>
      </c>
      <c r="H1923" t="s">
        <v>104</v>
      </c>
      <c r="I1923">
        <v>2021</v>
      </c>
      <c r="J1923" t="s">
        <v>379</v>
      </c>
      <c r="K1923" t="s">
        <v>546</v>
      </c>
      <c r="L1923" s="784">
        <v>141046.29629629629</v>
      </c>
      <c r="M1923" t="s">
        <v>745</v>
      </c>
      <c r="N1923" s="784" t="s">
        <v>575</v>
      </c>
      <c r="P1923" t="s">
        <v>1887</v>
      </c>
      <c r="R1923" t="s">
        <v>148</v>
      </c>
      <c r="S1923" t="s">
        <v>145</v>
      </c>
      <c r="U1923">
        <v>0</v>
      </c>
      <c r="V1923" t="s">
        <v>544</v>
      </c>
      <c r="W1923" t="s">
        <v>542</v>
      </c>
      <c r="X1923" s="784">
        <v>56248139.267255567</v>
      </c>
    </row>
    <row r="1924" spans="1:24">
      <c r="A1924" t="s">
        <v>358</v>
      </c>
      <c r="B1924" t="s">
        <v>685</v>
      </c>
      <c r="C1924" t="s">
        <v>283</v>
      </c>
      <c r="D1924" t="s">
        <v>126</v>
      </c>
      <c r="E1924" t="s">
        <v>377</v>
      </c>
      <c r="F1924" t="s">
        <v>310</v>
      </c>
      <c r="G1924" t="s">
        <v>342</v>
      </c>
      <c r="H1924" t="s">
        <v>104</v>
      </c>
      <c r="I1924">
        <v>2021</v>
      </c>
      <c r="J1924" t="s">
        <v>379</v>
      </c>
      <c r="K1924" t="s">
        <v>546</v>
      </c>
      <c r="L1924" s="784">
        <v>55481.481481481474</v>
      </c>
      <c r="M1924" t="s">
        <v>745</v>
      </c>
      <c r="N1924" s="784" t="s">
        <v>575</v>
      </c>
      <c r="P1924" t="s">
        <v>1887</v>
      </c>
      <c r="R1924" t="s">
        <v>152</v>
      </c>
      <c r="S1924" t="s">
        <v>145</v>
      </c>
      <c r="U1924">
        <v>0</v>
      </c>
      <c r="V1924" t="s">
        <v>541</v>
      </c>
      <c r="W1924" t="s">
        <v>542</v>
      </c>
      <c r="X1924" s="784">
        <v>15464031.712942109</v>
      </c>
    </row>
    <row r="1925" spans="1:24">
      <c r="A1925" t="s">
        <v>358</v>
      </c>
      <c r="B1925" t="s">
        <v>686</v>
      </c>
      <c r="C1925" t="s">
        <v>284</v>
      </c>
      <c r="D1925" t="s">
        <v>130</v>
      </c>
      <c r="E1925" t="s">
        <v>377</v>
      </c>
      <c r="F1925" t="s">
        <v>310</v>
      </c>
      <c r="G1925" t="s">
        <v>342</v>
      </c>
      <c r="H1925" t="s">
        <v>104</v>
      </c>
      <c r="I1925">
        <v>2021</v>
      </c>
      <c r="J1925" t="s">
        <v>379</v>
      </c>
      <c r="K1925" t="s">
        <v>546</v>
      </c>
      <c r="L1925" s="784">
        <v>0</v>
      </c>
      <c r="M1925" t="s">
        <v>745</v>
      </c>
      <c r="N1925" s="784" t="s">
        <v>575</v>
      </c>
      <c r="P1925" t="s">
        <v>1887</v>
      </c>
      <c r="R1925" t="s">
        <v>550</v>
      </c>
      <c r="S1925" t="s">
        <v>146</v>
      </c>
      <c r="U1925">
        <v>0</v>
      </c>
      <c r="V1925" t="s">
        <v>541</v>
      </c>
      <c r="W1925" t="s">
        <v>546</v>
      </c>
      <c r="X1925" s="784">
        <v>769564399.33249676</v>
      </c>
    </row>
    <row r="1926" spans="1:24">
      <c r="A1926" t="s">
        <v>358</v>
      </c>
      <c r="B1926" t="s">
        <v>687</v>
      </c>
      <c r="C1926" t="s">
        <v>285</v>
      </c>
      <c r="D1926" t="s">
        <v>131</v>
      </c>
      <c r="E1926" t="s">
        <v>377</v>
      </c>
      <c r="F1926" t="s">
        <v>310</v>
      </c>
      <c r="G1926" t="s">
        <v>342</v>
      </c>
      <c r="H1926" t="s">
        <v>104</v>
      </c>
      <c r="I1926">
        <v>2021</v>
      </c>
      <c r="J1926" t="s">
        <v>379</v>
      </c>
      <c r="K1926" t="s">
        <v>546</v>
      </c>
      <c r="L1926" s="784">
        <v>124999.99999999999</v>
      </c>
      <c r="M1926" t="s">
        <v>745</v>
      </c>
      <c r="N1926" s="784" t="s">
        <v>575</v>
      </c>
      <c r="P1926" t="s">
        <v>1887</v>
      </c>
      <c r="R1926" t="s">
        <v>150</v>
      </c>
      <c r="S1926" t="s">
        <v>145</v>
      </c>
      <c r="U1926">
        <v>0</v>
      </c>
      <c r="V1926" t="s">
        <v>544</v>
      </c>
      <c r="W1926" t="s">
        <v>546</v>
      </c>
      <c r="X1926" s="784">
        <v>1668954539.7630196</v>
      </c>
    </row>
    <row r="1927" spans="1:24">
      <c r="A1927" t="s">
        <v>358</v>
      </c>
      <c r="B1927" t="s">
        <v>688</v>
      </c>
      <c r="C1927" t="s">
        <v>286</v>
      </c>
      <c r="D1927" t="s">
        <v>127</v>
      </c>
      <c r="E1927" t="s">
        <v>377</v>
      </c>
      <c r="F1927" t="s">
        <v>310</v>
      </c>
      <c r="G1927" t="s">
        <v>342</v>
      </c>
      <c r="H1927" t="s">
        <v>104</v>
      </c>
      <c r="I1927">
        <v>2021</v>
      </c>
      <c r="J1927" t="s">
        <v>379</v>
      </c>
      <c r="K1927" t="s">
        <v>546</v>
      </c>
      <c r="L1927" s="784">
        <v>0</v>
      </c>
      <c r="M1927" t="s">
        <v>745</v>
      </c>
      <c r="N1927" s="784" t="s">
        <v>575</v>
      </c>
      <c r="P1927" t="s">
        <v>1887</v>
      </c>
      <c r="R1927" t="s">
        <v>152</v>
      </c>
      <c r="S1927" t="s">
        <v>146</v>
      </c>
      <c r="U1927">
        <v>0</v>
      </c>
      <c r="V1927" t="s">
        <v>544</v>
      </c>
      <c r="W1927" t="s">
        <v>575</v>
      </c>
      <c r="X1927" s="784">
        <v>24840920016.18832</v>
      </c>
    </row>
    <row r="1928" spans="1:24">
      <c r="A1928" t="s">
        <v>358</v>
      </c>
      <c r="B1928" t="s">
        <v>689</v>
      </c>
      <c r="C1928" t="s">
        <v>287</v>
      </c>
      <c r="D1928" t="s">
        <v>127</v>
      </c>
      <c r="E1928" t="s">
        <v>377</v>
      </c>
      <c r="F1928" t="s">
        <v>310</v>
      </c>
      <c r="G1928" t="s">
        <v>342</v>
      </c>
      <c r="H1928" t="s">
        <v>104</v>
      </c>
      <c r="I1928">
        <v>2021</v>
      </c>
      <c r="J1928" t="s">
        <v>379</v>
      </c>
      <c r="K1928" t="s">
        <v>546</v>
      </c>
      <c r="L1928" s="784">
        <v>0</v>
      </c>
      <c r="M1928" t="s">
        <v>745</v>
      </c>
      <c r="N1928" s="784" t="s">
        <v>575</v>
      </c>
      <c r="P1928" t="s">
        <v>1887</v>
      </c>
      <c r="R1928" t="s">
        <v>152</v>
      </c>
      <c r="S1928" t="s">
        <v>146</v>
      </c>
      <c r="U1928">
        <v>0</v>
      </c>
      <c r="V1928" t="s">
        <v>544</v>
      </c>
      <c r="W1928" t="s">
        <v>546</v>
      </c>
      <c r="X1928" s="784">
        <v>487888462.83720118</v>
      </c>
    </row>
    <row r="1929" spans="1:24">
      <c r="A1929" t="s">
        <v>358</v>
      </c>
      <c r="B1929" t="s">
        <v>690</v>
      </c>
      <c r="C1929" t="s">
        <v>288</v>
      </c>
      <c r="D1929" t="s">
        <v>126</v>
      </c>
      <c r="E1929" t="s">
        <v>377</v>
      </c>
      <c r="F1929" t="s">
        <v>310</v>
      </c>
      <c r="G1929" t="s">
        <v>342</v>
      </c>
      <c r="H1929" t="s">
        <v>104</v>
      </c>
      <c r="I1929">
        <v>2021</v>
      </c>
      <c r="J1929" t="s">
        <v>379</v>
      </c>
      <c r="K1929" t="s">
        <v>546</v>
      </c>
      <c r="L1929" s="784">
        <v>48270.370370370365</v>
      </c>
      <c r="M1929" t="s">
        <v>745</v>
      </c>
      <c r="N1929" s="784" t="s">
        <v>575</v>
      </c>
      <c r="P1929" t="s">
        <v>1887</v>
      </c>
      <c r="R1929" t="s">
        <v>152</v>
      </c>
      <c r="S1929" t="s">
        <v>145</v>
      </c>
      <c r="U1929">
        <v>0</v>
      </c>
      <c r="V1929" t="s">
        <v>541</v>
      </c>
      <c r="W1929" t="s">
        <v>548</v>
      </c>
      <c r="X1929" s="784">
        <v>6365061.1736073596</v>
      </c>
    </row>
    <row r="1930" spans="1:24">
      <c r="A1930" t="s">
        <v>358</v>
      </c>
      <c r="B1930" t="s">
        <v>691</v>
      </c>
      <c r="C1930" t="s">
        <v>289</v>
      </c>
      <c r="D1930" t="s">
        <v>128</v>
      </c>
      <c r="E1930" t="s">
        <v>377</v>
      </c>
      <c r="F1930" t="s">
        <v>310</v>
      </c>
      <c r="G1930" t="s">
        <v>342</v>
      </c>
      <c r="H1930" t="s">
        <v>104</v>
      </c>
      <c r="I1930">
        <v>2021</v>
      </c>
      <c r="J1930" t="s">
        <v>379</v>
      </c>
      <c r="K1930" t="s">
        <v>546</v>
      </c>
      <c r="L1930" s="784">
        <v>317030.55555555556</v>
      </c>
      <c r="M1930" t="s">
        <v>745</v>
      </c>
      <c r="N1930" s="784" t="s">
        <v>575</v>
      </c>
      <c r="P1930" t="s">
        <v>1887</v>
      </c>
      <c r="R1930" t="s">
        <v>148</v>
      </c>
      <c r="S1930" t="s">
        <v>145</v>
      </c>
      <c r="U1930">
        <v>2</v>
      </c>
      <c r="V1930" t="s">
        <v>544</v>
      </c>
      <c r="W1930" t="s">
        <v>558</v>
      </c>
      <c r="X1930" s="784">
        <v>291799092.90196139</v>
      </c>
    </row>
    <row r="1931" spans="1:24">
      <c r="A1931" t="s">
        <v>358</v>
      </c>
      <c r="B1931" t="s">
        <v>692</v>
      </c>
      <c r="C1931" t="s">
        <v>290</v>
      </c>
      <c r="D1931" t="s">
        <v>127</v>
      </c>
      <c r="E1931" t="s">
        <v>377</v>
      </c>
      <c r="F1931" t="s">
        <v>310</v>
      </c>
      <c r="G1931" t="s">
        <v>342</v>
      </c>
      <c r="H1931" t="s">
        <v>104</v>
      </c>
      <c r="I1931">
        <v>2021</v>
      </c>
      <c r="J1931" t="s">
        <v>379</v>
      </c>
      <c r="K1931" t="s">
        <v>546</v>
      </c>
      <c r="L1931" s="784">
        <v>50891.666666666664</v>
      </c>
      <c r="M1931" t="s">
        <v>745</v>
      </c>
      <c r="N1931" s="784" t="s">
        <v>575</v>
      </c>
      <c r="P1931" t="s">
        <v>1887</v>
      </c>
      <c r="R1931" t="s">
        <v>150</v>
      </c>
      <c r="S1931" t="s">
        <v>145</v>
      </c>
      <c r="U1931">
        <v>0</v>
      </c>
      <c r="V1931" t="s">
        <v>544</v>
      </c>
      <c r="W1931" t="s">
        <v>546</v>
      </c>
      <c r="X1931" s="784">
        <v>4844815340.2135534</v>
      </c>
    </row>
    <row r="1932" spans="1:24">
      <c r="A1932" t="s">
        <v>358</v>
      </c>
      <c r="B1932" t="s">
        <v>693</v>
      </c>
      <c r="C1932" t="s">
        <v>291</v>
      </c>
      <c r="D1932" t="s">
        <v>130</v>
      </c>
      <c r="E1932" t="s">
        <v>377</v>
      </c>
      <c r="F1932" t="s">
        <v>310</v>
      </c>
      <c r="G1932" t="s">
        <v>342</v>
      </c>
      <c r="H1932" t="s">
        <v>104</v>
      </c>
      <c r="I1932">
        <v>2021</v>
      </c>
      <c r="J1932" t="s">
        <v>379</v>
      </c>
      <c r="K1932" t="s">
        <v>546</v>
      </c>
      <c r="L1932" s="784">
        <v>0</v>
      </c>
      <c r="M1932" t="s">
        <v>745</v>
      </c>
      <c r="N1932" s="784" t="s">
        <v>575</v>
      </c>
      <c r="P1932" t="s">
        <v>1887</v>
      </c>
      <c r="R1932" t="s">
        <v>550</v>
      </c>
      <c r="S1932" t="s">
        <v>146</v>
      </c>
      <c r="U1932">
        <v>0</v>
      </c>
      <c r="V1932" t="s">
        <v>544</v>
      </c>
      <c r="W1932" t="s">
        <v>575</v>
      </c>
      <c r="X1932" s="784">
        <v>4001891446.6871672</v>
      </c>
    </row>
    <row r="1933" spans="1:24">
      <c r="A1933" t="s">
        <v>358</v>
      </c>
      <c r="B1933" t="s">
        <v>694</v>
      </c>
      <c r="C1933" t="s">
        <v>292</v>
      </c>
      <c r="D1933" t="s">
        <v>127</v>
      </c>
      <c r="E1933" t="s">
        <v>377</v>
      </c>
      <c r="F1933" t="s">
        <v>310</v>
      </c>
      <c r="G1933" t="s">
        <v>342</v>
      </c>
      <c r="H1933" t="s">
        <v>104</v>
      </c>
      <c r="I1933">
        <v>2021</v>
      </c>
      <c r="J1933" t="s">
        <v>379</v>
      </c>
      <c r="K1933" t="s">
        <v>546</v>
      </c>
      <c r="L1933" s="784">
        <v>105295.99999999999</v>
      </c>
      <c r="M1933" t="s">
        <v>745</v>
      </c>
      <c r="N1933" s="784" t="s">
        <v>575</v>
      </c>
      <c r="P1933" t="s">
        <v>1887</v>
      </c>
      <c r="R1933" t="s">
        <v>150</v>
      </c>
      <c r="S1933" t="s">
        <v>145</v>
      </c>
      <c r="U1933">
        <v>0</v>
      </c>
      <c r="V1933" t="s">
        <v>544</v>
      </c>
      <c r="W1933" t="s">
        <v>558</v>
      </c>
      <c r="X1933" s="784">
        <v>1019800630.5853213</v>
      </c>
    </row>
    <row r="1934" spans="1:24">
      <c r="A1934" t="s">
        <v>358</v>
      </c>
      <c r="B1934" t="s">
        <v>695</v>
      </c>
      <c r="C1934" t="s">
        <v>293</v>
      </c>
      <c r="D1934" t="s">
        <v>126</v>
      </c>
      <c r="E1934" t="s">
        <v>377</v>
      </c>
      <c r="F1934" t="s">
        <v>310</v>
      </c>
      <c r="G1934" t="s">
        <v>342</v>
      </c>
      <c r="H1934" t="s">
        <v>104</v>
      </c>
      <c r="I1934">
        <v>2021</v>
      </c>
      <c r="J1934" t="s">
        <v>379</v>
      </c>
      <c r="K1934" t="s">
        <v>546</v>
      </c>
      <c r="L1934" s="784">
        <v>0</v>
      </c>
      <c r="M1934" t="s">
        <v>745</v>
      </c>
      <c r="N1934" s="784" t="s">
        <v>575</v>
      </c>
      <c r="P1934" t="s">
        <v>1887</v>
      </c>
      <c r="R1934" t="s">
        <v>150</v>
      </c>
      <c r="S1934" t="s">
        <v>145</v>
      </c>
      <c r="U1934">
        <v>0</v>
      </c>
      <c r="V1934" t="s">
        <v>541</v>
      </c>
      <c r="W1934" t="s">
        <v>562</v>
      </c>
      <c r="X1934" s="784">
        <v>19578671.310841195</v>
      </c>
    </row>
    <row r="1935" spans="1:24">
      <c r="A1935" t="s">
        <v>358</v>
      </c>
      <c r="B1935" t="s">
        <v>696</v>
      </c>
      <c r="C1935" t="s">
        <v>294</v>
      </c>
      <c r="D1935" t="s">
        <v>130</v>
      </c>
      <c r="E1935" t="s">
        <v>377</v>
      </c>
      <c r="F1935" t="s">
        <v>310</v>
      </c>
      <c r="G1935" t="s">
        <v>342</v>
      </c>
      <c r="H1935" t="s">
        <v>104</v>
      </c>
      <c r="I1935">
        <v>2021</v>
      </c>
      <c r="J1935" t="s">
        <v>379</v>
      </c>
      <c r="K1935" t="s">
        <v>546</v>
      </c>
      <c r="L1935" s="784">
        <v>0</v>
      </c>
      <c r="M1935" t="s">
        <v>745</v>
      </c>
      <c r="N1935" s="784" t="s">
        <v>575</v>
      </c>
      <c r="P1935" t="s">
        <v>1887</v>
      </c>
      <c r="R1935" t="s">
        <v>322</v>
      </c>
      <c r="S1935" t="s">
        <v>146</v>
      </c>
      <c r="U1935">
        <v>0</v>
      </c>
      <c r="V1935" t="s">
        <v>544</v>
      </c>
      <c r="W1935" t="s">
        <v>546</v>
      </c>
      <c r="X1935" s="784">
        <v>3551452001.0684834</v>
      </c>
    </row>
    <row r="1936" spans="1:24">
      <c r="A1936" t="s">
        <v>358</v>
      </c>
      <c r="B1936" t="s">
        <v>697</v>
      </c>
      <c r="C1936" t="s">
        <v>295</v>
      </c>
      <c r="D1936" t="s">
        <v>126</v>
      </c>
      <c r="E1936" t="s">
        <v>377</v>
      </c>
      <c r="F1936" t="s">
        <v>310</v>
      </c>
      <c r="G1936" t="s">
        <v>342</v>
      </c>
      <c r="H1936" t="s">
        <v>104</v>
      </c>
      <c r="I1936">
        <v>2021</v>
      </c>
      <c r="J1936" t="s">
        <v>379</v>
      </c>
      <c r="K1936" t="s">
        <v>546</v>
      </c>
      <c r="L1936" s="784">
        <v>100000</v>
      </c>
      <c r="M1936" t="s">
        <v>745</v>
      </c>
      <c r="N1936" s="784" t="s">
        <v>575</v>
      </c>
      <c r="P1936" t="s">
        <v>1887</v>
      </c>
      <c r="R1936" t="s">
        <v>150</v>
      </c>
      <c r="S1936" t="s">
        <v>145</v>
      </c>
      <c r="U1936">
        <v>0</v>
      </c>
      <c r="V1936" t="s">
        <v>544</v>
      </c>
      <c r="W1936" t="s">
        <v>546</v>
      </c>
      <c r="X1936" s="784">
        <v>6603048821.7575006</v>
      </c>
    </row>
    <row r="1937" spans="1:24">
      <c r="A1937" t="s">
        <v>358</v>
      </c>
      <c r="B1937" t="s">
        <v>698</v>
      </c>
      <c r="C1937" t="s">
        <v>296</v>
      </c>
      <c r="D1937" t="s">
        <v>131</v>
      </c>
      <c r="E1937" t="s">
        <v>377</v>
      </c>
      <c r="F1937" t="s">
        <v>310</v>
      </c>
      <c r="G1937" t="s">
        <v>342</v>
      </c>
      <c r="H1937" t="s">
        <v>104</v>
      </c>
      <c r="I1937">
        <v>2021</v>
      </c>
      <c r="J1937" t="s">
        <v>379</v>
      </c>
      <c r="K1937" t="s">
        <v>546</v>
      </c>
      <c r="L1937" s="784">
        <v>516199.99999999994</v>
      </c>
      <c r="M1937" t="s">
        <v>745</v>
      </c>
      <c r="N1937" s="784" t="s">
        <v>575</v>
      </c>
      <c r="P1937" t="s">
        <v>1887</v>
      </c>
      <c r="R1937" t="s">
        <v>148</v>
      </c>
      <c r="S1937" t="s">
        <v>145</v>
      </c>
      <c r="U1937">
        <v>1</v>
      </c>
      <c r="V1937" t="s">
        <v>544</v>
      </c>
      <c r="W1937" t="s">
        <v>548</v>
      </c>
      <c r="X1937" s="784" t="s">
        <v>575</v>
      </c>
    </row>
    <row r="1938" spans="1:24">
      <c r="A1938" t="s">
        <v>358</v>
      </c>
      <c r="B1938" t="s">
        <v>699</v>
      </c>
      <c r="C1938" t="s">
        <v>297</v>
      </c>
      <c r="D1938" t="s">
        <v>128</v>
      </c>
      <c r="E1938" t="s">
        <v>377</v>
      </c>
      <c r="F1938" t="s">
        <v>310</v>
      </c>
      <c r="G1938" t="s">
        <v>342</v>
      </c>
      <c r="H1938" t="s">
        <v>104</v>
      </c>
      <c r="I1938">
        <v>2021</v>
      </c>
      <c r="J1938" t="s">
        <v>379</v>
      </c>
      <c r="K1938" t="s">
        <v>546</v>
      </c>
      <c r="L1938" s="784">
        <v>113199.99999999999</v>
      </c>
      <c r="M1938" t="s">
        <v>745</v>
      </c>
      <c r="N1938" s="784" t="s">
        <v>575</v>
      </c>
      <c r="P1938" t="s">
        <v>1887</v>
      </c>
      <c r="R1938" t="s">
        <v>150</v>
      </c>
      <c r="S1938" t="s">
        <v>145</v>
      </c>
      <c r="U1938">
        <v>0</v>
      </c>
      <c r="V1938" t="s">
        <v>544</v>
      </c>
      <c r="W1938" t="s">
        <v>542</v>
      </c>
      <c r="X1938" s="784">
        <v>515352723.9821828</v>
      </c>
    </row>
    <row r="1939" spans="1:24">
      <c r="A1939" t="s">
        <v>358</v>
      </c>
      <c r="B1939" t="s">
        <v>700</v>
      </c>
      <c r="C1939" t="s">
        <v>298</v>
      </c>
      <c r="D1939" t="s">
        <v>128</v>
      </c>
      <c r="E1939" t="s">
        <v>377</v>
      </c>
      <c r="F1939" t="s">
        <v>310</v>
      </c>
      <c r="G1939" t="s">
        <v>342</v>
      </c>
      <c r="H1939" t="s">
        <v>104</v>
      </c>
      <c r="I1939">
        <v>2021</v>
      </c>
      <c r="J1939" t="s">
        <v>379</v>
      </c>
      <c r="K1939" t="s">
        <v>546</v>
      </c>
      <c r="L1939" s="784">
        <v>387250</v>
      </c>
      <c r="M1939" t="s">
        <v>745</v>
      </c>
      <c r="N1939" s="784" t="s">
        <v>575</v>
      </c>
      <c r="P1939" t="s">
        <v>1887</v>
      </c>
      <c r="R1939" t="s">
        <v>150</v>
      </c>
      <c r="S1939" t="s">
        <v>145</v>
      </c>
      <c r="U1939">
        <v>0</v>
      </c>
      <c r="V1939" t="s">
        <v>544</v>
      </c>
      <c r="W1939" t="s">
        <v>546</v>
      </c>
      <c r="X1939" s="784">
        <v>566711742.22428358</v>
      </c>
    </row>
    <row r="1940" spans="1:24">
      <c r="A1940" t="s">
        <v>358</v>
      </c>
      <c r="B1940" t="s">
        <v>540</v>
      </c>
      <c r="C1940" t="s">
        <v>160</v>
      </c>
      <c r="D1940" t="s">
        <v>132</v>
      </c>
      <c r="E1940" t="s">
        <v>377</v>
      </c>
      <c r="F1940" t="s">
        <v>310</v>
      </c>
      <c r="G1940" t="s">
        <v>39</v>
      </c>
      <c r="H1940" t="s">
        <v>310</v>
      </c>
      <c r="I1940">
        <v>2021</v>
      </c>
      <c r="J1940" t="s">
        <v>379</v>
      </c>
      <c r="K1940" t="s">
        <v>546</v>
      </c>
      <c r="L1940" s="784">
        <v>0</v>
      </c>
      <c r="M1940" t="s">
        <v>745</v>
      </c>
      <c r="P1940" t="s">
        <v>1887</v>
      </c>
      <c r="R1940" t="s">
        <v>148</v>
      </c>
      <c r="S1940" t="s">
        <v>145</v>
      </c>
      <c r="U1940">
        <v>1</v>
      </c>
      <c r="V1940" t="s">
        <v>544</v>
      </c>
      <c r="W1940" t="s">
        <v>542</v>
      </c>
      <c r="X1940" s="784">
        <v>95829480.719269618</v>
      </c>
    </row>
    <row r="1941" spans="1:24">
      <c r="A1941" t="s">
        <v>358</v>
      </c>
      <c r="B1941" t="s">
        <v>543</v>
      </c>
      <c r="C1941" t="s">
        <v>161</v>
      </c>
      <c r="D1941" t="s">
        <v>127</v>
      </c>
      <c r="E1941" t="s">
        <v>377</v>
      </c>
      <c r="F1941" t="s">
        <v>310</v>
      </c>
      <c r="G1941" t="s">
        <v>39</v>
      </c>
      <c r="H1941" t="s">
        <v>310</v>
      </c>
      <c r="I1941">
        <v>2021</v>
      </c>
      <c r="J1941" t="s">
        <v>379</v>
      </c>
      <c r="K1941" t="s">
        <v>546</v>
      </c>
      <c r="L1941" s="784">
        <v>0</v>
      </c>
      <c r="M1941" t="s">
        <v>745</v>
      </c>
      <c r="P1941" t="s">
        <v>1887</v>
      </c>
      <c r="R1941" t="s">
        <v>152</v>
      </c>
      <c r="S1941" t="s">
        <v>146</v>
      </c>
      <c r="U1941">
        <v>0</v>
      </c>
      <c r="V1941" t="s">
        <v>544</v>
      </c>
      <c r="W1941" t="s">
        <v>575</v>
      </c>
      <c r="X1941" s="784">
        <v>427904035.52443534</v>
      </c>
    </row>
    <row r="1942" spans="1:24">
      <c r="A1942" t="s">
        <v>358</v>
      </c>
      <c r="B1942" t="s">
        <v>545</v>
      </c>
      <c r="C1942" t="s">
        <v>143</v>
      </c>
      <c r="D1942" t="s">
        <v>131</v>
      </c>
      <c r="E1942" t="s">
        <v>377</v>
      </c>
      <c r="F1942" t="s">
        <v>310</v>
      </c>
      <c r="G1942" t="s">
        <v>39</v>
      </c>
      <c r="H1942" t="s">
        <v>310</v>
      </c>
      <c r="I1942">
        <v>2021</v>
      </c>
      <c r="J1942" t="s">
        <v>379</v>
      </c>
      <c r="K1942" t="s">
        <v>546</v>
      </c>
      <c r="L1942" s="784">
        <v>0</v>
      </c>
      <c r="M1942" t="s">
        <v>745</v>
      </c>
      <c r="P1942" t="s">
        <v>1887</v>
      </c>
      <c r="R1942" t="s">
        <v>150</v>
      </c>
      <c r="S1942" t="s">
        <v>145</v>
      </c>
      <c r="U1942">
        <v>0</v>
      </c>
      <c r="V1942" t="s">
        <v>544</v>
      </c>
      <c r="W1942" t="s">
        <v>546</v>
      </c>
      <c r="X1942" s="784">
        <v>7113361022.7267885</v>
      </c>
    </row>
    <row r="1943" spans="1:24">
      <c r="A1943" t="s">
        <v>358</v>
      </c>
      <c r="B1943" t="s">
        <v>547</v>
      </c>
      <c r="C1943" t="s">
        <v>162</v>
      </c>
      <c r="D1943" t="s">
        <v>128</v>
      </c>
      <c r="E1943" t="s">
        <v>377</v>
      </c>
      <c r="F1943" t="s">
        <v>310</v>
      </c>
      <c r="G1943" t="s">
        <v>39</v>
      </c>
      <c r="H1943" t="s">
        <v>310</v>
      </c>
      <c r="I1943">
        <v>2021</v>
      </c>
      <c r="J1943" t="s">
        <v>379</v>
      </c>
      <c r="K1943" t="s">
        <v>546</v>
      </c>
      <c r="L1943" s="784">
        <v>0</v>
      </c>
      <c r="M1943" t="s">
        <v>745</v>
      </c>
      <c r="P1943" t="s">
        <v>1887</v>
      </c>
      <c r="R1943" t="s">
        <v>150</v>
      </c>
      <c r="S1943" t="s">
        <v>145</v>
      </c>
      <c r="U1943">
        <v>0</v>
      </c>
      <c r="V1943" t="s">
        <v>544</v>
      </c>
      <c r="W1943" t="s">
        <v>548</v>
      </c>
      <c r="X1943" s="784">
        <v>1131865946.5875781</v>
      </c>
    </row>
    <row r="1944" spans="1:24">
      <c r="A1944" t="s">
        <v>358</v>
      </c>
      <c r="B1944" t="s">
        <v>549</v>
      </c>
      <c r="C1944" t="s">
        <v>163</v>
      </c>
      <c r="D1944" t="s">
        <v>130</v>
      </c>
      <c r="E1944" t="s">
        <v>377</v>
      </c>
      <c r="F1944" t="s">
        <v>310</v>
      </c>
      <c r="G1944" t="s">
        <v>39</v>
      </c>
      <c r="H1944" t="s">
        <v>310</v>
      </c>
      <c r="I1944">
        <v>2021</v>
      </c>
      <c r="J1944" t="s">
        <v>379</v>
      </c>
      <c r="K1944" t="s">
        <v>546</v>
      </c>
      <c r="L1944" s="784">
        <v>0</v>
      </c>
      <c r="M1944" t="s">
        <v>745</v>
      </c>
      <c r="P1944" t="s">
        <v>1887</v>
      </c>
      <c r="R1944" t="s">
        <v>550</v>
      </c>
      <c r="S1944" t="s">
        <v>146</v>
      </c>
      <c r="U1944">
        <v>0</v>
      </c>
      <c r="V1944" t="s">
        <v>541</v>
      </c>
      <c r="W1944" t="s">
        <v>575</v>
      </c>
      <c r="X1944" s="784">
        <v>46777779.823447868</v>
      </c>
    </row>
    <row r="1945" spans="1:24">
      <c r="A1945" t="s">
        <v>358</v>
      </c>
      <c r="B1945" t="s">
        <v>551</v>
      </c>
      <c r="C1945" t="s">
        <v>164</v>
      </c>
      <c r="D1945" t="s">
        <v>130</v>
      </c>
      <c r="E1945" t="s">
        <v>377</v>
      </c>
      <c r="F1945" t="s">
        <v>310</v>
      </c>
      <c r="G1945" t="s">
        <v>39</v>
      </c>
      <c r="H1945" t="s">
        <v>310</v>
      </c>
      <c r="I1945">
        <v>2021</v>
      </c>
      <c r="J1945" t="s">
        <v>379</v>
      </c>
      <c r="K1945" t="s">
        <v>546</v>
      </c>
      <c r="L1945" s="784">
        <v>0</v>
      </c>
      <c r="M1945" t="s">
        <v>745</v>
      </c>
      <c r="P1945" t="s">
        <v>1887</v>
      </c>
      <c r="R1945" t="s">
        <v>152</v>
      </c>
      <c r="S1945" t="s">
        <v>146</v>
      </c>
      <c r="U1945">
        <v>0</v>
      </c>
      <c r="V1945" t="s">
        <v>544</v>
      </c>
      <c r="W1945" t="s">
        <v>575</v>
      </c>
      <c r="X1945" s="784">
        <v>30725305777.596794</v>
      </c>
    </row>
    <row r="1946" spans="1:24">
      <c r="A1946" t="s">
        <v>358</v>
      </c>
      <c r="B1946" t="s">
        <v>553</v>
      </c>
      <c r="C1946" t="s">
        <v>165</v>
      </c>
      <c r="D1946" t="s">
        <v>127</v>
      </c>
      <c r="E1946" t="s">
        <v>377</v>
      </c>
      <c r="F1946" t="s">
        <v>310</v>
      </c>
      <c r="G1946" t="s">
        <v>39</v>
      </c>
      <c r="H1946" t="s">
        <v>310</v>
      </c>
      <c r="I1946">
        <v>2021</v>
      </c>
      <c r="J1946" t="s">
        <v>379</v>
      </c>
      <c r="K1946" t="s">
        <v>546</v>
      </c>
      <c r="L1946" s="784">
        <v>0</v>
      </c>
      <c r="M1946" t="s">
        <v>745</v>
      </c>
      <c r="P1946" t="s">
        <v>1887</v>
      </c>
      <c r="R1946" t="s">
        <v>152</v>
      </c>
      <c r="S1946" t="s">
        <v>146</v>
      </c>
      <c r="U1946">
        <v>0</v>
      </c>
      <c r="V1946" t="s">
        <v>544</v>
      </c>
      <c r="W1946" t="s">
        <v>575</v>
      </c>
      <c r="X1946" s="784">
        <v>153815827.8380394</v>
      </c>
    </row>
    <row r="1947" spans="1:24">
      <c r="A1947" t="s">
        <v>358</v>
      </c>
      <c r="B1947" t="s">
        <v>554</v>
      </c>
      <c r="C1947" t="s">
        <v>166</v>
      </c>
      <c r="D1947" t="s">
        <v>127</v>
      </c>
      <c r="E1947" t="s">
        <v>377</v>
      </c>
      <c r="F1947" t="s">
        <v>310</v>
      </c>
      <c r="G1947" t="s">
        <v>39</v>
      </c>
      <c r="H1947" t="s">
        <v>310</v>
      </c>
      <c r="I1947">
        <v>2021</v>
      </c>
      <c r="J1947" t="s">
        <v>379</v>
      </c>
      <c r="K1947" t="s">
        <v>546</v>
      </c>
      <c r="L1947" s="784">
        <v>0</v>
      </c>
      <c r="M1947" t="s">
        <v>745</v>
      </c>
      <c r="P1947" t="s">
        <v>1887</v>
      </c>
      <c r="R1947" t="s">
        <v>152</v>
      </c>
      <c r="S1947" t="s">
        <v>146</v>
      </c>
      <c r="U1947">
        <v>0</v>
      </c>
      <c r="V1947" t="s">
        <v>544</v>
      </c>
      <c r="W1947" t="s">
        <v>546</v>
      </c>
      <c r="X1947" s="784">
        <v>437525105.31216973</v>
      </c>
    </row>
    <row r="1948" spans="1:24">
      <c r="A1948" t="s">
        <v>358</v>
      </c>
      <c r="B1948" t="s">
        <v>555</v>
      </c>
      <c r="C1948" t="s">
        <v>556</v>
      </c>
      <c r="D1948" t="s">
        <v>130</v>
      </c>
      <c r="E1948" t="s">
        <v>377</v>
      </c>
      <c r="F1948" t="s">
        <v>310</v>
      </c>
      <c r="G1948" t="s">
        <v>39</v>
      </c>
      <c r="H1948" t="s">
        <v>310</v>
      </c>
      <c r="I1948">
        <v>2021</v>
      </c>
      <c r="J1948" t="s">
        <v>379</v>
      </c>
      <c r="K1948" t="s">
        <v>546</v>
      </c>
      <c r="L1948" s="784">
        <v>0</v>
      </c>
      <c r="M1948" t="s">
        <v>745</v>
      </c>
      <c r="P1948" t="s">
        <v>1887</v>
      </c>
      <c r="R1948" t="s">
        <v>550</v>
      </c>
      <c r="S1948" t="s">
        <v>146</v>
      </c>
      <c r="U1948">
        <v>0</v>
      </c>
      <c r="V1948" t="s">
        <v>541</v>
      </c>
      <c r="W1948" t="s">
        <v>575</v>
      </c>
      <c r="X1948" s="784">
        <v>149463302.00602186</v>
      </c>
    </row>
    <row r="1949" spans="1:24">
      <c r="A1949" t="s">
        <v>358</v>
      </c>
      <c r="B1949" t="s">
        <v>557</v>
      </c>
      <c r="C1949" t="s">
        <v>167</v>
      </c>
      <c r="D1949" t="s">
        <v>132</v>
      </c>
      <c r="E1949" t="s">
        <v>377</v>
      </c>
      <c r="F1949" t="s">
        <v>310</v>
      </c>
      <c r="G1949" t="s">
        <v>39</v>
      </c>
      <c r="H1949" t="s">
        <v>310</v>
      </c>
      <c r="I1949">
        <v>2021</v>
      </c>
      <c r="J1949" t="s">
        <v>379</v>
      </c>
      <c r="K1949" t="s">
        <v>546</v>
      </c>
      <c r="L1949" s="784">
        <v>0</v>
      </c>
      <c r="M1949" t="s">
        <v>745</v>
      </c>
      <c r="P1949" t="s">
        <v>1887</v>
      </c>
      <c r="R1949" t="s">
        <v>150</v>
      </c>
      <c r="S1949" t="s">
        <v>145</v>
      </c>
      <c r="U1949">
        <v>0</v>
      </c>
      <c r="V1949" t="s">
        <v>544</v>
      </c>
      <c r="W1949" t="s">
        <v>558</v>
      </c>
      <c r="X1949" s="784">
        <v>1148322593.9600098</v>
      </c>
    </row>
    <row r="1950" spans="1:24">
      <c r="A1950" t="s">
        <v>358</v>
      </c>
      <c r="B1950" t="s">
        <v>559</v>
      </c>
      <c r="C1950" t="s">
        <v>168</v>
      </c>
      <c r="D1950" t="s">
        <v>127</v>
      </c>
      <c r="E1950" t="s">
        <v>377</v>
      </c>
      <c r="F1950" t="s">
        <v>310</v>
      </c>
      <c r="G1950" t="s">
        <v>39</v>
      </c>
      <c r="H1950" t="s">
        <v>310</v>
      </c>
      <c r="I1950">
        <v>2021</v>
      </c>
      <c r="J1950" t="s">
        <v>379</v>
      </c>
      <c r="K1950" t="s">
        <v>546</v>
      </c>
      <c r="L1950" s="784">
        <v>0</v>
      </c>
      <c r="M1950" t="s">
        <v>745</v>
      </c>
      <c r="P1950" t="s">
        <v>1887</v>
      </c>
      <c r="R1950" t="s">
        <v>152</v>
      </c>
      <c r="S1950" t="s">
        <v>146</v>
      </c>
      <c r="U1950">
        <v>0</v>
      </c>
      <c r="V1950" t="s">
        <v>544</v>
      </c>
      <c r="W1950" t="s">
        <v>575</v>
      </c>
      <c r="X1950" s="784">
        <v>2371102058.1093163</v>
      </c>
    </row>
    <row r="1951" spans="1:24">
      <c r="A1951" t="s">
        <v>358</v>
      </c>
      <c r="B1951" t="s">
        <v>560</v>
      </c>
      <c r="C1951" t="s">
        <v>169</v>
      </c>
      <c r="D1951" t="s">
        <v>130</v>
      </c>
      <c r="E1951" t="s">
        <v>377</v>
      </c>
      <c r="F1951" t="s">
        <v>310</v>
      </c>
      <c r="G1951" t="s">
        <v>39</v>
      </c>
      <c r="H1951" t="s">
        <v>310</v>
      </c>
      <c r="I1951">
        <v>2021</v>
      </c>
      <c r="J1951" t="s">
        <v>379</v>
      </c>
      <c r="K1951" t="s">
        <v>546</v>
      </c>
      <c r="L1951" s="784">
        <v>0</v>
      </c>
      <c r="M1951" t="s">
        <v>745</v>
      </c>
      <c r="P1951" t="s">
        <v>1887</v>
      </c>
      <c r="R1951" t="s">
        <v>150</v>
      </c>
      <c r="S1951" t="s">
        <v>146</v>
      </c>
      <c r="U1951">
        <v>0</v>
      </c>
      <c r="V1951" t="s">
        <v>541</v>
      </c>
      <c r="W1951" t="s">
        <v>546</v>
      </c>
      <c r="X1951" s="784">
        <v>75151620.005215243</v>
      </c>
    </row>
    <row r="1952" spans="1:24">
      <c r="A1952" t="s">
        <v>358</v>
      </c>
      <c r="B1952" t="s">
        <v>561</v>
      </c>
      <c r="C1952" t="s">
        <v>170</v>
      </c>
      <c r="D1952" t="s">
        <v>129</v>
      </c>
      <c r="E1952" t="s">
        <v>377</v>
      </c>
      <c r="F1952" t="s">
        <v>310</v>
      </c>
      <c r="G1952" t="s">
        <v>39</v>
      </c>
      <c r="H1952" t="s">
        <v>310</v>
      </c>
      <c r="I1952">
        <v>2021</v>
      </c>
      <c r="J1952" t="s">
        <v>379</v>
      </c>
      <c r="K1952" t="s">
        <v>546</v>
      </c>
      <c r="L1952" s="784">
        <v>0</v>
      </c>
      <c r="M1952" t="s">
        <v>745</v>
      </c>
      <c r="P1952" t="s">
        <v>1887</v>
      </c>
      <c r="R1952" t="s">
        <v>150</v>
      </c>
      <c r="S1952" t="s">
        <v>145</v>
      </c>
      <c r="U1952">
        <v>0</v>
      </c>
      <c r="V1952" t="s">
        <v>544</v>
      </c>
      <c r="W1952" t="s">
        <v>562</v>
      </c>
      <c r="X1952" s="784">
        <v>69958487.197715744</v>
      </c>
    </row>
    <row r="1953" spans="1:24">
      <c r="A1953" t="s">
        <v>358</v>
      </c>
      <c r="B1953" t="s">
        <v>563</v>
      </c>
      <c r="C1953" t="s">
        <v>171</v>
      </c>
      <c r="D1953" t="s">
        <v>132</v>
      </c>
      <c r="E1953" t="s">
        <v>377</v>
      </c>
      <c r="F1953" t="s">
        <v>310</v>
      </c>
      <c r="G1953" t="s">
        <v>39</v>
      </c>
      <c r="H1953" t="s">
        <v>310</v>
      </c>
      <c r="I1953">
        <v>2021</v>
      </c>
      <c r="J1953" t="s">
        <v>379</v>
      </c>
      <c r="K1953" t="s">
        <v>546</v>
      </c>
      <c r="L1953" s="784">
        <v>0</v>
      </c>
      <c r="M1953" t="s">
        <v>745</v>
      </c>
      <c r="P1953" t="s">
        <v>1887</v>
      </c>
      <c r="R1953" t="s">
        <v>150</v>
      </c>
      <c r="S1953" t="s">
        <v>145</v>
      </c>
      <c r="U1953">
        <v>0</v>
      </c>
      <c r="V1953" t="s">
        <v>544</v>
      </c>
      <c r="W1953" t="s">
        <v>548</v>
      </c>
      <c r="X1953" s="784">
        <v>61654608.560629159</v>
      </c>
    </row>
    <row r="1954" spans="1:24">
      <c r="A1954" t="s">
        <v>358</v>
      </c>
      <c r="B1954" t="s">
        <v>564</v>
      </c>
      <c r="C1954" t="s">
        <v>172</v>
      </c>
      <c r="D1954" t="s">
        <v>130</v>
      </c>
      <c r="E1954" t="s">
        <v>377</v>
      </c>
      <c r="F1954" t="s">
        <v>310</v>
      </c>
      <c r="G1954" t="s">
        <v>39</v>
      </c>
      <c r="H1954" t="s">
        <v>310</v>
      </c>
      <c r="I1954">
        <v>2021</v>
      </c>
      <c r="J1954" t="s">
        <v>379</v>
      </c>
      <c r="K1954" t="s">
        <v>546</v>
      </c>
      <c r="L1954" s="784">
        <v>0</v>
      </c>
      <c r="M1954" t="s">
        <v>745</v>
      </c>
      <c r="P1954" t="s">
        <v>1887</v>
      </c>
      <c r="R1954" t="s">
        <v>150</v>
      </c>
      <c r="S1954" t="s">
        <v>145</v>
      </c>
      <c r="U1954">
        <v>0</v>
      </c>
      <c r="V1954" t="s">
        <v>544</v>
      </c>
      <c r="W1954" t="s">
        <v>546</v>
      </c>
      <c r="X1954" s="784">
        <v>1806638707.7615163</v>
      </c>
    </row>
    <row r="1955" spans="1:24">
      <c r="A1955" t="s">
        <v>358</v>
      </c>
      <c r="B1955" t="s">
        <v>565</v>
      </c>
      <c r="C1955" t="s">
        <v>174</v>
      </c>
      <c r="D1955" t="s">
        <v>127</v>
      </c>
      <c r="E1955" t="s">
        <v>377</v>
      </c>
      <c r="F1955" t="s">
        <v>310</v>
      </c>
      <c r="G1955" t="s">
        <v>39</v>
      </c>
      <c r="H1955" t="s">
        <v>310</v>
      </c>
      <c r="I1955">
        <v>2021</v>
      </c>
      <c r="J1955" t="s">
        <v>379</v>
      </c>
      <c r="K1955" t="s">
        <v>546</v>
      </c>
      <c r="L1955" s="784">
        <v>0</v>
      </c>
      <c r="M1955" t="s">
        <v>745</v>
      </c>
      <c r="P1955" t="s">
        <v>1887</v>
      </c>
      <c r="R1955" t="s">
        <v>152</v>
      </c>
      <c r="S1955" t="s">
        <v>146</v>
      </c>
      <c r="U1955">
        <v>0</v>
      </c>
      <c r="V1955" t="s">
        <v>544</v>
      </c>
      <c r="W1955" t="s">
        <v>546</v>
      </c>
      <c r="X1955" s="784">
        <v>1252696525.0627904</v>
      </c>
    </row>
    <row r="1956" spans="1:24">
      <c r="A1956" t="s">
        <v>358</v>
      </c>
      <c r="B1956" t="s">
        <v>566</v>
      </c>
      <c r="C1956" t="s">
        <v>175</v>
      </c>
      <c r="D1956" t="s">
        <v>128</v>
      </c>
      <c r="E1956" t="s">
        <v>377</v>
      </c>
      <c r="F1956" t="s">
        <v>310</v>
      </c>
      <c r="G1956" t="s">
        <v>39</v>
      </c>
      <c r="H1956" t="s">
        <v>310</v>
      </c>
      <c r="I1956">
        <v>2021</v>
      </c>
      <c r="J1956" t="s">
        <v>379</v>
      </c>
      <c r="K1956" t="s">
        <v>546</v>
      </c>
      <c r="L1956" s="784">
        <v>0</v>
      </c>
      <c r="M1956" t="s">
        <v>745</v>
      </c>
      <c r="P1956" t="s">
        <v>1887</v>
      </c>
      <c r="R1956" t="s">
        <v>152</v>
      </c>
      <c r="S1956" t="s">
        <v>146</v>
      </c>
      <c r="U1956">
        <v>0</v>
      </c>
      <c r="V1956" t="s">
        <v>544</v>
      </c>
      <c r="W1956" t="s">
        <v>575</v>
      </c>
      <c r="X1956" s="784">
        <v>843425084.07334602</v>
      </c>
    </row>
    <row r="1957" spans="1:24">
      <c r="A1957" t="s">
        <v>358</v>
      </c>
      <c r="B1957" t="s">
        <v>567</v>
      </c>
      <c r="C1957" t="s">
        <v>144</v>
      </c>
      <c r="D1957" t="s">
        <v>130</v>
      </c>
      <c r="E1957" t="s">
        <v>377</v>
      </c>
      <c r="F1957" t="s">
        <v>310</v>
      </c>
      <c r="G1957" t="s">
        <v>39</v>
      </c>
      <c r="H1957" t="s">
        <v>310</v>
      </c>
      <c r="I1957">
        <v>2021</v>
      </c>
      <c r="J1957" t="s">
        <v>379</v>
      </c>
      <c r="K1957" t="s">
        <v>546</v>
      </c>
      <c r="L1957" s="784">
        <v>0</v>
      </c>
      <c r="M1957" t="s">
        <v>745</v>
      </c>
      <c r="P1957" t="s">
        <v>1887</v>
      </c>
      <c r="R1957" t="s">
        <v>152</v>
      </c>
      <c r="S1957" t="s">
        <v>146</v>
      </c>
      <c r="U1957">
        <v>0</v>
      </c>
      <c r="V1957" t="s">
        <v>544</v>
      </c>
      <c r="W1957" t="s">
        <v>546</v>
      </c>
      <c r="X1957" s="784">
        <v>74055620038.853683</v>
      </c>
    </row>
    <row r="1958" spans="1:24">
      <c r="A1958" t="s">
        <v>358</v>
      </c>
      <c r="B1958" t="s">
        <v>568</v>
      </c>
      <c r="C1958" t="s">
        <v>176</v>
      </c>
      <c r="D1958" t="s">
        <v>127</v>
      </c>
      <c r="E1958" t="s">
        <v>377</v>
      </c>
      <c r="F1958" t="s">
        <v>310</v>
      </c>
      <c r="G1958" t="s">
        <v>39</v>
      </c>
      <c r="H1958" t="s">
        <v>310</v>
      </c>
      <c r="I1958">
        <v>2021</v>
      </c>
      <c r="J1958" t="s">
        <v>379</v>
      </c>
      <c r="K1958" t="s">
        <v>546</v>
      </c>
      <c r="L1958" s="784">
        <v>0</v>
      </c>
      <c r="M1958" t="s">
        <v>745</v>
      </c>
      <c r="P1958" t="s">
        <v>1887</v>
      </c>
      <c r="R1958" t="s">
        <v>152</v>
      </c>
      <c r="S1958" t="s">
        <v>146</v>
      </c>
      <c r="U1958">
        <v>0</v>
      </c>
      <c r="V1958" t="s">
        <v>544</v>
      </c>
      <c r="W1958" t="s">
        <v>575</v>
      </c>
      <c r="X1958" s="784">
        <v>2803357765.5888777</v>
      </c>
    </row>
    <row r="1959" spans="1:24">
      <c r="A1959" t="s">
        <v>358</v>
      </c>
      <c r="B1959" t="s">
        <v>569</v>
      </c>
      <c r="C1959" t="s">
        <v>177</v>
      </c>
      <c r="D1959" t="s">
        <v>129</v>
      </c>
      <c r="E1959" t="s">
        <v>377</v>
      </c>
      <c r="F1959" t="s">
        <v>310</v>
      </c>
      <c r="G1959" t="s">
        <v>39</v>
      </c>
      <c r="H1959" t="s">
        <v>310</v>
      </c>
      <c r="I1959">
        <v>2021</v>
      </c>
      <c r="J1959" t="s">
        <v>379</v>
      </c>
      <c r="K1959" t="s">
        <v>546</v>
      </c>
      <c r="L1959" s="784">
        <v>0</v>
      </c>
      <c r="M1959" t="s">
        <v>745</v>
      </c>
      <c r="P1959" t="s">
        <v>1887</v>
      </c>
      <c r="R1959" t="s">
        <v>148</v>
      </c>
      <c r="S1959" t="s">
        <v>145</v>
      </c>
      <c r="U1959">
        <v>2</v>
      </c>
      <c r="V1959" t="s">
        <v>544</v>
      </c>
      <c r="W1959" t="s">
        <v>562</v>
      </c>
      <c r="X1959" s="784">
        <v>337927779.25510043</v>
      </c>
    </row>
    <row r="1960" spans="1:24">
      <c r="A1960" t="s">
        <v>358</v>
      </c>
      <c r="B1960" t="s">
        <v>570</v>
      </c>
      <c r="C1960" t="s">
        <v>178</v>
      </c>
      <c r="D1960" t="s">
        <v>128</v>
      </c>
      <c r="E1960" t="s">
        <v>377</v>
      </c>
      <c r="F1960" t="s">
        <v>310</v>
      </c>
      <c r="G1960" t="s">
        <v>39</v>
      </c>
      <c r="H1960" t="s">
        <v>310</v>
      </c>
      <c r="I1960">
        <v>2021</v>
      </c>
      <c r="J1960" t="s">
        <v>379</v>
      </c>
      <c r="K1960" t="s">
        <v>546</v>
      </c>
      <c r="L1960" s="784">
        <v>0</v>
      </c>
      <c r="M1960" t="s">
        <v>745</v>
      </c>
      <c r="P1960" t="s">
        <v>1887</v>
      </c>
      <c r="R1960" t="s">
        <v>148</v>
      </c>
      <c r="S1960" t="s">
        <v>145</v>
      </c>
      <c r="U1960">
        <v>2</v>
      </c>
      <c r="V1960" t="s">
        <v>544</v>
      </c>
      <c r="W1960" t="s">
        <v>548</v>
      </c>
      <c r="X1960" s="784">
        <v>65979512.47399316</v>
      </c>
    </row>
    <row r="1961" spans="1:24">
      <c r="A1961" t="s">
        <v>358</v>
      </c>
      <c r="B1961" t="s">
        <v>571</v>
      </c>
      <c r="C1961" t="s">
        <v>179</v>
      </c>
      <c r="D1961" t="s">
        <v>129</v>
      </c>
      <c r="E1961" t="s">
        <v>377</v>
      </c>
      <c r="F1961" t="s">
        <v>310</v>
      </c>
      <c r="G1961" t="s">
        <v>39</v>
      </c>
      <c r="H1961" t="s">
        <v>310</v>
      </c>
      <c r="I1961">
        <v>2021</v>
      </c>
      <c r="J1961" t="s">
        <v>379</v>
      </c>
      <c r="K1961" t="s">
        <v>546</v>
      </c>
      <c r="L1961" s="784">
        <v>0</v>
      </c>
      <c r="M1961" t="s">
        <v>745</v>
      </c>
      <c r="P1961" t="s">
        <v>1887</v>
      </c>
      <c r="R1961" t="s">
        <v>150</v>
      </c>
      <c r="S1961" t="s">
        <v>145</v>
      </c>
      <c r="U1961">
        <v>0</v>
      </c>
      <c r="V1961" t="s">
        <v>541</v>
      </c>
      <c r="W1961" t="s">
        <v>542</v>
      </c>
      <c r="X1961" s="784">
        <v>63748362.778827004</v>
      </c>
    </row>
    <row r="1962" spans="1:24">
      <c r="A1962" t="s">
        <v>358</v>
      </c>
      <c r="B1962" t="s">
        <v>572</v>
      </c>
      <c r="C1962" t="s">
        <v>180</v>
      </c>
      <c r="D1962" t="s">
        <v>126</v>
      </c>
      <c r="E1962" t="s">
        <v>377</v>
      </c>
      <c r="F1962" t="s">
        <v>310</v>
      </c>
      <c r="G1962" t="s">
        <v>39</v>
      </c>
      <c r="H1962" t="s">
        <v>310</v>
      </c>
      <c r="I1962">
        <v>2021</v>
      </c>
      <c r="J1962" t="s">
        <v>379</v>
      </c>
      <c r="K1962" t="s">
        <v>546</v>
      </c>
      <c r="L1962" s="784">
        <v>0</v>
      </c>
      <c r="M1962" t="s">
        <v>745</v>
      </c>
      <c r="P1962" t="s">
        <v>1887</v>
      </c>
      <c r="R1962" t="s">
        <v>150</v>
      </c>
      <c r="S1962" t="s">
        <v>145</v>
      </c>
      <c r="U1962">
        <v>0</v>
      </c>
      <c r="V1962" t="s">
        <v>544</v>
      </c>
      <c r="W1962" t="s">
        <v>558</v>
      </c>
      <c r="X1962" s="784">
        <v>313039649.45369786</v>
      </c>
    </row>
    <row r="1963" spans="1:24">
      <c r="A1963" t="s">
        <v>358</v>
      </c>
      <c r="B1963" t="s">
        <v>573</v>
      </c>
      <c r="C1963" t="s">
        <v>181</v>
      </c>
      <c r="D1963" t="s">
        <v>129</v>
      </c>
      <c r="E1963" t="s">
        <v>377</v>
      </c>
      <c r="F1963" t="s">
        <v>310</v>
      </c>
      <c r="G1963" t="s">
        <v>39</v>
      </c>
      <c r="H1963" t="s">
        <v>310</v>
      </c>
      <c r="I1963">
        <v>2021</v>
      </c>
      <c r="J1963" t="s">
        <v>379</v>
      </c>
      <c r="K1963" t="s">
        <v>546</v>
      </c>
      <c r="L1963" s="784">
        <v>380000</v>
      </c>
      <c r="M1963" t="s">
        <v>745</v>
      </c>
      <c r="P1963" t="s">
        <v>1887</v>
      </c>
      <c r="R1963" t="s">
        <v>150</v>
      </c>
      <c r="S1963" t="s">
        <v>145</v>
      </c>
      <c r="U1963">
        <v>2</v>
      </c>
      <c r="V1963" t="s">
        <v>544</v>
      </c>
      <c r="W1963" t="s">
        <v>542</v>
      </c>
      <c r="X1963" s="784">
        <v>81361801.477472037</v>
      </c>
    </row>
    <row r="1964" spans="1:24">
      <c r="A1964" t="s">
        <v>358</v>
      </c>
      <c r="B1964" t="s">
        <v>574</v>
      </c>
      <c r="C1964" t="s">
        <v>182</v>
      </c>
      <c r="D1964" t="s">
        <v>129</v>
      </c>
      <c r="E1964" t="s">
        <v>377</v>
      </c>
      <c r="F1964" t="s">
        <v>310</v>
      </c>
      <c r="G1964" t="s">
        <v>39</v>
      </c>
      <c r="H1964" t="s">
        <v>310</v>
      </c>
      <c r="I1964">
        <v>2021</v>
      </c>
      <c r="J1964" t="s">
        <v>379</v>
      </c>
      <c r="K1964" t="s">
        <v>546</v>
      </c>
      <c r="L1964" s="784">
        <v>500000</v>
      </c>
      <c r="M1964" t="s">
        <v>745</v>
      </c>
      <c r="P1964" t="s">
        <v>1887</v>
      </c>
      <c r="R1964" t="s">
        <v>148</v>
      </c>
      <c r="S1964" t="s">
        <v>145</v>
      </c>
      <c r="U1964">
        <v>1</v>
      </c>
      <c r="V1964" t="s">
        <v>544</v>
      </c>
      <c r="W1964" t="s">
        <v>542</v>
      </c>
      <c r="X1964" s="784" t="s">
        <v>575</v>
      </c>
    </row>
    <row r="1965" spans="1:24">
      <c r="A1965" t="s">
        <v>358</v>
      </c>
      <c r="B1965" t="s">
        <v>576</v>
      </c>
      <c r="C1965" t="s">
        <v>183</v>
      </c>
      <c r="D1965" t="s">
        <v>129</v>
      </c>
      <c r="E1965" t="s">
        <v>377</v>
      </c>
      <c r="F1965" t="s">
        <v>310</v>
      </c>
      <c r="G1965" t="s">
        <v>39</v>
      </c>
      <c r="H1965" t="s">
        <v>310</v>
      </c>
      <c r="I1965">
        <v>2021</v>
      </c>
      <c r="J1965" t="s">
        <v>379</v>
      </c>
      <c r="K1965" t="s">
        <v>546</v>
      </c>
      <c r="L1965" s="784">
        <v>1582483</v>
      </c>
      <c r="M1965" t="s">
        <v>745</v>
      </c>
      <c r="P1965" t="s">
        <v>1887</v>
      </c>
      <c r="R1965" t="s">
        <v>148</v>
      </c>
      <c r="S1965" t="s">
        <v>145</v>
      </c>
      <c r="U1965">
        <v>1</v>
      </c>
      <c r="V1965" t="s">
        <v>544</v>
      </c>
      <c r="W1965" t="s">
        <v>542</v>
      </c>
      <c r="X1965" s="784">
        <v>76939306.715636879</v>
      </c>
    </row>
    <row r="1966" spans="1:24">
      <c r="A1966" t="s">
        <v>358</v>
      </c>
      <c r="B1966" t="s">
        <v>577</v>
      </c>
      <c r="C1966" t="s">
        <v>184</v>
      </c>
      <c r="D1966" t="s">
        <v>130</v>
      </c>
      <c r="E1966" t="s">
        <v>377</v>
      </c>
      <c r="F1966" t="s">
        <v>310</v>
      </c>
      <c r="G1966" t="s">
        <v>39</v>
      </c>
      <c r="H1966" t="s">
        <v>310</v>
      </c>
      <c r="I1966">
        <v>2021</v>
      </c>
      <c r="J1966" t="s">
        <v>379</v>
      </c>
      <c r="K1966" t="s">
        <v>546</v>
      </c>
      <c r="L1966" s="784">
        <v>0</v>
      </c>
      <c r="M1966" t="s">
        <v>745</v>
      </c>
      <c r="P1966" t="s">
        <v>1887</v>
      </c>
      <c r="R1966" t="s">
        <v>550</v>
      </c>
      <c r="S1966" t="s">
        <v>146</v>
      </c>
      <c r="U1966">
        <v>0</v>
      </c>
      <c r="V1966" t="s">
        <v>544</v>
      </c>
      <c r="W1966" t="s">
        <v>575</v>
      </c>
      <c r="X1966" s="784">
        <v>13859708717.682571</v>
      </c>
    </row>
    <row r="1967" spans="1:24">
      <c r="A1967" t="s">
        <v>358</v>
      </c>
      <c r="B1967" t="s">
        <v>578</v>
      </c>
      <c r="C1967" t="s">
        <v>185</v>
      </c>
      <c r="D1967" t="s">
        <v>126</v>
      </c>
      <c r="E1967" t="s">
        <v>377</v>
      </c>
      <c r="F1967" t="s">
        <v>310</v>
      </c>
      <c r="G1967" t="s">
        <v>39</v>
      </c>
      <c r="H1967" t="s">
        <v>310</v>
      </c>
      <c r="I1967">
        <v>2021</v>
      </c>
      <c r="J1967" t="s">
        <v>379</v>
      </c>
      <c r="K1967" t="s">
        <v>546</v>
      </c>
      <c r="L1967" s="784">
        <v>0</v>
      </c>
      <c r="M1967" t="s">
        <v>745</v>
      </c>
      <c r="P1967" t="s">
        <v>1887</v>
      </c>
      <c r="R1967" t="s">
        <v>152</v>
      </c>
      <c r="S1967" t="s">
        <v>146</v>
      </c>
      <c r="U1967">
        <v>0</v>
      </c>
      <c r="V1967" t="s">
        <v>544</v>
      </c>
      <c r="W1967" t="s">
        <v>575</v>
      </c>
      <c r="X1967" s="784">
        <v>403567160707.7016</v>
      </c>
    </row>
    <row r="1968" spans="1:24">
      <c r="A1968" t="s">
        <v>358</v>
      </c>
      <c r="B1968" t="s">
        <v>579</v>
      </c>
      <c r="C1968" t="s">
        <v>186</v>
      </c>
      <c r="D1968" t="s">
        <v>130</v>
      </c>
      <c r="E1968" t="s">
        <v>377</v>
      </c>
      <c r="F1968" t="s">
        <v>310</v>
      </c>
      <c r="G1968" t="s">
        <v>39</v>
      </c>
      <c r="H1968" t="s">
        <v>310</v>
      </c>
      <c r="I1968">
        <v>2021</v>
      </c>
      <c r="J1968" t="s">
        <v>379</v>
      </c>
      <c r="K1968" t="s">
        <v>546</v>
      </c>
      <c r="L1968" s="784">
        <v>0</v>
      </c>
      <c r="M1968" t="s">
        <v>745</v>
      </c>
      <c r="P1968" t="s">
        <v>1887</v>
      </c>
      <c r="R1968" t="s">
        <v>152</v>
      </c>
      <c r="S1968" t="s">
        <v>146</v>
      </c>
      <c r="U1968">
        <v>0</v>
      </c>
      <c r="V1968" t="s">
        <v>544</v>
      </c>
      <c r="W1968" t="s">
        <v>575</v>
      </c>
      <c r="X1968" s="784">
        <v>18250225995.972618</v>
      </c>
    </row>
    <row r="1969" spans="1:24">
      <c r="A1969" t="s">
        <v>358</v>
      </c>
      <c r="B1969" t="s">
        <v>580</v>
      </c>
      <c r="C1969" t="s">
        <v>187</v>
      </c>
      <c r="D1969" t="s">
        <v>128</v>
      </c>
      <c r="E1969" t="s">
        <v>377</v>
      </c>
      <c r="F1969" t="s">
        <v>310</v>
      </c>
      <c r="G1969" t="s">
        <v>39</v>
      </c>
      <c r="H1969" t="s">
        <v>310</v>
      </c>
      <c r="I1969">
        <v>2021</v>
      </c>
      <c r="J1969" t="s">
        <v>379</v>
      </c>
      <c r="K1969" t="s">
        <v>546</v>
      </c>
      <c r="L1969" s="784">
        <v>0</v>
      </c>
      <c r="M1969" t="s">
        <v>745</v>
      </c>
      <c r="P1969" t="s">
        <v>1887</v>
      </c>
      <c r="R1969" t="s">
        <v>150</v>
      </c>
      <c r="S1969" t="s">
        <v>145</v>
      </c>
      <c r="U1969">
        <v>0</v>
      </c>
      <c r="V1969" t="s">
        <v>541</v>
      </c>
      <c r="W1969" t="s">
        <v>562</v>
      </c>
      <c r="X1969" s="784">
        <v>5027591.1682657599</v>
      </c>
    </row>
    <row r="1970" spans="1:24">
      <c r="A1970" t="s">
        <v>358</v>
      </c>
      <c r="B1970" t="s">
        <v>581</v>
      </c>
      <c r="C1970" t="s">
        <v>188</v>
      </c>
      <c r="D1970" t="s">
        <v>129</v>
      </c>
      <c r="E1970" t="s">
        <v>377</v>
      </c>
      <c r="F1970" t="s">
        <v>310</v>
      </c>
      <c r="G1970" t="s">
        <v>39</v>
      </c>
      <c r="H1970" t="s">
        <v>310</v>
      </c>
      <c r="I1970">
        <v>2021</v>
      </c>
      <c r="J1970" t="s">
        <v>379</v>
      </c>
      <c r="K1970" t="s">
        <v>546</v>
      </c>
      <c r="L1970" s="784">
        <v>2438852</v>
      </c>
      <c r="M1970" t="s">
        <v>745</v>
      </c>
      <c r="P1970" t="s">
        <v>1887</v>
      </c>
      <c r="R1970" t="s">
        <v>148</v>
      </c>
      <c r="S1970" t="s">
        <v>145</v>
      </c>
      <c r="U1970">
        <v>3</v>
      </c>
      <c r="V1970" t="s">
        <v>544</v>
      </c>
      <c r="W1970" t="s">
        <v>562</v>
      </c>
      <c r="X1970" s="784">
        <v>234645958.63289919</v>
      </c>
    </row>
    <row r="1971" spans="1:24">
      <c r="A1971" t="s">
        <v>358</v>
      </c>
      <c r="B1971" t="s">
        <v>582</v>
      </c>
      <c r="C1971" t="s">
        <v>189</v>
      </c>
      <c r="D1971" t="s">
        <v>129</v>
      </c>
      <c r="E1971" t="s">
        <v>377</v>
      </c>
      <c r="F1971" t="s">
        <v>310</v>
      </c>
      <c r="G1971" t="s">
        <v>39</v>
      </c>
      <c r="H1971" t="s">
        <v>310</v>
      </c>
      <c r="I1971">
        <v>2021</v>
      </c>
      <c r="J1971" t="s">
        <v>379</v>
      </c>
      <c r="K1971" t="s">
        <v>546</v>
      </c>
      <c r="L1971" s="784">
        <v>0</v>
      </c>
      <c r="M1971" t="s">
        <v>745</v>
      </c>
      <c r="P1971" t="s">
        <v>1887</v>
      </c>
      <c r="R1971" t="s">
        <v>150</v>
      </c>
      <c r="S1971" t="s">
        <v>145</v>
      </c>
      <c r="U1971">
        <v>2</v>
      </c>
      <c r="V1971" t="s">
        <v>544</v>
      </c>
      <c r="W1971" t="s">
        <v>583</v>
      </c>
      <c r="X1971" s="784">
        <v>91590910.247314155</v>
      </c>
    </row>
    <row r="1972" spans="1:24">
      <c r="A1972" t="s">
        <v>358</v>
      </c>
      <c r="B1972" t="s">
        <v>584</v>
      </c>
      <c r="C1972" t="s">
        <v>190</v>
      </c>
      <c r="D1972" t="s">
        <v>126</v>
      </c>
      <c r="E1972" t="s">
        <v>377</v>
      </c>
      <c r="F1972" t="s">
        <v>310</v>
      </c>
      <c r="G1972" t="s">
        <v>39</v>
      </c>
      <c r="H1972" t="s">
        <v>310</v>
      </c>
      <c r="I1972">
        <v>2021</v>
      </c>
      <c r="J1972" t="s">
        <v>379</v>
      </c>
      <c r="K1972" t="s">
        <v>546</v>
      </c>
      <c r="L1972" s="784">
        <v>0</v>
      </c>
      <c r="M1972" t="s">
        <v>745</v>
      </c>
      <c r="P1972" t="s">
        <v>1887</v>
      </c>
      <c r="R1972" t="s">
        <v>322</v>
      </c>
      <c r="S1972" t="s">
        <v>146</v>
      </c>
      <c r="U1972">
        <v>0</v>
      </c>
      <c r="V1972" t="s">
        <v>541</v>
      </c>
      <c r="W1972" t="s">
        <v>546</v>
      </c>
      <c r="X1972" s="784">
        <v>8560012.8840167802</v>
      </c>
    </row>
    <row r="1973" spans="1:24">
      <c r="A1973" t="s">
        <v>358</v>
      </c>
      <c r="B1973" t="s">
        <v>585</v>
      </c>
      <c r="C1973" t="s">
        <v>191</v>
      </c>
      <c r="D1973" t="s">
        <v>130</v>
      </c>
      <c r="E1973" t="s">
        <v>377</v>
      </c>
      <c r="F1973" t="s">
        <v>310</v>
      </c>
      <c r="G1973" t="s">
        <v>39</v>
      </c>
      <c r="H1973" t="s">
        <v>310</v>
      </c>
      <c r="I1973">
        <v>2021</v>
      </c>
      <c r="J1973" t="s">
        <v>379</v>
      </c>
      <c r="K1973" t="s">
        <v>546</v>
      </c>
      <c r="L1973" s="784">
        <v>0</v>
      </c>
      <c r="M1973" t="s">
        <v>745</v>
      </c>
      <c r="P1973" t="s">
        <v>1887</v>
      </c>
      <c r="R1973" t="s">
        <v>152</v>
      </c>
      <c r="S1973" t="s">
        <v>146</v>
      </c>
      <c r="U1973">
        <v>0</v>
      </c>
      <c r="V1973" t="s">
        <v>544</v>
      </c>
      <c r="W1973" t="s">
        <v>546</v>
      </c>
      <c r="X1973" s="784">
        <v>3292372960.3962669</v>
      </c>
    </row>
    <row r="1974" spans="1:24">
      <c r="A1974" t="s">
        <v>358</v>
      </c>
      <c r="B1974" t="s">
        <v>586</v>
      </c>
      <c r="C1974" t="s">
        <v>192</v>
      </c>
      <c r="D1974" t="s">
        <v>129</v>
      </c>
      <c r="E1974" t="s">
        <v>377</v>
      </c>
      <c r="F1974" t="s">
        <v>310</v>
      </c>
      <c r="G1974" t="s">
        <v>39</v>
      </c>
      <c r="H1974" t="s">
        <v>310</v>
      </c>
      <c r="I1974">
        <v>2021</v>
      </c>
      <c r="J1974" t="s">
        <v>379</v>
      </c>
      <c r="K1974" t="s">
        <v>546</v>
      </c>
      <c r="L1974" s="784">
        <v>1000526</v>
      </c>
      <c r="M1974" t="s">
        <v>745</v>
      </c>
      <c r="P1974" t="s">
        <v>1887</v>
      </c>
      <c r="R1974" t="s">
        <v>150</v>
      </c>
      <c r="S1974" t="s">
        <v>145</v>
      </c>
      <c r="U1974">
        <v>0</v>
      </c>
      <c r="V1974" t="s">
        <v>544</v>
      </c>
      <c r="W1974" t="s">
        <v>562</v>
      </c>
      <c r="X1974" s="784">
        <v>519209981.22981054</v>
      </c>
    </row>
    <row r="1975" spans="1:24">
      <c r="A1975" t="s">
        <v>358</v>
      </c>
      <c r="B1975" t="s">
        <v>587</v>
      </c>
      <c r="C1975" t="s">
        <v>193</v>
      </c>
      <c r="D1975" t="s">
        <v>127</v>
      </c>
      <c r="E1975" t="s">
        <v>377</v>
      </c>
      <c r="F1975" t="s">
        <v>310</v>
      </c>
      <c r="G1975" t="s">
        <v>39</v>
      </c>
      <c r="H1975" t="s">
        <v>310</v>
      </c>
      <c r="I1975">
        <v>2021</v>
      </c>
      <c r="J1975" t="s">
        <v>379</v>
      </c>
      <c r="K1975" t="s">
        <v>546</v>
      </c>
      <c r="L1975" s="784">
        <v>0</v>
      </c>
      <c r="M1975" t="s">
        <v>745</v>
      </c>
      <c r="P1975" t="s">
        <v>1887</v>
      </c>
      <c r="R1975" t="s">
        <v>550</v>
      </c>
      <c r="S1975" t="s">
        <v>146</v>
      </c>
      <c r="U1975">
        <v>0</v>
      </c>
      <c r="V1975" t="s">
        <v>544</v>
      </c>
      <c r="W1975" t="s">
        <v>575</v>
      </c>
      <c r="X1975" s="784">
        <v>3464739907.1604805</v>
      </c>
    </row>
    <row r="1976" spans="1:24">
      <c r="A1976" t="s">
        <v>358</v>
      </c>
      <c r="B1976" t="s">
        <v>588</v>
      </c>
      <c r="C1976" t="s">
        <v>147</v>
      </c>
      <c r="D1976" t="s">
        <v>130</v>
      </c>
      <c r="E1976" t="s">
        <v>377</v>
      </c>
      <c r="F1976" t="s">
        <v>310</v>
      </c>
      <c r="G1976" t="s">
        <v>39</v>
      </c>
      <c r="H1976" t="s">
        <v>310</v>
      </c>
      <c r="I1976">
        <v>2021</v>
      </c>
      <c r="J1976" t="s">
        <v>379</v>
      </c>
      <c r="K1976" t="s">
        <v>546</v>
      </c>
      <c r="L1976" s="784">
        <v>0</v>
      </c>
      <c r="M1976" t="s">
        <v>745</v>
      </c>
      <c r="P1976" t="s">
        <v>1887</v>
      </c>
      <c r="R1976" t="s">
        <v>152</v>
      </c>
      <c r="S1976" t="s">
        <v>146</v>
      </c>
      <c r="U1976">
        <v>0</v>
      </c>
      <c r="V1976" t="s">
        <v>541</v>
      </c>
      <c r="W1976" t="s">
        <v>575</v>
      </c>
      <c r="X1976" s="784">
        <v>9948521252.2569065</v>
      </c>
    </row>
    <row r="1977" spans="1:24">
      <c r="A1977" t="s">
        <v>358</v>
      </c>
      <c r="B1977" t="s">
        <v>589</v>
      </c>
      <c r="C1977" t="s">
        <v>194</v>
      </c>
      <c r="D1977" t="s">
        <v>131</v>
      </c>
      <c r="E1977" t="s">
        <v>377</v>
      </c>
      <c r="F1977" t="s">
        <v>310</v>
      </c>
      <c r="G1977" t="s">
        <v>39</v>
      </c>
      <c r="H1977" t="s">
        <v>310</v>
      </c>
      <c r="I1977">
        <v>2021</v>
      </c>
      <c r="J1977" t="s">
        <v>379</v>
      </c>
      <c r="K1977" t="s">
        <v>546</v>
      </c>
      <c r="L1977" s="784">
        <v>0</v>
      </c>
      <c r="M1977" t="s">
        <v>745</v>
      </c>
      <c r="P1977" t="s">
        <v>1887</v>
      </c>
      <c r="R1977" t="s">
        <v>150</v>
      </c>
      <c r="S1977" t="s">
        <v>145</v>
      </c>
      <c r="U1977">
        <v>1</v>
      </c>
      <c r="V1977" t="s">
        <v>544</v>
      </c>
      <c r="W1977" t="s">
        <v>542</v>
      </c>
      <c r="X1977" s="784">
        <v>33679192.765657313</v>
      </c>
    </row>
    <row r="1978" spans="1:24">
      <c r="A1978" t="s">
        <v>358</v>
      </c>
      <c r="B1978" t="s">
        <v>590</v>
      </c>
      <c r="C1978" t="s">
        <v>195</v>
      </c>
      <c r="D1978" t="s">
        <v>130</v>
      </c>
      <c r="E1978" t="s">
        <v>377</v>
      </c>
      <c r="F1978" t="s">
        <v>310</v>
      </c>
      <c r="G1978" t="s">
        <v>39</v>
      </c>
      <c r="H1978" t="s">
        <v>310</v>
      </c>
      <c r="I1978">
        <v>2021</v>
      </c>
      <c r="J1978" t="s">
        <v>379</v>
      </c>
      <c r="K1978" t="s">
        <v>546</v>
      </c>
      <c r="L1978" s="784">
        <v>0</v>
      </c>
      <c r="M1978" t="s">
        <v>745</v>
      </c>
      <c r="P1978" t="s">
        <v>1887</v>
      </c>
      <c r="R1978" t="s">
        <v>152</v>
      </c>
      <c r="S1978" t="s">
        <v>145</v>
      </c>
      <c r="U1978">
        <v>0</v>
      </c>
      <c r="V1978" t="s">
        <v>541</v>
      </c>
      <c r="W1978" t="s">
        <v>548</v>
      </c>
      <c r="X1978" s="784">
        <v>22784494.365742501</v>
      </c>
    </row>
    <row r="1979" spans="1:24">
      <c r="A1979" t="s">
        <v>358</v>
      </c>
      <c r="B1979" t="s">
        <v>591</v>
      </c>
      <c r="C1979" t="s">
        <v>196</v>
      </c>
      <c r="D1979" t="s">
        <v>130</v>
      </c>
      <c r="E1979" t="s">
        <v>377</v>
      </c>
      <c r="F1979" t="s">
        <v>310</v>
      </c>
      <c r="G1979" t="s">
        <v>39</v>
      </c>
      <c r="H1979" t="s">
        <v>310</v>
      </c>
      <c r="I1979">
        <v>2021</v>
      </c>
      <c r="J1979" t="s">
        <v>379</v>
      </c>
      <c r="K1979" t="s">
        <v>546</v>
      </c>
      <c r="L1979" s="784">
        <v>0</v>
      </c>
      <c r="M1979" t="s">
        <v>745</v>
      </c>
      <c r="P1979" t="s">
        <v>1887</v>
      </c>
      <c r="R1979" t="s">
        <v>152</v>
      </c>
      <c r="S1979" t="s">
        <v>146</v>
      </c>
      <c r="U1979">
        <v>0</v>
      </c>
      <c r="V1979" t="s">
        <v>541</v>
      </c>
      <c r="W1979" t="s">
        <v>575</v>
      </c>
      <c r="X1979" s="784">
        <v>2173208011.4858823</v>
      </c>
    </row>
    <row r="1980" spans="1:24">
      <c r="A1980" t="s">
        <v>358</v>
      </c>
      <c r="B1980" t="s">
        <v>592</v>
      </c>
      <c r="C1980" t="s">
        <v>197</v>
      </c>
      <c r="D1980" t="s">
        <v>130</v>
      </c>
      <c r="E1980" t="s">
        <v>377</v>
      </c>
      <c r="F1980" t="s">
        <v>310</v>
      </c>
      <c r="G1980" t="s">
        <v>39</v>
      </c>
      <c r="H1980" t="s">
        <v>310</v>
      </c>
      <c r="I1980">
        <v>2021</v>
      </c>
      <c r="J1980" t="s">
        <v>379</v>
      </c>
      <c r="K1980" t="s">
        <v>546</v>
      </c>
      <c r="L1980" s="784">
        <v>0</v>
      </c>
      <c r="M1980" t="s">
        <v>745</v>
      </c>
      <c r="P1980" t="s">
        <v>1887</v>
      </c>
      <c r="R1980" t="s">
        <v>152</v>
      </c>
      <c r="S1980" t="s">
        <v>146</v>
      </c>
      <c r="U1980">
        <v>0</v>
      </c>
      <c r="V1980" t="s">
        <v>544</v>
      </c>
      <c r="W1980" t="s">
        <v>546</v>
      </c>
      <c r="X1980" s="784">
        <v>4585736158.8323269</v>
      </c>
    </row>
    <row r="1981" spans="1:24">
      <c r="A1981" t="s">
        <v>358</v>
      </c>
      <c r="B1981" t="s">
        <v>593</v>
      </c>
      <c r="C1981" t="s">
        <v>198</v>
      </c>
      <c r="D1981" t="s">
        <v>131</v>
      </c>
      <c r="E1981" t="s">
        <v>377</v>
      </c>
      <c r="F1981" t="s">
        <v>310</v>
      </c>
      <c r="G1981" t="s">
        <v>39</v>
      </c>
      <c r="H1981" t="s">
        <v>310</v>
      </c>
      <c r="I1981">
        <v>2021</v>
      </c>
      <c r="J1981" t="s">
        <v>379</v>
      </c>
      <c r="K1981" t="s">
        <v>546</v>
      </c>
      <c r="L1981" s="784">
        <v>0</v>
      </c>
      <c r="M1981" t="s">
        <v>745</v>
      </c>
      <c r="P1981" t="s">
        <v>1887</v>
      </c>
      <c r="R1981" t="s">
        <v>150</v>
      </c>
      <c r="S1981" t="s">
        <v>145</v>
      </c>
      <c r="U1981">
        <v>0</v>
      </c>
      <c r="V1981" t="s">
        <v>544</v>
      </c>
      <c r="W1981" t="s">
        <v>546</v>
      </c>
      <c r="X1981" s="784">
        <v>3550291584.8645592</v>
      </c>
    </row>
    <row r="1982" spans="1:24">
      <c r="A1982" t="s">
        <v>358</v>
      </c>
      <c r="B1982" t="s">
        <v>594</v>
      </c>
      <c r="C1982" t="s">
        <v>199</v>
      </c>
      <c r="D1982" t="s">
        <v>130</v>
      </c>
      <c r="E1982" t="s">
        <v>377</v>
      </c>
      <c r="F1982" t="s">
        <v>310</v>
      </c>
      <c r="G1982" t="s">
        <v>39</v>
      </c>
      <c r="H1982" t="s">
        <v>310</v>
      </c>
      <c r="I1982">
        <v>2021</v>
      </c>
      <c r="J1982" t="s">
        <v>379</v>
      </c>
      <c r="K1982" t="s">
        <v>546</v>
      </c>
      <c r="L1982" s="784">
        <v>0</v>
      </c>
      <c r="M1982" t="s">
        <v>745</v>
      </c>
      <c r="P1982" t="s">
        <v>1887</v>
      </c>
      <c r="R1982" t="s">
        <v>150</v>
      </c>
      <c r="S1982" t="s">
        <v>145</v>
      </c>
      <c r="U1982">
        <v>0</v>
      </c>
      <c r="V1982" t="s">
        <v>544</v>
      </c>
      <c r="W1982" t="s">
        <v>546</v>
      </c>
      <c r="X1982" s="784">
        <v>1182840319.0410969</v>
      </c>
    </row>
    <row r="1983" spans="1:24">
      <c r="A1983" t="s">
        <v>358</v>
      </c>
      <c r="B1983" t="s">
        <v>595</v>
      </c>
      <c r="C1983" t="s">
        <v>200</v>
      </c>
      <c r="D1983" t="s">
        <v>130</v>
      </c>
      <c r="E1983" t="s">
        <v>377</v>
      </c>
      <c r="F1983" t="s">
        <v>310</v>
      </c>
      <c r="G1983" t="s">
        <v>39</v>
      </c>
      <c r="H1983" t="s">
        <v>310</v>
      </c>
      <c r="I1983">
        <v>2021</v>
      </c>
      <c r="J1983" t="s">
        <v>379</v>
      </c>
      <c r="K1983" t="s">
        <v>546</v>
      </c>
      <c r="L1983" s="784">
        <v>0</v>
      </c>
      <c r="M1983" t="s">
        <v>745</v>
      </c>
      <c r="P1983" t="s">
        <v>1887</v>
      </c>
      <c r="R1983" t="s">
        <v>152</v>
      </c>
      <c r="S1983" t="s">
        <v>146</v>
      </c>
      <c r="U1983">
        <v>0</v>
      </c>
      <c r="V1983" t="s">
        <v>544</v>
      </c>
      <c r="W1983" t="s">
        <v>575</v>
      </c>
      <c r="X1983" s="784">
        <v>81728347.604567245</v>
      </c>
    </row>
    <row r="1984" spans="1:24">
      <c r="A1984" t="s">
        <v>358</v>
      </c>
      <c r="B1984" t="s">
        <v>596</v>
      </c>
      <c r="C1984" t="s">
        <v>201</v>
      </c>
      <c r="D1984" t="s">
        <v>128</v>
      </c>
      <c r="E1984" t="s">
        <v>377</v>
      </c>
      <c r="F1984" t="s">
        <v>310</v>
      </c>
      <c r="G1984" t="s">
        <v>39</v>
      </c>
      <c r="H1984" t="s">
        <v>310</v>
      </c>
      <c r="I1984">
        <v>2021</v>
      </c>
      <c r="J1984" t="s">
        <v>379</v>
      </c>
      <c r="K1984" t="s">
        <v>546</v>
      </c>
      <c r="L1984" s="784">
        <v>0</v>
      </c>
      <c r="M1984" t="s">
        <v>745</v>
      </c>
      <c r="P1984" t="s">
        <v>1887</v>
      </c>
      <c r="R1984" t="s">
        <v>148</v>
      </c>
      <c r="S1984" t="s">
        <v>145</v>
      </c>
      <c r="U1984">
        <v>2</v>
      </c>
      <c r="V1984" t="s">
        <v>544</v>
      </c>
      <c r="W1984" t="s">
        <v>546</v>
      </c>
      <c r="X1984" s="784">
        <v>12787914.977715338</v>
      </c>
    </row>
    <row r="1985" spans="1:24">
      <c r="A1985" t="s">
        <v>358</v>
      </c>
      <c r="B1985" t="s">
        <v>597</v>
      </c>
      <c r="C1985" t="s">
        <v>202</v>
      </c>
      <c r="D1985" t="s">
        <v>128</v>
      </c>
      <c r="E1985" t="s">
        <v>377</v>
      </c>
      <c r="F1985" t="s">
        <v>310</v>
      </c>
      <c r="G1985" t="s">
        <v>39</v>
      </c>
      <c r="H1985" t="s">
        <v>310</v>
      </c>
      <c r="I1985">
        <v>2021</v>
      </c>
      <c r="J1985" t="s">
        <v>379</v>
      </c>
      <c r="K1985" t="s">
        <v>546</v>
      </c>
      <c r="L1985" s="784">
        <v>0</v>
      </c>
      <c r="M1985" t="s">
        <v>745</v>
      </c>
      <c r="P1985" t="s">
        <v>1887</v>
      </c>
      <c r="R1985" t="s">
        <v>150</v>
      </c>
      <c r="S1985" t="s">
        <v>145</v>
      </c>
      <c r="U1985">
        <v>2</v>
      </c>
      <c r="V1985" t="s">
        <v>544</v>
      </c>
      <c r="W1985" t="s">
        <v>546</v>
      </c>
      <c r="X1985" s="784">
        <v>101271737.65410839</v>
      </c>
    </row>
    <row r="1986" spans="1:24">
      <c r="A1986" t="s">
        <v>358</v>
      </c>
      <c r="B1986" t="s">
        <v>598</v>
      </c>
      <c r="C1986" t="s">
        <v>203</v>
      </c>
      <c r="D1986" t="s">
        <v>128</v>
      </c>
      <c r="E1986" t="s">
        <v>377</v>
      </c>
      <c r="F1986" t="s">
        <v>310</v>
      </c>
      <c r="G1986" t="s">
        <v>39</v>
      </c>
      <c r="H1986" t="s">
        <v>310</v>
      </c>
      <c r="I1986">
        <v>2021</v>
      </c>
      <c r="J1986" t="s">
        <v>379</v>
      </c>
      <c r="K1986" t="s">
        <v>546</v>
      </c>
      <c r="L1986" s="784">
        <v>0</v>
      </c>
      <c r="M1986" t="s">
        <v>745</v>
      </c>
      <c r="P1986" t="s">
        <v>1887</v>
      </c>
      <c r="R1986" t="s">
        <v>148</v>
      </c>
      <c r="S1986" t="s">
        <v>145</v>
      </c>
      <c r="U1986">
        <v>3</v>
      </c>
      <c r="V1986" t="s">
        <v>544</v>
      </c>
      <c r="W1986" t="s">
        <v>542</v>
      </c>
      <c r="X1986" s="784">
        <v>618344226.71759331</v>
      </c>
    </row>
    <row r="1987" spans="1:24">
      <c r="A1987" t="s">
        <v>358</v>
      </c>
      <c r="B1987" t="s">
        <v>599</v>
      </c>
      <c r="C1987" t="s">
        <v>204</v>
      </c>
      <c r="D1987" t="s">
        <v>126</v>
      </c>
      <c r="E1987" t="s">
        <v>377</v>
      </c>
      <c r="F1987" t="s">
        <v>310</v>
      </c>
      <c r="G1987" t="s">
        <v>39</v>
      </c>
      <c r="H1987" t="s">
        <v>310</v>
      </c>
      <c r="I1987">
        <v>2021</v>
      </c>
      <c r="J1987" t="s">
        <v>379</v>
      </c>
      <c r="K1987" t="s">
        <v>546</v>
      </c>
      <c r="L1987" s="784">
        <v>0</v>
      </c>
      <c r="M1987" t="s">
        <v>745</v>
      </c>
      <c r="P1987" t="s">
        <v>1887</v>
      </c>
      <c r="R1987" t="s">
        <v>152</v>
      </c>
      <c r="S1987" t="s">
        <v>145</v>
      </c>
      <c r="U1987">
        <v>0</v>
      </c>
      <c r="V1987" t="s">
        <v>541</v>
      </c>
      <c r="W1987" t="s">
        <v>548</v>
      </c>
      <c r="X1987" s="784">
        <v>129483872.95906857</v>
      </c>
    </row>
    <row r="1988" spans="1:24">
      <c r="A1988" t="s">
        <v>358</v>
      </c>
      <c r="B1988" t="s">
        <v>600</v>
      </c>
      <c r="C1988" t="s">
        <v>205</v>
      </c>
      <c r="D1988" t="s">
        <v>129</v>
      </c>
      <c r="E1988" t="s">
        <v>377</v>
      </c>
      <c r="F1988" t="s">
        <v>310</v>
      </c>
      <c r="G1988" t="s">
        <v>39</v>
      </c>
      <c r="H1988" t="s">
        <v>310</v>
      </c>
      <c r="I1988">
        <v>2021</v>
      </c>
      <c r="J1988" t="s">
        <v>379</v>
      </c>
      <c r="K1988" t="s">
        <v>546</v>
      </c>
      <c r="L1988" s="784">
        <v>0</v>
      </c>
      <c r="M1988" t="s">
        <v>745</v>
      </c>
      <c r="P1988" t="s">
        <v>1887</v>
      </c>
      <c r="R1988" t="s">
        <v>152</v>
      </c>
      <c r="S1988" t="s">
        <v>146</v>
      </c>
      <c r="U1988">
        <v>0</v>
      </c>
      <c r="V1988" t="s">
        <v>544</v>
      </c>
      <c r="W1988" t="s">
        <v>546</v>
      </c>
      <c r="X1988" s="784">
        <v>271184658.35014349</v>
      </c>
    </row>
    <row r="1989" spans="1:24">
      <c r="A1989" t="s">
        <v>358</v>
      </c>
      <c r="B1989" t="s">
        <v>601</v>
      </c>
      <c r="C1989" t="s">
        <v>206</v>
      </c>
      <c r="D1989" t="s">
        <v>129</v>
      </c>
      <c r="E1989" t="s">
        <v>377</v>
      </c>
      <c r="F1989" t="s">
        <v>310</v>
      </c>
      <c r="G1989" t="s">
        <v>39</v>
      </c>
      <c r="H1989" t="s">
        <v>310</v>
      </c>
      <c r="I1989">
        <v>2021</v>
      </c>
      <c r="J1989" t="s">
        <v>379</v>
      </c>
      <c r="K1989" t="s">
        <v>546</v>
      </c>
      <c r="L1989" s="784">
        <v>0</v>
      </c>
      <c r="M1989" t="s">
        <v>745</v>
      </c>
      <c r="P1989" t="s">
        <v>1887</v>
      </c>
      <c r="R1989" t="s">
        <v>148</v>
      </c>
      <c r="S1989" t="s">
        <v>145</v>
      </c>
      <c r="U1989">
        <v>0</v>
      </c>
      <c r="V1989" t="s">
        <v>544</v>
      </c>
      <c r="W1989" t="s">
        <v>542</v>
      </c>
      <c r="X1989" s="784">
        <v>15455265.086884515</v>
      </c>
    </row>
    <row r="1990" spans="1:24">
      <c r="A1990" t="s">
        <v>358</v>
      </c>
      <c r="B1990" t="s">
        <v>602</v>
      </c>
      <c r="C1990" t="s">
        <v>207</v>
      </c>
      <c r="D1990" t="s">
        <v>127</v>
      </c>
      <c r="E1990" t="s">
        <v>377</v>
      </c>
      <c r="F1990" t="s">
        <v>310</v>
      </c>
      <c r="G1990" t="s">
        <v>39</v>
      </c>
      <c r="H1990" t="s">
        <v>310</v>
      </c>
      <c r="I1990">
        <v>2021</v>
      </c>
      <c r="J1990" t="s">
        <v>379</v>
      </c>
      <c r="K1990" t="s">
        <v>546</v>
      </c>
      <c r="L1990" s="784">
        <v>0</v>
      </c>
      <c r="M1990" t="s">
        <v>745</v>
      </c>
      <c r="P1990" t="s">
        <v>1887</v>
      </c>
      <c r="R1990" t="s">
        <v>152</v>
      </c>
      <c r="S1990" t="s">
        <v>146</v>
      </c>
      <c r="U1990">
        <v>0</v>
      </c>
      <c r="V1990" t="s">
        <v>544</v>
      </c>
      <c r="W1990" t="s">
        <v>546</v>
      </c>
      <c r="X1990" s="784">
        <v>494021502.525527</v>
      </c>
    </row>
    <row r="1991" spans="1:24">
      <c r="A1991" t="s">
        <v>358</v>
      </c>
      <c r="B1991" t="s">
        <v>603</v>
      </c>
      <c r="C1991" t="s">
        <v>208</v>
      </c>
      <c r="D1991" t="s">
        <v>129</v>
      </c>
      <c r="E1991" t="s">
        <v>377</v>
      </c>
      <c r="F1991" t="s">
        <v>310</v>
      </c>
      <c r="G1991" t="s">
        <v>39</v>
      </c>
      <c r="H1991" t="s">
        <v>310</v>
      </c>
      <c r="I1991">
        <v>2021</v>
      </c>
      <c r="J1991" t="s">
        <v>379</v>
      </c>
      <c r="K1991" t="s">
        <v>546</v>
      </c>
      <c r="L1991" s="784">
        <v>0</v>
      </c>
      <c r="M1991" t="s">
        <v>745</v>
      </c>
      <c r="P1991" t="s">
        <v>1887</v>
      </c>
      <c r="R1991" t="s">
        <v>150</v>
      </c>
      <c r="S1991" t="s">
        <v>145</v>
      </c>
      <c r="U1991">
        <v>0</v>
      </c>
      <c r="V1991" t="s">
        <v>544</v>
      </c>
      <c r="W1991" t="s">
        <v>542</v>
      </c>
      <c r="X1991" s="784">
        <v>902005621.73836684</v>
      </c>
    </row>
    <row r="1992" spans="1:24">
      <c r="A1992" t="s">
        <v>358</v>
      </c>
      <c r="B1992" t="s">
        <v>604</v>
      </c>
      <c r="C1992" t="s">
        <v>209</v>
      </c>
      <c r="D1992" t="s">
        <v>130</v>
      </c>
      <c r="E1992" t="s">
        <v>377</v>
      </c>
      <c r="F1992" t="s">
        <v>310</v>
      </c>
      <c r="G1992" t="s">
        <v>39</v>
      </c>
      <c r="H1992" t="s">
        <v>310</v>
      </c>
      <c r="I1992">
        <v>2021</v>
      </c>
      <c r="J1992" t="s">
        <v>379</v>
      </c>
      <c r="K1992" t="s">
        <v>546</v>
      </c>
      <c r="L1992" s="784">
        <v>0</v>
      </c>
      <c r="M1992" t="s">
        <v>745</v>
      </c>
      <c r="P1992" t="s">
        <v>1887</v>
      </c>
      <c r="R1992" t="s">
        <v>152</v>
      </c>
      <c r="S1992" t="s">
        <v>145</v>
      </c>
      <c r="U1992">
        <v>0</v>
      </c>
      <c r="V1992" t="s">
        <v>541</v>
      </c>
      <c r="W1992" t="s">
        <v>583</v>
      </c>
      <c r="X1992" s="784">
        <v>20201670.142996579</v>
      </c>
    </row>
    <row r="1993" spans="1:24">
      <c r="A1993" t="s">
        <v>358</v>
      </c>
      <c r="B1993" t="s">
        <v>605</v>
      </c>
      <c r="C1993" t="s">
        <v>210</v>
      </c>
      <c r="D1993" t="s">
        <v>130</v>
      </c>
      <c r="E1993" t="s">
        <v>377</v>
      </c>
      <c r="F1993" t="s">
        <v>310</v>
      </c>
      <c r="G1993" t="s">
        <v>39</v>
      </c>
      <c r="H1993" t="s">
        <v>310</v>
      </c>
      <c r="I1993">
        <v>2021</v>
      </c>
      <c r="J1993" t="s">
        <v>379</v>
      </c>
      <c r="K1993" t="s">
        <v>546</v>
      </c>
      <c r="L1993" s="784">
        <v>0</v>
      </c>
      <c r="M1993" t="s">
        <v>745</v>
      </c>
      <c r="P1993" t="s">
        <v>1887</v>
      </c>
      <c r="R1993" t="s">
        <v>152</v>
      </c>
      <c r="S1993" t="s">
        <v>146</v>
      </c>
      <c r="U1993">
        <v>0</v>
      </c>
      <c r="V1993" t="s">
        <v>544</v>
      </c>
      <c r="W1993" t="s">
        <v>575</v>
      </c>
      <c r="X1993" s="784">
        <v>1612434649.6948864</v>
      </c>
    </row>
    <row r="1994" spans="1:24">
      <c r="A1994" t="s">
        <v>358</v>
      </c>
      <c r="B1994" t="s">
        <v>606</v>
      </c>
      <c r="C1994" t="s">
        <v>211</v>
      </c>
      <c r="D1994" t="s">
        <v>129</v>
      </c>
      <c r="E1994" t="s">
        <v>377</v>
      </c>
      <c r="F1994" t="s">
        <v>310</v>
      </c>
      <c r="G1994" t="s">
        <v>39</v>
      </c>
      <c r="H1994" t="s">
        <v>310</v>
      </c>
      <c r="I1994">
        <v>2021</v>
      </c>
      <c r="J1994" t="s">
        <v>379</v>
      </c>
      <c r="K1994" t="s">
        <v>546</v>
      </c>
      <c r="L1994" s="784">
        <v>0</v>
      </c>
      <c r="M1994" t="s">
        <v>745</v>
      </c>
      <c r="P1994" t="s">
        <v>1887</v>
      </c>
      <c r="R1994" t="s">
        <v>148</v>
      </c>
      <c r="S1994" t="s">
        <v>145</v>
      </c>
      <c r="U1994">
        <v>0</v>
      </c>
      <c r="V1994" t="s">
        <v>544</v>
      </c>
      <c r="W1994" t="s">
        <v>562</v>
      </c>
      <c r="X1994" s="784">
        <v>78203134.118229344</v>
      </c>
    </row>
    <row r="1995" spans="1:24">
      <c r="A1995" t="s">
        <v>358</v>
      </c>
      <c r="B1995" t="s">
        <v>607</v>
      </c>
      <c r="C1995" t="s">
        <v>212</v>
      </c>
      <c r="D1995" t="s">
        <v>129</v>
      </c>
      <c r="E1995" t="s">
        <v>377</v>
      </c>
      <c r="F1995" t="s">
        <v>310</v>
      </c>
      <c r="G1995" t="s">
        <v>39</v>
      </c>
      <c r="H1995" t="s">
        <v>310</v>
      </c>
      <c r="I1995">
        <v>2021</v>
      </c>
      <c r="J1995" t="s">
        <v>379</v>
      </c>
      <c r="K1995" t="s">
        <v>546</v>
      </c>
      <c r="L1995" s="784">
        <v>0</v>
      </c>
      <c r="M1995" t="s">
        <v>745</v>
      </c>
      <c r="P1995" t="s">
        <v>1887</v>
      </c>
      <c r="R1995" t="s">
        <v>148</v>
      </c>
      <c r="S1995" t="s">
        <v>145</v>
      </c>
      <c r="U1995">
        <v>2</v>
      </c>
      <c r="V1995" t="s">
        <v>541</v>
      </c>
      <c r="W1995" t="s">
        <v>542</v>
      </c>
      <c r="X1995" s="784">
        <v>9151637.7411015611</v>
      </c>
    </row>
    <row r="1996" spans="1:24">
      <c r="A1996" t="s">
        <v>358</v>
      </c>
      <c r="B1996" t="s">
        <v>608</v>
      </c>
      <c r="C1996" t="s">
        <v>213</v>
      </c>
      <c r="D1996" t="s">
        <v>130</v>
      </c>
      <c r="E1996" t="s">
        <v>377</v>
      </c>
      <c r="F1996" t="s">
        <v>310</v>
      </c>
      <c r="G1996" t="s">
        <v>39</v>
      </c>
      <c r="H1996" t="s">
        <v>310</v>
      </c>
      <c r="I1996">
        <v>2021</v>
      </c>
      <c r="J1996" t="s">
        <v>379</v>
      </c>
      <c r="K1996" t="s">
        <v>546</v>
      </c>
      <c r="L1996" s="784">
        <v>0</v>
      </c>
      <c r="M1996" t="s">
        <v>745</v>
      </c>
      <c r="P1996" t="s">
        <v>1887</v>
      </c>
      <c r="R1996" t="s">
        <v>152</v>
      </c>
      <c r="S1996" t="s">
        <v>145</v>
      </c>
      <c r="U1996">
        <v>0</v>
      </c>
      <c r="V1996" t="s">
        <v>541</v>
      </c>
      <c r="W1996" t="s">
        <v>562</v>
      </c>
      <c r="X1996" s="784">
        <v>142455920.02856269</v>
      </c>
    </row>
    <row r="1997" spans="1:24">
      <c r="A1997" t="s">
        <v>358</v>
      </c>
      <c r="B1997" t="s">
        <v>609</v>
      </c>
      <c r="C1997" t="s">
        <v>214</v>
      </c>
      <c r="D1997" t="s">
        <v>130</v>
      </c>
      <c r="E1997" t="s">
        <v>377</v>
      </c>
      <c r="F1997" t="s">
        <v>310</v>
      </c>
      <c r="G1997" t="s">
        <v>39</v>
      </c>
      <c r="H1997" t="s">
        <v>310</v>
      </c>
      <c r="I1997">
        <v>2021</v>
      </c>
      <c r="J1997" t="s">
        <v>379</v>
      </c>
      <c r="K1997" t="s">
        <v>546</v>
      </c>
      <c r="L1997" s="784">
        <v>0</v>
      </c>
      <c r="M1997" t="s">
        <v>745</v>
      </c>
      <c r="P1997" t="s">
        <v>1887</v>
      </c>
      <c r="R1997" t="s">
        <v>150</v>
      </c>
      <c r="S1997" t="s">
        <v>145</v>
      </c>
      <c r="U1997">
        <v>1</v>
      </c>
      <c r="V1997" t="s">
        <v>541</v>
      </c>
      <c r="W1997" t="s">
        <v>542</v>
      </c>
      <c r="X1997" s="784">
        <v>85611818.171245083</v>
      </c>
    </row>
    <row r="1998" spans="1:24">
      <c r="A1998" t="s">
        <v>358</v>
      </c>
      <c r="B1998" t="s">
        <v>610</v>
      </c>
      <c r="C1998" t="s">
        <v>215</v>
      </c>
      <c r="D1998" t="s">
        <v>130</v>
      </c>
      <c r="E1998" t="s">
        <v>377</v>
      </c>
      <c r="F1998" t="s">
        <v>310</v>
      </c>
      <c r="G1998" t="s">
        <v>39</v>
      </c>
      <c r="H1998" t="s">
        <v>310</v>
      </c>
      <c r="I1998">
        <v>2021</v>
      </c>
      <c r="J1998" t="s">
        <v>379</v>
      </c>
      <c r="K1998" t="s">
        <v>546</v>
      </c>
      <c r="L1998" s="784">
        <v>0</v>
      </c>
      <c r="M1998" t="s">
        <v>745</v>
      </c>
      <c r="P1998" t="s">
        <v>1887</v>
      </c>
      <c r="R1998" t="s">
        <v>150</v>
      </c>
      <c r="S1998" t="s">
        <v>145</v>
      </c>
      <c r="U1998">
        <v>0</v>
      </c>
      <c r="V1998" t="s">
        <v>544</v>
      </c>
      <c r="W1998" t="s">
        <v>558</v>
      </c>
      <c r="X1998" s="784">
        <v>680289736.30082119</v>
      </c>
    </row>
    <row r="1999" spans="1:24">
      <c r="A1999" t="s">
        <v>358</v>
      </c>
      <c r="B1999" t="s">
        <v>611</v>
      </c>
      <c r="C1999" t="s">
        <v>216</v>
      </c>
      <c r="D1999" t="s">
        <v>132</v>
      </c>
      <c r="E1999" t="s">
        <v>377</v>
      </c>
      <c r="F1999" t="s">
        <v>310</v>
      </c>
      <c r="G1999" t="s">
        <v>39</v>
      </c>
      <c r="H1999" t="s">
        <v>310</v>
      </c>
      <c r="I1999">
        <v>2021</v>
      </c>
      <c r="J1999" t="s">
        <v>379</v>
      </c>
      <c r="K1999" t="s">
        <v>546</v>
      </c>
      <c r="L1999" s="784">
        <v>0</v>
      </c>
      <c r="M1999" t="s">
        <v>745</v>
      </c>
      <c r="P1999" t="s">
        <v>1887</v>
      </c>
      <c r="R1999" t="s">
        <v>150</v>
      </c>
      <c r="S1999" t="s">
        <v>145</v>
      </c>
      <c r="U1999">
        <v>0</v>
      </c>
      <c r="V1999" t="s">
        <v>544</v>
      </c>
      <c r="W1999" t="s">
        <v>546</v>
      </c>
      <c r="X1999" s="784">
        <v>26554332750.47023</v>
      </c>
    </row>
    <row r="2000" spans="1:24">
      <c r="A2000" t="s">
        <v>358</v>
      </c>
      <c r="B2000" t="s">
        <v>612</v>
      </c>
      <c r="C2000" t="s">
        <v>217</v>
      </c>
      <c r="D2000" t="s">
        <v>126</v>
      </c>
      <c r="E2000" t="s">
        <v>377</v>
      </c>
      <c r="F2000" t="s">
        <v>310</v>
      </c>
      <c r="G2000" t="s">
        <v>39</v>
      </c>
      <c r="H2000" t="s">
        <v>310</v>
      </c>
      <c r="I2000">
        <v>2021</v>
      </c>
      <c r="J2000" t="s">
        <v>379</v>
      </c>
      <c r="K2000" t="s">
        <v>546</v>
      </c>
      <c r="L2000" s="784">
        <v>0</v>
      </c>
      <c r="M2000" t="s">
        <v>745</v>
      </c>
      <c r="P2000" t="s">
        <v>1887</v>
      </c>
      <c r="R2000" t="s">
        <v>150</v>
      </c>
      <c r="S2000" t="s">
        <v>145</v>
      </c>
      <c r="U2000">
        <v>0</v>
      </c>
      <c r="V2000" t="s">
        <v>544</v>
      </c>
      <c r="W2000" t="s">
        <v>546</v>
      </c>
      <c r="X2000" s="784">
        <v>14745961064.890842</v>
      </c>
    </row>
    <row r="2001" spans="1:24">
      <c r="A2001" t="s">
        <v>358</v>
      </c>
      <c r="B2001" t="s">
        <v>613</v>
      </c>
      <c r="C2001" t="s">
        <v>149</v>
      </c>
      <c r="D2001" t="s">
        <v>131</v>
      </c>
      <c r="E2001" t="s">
        <v>377</v>
      </c>
      <c r="F2001" t="s">
        <v>310</v>
      </c>
      <c r="G2001" t="s">
        <v>39</v>
      </c>
      <c r="H2001" t="s">
        <v>310</v>
      </c>
      <c r="I2001">
        <v>2021</v>
      </c>
      <c r="J2001" t="s">
        <v>379</v>
      </c>
      <c r="K2001" t="s">
        <v>546</v>
      </c>
      <c r="L2001" s="784">
        <v>0</v>
      </c>
      <c r="M2001" t="s">
        <v>745</v>
      </c>
      <c r="P2001" t="s">
        <v>1887</v>
      </c>
      <c r="R2001" t="s">
        <v>150</v>
      </c>
      <c r="S2001" t="s">
        <v>146</v>
      </c>
      <c r="U2001">
        <v>0</v>
      </c>
      <c r="V2001" t="s">
        <v>544</v>
      </c>
      <c r="W2001" t="s">
        <v>546</v>
      </c>
      <c r="X2001" s="784">
        <v>18194076299.786381</v>
      </c>
    </row>
    <row r="2002" spans="1:24">
      <c r="A2002" t="s">
        <v>358</v>
      </c>
      <c r="B2002" t="s">
        <v>614</v>
      </c>
      <c r="C2002" t="s">
        <v>218</v>
      </c>
      <c r="D2002" t="s">
        <v>131</v>
      </c>
      <c r="E2002" t="s">
        <v>377</v>
      </c>
      <c r="F2002" t="s">
        <v>310</v>
      </c>
      <c r="G2002" t="s">
        <v>39</v>
      </c>
      <c r="H2002" t="s">
        <v>310</v>
      </c>
      <c r="I2002">
        <v>2021</v>
      </c>
      <c r="J2002" t="s">
        <v>379</v>
      </c>
      <c r="K2002" t="s">
        <v>546</v>
      </c>
      <c r="L2002" s="784">
        <v>0</v>
      </c>
      <c r="M2002" t="s">
        <v>745</v>
      </c>
      <c r="P2002" t="s">
        <v>1887</v>
      </c>
      <c r="R2002" t="s">
        <v>152</v>
      </c>
      <c r="S2002" t="s">
        <v>146</v>
      </c>
      <c r="U2002">
        <v>0</v>
      </c>
      <c r="V2002" t="s">
        <v>544</v>
      </c>
      <c r="W2002" t="s">
        <v>546</v>
      </c>
      <c r="X2002" s="784">
        <v>4428819387.769825</v>
      </c>
    </row>
    <row r="2003" spans="1:24">
      <c r="A2003" t="s">
        <v>358</v>
      </c>
      <c r="B2003" t="s">
        <v>615</v>
      </c>
      <c r="C2003" t="s">
        <v>219</v>
      </c>
      <c r="D2003" t="s">
        <v>130</v>
      </c>
      <c r="E2003" t="s">
        <v>377</v>
      </c>
      <c r="F2003" t="s">
        <v>310</v>
      </c>
      <c r="G2003" t="s">
        <v>39</v>
      </c>
      <c r="H2003" t="s">
        <v>310</v>
      </c>
      <c r="I2003">
        <v>2021</v>
      </c>
      <c r="J2003" t="s">
        <v>379</v>
      </c>
      <c r="K2003" t="s">
        <v>546</v>
      </c>
      <c r="L2003" s="784">
        <v>0</v>
      </c>
      <c r="M2003" t="s">
        <v>745</v>
      </c>
      <c r="P2003" t="s">
        <v>1887</v>
      </c>
      <c r="R2003" t="s">
        <v>152</v>
      </c>
      <c r="S2003" t="s">
        <v>146</v>
      </c>
      <c r="U2003">
        <v>0</v>
      </c>
      <c r="V2003" t="s">
        <v>541</v>
      </c>
      <c r="W2003" t="s">
        <v>575</v>
      </c>
      <c r="X2003" s="784">
        <v>611739560.62679195</v>
      </c>
    </row>
    <row r="2004" spans="1:24">
      <c r="A2004" t="s">
        <v>358</v>
      </c>
      <c r="B2004" t="s">
        <v>616</v>
      </c>
      <c r="C2004" t="s">
        <v>220</v>
      </c>
      <c r="D2004" t="s">
        <v>131</v>
      </c>
      <c r="E2004" t="s">
        <v>377</v>
      </c>
      <c r="F2004" t="s">
        <v>310</v>
      </c>
      <c r="G2004" t="s">
        <v>39</v>
      </c>
      <c r="H2004" t="s">
        <v>310</v>
      </c>
      <c r="I2004">
        <v>2021</v>
      </c>
      <c r="J2004" t="s">
        <v>379</v>
      </c>
      <c r="K2004" t="s">
        <v>546</v>
      </c>
      <c r="L2004" s="784">
        <v>0</v>
      </c>
      <c r="M2004" t="s">
        <v>745</v>
      </c>
      <c r="P2004" t="s">
        <v>1887</v>
      </c>
      <c r="R2004" t="s">
        <v>152</v>
      </c>
      <c r="S2004" t="s">
        <v>146</v>
      </c>
      <c r="U2004">
        <v>0</v>
      </c>
      <c r="V2004" t="s">
        <v>544</v>
      </c>
      <c r="W2004" t="s">
        <v>546</v>
      </c>
      <c r="X2004" s="784">
        <v>1617913383.0481031</v>
      </c>
    </row>
    <row r="2005" spans="1:24">
      <c r="A2005" t="s">
        <v>358</v>
      </c>
      <c r="B2005" t="s">
        <v>617</v>
      </c>
      <c r="C2005" t="s">
        <v>221</v>
      </c>
      <c r="D2005" t="s">
        <v>127</v>
      </c>
      <c r="E2005" t="s">
        <v>377</v>
      </c>
      <c r="F2005" t="s">
        <v>310</v>
      </c>
      <c r="G2005" t="s">
        <v>39</v>
      </c>
      <c r="H2005" t="s">
        <v>310</v>
      </c>
      <c r="I2005">
        <v>2021</v>
      </c>
      <c r="J2005" t="s">
        <v>379</v>
      </c>
      <c r="K2005" t="s">
        <v>546</v>
      </c>
      <c r="L2005" s="784">
        <v>0</v>
      </c>
      <c r="M2005" t="s">
        <v>745</v>
      </c>
      <c r="P2005" t="s">
        <v>1887</v>
      </c>
      <c r="R2005" t="s">
        <v>152</v>
      </c>
      <c r="S2005" t="s">
        <v>146</v>
      </c>
      <c r="U2005">
        <v>0</v>
      </c>
      <c r="V2005" t="s">
        <v>544</v>
      </c>
      <c r="W2005" t="s">
        <v>575</v>
      </c>
      <c r="X2005" s="784">
        <v>3074419112.4562683</v>
      </c>
    </row>
    <row r="2006" spans="1:24">
      <c r="A2006" t="s">
        <v>358</v>
      </c>
      <c r="B2006" t="s">
        <v>618</v>
      </c>
      <c r="C2006" t="s">
        <v>222</v>
      </c>
      <c r="D2006" t="s">
        <v>128</v>
      </c>
      <c r="E2006" t="s">
        <v>377</v>
      </c>
      <c r="F2006" t="s">
        <v>310</v>
      </c>
      <c r="G2006" t="s">
        <v>39</v>
      </c>
      <c r="H2006" t="s">
        <v>310</v>
      </c>
      <c r="I2006">
        <v>2021</v>
      </c>
      <c r="J2006" t="s">
        <v>379</v>
      </c>
      <c r="K2006" t="s">
        <v>546</v>
      </c>
      <c r="L2006" s="784">
        <v>0</v>
      </c>
      <c r="M2006" t="s">
        <v>745</v>
      </c>
      <c r="P2006" t="s">
        <v>1887</v>
      </c>
      <c r="R2006" t="s">
        <v>150</v>
      </c>
      <c r="S2006" t="s">
        <v>145</v>
      </c>
      <c r="U2006">
        <v>0</v>
      </c>
      <c r="V2006" t="s">
        <v>544</v>
      </c>
      <c r="W2006" t="s">
        <v>542</v>
      </c>
      <c r="X2006" s="784">
        <v>1914014279.8929913</v>
      </c>
    </row>
    <row r="2007" spans="1:24">
      <c r="A2007" t="s">
        <v>358</v>
      </c>
      <c r="B2007" t="s">
        <v>619</v>
      </c>
      <c r="C2007" t="s">
        <v>223</v>
      </c>
      <c r="D2007" t="s">
        <v>126</v>
      </c>
      <c r="E2007" t="s">
        <v>377</v>
      </c>
      <c r="F2007" t="s">
        <v>310</v>
      </c>
      <c r="G2007" t="s">
        <v>39</v>
      </c>
      <c r="H2007" t="s">
        <v>310</v>
      </c>
      <c r="I2007">
        <v>2021</v>
      </c>
      <c r="J2007" t="s">
        <v>379</v>
      </c>
      <c r="K2007" t="s">
        <v>546</v>
      </c>
      <c r="L2007" s="784">
        <v>0</v>
      </c>
      <c r="M2007" t="s">
        <v>745</v>
      </c>
      <c r="P2007" t="s">
        <v>1887</v>
      </c>
      <c r="R2007" t="s">
        <v>150</v>
      </c>
      <c r="S2007" t="s">
        <v>145</v>
      </c>
      <c r="U2007">
        <v>0</v>
      </c>
      <c r="V2007" t="s">
        <v>541</v>
      </c>
      <c r="W2007" t="s">
        <v>542</v>
      </c>
      <c r="X2007" s="784">
        <v>17422005.762907442</v>
      </c>
    </row>
    <row r="2008" spans="1:24">
      <c r="A2008" t="s">
        <v>358</v>
      </c>
      <c r="B2008" t="s">
        <v>620</v>
      </c>
      <c r="C2008" t="s">
        <v>224</v>
      </c>
      <c r="D2008" t="s">
        <v>126</v>
      </c>
      <c r="E2008" t="s">
        <v>377</v>
      </c>
      <c r="F2008" t="s">
        <v>310</v>
      </c>
      <c r="G2008" t="s">
        <v>39</v>
      </c>
      <c r="H2008" t="s">
        <v>310</v>
      </c>
      <c r="I2008">
        <v>2021</v>
      </c>
      <c r="J2008" t="s">
        <v>379</v>
      </c>
      <c r="K2008" t="s">
        <v>546</v>
      </c>
      <c r="L2008" s="784">
        <v>0</v>
      </c>
      <c r="M2008" t="s">
        <v>745</v>
      </c>
      <c r="P2008" t="s">
        <v>1887</v>
      </c>
      <c r="R2008" t="s">
        <v>148</v>
      </c>
      <c r="S2008" t="s">
        <v>145</v>
      </c>
      <c r="U2008">
        <v>0</v>
      </c>
      <c r="V2008" t="s">
        <v>544</v>
      </c>
      <c r="W2008" t="s">
        <v>546</v>
      </c>
      <c r="X2008" s="784" t="s">
        <v>575</v>
      </c>
    </row>
    <row r="2009" spans="1:24">
      <c r="A2009" t="s">
        <v>358</v>
      </c>
      <c r="B2009" t="s">
        <v>621</v>
      </c>
      <c r="C2009" t="s">
        <v>225</v>
      </c>
      <c r="D2009" t="s">
        <v>127</v>
      </c>
      <c r="E2009" t="s">
        <v>377</v>
      </c>
      <c r="F2009" t="s">
        <v>310</v>
      </c>
      <c r="G2009" t="s">
        <v>39</v>
      </c>
      <c r="H2009" t="s">
        <v>310</v>
      </c>
      <c r="I2009">
        <v>2021</v>
      </c>
      <c r="J2009" t="s">
        <v>379</v>
      </c>
      <c r="K2009" t="s">
        <v>546</v>
      </c>
      <c r="L2009" s="784">
        <v>0</v>
      </c>
      <c r="M2009" t="s">
        <v>745</v>
      </c>
      <c r="P2009" t="s">
        <v>1887</v>
      </c>
      <c r="R2009" t="s">
        <v>152</v>
      </c>
      <c r="S2009" t="s">
        <v>145</v>
      </c>
      <c r="U2009">
        <v>0</v>
      </c>
      <c r="V2009" t="s">
        <v>544</v>
      </c>
      <c r="W2009" t="s">
        <v>548</v>
      </c>
      <c r="X2009" s="784" t="s">
        <v>575</v>
      </c>
    </row>
    <row r="2010" spans="1:24">
      <c r="A2010" t="s">
        <v>358</v>
      </c>
      <c r="B2010" t="s">
        <v>622</v>
      </c>
      <c r="C2010" t="s">
        <v>226</v>
      </c>
      <c r="D2010" t="s">
        <v>127</v>
      </c>
      <c r="E2010" t="s">
        <v>377</v>
      </c>
      <c r="F2010" t="s">
        <v>310</v>
      </c>
      <c r="G2010" t="s">
        <v>39</v>
      </c>
      <c r="H2010" t="s">
        <v>310</v>
      </c>
      <c r="I2010">
        <v>2021</v>
      </c>
      <c r="J2010" t="s">
        <v>379</v>
      </c>
      <c r="K2010" t="s">
        <v>546</v>
      </c>
      <c r="L2010" s="784">
        <v>0</v>
      </c>
      <c r="M2010" t="s">
        <v>745</v>
      </c>
      <c r="P2010" t="s">
        <v>1887</v>
      </c>
      <c r="R2010" t="s">
        <v>150</v>
      </c>
      <c r="S2010" t="s">
        <v>145</v>
      </c>
      <c r="U2010">
        <v>2</v>
      </c>
      <c r="V2010" t="s">
        <v>544</v>
      </c>
      <c r="W2010" t="s">
        <v>562</v>
      </c>
      <c r="X2010" s="784">
        <v>231506834.84347546</v>
      </c>
    </row>
    <row r="2011" spans="1:24">
      <c r="A2011" t="s">
        <v>358</v>
      </c>
      <c r="B2011" t="s">
        <v>623</v>
      </c>
      <c r="C2011" t="s">
        <v>227</v>
      </c>
      <c r="D2011" t="s">
        <v>126</v>
      </c>
      <c r="E2011" t="s">
        <v>377</v>
      </c>
      <c r="F2011" t="s">
        <v>310</v>
      </c>
      <c r="G2011" t="s">
        <v>39</v>
      </c>
      <c r="H2011" t="s">
        <v>310</v>
      </c>
      <c r="I2011">
        <v>2021</v>
      </c>
      <c r="J2011" t="s">
        <v>379</v>
      </c>
      <c r="K2011" t="s">
        <v>546</v>
      </c>
      <c r="L2011" s="784">
        <v>66000</v>
      </c>
      <c r="M2011" t="s">
        <v>745</v>
      </c>
      <c r="P2011" t="s">
        <v>1887</v>
      </c>
      <c r="R2011" t="s">
        <v>150</v>
      </c>
      <c r="S2011" t="s">
        <v>145</v>
      </c>
      <c r="U2011">
        <v>0</v>
      </c>
      <c r="V2011" t="s">
        <v>544</v>
      </c>
      <c r="W2011" t="s">
        <v>542</v>
      </c>
      <c r="X2011" s="784">
        <v>156059428.62944782</v>
      </c>
    </row>
    <row r="2012" spans="1:24">
      <c r="A2012" t="s">
        <v>358</v>
      </c>
      <c r="B2012" t="s">
        <v>624</v>
      </c>
      <c r="C2012" t="s">
        <v>228</v>
      </c>
      <c r="D2012" t="s">
        <v>131</v>
      </c>
      <c r="E2012" t="s">
        <v>377</v>
      </c>
      <c r="F2012" t="s">
        <v>310</v>
      </c>
      <c r="G2012" t="s">
        <v>39</v>
      </c>
      <c r="H2012" t="s">
        <v>310</v>
      </c>
      <c r="I2012">
        <v>2021</v>
      </c>
      <c r="J2012" t="s">
        <v>379</v>
      </c>
      <c r="K2012" t="s">
        <v>546</v>
      </c>
      <c r="L2012" s="784">
        <v>0</v>
      </c>
      <c r="M2012" t="s">
        <v>745</v>
      </c>
      <c r="P2012" t="s">
        <v>1887</v>
      </c>
      <c r="R2012" t="s">
        <v>152</v>
      </c>
      <c r="S2012" t="s">
        <v>146</v>
      </c>
      <c r="U2012">
        <v>0</v>
      </c>
      <c r="V2012" t="s">
        <v>544</v>
      </c>
      <c r="W2012" t="s">
        <v>546</v>
      </c>
      <c r="X2012" s="784">
        <v>2355391507.1635861</v>
      </c>
    </row>
    <row r="2013" spans="1:24">
      <c r="A2013" t="s">
        <v>358</v>
      </c>
      <c r="B2013" t="s">
        <v>625</v>
      </c>
      <c r="C2013" t="s">
        <v>229</v>
      </c>
      <c r="D2013" t="s">
        <v>128</v>
      </c>
      <c r="E2013" t="s">
        <v>377</v>
      </c>
      <c r="F2013" t="s">
        <v>310</v>
      </c>
      <c r="G2013" t="s">
        <v>39</v>
      </c>
      <c r="H2013" t="s">
        <v>310</v>
      </c>
      <c r="I2013">
        <v>2021</v>
      </c>
      <c r="J2013" t="s">
        <v>379</v>
      </c>
      <c r="K2013" t="s">
        <v>546</v>
      </c>
      <c r="L2013" s="784">
        <v>0</v>
      </c>
      <c r="M2013" t="s">
        <v>745</v>
      </c>
      <c r="P2013" t="s">
        <v>1887</v>
      </c>
      <c r="R2013" t="s">
        <v>150</v>
      </c>
      <c r="S2013" t="s">
        <v>145</v>
      </c>
      <c r="U2013">
        <v>0</v>
      </c>
      <c r="V2013" t="s">
        <v>544</v>
      </c>
      <c r="W2013" t="s">
        <v>562</v>
      </c>
      <c r="X2013" s="784">
        <v>152760919.7684873</v>
      </c>
    </row>
    <row r="2014" spans="1:24">
      <c r="A2014" t="s">
        <v>358</v>
      </c>
      <c r="B2014" t="s">
        <v>626</v>
      </c>
      <c r="C2014" t="s">
        <v>230</v>
      </c>
      <c r="D2014" t="s">
        <v>129</v>
      </c>
      <c r="E2014" t="s">
        <v>377</v>
      </c>
      <c r="F2014" t="s">
        <v>310</v>
      </c>
      <c r="G2014" t="s">
        <v>39</v>
      </c>
      <c r="H2014" t="s">
        <v>310</v>
      </c>
      <c r="I2014">
        <v>2021</v>
      </c>
      <c r="J2014" t="s">
        <v>379</v>
      </c>
      <c r="K2014" t="s">
        <v>546</v>
      </c>
      <c r="L2014" s="784">
        <v>0</v>
      </c>
      <c r="M2014" t="s">
        <v>745</v>
      </c>
      <c r="P2014" t="s">
        <v>1887</v>
      </c>
      <c r="R2014" t="s">
        <v>148</v>
      </c>
      <c r="S2014" t="s">
        <v>145</v>
      </c>
      <c r="U2014">
        <v>0</v>
      </c>
      <c r="V2014" t="s">
        <v>544</v>
      </c>
      <c r="W2014" t="s">
        <v>542</v>
      </c>
      <c r="X2014" s="784">
        <v>55072006.864440605</v>
      </c>
    </row>
    <row r="2015" spans="1:24">
      <c r="A2015" t="s">
        <v>358</v>
      </c>
      <c r="B2015" t="s">
        <v>627</v>
      </c>
      <c r="C2015" t="s">
        <v>231</v>
      </c>
      <c r="D2015" t="s">
        <v>131</v>
      </c>
      <c r="E2015" t="s">
        <v>377</v>
      </c>
      <c r="F2015" t="s">
        <v>310</v>
      </c>
      <c r="G2015" t="s">
        <v>39</v>
      </c>
      <c r="H2015" t="s">
        <v>310</v>
      </c>
      <c r="I2015">
        <v>2021</v>
      </c>
      <c r="J2015" t="s">
        <v>379</v>
      </c>
      <c r="K2015" t="s">
        <v>546</v>
      </c>
      <c r="L2015" s="784">
        <v>0</v>
      </c>
      <c r="M2015" t="s">
        <v>745</v>
      </c>
      <c r="P2015" t="s">
        <v>1887</v>
      </c>
      <c r="R2015" t="s">
        <v>152</v>
      </c>
      <c r="S2015" t="s">
        <v>146</v>
      </c>
      <c r="U2015">
        <v>0</v>
      </c>
      <c r="V2015" t="s">
        <v>544</v>
      </c>
      <c r="W2015" t="s">
        <v>546</v>
      </c>
      <c r="X2015" s="784" t="s">
        <v>575</v>
      </c>
    </row>
    <row r="2016" spans="1:24">
      <c r="A2016" t="s">
        <v>358</v>
      </c>
      <c r="B2016" t="s">
        <v>628</v>
      </c>
      <c r="C2016" t="s">
        <v>232</v>
      </c>
      <c r="D2016" t="s">
        <v>128</v>
      </c>
      <c r="E2016" t="s">
        <v>377</v>
      </c>
      <c r="F2016" t="s">
        <v>310</v>
      </c>
      <c r="G2016" t="s">
        <v>39</v>
      </c>
      <c r="H2016" t="s">
        <v>310</v>
      </c>
      <c r="I2016">
        <v>2021</v>
      </c>
      <c r="J2016" t="s">
        <v>379</v>
      </c>
      <c r="K2016" t="s">
        <v>546</v>
      </c>
      <c r="L2016" s="784">
        <v>533106</v>
      </c>
      <c r="M2016" t="s">
        <v>745</v>
      </c>
      <c r="P2016" t="s">
        <v>1887</v>
      </c>
      <c r="R2016" t="s">
        <v>148</v>
      </c>
      <c r="S2016" t="s">
        <v>145</v>
      </c>
      <c r="U2016">
        <v>2</v>
      </c>
      <c r="V2016" t="s">
        <v>544</v>
      </c>
      <c r="W2016" t="s">
        <v>562</v>
      </c>
      <c r="X2016" s="784">
        <v>206914157.05429548</v>
      </c>
    </row>
    <row r="2017" spans="1:24">
      <c r="A2017" t="s">
        <v>358</v>
      </c>
      <c r="B2017" t="s">
        <v>629</v>
      </c>
      <c r="C2017" t="s">
        <v>233</v>
      </c>
      <c r="D2017" t="s">
        <v>128</v>
      </c>
      <c r="E2017" t="s">
        <v>377</v>
      </c>
      <c r="F2017" t="s">
        <v>310</v>
      </c>
      <c r="G2017" t="s">
        <v>39</v>
      </c>
      <c r="H2017" t="s">
        <v>310</v>
      </c>
      <c r="I2017">
        <v>2021</v>
      </c>
      <c r="J2017" t="s">
        <v>379</v>
      </c>
      <c r="K2017" t="s">
        <v>546</v>
      </c>
      <c r="L2017" s="784">
        <v>0</v>
      </c>
      <c r="M2017" t="s">
        <v>745</v>
      </c>
      <c r="P2017" t="s">
        <v>1887</v>
      </c>
      <c r="R2017" t="s">
        <v>148</v>
      </c>
      <c r="S2017" t="s">
        <v>145</v>
      </c>
      <c r="U2017">
        <v>2</v>
      </c>
      <c r="V2017" t="s">
        <v>544</v>
      </c>
      <c r="W2017" t="s">
        <v>542</v>
      </c>
      <c r="X2017" s="784">
        <v>185999915.02066413</v>
      </c>
    </row>
    <row r="2018" spans="1:24">
      <c r="A2018" t="s">
        <v>358</v>
      </c>
      <c r="B2018" t="s">
        <v>630</v>
      </c>
      <c r="C2018" t="s">
        <v>234</v>
      </c>
      <c r="D2018" t="s">
        <v>126</v>
      </c>
      <c r="E2018" t="s">
        <v>377</v>
      </c>
      <c r="F2018" t="s">
        <v>310</v>
      </c>
      <c r="G2018" t="s">
        <v>39</v>
      </c>
      <c r="H2018" t="s">
        <v>310</v>
      </c>
      <c r="I2018">
        <v>2021</v>
      </c>
      <c r="J2018" t="s">
        <v>379</v>
      </c>
      <c r="K2018" t="s">
        <v>546</v>
      </c>
      <c r="L2018" s="784">
        <v>0</v>
      </c>
      <c r="M2018" t="s">
        <v>745</v>
      </c>
      <c r="P2018" t="s">
        <v>1887</v>
      </c>
      <c r="R2018" t="s">
        <v>152</v>
      </c>
      <c r="S2018" t="s">
        <v>146</v>
      </c>
      <c r="U2018">
        <v>0</v>
      </c>
      <c r="V2018" t="s">
        <v>544</v>
      </c>
      <c r="W2018" t="s">
        <v>575</v>
      </c>
      <c r="X2018" s="784">
        <v>6893755763.2501726</v>
      </c>
    </row>
    <row r="2019" spans="1:24">
      <c r="A2019" t="s">
        <v>358</v>
      </c>
      <c r="B2019" t="s">
        <v>631</v>
      </c>
      <c r="C2019" t="s">
        <v>235</v>
      </c>
      <c r="D2019" t="s">
        <v>132</v>
      </c>
      <c r="E2019" t="s">
        <v>377</v>
      </c>
      <c r="F2019" t="s">
        <v>310</v>
      </c>
      <c r="G2019" t="s">
        <v>39</v>
      </c>
      <c r="H2019" t="s">
        <v>310</v>
      </c>
      <c r="I2019">
        <v>2021</v>
      </c>
      <c r="J2019" t="s">
        <v>379</v>
      </c>
      <c r="K2019" t="s">
        <v>546</v>
      </c>
      <c r="L2019" s="784">
        <v>0</v>
      </c>
      <c r="M2019" t="s">
        <v>745</v>
      </c>
      <c r="P2019" t="s">
        <v>1887</v>
      </c>
      <c r="R2019" t="s">
        <v>152</v>
      </c>
      <c r="S2019" t="s">
        <v>145</v>
      </c>
      <c r="U2019">
        <v>0</v>
      </c>
      <c r="V2019" t="s">
        <v>541</v>
      </c>
      <c r="W2019" t="s">
        <v>542</v>
      </c>
      <c r="X2019" s="784">
        <v>354560231.58276606</v>
      </c>
    </row>
    <row r="2020" spans="1:24">
      <c r="A2020" t="s">
        <v>358</v>
      </c>
      <c r="B2020" t="s">
        <v>632</v>
      </c>
      <c r="C2020" t="s">
        <v>236</v>
      </c>
      <c r="D2020" t="s">
        <v>129</v>
      </c>
      <c r="E2020" t="s">
        <v>377</v>
      </c>
      <c r="F2020" t="s">
        <v>310</v>
      </c>
      <c r="G2020" t="s">
        <v>39</v>
      </c>
      <c r="H2020" t="s">
        <v>310</v>
      </c>
      <c r="I2020">
        <v>2021</v>
      </c>
      <c r="J2020" t="s">
        <v>379</v>
      </c>
      <c r="K2020" t="s">
        <v>546</v>
      </c>
      <c r="L2020" s="784">
        <v>700000</v>
      </c>
      <c r="M2020" t="s">
        <v>745</v>
      </c>
      <c r="P2020" t="s">
        <v>1887</v>
      </c>
      <c r="R2020" t="s">
        <v>148</v>
      </c>
      <c r="S2020" t="s">
        <v>145</v>
      </c>
      <c r="U2020">
        <v>1</v>
      </c>
      <c r="V2020" t="s">
        <v>544</v>
      </c>
      <c r="W2020" t="s">
        <v>562</v>
      </c>
      <c r="X2020" s="784">
        <v>188169167.56540567</v>
      </c>
    </row>
    <row r="2021" spans="1:24">
      <c r="A2021" t="s">
        <v>358</v>
      </c>
      <c r="B2021" t="s">
        <v>633</v>
      </c>
      <c r="C2021" t="s">
        <v>237</v>
      </c>
      <c r="D2021" t="s">
        <v>126</v>
      </c>
      <c r="E2021" t="s">
        <v>377</v>
      </c>
      <c r="F2021" t="s">
        <v>310</v>
      </c>
      <c r="G2021" t="s">
        <v>39</v>
      </c>
      <c r="H2021" t="s">
        <v>310</v>
      </c>
      <c r="I2021">
        <v>2021</v>
      </c>
      <c r="J2021" t="s">
        <v>379</v>
      </c>
      <c r="K2021" t="s">
        <v>546</v>
      </c>
      <c r="L2021" s="784">
        <v>0</v>
      </c>
      <c r="M2021" t="s">
        <v>745</v>
      </c>
      <c r="P2021" t="s">
        <v>1887</v>
      </c>
      <c r="R2021" t="s">
        <v>152</v>
      </c>
      <c r="S2021" t="s">
        <v>145</v>
      </c>
      <c r="U2021">
        <v>0</v>
      </c>
      <c r="V2021" t="s">
        <v>541</v>
      </c>
      <c r="W2021" t="s">
        <v>575</v>
      </c>
      <c r="X2021" s="784">
        <v>16312106.556340856</v>
      </c>
    </row>
    <row r="2022" spans="1:24">
      <c r="A2022" t="s">
        <v>358</v>
      </c>
      <c r="B2022" t="s">
        <v>634</v>
      </c>
      <c r="C2022" t="s">
        <v>238</v>
      </c>
      <c r="D2022" t="s">
        <v>129</v>
      </c>
      <c r="E2022" t="s">
        <v>377</v>
      </c>
      <c r="F2022" t="s">
        <v>310</v>
      </c>
      <c r="G2022" t="s">
        <v>39</v>
      </c>
      <c r="H2022" t="s">
        <v>310</v>
      </c>
      <c r="I2022">
        <v>2021</v>
      </c>
      <c r="J2022" t="s">
        <v>379</v>
      </c>
      <c r="K2022" t="s">
        <v>546</v>
      </c>
      <c r="L2022" s="784">
        <v>0</v>
      </c>
      <c r="M2022" t="s">
        <v>745</v>
      </c>
      <c r="P2022" t="s">
        <v>1887</v>
      </c>
      <c r="R2022" t="s">
        <v>150</v>
      </c>
      <c r="S2022" t="s">
        <v>145</v>
      </c>
      <c r="U2022">
        <v>2</v>
      </c>
      <c r="V2022" t="s">
        <v>544</v>
      </c>
      <c r="W2022" t="s">
        <v>542</v>
      </c>
      <c r="X2022" s="784">
        <v>86083833.534053758</v>
      </c>
    </row>
    <row r="2023" spans="1:24">
      <c r="A2023" t="s">
        <v>358</v>
      </c>
      <c r="B2023" t="s">
        <v>635</v>
      </c>
      <c r="C2023" t="s">
        <v>239</v>
      </c>
      <c r="D2023" t="s">
        <v>128</v>
      </c>
      <c r="E2023" t="s">
        <v>377</v>
      </c>
      <c r="F2023" t="s">
        <v>310</v>
      </c>
      <c r="G2023" t="s">
        <v>39</v>
      </c>
      <c r="H2023" t="s">
        <v>310</v>
      </c>
      <c r="I2023">
        <v>2021</v>
      </c>
      <c r="J2023" t="s">
        <v>379</v>
      </c>
      <c r="K2023" t="s">
        <v>546</v>
      </c>
      <c r="L2023" s="784">
        <v>0</v>
      </c>
      <c r="M2023" t="s">
        <v>745</v>
      </c>
      <c r="P2023" t="s">
        <v>1887</v>
      </c>
      <c r="R2023" t="s">
        <v>152</v>
      </c>
      <c r="S2023" t="s">
        <v>146</v>
      </c>
      <c r="U2023">
        <v>0</v>
      </c>
      <c r="V2023" t="s">
        <v>541</v>
      </c>
      <c r="W2023" t="s">
        <v>546</v>
      </c>
      <c r="X2023" s="784">
        <v>357220835.93762809</v>
      </c>
    </row>
    <row r="2024" spans="1:24">
      <c r="A2024" t="s">
        <v>358</v>
      </c>
      <c r="B2024" t="s">
        <v>636</v>
      </c>
      <c r="C2024" t="s">
        <v>240</v>
      </c>
      <c r="D2024" t="s">
        <v>130</v>
      </c>
      <c r="E2024" t="s">
        <v>377</v>
      </c>
      <c r="F2024" t="s">
        <v>310</v>
      </c>
      <c r="G2024" t="s">
        <v>39</v>
      </c>
      <c r="H2024" t="s">
        <v>310</v>
      </c>
      <c r="I2024">
        <v>2021</v>
      </c>
      <c r="J2024" t="s">
        <v>379</v>
      </c>
      <c r="K2024" t="s">
        <v>546</v>
      </c>
      <c r="L2024" s="784">
        <v>0</v>
      </c>
      <c r="M2024" t="s">
        <v>745</v>
      </c>
      <c r="P2024" t="s">
        <v>1887</v>
      </c>
      <c r="R2024" t="s">
        <v>152</v>
      </c>
      <c r="S2024" t="s">
        <v>146</v>
      </c>
      <c r="U2024">
        <v>0</v>
      </c>
      <c r="V2024" t="s">
        <v>544</v>
      </c>
      <c r="W2024" t="s">
        <v>575</v>
      </c>
      <c r="X2024" s="784">
        <v>32831598153.796387</v>
      </c>
    </row>
    <row r="2025" spans="1:24">
      <c r="A2025" t="s">
        <v>358</v>
      </c>
      <c r="B2025" t="s">
        <v>637</v>
      </c>
      <c r="C2025" t="s">
        <v>241</v>
      </c>
      <c r="D2025" t="s">
        <v>126</v>
      </c>
      <c r="E2025" t="s">
        <v>377</v>
      </c>
      <c r="F2025" t="s">
        <v>310</v>
      </c>
      <c r="G2025" t="s">
        <v>39</v>
      </c>
      <c r="H2025" t="s">
        <v>310</v>
      </c>
      <c r="I2025">
        <v>2021</v>
      </c>
      <c r="J2025" t="s">
        <v>379</v>
      </c>
      <c r="K2025" t="s">
        <v>546</v>
      </c>
      <c r="L2025" s="784">
        <v>0</v>
      </c>
      <c r="M2025" t="s">
        <v>745</v>
      </c>
      <c r="P2025" t="s">
        <v>1887</v>
      </c>
      <c r="R2025" t="s">
        <v>150</v>
      </c>
      <c r="S2025" t="s">
        <v>145</v>
      </c>
      <c r="U2025">
        <v>0</v>
      </c>
      <c r="V2025" t="s">
        <v>541</v>
      </c>
      <c r="W2025" t="s">
        <v>542</v>
      </c>
      <c r="X2025" s="784">
        <v>12329056.093798399</v>
      </c>
    </row>
    <row r="2026" spans="1:24">
      <c r="A2026" t="s">
        <v>358</v>
      </c>
      <c r="B2026" t="s">
        <v>638</v>
      </c>
      <c r="C2026" t="s">
        <v>242</v>
      </c>
      <c r="D2026" t="s">
        <v>127</v>
      </c>
      <c r="E2026" t="s">
        <v>377</v>
      </c>
      <c r="F2026" t="s">
        <v>310</v>
      </c>
      <c r="G2026" t="s">
        <v>39</v>
      </c>
      <c r="H2026" t="s">
        <v>310</v>
      </c>
      <c r="I2026">
        <v>2021</v>
      </c>
      <c r="J2026" t="s">
        <v>379</v>
      </c>
      <c r="K2026" t="s">
        <v>546</v>
      </c>
      <c r="L2026" s="784">
        <v>0</v>
      </c>
      <c r="M2026" t="s">
        <v>745</v>
      </c>
      <c r="P2026" t="s">
        <v>1887</v>
      </c>
      <c r="R2026" t="s">
        <v>152</v>
      </c>
      <c r="S2026" t="s">
        <v>145</v>
      </c>
      <c r="U2026">
        <v>0</v>
      </c>
      <c r="V2026" t="s">
        <v>544</v>
      </c>
      <c r="W2026" t="s">
        <v>558</v>
      </c>
      <c r="X2026" s="784">
        <v>426639742.85328001</v>
      </c>
    </row>
    <row r="2027" spans="1:24">
      <c r="A2027" t="s">
        <v>358</v>
      </c>
      <c r="B2027" t="s">
        <v>639</v>
      </c>
      <c r="C2027" t="s">
        <v>243</v>
      </c>
      <c r="D2027" t="s">
        <v>126</v>
      </c>
      <c r="E2027" t="s">
        <v>377</v>
      </c>
      <c r="F2027" t="s">
        <v>310</v>
      </c>
      <c r="G2027" t="s">
        <v>39</v>
      </c>
      <c r="H2027" t="s">
        <v>310</v>
      </c>
      <c r="I2027">
        <v>2021</v>
      </c>
      <c r="J2027" t="s">
        <v>379</v>
      </c>
      <c r="K2027" t="s">
        <v>546</v>
      </c>
      <c r="L2027" s="784">
        <v>0</v>
      </c>
      <c r="M2027" t="s">
        <v>745</v>
      </c>
      <c r="P2027" t="s">
        <v>1887</v>
      </c>
      <c r="R2027" t="s">
        <v>150</v>
      </c>
      <c r="S2027" t="s">
        <v>145</v>
      </c>
      <c r="U2027">
        <v>0</v>
      </c>
      <c r="V2027" t="s">
        <v>544</v>
      </c>
      <c r="W2027" t="s">
        <v>548</v>
      </c>
      <c r="X2027" s="784">
        <v>288519671.85870522</v>
      </c>
    </row>
    <row r="2028" spans="1:24">
      <c r="A2028" t="s">
        <v>358</v>
      </c>
      <c r="B2028" t="s">
        <v>640</v>
      </c>
      <c r="C2028" t="s">
        <v>244</v>
      </c>
      <c r="D2028" t="s">
        <v>127</v>
      </c>
      <c r="E2028" t="s">
        <v>377</v>
      </c>
      <c r="F2028" t="s">
        <v>310</v>
      </c>
      <c r="G2028" t="s">
        <v>39</v>
      </c>
      <c r="H2028" t="s">
        <v>310</v>
      </c>
      <c r="I2028">
        <v>2021</v>
      </c>
      <c r="J2028" t="s">
        <v>379</v>
      </c>
      <c r="K2028" t="s">
        <v>546</v>
      </c>
      <c r="L2028" s="784">
        <v>0</v>
      </c>
      <c r="M2028" t="s">
        <v>745</v>
      </c>
      <c r="P2028" t="s">
        <v>1887</v>
      </c>
      <c r="R2028" t="s">
        <v>152</v>
      </c>
      <c r="S2028" t="s">
        <v>146</v>
      </c>
      <c r="U2028">
        <v>0</v>
      </c>
      <c r="V2028" t="s">
        <v>544</v>
      </c>
      <c r="W2028" t="s">
        <v>546</v>
      </c>
      <c r="X2028" s="784">
        <v>275606560.78491527</v>
      </c>
    </row>
    <row r="2029" spans="1:24">
      <c r="A2029" t="s">
        <v>358</v>
      </c>
      <c r="B2029" t="s">
        <v>641</v>
      </c>
      <c r="C2029" t="s">
        <v>245</v>
      </c>
      <c r="D2029" t="s">
        <v>131</v>
      </c>
      <c r="E2029" t="s">
        <v>377</v>
      </c>
      <c r="F2029" t="s">
        <v>310</v>
      </c>
      <c r="G2029" t="s">
        <v>39</v>
      </c>
      <c r="H2029" t="s">
        <v>310</v>
      </c>
      <c r="I2029">
        <v>2021</v>
      </c>
      <c r="J2029" t="s">
        <v>379</v>
      </c>
      <c r="K2029" t="s">
        <v>546</v>
      </c>
      <c r="L2029" s="784">
        <v>0</v>
      </c>
      <c r="M2029" t="s">
        <v>745</v>
      </c>
      <c r="P2029" t="s">
        <v>1887</v>
      </c>
      <c r="R2029" t="s">
        <v>150</v>
      </c>
      <c r="S2029" t="s">
        <v>145</v>
      </c>
      <c r="U2029">
        <v>0</v>
      </c>
      <c r="V2029" t="s">
        <v>544</v>
      </c>
      <c r="W2029" t="s">
        <v>546</v>
      </c>
      <c r="X2029" s="784">
        <v>2530937679.3725696</v>
      </c>
    </row>
    <row r="2030" spans="1:24">
      <c r="A2030" t="s">
        <v>358</v>
      </c>
      <c r="B2030" t="s">
        <v>642</v>
      </c>
      <c r="C2030" t="s">
        <v>246</v>
      </c>
      <c r="D2030" t="s">
        <v>128</v>
      </c>
      <c r="E2030" t="s">
        <v>377</v>
      </c>
      <c r="F2030" t="s">
        <v>310</v>
      </c>
      <c r="G2030" t="s">
        <v>39</v>
      </c>
      <c r="H2030" t="s">
        <v>310</v>
      </c>
      <c r="I2030">
        <v>2021</v>
      </c>
      <c r="J2030" t="s">
        <v>379</v>
      </c>
      <c r="K2030" t="s">
        <v>546</v>
      </c>
      <c r="L2030" s="784">
        <v>741350</v>
      </c>
      <c r="M2030" t="s">
        <v>745</v>
      </c>
      <c r="P2030" t="s">
        <v>1887</v>
      </c>
      <c r="R2030" t="s">
        <v>148</v>
      </c>
      <c r="S2030" t="s">
        <v>145</v>
      </c>
      <c r="U2030">
        <v>0</v>
      </c>
      <c r="V2030" t="s">
        <v>544</v>
      </c>
      <c r="W2030" t="s">
        <v>583</v>
      </c>
      <c r="X2030" s="784">
        <v>251432156.86255455</v>
      </c>
    </row>
    <row r="2031" spans="1:24">
      <c r="A2031" t="s">
        <v>358</v>
      </c>
      <c r="B2031" t="s">
        <v>643</v>
      </c>
      <c r="C2031" t="s">
        <v>247</v>
      </c>
      <c r="D2031" t="s">
        <v>126</v>
      </c>
      <c r="E2031" t="s">
        <v>377</v>
      </c>
      <c r="F2031" t="s">
        <v>310</v>
      </c>
      <c r="G2031" t="s">
        <v>39</v>
      </c>
      <c r="H2031" t="s">
        <v>310</v>
      </c>
      <c r="I2031">
        <v>2021</v>
      </c>
      <c r="J2031" t="s">
        <v>379</v>
      </c>
      <c r="K2031" t="s">
        <v>546</v>
      </c>
      <c r="L2031" s="784">
        <v>0</v>
      </c>
      <c r="M2031" t="s">
        <v>745</v>
      </c>
      <c r="P2031" t="s">
        <v>1887</v>
      </c>
      <c r="R2031" t="s">
        <v>150</v>
      </c>
      <c r="S2031" t="s">
        <v>145</v>
      </c>
      <c r="U2031">
        <v>0</v>
      </c>
      <c r="V2031" t="s">
        <v>544</v>
      </c>
      <c r="W2031" t="s">
        <v>558</v>
      </c>
      <c r="X2031" s="784">
        <v>471534500.60109437</v>
      </c>
    </row>
    <row r="2032" spans="1:24">
      <c r="A2032" t="s">
        <v>358</v>
      </c>
      <c r="B2032" t="s">
        <v>644</v>
      </c>
      <c r="C2032" t="s">
        <v>248</v>
      </c>
      <c r="D2032" t="s">
        <v>128</v>
      </c>
      <c r="E2032" t="s">
        <v>377</v>
      </c>
      <c r="F2032" t="s">
        <v>310</v>
      </c>
      <c r="G2032" t="s">
        <v>39</v>
      </c>
      <c r="H2032" t="s">
        <v>310</v>
      </c>
      <c r="I2032">
        <v>2021</v>
      </c>
      <c r="J2032" t="s">
        <v>379</v>
      </c>
      <c r="K2032" t="s">
        <v>546</v>
      </c>
      <c r="L2032" s="784">
        <v>0</v>
      </c>
      <c r="M2032" t="s">
        <v>745</v>
      </c>
      <c r="P2032" t="s">
        <v>1887</v>
      </c>
      <c r="R2032" t="s">
        <v>152</v>
      </c>
      <c r="S2032" t="s">
        <v>146</v>
      </c>
      <c r="U2032">
        <v>0</v>
      </c>
      <c r="V2032" t="s">
        <v>544</v>
      </c>
      <c r="W2032" t="s">
        <v>575</v>
      </c>
      <c r="X2032" s="784">
        <v>531677611.80447447</v>
      </c>
    </row>
    <row r="2033" spans="1:24">
      <c r="A2033" t="s">
        <v>358</v>
      </c>
      <c r="B2033" t="s">
        <v>645</v>
      </c>
      <c r="C2033" t="s">
        <v>249</v>
      </c>
      <c r="D2033" t="s">
        <v>126</v>
      </c>
      <c r="E2033" t="s">
        <v>377</v>
      </c>
      <c r="F2033" t="s">
        <v>310</v>
      </c>
      <c r="G2033" t="s">
        <v>39</v>
      </c>
      <c r="H2033" t="s">
        <v>310</v>
      </c>
      <c r="I2033">
        <v>2021</v>
      </c>
      <c r="J2033" t="s">
        <v>379</v>
      </c>
      <c r="K2033" t="s">
        <v>546</v>
      </c>
      <c r="L2033" s="784">
        <v>0</v>
      </c>
      <c r="M2033" t="s">
        <v>745</v>
      </c>
      <c r="P2033" t="s">
        <v>1887</v>
      </c>
      <c r="R2033" t="s">
        <v>550</v>
      </c>
      <c r="S2033" t="s">
        <v>146</v>
      </c>
      <c r="U2033">
        <v>0</v>
      </c>
      <c r="V2033" t="s">
        <v>541</v>
      </c>
      <c r="W2033" t="s">
        <v>575</v>
      </c>
      <c r="X2033" s="784">
        <v>8528751.6418357007</v>
      </c>
    </row>
    <row r="2034" spans="1:24">
      <c r="A2034" t="s">
        <v>358</v>
      </c>
      <c r="B2034" t="s">
        <v>646</v>
      </c>
      <c r="C2034" t="s">
        <v>250</v>
      </c>
      <c r="D2034" t="s">
        <v>132</v>
      </c>
      <c r="E2034" t="s">
        <v>377</v>
      </c>
      <c r="F2034" t="s">
        <v>310</v>
      </c>
      <c r="G2034" t="s">
        <v>39</v>
      </c>
      <c r="H2034" t="s">
        <v>310</v>
      </c>
      <c r="I2034">
        <v>2021</v>
      </c>
      <c r="J2034" t="s">
        <v>379</v>
      </c>
      <c r="K2034" t="s">
        <v>546</v>
      </c>
      <c r="L2034" s="784">
        <v>0</v>
      </c>
      <c r="M2034" t="s">
        <v>745</v>
      </c>
      <c r="P2034" t="s">
        <v>1887</v>
      </c>
      <c r="R2034" t="s">
        <v>150</v>
      </c>
      <c r="S2034" t="s">
        <v>145</v>
      </c>
      <c r="U2034">
        <v>0</v>
      </c>
      <c r="V2034" t="s">
        <v>544</v>
      </c>
      <c r="W2034" t="s">
        <v>558</v>
      </c>
      <c r="X2034" s="784">
        <v>407084543.19089872</v>
      </c>
    </row>
    <row r="2035" spans="1:24">
      <c r="A2035" t="s">
        <v>358</v>
      </c>
      <c r="B2035" t="s">
        <v>647</v>
      </c>
      <c r="C2035" t="s">
        <v>251</v>
      </c>
      <c r="D2035" t="s">
        <v>130</v>
      </c>
      <c r="E2035" t="s">
        <v>377</v>
      </c>
      <c r="F2035" t="s">
        <v>310</v>
      </c>
      <c r="G2035" t="s">
        <v>39</v>
      </c>
      <c r="H2035" t="s">
        <v>310</v>
      </c>
      <c r="I2035">
        <v>2021</v>
      </c>
      <c r="J2035" t="s">
        <v>379</v>
      </c>
      <c r="K2035" t="s">
        <v>546</v>
      </c>
      <c r="L2035" s="784">
        <v>0</v>
      </c>
      <c r="M2035" t="s">
        <v>745</v>
      </c>
      <c r="P2035" t="s">
        <v>1887</v>
      </c>
      <c r="R2035" t="s">
        <v>150</v>
      </c>
      <c r="S2035" t="s">
        <v>145</v>
      </c>
      <c r="U2035">
        <v>0</v>
      </c>
      <c r="V2035" t="s">
        <v>544</v>
      </c>
      <c r="W2035" t="s">
        <v>562</v>
      </c>
      <c r="X2035" s="784">
        <v>671998341.93592453</v>
      </c>
    </row>
    <row r="2036" spans="1:24">
      <c r="A2036" t="s">
        <v>358</v>
      </c>
      <c r="B2036" t="s">
        <v>648</v>
      </c>
      <c r="C2036" t="s">
        <v>252</v>
      </c>
      <c r="D2036" t="s">
        <v>129</v>
      </c>
      <c r="E2036" t="s">
        <v>377</v>
      </c>
      <c r="F2036" t="s">
        <v>310</v>
      </c>
      <c r="G2036" t="s">
        <v>39</v>
      </c>
      <c r="H2036" t="s">
        <v>310</v>
      </c>
      <c r="I2036">
        <v>2021</v>
      </c>
      <c r="J2036" t="s">
        <v>379</v>
      </c>
      <c r="K2036" t="s">
        <v>546</v>
      </c>
      <c r="L2036" s="784">
        <v>750000</v>
      </c>
      <c r="M2036" t="s">
        <v>745</v>
      </c>
      <c r="P2036" t="s">
        <v>1887</v>
      </c>
      <c r="R2036" t="s">
        <v>148</v>
      </c>
      <c r="S2036" t="s">
        <v>145</v>
      </c>
      <c r="U2036">
        <v>1</v>
      </c>
      <c r="V2036" t="s">
        <v>544</v>
      </c>
      <c r="W2036" t="s">
        <v>562</v>
      </c>
      <c r="X2036" s="784">
        <v>226203289.67158964</v>
      </c>
    </row>
    <row r="2037" spans="1:24">
      <c r="A2037" t="s">
        <v>358</v>
      </c>
      <c r="B2037" t="s">
        <v>649</v>
      </c>
      <c r="C2037" t="s">
        <v>253</v>
      </c>
      <c r="D2037" t="s">
        <v>129</v>
      </c>
      <c r="E2037" t="s">
        <v>377</v>
      </c>
      <c r="F2037" t="s">
        <v>310</v>
      </c>
      <c r="G2037" t="s">
        <v>39</v>
      </c>
      <c r="H2037" t="s">
        <v>310</v>
      </c>
      <c r="I2037">
        <v>2021</v>
      </c>
      <c r="J2037" t="s">
        <v>379</v>
      </c>
      <c r="K2037" t="s">
        <v>546</v>
      </c>
      <c r="L2037" s="784">
        <v>4999000</v>
      </c>
      <c r="M2037" t="s">
        <v>745</v>
      </c>
      <c r="P2037" t="s">
        <v>1887</v>
      </c>
      <c r="R2037" t="s">
        <v>150</v>
      </c>
      <c r="S2037" t="s">
        <v>145</v>
      </c>
      <c r="U2037">
        <v>3</v>
      </c>
      <c r="V2037" t="s">
        <v>544</v>
      </c>
      <c r="W2037" t="s">
        <v>548</v>
      </c>
      <c r="X2037" s="784">
        <v>2438881113.1244688</v>
      </c>
    </row>
    <row r="2038" spans="1:24">
      <c r="A2038" t="s">
        <v>358</v>
      </c>
      <c r="B2038" t="s">
        <v>650</v>
      </c>
      <c r="C2038" t="s">
        <v>254</v>
      </c>
      <c r="D2038" t="s">
        <v>127</v>
      </c>
      <c r="E2038" t="s">
        <v>377</v>
      </c>
      <c r="F2038" t="s">
        <v>310</v>
      </c>
      <c r="G2038" t="s">
        <v>39</v>
      </c>
      <c r="H2038" t="s">
        <v>310</v>
      </c>
      <c r="I2038">
        <v>2021</v>
      </c>
      <c r="J2038" t="s">
        <v>379</v>
      </c>
      <c r="K2038" t="s">
        <v>546</v>
      </c>
      <c r="L2038" s="784">
        <v>0</v>
      </c>
      <c r="M2038" t="s">
        <v>745</v>
      </c>
      <c r="P2038" t="s">
        <v>1887</v>
      </c>
      <c r="R2038" t="s">
        <v>152</v>
      </c>
      <c r="S2038" t="s">
        <v>146</v>
      </c>
      <c r="U2038">
        <v>0</v>
      </c>
      <c r="V2038" t="s">
        <v>544</v>
      </c>
      <c r="W2038" t="s">
        <v>575</v>
      </c>
      <c r="X2038" s="784">
        <v>476517795.73174149</v>
      </c>
    </row>
    <row r="2039" spans="1:24">
      <c r="A2039" t="s">
        <v>358</v>
      </c>
      <c r="B2039" t="s">
        <v>651</v>
      </c>
      <c r="C2039" t="s">
        <v>255</v>
      </c>
      <c r="D2039" t="s">
        <v>132</v>
      </c>
      <c r="E2039" t="s">
        <v>377</v>
      </c>
      <c r="F2039" t="s">
        <v>310</v>
      </c>
      <c r="G2039" t="s">
        <v>39</v>
      </c>
      <c r="H2039" t="s">
        <v>310</v>
      </c>
      <c r="I2039">
        <v>2021</v>
      </c>
      <c r="J2039" t="s">
        <v>379</v>
      </c>
      <c r="K2039" t="s">
        <v>546</v>
      </c>
      <c r="L2039" s="784">
        <v>0</v>
      </c>
      <c r="M2039" t="s">
        <v>745</v>
      </c>
      <c r="P2039" t="s">
        <v>1887</v>
      </c>
      <c r="R2039" t="s">
        <v>150</v>
      </c>
      <c r="S2039" t="s">
        <v>145</v>
      </c>
      <c r="U2039">
        <v>0</v>
      </c>
      <c r="V2039" t="s">
        <v>544</v>
      </c>
      <c r="W2039" t="s">
        <v>548</v>
      </c>
      <c r="X2039" s="784">
        <v>3233351297.7679496</v>
      </c>
    </row>
    <row r="2040" spans="1:24">
      <c r="A2040" t="s">
        <v>358</v>
      </c>
      <c r="B2040" t="s">
        <v>652</v>
      </c>
      <c r="C2040" t="s">
        <v>256</v>
      </c>
      <c r="D2040" t="s">
        <v>130</v>
      </c>
      <c r="E2040" t="s">
        <v>377</v>
      </c>
      <c r="F2040" t="s">
        <v>310</v>
      </c>
      <c r="G2040" t="s">
        <v>39</v>
      </c>
      <c r="H2040" t="s">
        <v>310</v>
      </c>
      <c r="I2040">
        <v>2021</v>
      </c>
      <c r="J2040" t="s">
        <v>379</v>
      </c>
      <c r="K2040" t="s">
        <v>546</v>
      </c>
      <c r="L2040" s="784">
        <v>0</v>
      </c>
      <c r="M2040" t="s">
        <v>745</v>
      </c>
      <c r="P2040" t="s">
        <v>1887</v>
      </c>
      <c r="R2040" t="s">
        <v>550</v>
      </c>
      <c r="S2040" t="s">
        <v>146</v>
      </c>
      <c r="U2040">
        <v>0</v>
      </c>
      <c r="V2040" t="s">
        <v>541</v>
      </c>
      <c r="W2040" t="s">
        <v>575</v>
      </c>
      <c r="X2040" s="784">
        <v>18180646.808608256</v>
      </c>
    </row>
    <row r="2041" spans="1:24">
      <c r="A2041" t="s">
        <v>358</v>
      </c>
      <c r="B2041" t="s">
        <v>653</v>
      </c>
      <c r="C2041" t="s">
        <v>257</v>
      </c>
      <c r="D2041" t="s">
        <v>130</v>
      </c>
      <c r="E2041" t="s">
        <v>377</v>
      </c>
      <c r="F2041" t="s">
        <v>310</v>
      </c>
      <c r="G2041" t="s">
        <v>39</v>
      </c>
      <c r="H2041" t="s">
        <v>310</v>
      </c>
      <c r="I2041">
        <v>2021</v>
      </c>
      <c r="J2041" t="s">
        <v>379</v>
      </c>
      <c r="K2041" t="s">
        <v>546</v>
      </c>
      <c r="L2041" s="784">
        <v>0</v>
      </c>
      <c r="M2041" t="s">
        <v>745</v>
      </c>
      <c r="P2041" t="s">
        <v>1887</v>
      </c>
      <c r="R2041" t="s">
        <v>152</v>
      </c>
      <c r="S2041" t="s">
        <v>146</v>
      </c>
      <c r="U2041">
        <v>0</v>
      </c>
      <c r="V2041" t="s">
        <v>544</v>
      </c>
      <c r="W2041" t="s">
        <v>546</v>
      </c>
      <c r="X2041" s="784">
        <v>3020530707.3485303</v>
      </c>
    </row>
    <row r="2042" spans="1:24">
      <c r="A2042" t="s">
        <v>358</v>
      </c>
      <c r="B2042" t="s">
        <v>654</v>
      </c>
      <c r="C2042" t="s">
        <v>258</v>
      </c>
      <c r="D2042" t="s">
        <v>126</v>
      </c>
      <c r="E2042" t="s">
        <v>377</v>
      </c>
      <c r="F2042" t="s">
        <v>310</v>
      </c>
      <c r="G2042" t="s">
        <v>39</v>
      </c>
      <c r="H2042" t="s">
        <v>310</v>
      </c>
      <c r="I2042">
        <v>2021</v>
      </c>
      <c r="J2042" t="s">
        <v>379</v>
      </c>
      <c r="K2042" t="s">
        <v>546</v>
      </c>
      <c r="L2042" s="784">
        <v>0</v>
      </c>
      <c r="M2042" t="s">
        <v>745</v>
      </c>
      <c r="P2042" t="s">
        <v>1887</v>
      </c>
      <c r="R2042" t="s">
        <v>150</v>
      </c>
      <c r="S2042" t="s">
        <v>145</v>
      </c>
      <c r="U2042">
        <v>1</v>
      </c>
      <c r="V2042" t="s">
        <v>541</v>
      </c>
      <c r="W2042" t="s">
        <v>542</v>
      </c>
      <c r="X2042" s="784">
        <v>384406316.46074712</v>
      </c>
    </row>
    <row r="2043" spans="1:24">
      <c r="A2043" t="s">
        <v>358</v>
      </c>
      <c r="B2043" t="s">
        <v>655</v>
      </c>
      <c r="C2043" t="s">
        <v>259</v>
      </c>
      <c r="D2043" t="s">
        <v>130</v>
      </c>
      <c r="E2043" t="s">
        <v>377</v>
      </c>
      <c r="F2043" t="s">
        <v>310</v>
      </c>
      <c r="G2043" t="s">
        <v>39</v>
      </c>
      <c r="H2043" t="s">
        <v>310</v>
      </c>
      <c r="I2043">
        <v>2021</v>
      </c>
      <c r="J2043" t="s">
        <v>379</v>
      </c>
      <c r="K2043" t="s">
        <v>546</v>
      </c>
      <c r="L2043" s="784">
        <v>0</v>
      </c>
      <c r="M2043" t="s">
        <v>745</v>
      </c>
      <c r="P2043" t="s">
        <v>1887</v>
      </c>
      <c r="R2043" t="s">
        <v>152</v>
      </c>
      <c r="S2043" t="s">
        <v>146</v>
      </c>
      <c r="U2043">
        <v>0</v>
      </c>
      <c r="V2043" t="s">
        <v>544</v>
      </c>
      <c r="W2043" t="s">
        <v>575</v>
      </c>
      <c r="X2043" s="784">
        <v>1218747108.9554784</v>
      </c>
    </row>
    <row r="2044" spans="1:24">
      <c r="A2044" t="s">
        <v>358</v>
      </c>
      <c r="B2044" t="s">
        <v>656</v>
      </c>
      <c r="C2044" t="s">
        <v>260</v>
      </c>
      <c r="D2044" t="s">
        <v>130</v>
      </c>
      <c r="E2044" t="s">
        <v>377</v>
      </c>
      <c r="F2044" t="s">
        <v>310</v>
      </c>
      <c r="G2044" t="s">
        <v>39</v>
      </c>
      <c r="H2044" t="s">
        <v>310</v>
      </c>
      <c r="I2044">
        <v>2021</v>
      </c>
      <c r="J2044" t="s">
        <v>379</v>
      </c>
      <c r="K2044" t="s">
        <v>546</v>
      </c>
      <c r="L2044" s="784">
        <v>0</v>
      </c>
      <c r="M2044" t="s">
        <v>745</v>
      </c>
      <c r="P2044" t="s">
        <v>1887</v>
      </c>
      <c r="R2044" t="s">
        <v>152</v>
      </c>
      <c r="S2044" t="s">
        <v>146</v>
      </c>
      <c r="U2044">
        <v>0</v>
      </c>
      <c r="V2044" t="s">
        <v>544</v>
      </c>
      <c r="W2044" t="s">
        <v>575</v>
      </c>
      <c r="X2044" s="784">
        <v>7392665952.5895758</v>
      </c>
    </row>
    <row r="2045" spans="1:24">
      <c r="A2045" t="s">
        <v>358</v>
      </c>
      <c r="B2045" t="s">
        <v>657</v>
      </c>
      <c r="C2045" t="s">
        <v>261</v>
      </c>
      <c r="D2045" t="s">
        <v>126</v>
      </c>
      <c r="E2045" t="s">
        <v>377</v>
      </c>
      <c r="F2045" t="s">
        <v>310</v>
      </c>
      <c r="G2045" t="s">
        <v>39</v>
      </c>
      <c r="H2045" t="s">
        <v>310</v>
      </c>
      <c r="I2045">
        <v>2021</v>
      </c>
      <c r="J2045" t="s">
        <v>379</v>
      </c>
      <c r="K2045" t="s">
        <v>546</v>
      </c>
      <c r="L2045" s="784">
        <v>0</v>
      </c>
      <c r="M2045" t="s">
        <v>745</v>
      </c>
      <c r="P2045" t="s">
        <v>1887</v>
      </c>
      <c r="R2045" t="s">
        <v>150</v>
      </c>
      <c r="S2045" t="s">
        <v>145</v>
      </c>
      <c r="U2045">
        <v>0</v>
      </c>
      <c r="V2045" t="s">
        <v>544</v>
      </c>
      <c r="W2045" t="s">
        <v>546</v>
      </c>
      <c r="X2045" s="784">
        <v>4754985988.6004429</v>
      </c>
    </row>
    <row r="2046" spans="1:24">
      <c r="A2046" t="s">
        <v>358</v>
      </c>
      <c r="B2046" t="s">
        <v>658</v>
      </c>
      <c r="C2046" t="s">
        <v>262</v>
      </c>
      <c r="D2046" t="s">
        <v>127</v>
      </c>
      <c r="E2046" t="s">
        <v>377</v>
      </c>
      <c r="F2046" t="s">
        <v>310</v>
      </c>
      <c r="G2046" t="s">
        <v>39</v>
      </c>
      <c r="H2046" t="s">
        <v>310</v>
      </c>
      <c r="I2046">
        <v>2021</v>
      </c>
      <c r="J2046" t="s">
        <v>379</v>
      </c>
      <c r="K2046" t="s">
        <v>546</v>
      </c>
      <c r="L2046" s="784">
        <v>0</v>
      </c>
      <c r="M2046" t="s">
        <v>745</v>
      </c>
      <c r="P2046" t="s">
        <v>1887</v>
      </c>
      <c r="R2046" t="s">
        <v>550</v>
      </c>
      <c r="S2046" t="s">
        <v>146</v>
      </c>
      <c r="U2046">
        <v>0</v>
      </c>
      <c r="V2046" t="s">
        <v>544</v>
      </c>
      <c r="W2046" t="s">
        <v>575</v>
      </c>
      <c r="X2046" s="784">
        <v>26422210443.037273</v>
      </c>
    </row>
    <row r="2047" spans="1:24">
      <c r="A2047" t="s">
        <v>358</v>
      </c>
      <c r="B2047" t="s">
        <v>659</v>
      </c>
      <c r="C2047" t="s">
        <v>151</v>
      </c>
      <c r="D2047" t="s">
        <v>127</v>
      </c>
      <c r="E2047" t="s">
        <v>377</v>
      </c>
      <c r="F2047" t="s">
        <v>310</v>
      </c>
      <c r="G2047" t="s">
        <v>39</v>
      </c>
      <c r="H2047" t="s">
        <v>310</v>
      </c>
      <c r="I2047">
        <v>2021</v>
      </c>
      <c r="J2047" t="s">
        <v>379</v>
      </c>
      <c r="K2047" t="s">
        <v>546</v>
      </c>
      <c r="L2047" s="784">
        <v>0</v>
      </c>
      <c r="M2047" t="s">
        <v>745</v>
      </c>
      <c r="P2047" t="s">
        <v>1887</v>
      </c>
      <c r="R2047" t="s">
        <v>152</v>
      </c>
      <c r="S2047" t="s">
        <v>146</v>
      </c>
      <c r="U2047">
        <v>0</v>
      </c>
      <c r="V2047" t="s">
        <v>544</v>
      </c>
      <c r="W2047" t="s">
        <v>575</v>
      </c>
      <c r="X2047" s="784">
        <v>10696495313.15033</v>
      </c>
    </row>
    <row r="2048" spans="1:24">
      <c r="A2048" t="s">
        <v>358</v>
      </c>
      <c r="B2048" t="s">
        <v>660</v>
      </c>
      <c r="C2048" t="s">
        <v>263</v>
      </c>
      <c r="D2048" t="s">
        <v>127</v>
      </c>
      <c r="E2048" t="s">
        <v>377</v>
      </c>
      <c r="F2048" t="s">
        <v>310</v>
      </c>
      <c r="G2048" t="s">
        <v>39</v>
      </c>
      <c r="H2048" t="s">
        <v>310</v>
      </c>
      <c r="I2048">
        <v>2021</v>
      </c>
      <c r="J2048" t="s">
        <v>379</v>
      </c>
      <c r="K2048" t="s">
        <v>546</v>
      </c>
      <c r="L2048" s="784">
        <v>0</v>
      </c>
      <c r="M2048" t="s">
        <v>745</v>
      </c>
      <c r="P2048" t="s">
        <v>1887</v>
      </c>
      <c r="R2048" t="s">
        <v>152</v>
      </c>
      <c r="S2048" t="s">
        <v>146</v>
      </c>
      <c r="U2048">
        <v>0</v>
      </c>
      <c r="V2048" t="s">
        <v>544</v>
      </c>
      <c r="W2048" t="s">
        <v>575</v>
      </c>
      <c r="X2048" s="784">
        <v>52769713433.240509</v>
      </c>
    </row>
    <row r="2049" spans="1:24">
      <c r="A2049" t="s">
        <v>358</v>
      </c>
      <c r="B2049" t="s">
        <v>661</v>
      </c>
      <c r="C2049" t="s">
        <v>264</v>
      </c>
      <c r="D2049" t="s">
        <v>128</v>
      </c>
      <c r="E2049" t="s">
        <v>377</v>
      </c>
      <c r="F2049" t="s">
        <v>310</v>
      </c>
      <c r="G2049" t="s">
        <v>39</v>
      </c>
      <c r="H2049" t="s">
        <v>310</v>
      </c>
      <c r="I2049">
        <v>2021</v>
      </c>
      <c r="J2049" t="s">
        <v>379</v>
      </c>
      <c r="K2049" t="s">
        <v>546</v>
      </c>
      <c r="L2049" s="784">
        <v>0</v>
      </c>
      <c r="M2049" t="s">
        <v>745</v>
      </c>
      <c r="P2049" t="s">
        <v>1887</v>
      </c>
      <c r="R2049" t="s">
        <v>148</v>
      </c>
      <c r="S2049" t="s">
        <v>145</v>
      </c>
      <c r="U2049">
        <v>0</v>
      </c>
      <c r="V2049" t="s">
        <v>544</v>
      </c>
      <c r="W2049" t="s">
        <v>562</v>
      </c>
      <c r="X2049" s="784">
        <v>225799814.51943746</v>
      </c>
    </row>
    <row r="2050" spans="1:24">
      <c r="A2050" t="s">
        <v>358</v>
      </c>
      <c r="B2050" t="s">
        <v>662</v>
      </c>
      <c r="C2050" t="s">
        <v>265</v>
      </c>
      <c r="D2050" t="s">
        <v>126</v>
      </c>
      <c r="E2050" t="s">
        <v>377</v>
      </c>
      <c r="F2050" t="s">
        <v>310</v>
      </c>
      <c r="G2050" t="s">
        <v>39</v>
      </c>
      <c r="H2050" t="s">
        <v>310</v>
      </c>
      <c r="I2050">
        <v>2021</v>
      </c>
      <c r="J2050" t="s">
        <v>379</v>
      </c>
      <c r="K2050" t="s">
        <v>546</v>
      </c>
      <c r="L2050" s="784">
        <v>0</v>
      </c>
      <c r="M2050" t="s">
        <v>745</v>
      </c>
      <c r="P2050" t="s">
        <v>1887</v>
      </c>
      <c r="R2050" t="s">
        <v>150</v>
      </c>
      <c r="S2050" t="s">
        <v>145</v>
      </c>
      <c r="U2050">
        <v>0</v>
      </c>
      <c r="V2050" t="s">
        <v>541</v>
      </c>
      <c r="W2050" t="s">
        <v>542</v>
      </c>
      <c r="X2050" s="784">
        <v>32192988.027009469</v>
      </c>
    </row>
    <row r="2051" spans="1:24">
      <c r="A2051" t="s">
        <v>358</v>
      </c>
      <c r="B2051" t="s">
        <v>663</v>
      </c>
      <c r="C2051" t="s">
        <v>266</v>
      </c>
      <c r="D2051" t="s">
        <v>129</v>
      </c>
      <c r="E2051" t="s">
        <v>377</v>
      </c>
      <c r="F2051" t="s">
        <v>310</v>
      </c>
      <c r="G2051" t="s">
        <v>39</v>
      </c>
      <c r="H2051" t="s">
        <v>310</v>
      </c>
      <c r="I2051">
        <v>2021</v>
      </c>
      <c r="J2051" t="s">
        <v>379</v>
      </c>
      <c r="K2051" t="s">
        <v>546</v>
      </c>
      <c r="L2051" s="784">
        <v>0</v>
      </c>
      <c r="M2051" t="s">
        <v>745</v>
      </c>
      <c r="P2051" t="s">
        <v>1887</v>
      </c>
      <c r="R2051" t="s">
        <v>150</v>
      </c>
      <c r="S2051" t="s">
        <v>145</v>
      </c>
      <c r="U2051">
        <v>0</v>
      </c>
      <c r="V2051" t="s">
        <v>541</v>
      </c>
      <c r="W2051" t="s">
        <v>583</v>
      </c>
      <c r="X2051" s="784">
        <v>11633535.136477679</v>
      </c>
    </row>
    <row r="2052" spans="1:24">
      <c r="A2052" t="s">
        <v>358</v>
      </c>
      <c r="B2052" t="s">
        <v>664</v>
      </c>
      <c r="C2052" t="s">
        <v>267</v>
      </c>
      <c r="D2052" t="s">
        <v>129</v>
      </c>
      <c r="E2052" t="s">
        <v>377</v>
      </c>
      <c r="F2052" t="s">
        <v>310</v>
      </c>
      <c r="G2052" t="s">
        <v>39</v>
      </c>
      <c r="H2052" t="s">
        <v>310</v>
      </c>
      <c r="I2052">
        <v>2021</v>
      </c>
      <c r="J2052" t="s">
        <v>379</v>
      </c>
      <c r="K2052" t="s">
        <v>546</v>
      </c>
      <c r="L2052" s="784">
        <v>0</v>
      </c>
      <c r="M2052" t="s">
        <v>745</v>
      </c>
      <c r="P2052" t="s">
        <v>1887</v>
      </c>
      <c r="R2052" t="s">
        <v>150</v>
      </c>
      <c r="S2052" t="s">
        <v>145</v>
      </c>
      <c r="U2052">
        <v>2</v>
      </c>
      <c r="V2052" t="s">
        <v>544</v>
      </c>
      <c r="W2052" t="s">
        <v>562</v>
      </c>
      <c r="X2052" s="784">
        <v>222008693.93354639</v>
      </c>
    </row>
    <row r="2053" spans="1:24">
      <c r="A2053" t="s">
        <v>358</v>
      </c>
      <c r="B2053" t="s">
        <v>665</v>
      </c>
      <c r="C2053" t="s">
        <v>153</v>
      </c>
      <c r="D2053" t="s">
        <v>127</v>
      </c>
      <c r="E2053" t="s">
        <v>377</v>
      </c>
      <c r="F2053" t="s">
        <v>310</v>
      </c>
      <c r="G2053" t="s">
        <v>39</v>
      </c>
      <c r="H2053" t="s">
        <v>310</v>
      </c>
      <c r="I2053">
        <v>2021</v>
      </c>
      <c r="J2053" t="s">
        <v>379</v>
      </c>
      <c r="K2053" t="s">
        <v>546</v>
      </c>
      <c r="L2053" s="784">
        <v>0</v>
      </c>
      <c r="M2053" t="s">
        <v>745</v>
      </c>
      <c r="P2053" t="s">
        <v>1887</v>
      </c>
      <c r="R2053" t="s">
        <v>152</v>
      </c>
      <c r="S2053" t="s">
        <v>146</v>
      </c>
      <c r="U2053">
        <v>0</v>
      </c>
      <c r="V2053" t="s">
        <v>544</v>
      </c>
      <c r="W2053" t="s">
        <v>575</v>
      </c>
      <c r="X2053" s="784">
        <v>2564993795.1894679</v>
      </c>
    </row>
    <row r="2054" spans="1:24">
      <c r="A2054" t="s">
        <v>358</v>
      </c>
      <c r="B2054" t="s">
        <v>666</v>
      </c>
      <c r="C2054" t="s">
        <v>268</v>
      </c>
      <c r="D2054" t="s">
        <v>128</v>
      </c>
      <c r="E2054" t="s">
        <v>377</v>
      </c>
      <c r="F2054" t="s">
        <v>310</v>
      </c>
      <c r="G2054" t="s">
        <v>39</v>
      </c>
      <c r="H2054" t="s">
        <v>310</v>
      </c>
      <c r="I2054">
        <v>2021</v>
      </c>
      <c r="J2054" t="s">
        <v>379</v>
      </c>
      <c r="K2054" t="s">
        <v>546</v>
      </c>
      <c r="L2054" s="784">
        <v>0</v>
      </c>
      <c r="M2054" t="s">
        <v>745</v>
      </c>
      <c r="P2054" t="s">
        <v>1887</v>
      </c>
      <c r="R2054" t="s">
        <v>550</v>
      </c>
      <c r="S2054" t="s">
        <v>146</v>
      </c>
      <c r="U2054">
        <v>0</v>
      </c>
      <c r="V2054" t="s">
        <v>541</v>
      </c>
      <c r="W2054" t="s">
        <v>546</v>
      </c>
      <c r="X2054" s="784">
        <v>60237542.945069775</v>
      </c>
    </row>
    <row r="2055" spans="1:24">
      <c r="A2055" t="s">
        <v>358</v>
      </c>
      <c r="B2055" t="s">
        <v>667</v>
      </c>
      <c r="C2055" t="s">
        <v>269</v>
      </c>
      <c r="D2055" t="s">
        <v>129</v>
      </c>
      <c r="E2055" t="s">
        <v>377</v>
      </c>
      <c r="F2055" t="s">
        <v>310</v>
      </c>
      <c r="G2055" t="s">
        <v>39</v>
      </c>
      <c r="H2055" t="s">
        <v>310</v>
      </c>
      <c r="I2055">
        <v>2021</v>
      </c>
      <c r="J2055" t="s">
        <v>379</v>
      </c>
      <c r="K2055" t="s">
        <v>546</v>
      </c>
      <c r="L2055" s="784">
        <v>173000</v>
      </c>
      <c r="M2055" t="s">
        <v>745</v>
      </c>
      <c r="P2055" t="s">
        <v>1887</v>
      </c>
      <c r="R2055" t="s">
        <v>148</v>
      </c>
      <c r="S2055" t="s">
        <v>145</v>
      </c>
      <c r="U2055">
        <v>0</v>
      </c>
      <c r="V2055" t="s">
        <v>544</v>
      </c>
      <c r="W2055" t="s">
        <v>542</v>
      </c>
      <c r="X2055" s="784">
        <v>63738640.538260505</v>
      </c>
    </row>
    <row r="2056" spans="1:24">
      <c r="A2056" t="s">
        <v>358</v>
      </c>
      <c r="B2056" t="s">
        <v>668</v>
      </c>
      <c r="C2056" t="s">
        <v>270</v>
      </c>
      <c r="D2056" t="s">
        <v>126</v>
      </c>
      <c r="E2056" t="s">
        <v>377</v>
      </c>
      <c r="F2056" t="s">
        <v>310</v>
      </c>
      <c r="G2056" t="s">
        <v>39</v>
      </c>
      <c r="H2056" t="s">
        <v>310</v>
      </c>
      <c r="I2056">
        <v>2021</v>
      </c>
      <c r="J2056" t="s">
        <v>379</v>
      </c>
      <c r="K2056" t="s">
        <v>546</v>
      </c>
      <c r="L2056" s="784">
        <v>0</v>
      </c>
      <c r="M2056" t="s">
        <v>745</v>
      </c>
      <c r="P2056" t="s">
        <v>1887</v>
      </c>
      <c r="R2056" t="s">
        <v>150</v>
      </c>
      <c r="S2056" t="s">
        <v>145</v>
      </c>
      <c r="U2056">
        <v>0</v>
      </c>
      <c r="V2056" t="s">
        <v>541</v>
      </c>
      <c r="W2056" t="s">
        <v>562</v>
      </c>
      <c r="X2056" s="784">
        <v>49012774.055630356</v>
      </c>
    </row>
    <row r="2057" spans="1:24">
      <c r="A2057" t="s">
        <v>358</v>
      </c>
      <c r="B2057" t="s">
        <v>669</v>
      </c>
      <c r="C2057" t="s">
        <v>271</v>
      </c>
      <c r="D2057" t="s">
        <v>128</v>
      </c>
      <c r="E2057" t="s">
        <v>377</v>
      </c>
      <c r="F2057" t="s">
        <v>310</v>
      </c>
      <c r="G2057" t="s">
        <v>39</v>
      </c>
      <c r="H2057" t="s">
        <v>310</v>
      </c>
      <c r="I2057">
        <v>2021</v>
      </c>
      <c r="J2057" t="s">
        <v>379</v>
      </c>
      <c r="K2057" t="s">
        <v>546</v>
      </c>
      <c r="L2057" s="784">
        <v>995840</v>
      </c>
      <c r="M2057" t="s">
        <v>745</v>
      </c>
      <c r="P2057" t="s">
        <v>1887</v>
      </c>
      <c r="R2057" t="s">
        <v>148</v>
      </c>
      <c r="S2057" t="s">
        <v>145</v>
      </c>
      <c r="U2057">
        <v>1</v>
      </c>
      <c r="V2057" t="s">
        <v>544</v>
      </c>
      <c r="W2057" t="s">
        <v>583</v>
      </c>
      <c r="X2057" s="784" t="s">
        <v>575</v>
      </c>
    </row>
    <row r="2058" spans="1:24">
      <c r="A2058" t="s">
        <v>358</v>
      </c>
      <c r="B2058" t="s">
        <v>670</v>
      </c>
      <c r="C2058" t="s">
        <v>272</v>
      </c>
      <c r="D2058" t="s">
        <v>128</v>
      </c>
      <c r="E2058" t="s">
        <v>377</v>
      </c>
      <c r="F2058" t="s">
        <v>310</v>
      </c>
      <c r="G2058" t="s">
        <v>39</v>
      </c>
      <c r="H2058" t="s">
        <v>310</v>
      </c>
      <c r="I2058">
        <v>2021</v>
      </c>
      <c r="J2058" t="s">
        <v>379</v>
      </c>
      <c r="K2058" t="s">
        <v>546</v>
      </c>
      <c r="L2058" s="784">
        <v>0</v>
      </c>
      <c r="M2058" t="s">
        <v>745</v>
      </c>
      <c r="P2058" t="s">
        <v>1887</v>
      </c>
      <c r="R2058" t="s">
        <v>152</v>
      </c>
      <c r="S2058" t="s">
        <v>146</v>
      </c>
      <c r="U2058">
        <v>0</v>
      </c>
      <c r="V2058" t="s">
        <v>544</v>
      </c>
      <c r="W2058" t="s">
        <v>546</v>
      </c>
      <c r="X2058" s="784">
        <v>16429121142.784708</v>
      </c>
    </row>
    <row r="2059" spans="1:24">
      <c r="A2059" t="s">
        <v>358</v>
      </c>
      <c r="B2059" t="s">
        <v>671</v>
      </c>
      <c r="C2059" t="s">
        <v>273</v>
      </c>
      <c r="D2059" t="s">
        <v>128</v>
      </c>
      <c r="E2059" t="s">
        <v>377</v>
      </c>
      <c r="F2059" t="s">
        <v>310</v>
      </c>
      <c r="G2059" t="s">
        <v>39</v>
      </c>
      <c r="H2059" t="s">
        <v>310</v>
      </c>
      <c r="I2059">
        <v>2021</v>
      </c>
      <c r="J2059" t="s">
        <v>379</v>
      </c>
      <c r="K2059" t="s">
        <v>546</v>
      </c>
      <c r="L2059" s="784">
        <v>500000</v>
      </c>
      <c r="M2059" t="s">
        <v>745</v>
      </c>
      <c r="P2059" t="s">
        <v>1887</v>
      </c>
      <c r="R2059" t="s">
        <v>148</v>
      </c>
      <c r="S2059" t="s">
        <v>145</v>
      </c>
      <c r="U2059">
        <v>1</v>
      </c>
      <c r="V2059" t="s">
        <v>544</v>
      </c>
      <c r="W2059" t="s">
        <v>542</v>
      </c>
      <c r="X2059" s="784">
        <v>31684581.76217727</v>
      </c>
    </row>
    <row r="2060" spans="1:24">
      <c r="A2060" t="s">
        <v>358</v>
      </c>
      <c r="B2060" t="s">
        <v>672</v>
      </c>
      <c r="C2060" t="s">
        <v>274</v>
      </c>
      <c r="D2060" t="s">
        <v>132</v>
      </c>
      <c r="E2060" t="s">
        <v>377</v>
      </c>
      <c r="F2060" t="s">
        <v>310</v>
      </c>
      <c r="G2060" t="s">
        <v>39</v>
      </c>
      <c r="H2060" t="s">
        <v>310</v>
      </c>
      <c r="I2060">
        <v>2021</v>
      </c>
      <c r="J2060" t="s">
        <v>379</v>
      </c>
      <c r="K2060" t="s">
        <v>546</v>
      </c>
      <c r="L2060" s="784">
        <v>0</v>
      </c>
      <c r="M2060" t="s">
        <v>745</v>
      </c>
      <c r="P2060" t="s">
        <v>1887</v>
      </c>
      <c r="R2060" t="s">
        <v>150</v>
      </c>
      <c r="S2060" t="s">
        <v>145</v>
      </c>
      <c r="U2060">
        <v>0</v>
      </c>
      <c r="V2060" t="s">
        <v>544</v>
      </c>
      <c r="W2060" t="s">
        <v>546</v>
      </c>
      <c r="X2060" s="784">
        <v>1373621563.5182886</v>
      </c>
    </row>
    <row r="2061" spans="1:24">
      <c r="A2061" t="s">
        <v>358</v>
      </c>
      <c r="B2061" t="s">
        <v>673</v>
      </c>
      <c r="C2061" t="s">
        <v>275</v>
      </c>
      <c r="D2061" t="s">
        <v>130</v>
      </c>
      <c r="E2061" t="s">
        <v>377</v>
      </c>
      <c r="F2061" t="s">
        <v>310</v>
      </c>
      <c r="G2061" t="s">
        <v>39</v>
      </c>
      <c r="H2061" t="s">
        <v>310</v>
      </c>
      <c r="I2061">
        <v>2021</v>
      </c>
      <c r="J2061" t="s">
        <v>379</v>
      </c>
      <c r="K2061" t="s">
        <v>546</v>
      </c>
      <c r="L2061" s="784">
        <v>0</v>
      </c>
      <c r="M2061" t="s">
        <v>745</v>
      </c>
      <c r="P2061" t="s">
        <v>1887</v>
      </c>
      <c r="R2061" t="s">
        <v>550</v>
      </c>
      <c r="S2061" t="s">
        <v>146</v>
      </c>
      <c r="U2061">
        <v>0</v>
      </c>
      <c r="V2061" t="s">
        <v>541</v>
      </c>
      <c r="W2061" t="s">
        <v>575</v>
      </c>
      <c r="X2061" s="784">
        <v>24214370.889062837</v>
      </c>
    </row>
    <row r="2062" spans="1:24">
      <c r="A2062" t="s">
        <v>358</v>
      </c>
      <c r="B2062" t="s">
        <v>674</v>
      </c>
      <c r="C2062" t="s">
        <v>154</v>
      </c>
      <c r="D2062" t="s">
        <v>130</v>
      </c>
      <c r="E2062" t="s">
        <v>377</v>
      </c>
      <c r="F2062" t="s">
        <v>310</v>
      </c>
      <c r="G2062" t="s">
        <v>39</v>
      </c>
      <c r="H2062" t="s">
        <v>310</v>
      </c>
      <c r="I2062">
        <v>2021</v>
      </c>
      <c r="J2062" t="s">
        <v>379</v>
      </c>
      <c r="K2062" t="s">
        <v>546</v>
      </c>
      <c r="L2062" s="784">
        <v>0</v>
      </c>
      <c r="M2062" t="s">
        <v>745</v>
      </c>
      <c r="P2062" t="s">
        <v>1887</v>
      </c>
      <c r="R2062" t="s">
        <v>152</v>
      </c>
      <c r="S2062" t="s">
        <v>145</v>
      </c>
      <c r="U2062">
        <v>0</v>
      </c>
      <c r="V2062" t="s">
        <v>541</v>
      </c>
      <c r="W2062" t="s">
        <v>548</v>
      </c>
      <c r="X2062" s="784">
        <v>39941279.609447442</v>
      </c>
    </row>
    <row r="2063" spans="1:24">
      <c r="A2063" t="s">
        <v>358</v>
      </c>
      <c r="B2063" t="s">
        <v>675</v>
      </c>
      <c r="C2063" t="s">
        <v>155</v>
      </c>
      <c r="D2063" t="s">
        <v>130</v>
      </c>
      <c r="E2063" t="s">
        <v>377</v>
      </c>
      <c r="F2063" t="s">
        <v>310</v>
      </c>
      <c r="G2063" t="s">
        <v>39</v>
      </c>
      <c r="H2063" t="s">
        <v>310</v>
      </c>
      <c r="I2063">
        <v>2021</v>
      </c>
      <c r="J2063" t="s">
        <v>379</v>
      </c>
      <c r="K2063" t="s">
        <v>546</v>
      </c>
      <c r="L2063" s="784">
        <v>0</v>
      </c>
      <c r="M2063" t="s">
        <v>745</v>
      </c>
      <c r="P2063" t="s">
        <v>1887</v>
      </c>
      <c r="R2063" t="s">
        <v>152</v>
      </c>
      <c r="S2063" t="s">
        <v>145</v>
      </c>
      <c r="U2063">
        <v>0</v>
      </c>
      <c r="V2063" t="s">
        <v>541</v>
      </c>
      <c r="W2063" t="s">
        <v>542</v>
      </c>
      <c r="X2063" s="784">
        <v>24761675.260059897</v>
      </c>
    </row>
    <row r="2064" spans="1:24">
      <c r="A2064" t="s">
        <v>358</v>
      </c>
      <c r="B2064" t="s">
        <v>676</v>
      </c>
      <c r="C2064" t="s">
        <v>276</v>
      </c>
      <c r="D2064" t="s">
        <v>131</v>
      </c>
      <c r="E2064" t="s">
        <v>377</v>
      </c>
      <c r="F2064" t="s">
        <v>310</v>
      </c>
      <c r="G2064" t="s">
        <v>39</v>
      </c>
      <c r="H2064" t="s">
        <v>310</v>
      </c>
      <c r="I2064">
        <v>2021</v>
      </c>
      <c r="J2064" t="s">
        <v>379</v>
      </c>
      <c r="K2064" t="s">
        <v>546</v>
      </c>
      <c r="L2064" s="784">
        <v>0</v>
      </c>
      <c r="M2064" t="s">
        <v>745</v>
      </c>
      <c r="P2064" t="s">
        <v>1887</v>
      </c>
      <c r="R2064" t="s">
        <v>150</v>
      </c>
      <c r="S2064" t="s">
        <v>145</v>
      </c>
      <c r="U2064">
        <v>0</v>
      </c>
      <c r="V2064" t="s">
        <v>544</v>
      </c>
      <c r="W2064" t="s">
        <v>546</v>
      </c>
      <c r="X2064" s="784" t="s">
        <v>575</v>
      </c>
    </row>
    <row r="2065" spans="1:24">
      <c r="A2065" t="s">
        <v>358</v>
      </c>
      <c r="B2065" t="s">
        <v>677</v>
      </c>
      <c r="C2065" t="s">
        <v>277</v>
      </c>
      <c r="D2065" t="s">
        <v>131</v>
      </c>
      <c r="E2065" t="s">
        <v>377</v>
      </c>
      <c r="F2065" t="s">
        <v>310</v>
      </c>
      <c r="G2065" t="s">
        <v>39</v>
      </c>
      <c r="H2065" t="s">
        <v>310</v>
      </c>
      <c r="I2065">
        <v>2021</v>
      </c>
      <c r="J2065" t="s">
        <v>379</v>
      </c>
      <c r="K2065" t="s">
        <v>546</v>
      </c>
      <c r="L2065" s="784">
        <v>0</v>
      </c>
      <c r="M2065" t="s">
        <v>745</v>
      </c>
      <c r="P2065" t="s">
        <v>1887</v>
      </c>
      <c r="R2065" t="s">
        <v>148</v>
      </c>
      <c r="S2065" t="s">
        <v>145</v>
      </c>
      <c r="U2065">
        <v>1</v>
      </c>
      <c r="V2065" t="s">
        <v>544</v>
      </c>
      <c r="W2065" t="s">
        <v>546</v>
      </c>
      <c r="X2065" s="784">
        <v>577156172.71229994</v>
      </c>
    </row>
    <row r="2066" spans="1:24">
      <c r="A2066" t="s">
        <v>358</v>
      </c>
      <c r="B2066" t="s">
        <v>678</v>
      </c>
      <c r="C2066" t="s">
        <v>278</v>
      </c>
      <c r="D2066" t="s">
        <v>126</v>
      </c>
      <c r="E2066" t="s">
        <v>377</v>
      </c>
      <c r="F2066" t="s">
        <v>310</v>
      </c>
      <c r="G2066" t="s">
        <v>39</v>
      </c>
      <c r="H2066" t="s">
        <v>310</v>
      </c>
      <c r="I2066">
        <v>2021</v>
      </c>
      <c r="J2066" t="s">
        <v>379</v>
      </c>
      <c r="K2066" t="s">
        <v>546</v>
      </c>
      <c r="L2066" s="784">
        <v>0</v>
      </c>
      <c r="M2066" t="s">
        <v>745</v>
      </c>
      <c r="P2066" t="s">
        <v>1887</v>
      </c>
      <c r="R2066" t="s">
        <v>152</v>
      </c>
      <c r="S2066" t="s">
        <v>146</v>
      </c>
      <c r="U2066">
        <v>0</v>
      </c>
      <c r="V2066" t="s">
        <v>541</v>
      </c>
      <c r="W2066" t="s">
        <v>575</v>
      </c>
      <c r="X2066" s="784">
        <v>180052034.19851837</v>
      </c>
    </row>
    <row r="2067" spans="1:24">
      <c r="A2067" t="s">
        <v>358</v>
      </c>
      <c r="B2067" t="s">
        <v>679</v>
      </c>
      <c r="C2067" t="s">
        <v>279</v>
      </c>
      <c r="D2067" t="s">
        <v>131</v>
      </c>
      <c r="E2067" t="s">
        <v>377</v>
      </c>
      <c r="F2067" t="s">
        <v>310</v>
      </c>
      <c r="G2067" t="s">
        <v>39</v>
      </c>
      <c r="H2067" t="s">
        <v>310</v>
      </c>
      <c r="I2067">
        <v>2021</v>
      </c>
      <c r="J2067" t="s">
        <v>379</v>
      </c>
      <c r="K2067" t="s">
        <v>546</v>
      </c>
      <c r="L2067" s="784">
        <v>0</v>
      </c>
      <c r="M2067" t="s">
        <v>745</v>
      </c>
      <c r="P2067" t="s">
        <v>1887</v>
      </c>
      <c r="R2067" t="s">
        <v>148</v>
      </c>
      <c r="S2067" t="s">
        <v>145</v>
      </c>
      <c r="U2067">
        <v>1</v>
      </c>
      <c r="V2067" t="s">
        <v>544</v>
      </c>
      <c r="W2067" t="s">
        <v>546</v>
      </c>
      <c r="X2067" s="784" t="s">
        <v>575</v>
      </c>
    </row>
    <row r="2068" spans="1:24">
      <c r="A2068" t="s">
        <v>358</v>
      </c>
      <c r="B2068" t="s">
        <v>680</v>
      </c>
      <c r="C2068" t="s">
        <v>280</v>
      </c>
      <c r="D2068" t="s">
        <v>127</v>
      </c>
      <c r="E2068" t="s">
        <v>377</v>
      </c>
      <c r="F2068" t="s">
        <v>310</v>
      </c>
      <c r="G2068" t="s">
        <v>39</v>
      </c>
      <c r="H2068" t="s">
        <v>310</v>
      </c>
      <c r="I2068">
        <v>2021</v>
      </c>
      <c r="J2068" t="s">
        <v>379</v>
      </c>
      <c r="K2068" t="s">
        <v>546</v>
      </c>
      <c r="L2068" s="784">
        <v>0</v>
      </c>
      <c r="M2068" t="s">
        <v>745</v>
      </c>
      <c r="P2068" t="s">
        <v>1887</v>
      </c>
      <c r="R2068" t="s">
        <v>150</v>
      </c>
      <c r="S2068" t="s">
        <v>145</v>
      </c>
      <c r="U2068">
        <v>0</v>
      </c>
      <c r="V2068" t="s">
        <v>544</v>
      </c>
      <c r="W2068" t="s">
        <v>542</v>
      </c>
      <c r="X2068" s="784">
        <v>147296124.32232863</v>
      </c>
    </row>
    <row r="2069" spans="1:24">
      <c r="A2069" t="s">
        <v>358</v>
      </c>
      <c r="B2069" t="s">
        <v>681</v>
      </c>
      <c r="C2069" t="s">
        <v>156</v>
      </c>
      <c r="D2069" t="s">
        <v>128</v>
      </c>
      <c r="E2069" t="s">
        <v>377</v>
      </c>
      <c r="F2069" t="s">
        <v>310</v>
      </c>
      <c r="G2069" t="s">
        <v>39</v>
      </c>
      <c r="H2069" t="s">
        <v>310</v>
      </c>
      <c r="I2069">
        <v>2021</v>
      </c>
      <c r="J2069" t="s">
        <v>379</v>
      </c>
      <c r="K2069" t="s">
        <v>546</v>
      </c>
      <c r="L2069" s="784">
        <v>0</v>
      </c>
      <c r="M2069" t="s">
        <v>745</v>
      </c>
      <c r="P2069" t="s">
        <v>1887</v>
      </c>
      <c r="R2069" t="s">
        <v>150</v>
      </c>
      <c r="S2069" t="s">
        <v>145</v>
      </c>
      <c r="U2069">
        <v>0</v>
      </c>
      <c r="V2069" t="s">
        <v>544</v>
      </c>
      <c r="W2069" t="s">
        <v>548</v>
      </c>
      <c r="X2069" s="784">
        <v>890576536.83065879</v>
      </c>
    </row>
    <row r="2070" spans="1:24">
      <c r="A2070" t="s">
        <v>358</v>
      </c>
      <c r="B2070" t="s">
        <v>682</v>
      </c>
      <c r="C2070" t="s">
        <v>157</v>
      </c>
      <c r="D2070" t="s">
        <v>126</v>
      </c>
      <c r="E2070" t="s">
        <v>377</v>
      </c>
      <c r="F2070" t="s">
        <v>310</v>
      </c>
      <c r="G2070" t="s">
        <v>39</v>
      </c>
      <c r="H2070" t="s">
        <v>310</v>
      </c>
      <c r="I2070">
        <v>2021</v>
      </c>
      <c r="J2070" t="s">
        <v>379</v>
      </c>
      <c r="K2070" t="s">
        <v>546</v>
      </c>
      <c r="L2070" s="784">
        <v>0</v>
      </c>
      <c r="M2070" t="s">
        <v>745</v>
      </c>
      <c r="P2070" t="s">
        <v>1887</v>
      </c>
      <c r="R2070" t="s">
        <v>152</v>
      </c>
      <c r="S2070" t="s">
        <v>146</v>
      </c>
      <c r="U2070">
        <v>0</v>
      </c>
      <c r="V2070" t="s">
        <v>544</v>
      </c>
      <c r="W2070" t="s">
        <v>575</v>
      </c>
      <c r="X2070" s="784">
        <v>14611129792.346064</v>
      </c>
    </row>
    <row r="2071" spans="1:24">
      <c r="A2071" t="s">
        <v>358</v>
      </c>
      <c r="B2071" t="s">
        <v>683</v>
      </c>
      <c r="C2071" t="s">
        <v>281</v>
      </c>
      <c r="D2071" t="s">
        <v>126</v>
      </c>
      <c r="E2071" t="s">
        <v>377</v>
      </c>
      <c r="F2071" t="s">
        <v>310</v>
      </c>
      <c r="G2071" t="s">
        <v>39</v>
      </c>
      <c r="H2071" t="s">
        <v>310</v>
      </c>
      <c r="I2071">
        <v>2021</v>
      </c>
      <c r="J2071" t="s">
        <v>379</v>
      </c>
      <c r="K2071" t="s">
        <v>546</v>
      </c>
      <c r="L2071" s="784">
        <v>0</v>
      </c>
      <c r="M2071" t="s">
        <v>745</v>
      </c>
      <c r="P2071" t="s">
        <v>1887</v>
      </c>
      <c r="R2071" t="s">
        <v>150</v>
      </c>
      <c r="S2071" t="s">
        <v>145</v>
      </c>
      <c r="U2071">
        <v>0</v>
      </c>
      <c r="V2071" t="s">
        <v>541</v>
      </c>
      <c r="W2071" t="s">
        <v>558</v>
      </c>
      <c r="X2071" s="784">
        <v>72046877.233008593</v>
      </c>
    </row>
    <row r="2072" spans="1:24">
      <c r="A2072" t="s">
        <v>358</v>
      </c>
      <c r="B2072" t="s">
        <v>684</v>
      </c>
      <c r="C2072" t="s">
        <v>282</v>
      </c>
      <c r="D2072" t="s">
        <v>129</v>
      </c>
      <c r="E2072" t="s">
        <v>377</v>
      </c>
      <c r="F2072" t="s">
        <v>310</v>
      </c>
      <c r="G2072" t="s">
        <v>39</v>
      </c>
      <c r="H2072" t="s">
        <v>310</v>
      </c>
      <c r="I2072">
        <v>2021</v>
      </c>
      <c r="J2072" t="s">
        <v>379</v>
      </c>
      <c r="K2072" t="s">
        <v>546</v>
      </c>
      <c r="L2072" s="784">
        <v>0</v>
      </c>
      <c r="M2072" t="s">
        <v>745</v>
      </c>
      <c r="P2072" t="s">
        <v>1887</v>
      </c>
      <c r="R2072" t="s">
        <v>148</v>
      </c>
      <c r="S2072" t="s">
        <v>145</v>
      </c>
      <c r="U2072">
        <v>0</v>
      </c>
      <c r="V2072" t="s">
        <v>544</v>
      </c>
      <c r="W2072" t="s">
        <v>542</v>
      </c>
      <c r="X2072" s="784">
        <v>56248139.267255567</v>
      </c>
    </row>
    <row r="2073" spans="1:24">
      <c r="A2073" t="s">
        <v>358</v>
      </c>
      <c r="B2073" t="s">
        <v>685</v>
      </c>
      <c r="C2073" t="s">
        <v>283</v>
      </c>
      <c r="D2073" t="s">
        <v>126</v>
      </c>
      <c r="E2073" t="s">
        <v>377</v>
      </c>
      <c r="F2073" t="s">
        <v>310</v>
      </c>
      <c r="G2073" t="s">
        <v>39</v>
      </c>
      <c r="H2073" t="s">
        <v>310</v>
      </c>
      <c r="I2073">
        <v>2021</v>
      </c>
      <c r="J2073" t="s">
        <v>379</v>
      </c>
      <c r="K2073" t="s">
        <v>546</v>
      </c>
      <c r="L2073" s="784">
        <v>0</v>
      </c>
      <c r="M2073" t="s">
        <v>745</v>
      </c>
      <c r="P2073" t="s">
        <v>1887</v>
      </c>
      <c r="R2073" t="s">
        <v>152</v>
      </c>
      <c r="S2073" t="s">
        <v>145</v>
      </c>
      <c r="U2073">
        <v>0</v>
      </c>
      <c r="V2073" t="s">
        <v>541</v>
      </c>
      <c r="W2073" t="s">
        <v>542</v>
      </c>
      <c r="X2073" s="784">
        <v>15464031.712942109</v>
      </c>
    </row>
    <row r="2074" spans="1:24">
      <c r="A2074" t="s">
        <v>358</v>
      </c>
      <c r="B2074" t="s">
        <v>686</v>
      </c>
      <c r="C2074" t="s">
        <v>284</v>
      </c>
      <c r="D2074" t="s">
        <v>130</v>
      </c>
      <c r="E2074" t="s">
        <v>377</v>
      </c>
      <c r="F2074" t="s">
        <v>310</v>
      </c>
      <c r="G2074" t="s">
        <v>39</v>
      </c>
      <c r="H2074" t="s">
        <v>310</v>
      </c>
      <c r="I2074">
        <v>2021</v>
      </c>
      <c r="J2074" t="s">
        <v>379</v>
      </c>
      <c r="K2074" t="s">
        <v>546</v>
      </c>
      <c r="L2074" s="784">
        <v>0</v>
      </c>
      <c r="M2074" t="s">
        <v>745</v>
      </c>
      <c r="P2074" t="s">
        <v>1887</v>
      </c>
      <c r="R2074" t="s">
        <v>550</v>
      </c>
      <c r="S2074" t="s">
        <v>146</v>
      </c>
      <c r="U2074">
        <v>0</v>
      </c>
      <c r="V2074" t="s">
        <v>541</v>
      </c>
      <c r="W2074" t="s">
        <v>546</v>
      </c>
      <c r="X2074" s="784">
        <v>769564399.33249676</v>
      </c>
    </row>
    <row r="2075" spans="1:24">
      <c r="A2075" t="s">
        <v>358</v>
      </c>
      <c r="B2075" t="s">
        <v>687</v>
      </c>
      <c r="C2075" t="s">
        <v>285</v>
      </c>
      <c r="D2075" t="s">
        <v>131</v>
      </c>
      <c r="E2075" t="s">
        <v>377</v>
      </c>
      <c r="F2075" t="s">
        <v>310</v>
      </c>
      <c r="G2075" t="s">
        <v>39</v>
      </c>
      <c r="H2075" t="s">
        <v>310</v>
      </c>
      <c r="I2075">
        <v>2021</v>
      </c>
      <c r="J2075" t="s">
        <v>379</v>
      </c>
      <c r="K2075" t="s">
        <v>546</v>
      </c>
      <c r="L2075" s="784">
        <v>0</v>
      </c>
      <c r="M2075" t="s">
        <v>745</v>
      </c>
      <c r="P2075" t="s">
        <v>1887</v>
      </c>
      <c r="R2075" t="s">
        <v>150</v>
      </c>
      <c r="S2075" t="s">
        <v>145</v>
      </c>
      <c r="U2075">
        <v>0</v>
      </c>
      <c r="V2075" t="s">
        <v>544</v>
      </c>
      <c r="W2075" t="s">
        <v>546</v>
      </c>
      <c r="X2075" s="784">
        <v>1668954539.7630196</v>
      </c>
    </row>
    <row r="2076" spans="1:24">
      <c r="A2076" t="s">
        <v>358</v>
      </c>
      <c r="B2076" t="s">
        <v>688</v>
      </c>
      <c r="C2076" t="s">
        <v>286</v>
      </c>
      <c r="D2076" t="s">
        <v>127</v>
      </c>
      <c r="E2076" t="s">
        <v>377</v>
      </c>
      <c r="F2076" t="s">
        <v>310</v>
      </c>
      <c r="G2076" t="s">
        <v>39</v>
      </c>
      <c r="H2076" t="s">
        <v>310</v>
      </c>
      <c r="I2076">
        <v>2021</v>
      </c>
      <c r="J2076" t="s">
        <v>379</v>
      </c>
      <c r="K2076" t="s">
        <v>546</v>
      </c>
      <c r="L2076" s="784">
        <v>0</v>
      </c>
      <c r="M2076" t="s">
        <v>745</v>
      </c>
      <c r="P2076" t="s">
        <v>1887</v>
      </c>
      <c r="R2076" t="s">
        <v>152</v>
      </c>
      <c r="S2076" t="s">
        <v>146</v>
      </c>
      <c r="U2076">
        <v>0</v>
      </c>
      <c r="V2076" t="s">
        <v>544</v>
      </c>
      <c r="W2076" t="s">
        <v>575</v>
      </c>
      <c r="X2076" s="784">
        <v>24840920016.18832</v>
      </c>
    </row>
    <row r="2077" spans="1:24">
      <c r="A2077" t="s">
        <v>358</v>
      </c>
      <c r="B2077" t="s">
        <v>689</v>
      </c>
      <c r="C2077" t="s">
        <v>287</v>
      </c>
      <c r="D2077" t="s">
        <v>127</v>
      </c>
      <c r="E2077" t="s">
        <v>377</v>
      </c>
      <c r="F2077" t="s">
        <v>310</v>
      </c>
      <c r="G2077" t="s">
        <v>39</v>
      </c>
      <c r="H2077" t="s">
        <v>310</v>
      </c>
      <c r="I2077">
        <v>2021</v>
      </c>
      <c r="J2077" t="s">
        <v>379</v>
      </c>
      <c r="K2077" t="s">
        <v>546</v>
      </c>
      <c r="L2077" s="784">
        <v>0</v>
      </c>
      <c r="M2077" t="s">
        <v>745</v>
      </c>
      <c r="P2077" t="s">
        <v>1887</v>
      </c>
      <c r="R2077" t="s">
        <v>152</v>
      </c>
      <c r="S2077" t="s">
        <v>146</v>
      </c>
      <c r="U2077">
        <v>0</v>
      </c>
      <c r="V2077" t="s">
        <v>544</v>
      </c>
      <c r="W2077" t="s">
        <v>546</v>
      </c>
      <c r="X2077" s="784">
        <v>487888462.83720118</v>
      </c>
    </row>
    <row r="2078" spans="1:24">
      <c r="A2078" t="s">
        <v>358</v>
      </c>
      <c r="B2078" t="s">
        <v>690</v>
      </c>
      <c r="C2078" t="s">
        <v>288</v>
      </c>
      <c r="D2078" t="s">
        <v>126</v>
      </c>
      <c r="E2078" t="s">
        <v>377</v>
      </c>
      <c r="F2078" t="s">
        <v>310</v>
      </c>
      <c r="G2078" t="s">
        <v>39</v>
      </c>
      <c r="H2078" t="s">
        <v>310</v>
      </c>
      <c r="I2078">
        <v>2021</v>
      </c>
      <c r="J2078" t="s">
        <v>379</v>
      </c>
      <c r="K2078" t="s">
        <v>546</v>
      </c>
      <c r="L2078" s="784">
        <v>0</v>
      </c>
      <c r="M2078" t="s">
        <v>745</v>
      </c>
      <c r="P2078" t="s">
        <v>1887</v>
      </c>
      <c r="R2078" t="s">
        <v>152</v>
      </c>
      <c r="S2078" t="s">
        <v>145</v>
      </c>
      <c r="U2078">
        <v>0</v>
      </c>
      <c r="V2078" t="s">
        <v>541</v>
      </c>
      <c r="W2078" t="s">
        <v>548</v>
      </c>
      <c r="X2078" s="784">
        <v>6365061.1736073596</v>
      </c>
    </row>
    <row r="2079" spans="1:24">
      <c r="A2079" t="s">
        <v>358</v>
      </c>
      <c r="B2079" t="s">
        <v>691</v>
      </c>
      <c r="C2079" t="s">
        <v>289</v>
      </c>
      <c r="D2079" t="s">
        <v>128</v>
      </c>
      <c r="E2079" t="s">
        <v>377</v>
      </c>
      <c r="F2079" t="s">
        <v>310</v>
      </c>
      <c r="G2079" t="s">
        <v>39</v>
      </c>
      <c r="H2079" t="s">
        <v>310</v>
      </c>
      <c r="I2079">
        <v>2021</v>
      </c>
      <c r="J2079" t="s">
        <v>379</v>
      </c>
      <c r="K2079" t="s">
        <v>546</v>
      </c>
      <c r="L2079" s="784">
        <v>0</v>
      </c>
      <c r="M2079" t="s">
        <v>745</v>
      </c>
      <c r="P2079" t="s">
        <v>1887</v>
      </c>
      <c r="R2079" t="s">
        <v>148</v>
      </c>
      <c r="S2079" t="s">
        <v>145</v>
      </c>
      <c r="U2079">
        <v>2</v>
      </c>
      <c r="V2079" t="s">
        <v>544</v>
      </c>
      <c r="W2079" t="s">
        <v>558</v>
      </c>
      <c r="X2079" s="784">
        <v>291799092.90196139</v>
      </c>
    </row>
    <row r="2080" spans="1:24">
      <c r="A2080" t="s">
        <v>358</v>
      </c>
      <c r="B2080" t="s">
        <v>692</v>
      </c>
      <c r="C2080" t="s">
        <v>290</v>
      </c>
      <c r="D2080" t="s">
        <v>127</v>
      </c>
      <c r="E2080" t="s">
        <v>377</v>
      </c>
      <c r="F2080" t="s">
        <v>310</v>
      </c>
      <c r="G2080" t="s">
        <v>39</v>
      </c>
      <c r="H2080" t="s">
        <v>310</v>
      </c>
      <c r="I2080">
        <v>2021</v>
      </c>
      <c r="J2080" t="s">
        <v>379</v>
      </c>
      <c r="K2080" t="s">
        <v>546</v>
      </c>
      <c r="L2080" s="784">
        <v>0</v>
      </c>
      <c r="M2080" t="s">
        <v>745</v>
      </c>
      <c r="P2080" t="s">
        <v>1887</v>
      </c>
      <c r="R2080" t="s">
        <v>150</v>
      </c>
      <c r="S2080" t="s">
        <v>145</v>
      </c>
      <c r="U2080">
        <v>0</v>
      </c>
      <c r="V2080" t="s">
        <v>544</v>
      </c>
      <c r="W2080" t="s">
        <v>546</v>
      </c>
      <c r="X2080" s="784">
        <v>4844815340.2135534</v>
      </c>
    </row>
    <row r="2081" spans="1:24">
      <c r="A2081" t="s">
        <v>358</v>
      </c>
      <c r="B2081" t="s">
        <v>693</v>
      </c>
      <c r="C2081" t="s">
        <v>291</v>
      </c>
      <c r="D2081" t="s">
        <v>130</v>
      </c>
      <c r="E2081" t="s">
        <v>377</v>
      </c>
      <c r="F2081" t="s">
        <v>310</v>
      </c>
      <c r="G2081" t="s">
        <v>39</v>
      </c>
      <c r="H2081" t="s">
        <v>310</v>
      </c>
      <c r="I2081">
        <v>2021</v>
      </c>
      <c r="J2081" t="s">
        <v>379</v>
      </c>
      <c r="K2081" t="s">
        <v>546</v>
      </c>
      <c r="L2081" s="784">
        <v>0</v>
      </c>
      <c r="M2081" t="s">
        <v>745</v>
      </c>
      <c r="P2081" t="s">
        <v>1887</v>
      </c>
      <c r="R2081" t="s">
        <v>550</v>
      </c>
      <c r="S2081" t="s">
        <v>146</v>
      </c>
      <c r="U2081">
        <v>0</v>
      </c>
      <c r="V2081" t="s">
        <v>544</v>
      </c>
      <c r="W2081" t="s">
        <v>575</v>
      </c>
      <c r="X2081" s="784">
        <v>4001891446.6871672</v>
      </c>
    </row>
    <row r="2082" spans="1:24">
      <c r="A2082" t="s">
        <v>358</v>
      </c>
      <c r="B2082" t="s">
        <v>694</v>
      </c>
      <c r="C2082" t="s">
        <v>292</v>
      </c>
      <c r="D2082" t="s">
        <v>127</v>
      </c>
      <c r="E2082" t="s">
        <v>377</v>
      </c>
      <c r="F2082" t="s">
        <v>310</v>
      </c>
      <c r="G2082" t="s">
        <v>39</v>
      </c>
      <c r="H2082" t="s">
        <v>310</v>
      </c>
      <c r="I2082">
        <v>2021</v>
      </c>
      <c r="J2082" t="s">
        <v>379</v>
      </c>
      <c r="K2082" t="s">
        <v>546</v>
      </c>
      <c r="L2082" s="784">
        <v>0</v>
      </c>
      <c r="M2082" t="s">
        <v>745</v>
      </c>
      <c r="P2082" t="s">
        <v>1887</v>
      </c>
      <c r="R2082" t="s">
        <v>150</v>
      </c>
      <c r="S2082" t="s">
        <v>145</v>
      </c>
      <c r="U2082">
        <v>0</v>
      </c>
      <c r="V2082" t="s">
        <v>544</v>
      </c>
      <c r="W2082" t="s">
        <v>558</v>
      </c>
      <c r="X2082" s="784">
        <v>1019800630.5853213</v>
      </c>
    </row>
    <row r="2083" spans="1:24">
      <c r="A2083" t="s">
        <v>358</v>
      </c>
      <c r="B2083" t="s">
        <v>695</v>
      </c>
      <c r="C2083" t="s">
        <v>293</v>
      </c>
      <c r="D2083" t="s">
        <v>126</v>
      </c>
      <c r="E2083" t="s">
        <v>377</v>
      </c>
      <c r="F2083" t="s">
        <v>310</v>
      </c>
      <c r="G2083" t="s">
        <v>39</v>
      </c>
      <c r="H2083" t="s">
        <v>310</v>
      </c>
      <c r="I2083">
        <v>2021</v>
      </c>
      <c r="J2083" t="s">
        <v>379</v>
      </c>
      <c r="K2083" t="s">
        <v>546</v>
      </c>
      <c r="L2083" s="784">
        <v>0</v>
      </c>
      <c r="M2083" t="s">
        <v>745</v>
      </c>
      <c r="P2083" t="s">
        <v>1887</v>
      </c>
      <c r="R2083" t="s">
        <v>150</v>
      </c>
      <c r="S2083" t="s">
        <v>145</v>
      </c>
      <c r="U2083">
        <v>0</v>
      </c>
      <c r="V2083" t="s">
        <v>541</v>
      </c>
      <c r="W2083" t="s">
        <v>562</v>
      </c>
      <c r="X2083" s="784">
        <v>19578671.310841195</v>
      </c>
    </row>
    <row r="2084" spans="1:24">
      <c r="A2084" t="s">
        <v>358</v>
      </c>
      <c r="B2084" t="s">
        <v>696</v>
      </c>
      <c r="C2084" t="s">
        <v>294</v>
      </c>
      <c r="D2084" t="s">
        <v>130</v>
      </c>
      <c r="E2084" t="s">
        <v>377</v>
      </c>
      <c r="F2084" t="s">
        <v>310</v>
      </c>
      <c r="G2084" t="s">
        <v>39</v>
      </c>
      <c r="H2084" t="s">
        <v>310</v>
      </c>
      <c r="I2084">
        <v>2021</v>
      </c>
      <c r="J2084" t="s">
        <v>379</v>
      </c>
      <c r="K2084" t="s">
        <v>546</v>
      </c>
      <c r="L2084" s="784">
        <v>0</v>
      </c>
      <c r="M2084" t="s">
        <v>745</v>
      </c>
      <c r="P2084" t="s">
        <v>1887</v>
      </c>
      <c r="R2084" t="s">
        <v>322</v>
      </c>
      <c r="S2084" t="s">
        <v>146</v>
      </c>
      <c r="U2084">
        <v>0</v>
      </c>
      <c r="V2084" t="s">
        <v>544</v>
      </c>
      <c r="W2084" t="s">
        <v>546</v>
      </c>
      <c r="X2084" s="784">
        <v>3551452001.0684834</v>
      </c>
    </row>
    <row r="2085" spans="1:24">
      <c r="A2085" t="s">
        <v>358</v>
      </c>
      <c r="B2085" t="s">
        <v>697</v>
      </c>
      <c r="C2085" t="s">
        <v>295</v>
      </c>
      <c r="D2085" t="s">
        <v>126</v>
      </c>
      <c r="E2085" t="s">
        <v>377</v>
      </c>
      <c r="F2085" t="s">
        <v>310</v>
      </c>
      <c r="G2085" t="s">
        <v>39</v>
      </c>
      <c r="H2085" t="s">
        <v>310</v>
      </c>
      <c r="I2085">
        <v>2021</v>
      </c>
      <c r="J2085" t="s">
        <v>379</v>
      </c>
      <c r="K2085" t="s">
        <v>546</v>
      </c>
      <c r="L2085" s="784">
        <v>500000</v>
      </c>
      <c r="M2085" t="s">
        <v>745</v>
      </c>
      <c r="P2085" t="s">
        <v>1887</v>
      </c>
      <c r="R2085" t="s">
        <v>150</v>
      </c>
      <c r="S2085" t="s">
        <v>145</v>
      </c>
      <c r="U2085">
        <v>0</v>
      </c>
      <c r="V2085" t="s">
        <v>544</v>
      </c>
      <c r="W2085" t="s">
        <v>546</v>
      </c>
      <c r="X2085" s="784">
        <v>6603048821.7575006</v>
      </c>
    </row>
    <row r="2086" spans="1:24">
      <c r="A2086" t="s">
        <v>358</v>
      </c>
      <c r="B2086" t="s">
        <v>698</v>
      </c>
      <c r="C2086" t="s">
        <v>296</v>
      </c>
      <c r="D2086" t="s">
        <v>131</v>
      </c>
      <c r="E2086" t="s">
        <v>377</v>
      </c>
      <c r="F2086" t="s">
        <v>310</v>
      </c>
      <c r="G2086" t="s">
        <v>39</v>
      </c>
      <c r="H2086" t="s">
        <v>310</v>
      </c>
      <c r="I2086">
        <v>2021</v>
      </c>
      <c r="J2086" t="s">
        <v>379</v>
      </c>
      <c r="K2086" t="s">
        <v>546</v>
      </c>
      <c r="L2086" s="784">
        <v>0</v>
      </c>
      <c r="M2086" t="s">
        <v>745</v>
      </c>
      <c r="P2086" t="s">
        <v>1887</v>
      </c>
      <c r="R2086" t="s">
        <v>148</v>
      </c>
      <c r="S2086" t="s">
        <v>145</v>
      </c>
      <c r="U2086">
        <v>1</v>
      </c>
      <c r="V2086" t="s">
        <v>544</v>
      </c>
      <c r="W2086" t="s">
        <v>548</v>
      </c>
      <c r="X2086" s="784" t="s">
        <v>575</v>
      </c>
    </row>
    <row r="2087" spans="1:24">
      <c r="A2087" t="s">
        <v>358</v>
      </c>
      <c r="B2087" t="s">
        <v>699</v>
      </c>
      <c r="C2087" t="s">
        <v>297</v>
      </c>
      <c r="D2087" t="s">
        <v>128</v>
      </c>
      <c r="E2087" t="s">
        <v>377</v>
      </c>
      <c r="F2087" t="s">
        <v>310</v>
      </c>
      <c r="G2087" t="s">
        <v>39</v>
      </c>
      <c r="H2087" t="s">
        <v>310</v>
      </c>
      <c r="I2087">
        <v>2021</v>
      </c>
      <c r="J2087" t="s">
        <v>379</v>
      </c>
      <c r="K2087" t="s">
        <v>546</v>
      </c>
      <c r="L2087" s="784">
        <v>0</v>
      </c>
      <c r="M2087" t="s">
        <v>745</v>
      </c>
      <c r="P2087" t="s">
        <v>1887</v>
      </c>
      <c r="R2087" t="s">
        <v>150</v>
      </c>
      <c r="S2087" t="s">
        <v>145</v>
      </c>
      <c r="U2087">
        <v>0</v>
      </c>
      <c r="V2087" t="s">
        <v>544</v>
      </c>
      <c r="W2087" t="s">
        <v>542</v>
      </c>
      <c r="X2087" s="784">
        <v>515352723.9821828</v>
      </c>
    </row>
    <row r="2088" spans="1:24">
      <c r="A2088" t="s">
        <v>358</v>
      </c>
      <c r="B2088" t="s">
        <v>700</v>
      </c>
      <c r="C2088" t="s">
        <v>298</v>
      </c>
      <c r="D2088" t="s">
        <v>128</v>
      </c>
      <c r="E2088" t="s">
        <v>377</v>
      </c>
      <c r="F2088" t="s">
        <v>310</v>
      </c>
      <c r="G2088" t="s">
        <v>39</v>
      </c>
      <c r="H2088" t="s">
        <v>310</v>
      </c>
      <c r="I2088">
        <v>2021</v>
      </c>
      <c r="J2088" t="s">
        <v>379</v>
      </c>
      <c r="K2088" t="s">
        <v>546</v>
      </c>
      <c r="L2088" s="784">
        <v>0</v>
      </c>
      <c r="M2088" t="s">
        <v>745</v>
      </c>
      <c r="P2088" t="s">
        <v>1887</v>
      </c>
      <c r="R2088" t="s">
        <v>150</v>
      </c>
      <c r="S2088" t="s">
        <v>145</v>
      </c>
      <c r="U2088">
        <v>0</v>
      </c>
      <c r="V2088" t="s">
        <v>544</v>
      </c>
      <c r="W2088" t="s">
        <v>546</v>
      </c>
      <c r="X2088" s="784">
        <v>566711742.22428358</v>
      </c>
    </row>
    <row r="2089" spans="1:24">
      <c r="A2089" t="s">
        <v>358</v>
      </c>
      <c r="B2089" t="s">
        <v>540</v>
      </c>
      <c r="C2089" t="s">
        <v>160</v>
      </c>
      <c r="D2089" t="s">
        <v>132</v>
      </c>
      <c r="E2089" t="s">
        <v>377</v>
      </c>
      <c r="F2089" t="s">
        <v>310</v>
      </c>
      <c r="G2089" t="s">
        <v>338</v>
      </c>
      <c r="H2089" t="s">
        <v>104</v>
      </c>
      <c r="I2089" t="s">
        <v>743</v>
      </c>
      <c r="J2089" t="s">
        <v>379</v>
      </c>
      <c r="K2089" t="s">
        <v>546</v>
      </c>
      <c r="L2089" s="784">
        <v>1063750</v>
      </c>
      <c r="M2089" t="s">
        <v>745</v>
      </c>
      <c r="N2089" s="784" t="s">
        <v>575</v>
      </c>
      <c r="P2089" t="s">
        <v>1887</v>
      </c>
      <c r="R2089" t="s">
        <v>148</v>
      </c>
      <c r="S2089" t="s">
        <v>145</v>
      </c>
      <c r="U2089">
        <v>1</v>
      </c>
      <c r="V2089" t="s">
        <v>544</v>
      </c>
      <c r="W2089" t="s">
        <v>542</v>
      </c>
      <c r="X2089" s="784">
        <v>95829480.719269618</v>
      </c>
    </row>
    <row r="2090" spans="1:24">
      <c r="A2090" t="s">
        <v>358</v>
      </c>
      <c r="B2090" t="s">
        <v>543</v>
      </c>
      <c r="C2090" t="s">
        <v>161</v>
      </c>
      <c r="D2090" t="s">
        <v>127</v>
      </c>
      <c r="E2090" t="s">
        <v>377</v>
      </c>
      <c r="F2090" t="s">
        <v>310</v>
      </c>
      <c r="G2090" t="s">
        <v>338</v>
      </c>
      <c r="H2090" t="s">
        <v>104</v>
      </c>
      <c r="I2090" t="s">
        <v>743</v>
      </c>
      <c r="J2090" t="s">
        <v>379</v>
      </c>
      <c r="K2090" t="s">
        <v>546</v>
      </c>
      <c r="L2090" s="784">
        <v>0</v>
      </c>
      <c r="M2090" t="s">
        <v>745</v>
      </c>
      <c r="N2090" s="784" t="s">
        <v>575</v>
      </c>
      <c r="P2090" t="s">
        <v>1887</v>
      </c>
      <c r="R2090" t="s">
        <v>152</v>
      </c>
      <c r="S2090" t="s">
        <v>146</v>
      </c>
      <c r="U2090">
        <v>0</v>
      </c>
      <c r="V2090" t="s">
        <v>544</v>
      </c>
      <c r="W2090" t="s">
        <v>575</v>
      </c>
      <c r="X2090" s="784">
        <v>427904035.52443534</v>
      </c>
    </row>
    <row r="2091" spans="1:24">
      <c r="A2091" t="s">
        <v>358</v>
      </c>
      <c r="B2091" t="s">
        <v>545</v>
      </c>
      <c r="C2091" t="s">
        <v>143</v>
      </c>
      <c r="D2091" t="s">
        <v>131</v>
      </c>
      <c r="E2091" t="s">
        <v>377</v>
      </c>
      <c r="F2091" t="s">
        <v>310</v>
      </c>
      <c r="G2091" t="s">
        <v>338</v>
      </c>
      <c r="H2091" t="s">
        <v>104</v>
      </c>
      <c r="I2091" t="s">
        <v>743</v>
      </c>
      <c r="J2091" t="s">
        <v>379</v>
      </c>
      <c r="K2091" t="s">
        <v>546</v>
      </c>
      <c r="L2091" s="784">
        <v>50000</v>
      </c>
      <c r="M2091" t="s">
        <v>745</v>
      </c>
      <c r="N2091" s="784" t="s">
        <v>575</v>
      </c>
      <c r="P2091" t="s">
        <v>1887</v>
      </c>
      <c r="R2091" t="s">
        <v>150</v>
      </c>
      <c r="S2091" t="s">
        <v>145</v>
      </c>
      <c r="U2091">
        <v>0</v>
      </c>
      <c r="V2091" t="s">
        <v>544</v>
      </c>
      <c r="W2091" t="s">
        <v>546</v>
      </c>
      <c r="X2091" s="784">
        <v>7113361022.7267885</v>
      </c>
    </row>
    <row r="2092" spans="1:24">
      <c r="A2092" t="s">
        <v>358</v>
      </c>
      <c r="B2092" t="s">
        <v>547</v>
      </c>
      <c r="C2092" t="s">
        <v>162</v>
      </c>
      <c r="D2092" t="s">
        <v>128</v>
      </c>
      <c r="E2092" t="s">
        <v>377</v>
      </c>
      <c r="F2092" t="s">
        <v>310</v>
      </c>
      <c r="G2092" t="s">
        <v>338</v>
      </c>
      <c r="H2092" t="s">
        <v>104</v>
      </c>
      <c r="I2092" t="s">
        <v>743</v>
      </c>
      <c r="J2092" t="s">
        <v>379</v>
      </c>
      <c r="K2092" t="s">
        <v>546</v>
      </c>
      <c r="L2092" s="784">
        <v>175000</v>
      </c>
      <c r="M2092" t="s">
        <v>745</v>
      </c>
      <c r="N2092" s="784" t="s">
        <v>575</v>
      </c>
      <c r="P2092" t="s">
        <v>1887</v>
      </c>
      <c r="R2092" t="s">
        <v>150</v>
      </c>
      <c r="S2092" t="s">
        <v>145</v>
      </c>
      <c r="U2092">
        <v>0</v>
      </c>
      <c r="V2092" t="s">
        <v>544</v>
      </c>
      <c r="W2092" t="s">
        <v>548</v>
      </c>
      <c r="X2092" s="784">
        <v>1131865946.5875781</v>
      </c>
    </row>
    <row r="2093" spans="1:24">
      <c r="A2093" t="s">
        <v>358</v>
      </c>
      <c r="B2093" t="s">
        <v>549</v>
      </c>
      <c r="C2093" t="s">
        <v>163</v>
      </c>
      <c r="D2093" t="s">
        <v>130</v>
      </c>
      <c r="E2093" t="s">
        <v>377</v>
      </c>
      <c r="F2093" t="s">
        <v>310</v>
      </c>
      <c r="G2093" t="s">
        <v>338</v>
      </c>
      <c r="H2093" t="s">
        <v>104</v>
      </c>
      <c r="I2093" t="s">
        <v>743</v>
      </c>
      <c r="J2093" t="s">
        <v>379</v>
      </c>
      <c r="K2093" t="s">
        <v>546</v>
      </c>
      <c r="L2093" s="784" t="s">
        <v>575</v>
      </c>
      <c r="M2093" t="s">
        <v>745</v>
      </c>
      <c r="N2093" s="784" t="s">
        <v>575</v>
      </c>
      <c r="P2093" t="s">
        <v>1887</v>
      </c>
      <c r="R2093" t="s">
        <v>550</v>
      </c>
      <c r="S2093" t="s">
        <v>146</v>
      </c>
      <c r="U2093">
        <v>0</v>
      </c>
      <c r="V2093" t="s">
        <v>541</v>
      </c>
      <c r="W2093" t="s">
        <v>575</v>
      </c>
      <c r="X2093" s="784">
        <v>46777779.823447868</v>
      </c>
    </row>
    <row r="2094" spans="1:24">
      <c r="A2094" t="s">
        <v>358</v>
      </c>
      <c r="B2094" t="s">
        <v>551</v>
      </c>
      <c r="C2094" t="s">
        <v>164</v>
      </c>
      <c r="D2094" t="s">
        <v>130</v>
      </c>
      <c r="E2094" t="s">
        <v>377</v>
      </c>
      <c r="F2094" t="s">
        <v>310</v>
      </c>
      <c r="G2094" t="s">
        <v>338</v>
      </c>
      <c r="H2094" t="s">
        <v>104</v>
      </c>
      <c r="I2094" t="s">
        <v>743</v>
      </c>
      <c r="J2094" t="s">
        <v>379</v>
      </c>
      <c r="K2094" t="s">
        <v>546</v>
      </c>
      <c r="L2094" s="784">
        <v>0</v>
      </c>
      <c r="M2094" t="s">
        <v>745</v>
      </c>
      <c r="N2094" s="784" t="s">
        <v>575</v>
      </c>
      <c r="P2094" t="s">
        <v>1887</v>
      </c>
      <c r="R2094" t="s">
        <v>152</v>
      </c>
      <c r="S2094" t="s">
        <v>146</v>
      </c>
      <c r="U2094">
        <v>0</v>
      </c>
      <c r="V2094" t="s">
        <v>544</v>
      </c>
      <c r="W2094" t="s">
        <v>575</v>
      </c>
      <c r="X2094" s="784">
        <v>30725305777.596794</v>
      </c>
    </row>
    <row r="2095" spans="1:24">
      <c r="A2095" t="s">
        <v>358</v>
      </c>
      <c r="B2095" t="s">
        <v>553</v>
      </c>
      <c r="C2095" t="s">
        <v>165</v>
      </c>
      <c r="D2095" t="s">
        <v>127</v>
      </c>
      <c r="E2095" t="s">
        <v>377</v>
      </c>
      <c r="F2095" t="s">
        <v>310</v>
      </c>
      <c r="G2095" t="s">
        <v>338</v>
      </c>
      <c r="H2095" t="s">
        <v>104</v>
      </c>
      <c r="I2095" t="s">
        <v>743</v>
      </c>
      <c r="J2095" t="s">
        <v>379</v>
      </c>
      <c r="K2095" t="s">
        <v>546</v>
      </c>
      <c r="L2095" s="784">
        <v>0</v>
      </c>
      <c r="M2095" t="s">
        <v>745</v>
      </c>
      <c r="N2095" s="784" t="s">
        <v>575</v>
      </c>
      <c r="P2095" t="s">
        <v>1887</v>
      </c>
      <c r="R2095" t="s">
        <v>152</v>
      </c>
      <c r="S2095" t="s">
        <v>146</v>
      </c>
      <c r="U2095">
        <v>0</v>
      </c>
      <c r="V2095" t="s">
        <v>544</v>
      </c>
      <c r="W2095" t="s">
        <v>575</v>
      </c>
      <c r="X2095" s="784">
        <v>153815827.8380394</v>
      </c>
    </row>
    <row r="2096" spans="1:24">
      <c r="A2096" t="s">
        <v>358</v>
      </c>
      <c r="B2096" t="s">
        <v>554</v>
      </c>
      <c r="C2096" t="s">
        <v>166</v>
      </c>
      <c r="D2096" t="s">
        <v>127</v>
      </c>
      <c r="E2096" t="s">
        <v>377</v>
      </c>
      <c r="F2096" t="s">
        <v>310</v>
      </c>
      <c r="G2096" t="s">
        <v>338</v>
      </c>
      <c r="H2096" t="s">
        <v>104</v>
      </c>
      <c r="I2096" t="s">
        <v>743</v>
      </c>
      <c r="J2096" t="s">
        <v>379</v>
      </c>
      <c r="K2096" t="s">
        <v>546</v>
      </c>
      <c r="L2096" s="784">
        <v>0</v>
      </c>
      <c r="M2096" t="s">
        <v>745</v>
      </c>
      <c r="N2096" s="784" t="s">
        <v>575</v>
      </c>
      <c r="P2096" t="s">
        <v>1887</v>
      </c>
      <c r="R2096" t="s">
        <v>152</v>
      </c>
      <c r="S2096" t="s">
        <v>146</v>
      </c>
      <c r="U2096">
        <v>0</v>
      </c>
      <c r="V2096" t="s">
        <v>544</v>
      </c>
      <c r="W2096" t="s">
        <v>546</v>
      </c>
      <c r="X2096" s="784">
        <v>437525105.31216973</v>
      </c>
    </row>
    <row r="2097" spans="1:24">
      <c r="A2097" t="s">
        <v>358</v>
      </c>
      <c r="B2097" t="s">
        <v>555</v>
      </c>
      <c r="C2097" t="s">
        <v>556</v>
      </c>
      <c r="D2097" t="s">
        <v>130</v>
      </c>
      <c r="E2097" t="s">
        <v>377</v>
      </c>
      <c r="F2097" t="s">
        <v>310</v>
      </c>
      <c r="G2097" t="s">
        <v>338</v>
      </c>
      <c r="H2097" t="s">
        <v>104</v>
      </c>
      <c r="I2097" t="s">
        <v>743</v>
      </c>
      <c r="J2097" t="s">
        <v>379</v>
      </c>
      <c r="K2097" t="s">
        <v>546</v>
      </c>
      <c r="L2097" s="784">
        <v>0</v>
      </c>
      <c r="M2097" t="s">
        <v>745</v>
      </c>
      <c r="N2097" s="784" t="s">
        <v>575</v>
      </c>
      <c r="P2097" t="s">
        <v>1887</v>
      </c>
      <c r="R2097" t="s">
        <v>550</v>
      </c>
      <c r="S2097" t="s">
        <v>146</v>
      </c>
      <c r="U2097">
        <v>0</v>
      </c>
      <c r="V2097" t="s">
        <v>541</v>
      </c>
      <c r="W2097" t="s">
        <v>575</v>
      </c>
      <c r="X2097" s="784">
        <v>149463302.00602186</v>
      </c>
    </row>
    <row r="2098" spans="1:24">
      <c r="A2098" t="s">
        <v>358</v>
      </c>
      <c r="B2098" t="s">
        <v>557</v>
      </c>
      <c r="C2098" t="s">
        <v>167</v>
      </c>
      <c r="D2098" t="s">
        <v>132</v>
      </c>
      <c r="E2098" t="s">
        <v>377</v>
      </c>
      <c r="F2098" t="s">
        <v>310</v>
      </c>
      <c r="G2098" t="s">
        <v>338</v>
      </c>
      <c r="H2098" t="s">
        <v>104</v>
      </c>
      <c r="I2098" t="s">
        <v>743</v>
      </c>
      <c r="J2098" t="s">
        <v>379</v>
      </c>
      <c r="K2098" t="s">
        <v>546</v>
      </c>
      <c r="L2098" s="784">
        <v>625000</v>
      </c>
      <c r="M2098" t="s">
        <v>745</v>
      </c>
      <c r="N2098" s="784" t="s">
        <v>575</v>
      </c>
      <c r="P2098" t="s">
        <v>1887</v>
      </c>
      <c r="R2098" t="s">
        <v>150</v>
      </c>
      <c r="S2098" t="s">
        <v>145</v>
      </c>
      <c r="U2098">
        <v>0</v>
      </c>
      <c r="V2098" t="s">
        <v>544</v>
      </c>
      <c r="W2098" t="s">
        <v>558</v>
      </c>
      <c r="X2098" s="784">
        <v>1148322593.9600098</v>
      </c>
    </row>
    <row r="2099" spans="1:24">
      <c r="A2099" t="s">
        <v>358</v>
      </c>
      <c r="B2099" t="s">
        <v>559</v>
      </c>
      <c r="C2099" t="s">
        <v>168</v>
      </c>
      <c r="D2099" t="s">
        <v>127</v>
      </c>
      <c r="E2099" t="s">
        <v>377</v>
      </c>
      <c r="F2099" t="s">
        <v>310</v>
      </c>
      <c r="G2099" t="s">
        <v>338</v>
      </c>
      <c r="H2099" t="s">
        <v>104</v>
      </c>
      <c r="I2099" t="s">
        <v>743</v>
      </c>
      <c r="J2099" t="s">
        <v>379</v>
      </c>
      <c r="K2099" t="s">
        <v>546</v>
      </c>
      <c r="L2099" s="784">
        <v>0</v>
      </c>
      <c r="M2099" t="s">
        <v>745</v>
      </c>
      <c r="N2099" s="784" t="s">
        <v>575</v>
      </c>
      <c r="P2099" t="s">
        <v>1887</v>
      </c>
      <c r="R2099" t="s">
        <v>152</v>
      </c>
      <c r="S2099" t="s">
        <v>146</v>
      </c>
      <c r="U2099">
        <v>0</v>
      </c>
      <c r="V2099" t="s">
        <v>544</v>
      </c>
      <c r="W2099" t="s">
        <v>575</v>
      </c>
      <c r="X2099" s="784">
        <v>2371102058.1093163</v>
      </c>
    </row>
    <row r="2100" spans="1:24">
      <c r="A2100" t="s">
        <v>358</v>
      </c>
      <c r="B2100" t="s">
        <v>560</v>
      </c>
      <c r="C2100" t="s">
        <v>169</v>
      </c>
      <c r="D2100" t="s">
        <v>130</v>
      </c>
      <c r="E2100" t="s">
        <v>377</v>
      </c>
      <c r="F2100" t="s">
        <v>310</v>
      </c>
      <c r="G2100" t="s">
        <v>338</v>
      </c>
      <c r="H2100" t="s">
        <v>104</v>
      </c>
      <c r="I2100" t="s">
        <v>743</v>
      </c>
      <c r="J2100" t="s">
        <v>379</v>
      </c>
      <c r="K2100" t="s">
        <v>546</v>
      </c>
      <c r="L2100" s="784">
        <v>0</v>
      </c>
      <c r="M2100" t="s">
        <v>745</v>
      </c>
      <c r="N2100" s="784" t="s">
        <v>575</v>
      </c>
      <c r="P2100" t="s">
        <v>1887</v>
      </c>
      <c r="R2100" t="s">
        <v>150</v>
      </c>
      <c r="S2100" t="s">
        <v>146</v>
      </c>
      <c r="U2100">
        <v>0</v>
      </c>
      <c r="V2100" t="s">
        <v>541</v>
      </c>
      <c r="W2100" t="s">
        <v>546</v>
      </c>
      <c r="X2100" s="784">
        <v>75151620.005215243</v>
      </c>
    </row>
    <row r="2101" spans="1:24">
      <c r="A2101" t="s">
        <v>358</v>
      </c>
      <c r="B2101" t="s">
        <v>561</v>
      </c>
      <c r="C2101" t="s">
        <v>170</v>
      </c>
      <c r="D2101" t="s">
        <v>129</v>
      </c>
      <c r="E2101" t="s">
        <v>377</v>
      </c>
      <c r="F2101" t="s">
        <v>310</v>
      </c>
      <c r="G2101" t="s">
        <v>338</v>
      </c>
      <c r="H2101" t="s">
        <v>104</v>
      </c>
      <c r="I2101" t="s">
        <v>743</v>
      </c>
      <c r="J2101" t="s">
        <v>379</v>
      </c>
      <c r="K2101" t="s">
        <v>546</v>
      </c>
      <c r="L2101" s="784">
        <v>1130000</v>
      </c>
      <c r="M2101" t="s">
        <v>745</v>
      </c>
      <c r="N2101" s="784" t="s">
        <v>575</v>
      </c>
      <c r="P2101" t="s">
        <v>1887</v>
      </c>
      <c r="R2101" t="s">
        <v>150</v>
      </c>
      <c r="S2101" t="s">
        <v>145</v>
      </c>
      <c r="U2101">
        <v>0</v>
      </c>
      <c r="V2101" t="s">
        <v>544</v>
      </c>
      <c r="W2101" t="s">
        <v>562</v>
      </c>
      <c r="X2101" s="784">
        <v>69958487.197715744</v>
      </c>
    </row>
    <row r="2102" spans="1:24">
      <c r="A2102" t="s">
        <v>358</v>
      </c>
      <c r="B2102" t="s">
        <v>563</v>
      </c>
      <c r="C2102" t="s">
        <v>171</v>
      </c>
      <c r="D2102" t="s">
        <v>132</v>
      </c>
      <c r="E2102" t="s">
        <v>377</v>
      </c>
      <c r="F2102" t="s">
        <v>310</v>
      </c>
      <c r="G2102" t="s">
        <v>338</v>
      </c>
      <c r="H2102" t="s">
        <v>104</v>
      </c>
      <c r="I2102" t="s">
        <v>743</v>
      </c>
      <c r="J2102" t="s">
        <v>379</v>
      </c>
      <c r="K2102" t="s">
        <v>546</v>
      </c>
      <c r="L2102" s="784">
        <v>0</v>
      </c>
      <c r="M2102" t="s">
        <v>745</v>
      </c>
      <c r="N2102" s="784" t="s">
        <v>575</v>
      </c>
      <c r="P2102" t="s">
        <v>1887</v>
      </c>
      <c r="R2102" t="s">
        <v>150</v>
      </c>
      <c r="S2102" t="s">
        <v>145</v>
      </c>
      <c r="U2102">
        <v>0</v>
      </c>
      <c r="V2102" t="s">
        <v>544</v>
      </c>
      <c r="W2102" t="s">
        <v>548</v>
      </c>
      <c r="X2102" s="784">
        <v>61654608.560629159</v>
      </c>
    </row>
    <row r="2103" spans="1:24">
      <c r="A2103" t="s">
        <v>358</v>
      </c>
      <c r="B2103" t="s">
        <v>564</v>
      </c>
      <c r="C2103" t="s">
        <v>172</v>
      </c>
      <c r="D2103" t="s">
        <v>130</v>
      </c>
      <c r="E2103" t="s">
        <v>377</v>
      </c>
      <c r="F2103" t="s">
        <v>310</v>
      </c>
      <c r="G2103" t="s">
        <v>338</v>
      </c>
      <c r="H2103" t="s">
        <v>104</v>
      </c>
      <c r="I2103" t="s">
        <v>743</v>
      </c>
      <c r="J2103" t="s">
        <v>379</v>
      </c>
      <c r="K2103" t="s">
        <v>546</v>
      </c>
      <c r="L2103" s="784">
        <v>0</v>
      </c>
      <c r="M2103" t="s">
        <v>745</v>
      </c>
      <c r="N2103" s="784" t="s">
        <v>575</v>
      </c>
      <c r="P2103" t="s">
        <v>1887</v>
      </c>
      <c r="R2103" t="s">
        <v>150</v>
      </c>
      <c r="S2103" t="s">
        <v>145</v>
      </c>
      <c r="U2103">
        <v>0</v>
      </c>
      <c r="V2103" t="s">
        <v>544</v>
      </c>
      <c r="W2103" t="s">
        <v>546</v>
      </c>
      <c r="X2103" s="784">
        <v>1806638707.7615163</v>
      </c>
    </row>
    <row r="2104" spans="1:24">
      <c r="A2104" t="s">
        <v>358</v>
      </c>
      <c r="B2104" t="s">
        <v>565</v>
      </c>
      <c r="C2104" t="s">
        <v>174</v>
      </c>
      <c r="D2104" t="s">
        <v>127</v>
      </c>
      <c r="E2104" t="s">
        <v>377</v>
      </c>
      <c r="F2104" t="s">
        <v>310</v>
      </c>
      <c r="G2104" t="s">
        <v>338</v>
      </c>
      <c r="H2104" t="s">
        <v>104</v>
      </c>
      <c r="I2104" t="s">
        <v>743</v>
      </c>
      <c r="J2104" t="s">
        <v>379</v>
      </c>
      <c r="K2104" t="s">
        <v>546</v>
      </c>
      <c r="L2104" s="784">
        <v>0</v>
      </c>
      <c r="M2104" t="s">
        <v>745</v>
      </c>
      <c r="N2104" s="784" t="s">
        <v>575</v>
      </c>
      <c r="P2104" t="s">
        <v>1887</v>
      </c>
      <c r="R2104" t="s">
        <v>152</v>
      </c>
      <c r="S2104" t="s">
        <v>146</v>
      </c>
      <c r="U2104">
        <v>0</v>
      </c>
      <c r="V2104" t="s">
        <v>544</v>
      </c>
      <c r="W2104" t="s">
        <v>546</v>
      </c>
      <c r="X2104" s="784">
        <v>1252696525.0627904</v>
      </c>
    </row>
    <row r="2105" spans="1:24">
      <c r="A2105" t="s">
        <v>358</v>
      </c>
      <c r="B2105" t="s">
        <v>566</v>
      </c>
      <c r="C2105" t="s">
        <v>175</v>
      </c>
      <c r="D2105" t="s">
        <v>128</v>
      </c>
      <c r="E2105" t="s">
        <v>377</v>
      </c>
      <c r="F2105" t="s">
        <v>310</v>
      </c>
      <c r="G2105" t="s">
        <v>338</v>
      </c>
      <c r="H2105" t="s">
        <v>104</v>
      </c>
      <c r="I2105" t="s">
        <v>743</v>
      </c>
      <c r="J2105" t="s">
        <v>379</v>
      </c>
      <c r="K2105" t="s">
        <v>546</v>
      </c>
      <c r="L2105" s="784">
        <v>0</v>
      </c>
      <c r="M2105" t="s">
        <v>745</v>
      </c>
      <c r="N2105" s="784" t="s">
        <v>575</v>
      </c>
      <c r="P2105" t="s">
        <v>1887</v>
      </c>
      <c r="R2105" t="s">
        <v>152</v>
      </c>
      <c r="S2105" t="s">
        <v>146</v>
      </c>
      <c r="U2105">
        <v>0</v>
      </c>
      <c r="V2105" t="s">
        <v>544</v>
      </c>
      <c r="W2105" t="s">
        <v>575</v>
      </c>
      <c r="X2105" s="784">
        <v>843425084.07334602</v>
      </c>
    </row>
    <row r="2106" spans="1:24">
      <c r="A2106" t="s">
        <v>358</v>
      </c>
      <c r="B2106" t="s">
        <v>567</v>
      </c>
      <c r="C2106" t="s">
        <v>144</v>
      </c>
      <c r="D2106" t="s">
        <v>130</v>
      </c>
      <c r="E2106" t="s">
        <v>377</v>
      </c>
      <c r="F2106" t="s">
        <v>310</v>
      </c>
      <c r="G2106" t="s">
        <v>338</v>
      </c>
      <c r="H2106" t="s">
        <v>104</v>
      </c>
      <c r="I2106" t="s">
        <v>743</v>
      </c>
      <c r="J2106" t="s">
        <v>379</v>
      </c>
      <c r="K2106" t="s">
        <v>546</v>
      </c>
      <c r="L2106" s="784">
        <v>0</v>
      </c>
      <c r="M2106" t="s">
        <v>745</v>
      </c>
      <c r="N2106" s="784" t="s">
        <v>575</v>
      </c>
      <c r="P2106" t="s">
        <v>1887</v>
      </c>
      <c r="R2106" t="s">
        <v>152</v>
      </c>
      <c r="S2106" t="s">
        <v>146</v>
      </c>
      <c r="U2106">
        <v>0</v>
      </c>
      <c r="V2106" t="s">
        <v>544</v>
      </c>
      <c r="W2106" t="s">
        <v>546</v>
      </c>
      <c r="X2106" s="784">
        <v>74055620038.853683</v>
      </c>
    </row>
    <row r="2107" spans="1:24">
      <c r="A2107" t="s">
        <v>358</v>
      </c>
      <c r="B2107" t="s">
        <v>568</v>
      </c>
      <c r="C2107" t="s">
        <v>176</v>
      </c>
      <c r="D2107" t="s">
        <v>127</v>
      </c>
      <c r="E2107" t="s">
        <v>377</v>
      </c>
      <c r="F2107" t="s">
        <v>310</v>
      </c>
      <c r="G2107" t="s">
        <v>338</v>
      </c>
      <c r="H2107" t="s">
        <v>104</v>
      </c>
      <c r="I2107" t="s">
        <v>743</v>
      </c>
      <c r="J2107" t="s">
        <v>379</v>
      </c>
      <c r="K2107" t="s">
        <v>546</v>
      </c>
      <c r="L2107" s="784">
        <v>0</v>
      </c>
      <c r="M2107" t="s">
        <v>745</v>
      </c>
      <c r="N2107" s="784" t="s">
        <v>575</v>
      </c>
      <c r="P2107" t="s">
        <v>1887</v>
      </c>
      <c r="R2107" t="s">
        <v>152</v>
      </c>
      <c r="S2107" t="s">
        <v>146</v>
      </c>
      <c r="U2107">
        <v>0</v>
      </c>
      <c r="V2107" t="s">
        <v>544</v>
      </c>
      <c r="W2107" t="s">
        <v>575</v>
      </c>
      <c r="X2107" s="784">
        <v>2803357765.5888777</v>
      </c>
    </row>
    <row r="2108" spans="1:24">
      <c r="A2108" t="s">
        <v>358</v>
      </c>
      <c r="B2108" t="s">
        <v>569</v>
      </c>
      <c r="C2108" t="s">
        <v>177</v>
      </c>
      <c r="D2108" t="s">
        <v>129</v>
      </c>
      <c r="E2108" t="s">
        <v>377</v>
      </c>
      <c r="F2108" t="s">
        <v>310</v>
      </c>
      <c r="G2108" t="s">
        <v>338</v>
      </c>
      <c r="H2108" t="s">
        <v>104</v>
      </c>
      <c r="I2108" t="s">
        <v>743</v>
      </c>
      <c r="J2108" t="s">
        <v>379</v>
      </c>
      <c r="K2108" t="s">
        <v>546</v>
      </c>
      <c r="L2108" s="784">
        <v>78000</v>
      </c>
      <c r="M2108" t="s">
        <v>745</v>
      </c>
      <c r="N2108" s="784" t="s">
        <v>575</v>
      </c>
      <c r="P2108" t="s">
        <v>1887</v>
      </c>
      <c r="R2108" t="s">
        <v>148</v>
      </c>
      <c r="S2108" t="s">
        <v>145</v>
      </c>
      <c r="U2108">
        <v>2</v>
      </c>
      <c r="V2108" t="s">
        <v>544</v>
      </c>
      <c r="W2108" t="s">
        <v>562</v>
      </c>
      <c r="X2108" s="784">
        <v>337927779.25510043</v>
      </c>
    </row>
    <row r="2109" spans="1:24">
      <c r="A2109" t="s">
        <v>358</v>
      </c>
      <c r="B2109" t="s">
        <v>570</v>
      </c>
      <c r="C2109" t="s">
        <v>178</v>
      </c>
      <c r="D2109" t="s">
        <v>128</v>
      </c>
      <c r="E2109" t="s">
        <v>377</v>
      </c>
      <c r="F2109" t="s">
        <v>310</v>
      </c>
      <c r="G2109" t="s">
        <v>338</v>
      </c>
      <c r="H2109" t="s">
        <v>104</v>
      </c>
      <c r="I2109" t="s">
        <v>743</v>
      </c>
      <c r="J2109" t="s">
        <v>379</v>
      </c>
      <c r="K2109" t="s">
        <v>546</v>
      </c>
      <c r="L2109" s="784">
        <v>175000</v>
      </c>
      <c r="M2109" t="s">
        <v>745</v>
      </c>
      <c r="N2109" s="784" t="s">
        <v>575</v>
      </c>
      <c r="P2109" t="s">
        <v>1887</v>
      </c>
      <c r="R2109" t="s">
        <v>148</v>
      </c>
      <c r="S2109" t="s">
        <v>145</v>
      </c>
      <c r="U2109">
        <v>2</v>
      </c>
      <c r="V2109" t="s">
        <v>544</v>
      </c>
      <c r="W2109" t="s">
        <v>548</v>
      </c>
      <c r="X2109" s="784">
        <v>65979512.47399316</v>
      </c>
    </row>
    <row r="2110" spans="1:24">
      <c r="A2110" t="s">
        <v>358</v>
      </c>
      <c r="B2110" t="s">
        <v>571</v>
      </c>
      <c r="C2110" t="s">
        <v>179</v>
      </c>
      <c r="D2110" t="s">
        <v>129</v>
      </c>
      <c r="E2110" t="s">
        <v>377</v>
      </c>
      <c r="F2110" t="s">
        <v>310</v>
      </c>
      <c r="G2110" t="s">
        <v>338</v>
      </c>
      <c r="H2110" t="s">
        <v>104</v>
      </c>
      <c r="I2110" t="s">
        <v>743</v>
      </c>
      <c r="J2110" t="s">
        <v>379</v>
      </c>
      <c r="K2110" t="s">
        <v>546</v>
      </c>
      <c r="L2110" s="784">
        <v>40000</v>
      </c>
      <c r="M2110" t="s">
        <v>745</v>
      </c>
      <c r="N2110" s="784" t="s">
        <v>575</v>
      </c>
      <c r="P2110" t="s">
        <v>1887</v>
      </c>
      <c r="R2110" t="s">
        <v>150</v>
      </c>
      <c r="S2110" t="s">
        <v>145</v>
      </c>
      <c r="U2110">
        <v>0</v>
      </c>
      <c r="V2110" t="s">
        <v>541</v>
      </c>
      <c r="W2110" t="s">
        <v>542</v>
      </c>
      <c r="X2110" s="784">
        <v>63748362.778827004</v>
      </c>
    </row>
    <row r="2111" spans="1:24">
      <c r="A2111" t="s">
        <v>358</v>
      </c>
      <c r="B2111" t="s">
        <v>572</v>
      </c>
      <c r="C2111" t="s">
        <v>180</v>
      </c>
      <c r="D2111" t="s">
        <v>126</v>
      </c>
      <c r="E2111" t="s">
        <v>377</v>
      </c>
      <c r="F2111" t="s">
        <v>310</v>
      </c>
      <c r="G2111" t="s">
        <v>338</v>
      </c>
      <c r="H2111" t="s">
        <v>104</v>
      </c>
      <c r="I2111" t="s">
        <v>743</v>
      </c>
      <c r="J2111" t="s">
        <v>379</v>
      </c>
      <c r="K2111" t="s">
        <v>546</v>
      </c>
      <c r="L2111" s="784">
        <v>0</v>
      </c>
      <c r="M2111" t="s">
        <v>745</v>
      </c>
      <c r="N2111" s="784" t="s">
        <v>575</v>
      </c>
      <c r="P2111" t="s">
        <v>1887</v>
      </c>
      <c r="R2111" t="s">
        <v>150</v>
      </c>
      <c r="S2111" t="s">
        <v>145</v>
      </c>
      <c r="U2111">
        <v>0</v>
      </c>
      <c r="V2111" t="s">
        <v>544</v>
      </c>
      <c r="W2111" t="s">
        <v>558</v>
      </c>
      <c r="X2111" s="784">
        <v>313039649.45369786</v>
      </c>
    </row>
    <row r="2112" spans="1:24">
      <c r="A2112" t="s">
        <v>358</v>
      </c>
      <c r="B2112" t="s">
        <v>573</v>
      </c>
      <c r="C2112" t="s">
        <v>181</v>
      </c>
      <c r="D2112" t="s">
        <v>129</v>
      </c>
      <c r="E2112" t="s">
        <v>377</v>
      </c>
      <c r="F2112" t="s">
        <v>310</v>
      </c>
      <c r="G2112" t="s">
        <v>338</v>
      </c>
      <c r="H2112" t="s">
        <v>104</v>
      </c>
      <c r="I2112" t="s">
        <v>743</v>
      </c>
      <c r="J2112" t="s">
        <v>379</v>
      </c>
      <c r="K2112" t="s">
        <v>546</v>
      </c>
      <c r="L2112" s="784">
        <v>627400</v>
      </c>
      <c r="M2112" t="s">
        <v>745</v>
      </c>
      <c r="N2112" s="784" t="s">
        <v>575</v>
      </c>
      <c r="P2112" t="s">
        <v>1887</v>
      </c>
      <c r="R2112" t="s">
        <v>150</v>
      </c>
      <c r="S2112" t="s">
        <v>145</v>
      </c>
      <c r="U2112">
        <v>2</v>
      </c>
      <c r="V2112" t="s">
        <v>544</v>
      </c>
      <c r="W2112" t="s">
        <v>542</v>
      </c>
      <c r="X2112" s="784">
        <v>81361801.477472037</v>
      </c>
    </row>
    <row r="2113" spans="1:24">
      <c r="A2113" t="s">
        <v>358</v>
      </c>
      <c r="B2113" t="s">
        <v>574</v>
      </c>
      <c r="C2113" t="s">
        <v>182</v>
      </c>
      <c r="D2113" t="s">
        <v>129</v>
      </c>
      <c r="E2113" t="s">
        <v>377</v>
      </c>
      <c r="F2113" t="s">
        <v>310</v>
      </c>
      <c r="G2113" t="s">
        <v>338</v>
      </c>
      <c r="H2113" t="s">
        <v>104</v>
      </c>
      <c r="I2113" t="s">
        <v>743</v>
      </c>
      <c r="J2113" t="s">
        <v>379</v>
      </c>
      <c r="K2113" t="s">
        <v>546</v>
      </c>
      <c r="L2113" s="784">
        <v>265000</v>
      </c>
      <c r="M2113" t="s">
        <v>745</v>
      </c>
      <c r="N2113" s="784" t="s">
        <v>575</v>
      </c>
      <c r="P2113" t="s">
        <v>1887</v>
      </c>
      <c r="R2113" t="s">
        <v>148</v>
      </c>
      <c r="S2113" t="s">
        <v>145</v>
      </c>
      <c r="U2113">
        <v>1</v>
      </c>
      <c r="V2113" t="s">
        <v>544</v>
      </c>
      <c r="W2113" t="s">
        <v>542</v>
      </c>
      <c r="X2113" s="784" t="s">
        <v>575</v>
      </c>
    </row>
    <row r="2114" spans="1:24">
      <c r="A2114" t="s">
        <v>358</v>
      </c>
      <c r="B2114" t="s">
        <v>576</v>
      </c>
      <c r="C2114" t="s">
        <v>183</v>
      </c>
      <c r="D2114" t="s">
        <v>129</v>
      </c>
      <c r="E2114" t="s">
        <v>377</v>
      </c>
      <c r="F2114" t="s">
        <v>310</v>
      </c>
      <c r="G2114" t="s">
        <v>338</v>
      </c>
      <c r="H2114" t="s">
        <v>104</v>
      </c>
      <c r="I2114" t="s">
        <v>743</v>
      </c>
      <c r="J2114" t="s">
        <v>379</v>
      </c>
      <c r="K2114" t="s">
        <v>546</v>
      </c>
      <c r="L2114" s="784">
        <v>1069300</v>
      </c>
      <c r="M2114" t="s">
        <v>745</v>
      </c>
      <c r="N2114" s="784" t="s">
        <v>575</v>
      </c>
      <c r="P2114" t="s">
        <v>1887</v>
      </c>
      <c r="R2114" t="s">
        <v>148</v>
      </c>
      <c r="S2114" t="s">
        <v>145</v>
      </c>
      <c r="U2114">
        <v>1</v>
      </c>
      <c r="V2114" t="s">
        <v>544</v>
      </c>
      <c r="W2114" t="s">
        <v>542</v>
      </c>
      <c r="X2114" s="784">
        <v>76939306.715636879</v>
      </c>
    </row>
    <row r="2115" spans="1:24">
      <c r="A2115" t="s">
        <v>358</v>
      </c>
      <c r="B2115" t="s">
        <v>577</v>
      </c>
      <c r="C2115" t="s">
        <v>184</v>
      </c>
      <c r="D2115" t="s">
        <v>130</v>
      </c>
      <c r="E2115" t="s">
        <v>377</v>
      </c>
      <c r="F2115" t="s">
        <v>310</v>
      </c>
      <c r="G2115" t="s">
        <v>338</v>
      </c>
      <c r="H2115" t="s">
        <v>104</v>
      </c>
      <c r="I2115" t="s">
        <v>743</v>
      </c>
      <c r="J2115" t="s">
        <v>379</v>
      </c>
      <c r="K2115" t="s">
        <v>546</v>
      </c>
      <c r="L2115" s="784">
        <v>0</v>
      </c>
      <c r="M2115" t="s">
        <v>745</v>
      </c>
      <c r="N2115" s="784" t="s">
        <v>575</v>
      </c>
      <c r="P2115" t="s">
        <v>1887</v>
      </c>
      <c r="R2115" t="s">
        <v>550</v>
      </c>
      <c r="S2115" t="s">
        <v>146</v>
      </c>
      <c r="U2115">
        <v>0</v>
      </c>
      <c r="V2115" t="s">
        <v>544</v>
      </c>
      <c r="W2115" t="s">
        <v>575</v>
      </c>
      <c r="X2115" s="784">
        <v>13859708717.682571</v>
      </c>
    </row>
    <row r="2116" spans="1:24">
      <c r="A2116" t="s">
        <v>358</v>
      </c>
      <c r="B2116" t="s">
        <v>578</v>
      </c>
      <c r="C2116" t="s">
        <v>185</v>
      </c>
      <c r="D2116" t="s">
        <v>126</v>
      </c>
      <c r="E2116" t="s">
        <v>377</v>
      </c>
      <c r="F2116" t="s">
        <v>310</v>
      </c>
      <c r="G2116" t="s">
        <v>338</v>
      </c>
      <c r="H2116" t="s">
        <v>104</v>
      </c>
      <c r="I2116" t="s">
        <v>743</v>
      </c>
      <c r="J2116" t="s">
        <v>379</v>
      </c>
      <c r="K2116" t="s">
        <v>546</v>
      </c>
      <c r="L2116" s="784">
        <v>0</v>
      </c>
      <c r="M2116" t="s">
        <v>745</v>
      </c>
      <c r="N2116" s="784" t="s">
        <v>575</v>
      </c>
      <c r="P2116" t="s">
        <v>1887</v>
      </c>
      <c r="R2116" t="s">
        <v>152</v>
      </c>
      <c r="S2116" t="s">
        <v>146</v>
      </c>
      <c r="U2116">
        <v>0</v>
      </c>
      <c r="V2116" t="s">
        <v>544</v>
      </c>
      <c r="W2116" t="s">
        <v>575</v>
      </c>
      <c r="X2116" s="784">
        <v>403567160707.7016</v>
      </c>
    </row>
    <row r="2117" spans="1:24">
      <c r="A2117" t="s">
        <v>358</v>
      </c>
      <c r="B2117" t="s">
        <v>579</v>
      </c>
      <c r="C2117" t="s">
        <v>186</v>
      </c>
      <c r="D2117" t="s">
        <v>130</v>
      </c>
      <c r="E2117" t="s">
        <v>377</v>
      </c>
      <c r="F2117" t="s">
        <v>310</v>
      </c>
      <c r="G2117" t="s">
        <v>338</v>
      </c>
      <c r="H2117" t="s">
        <v>104</v>
      </c>
      <c r="I2117" t="s">
        <v>743</v>
      </c>
      <c r="J2117" t="s">
        <v>379</v>
      </c>
      <c r="K2117" t="s">
        <v>546</v>
      </c>
      <c r="L2117" s="784">
        <v>0</v>
      </c>
      <c r="M2117" t="s">
        <v>745</v>
      </c>
      <c r="N2117" s="784" t="s">
        <v>575</v>
      </c>
      <c r="P2117" t="s">
        <v>1887</v>
      </c>
      <c r="R2117" t="s">
        <v>152</v>
      </c>
      <c r="S2117" t="s">
        <v>146</v>
      </c>
      <c r="U2117">
        <v>0</v>
      </c>
      <c r="V2117" t="s">
        <v>544</v>
      </c>
      <c r="W2117" t="s">
        <v>575</v>
      </c>
      <c r="X2117" s="784">
        <v>18250225995.972618</v>
      </c>
    </row>
    <row r="2118" spans="1:24">
      <c r="A2118" t="s">
        <v>358</v>
      </c>
      <c r="B2118" t="s">
        <v>580</v>
      </c>
      <c r="C2118" t="s">
        <v>187</v>
      </c>
      <c r="D2118" t="s">
        <v>128</v>
      </c>
      <c r="E2118" t="s">
        <v>377</v>
      </c>
      <c r="F2118" t="s">
        <v>310</v>
      </c>
      <c r="G2118" t="s">
        <v>338</v>
      </c>
      <c r="H2118" t="s">
        <v>104</v>
      </c>
      <c r="I2118" t="s">
        <v>743</v>
      </c>
      <c r="J2118" t="s">
        <v>379</v>
      </c>
      <c r="K2118" t="s">
        <v>546</v>
      </c>
      <c r="L2118" s="784">
        <v>0</v>
      </c>
      <c r="M2118" t="s">
        <v>745</v>
      </c>
      <c r="N2118" s="784" t="s">
        <v>575</v>
      </c>
      <c r="P2118" t="s">
        <v>1887</v>
      </c>
      <c r="R2118" t="s">
        <v>150</v>
      </c>
      <c r="S2118" t="s">
        <v>145</v>
      </c>
      <c r="U2118">
        <v>0</v>
      </c>
      <c r="V2118" t="s">
        <v>541</v>
      </c>
      <c r="W2118" t="s">
        <v>562</v>
      </c>
      <c r="X2118" s="784">
        <v>5027591.1682657599</v>
      </c>
    </row>
    <row r="2119" spans="1:24">
      <c r="A2119" t="s">
        <v>358</v>
      </c>
      <c r="B2119" t="s">
        <v>581</v>
      </c>
      <c r="C2119" t="s">
        <v>188</v>
      </c>
      <c r="D2119" t="s">
        <v>129</v>
      </c>
      <c r="E2119" t="s">
        <v>377</v>
      </c>
      <c r="F2119" t="s">
        <v>310</v>
      </c>
      <c r="G2119" t="s">
        <v>338</v>
      </c>
      <c r="H2119" t="s">
        <v>104</v>
      </c>
      <c r="I2119" t="s">
        <v>743</v>
      </c>
      <c r="J2119" t="s">
        <v>379</v>
      </c>
      <c r="K2119" t="s">
        <v>546</v>
      </c>
      <c r="L2119" s="784">
        <v>2313750</v>
      </c>
      <c r="M2119" t="s">
        <v>745</v>
      </c>
      <c r="N2119" s="784" t="s">
        <v>575</v>
      </c>
      <c r="P2119" t="s">
        <v>1887</v>
      </c>
      <c r="R2119" t="s">
        <v>148</v>
      </c>
      <c r="S2119" t="s">
        <v>145</v>
      </c>
      <c r="U2119">
        <v>3</v>
      </c>
      <c r="V2119" t="s">
        <v>544</v>
      </c>
      <c r="W2119" t="s">
        <v>562</v>
      </c>
      <c r="X2119" s="784">
        <v>234645958.63289919</v>
      </c>
    </row>
    <row r="2120" spans="1:24">
      <c r="A2120" t="s">
        <v>358</v>
      </c>
      <c r="B2120" t="s">
        <v>582</v>
      </c>
      <c r="C2120" t="s">
        <v>189</v>
      </c>
      <c r="D2120" t="s">
        <v>129</v>
      </c>
      <c r="E2120" t="s">
        <v>377</v>
      </c>
      <c r="F2120" t="s">
        <v>310</v>
      </c>
      <c r="G2120" t="s">
        <v>338</v>
      </c>
      <c r="H2120" t="s">
        <v>104</v>
      </c>
      <c r="I2120" t="s">
        <v>743</v>
      </c>
      <c r="J2120" t="s">
        <v>379</v>
      </c>
      <c r="K2120" t="s">
        <v>546</v>
      </c>
      <c r="L2120" s="784">
        <v>45600</v>
      </c>
      <c r="M2120" t="s">
        <v>745</v>
      </c>
      <c r="N2120" s="784" t="s">
        <v>575</v>
      </c>
      <c r="P2120" t="s">
        <v>1887</v>
      </c>
      <c r="R2120" t="s">
        <v>150</v>
      </c>
      <c r="S2120" t="s">
        <v>145</v>
      </c>
      <c r="U2120">
        <v>2</v>
      </c>
      <c r="V2120" t="s">
        <v>544</v>
      </c>
      <c r="W2120" t="s">
        <v>583</v>
      </c>
      <c r="X2120" s="784">
        <v>91590910.247314155</v>
      </c>
    </row>
    <row r="2121" spans="1:24">
      <c r="A2121" t="s">
        <v>358</v>
      </c>
      <c r="B2121" t="s">
        <v>584</v>
      </c>
      <c r="C2121" t="s">
        <v>190</v>
      </c>
      <c r="D2121" t="s">
        <v>126</v>
      </c>
      <c r="E2121" t="s">
        <v>377</v>
      </c>
      <c r="F2121" t="s">
        <v>310</v>
      </c>
      <c r="G2121" t="s">
        <v>338</v>
      </c>
      <c r="H2121" t="s">
        <v>104</v>
      </c>
      <c r="I2121" t="s">
        <v>743</v>
      </c>
      <c r="J2121" t="s">
        <v>379</v>
      </c>
      <c r="K2121" t="s">
        <v>546</v>
      </c>
      <c r="L2121" s="784" t="s">
        <v>575</v>
      </c>
      <c r="M2121" t="s">
        <v>745</v>
      </c>
      <c r="N2121" s="784" t="s">
        <v>575</v>
      </c>
      <c r="P2121" t="s">
        <v>1887</v>
      </c>
      <c r="R2121" t="s">
        <v>322</v>
      </c>
      <c r="S2121" t="s">
        <v>146</v>
      </c>
      <c r="U2121">
        <v>0</v>
      </c>
      <c r="V2121" t="s">
        <v>541</v>
      </c>
      <c r="W2121" t="s">
        <v>546</v>
      </c>
      <c r="X2121" s="784">
        <v>8560012.8840167802</v>
      </c>
    </row>
    <row r="2122" spans="1:24">
      <c r="A2122" t="s">
        <v>358</v>
      </c>
      <c r="B2122" t="s">
        <v>585</v>
      </c>
      <c r="C2122" t="s">
        <v>191</v>
      </c>
      <c r="D2122" t="s">
        <v>130</v>
      </c>
      <c r="E2122" t="s">
        <v>377</v>
      </c>
      <c r="F2122" t="s">
        <v>310</v>
      </c>
      <c r="G2122" t="s">
        <v>338</v>
      </c>
      <c r="H2122" t="s">
        <v>104</v>
      </c>
      <c r="I2122" t="s">
        <v>743</v>
      </c>
      <c r="J2122" t="s">
        <v>379</v>
      </c>
      <c r="K2122" t="s">
        <v>546</v>
      </c>
      <c r="L2122" s="784">
        <v>0</v>
      </c>
      <c r="M2122" t="s">
        <v>745</v>
      </c>
      <c r="N2122" s="784" t="s">
        <v>575</v>
      </c>
      <c r="P2122" t="s">
        <v>1887</v>
      </c>
      <c r="R2122" t="s">
        <v>152</v>
      </c>
      <c r="S2122" t="s">
        <v>146</v>
      </c>
      <c r="U2122">
        <v>0</v>
      </c>
      <c r="V2122" t="s">
        <v>544</v>
      </c>
      <c r="W2122" t="s">
        <v>546</v>
      </c>
      <c r="X2122" s="784">
        <v>3292372960.3962669</v>
      </c>
    </row>
    <row r="2123" spans="1:24">
      <c r="A2123" t="s">
        <v>358</v>
      </c>
      <c r="B2123" t="s">
        <v>586</v>
      </c>
      <c r="C2123" t="s">
        <v>192</v>
      </c>
      <c r="D2123" t="s">
        <v>129</v>
      </c>
      <c r="E2123" t="s">
        <v>377</v>
      </c>
      <c r="F2123" t="s">
        <v>310</v>
      </c>
      <c r="G2123" t="s">
        <v>338</v>
      </c>
      <c r="H2123" t="s">
        <v>104</v>
      </c>
      <c r="I2123" t="s">
        <v>743</v>
      </c>
      <c r="J2123" t="s">
        <v>379</v>
      </c>
      <c r="K2123" t="s">
        <v>546</v>
      </c>
      <c r="L2123" s="784">
        <v>400000</v>
      </c>
      <c r="M2123" t="s">
        <v>745</v>
      </c>
      <c r="N2123" s="784" t="s">
        <v>575</v>
      </c>
      <c r="P2123" t="s">
        <v>1887</v>
      </c>
      <c r="R2123" t="s">
        <v>150</v>
      </c>
      <c r="S2123" t="s">
        <v>145</v>
      </c>
      <c r="U2123">
        <v>0</v>
      </c>
      <c r="V2123" t="s">
        <v>544</v>
      </c>
      <c r="W2123" t="s">
        <v>562</v>
      </c>
      <c r="X2123" s="784">
        <v>519209981.22981054</v>
      </c>
    </row>
    <row r="2124" spans="1:24">
      <c r="A2124" t="s">
        <v>358</v>
      </c>
      <c r="B2124" t="s">
        <v>587</v>
      </c>
      <c r="C2124" t="s">
        <v>193</v>
      </c>
      <c r="D2124" t="s">
        <v>127</v>
      </c>
      <c r="E2124" t="s">
        <v>377</v>
      </c>
      <c r="F2124" t="s">
        <v>310</v>
      </c>
      <c r="G2124" t="s">
        <v>338</v>
      </c>
      <c r="H2124" t="s">
        <v>104</v>
      </c>
      <c r="I2124" t="s">
        <v>743</v>
      </c>
      <c r="J2124" t="s">
        <v>379</v>
      </c>
      <c r="K2124" t="s">
        <v>546</v>
      </c>
      <c r="L2124" s="784">
        <v>0</v>
      </c>
      <c r="M2124" t="s">
        <v>745</v>
      </c>
      <c r="N2124" s="784" t="s">
        <v>575</v>
      </c>
      <c r="P2124" t="s">
        <v>1887</v>
      </c>
      <c r="R2124" t="s">
        <v>550</v>
      </c>
      <c r="S2124" t="s">
        <v>146</v>
      </c>
      <c r="U2124">
        <v>0</v>
      </c>
      <c r="V2124" t="s">
        <v>544</v>
      </c>
      <c r="W2124" t="s">
        <v>575</v>
      </c>
      <c r="X2124" s="784">
        <v>3464739907.1604805</v>
      </c>
    </row>
    <row r="2125" spans="1:24">
      <c r="A2125" t="s">
        <v>358</v>
      </c>
      <c r="B2125" t="s">
        <v>588</v>
      </c>
      <c r="C2125" t="s">
        <v>147</v>
      </c>
      <c r="D2125" t="s">
        <v>130</v>
      </c>
      <c r="E2125" t="s">
        <v>377</v>
      </c>
      <c r="F2125" t="s">
        <v>310</v>
      </c>
      <c r="G2125" t="s">
        <v>338</v>
      </c>
      <c r="H2125" t="s">
        <v>104</v>
      </c>
      <c r="I2125" t="s">
        <v>743</v>
      </c>
      <c r="J2125" t="s">
        <v>379</v>
      </c>
      <c r="K2125" t="s">
        <v>546</v>
      </c>
      <c r="L2125" s="784">
        <v>0</v>
      </c>
      <c r="M2125" t="s">
        <v>745</v>
      </c>
      <c r="N2125" s="784" t="s">
        <v>575</v>
      </c>
      <c r="P2125" t="s">
        <v>1887</v>
      </c>
      <c r="R2125" t="s">
        <v>152</v>
      </c>
      <c r="S2125" t="s">
        <v>146</v>
      </c>
      <c r="U2125">
        <v>0</v>
      </c>
      <c r="V2125" t="s">
        <v>541</v>
      </c>
      <c r="W2125" t="s">
        <v>575</v>
      </c>
      <c r="X2125" s="784">
        <v>9948521252.2569065</v>
      </c>
    </row>
    <row r="2126" spans="1:24">
      <c r="A2126" t="s">
        <v>358</v>
      </c>
      <c r="B2126" t="s">
        <v>589</v>
      </c>
      <c r="C2126" t="s">
        <v>194</v>
      </c>
      <c r="D2126" t="s">
        <v>131</v>
      </c>
      <c r="E2126" t="s">
        <v>377</v>
      </c>
      <c r="F2126" t="s">
        <v>310</v>
      </c>
      <c r="G2126" t="s">
        <v>338</v>
      </c>
      <c r="H2126" t="s">
        <v>104</v>
      </c>
      <c r="I2126" t="s">
        <v>743</v>
      </c>
      <c r="J2126" t="s">
        <v>379</v>
      </c>
      <c r="K2126" t="s">
        <v>546</v>
      </c>
      <c r="L2126" s="784">
        <v>40000</v>
      </c>
      <c r="M2126" t="s">
        <v>745</v>
      </c>
      <c r="N2126" s="784" t="s">
        <v>575</v>
      </c>
      <c r="P2126" t="s">
        <v>1887</v>
      </c>
      <c r="R2126" t="s">
        <v>150</v>
      </c>
      <c r="S2126" t="s">
        <v>145</v>
      </c>
      <c r="U2126">
        <v>1</v>
      </c>
      <c r="V2126" t="s">
        <v>544</v>
      </c>
      <c r="W2126" t="s">
        <v>542</v>
      </c>
      <c r="X2126" s="784">
        <v>33679192.765657313</v>
      </c>
    </row>
    <row r="2127" spans="1:24">
      <c r="A2127" t="s">
        <v>358</v>
      </c>
      <c r="B2127" t="s">
        <v>590</v>
      </c>
      <c r="C2127" t="s">
        <v>195</v>
      </c>
      <c r="D2127" t="s">
        <v>130</v>
      </c>
      <c r="E2127" t="s">
        <v>377</v>
      </c>
      <c r="F2127" t="s">
        <v>310</v>
      </c>
      <c r="G2127" t="s">
        <v>338</v>
      </c>
      <c r="H2127" t="s">
        <v>104</v>
      </c>
      <c r="I2127" t="s">
        <v>743</v>
      </c>
      <c r="J2127" t="s">
        <v>379</v>
      </c>
      <c r="K2127" t="s">
        <v>546</v>
      </c>
      <c r="L2127" s="784">
        <v>0</v>
      </c>
      <c r="M2127" t="s">
        <v>745</v>
      </c>
      <c r="N2127" s="784" t="s">
        <v>575</v>
      </c>
      <c r="P2127" t="s">
        <v>1887</v>
      </c>
      <c r="R2127" t="s">
        <v>152</v>
      </c>
      <c r="S2127" t="s">
        <v>145</v>
      </c>
      <c r="U2127">
        <v>0</v>
      </c>
      <c r="V2127" t="s">
        <v>541</v>
      </c>
      <c r="W2127" t="s">
        <v>548</v>
      </c>
      <c r="X2127" s="784">
        <v>22784494.365742501</v>
      </c>
    </row>
    <row r="2128" spans="1:24">
      <c r="A2128" t="s">
        <v>358</v>
      </c>
      <c r="B2128" t="s">
        <v>591</v>
      </c>
      <c r="C2128" t="s">
        <v>196</v>
      </c>
      <c r="D2128" t="s">
        <v>130</v>
      </c>
      <c r="E2128" t="s">
        <v>377</v>
      </c>
      <c r="F2128" t="s">
        <v>310</v>
      </c>
      <c r="G2128" t="s">
        <v>338</v>
      </c>
      <c r="H2128" t="s">
        <v>104</v>
      </c>
      <c r="I2128" t="s">
        <v>743</v>
      </c>
      <c r="J2128" t="s">
        <v>379</v>
      </c>
      <c r="K2128" t="s">
        <v>546</v>
      </c>
      <c r="L2128" s="784">
        <v>0</v>
      </c>
      <c r="M2128" t="s">
        <v>745</v>
      </c>
      <c r="N2128" s="784" t="s">
        <v>575</v>
      </c>
      <c r="P2128" t="s">
        <v>1887</v>
      </c>
      <c r="R2128" t="s">
        <v>152</v>
      </c>
      <c r="S2128" t="s">
        <v>146</v>
      </c>
      <c r="U2128">
        <v>0</v>
      </c>
      <c r="V2128" t="s">
        <v>541</v>
      </c>
      <c r="W2128" t="s">
        <v>575</v>
      </c>
      <c r="X2128" s="784">
        <v>2173208011.4858823</v>
      </c>
    </row>
    <row r="2129" spans="1:24">
      <c r="A2129" t="s">
        <v>358</v>
      </c>
      <c r="B2129" t="s">
        <v>592</v>
      </c>
      <c r="C2129" t="s">
        <v>197</v>
      </c>
      <c r="D2129" t="s">
        <v>130</v>
      </c>
      <c r="E2129" t="s">
        <v>377</v>
      </c>
      <c r="F2129" t="s">
        <v>310</v>
      </c>
      <c r="G2129" t="s">
        <v>338</v>
      </c>
      <c r="H2129" t="s">
        <v>104</v>
      </c>
      <c r="I2129" t="s">
        <v>743</v>
      </c>
      <c r="J2129" t="s">
        <v>379</v>
      </c>
      <c r="K2129" t="s">
        <v>546</v>
      </c>
      <c r="L2129" s="784">
        <v>0</v>
      </c>
      <c r="M2129" t="s">
        <v>745</v>
      </c>
      <c r="N2129" s="784" t="s">
        <v>575</v>
      </c>
      <c r="P2129" t="s">
        <v>1887</v>
      </c>
      <c r="R2129" t="s">
        <v>152</v>
      </c>
      <c r="S2129" t="s">
        <v>146</v>
      </c>
      <c r="U2129">
        <v>0</v>
      </c>
      <c r="V2129" t="s">
        <v>544</v>
      </c>
      <c r="W2129" t="s">
        <v>546</v>
      </c>
      <c r="X2129" s="784">
        <v>4585736158.8323269</v>
      </c>
    </row>
    <row r="2130" spans="1:24">
      <c r="A2130" t="s">
        <v>358</v>
      </c>
      <c r="B2130" t="s">
        <v>593</v>
      </c>
      <c r="C2130" t="s">
        <v>198</v>
      </c>
      <c r="D2130" t="s">
        <v>131</v>
      </c>
      <c r="E2130" t="s">
        <v>377</v>
      </c>
      <c r="F2130" t="s">
        <v>310</v>
      </c>
      <c r="G2130" t="s">
        <v>338</v>
      </c>
      <c r="H2130" t="s">
        <v>104</v>
      </c>
      <c r="I2130" t="s">
        <v>743</v>
      </c>
      <c r="J2130" t="s">
        <v>379</v>
      </c>
      <c r="K2130" t="s">
        <v>546</v>
      </c>
      <c r="L2130" s="784">
        <v>70000</v>
      </c>
      <c r="M2130" t="s">
        <v>745</v>
      </c>
      <c r="N2130" s="784" t="s">
        <v>575</v>
      </c>
      <c r="P2130" t="s">
        <v>1887</v>
      </c>
      <c r="R2130" t="s">
        <v>150</v>
      </c>
      <c r="S2130" t="s">
        <v>145</v>
      </c>
      <c r="U2130">
        <v>0</v>
      </c>
      <c r="V2130" t="s">
        <v>544</v>
      </c>
      <c r="W2130" t="s">
        <v>546</v>
      </c>
      <c r="X2130" s="784">
        <v>3550291584.8645592</v>
      </c>
    </row>
    <row r="2131" spans="1:24">
      <c r="A2131" t="s">
        <v>358</v>
      </c>
      <c r="B2131" t="s">
        <v>594</v>
      </c>
      <c r="C2131" t="s">
        <v>199</v>
      </c>
      <c r="D2131" t="s">
        <v>130</v>
      </c>
      <c r="E2131" t="s">
        <v>377</v>
      </c>
      <c r="F2131" t="s">
        <v>310</v>
      </c>
      <c r="G2131" t="s">
        <v>338</v>
      </c>
      <c r="H2131" t="s">
        <v>104</v>
      </c>
      <c r="I2131" t="s">
        <v>743</v>
      </c>
      <c r="J2131" t="s">
        <v>379</v>
      </c>
      <c r="K2131" t="s">
        <v>546</v>
      </c>
      <c r="L2131" s="784">
        <v>135000</v>
      </c>
      <c r="M2131" t="s">
        <v>745</v>
      </c>
      <c r="N2131" s="784" t="s">
        <v>575</v>
      </c>
      <c r="P2131" t="s">
        <v>1887</v>
      </c>
      <c r="R2131" t="s">
        <v>150</v>
      </c>
      <c r="S2131" t="s">
        <v>145</v>
      </c>
      <c r="U2131">
        <v>0</v>
      </c>
      <c r="V2131" t="s">
        <v>544</v>
      </c>
      <c r="W2131" t="s">
        <v>546</v>
      </c>
      <c r="X2131" s="784">
        <v>1182840319.0410969</v>
      </c>
    </row>
    <row r="2132" spans="1:24">
      <c r="A2132" t="s">
        <v>358</v>
      </c>
      <c r="B2132" t="s">
        <v>595</v>
      </c>
      <c r="C2132" t="s">
        <v>200</v>
      </c>
      <c r="D2132" t="s">
        <v>130</v>
      </c>
      <c r="E2132" t="s">
        <v>377</v>
      </c>
      <c r="F2132" t="s">
        <v>310</v>
      </c>
      <c r="G2132" t="s">
        <v>338</v>
      </c>
      <c r="H2132" t="s">
        <v>104</v>
      </c>
      <c r="I2132" t="s">
        <v>743</v>
      </c>
      <c r="J2132" t="s">
        <v>379</v>
      </c>
      <c r="K2132" t="s">
        <v>546</v>
      </c>
      <c r="L2132" s="784">
        <v>0</v>
      </c>
      <c r="M2132" t="s">
        <v>745</v>
      </c>
      <c r="N2132" s="784" t="s">
        <v>575</v>
      </c>
      <c r="P2132" t="s">
        <v>1887</v>
      </c>
      <c r="R2132" t="s">
        <v>152</v>
      </c>
      <c r="S2132" t="s">
        <v>146</v>
      </c>
      <c r="U2132">
        <v>0</v>
      </c>
      <c r="V2132" t="s">
        <v>544</v>
      </c>
      <c r="W2132" t="s">
        <v>575</v>
      </c>
      <c r="X2132" s="784">
        <v>81728347.604567245</v>
      </c>
    </row>
    <row r="2133" spans="1:24">
      <c r="A2133" t="s">
        <v>358</v>
      </c>
      <c r="B2133" t="s">
        <v>596</v>
      </c>
      <c r="C2133" t="s">
        <v>201</v>
      </c>
      <c r="D2133" t="s">
        <v>128</v>
      </c>
      <c r="E2133" t="s">
        <v>377</v>
      </c>
      <c r="F2133" t="s">
        <v>310</v>
      </c>
      <c r="G2133" t="s">
        <v>338</v>
      </c>
      <c r="H2133" t="s">
        <v>104</v>
      </c>
      <c r="I2133" t="s">
        <v>743</v>
      </c>
      <c r="J2133" t="s">
        <v>379</v>
      </c>
      <c r="K2133" t="s">
        <v>546</v>
      </c>
      <c r="L2133" s="784" t="s">
        <v>575</v>
      </c>
      <c r="M2133" t="s">
        <v>745</v>
      </c>
      <c r="N2133" s="784" t="s">
        <v>575</v>
      </c>
      <c r="P2133" t="s">
        <v>1887</v>
      </c>
      <c r="R2133" t="s">
        <v>148</v>
      </c>
      <c r="S2133" t="s">
        <v>145</v>
      </c>
      <c r="U2133">
        <v>2</v>
      </c>
      <c r="V2133" t="s">
        <v>544</v>
      </c>
      <c r="W2133" t="s">
        <v>546</v>
      </c>
      <c r="X2133" s="784">
        <v>12787914.977715338</v>
      </c>
    </row>
    <row r="2134" spans="1:24">
      <c r="A2134" t="s">
        <v>358</v>
      </c>
      <c r="B2134" t="s">
        <v>597</v>
      </c>
      <c r="C2134" t="s">
        <v>202</v>
      </c>
      <c r="D2134" t="s">
        <v>128</v>
      </c>
      <c r="E2134" t="s">
        <v>377</v>
      </c>
      <c r="F2134" t="s">
        <v>310</v>
      </c>
      <c r="G2134" t="s">
        <v>338</v>
      </c>
      <c r="H2134" t="s">
        <v>104</v>
      </c>
      <c r="I2134" t="s">
        <v>743</v>
      </c>
      <c r="J2134" t="s">
        <v>379</v>
      </c>
      <c r="K2134" t="s">
        <v>546</v>
      </c>
      <c r="L2134" s="784">
        <v>40000</v>
      </c>
      <c r="M2134" t="s">
        <v>745</v>
      </c>
      <c r="N2134" s="784" t="s">
        <v>575</v>
      </c>
      <c r="P2134" t="s">
        <v>1887</v>
      </c>
      <c r="R2134" t="s">
        <v>150</v>
      </c>
      <c r="S2134" t="s">
        <v>145</v>
      </c>
      <c r="U2134">
        <v>2</v>
      </c>
      <c r="V2134" t="s">
        <v>544</v>
      </c>
      <c r="W2134" t="s">
        <v>546</v>
      </c>
      <c r="X2134" s="784">
        <v>101271737.65410839</v>
      </c>
    </row>
    <row r="2135" spans="1:24">
      <c r="A2135" t="s">
        <v>358</v>
      </c>
      <c r="B2135" t="s">
        <v>598</v>
      </c>
      <c r="C2135" t="s">
        <v>203</v>
      </c>
      <c r="D2135" t="s">
        <v>128</v>
      </c>
      <c r="E2135" t="s">
        <v>377</v>
      </c>
      <c r="F2135" t="s">
        <v>310</v>
      </c>
      <c r="G2135" t="s">
        <v>338</v>
      </c>
      <c r="H2135" t="s">
        <v>104</v>
      </c>
      <c r="I2135" t="s">
        <v>743</v>
      </c>
      <c r="J2135" t="s">
        <v>379</v>
      </c>
      <c r="K2135" t="s">
        <v>546</v>
      </c>
      <c r="L2135" s="784">
        <v>842209</v>
      </c>
      <c r="M2135" t="s">
        <v>745</v>
      </c>
      <c r="N2135" s="784" t="s">
        <v>575</v>
      </c>
      <c r="P2135" t="s">
        <v>1887</v>
      </c>
      <c r="R2135" t="s">
        <v>148</v>
      </c>
      <c r="S2135" t="s">
        <v>145</v>
      </c>
      <c r="U2135">
        <v>3</v>
      </c>
      <c r="V2135" t="s">
        <v>544</v>
      </c>
      <c r="W2135" t="s">
        <v>542</v>
      </c>
      <c r="X2135" s="784">
        <v>618344226.71759331</v>
      </c>
    </row>
    <row r="2136" spans="1:24">
      <c r="A2136" t="s">
        <v>358</v>
      </c>
      <c r="B2136" t="s">
        <v>599</v>
      </c>
      <c r="C2136" t="s">
        <v>204</v>
      </c>
      <c r="D2136" t="s">
        <v>126</v>
      </c>
      <c r="E2136" t="s">
        <v>377</v>
      </c>
      <c r="F2136" t="s">
        <v>310</v>
      </c>
      <c r="G2136" t="s">
        <v>338</v>
      </c>
      <c r="H2136" t="s">
        <v>104</v>
      </c>
      <c r="I2136" t="s">
        <v>743</v>
      </c>
      <c r="J2136" t="s">
        <v>379</v>
      </c>
      <c r="K2136" t="s">
        <v>546</v>
      </c>
      <c r="L2136" s="784">
        <v>0</v>
      </c>
      <c r="M2136" t="s">
        <v>745</v>
      </c>
      <c r="N2136" s="784" t="s">
        <v>575</v>
      </c>
      <c r="P2136" t="s">
        <v>1887</v>
      </c>
      <c r="R2136" t="s">
        <v>152</v>
      </c>
      <c r="S2136" t="s">
        <v>145</v>
      </c>
      <c r="U2136">
        <v>0</v>
      </c>
      <c r="V2136" t="s">
        <v>541</v>
      </c>
      <c r="W2136" t="s">
        <v>548</v>
      </c>
      <c r="X2136" s="784">
        <v>129483872.95906857</v>
      </c>
    </row>
    <row r="2137" spans="1:24">
      <c r="A2137" t="s">
        <v>358</v>
      </c>
      <c r="B2137" t="s">
        <v>600</v>
      </c>
      <c r="C2137" t="s">
        <v>205</v>
      </c>
      <c r="D2137" t="s">
        <v>129</v>
      </c>
      <c r="E2137" t="s">
        <v>377</v>
      </c>
      <c r="F2137" t="s">
        <v>310</v>
      </c>
      <c r="G2137" t="s">
        <v>338</v>
      </c>
      <c r="H2137" t="s">
        <v>104</v>
      </c>
      <c r="I2137" t="s">
        <v>743</v>
      </c>
      <c r="J2137" t="s">
        <v>379</v>
      </c>
      <c r="K2137" t="s">
        <v>546</v>
      </c>
      <c r="L2137" s="784">
        <v>0</v>
      </c>
      <c r="M2137" t="s">
        <v>745</v>
      </c>
      <c r="N2137" s="784" t="s">
        <v>575</v>
      </c>
      <c r="P2137" t="s">
        <v>1887</v>
      </c>
      <c r="R2137" t="s">
        <v>152</v>
      </c>
      <c r="S2137" t="s">
        <v>146</v>
      </c>
      <c r="U2137">
        <v>0</v>
      </c>
      <c r="V2137" t="s">
        <v>544</v>
      </c>
      <c r="W2137" t="s">
        <v>546</v>
      </c>
      <c r="X2137" s="784">
        <v>271184658.35014349</v>
      </c>
    </row>
    <row r="2138" spans="1:24">
      <c r="A2138" t="s">
        <v>358</v>
      </c>
      <c r="B2138" t="s">
        <v>601</v>
      </c>
      <c r="C2138" t="s">
        <v>206</v>
      </c>
      <c r="D2138" t="s">
        <v>129</v>
      </c>
      <c r="E2138" t="s">
        <v>377</v>
      </c>
      <c r="F2138" t="s">
        <v>310</v>
      </c>
      <c r="G2138" t="s">
        <v>338</v>
      </c>
      <c r="H2138" t="s">
        <v>104</v>
      </c>
      <c r="I2138" t="s">
        <v>743</v>
      </c>
      <c r="J2138" t="s">
        <v>379</v>
      </c>
      <c r="K2138" t="s">
        <v>546</v>
      </c>
      <c r="L2138" s="784">
        <v>0</v>
      </c>
      <c r="M2138" t="s">
        <v>745</v>
      </c>
      <c r="N2138" s="784" t="s">
        <v>575</v>
      </c>
      <c r="P2138" t="s">
        <v>1887</v>
      </c>
      <c r="R2138" t="s">
        <v>148</v>
      </c>
      <c r="S2138" t="s">
        <v>145</v>
      </c>
      <c r="U2138">
        <v>0</v>
      </c>
      <c r="V2138" t="s">
        <v>544</v>
      </c>
      <c r="W2138" t="s">
        <v>542</v>
      </c>
      <c r="X2138" s="784">
        <v>15455265.086884515</v>
      </c>
    </row>
    <row r="2139" spans="1:24">
      <c r="A2139" t="s">
        <v>358</v>
      </c>
      <c r="B2139" t="s">
        <v>602</v>
      </c>
      <c r="C2139" t="s">
        <v>207</v>
      </c>
      <c r="D2139" t="s">
        <v>127</v>
      </c>
      <c r="E2139" t="s">
        <v>377</v>
      </c>
      <c r="F2139" t="s">
        <v>310</v>
      </c>
      <c r="G2139" t="s">
        <v>338</v>
      </c>
      <c r="H2139" t="s">
        <v>104</v>
      </c>
      <c r="I2139" t="s">
        <v>743</v>
      </c>
      <c r="J2139" t="s">
        <v>379</v>
      </c>
      <c r="K2139" t="s">
        <v>546</v>
      </c>
      <c r="L2139" s="784">
        <v>0</v>
      </c>
      <c r="M2139" t="s">
        <v>745</v>
      </c>
      <c r="N2139" s="784" t="s">
        <v>575</v>
      </c>
      <c r="P2139" t="s">
        <v>1887</v>
      </c>
      <c r="R2139" t="s">
        <v>152</v>
      </c>
      <c r="S2139" t="s">
        <v>146</v>
      </c>
      <c r="U2139">
        <v>0</v>
      </c>
      <c r="V2139" t="s">
        <v>544</v>
      </c>
      <c r="W2139" t="s">
        <v>546</v>
      </c>
      <c r="X2139" s="784">
        <v>494021502.525527</v>
      </c>
    </row>
    <row r="2140" spans="1:24">
      <c r="A2140" t="s">
        <v>358</v>
      </c>
      <c r="B2140" t="s">
        <v>603</v>
      </c>
      <c r="C2140" t="s">
        <v>208</v>
      </c>
      <c r="D2140" t="s">
        <v>129</v>
      </c>
      <c r="E2140" t="s">
        <v>377</v>
      </c>
      <c r="F2140" t="s">
        <v>310</v>
      </c>
      <c r="G2140" t="s">
        <v>338</v>
      </c>
      <c r="H2140" t="s">
        <v>104</v>
      </c>
      <c r="I2140" t="s">
        <v>743</v>
      </c>
      <c r="J2140" t="s">
        <v>379</v>
      </c>
      <c r="K2140" t="s">
        <v>546</v>
      </c>
      <c r="L2140" s="784">
        <v>890000</v>
      </c>
      <c r="M2140" t="s">
        <v>745</v>
      </c>
      <c r="N2140" s="784" t="s">
        <v>575</v>
      </c>
      <c r="P2140" t="s">
        <v>1887</v>
      </c>
      <c r="R2140" t="s">
        <v>150</v>
      </c>
      <c r="S2140" t="s">
        <v>145</v>
      </c>
      <c r="U2140">
        <v>0</v>
      </c>
      <c r="V2140" t="s">
        <v>544</v>
      </c>
      <c r="W2140" t="s">
        <v>542</v>
      </c>
      <c r="X2140" s="784">
        <v>902005621.73836684</v>
      </c>
    </row>
    <row r="2141" spans="1:24">
      <c r="A2141" t="s">
        <v>358</v>
      </c>
      <c r="B2141" t="s">
        <v>604</v>
      </c>
      <c r="C2141" t="s">
        <v>209</v>
      </c>
      <c r="D2141" t="s">
        <v>130</v>
      </c>
      <c r="E2141" t="s">
        <v>377</v>
      </c>
      <c r="F2141" t="s">
        <v>310</v>
      </c>
      <c r="G2141" t="s">
        <v>338</v>
      </c>
      <c r="H2141" t="s">
        <v>104</v>
      </c>
      <c r="I2141" t="s">
        <v>743</v>
      </c>
      <c r="J2141" t="s">
        <v>379</v>
      </c>
      <c r="K2141" t="s">
        <v>546</v>
      </c>
      <c r="L2141" s="784">
        <v>0</v>
      </c>
      <c r="M2141" t="s">
        <v>745</v>
      </c>
      <c r="N2141" s="784" t="s">
        <v>575</v>
      </c>
      <c r="P2141" t="s">
        <v>1887</v>
      </c>
      <c r="R2141" t="s">
        <v>152</v>
      </c>
      <c r="S2141" t="s">
        <v>145</v>
      </c>
      <c r="U2141">
        <v>0</v>
      </c>
      <c r="V2141" t="s">
        <v>541</v>
      </c>
      <c r="W2141" t="s">
        <v>583</v>
      </c>
      <c r="X2141" s="784">
        <v>20201670.142996579</v>
      </c>
    </row>
    <row r="2142" spans="1:24">
      <c r="A2142" t="s">
        <v>358</v>
      </c>
      <c r="B2142" t="s">
        <v>605</v>
      </c>
      <c r="C2142" t="s">
        <v>210</v>
      </c>
      <c r="D2142" t="s">
        <v>130</v>
      </c>
      <c r="E2142" t="s">
        <v>377</v>
      </c>
      <c r="F2142" t="s">
        <v>310</v>
      </c>
      <c r="G2142" t="s">
        <v>338</v>
      </c>
      <c r="H2142" t="s">
        <v>104</v>
      </c>
      <c r="I2142" t="s">
        <v>743</v>
      </c>
      <c r="J2142" t="s">
        <v>379</v>
      </c>
      <c r="K2142" t="s">
        <v>546</v>
      </c>
      <c r="L2142" s="784" t="s">
        <v>575</v>
      </c>
      <c r="M2142" t="s">
        <v>745</v>
      </c>
      <c r="N2142" s="784" t="s">
        <v>575</v>
      </c>
      <c r="P2142" t="s">
        <v>1887</v>
      </c>
      <c r="R2142" t="s">
        <v>152</v>
      </c>
      <c r="S2142" t="s">
        <v>146</v>
      </c>
      <c r="U2142">
        <v>0</v>
      </c>
      <c r="V2142" t="s">
        <v>544</v>
      </c>
      <c r="W2142" t="s">
        <v>575</v>
      </c>
      <c r="X2142" s="784">
        <v>1612434649.6948864</v>
      </c>
    </row>
    <row r="2143" spans="1:24">
      <c r="A2143" t="s">
        <v>358</v>
      </c>
      <c r="B2143" t="s">
        <v>606</v>
      </c>
      <c r="C2143" t="s">
        <v>211</v>
      </c>
      <c r="D2143" t="s">
        <v>129</v>
      </c>
      <c r="E2143" t="s">
        <v>377</v>
      </c>
      <c r="F2143" t="s">
        <v>310</v>
      </c>
      <c r="G2143" t="s">
        <v>338</v>
      </c>
      <c r="H2143" t="s">
        <v>104</v>
      </c>
      <c r="I2143" t="s">
        <v>743</v>
      </c>
      <c r="J2143" t="s">
        <v>379</v>
      </c>
      <c r="K2143" t="s">
        <v>546</v>
      </c>
      <c r="L2143" s="784">
        <v>225000</v>
      </c>
      <c r="M2143" t="s">
        <v>745</v>
      </c>
      <c r="N2143" s="784" t="s">
        <v>575</v>
      </c>
      <c r="P2143" t="s">
        <v>1887</v>
      </c>
      <c r="R2143" t="s">
        <v>148</v>
      </c>
      <c r="S2143" t="s">
        <v>145</v>
      </c>
      <c r="U2143">
        <v>0</v>
      </c>
      <c r="V2143" t="s">
        <v>544</v>
      </c>
      <c r="W2143" t="s">
        <v>562</v>
      </c>
      <c r="X2143" s="784">
        <v>78203134.118229344</v>
      </c>
    </row>
    <row r="2144" spans="1:24">
      <c r="A2144" t="s">
        <v>358</v>
      </c>
      <c r="B2144" t="s">
        <v>607</v>
      </c>
      <c r="C2144" t="s">
        <v>212</v>
      </c>
      <c r="D2144" t="s">
        <v>129</v>
      </c>
      <c r="E2144" t="s">
        <v>377</v>
      </c>
      <c r="F2144" t="s">
        <v>310</v>
      </c>
      <c r="G2144" t="s">
        <v>338</v>
      </c>
      <c r="H2144" t="s">
        <v>104</v>
      </c>
      <c r="I2144" t="s">
        <v>743</v>
      </c>
      <c r="J2144" t="s">
        <v>379</v>
      </c>
      <c r="K2144" t="s">
        <v>546</v>
      </c>
      <c r="L2144" s="784">
        <v>45600</v>
      </c>
      <c r="M2144" t="s">
        <v>745</v>
      </c>
      <c r="N2144" s="784" t="s">
        <v>575</v>
      </c>
      <c r="P2144" t="s">
        <v>1887</v>
      </c>
      <c r="R2144" t="s">
        <v>148</v>
      </c>
      <c r="S2144" t="s">
        <v>145</v>
      </c>
      <c r="U2144">
        <v>2</v>
      </c>
      <c r="V2144" t="s">
        <v>541</v>
      </c>
      <c r="W2144" t="s">
        <v>542</v>
      </c>
      <c r="X2144" s="784">
        <v>9151637.7411015611</v>
      </c>
    </row>
    <row r="2145" spans="1:24">
      <c r="A2145" t="s">
        <v>358</v>
      </c>
      <c r="B2145" t="s">
        <v>608</v>
      </c>
      <c r="C2145" t="s">
        <v>213</v>
      </c>
      <c r="D2145" t="s">
        <v>130</v>
      </c>
      <c r="E2145" t="s">
        <v>377</v>
      </c>
      <c r="F2145" t="s">
        <v>310</v>
      </c>
      <c r="G2145" t="s">
        <v>338</v>
      </c>
      <c r="H2145" t="s">
        <v>104</v>
      </c>
      <c r="I2145" t="s">
        <v>743</v>
      </c>
      <c r="J2145" t="s">
        <v>379</v>
      </c>
      <c r="K2145" t="s">
        <v>546</v>
      </c>
      <c r="L2145" s="784">
        <v>215000</v>
      </c>
      <c r="M2145" t="s">
        <v>745</v>
      </c>
      <c r="N2145" s="784" t="s">
        <v>575</v>
      </c>
      <c r="P2145" t="s">
        <v>1887</v>
      </c>
      <c r="R2145" t="s">
        <v>152</v>
      </c>
      <c r="S2145" t="s">
        <v>145</v>
      </c>
      <c r="U2145">
        <v>0</v>
      </c>
      <c r="V2145" t="s">
        <v>541</v>
      </c>
      <c r="W2145" t="s">
        <v>562</v>
      </c>
      <c r="X2145" s="784">
        <v>142455920.02856269</v>
      </c>
    </row>
    <row r="2146" spans="1:24">
      <c r="A2146" t="s">
        <v>358</v>
      </c>
      <c r="B2146" t="s">
        <v>609</v>
      </c>
      <c r="C2146" t="s">
        <v>214</v>
      </c>
      <c r="D2146" t="s">
        <v>130</v>
      </c>
      <c r="E2146" t="s">
        <v>377</v>
      </c>
      <c r="F2146" t="s">
        <v>310</v>
      </c>
      <c r="G2146" t="s">
        <v>338</v>
      </c>
      <c r="H2146" t="s">
        <v>104</v>
      </c>
      <c r="I2146" t="s">
        <v>743</v>
      </c>
      <c r="J2146" t="s">
        <v>379</v>
      </c>
      <c r="K2146" t="s">
        <v>546</v>
      </c>
      <c r="L2146" s="784">
        <v>1160000</v>
      </c>
      <c r="M2146" t="s">
        <v>745</v>
      </c>
      <c r="N2146" s="784" t="s">
        <v>575</v>
      </c>
      <c r="P2146" t="s">
        <v>1887</v>
      </c>
      <c r="R2146" t="s">
        <v>150</v>
      </c>
      <c r="S2146" t="s">
        <v>145</v>
      </c>
      <c r="U2146">
        <v>1</v>
      </c>
      <c r="V2146" t="s">
        <v>541</v>
      </c>
      <c r="W2146" t="s">
        <v>542</v>
      </c>
      <c r="X2146" s="784">
        <v>85611818.171245083</v>
      </c>
    </row>
    <row r="2147" spans="1:24">
      <c r="A2147" t="s">
        <v>358</v>
      </c>
      <c r="B2147" t="s">
        <v>610</v>
      </c>
      <c r="C2147" t="s">
        <v>215</v>
      </c>
      <c r="D2147" t="s">
        <v>130</v>
      </c>
      <c r="E2147" t="s">
        <v>377</v>
      </c>
      <c r="F2147" t="s">
        <v>310</v>
      </c>
      <c r="G2147" t="s">
        <v>338</v>
      </c>
      <c r="H2147" t="s">
        <v>104</v>
      </c>
      <c r="I2147" t="s">
        <v>743</v>
      </c>
      <c r="J2147" t="s">
        <v>379</v>
      </c>
      <c r="K2147" t="s">
        <v>546</v>
      </c>
      <c r="L2147" s="784">
        <v>130000</v>
      </c>
      <c r="M2147" t="s">
        <v>745</v>
      </c>
      <c r="N2147" s="784" t="s">
        <v>575</v>
      </c>
      <c r="P2147" t="s">
        <v>1887</v>
      </c>
      <c r="R2147" t="s">
        <v>150</v>
      </c>
      <c r="S2147" t="s">
        <v>145</v>
      </c>
      <c r="U2147">
        <v>0</v>
      </c>
      <c r="V2147" t="s">
        <v>544</v>
      </c>
      <c r="W2147" t="s">
        <v>558</v>
      </c>
      <c r="X2147" s="784">
        <v>680289736.30082119</v>
      </c>
    </row>
    <row r="2148" spans="1:24">
      <c r="A2148" t="s">
        <v>358</v>
      </c>
      <c r="B2148" t="s">
        <v>611</v>
      </c>
      <c r="C2148" t="s">
        <v>216</v>
      </c>
      <c r="D2148" t="s">
        <v>132</v>
      </c>
      <c r="E2148" t="s">
        <v>377</v>
      </c>
      <c r="F2148" t="s">
        <v>310</v>
      </c>
      <c r="G2148" t="s">
        <v>338</v>
      </c>
      <c r="H2148" t="s">
        <v>104</v>
      </c>
      <c r="I2148" t="s">
        <v>743</v>
      </c>
      <c r="J2148" t="s">
        <v>379</v>
      </c>
      <c r="K2148" t="s">
        <v>546</v>
      </c>
      <c r="L2148" s="784">
        <v>0</v>
      </c>
      <c r="M2148" t="s">
        <v>745</v>
      </c>
      <c r="N2148" s="784" t="s">
        <v>575</v>
      </c>
      <c r="P2148" t="s">
        <v>1887</v>
      </c>
      <c r="R2148" t="s">
        <v>150</v>
      </c>
      <c r="S2148" t="s">
        <v>145</v>
      </c>
      <c r="U2148">
        <v>0</v>
      </c>
      <c r="V2148" t="s">
        <v>544</v>
      </c>
      <c r="W2148" t="s">
        <v>546</v>
      </c>
      <c r="X2148" s="784">
        <v>26554332750.47023</v>
      </c>
    </row>
    <row r="2149" spans="1:24">
      <c r="A2149" t="s">
        <v>358</v>
      </c>
      <c r="B2149" t="s">
        <v>612</v>
      </c>
      <c r="C2149" t="s">
        <v>217</v>
      </c>
      <c r="D2149" t="s">
        <v>126</v>
      </c>
      <c r="E2149" t="s">
        <v>377</v>
      </c>
      <c r="F2149" t="s">
        <v>310</v>
      </c>
      <c r="G2149" t="s">
        <v>338</v>
      </c>
      <c r="H2149" t="s">
        <v>104</v>
      </c>
      <c r="I2149" t="s">
        <v>743</v>
      </c>
      <c r="J2149" t="s">
        <v>379</v>
      </c>
      <c r="K2149" t="s">
        <v>546</v>
      </c>
      <c r="L2149" s="784">
        <v>165200</v>
      </c>
      <c r="M2149" t="s">
        <v>745</v>
      </c>
      <c r="N2149" s="784" t="s">
        <v>575</v>
      </c>
      <c r="P2149" t="s">
        <v>1887</v>
      </c>
      <c r="R2149" t="s">
        <v>150</v>
      </c>
      <c r="S2149" t="s">
        <v>145</v>
      </c>
      <c r="U2149">
        <v>0</v>
      </c>
      <c r="V2149" t="s">
        <v>544</v>
      </c>
      <c r="W2149" t="s">
        <v>546</v>
      </c>
      <c r="X2149" s="784">
        <v>14745961064.890842</v>
      </c>
    </row>
    <row r="2150" spans="1:24">
      <c r="A2150" t="s">
        <v>358</v>
      </c>
      <c r="B2150" t="s">
        <v>613</v>
      </c>
      <c r="C2150" t="s">
        <v>149</v>
      </c>
      <c r="D2150" t="s">
        <v>131</v>
      </c>
      <c r="E2150" t="s">
        <v>377</v>
      </c>
      <c r="F2150" t="s">
        <v>310</v>
      </c>
      <c r="G2150" t="s">
        <v>338</v>
      </c>
      <c r="H2150" t="s">
        <v>104</v>
      </c>
      <c r="I2150" t="s">
        <v>743</v>
      </c>
      <c r="J2150" t="s">
        <v>379</v>
      </c>
      <c r="K2150" t="s">
        <v>546</v>
      </c>
      <c r="L2150" s="784">
        <v>0</v>
      </c>
      <c r="M2150" t="s">
        <v>745</v>
      </c>
      <c r="N2150" s="784" t="s">
        <v>575</v>
      </c>
      <c r="P2150" t="s">
        <v>1887</v>
      </c>
      <c r="R2150" t="s">
        <v>150</v>
      </c>
      <c r="S2150" t="s">
        <v>146</v>
      </c>
      <c r="U2150">
        <v>0</v>
      </c>
      <c r="V2150" t="s">
        <v>544</v>
      </c>
      <c r="W2150" t="s">
        <v>546</v>
      </c>
      <c r="X2150" s="784">
        <v>18194076299.786381</v>
      </c>
    </row>
    <row r="2151" spans="1:24">
      <c r="A2151" t="s">
        <v>358</v>
      </c>
      <c r="B2151" t="s">
        <v>614</v>
      </c>
      <c r="C2151" t="s">
        <v>218</v>
      </c>
      <c r="D2151" t="s">
        <v>131</v>
      </c>
      <c r="E2151" t="s">
        <v>377</v>
      </c>
      <c r="F2151" t="s">
        <v>310</v>
      </c>
      <c r="G2151" t="s">
        <v>338</v>
      </c>
      <c r="H2151" t="s">
        <v>104</v>
      </c>
      <c r="I2151" t="s">
        <v>743</v>
      </c>
      <c r="J2151" t="s">
        <v>379</v>
      </c>
      <c r="K2151" t="s">
        <v>546</v>
      </c>
      <c r="L2151" s="784">
        <v>0</v>
      </c>
      <c r="M2151" t="s">
        <v>745</v>
      </c>
      <c r="N2151" s="784" t="s">
        <v>575</v>
      </c>
      <c r="P2151" t="s">
        <v>1887</v>
      </c>
      <c r="R2151" t="s">
        <v>152</v>
      </c>
      <c r="S2151" t="s">
        <v>146</v>
      </c>
      <c r="U2151">
        <v>0</v>
      </c>
      <c r="V2151" t="s">
        <v>544</v>
      </c>
      <c r="W2151" t="s">
        <v>546</v>
      </c>
      <c r="X2151" s="784">
        <v>4428819387.769825</v>
      </c>
    </row>
    <row r="2152" spans="1:24">
      <c r="A2152" t="s">
        <v>358</v>
      </c>
      <c r="B2152" t="s">
        <v>615</v>
      </c>
      <c r="C2152" t="s">
        <v>219</v>
      </c>
      <c r="D2152" t="s">
        <v>130</v>
      </c>
      <c r="E2152" t="s">
        <v>377</v>
      </c>
      <c r="F2152" t="s">
        <v>310</v>
      </c>
      <c r="G2152" t="s">
        <v>338</v>
      </c>
      <c r="H2152" t="s">
        <v>104</v>
      </c>
      <c r="I2152" t="s">
        <v>743</v>
      </c>
      <c r="J2152" t="s">
        <v>379</v>
      </c>
      <c r="K2152" t="s">
        <v>546</v>
      </c>
      <c r="L2152" s="784">
        <v>0</v>
      </c>
      <c r="M2152" t="s">
        <v>745</v>
      </c>
      <c r="N2152" s="784" t="s">
        <v>575</v>
      </c>
      <c r="P2152" t="s">
        <v>1887</v>
      </c>
      <c r="R2152" t="s">
        <v>152</v>
      </c>
      <c r="S2152" t="s">
        <v>146</v>
      </c>
      <c r="U2152">
        <v>0</v>
      </c>
      <c r="V2152" t="s">
        <v>541</v>
      </c>
      <c r="W2152" t="s">
        <v>575</v>
      </c>
      <c r="X2152" s="784">
        <v>611739560.62679195</v>
      </c>
    </row>
    <row r="2153" spans="1:24">
      <c r="A2153" t="s">
        <v>358</v>
      </c>
      <c r="B2153" t="s">
        <v>616</v>
      </c>
      <c r="C2153" t="s">
        <v>220</v>
      </c>
      <c r="D2153" t="s">
        <v>131</v>
      </c>
      <c r="E2153" t="s">
        <v>377</v>
      </c>
      <c r="F2153" t="s">
        <v>310</v>
      </c>
      <c r="G2153" t="s">
        <v>338</v>
      </c>
      <c r="H2153" t="s">
        <v>104</v>
      </c>
      <c r="I2153" t="s">
        <v>743</v>
      </c>
      <c r="J2153" t="s">
        <v>379</v>
      </c>
      <c r="K2153" t="s">
        <v>546</v>
      </c>
      <c r="L2153" s="784">
        <v>0</v>
      </c>
      <c r="M2153" t="s">
        <v>745</v>
      </c>
      <c r="N2153" s="784" t="s">
        <v>575</v>
      </c>
      <c r="P2153" t="s">
        <v>1887</v>
      </c>
      <c r="R2153" t="s">
        <v>152</v>
      </c>
      <c r="S2153" t="s">
        <v>146</v>
      </c>
      <c r="U2153">
        <v>0</v>
      </c>
      <c r="V2153" t="s">
        <v>544</v>
      </c>
      <c r="W2153" t="s">
        <v>546</v>
      </c>
      <c r="X2153" s="784">
        <v>1617913383.0481031</v>
      </c>
    </row>
    <row r="2154" spans="1:24">
      <c r="A2154" t="s">
        <v>358</v>
      </c>
      <c r="B2154" t="s">
        <v>617</v>
      </c>
      <c r="C2154" t="s">
        <v>221</v>
      </c>
      <c r="D2154" t="s">
        <v>127</v>
      </c>
      <c r="E2154" t="s">
        <v>377</v>
      </c>
      <c r="F2154" t="s">
        <v>310</v>
      </c>
      <c r="G2154" t="s">
        <v>338</v>
      </c>
      <c r="H2154" t="s">
        <v>104</v>
      </c>
      <c r="I2154" t="s">
        <v>743</v>
      </c>
      <c r="J2154" t="s">
        <v>379</v>
      </c>
      <c r="K2154" t="s">
        <v>546</v>
      </c>
      <c r="L2154" s="784">
        <v>0</v>
      </c>
      <c r="M2154" t="s">
        <v>745</v>
      </c>
      <c r="N2154" s="784" t="s">
        <v>575</v>
      </c>
      <c r="P2154" t="s">
        <v>1887</v>
      </c>
      <c r="R2154" t="s">
        <v>152</v>
      </c>
      <c r="S2154" t="s">
        <v>146</v>
      </c>
      <c r="U2154">
        <v>0</v>
      </c>
      <c r="V2154" t="s">
        <v>544</v>
      </c>
      <c r="W2154" t="s">
        <v>575</v>
      </c>
      <c r="X2154" s="784">
        <v>3074419112.4562683</v>
      </c>
    </row>
    <row r="2155" spans="1:24">
      <c r="A2155" t="s">
        <v>358</v>
      </c>
      <c r="B2155" t="s">
        <v>618</v>
      </c>
      <c r="C2155" t="s">
        <v>222</v>
      </c>
      <c r="D2155" t="s">
        <v>128</v>
      </c>
      <c r="E2155" t="s">
        <v>377</v>
      </c>
      <c r="F2155" t="s">
        <v>310</v>
      </c>
      <c r="G2155" t="s">
        <v>338</v>
      </c>
      <c r="H2155" t="s">
        <v>104</v>
      </c>
      <c r="I2155" t="s">
        <v>743</v>
      </c>
      <c r="J2155" t="s">
        <v>379</v>
      </c>
      <c r="K2155" t="s">
        <v>546</v>
      </c>
      <c r="L2155" s="784">
        <v>1015000</v>
      </c>
      <c r="M2155" t="s">
        <v>745</v>
      </c>
      <c r="N2155" s="784" t="s">
        <v>575</v>
      </c>
      <c r="P2155" t="s">
        <v>1887</v>
      </c>
      <c r="R2155" t="s">
        <v>150</v>
      </c>
      <c r="S2155" t="s">
        <v>145</v>
      </c>
      <c r="U2155">
        <v>0</v>
      </c>
      <c r="V2155" t="s">
        <v>544</v>
      </c>
      <c r="W2155" t="s">
        <v>542</v>
      </c>
      <c r="X2155" s="784">
        <v>1914014279.8929913</v>
      </c>
    </row>
    <row r="2156" spans="1:24">
      <c r="A2156" t="s">
        <v>358</v>
      </c>
      <c r="B2156" t="s">
        <v>619</v>
      </c>
      <c r="C2156" t="s">
        <v>223</v>
      </c>
      <c r="D2156" t="s">
        <v>126</v>
      </c>
      <c r="E2156" t="s">
        <v>377</v>
      </c>
      <c r="F2156" t="s">
        <v>310</v>
      </c>
      <c r="G2156" t="s">
        <v>338</v>
      </c>
      <c r="H2156" t="s">
        <v>104</v>
      </c>
      <c r="I2156" t="s">
        <v>743</v>
      </c>
      <c r="J2156" t="s">
        <v>379</v>
      </c>
      <c r="K2156" t="s">
        <v>546</v>
      </c>
      <c r="L2156" s="784" t="s">
        <v>575</v>
      </c>
      <c r="M2156" t="s">
        <v>745</v>
      </c>
      <c r="N2156" s="784" t="s">
        <v>575</v>
      </c>
      <c r="P2156" t="s">
        <v>1887</v>
      </c>
      <c r="R2156" t="s">
        <v>150</v>
      </c>
      <c r="S2156" t="s">
        <v>145</v>
      </c>
      <c r="U2156">
        <v>0</v>
      </c>
      <c r="V2156" t="s">
        <v>541</v>
      </c>
      <c r="W2156" t="s">
        <v>542</v>
      </c>
      <c r="X2156" s="784">
        <v>17422005.762907442</v>
      </c>
    </row>
    <row r="2157" spans="1:24">
      <c r="A2157" t="s">
        <v>358</v>
      </c>
      <c r="B2157" t="s">
        <v>620</v>
      </c>
      <c r="C2157" t="s">
        <v>224</v>
      </c>
      <c r="D2157" t="s">
        <v>126</v>
      </c>
      <c r="E2157" t="s">
        <v>377</v>
      </c>
      <c r="F2157" t="s">
        <v>310</v>
      </c>
      <c r="G2157" t="s">
        <v>338</v>
      </c>
      <c r="H2157" t="s">
        <v>104</v>
      </c>
      <c r="I2157" t="s">
        <v>743</v>
      </c>
      <c r="J2157" t="s">
        <v>379</v>
      </c>
      <c r="K2157" t="s">
        <v>546</v>
      </c>
      <c r="L2157" s="784">
        <v>0</v>
      </c>
      <c r="M2157" t="s">
        <v>745</v>
      </c>
      <c r="N2157" s="784" t="s">
        <v>575</v>
      </c>
      <c r="P2157" t="s">
        <v>1887</v>
      </c>
      <c r="R2157" t="s">
        <v>148</v>
      </c>
      <c r="S2157" t="s">
        <v>145</v>
      </c>
      <c r="U2157">
        <v>0</v>
      </c>
      <c r="V2157" t="s">
        <v>544</v>
      </c>
      <c r="W2157" t="s">
        <v>546</v>
      </c>
      <c r="X2157" s="784" t="s">
        <v>575</v>
      </c>
    </row>
    <row r="2158" spans="1:24">
      <c r="A2158" t="s">
        <v>358</v>
      </c>
      <c r="B2158" t="s">
        <v>621</v>
      </c>
      <c r="C2158" t="s">
        <v>225</v>
      </c>
      <c r="D2158" t="s">
        <v>127</v>
      </c>
      <c r="E2158" t="s">
        <v>377</v>
      </c>
      <c r="F2158" t="s">
        <v>310</v>
      </c>
      <c r="G2158" t="s">
        <v>338</v>
      </c>
      <c r="H2158" t="s">
        <v>104</v>
      </c>
      <c r="I2158" t="s">
        <v>743</v>
      </c>
      <c r="J2158" t="s">
        <v>379</v>
      </c>
      <c r="K2158" t="s">
        <v>546</v>
      </c>
      <c r="L2158" s="784">
        <v>0</v>
      </c>
      <c r="M2158" t="s">
        <v>745</v>
      </c>
      <c r="N2158" s="784" t="s">
        <v>575</v>
      </c>
      <c r="P2158" t="s">
        <v>1887</v>
      </c>
      <c r="R2158" t="s">
        <v>152</v>
      </c>
      <c r="S2158" t="s">
        <v>145</v>
      </c>
      <c r="U2158">
        <v>0</v>
      </c>
      <c r="V2158" t="s">
        <v>544</v>
      </c>
      <c r="W2158" t="s">
        <v>548</v>
      </c>
      <c r="X2158" s="784" t="s">
        <v>575</v>
      </c>
    </row>
    <row r="2159" spans="1:24">
      <c r="A2159" t="s">
        <v>358</v>
      </c>
      <c r="B2159" t="s">
        <v>622</v>
      </c>
      <c r="C2159" t="s">
        <v>226</v>
      </c>
      <c r="D2159" t="s">
        <v>127</v>
      </c>
      <c r="E2159" t="s">
        <v>377</v>
      </c>
      <c r="F2159" t="s">
        <v>310</v>
      </c>
      <c r="G2159" t="s">
        <v>338</v>
      </c>
      <c r="H2159" t="s">
        <v>104</v>
      </c>
      <c r="I2159" t="s">
        <v>743</v>
      </c>
      <c r="J2159" t="s">
        <v>379</v>
      </c>
      <c r="K2159" t="s">
        <v>546</v>
      </c>
      <c r="L2159" s="784">
        <v>276200</v>
      </c>
      <c r="M2159" t="s">
        <v>745</v>
      </c>
      <c r="N2159" s="784" t="s">
        <v>575</v>
      </c>
      <c r="P2159" t="s">
        <v>1887</v>
      </c>
      <c r="R2159" t="s">
        <v>150</v>
      </c>
      <c r="S2159" t="s">
        <v>145</v>
      </c>
      <c r="U2159">
        <v>2</v>
      </c>
      <c r="V2159" t="s">
        <v>544</v>
      </c>
      <c r="W2159" t="s">
        <v>562</v>
      </c>
      <c r="X2159" s="784">
        <v>231506834.84347546</v>
      </c>
    </row>
    <row r="2160" spans="1:24">
      <c r="A2160" t="s">
        <v>358</v>
      </c>
      <c r="B2160" t="s">
        <v>623</v>
      </c>
      <c r="C2160" t="s">
        <v>227</v>
      </c>
      <c r="D2160" t="s">
        <v>126</v>
      </c>
      <c r="E2160" t="s">
        <v>377</v>
      </c>
      <c r="F2160" t="s">
        <v>310</v>
      </c>
      <c r="G2160" t="s">
        <v>338</v>
      </c>
      <c r="H2160" t="s">
        <v>104</v>
      </c>
      <c r="I2160" t="s">
        <v>743</v>
      </c>
      <c r="J2160" t="s">
        <v>379</v>
      </c>
      <c r="K2160" t="s">
        <v>546</v>
      </c>
      <c r="L2160" s="784">
        <v>0</v>
      </c>
      <c r="M2160" t="s">
        <v>745</v>
      </c>
      <c r="N2160" s="784" t="s">
        <v>575</v>
      </c>
      <c r="P2160" t="s">
        <v>1887</v>
      </c>
      <c r="R2160" t="s">
        <v>150</v>
      </c>
      <c r="S2160" t="s">
        <v>145</v>
      </c>
      <c r="U2160">
        <v>0</v>
      </c>
      <c r="V2160" t="s">
        <v>544</v>
      </c>
      <c r="W2160" t="s">
        <v>542</v>
      </c>
      <c r="X2160" s="784">
        <v>156059428.62944782</v>
      </c>
    </row>
    <row r="2161" spans="1:24">
      <c r="A2161" t="s">
        <v>358</v>
      </c>
      <c r="B2161" t="s">
        <v>624</v>
      </c>
      <c r="C2161" t="s">
        <v>228</v>
      </c>
      <c r="D2161" t="s">
        <v>131</v>
      </c>
      <c r="E2161" t="s">
        <v>377</v>
      </c>
      <c r="F2161" t="s">
        <v>310</v>
      </c>
      <c r="G2161" t="s">
        <v>338</v>
      </c>
      <c r="H2161" t="s">
        <v>104</v>
      </c>
      <c r="I2161" t="s">
        <v>743</v>
      </c>
      <c r="J2161" t="s">
        <v>379</v>
      </c>
      <c r="K2161" t="s">
        <v>546</v>
      </c>
      <c r="L2161" s="784">
        <v>0</v>
      </c>
      <c r="M2161" t="s">
        <v>745</v>
      </c>
      <c r="N2161" s="784" t="s">
        <v>575</v>
      </c>
      <c r="P2161" t="s">
        <v>1887</v>
      </c>
      <c r="R2161" t="s">
        <v>152</v>
      </c>
      <c r="S2161" t="s">
        <v>146</v>
      </c>
      <c r="U2161">
        <v>0</v>
      </c>
      <c r="V2161" t="s">
        <v>544</v>
      </c>
      <c r="W2161" t="s">
        <v>546</v>
      </c>
      <c r="X2161" s="784">
        <v>2355391507.1635861</v>
      </c>
    </row>
    <row r="2162" spans="1:24">
      <c r="A2162" t="s">
        <v>358</v>
      </c>
      <c r="B2162" t="s">
        <v>625</v>
      </c>
      <c r="C2162" t="s">
        <v>229</v>
      </c>
      <c r="D2162" t="s">
        <v>128</v>
      </c>
      <c r="E2162" t="s">
        <v>377</v>
      </c>
      <c r="F2162" t="s">
        <v>310</v>
      </c>
      <c r="G2162" t="s">
        <v>338</v>
      </c>
      <c r="H2162" t="s">
        <v>104</v>
      </c>
      <c r="I2162" t="s">
        <v>743</v>
      </c>
      <c r="J2162" t="s">
        <v>379</v>
      </c>
      <c r="K2162" t="s">
        <v>546</v>
      </c>
      <c r="L2162" s="784">
        <v>45600</v>
      </c>
      <c r="M2162" t="s">
        <v>745</v>
      </c>
      <c r="N2162" s="784" t="s">
        <v>575</v>
      </c>
      <c r="P2162" t="s">
        <v>1887</v>
      </c>
      <c r="R2162" t="s">
        <v>150</v>
      </c>
      <c r="S2162" t="s">
        <v>145</v>
      </c>
      <c r="U2162">
        <v>0</v>
      </c>
      <c r="V2162" t="s">
        <v>544</v>
      </c>
      <c r="W2162" t="s">
        <v>562</v>
      </c>
      <c r="X2162" s="784">
        <v>152760919.7684873</v>
      </c>
    </row>
    <row r="2163" spans="1:24">
      <c r="A2163" t="s">
        <v>358</v>
      </c>
      <c r="B2163" t="s">
        <v>626</v>
      </c>
      <c r="C2163" t="s">
        <v>230</v>
      </c>
      <c r="D2163" t="s">
        <v>129</v>
      </c>
      <c r="E2163" t="s">
        <v>377</v>
      </c>
      <c r="F2163" t="s">
        <v>310</v>
      </c>
      <c r="G2163" t="s">
        <v>338</v>
      </c>
      <c r="H2163" t="s">
        <v>104</v>
      </c>
      <c r="I2163" t="s">
        <v>743</v>
      </c>
      <c r="J2163" t="s">
        <v>379</v>
      </c>
      <c r="K2163" t="s">
        <v>546</v>
      </c>
      <c r="L2163" s="784">
        <v>220600</v>
      </c>
      <c r="M2163" t="s">
        <v>745</v>
      </c>
      <c r="N2163" s="784" t="s">
        <v>575</v>
      </c>
      <c r="P2163" t="s">
        <v>1887</v>
      </c>
      <c r="R2163" t="s">
        <v>148</v>
      </c>
      <c r="S2163" t="s">
        <v>145</v>
      </c>
      <c r="U2163">
        <v>0</v>
      </c>
      <c r="V2163" t="s">
        <v>544</v>
      </c>
      <c r="W2163" t="s">
        <v>542</v>
      </c>
      <c r="X2163" s="784">
        <v>55072006.864440605</v>
      </c>
    </row>
    <row r="2164" spans="1:24">
      <c r="A2164" t="s">
        <v>358</v>
      </c>
      <c r="B2164" t="s">
        <v>627</v>
      </c>
      <c r="C2164" t="s">
        <v>231</v>
      </c>
      <c r="D2164" t="s">
        <v>131</v>
      </c>
      <c r="E2164" t="s">
        <v>377</v>
      </c>
      <c r="F2164" t="s">
        <v>310</v>
      </c>
      <c r="G2164" t="s">
        <v>338</v>
      </c>
      <c r="H2164" t="s">
        <v>104</v>
      </c>
      <c r="I2164" t="s">
        <v>743</v>
      </c>
      <c r="J2164" t="s">
        <v>379</v>
      </c>
      <c r="K2164" t="s">
        <v>546</v>
      </c>
      <c r="L2164" s="784">
        <v>0</v>
      </c>
      <c r="M2164" t="s">
        <v>745</v>
      </c>
      <c r="N2164" s="784" t="s">
        <v>575</v>
      </c>
      <c r="P2164" t="s">
        <v>1887</v>
      </c>
      <c r="R2164" t="s">
        <v>152</v>
      </c>
      <c r="S2164" t="s">
        <v>146</v>
      </c>
      <c r="U2164">
        <v>0</v>
      </c>
      <c r="V2164" t="s">
        <v>544</v>
      </c>
      <c r="W2164" t="s">
        <v>546</v>
      </c>
      <c r="X2164" s="784" t="s">
        <v>575</v>
      </c>
    </row>
    <row r="2165" spans="1:24">
      <c r="A2165" t="s">
        <v>358</v>
      </c>
      <c r="B2165" t="s">
        <v>628</v>
      </c>
      <c r="C2165" t="s">
        <v>232</v>
      </c>
      <c r="D2165" t="s">
        <v>128</v>
      </c>
      <c r="E2165" t="s">
        <v>377</v>
      </c>
      <c r="F2165" t="s">
        <v>310</v>
      </c>
      <c r="G2165" t="s">
        <v>338</v>
      </c>
      <c r="H2165" t="s">
        <v>104</v>
      </c>
      <c r="I2165" t="s">
        <v>743</v>
      </c>
      <c r="J2165" t="s">
        <v>379</v>
      </c>
      <c r="K2165" t="s">
        <v>546</v>
      </c>
      <c r="L2165" s="784">
        <v>688600</v>
      </c>
      <c r="M2165" t="s">
        <v>745</v>
      </c>
      <c r="N2165" s="784" t="s">
        <v>575</v>
      </c>
      <c r="P2165" t="s">
        <v>1887</v>
      </c>
      <c r="R2165" t="s">
        <v>148</v>
      </c>
      <c r="S2165" t="s">
        <v>145</v>
      </c>
      <c r="U2165">
        <v>2</v>
      </c>
      <c r="V2165" t="s">
        <v>544</v>
      </c>
      <c r="W2165" t="s">
        <v>562</v>
      </c>
      <c r="X2165" s="784">
        <v>206914157.05429548</v>
      </c>
    </row>
    <row r="2166" spans="1:24">
      <c r="A2166" t="s">
        <v>358</v>
      </c>
      <c r="B2166" t="s">
        <v>629</v>
      </c>
      <c r="C2166" t="s">
        <v>233</v>
      </c>
      <c r="D2166" t="s">
        <v>128</v>
      </c>
      <c r="E2166" t="s">
        <v>377</v>
      </c>
      <c r="F2166" t="s">
        <v>310</v>
      </c>
      <c r="G2166" t="s">
        <v>338</v>
      </c>
      <c r="H2166" t="s">
        <v>104</v>
      </c>
      <c r="I2166" t="s">
        <v>743</v>
      </c>
      <c r="J2166" t="s">
        <v>379</v>
      </c>
      <c r="K2166" t="s">
        <v>546</v>
      </c>
      <c r="L2166" s="784">
        <v>686179</v>
      </c>
      <c r="M2166" t="s">
        <v>745</v>
      </c>
      <c r="N2166" s="784" t="s">
        <v>575</v>
      </c>
      <c r="P2166" t="s">
        <v>1887</v>
      </c>
      <c r="R2166" t="s">
        <v>148</v>
      </c>
      <c r="S2166" t="s">
        <v>145</v>
      </c>
      <c r="U2166">
        <v>2</v>
      </c>
      <c r="V2166" t="s">
        <v>544</v>
      </c>
      <c r="W2166" t="s">
        <v>542</v>
      </c>
      <c r="X2166" s="784">
        <v>185999915.02066413</v>
      </c>
    </row>
    <row r="2167" spans="1:24">
      <c r="A2167" t="s">
        <v>358</v>
      </c>
      <c r="B2167" t="s">
        <v>630</v>
      </c>
      <c r="C2167" t="s">
        <v>234</v>
      </c>
      <c r="D2167" t="s">
        <v>126</v>
      </c>
      <c r="E2167" t="s">
        <v>377</v>
      </c>
      <c r="F2167" t="s">
        <v>310</v>
      </c>
      <c r="G2167" t="s">
        <v>338</v>
      </c>
      <c r="H2167" t="s">
        <v>104</v>
      </c>
      <c r="I2167" t="s">
        <v>743</v>
      </c>
      <c r="J2167" t="s">
        <v>379</v>
      </c>
      <c r="K2167" t="s">
        <v>546</v>
      </c>
      <c r="L2167" s="784">
        <v>0</v>
      </c>
      <c r="M2167" t="s">
        <v>745</v>
      </c>
      <c r="N2167" s="784" t="s">
        <v>575</v>
      </c>
      <c r="P2167" t="s">
        <v>1887</v>
      </c>
      <c r="R2167" t="s">
        <v>152</v>
      </c>
      <c r="S2167" t="s">
        <v>146</v>
      </c>
      <c r="U2167">
        <v>0</v>
      </c>
      <c r="V2167" t="s">
        <v>544</v>
      </c>
      <c r="W2167" t="s">
        <v>575</v>
      </c>
      <c r="X2167" s="784">
        <v>6893755763.2501726</v>
      </c>
    </row>
    <row r="2168" spans="1:24">
      <c r="A2168" t="s">
        <v>358</v>
      </c>
      <c r="B2168" t="s">
        <v>631</v>
      </c>
      <c r="C2168" t="s">
        <v>235</v>
      </c>
      <c r="D2168" t="s">
        <v>132</v>
      </c>
      <c r="E2168" t="s">
        <v>377</v>
      </c>
      <c r="F2168" t="s">
        <v>310</v>
      </c>
      <c r="G2168" t="s">
        <v>338</v>
      </c>
      <c r="H2168" t="s">
        <v>104</v>
      </c>
      <c r="I2168" t="s">
        <v>743</v>
      </c>
      <c r="J2168" t="s">
        <v>379</v>
      </c>
      <c r="K2168" t="s">
        <v>546</v>
      </c>
      <c r="L2168" s="784">
        <v>0</v>
      </c>
      <c r="M2168" t="s">
        <v>745</v>
      </c>
      <c r="N2168" s="784" t="s">
        <v>575</v>
      </c>
      <c r="P2168" t="s">
        <v>1887</v>
      </c>
      <c r="R2168" t="s">
        <v>152</v>
      </c>
      <c r="S2168" t="s">
        <v>145</v>
      </c>
      <c r="U2168">
        <v>0</v>
      </c>
      <c r="V2168" t="s">
        <v>541</v>
      </c>
      <c r="W2168" t="s">
        <v>542</v>
      </c>
      <c r="X2168" s="784">
        <v>354560231.58276606</v>
      </c>
    </row>
    <row r="2169" spans="1:24">
      <c r="A2169" t="s">
        <v>358</v>
      </c>
      <c r="B2169" t="s">
        <v>632</v>
      </c>
      <c r="C2169" t="s">
        <v>236</v>
      </c>
      <c r="D2169" t="s">
        <v>129</v>
      </c>
      <c r="E2169" t="s">
        <v>377</v>
      </c>
      <c r="F2169" t="s">
        <v>310</v>
      </c>
      <c r="G2169" t="s">
        <v>338</v>
      </c>
      <c r="H2169" t="s">
        <v>104</v>
      </c>
      <c r="I2169" t="s">
        <v>743</v>
      </c>
      <c r="J2169" t="s">
        <v>379</v>
      </c>
      <c r="K2169" t="s">
        <v>546</v>
      </c>
      <c r="L2169" s="784">
        <v>1350000</v>
      </c>
      <c r="M2169" t="s">
        <v>745</v>
      </c>
      <c r="N2169" s="784" t="s">
        <v>575</v>
      </c>
      <c r="P2169" t="s">
        <v>1887</v>
      </c>
      <c r="R2169" t="s">
        <v>148</v>
      </c>
      <c r="S2169" t="s">
        <v>145</v>
      </c>
      <c r="U2169">
        <v>1</v>
      </c>
      <c r="V2169" t="s">
        <v>544</v>
      </c>
      <c r="W2169" t="s">
        <v>562</v>
      </c>
      <c r="X2169" s="784">
        <v>188169167.56540567</v>
      </c>
    </row>
    <row r="2170" spans="1:24">
      <c r="A2170" t="s">
        <v>358</v>
      </c>
      <c r="B2170" t="s">
        <v>633</v>
      </c>
      <c r="C2170" t="s">
        <v>237</v>
      </c>
      <c r="D2170" t="s">
        <v>126</v>
      </c>
      <c r="E2170" t="s">
        <v>377</v>
      </c>
      <c r="F2170" t="s">
        <v>310</v>
      </c>
      <c r="G2170" t="s">
        <v>338</v>
      </c>
      <c r="H2170" t="s">
        <v>104</v>
      </c>
      <c r="I2170" t="s">
        <v>743</v>
      </c>
      <c r="J2170" t="s">
        <v>379</v>
      </c>
      <c r="K2170" t="s">
        <v>546</v>
      </c>
      <c r="L2170" s="784" t="s">
        <v>575</v>
      </c>
      <c r="M2170" t="s">
        <v>745</v>
      </c>
      <c r="N2170" s="784" t="s">
        <v>575</v>
      </c>
      <c r="P2170" t="s">
        <v>1887</v>
      </c>
      <c r="R2170" t="s">
        <v>152</v>
      </c>
      <c r="S2170" t="s">
        <v>145</v>
      </c>
      <c r="U2170">
        <v>0</v>
      </c>
      <c r="V2170" t="s">
        <v>541</v>
      </c>
      <c r="W2170" t="s">
        <v>575</v>
      </c>
      <c r="X2170" s="784">
        <v>16312106.556340856</v>
      </c>
    </row>
    <row r="2171" spans="1:24">
      <c r="A2171" t="s">
        <v>358</v>
      </c>
      <c r="B2171" t="s">
        <v>634</v>
      </c>
      <c r="C2171" t="s">
        <v>238</v>
      </c>
      <c r="D2171" t="s">
        <v>129</v>
      </c>
      <c r="E2171" t="s">
        <v>377</v>
      </c>
      <c r="F2171" t="s">
        <v>310</v>
      </c>
      <c r="G2171" t="s">
        <v>338</v>
      </c>
      <c r="H2171" t="s">
        <v>104</v>
      </c>
      <c r="I2171" t="s">
        <v>743</v>
      </c>
      <c r="J2171" t="s">
        <v>379</v>
      </c>
      <c r="K2171" t="s">
        <v>546</v>
      </c>
      <c r="L2171" s="784">
        <v>175000</v>
      </c>
      <c r="M2171" t="s">
        <v>745</v>
      </c>
      <c r="N2171" s="784" t="s">
        <v>575</v>
      </c>
      <c r="P2171" t="s">
        <v>1887</v>
      </c>
      <c r="R2171" t="s">
        <v>150</v>
      </c>
      <c r="S2171" t="s">
        <v>145</v>
      </c>
      <c r="U2171">
        <v>2</v>
      </c>
      <c r="V2171" t="s">
        <v>544</v>
      </c>
      <c r="W2171" t="s">
        <v>542</v>
      </c>
      <c r="X2171" s="784">
        <v>86083833.534053758</v>
      </c>
    </row>
    <row r="2172" spans="1:24">
      <c r="A2172" t="s">
        <v>358</v>
      </c>
      <c r="B2172" t="s">
        <v>635</v>
      </c>
      <c r="C2172" t="s">
        <v>239</v>
      </c>
      <c r="D2172" t="s">
        <v>128</v>
      </c>
      <c r="E2172" t="s">
        <v>377</v>
      </c>
      <c r="F2172" t="s">
        <v>310</v>
      </c>
      <c r="G2172" t="s">
        <v>338</v>
      </c>
      <c r="H2172" t="s">
        <v>104</v>
      </c>
      <c r="I2172" t="s">
        <v>743</v>
      </c>
      <c r="J2172" t="s">
        <v>379</v>
      </c>
      <c r="K2172" t="s">
        <v>546</v>
      </c>
      <c r="L2172" s="784" t="s">
        <v>575</v>
      </c>
      <c r="M2172" t="s">
        <v>745</v>
      </c>
      <c r="N2172" s="784" t="s">
        <v>575</v>
      </c>
      <c r="P2172" t="s">
        <v>1887</v>
      </c>
      <c r="R2172" t="s">
        <v>152</v>
      </c>
      <c r="S2172" t="s">
        <v>146</v>
      </c>
      <c r="U2172">
        <v>0</v>
      </c>
      <c r="V2172" t="s">
        <v>541</v>
      </c>
      <c r="W2172" t="s">
        <v>546</v>
      </c>
      <c r="X2172" s="784">
        <v>357220835.93762809</v>
      </c>
    </row>
    <row r="2173" spans="1:24">
      <c r="A2173" t="s">
        <v>358</v>
      </c>
      <c r="B2173" t="s">
        <v>636</v>
      </c>
      <c r="C2173" t="s">
        <v>240</v>
      </c>
      <c r="D2173" t="s">
        <v>130</v>
      </c>
      <c r="E2173" t="s">
        <v>377</v>
      </c>
      <c r="F2173" t="s">
        <v>310</v>
      </c>
      <c r="G2173" t="s">
        <v>338</v>
      </c>
      <c r="H2173" t="s">
        <v>104</v>
      </c>
      <c r="I2173" t="s">
        <v>743</v>
      </c>
      <c r="J2173" t="s">
        <v>379</v>
      </c>
      <c r="K2173" t="s">
        <v>546</v>
      </c>
      <c r="L2173" s="784">
        <v>0</v>
      </c>
      <c r="M2173" t="s">
        <v>745</v>
      </c>
      <c r="N2173" s="784" t="s">
        <v>575</v>
      </c>
      <c r="P2173" t="s">
        <v>1887</v>
      </c>
      <c r="R2173" t="s">
        <v>152</v>
      </c>
      <c r="S2173" t="s">
        <v>146</v>
      </c>
      <c r="U2173">
        <v>0</v>
      </c>
      <c r="V2173" t="s">
        <v>544</v>
      </c>
      <c r="W2173" t="s">
        <v>575</v>
      </c>
      <c r="X2173" s="784">
        <v>32831598153.796387</v>
      </c>
    </row>
    <row r="2174" spans="1:24">
      <c r="A2174" t="s">
        <v>358</v>
      </c>
      <c r="B2174" t="s">
        <v>637</v>
      </c>
      <c r="C2174" t="s">
        <v>241</v>
      </c>
      <c r="D2174" t="s">
        <v>126</v>
      </c>
      <c r="E2174" t="s">
        <v>377</v>
      </c>
      <c r="F2174" t="s">
        <v>310</v>
      </c>
      <c r="G2174" t="s">
        <v>338</v>
      </c>
      <c r="H2174" t="s">
        <v>104</v>
      </c>
      <c r="I2174" t="s">
        <v>743</v>
      </c>
      <c r="J2174" t="s">
        <v>379</v>
      </c>
      <c r="K2174" t="s">
        <v>546</v>
      </c>
      <c r="L2174" s="784" t="s">
        <v>575</v>
      </c>
      <c r="M2174" t="s">
        <v>745</v>
      </c>
      <c r="N2174" s="784" t="s">
        <v>575</v>
      </c>
      <c r="P2174" t="s">
        <v>1887</v>
      </c>
      <c r="R2174" t="s">
        <v>150</v>
      </c>
      <c r="S2174" t="s">
        <v>145</v>
      </c>
      <c r="U2174">
        <v>0</v>
      </c>
      <c r="V2174" t="s">
        <v>541</v>
      </c>
      <c r="W2174" t="s">
        <v>542</v>
      </c>
      <c r="X2174" s="784">
        <v>12329056.093798399</v>
      </c>
    </row>
    <row r="2175" spans="1:24">
      <c r="A2175" t="s">
        <v>358</v>
      </c>
      <c r="B2175" t="s">
        <v>638</v>
      </c>
      <c r="C2175" t="s">
        <v>242</v>
      </c>
      <c r="D2175" t="s">
        <v>127</v>
      </c>
      <c r="E2175" t="s">
        <v>377</v>
      </c>
      <c r="F2175" t="s">
        <v>310</v>
      </c>
      <c r="G2175" t="s">
        <v>338</v>
      </c>
      <c r="H2175" t="s">
        <v>104</v>
      </c>
      <c r="I2175" t="s">
        <v>743</v>
      </c>
      <c r="J2175" t="s">
        <v>379</v>
      </c>
      <c r="K2175" t="s">
        <v>546</v>
      </c>
      <c r="L2175" s="784">
        <v>0</v>
      </c>
      <c r="M2175" t="s">
        <v>745</v>
      </c>
      <c r="N2175" s="784" t="s">
        <v>575</v>
      </c>
      <c r="P2175" t="s">
        <v>1887</v>
      </c>
      <c r="R2175" t="s">
        <v>152</v>
      </c>
      <c r="S2175" t="s">
        <v>145</v>
      </c>
      <c r="U2175">
        <v>0</v>
      </c>
      <c r="V2175" t="s">
        <v>544</v>
      </c>
      <c r="W2175" t="s">
        <v>558</v>
      </c>
      <c r="X2175" s="784">
        <v>426639742.85328001</v>
      </c>
    </row>
    <row r="2176" spans="1:24">
      <c r="A2176" t="s">
        <v>358</v>
      </c>
      <c r="B2176" t="s">
        <v>639</v>
      </c>
      <c r="C2176" t="s">
        <v>243</v>
      </c>
      <c r="D2176" t="s">
        <v>126</v>
      </c>
      <c r="E2176" t="s">
        <v>377</v>
      </c>
      <c r="F2176" t="s">
        <v>310</v>
      </c>
      <c r="G2176" t="s">
        <v>338</v>
      </c>
      <c r="H2176" t="s">
        <v>104</v>
      </c>
      <c r="I2176" t="s">
        <v>743</v>
      </c>
      <c r="J2176" t="s">
        <v>379</v>
      </c>
      <c r="K2176" t="s">
        <v>546</v>
      </c>
      <c r="L2176" s="784">
        <v>0</v>
      </c>
      <c r="M2176" t="s">
        <v>745</v>
      </c>
      <c r="N2176" s="784" t="s">
        <v>575</v>
      </c>
      <c r="P2176" t="s">
        <v>1887</v>
      </c>
      <c r="R2176" t="s">
        <v>150</v>
      </c>
      <c r="S2176" t="s">
        <v>145</v>
      </c>
      <c r="U2176">
        <v>0</v>
      </c>
      <c r="V2176" t="s">
        <v>544</v>
      </c>
      <c r="W2176" t="s">
        <v>548</v>
      </c>
      <c r="X2176" s="784">
        <v>288519671.85870522</v>
      </c>
    </row>
    <row r="2177" spans="1:24">
      <c r="A2177" t="s">
        <v>358</v>
      </c>
      <c r="B2177" t="s">
        <v>640</v>
      </c>
      <c r="C2177" t="s">
        <v>244</v>
      </c>
      <c r="D2177" t="s">
        <v>127</v>
      </c>
      <c r="E2177" t="s">
        <v>377</v>
      </c>
      <c r="F2177" t="s">
        <v>310</v>
      </c>
      <c r="G2177" t="s">
        <v>338</v>
      </c>
      <c r="H2177" t="s">
        <v>104</v>
      </c>
      <c r="I2177" t="s">
        <v>743</v>
      </c>
      <c r="J2177" t="s">
        <v>379</v>
      </c>
      <c r="K2177" t="s">
        <v>546</v>
      </c>
      <c r="L2177" s="784">
        <v>0</v>
      </c>
      <c r="M2177" t="s">
        <v>745</v>
      </c>
      <c r="N2177" s="784" t="s">
        <v>575</v>
      </c>
      <c r="P2177" t="s">
        <v>1887</v>
      </c>
      <c r="R2177" t="s">
        <v>152</v>
      </c>
      <c r="S2177" t="s">
        <v>146</v>
      </c>
      <c r="U2177">
        <v>0</v>
      </c>
      <c r="V2177" t="s">
        <v>544</v>
      </c>
      <c r="W2177" t="s">
        <v>546</v>
      </c>
      <c r="X2177" s="784">
        <v>275606560.78491527</v>
      </c>
    </row>
    <row r="2178" spans="1:24">
      <c r="A2178" t="s">
        <v>358</v>
      </c>
      <c r="B2178" t="s">
        <v>641</v>
      </c>
      <c r="C2178" t="s">
        <v>245</v>
      </c>
      <c r="D2178" t="s">
        <v>131</v>
      </c>
      <c r="E2178" t="s">
        <v>377</v>
      </c>
      <c r="F2178" t="s">
        <v>310</v>
      </c>
      <c r="G2178" t="s">
        <v>338</v>
      </c>
      <c r="H2178" t="s">
        <v>104</v>
      </c>
      <c r="I2178" t="s">
        <v>743</v>
      </c>
      <c r="J2178" t="s">
        <v>379</v>
      </c>
      <c r="K2178" t="s">
        <v>546</v>
      </c>
      <c r="L2178" s="784">
        <v>50000</v>
      </c>
      <c r="M2178" t="s">
        <v>745</v>
      </c>
      <c r="N2178" s="784" t="s">
        <v>575</v>
      </c>
      <c r="P2178" t="s">
        <v>1887</v>
      </c>
      <c r="R2178" t="s">
        <v>150</v>
      </c>
      <c r="S2178" t="s">
        <v>145</v>
      </c>
      <c r="U2178">
        <v>0</v>
      </c>
      <c r="V2178" t="s">
        <v>544</v>
      </c>
      <c r="W2178" t="s">
        <v>546</v>
      </c>
      <c r="X2178" s="784">
        <v>2530937679.3725696</v>
      </c>
    </row>
    <row r="2179" spans="1:24">
      <c r="A2179" t="s">
        <v>358</v>
      </c>
      <c r="B2179" t="s">
        <v>642</v>
      </c>
      <c r="C2179" t="s">
        <v>246</v>
      </c>
      <c r="D2179" t="s">
        <v>128</v>
      </c>
      <c r="E2179" t="s">
        <v>377</v>
      </c>
      <c r="F2179" t="s">
        <v>310</v>
      </c>
      <c r="G2179" t="s">
        <v>338</v>
      </c>
      <c r="H2179" t="s">
        <v>104</v>
      </c>
      <c r="I2179" t="s">
        <v>743</v>
      </c>
      <c r="J2179" t="s">
        <v>379</v>
      </c>
      <c r="K2179" t="s">
        <v>546</v>
      </c>
      <c r="L2179" s="784">
        <v>1425000</v>
      </c>
      <c r="M2179" t="s">
        <v>745</v>
      </c>
      <c r="N2179" s="784" t="s">
        <v>575</v>
      </c>
      <c r="P2179" t="s">
        <v>1887</v>
      </c>
      <c r="R2179" t="s">
        <v>148</v>
      </c>
      <c r="S2179" t="s">
        <v>145</v>
      </c>
      <c r="U2179">
        <v>0</v>
      </c>
      <c r="V2179" t="s">
        <v>544</v>
      </c>
      <c r="W2179" t="s">
        <v>583</v>
      </c>
      <c r="X2179" s="784">
        <v>251432156.86255455</v>
      </c>
    </row>
    <row r="2180" spans="1:24">
      <c r="A2180" t="s">
        <v>358</v>
      </c>
      <c r="B2180" t="s">
        <v>643</v>
      </c>
      <c r="C2180" t="s">
        <v>247</v>
      </c>
      <c r="D2180" t="s">
        <v>126</v>
      </c>
      <c r="E2180" t="s">
        <v>377</v>
      </c>
      <c r="F2180" t="s">
        <v>310</v>
      </c>
      <c r="G2180" t="s">
        <v>338</v>
      </c>
      <c r="H2180" t="s">
        <v>104</v>
      </c>
      <c r="I2180" t="s">
        <v>743</v>
      </c>
      <c r="J2180" t="s">
        <v>379</v>
      </c>
      <c r="K2180" t="s">
        <v>546</v>
      </c>
      <c r="L2180" s="784">
        <v>295000</v>
      </c>
      <c r="M2180" t="s">
        <v>745</v>
      </c>
      <c r="N2180" s="784" t="s">
        <v>575</v>
      </c>
      <c r="P2180" t="s">
        <v>1887</v>
      </c>
      <c r="R2180" t="s">
        <v>150</v>
      </c>
      <c r="S2180" t="s">
        <v>145</v>
      </c>
      <c r="U2180">
        <v>0</v>
      </c>
      <c r="V2180" t="s">
        <v>544</v>
      </c>
      <c r="W2180" t="s">
        <v>558</v>
      </c>
      <c r="X2180" s="784">
        <v>471534500.60109437</v>
      </c>
    </row>
    <row r="2181" spans="1:24">
      <c r="A2181" t="s">
        <v>358</v>
      </c>
      <c r="B2181" t="s">
        <v>644</v>
      </c>
      <c r="C2181" t="s">
        <v>248</v>
      </c>
      <c r="D2181" t="s">
        <v>128</v>
      </c>
      <c r="E2181" t="s">
        <v>377</v>
      </c>
      <c r="F2181" t="s">
        <v>310</v>
      </c>
      <c r="G2181" t="s">
        <v>338</v>
      </c>
      <c r="H2181" t="s">
        <v>104</v>
      </c>
      <c r="I2181" t="s">
        <v>743</v>
      </c>
      <c r="J2181" t="s">
        <v>379</v>
      </c>
      <c r="K2181" t="s">
        <v>546</v>
      </c>
      <c r="L2181" s="784">
        <v>0</v>
      </c>
      <c r="M2181" t="s">
        <v>745</v>
      </c>
      <c r="N2181" s="784" t="s">
        <v>575</v>
      </c>
      <c r="P2181" t="s">
        <v>1887</v>
      </c>
      <c r="R2181" t="s">
        <v>152</v>
      </c>
      <c r="S2181" t="s">
        <v>146</v>
      </c>
      <c r="U2181">
        <v>0</v>
      </c>
      <c r="V2181" t="s">
        <v>544</v>
      </c>
      <c r="W2181" t="s">
        <v>575</v>
      </c>
      <c r="X2181" s="784">
        <v>531677611.80447447</v>
      </c>
    </row>
    <row r="2182" spans="1:24">
      <c r="A2182" t="s">
        <v>358</v>
      </c>
      <c r="B2182" t="s">
        <v>645</v>
      </c>
      <c r="C2182" t="s">
        <v>249</v>
      </c>
      <c r="D2182" t="s">
        <v>126</v>
      </c>
      <c r="E2182" t="s">
        <v>377</v>
      </c>
      <c r="F2182" t="s">
        <v>310</v>
      </c>
      <c r="G2182" t="s">
        <v>338</v>
      </c>
      <c r="H2182" t="s">
        <v>104</v>
      </c>
      <c r="I2182" t="s">
        <v>743</v>
      </c>
      <c r="J2182" t="s">
        <v>379</v>
      </c>
      <c r="K2182" t="s">
        <v>546</v>
      </c>
      <c r="L2182" s="784" t="s">
        <v>575</v>
      </c>
      <c r="M2182" t="s">
        <v>745</v>
      </c>
      <c r="N2182" s="784" t="s">
        <v>575</v>
      </c>
      <c r="P2182" t="s">
        <v>1887</v>
      </c>
      <c r="R2182" t="s">
        <v>550</v>
      </c>
      <c r="S2182" t="s">
        <v>146</v>
      </c>
      <c r="U2182">
        <v>0</v>
      </c>
      <c r="V2182" t="s">
        <v>541</v>
      </c>
      <c r="W2182" t="s">
        <v>575</v>
      </c>
      <c r="X2182" s="784">
        <v>8528751.6418357007</v>
      </c>
    </row>
    <row r="2183" spans="1:24">
      <c r="A2183" t="s">
        <v>358</v>
      </c>
      <c r="B2183" t="s">
        <v>646</v>
      </c>
      <c r="C2183" t="s">
        <v>250</v>
      </c>
      <c r="D2183" t="s">
        <v>132</v>
      </c>
      <c r="E2183" t="s">
        <v>377</v>
      </c>
      <c r="F2183" t="s">
        <v>310</v>
      </c>
      <c r="G2183" t="s">
        <v>338</v>
      </c>
      <c r="H2183" t="s">
        <v>104</v>
      </c>
      <c r="I2183" t="s">
        <v>743</v>
      </c>
      <c r="J2183" t="s">
        <v>379</v>
      </c>
      <c r="K2183" t="s">
        <v>546</v>
      </c>
      <c r="L2183" s="784">
        <v>295600</v>
      </c>
      <c r="M2183" t="s">
        <v>745</v>
      </c>
      <c r="N2183" s="784" t="s">
        <v>575</v>
      </c>
      <c r="P2183" t="s">
        <v>1887</v>
      </c>
      <c r="R2183" t="s">
        <v>150</v>
      </c>
      <c r="S2183" t="s">
        <v>145</v>
      </c>
      <c r="U2183">
        <v>0</v>
      </c>
      <c r="V2183" t="s">
        <v>544</v>
      </c>
      <c r="W2183" t="s">
        <v>558</v>
      </c>
      <c r="X2183" s="784">
        <v>407084543.19089872</v>
      </c>
    </row>
    <row r="2184" spans="1:24">
      <c r="A2184" t="s">
        <v>358</v>
      </c>
      <c r="B2184" t="s">
        <v>647</v>
      </c>
      <c r="C2184" t="s">
        <v>251</v>
      </c>
      <c r="D2184" t="s">
        <v>130</v>
      </c>
      <c r="E2184" t="s">
        <v>377</v>
      </c>
      <c r="F2184" t="s">
        <v>310</v>
      </c>
      <c r="G2184" t="s">
        <v>338</v>
      </c>
      <c r="H2184" t="s">
        <v>104</v>
      </c>
      <c r="I2184" t="s">
        <v>743</v>
      </c>
      <c r="J2184" t="s">
        <v>379</v>
      </c>
      <c r="K2184" t="s">
        <v>546</v>
      </c>
      <c r="L2184" s="784">
        <v>390000</v>
      </c>
      <c r="M2184" t="s">
        <v>745</v>
      </c>
      <c r="N2184" s="784" t="s">
        <v>575</v>
      </c>
      <c r="P2184" t="s">
        <v>1887</v>
      </c>
      <c r="R2184" t="s">
        <v>150</v>
      </c>
      <c r="S2184" t="s">
        <v>145</v>
      </c>
      <c r="U2184">
        <v>0</v>
      </c>
      <c r="V2184" t="s">
        <v>544</v>
      </c>
      <c r="W2184" t="s">
        <v>562</v>
      </c>
      <c r="X2184" s="784">
        <v>671998341.93592453</v>
      </c>
    </row>
    <row r="2185" spans="1:24">
      <c r="A2185" t="s">
        <v>358</v>
      </c>
      <c r="B2185" t="s">
        <v>648</v>
      </c>
      <c r="C2185" t="s">
        <v>252</v>
      </c>
      <c r="D2185" t="s">
        <v>129</v>
      </c>
      <c r="E2185" t="s">
        <v>377</v>
      </c>
      <c r="F2185" t="s">
        <v>310</v>
      </c>
      <c r="G2185" t="s">
        <v>338</v>
      </c>
      <c r="H2185" t="s">
        <v>104</v>
      </c>
      <c r="I2185" t="s">
        <v>743</v>
      </c>
      <c r="J2185" t="s">
        <v>379</v>
      </c>
      <c r="K2185" t="s">
        <v>546</v>
      </c>
      <c r="L2185" s="784">
        <v>278323.45</v>
      </c>
      <c r="M2185" t="s">
        <v>745</v>
      </c>
      <c r="N2185" s="784" t="s">
        <v>575</v>
      </c>
      <c r="P2185" t="s">
        <v>1887</v>
      </c>
      <c r="R2185" t="s">
        <v>148</v>
      </c>
      <c r="S2185" t="s">
        <v>145</v>
      </c>
      <c r="U2185">
        <v>1</v>
      </c>
      <c r="V2185" t="s">
        <v>544</v>
      </c>
      <c r="W2185" t="s">
        <v>562</v>
      </c>
      <c r="X2185" s="784">
        <v>226203289.67158964</v>
      </c>
    </row>
    <row r="2186" spans="1:24">
      <c r="A2186" t="s">
        <v>358</v>
      </c>
      <c r="B2186" t="s">
        <v>649</v>
      </c>
      <c r="C2186" t="s">
        <v>253</v>
      </c>
      <c r="D2186" t="s">
        <v>129</v>
      </c>
      <c r="E2186" t="s">
        <v>377</v>
      </c>
      <c r="F2186" t="s">
        <v>310</v>
      </c>
      <c r="G2186" t="s">
        <v>338</v>
      </c>
      <c r="H2186" t="s">
        <v>104</v>
      </c>
      <c r="I2186" t="s">
        <v>743</v>
      </c>
      <c r="J2186" t="s">
        <v>379</v>
      </c>
      <c r="K2186" t="s">
        <v>546</v>
      </c>
      <c r="L2186" s="784">
        <v>1459081</v>
      </c>
      <c r="M2186" t="s">
        <v>745</v>
      </c>
      <c r="N2186" s="784" t="s">
        <v>575</v>
      </c>
      <c r="P2186" t="s">
        <v>1887</v>
      </c>
      <c r="R2186" t="s">
        <v>150</v>
      </c>
      <c r="S2186" t="s">
        <v>145</v>
      </c>
      <c r="U2186">
        <v>3</v>
      </c>
      <c r="V2186" t="s">
        <v>544</v>
      </c>
      <c r="W2186" t="s">
        <v>548</v>
      </c>
      <c r="X2186" s="784">
        <v>2438881113.1244688</v>
      </c>
    </row>
    <row r="2187" spans="1:24">
      <c r="A2187" t="s">
        <v>358</v>
      </c>
      <c r="B2187" t="s">
        <v>650</v>
      </c>
      <c r="C2187" t="s">
        <v>254</v>
      </c>
      <c r="D2187" t="s">
        <v>127</v>
      </c>
      <c r="E2187" t="s">
        <v>377</v>
      </c>
      <c r="F2187" t="s">
        <v>310</v>
      </c>
      <c r="G2187" t="s">
        <v>338</v>
      </c>
      <c r="H2187" t="s">
        <v>104</v>
      </c>
      <c r="I2187" t="s">
        <v>743</v>
      </c>
      <c r="J2187" t="s">
        <v>379</v>
      </c>
      <c r="K2187" t="s">
        <v>546</v>
      </c>
      <c r="L2187" s="784">
        <v>0</v>
      </c>
      <c r="M2187" t="s">
        <v>745</v>
      </c>
      <c r="N2187" s="784" t="s">
        <v>575</v>
      </c>
      <c r="P2187" t="s">
        <v>1887</v>
      </c>
      <c r="R2187" t="s">
        <v>152</v>
      </c>
      <c r="S2187" t="s">
        <v>146</v>
      </c>
      <c r="U2187">
        <v>0</v>
      </c>
      <c r="V2187" t="s">
        <v>544</v>
      </c>
      <c r="W2187" t="s">
        <v>575</v>
      </c>
      <c r="X2187" s="784">
        <v>476517795.73174149</v>
      </c>
    </row>
    <row r="2188" spans="1:24">
      <c r="A2188" t="s">
        <v>358</v>
      </c>
      <c r="B2188" t="s">
        <v>651</v>
      </c>
      <c r="C2188" t="s">
        <v>255</v>
      </c>
      <c r="D2188" t="s">
        <v>132</v>
      </c>
      <c r="E2188" t="s">
        <v>377</v>
      </c>
      <c r="F2188" t="s">
        <v>310</v>
      </c>
      <c r="G2188" t="s">
        <v>338</v>
      </c>
      <c r="H2188" t="s">
        <v>104</v>
      </c>
      <c r="I2188" t="s">
        <v>743</v>
      </c>
      <c r="J2188" t="s">
        <v>379</v>
      </c>
      <c r="K2188" t="s">
        <v>546</v>
      </c>
      <c r="L2188" s="784">
        <v>870000</v>
      </c>
      <c r="M2188" t="s">
        <v>745</v>
      </c>
      <c r="N2188" s="784" t="s">
        <v>575</v>
      </c>
      <c r="P2188" t="s">
        <v>1887</v>
      </c>
      <c r="R2188" t="s">
        <v>150</v>
      </c>
      <c r="S2188" t="s">
        <v>145</v>
      </c>
      <c r="U2188">
        <v>0</v>
      </c>
      <c r="V2188" t="s">
        <v>544</v>
      </c>
      <c r="W2188" t="s">
        <v>548</v>
      </c>
      <c r="X2188" s="784">
        <v>3233351297.7679496</v>
      </c>
    </row>
    <row r="2189" spans="1:24">
      <c r="A2189" t="s">
        <v>358</v>
      </c>
      <c r="B2189" t="s">
        <v>652</v>
      </c>
      <c r="C2189" t="s">
        <v>256</v>
      </c>
      <c r="D2189" t="s">
        <v>130</v>
      </c>
      <c r="E2189" t="s">
        <v>377</v>
      </c>
      <c r="F2189" t="s">
        <v>310</v>
      </c>
      <c r="G2189" t="s">
        <v>338</v>
      </c>
      <c r="H2189" t="s">
        <v>104</v>
      </c>
      <c r="I2189" t="s">
        <v>743</v>
      </c>
      <c r="J2189" t="s">
        <v>379</v>
      </c>
      <c r="K2189" t="s">
        <v>546</v>
      </c>
      <c r="L2189" s="784" t="s">
        <v>575</v>
      </c>
      <c r="M2189" t="s">
        <v>745</v>
      </c>
      <c r="N2189" s="784" t="s">
        <v>575</v>
      </c>
      <c r="P2189" t="s">
        <v>1887</v>
      </c>
      <c r="R2189" t="s">
        <v>550</v>
      </c>
      <c r="S2189" t="s">
        <v>146</v>
      </c>
      <c r="U2189">
        <v>0</v>
      </c>
      <c r="V2189" t="s">
        <v>541</v>
      </c>
      <c r="W2189" t="s">
        <v>575</v>
      </c>
      <c r="X2189" s="784">
        <v>18180646.808608256</v>
      </c>
    </row>
    <row r="2190" spans="1:24">
      <c r="A2190" t="s">
        <v>358</v>
      </c>
      <c r="B2190" t="s">
        <v>653</v>
      </c>
      <c r="C2190" t="s">
        <v>257</v>
      </c>
      <c r="D2190" t="s">
        <v>130</v>
      </c>
      <c r="E2190" t="s">
        <v>377</v>
      </c>
      <c r="F2190" t="s">
        <v>310</v>
      </c>
      <c r="G2190" t="s">
        <v>338</v>
      </c>
      <c r="H2190" t="s">
        <v>104</v>
      </c>
      <c r="I2190" t="s">
        <v>743</v>
      </c>
      <c r="J2190" t="s">
        <v>379</v>
      </c>
      <c r="K2190" t="s">
        <v>546</v>
      </c>
      <c r="L2190" s="784">
        <v>0</v>
      </c>
      <c r="M2190" t="s">
        <v>745</v>
      </c>
      <c r="N2190" s="784" t="s">
        <v>575</v>
      </c>
      <c r="P2190" t="s">
        <v>1887</v>
      </c>
      <c r="R2190" t="s">
        <v>152</v>
      </c>
      <c r="S2190" t="s">
        <v>146</v>
      </c>
      <c r="U2190">
        <v>0</v>
      </c>
      <c r="V2190" t="s">
        <v>544</v>
      </c>
      <c r="W2190" t="s">
        <v>546</v>
      </c>
      <c r="X2190" s="784">
        <v>3020530707.3485303</v>
      </c>
    </row>
    <row r="2191" spans="1:24">
      <c r="A2191" t="s">
        <v>358</v>
      </c>
      <c r="B2191" t="s">
        <v>654</v>
      </c>
      <c r="C2191" t="s">
        <v>258</v>
      </c>
      <c r="D2191" t="s">
        <v>126</v>
      </c>
      <c r="E2191" t="s">
        <v>377</v>
      </c>
      <c r="F2191" t="s">
        <v>310</v>
      </c>
      <c r="G2191" t="s">
        <v>338</v>
      </c>
      <c r="H2191" t="s">
        <v>104</v>
      </c>
      <c r="I2191" t="s">
        <v>743</v>
      </c>
      <c r="J2191" t="s">
        <v>379</v>
      </c>
      <c r="K2191" t="s">
        <v>546</v>
      </c>
      <c r="L2191" s="784">
        <v>0</v>
      </c>
      <c r="M2191" t="s">
        <v>745</v>
      </c>
      <c r="N2191" s="784" t="s">
        <v>575</v>
      </c>
      <c r="P2191" t="s">
        <v>1887</v>
      </c>
      <c r="R2191" t="s">
        <v>150</v>
      </c>
      <c r="S2191" t="s">
        <v>145</v>
      </c>
      <c r="U2191">
        <v>1</v>
      </c>
      <c r="V2191" t="s">
        <v>541</v>
      </c>
      <c r="W2191" t="s">
        <v>542</v>
      </c>
      <c r="X2191" s="784">
        <v>384406316.46074712</v>
      </c>
    </row>
    <row r="2192" spans="1:24">
      <c r="A2192" t="s">
        <v>358</v>
      </c>
      <c r="B2192" t="s">
        <v>655</v>
      </c>
      <c r="C2192" t="s">
        <v>259</v>
      </c>
      <c r="D2192" t="s">
        <v>130</v>
      </c>
      <c r="E2192" t="s">
        <v>377</v>
      </c>
      <c r="F2192" t="s">
        <v>310</v>
      </c>
      <c r="G2192" t="s">
        <v>338</v>
      </c>
      <c r="H2192" t="s">
        <v>104</v>
      </c>
      <c r="I2192" t="s">
        <v>743</v>
      </c>
      <c r="J2192" t="s">
        <v>379</v>
      </c>
      <c r="K2192" t="s">
        <v>546</v>
      </c>
      <c r="L2192" s="784">
        <v>0</v>
      </c>
      <c r="M2192" t="s">
        <v>745</v>
      </c>
      <c r="N2192" s="784" t="s">
        <v>575</v>
      </c>
      <c r="P2192" t="s">
        <v>1887</v>
      </c>
      <c r="R2192" t="s">
        <v>152</v>
      </c>
      <c r="S2192" t="s">
        <v>146</v>
      </c>
      <c r="U2192">
        <v>0</v>
      </c>
      <c r="V2192" t="s">
        <v>544</v>
      </c>
      <c r="W2192" t="s">
        <v>575</v>
      </c>
      <c r="X2192" s="784">
        <v>1218747108.9554784</v>
      </c>
    </row>
    <row r="2193" spans="1:24">
      <c r="A2193" t="s">
        <v>358</v>
      </c>
      <c r="B2193" t="s">
        <v>656</v>
      </c>
      <c r="C2193" t="s">
        <v>260</v>
      </c>
      <c r="D2193" t="s">
        <v>130</v>
      </c>
      <c r="E2193" t="s">
        <v>377</v>
      </c>
      <c r="F2193" t="s">
        <v>310</v>
      </c>
      <c r="G2193" t="s">
        <v>338</v>
      </c>
      <c r="H2193" t="s">
        <v>104</v>
      </c>
      <c r="I2193" t="s">
        <v>743</v>
      </c>
      <c r="J2193" t="s">
        <v>379</v>
      </c>
      <c r="K2193" t="s">
        <v>546</v>
      </c>
      <c r="L2193" s="784">
        <v>0</v>
      </c>
      <c r="M2193" t="s">
        <v>745</v>
      </c>
      <c r="N2193" s="784" t="s">
        <v>575</v>
      </c>
      <c r="P2193" t="s">
        <v>1887</v>
      </c>
      <c r="R2193" t="s">
        <v>152</v>
      </c>
      <c r="S2193" t="s">
        <v>146</v>
      </c>
      <c r="U2193">
        <v>0</v>
      </c>
      <c r="V2193" t="s">
        <v>544</v>
      </c>
      <c r="W2193" t="s">
        <v>575</v>
      </c>
      <c r="X2193" s="784">
        <v>7392665952.5895758</v>
      </c>
    </row>
    <row r="2194" spans="1:24">
      <c r="A2194" t="s">
        <v>358</v>
      </c>
      <c r="B2194" t="s">
        <v>657</v>
      </c>
      <c r="C2194" t="s">
        <v>261</v>
      </c>
      <c r="D2194" t="s">
        <v>126</v>
      </c>
      <c r="E2194" t="s">
        <v>377</v>
      </c>
      <c r="F2194" t="s">
        <v>310</v>
      </c>
      <c r="G2194" t="s">
        <v>338</v>
      </c>
      <c r="H2194" t="s">
        <v>104</v>
      </c>
      <c r="I2194" t="s">
        <v>743</v>
      </c>
      <c r="J2194" t="s">
        <v>379</v>
      </c>
      <c r="K2194" t="s">
        <v>546</v>
      </c>
      <c r="L2194" s="784">
        <v>45600</v>
      </c>
      <c r="M2194" t="s">
        <v>745</v>
      </c>
      <c r="N2194" s="784" t="s">
        <v>575</v>
      </c>
      <c r="P2194" t="s">
        <v>1887</v>
      </c>
      <c r="R2194" t="s">
        <v>150</v>
      </c>
      <c r="S2194" t="s">
        <v>145</v>
      </c>
      <c r="U2194">
        <v>0</v>
      </c>
      <c r="V2194" t="s">
        <v>544</v>
      </c>
      <c r="W2194" t="s">
        <v>546</v>
      </c>
      <c r="X2194" s="784">
        <v>4754985988.6004429</v>
      </c>
    </row>
    <row r="2195" spans="1:24">
      <c r="A2195" t="s">
        <v>358</v>
      </c>
      <c r="B2195" t="s">
        <v>658</v>
      </c>
      <c r="C2195" t="s">
        <v>262</v>
      </c>
      <c r="D2195" t="s">
        <v>127</v>
      </c>
      <c r="E2195" t="s">
        <v>377</v>
      </c>
      <c r="F2195" t="s">
        <v>310</v>
      </c>
      <c r="G2195" t="s">
        <v>338</v>
      </c>
      <c r="H2195" t="s">
        <v>104</v>
      </c>
      <c r="I2195" t="s">
        <v>743</v>
      </c>
      <c r="J2195" t="s">
        <v>379</v>
      </c>
      <c r="K2195" t="s">
        <v>546</v>
      </c>
      <c r="L2195" s="784" t="s">
        <v>575</v>
      </c>
      <c r="M2195" t="s">
        <v>745</v>
      </c>
      <c r="N2195" s="784" t="s">
        <v>575</v>
      </c>
      <c r="P2195" t="s">
        <v>1887</v>
      </c>
      <c r="R2195" t="s">
        <v>550</v>
      </c>
      <c r="S2195" t="s">
        <v>146</v>
      </c>
      <c r="U2195">
        <v>0</v>
      </c>
      <c r="V2195" t="s">
        <v>544</v>
      </c>
      <c r="W2195" t="s">
        <v>575</v>
      </c>
      <c r="X2195" s="784">
        <v>26422210443.037273</v>
      </c>
    </row>
    <row r="2196" spans="1:24">
      <c r="A2196" t="s">
        <v>358</v>
      </c>
      <c r="B2196" t="s">
        <v>659</v>
      </c>
      <c r="C2196" t="s">
        <v>151</v>
      </c>
      <c r="D2196" t="s">
        <v>127</v>
      </c>
      <c r="E2196" t="s">
        <v>377</v>
      </c>
      <c r="F2196" t="s">
        <v>310</v>
      </c>
      <c r="G2196" t="s">
        <v>338</v>
      </c>
      <c r="H2196" t="s">
        <v>104</v>
      </c>
      <c r="I2196" t="s">
        <v>743</v>
      </c>
      <c r="J2196" t="s">
        <v>379</v>
      </c>
      <c r="K2196" t="s">
        <v>546</v>
      </c>
      <c r="L2196" s="784">
        <v>0</v>
      </c>
      <c r="M2196" t="s">
        <v>745</v>
      </c>
      <c r="N2196" s="784" t="s">
        <v>575</v>
      </c>
      <c r="P2196" t="s">
        <v>1887</v>
      </c>
      <c r="R2196" t="s">
        <v>152</v>
      </c>
      <c r="S2196" t="s">
        <v>146</v>
      </c>
      <c r="U2196">
        <v>0</v>
      </c>
      <c r="V2196" t="s">
        <v>544</v>
      </c>
      <c r="W2196" t="s">
        <v>575</v>
      </c>
      <c r="X2196" s="784">
        <v>10696495313.15033</v>
      </c>
    </row>
    <row r="2197" spans="1:24">
      <c r="A2197" t="s">
        <v>358</v>
      </c>
      <c r="B2197" t="s">
        <v>660</v>
      </c>
      <c r="C2197" t="s">
        <v>263</v>
      </c>
      <c r="D2197" t="s">
        <v>127</v>
      </c>
      <c r="E2197" t="s">
        <v>377</v>
      </c>
      <c r="F2197" t="s">
        <v>310</v>
      </c>
      <c r="G2197" t="s">
        <v>338</v>
      </c>
      <c r="H2197" t="s">
        <v>104</v>
      </c>
      <c r="I2197" t="s">
        <v>743</v>
      </c>
      <c r="J2197" t="s">
        <v>379</v>
      </c>
      <c r="K2197" t="s">
        <v>546</v>
      </c>
      <c r="L2197" s="784" t="s">
        <v>575</v>
      </c>
      <c r="M2197" t="s">
        <v>745</v>
      </c>
      <c r="N2197" s="784" t="s">
        <v>575</v>
      </c>
      <c r="P2197" t="s">
        <v>1887</v>
      </c>
      <c r="R2197" t="s">
        <v>152</v>
      </c>
      <c r="S2197" t="s">
        <v>146</v>
      </c>
      <c r="U2197">
        <v>0</v>
      </c>
      <c r="V2197" t="s">
        <v>544</v>
      </c>
      <c r="W2197" t="s">
        <v>575</v>
      </c>
      <c r="X2197" s="784">
        <v>52769713433.240509</v>
      </c>
    </row>
    <row r="2198" spans="1:24">
      <c r="A2198" t="s">
        <v>358</v>
      </c>
      <c r="B2198" t="s">
        <v>661</v>
      </c>
      <c r="C2198" t="s">
        <v>264</v>
      </c>
      <c r="D2198" t="s">
        <v>128</v>
      </c>
      <c r="E2198" t="s">
        <v>377</v>
      </c>
      <c r="F2198" t="s">
        <v>310</v>
      </c>
      <c r="G2198" t="s">
        <v>338</v>
      </c>
      <c r="H2198" t="s">
        <v>104</v>
      </c>
      <c r="I2198" t="s">
        <v>743</v>
      </c>
      <c r="J2198" t="s">
        <v>379</v>
      </c>
      <c r="K2198" t="s">
        <v>546</v>
      </c>
      <c r="L2198" s="784">
        <v>200000</v>
      </c>
      <c r="M2198" t="s">
        <v>745</v>
      </c>
      <c r="N2198" s="784" t="s">
        <v>575</v>
      </c>
      <c r="P2198" t="s">
        <v>1887</v>
      </c>
      <c r="R2198" t="s">
        <v>148</v>
      </c>
      <c r="S2198" t="s">
        <v>145</v>
      </c>
      <c r="U2198">
        <v>0</v>
      </c>
      <c r="V2198" t="s">
        <v>544</v>
      </c>
      <c r="W2198" t="s">
        <v>562</v>
      </c>
      <c r="X2198" s="784">
        <v>225799814.51943746</v>
      </c>
    </row>
    <row r="2199" spans="1:24">
      <c r="A2199" t="s">
        <v>358</v>
      </c>
      <c r="B2199" t="s">
        <v>662</v>
      </c>
      <c r="C2199" t="s">
        <v>265</v>
      </c>
      <c r="D2199" t="s">
        <v>126</v>
      </c>
      <c r="E2199" t="s">
        <v>377</v>
      </c>
      <c r="F2199" t="s">
        <v>310</v>
      </c>
      <c r="G2199" t="s">
        <v>338</v>
      </c>
      <c r="H2199" t="s">
        <v>104</v>
      </c>
      <c r="I2199" t="s">
        <v>743</v>
      </c>
      <c r="J2199" t="s">
        <v>379</v>
      </c>
      <c r="K2199" t="s">
        <v>546</v>
      </c>
      <c r="L2199" s="784" t="s">
        <v>575</v>
      </c>
      <c r="M2199" t="s">
        <v>745</v>
      </c>
      <c r="N2199" s="784" t="s">
        <v>575</v>
      </c>
      <c r="P2199" t="s">
        <v>1887</v>
      </c>
      <c r="R2199" t="s">
        <v>150</v>
      </c>
      <c r="S2199" t="s">
        <v>145</v>
      </c>
      <c r="U2199">
        <v>0</v>
      </c>
      <c r="V2199" t="s">
        <v>541</v>
      </c>
      <c r="W2199" t="s">
        <v>542</v>
      </c>
      <c r="X2199" s="784">
        <v>32192988.027009469</v>
      </c>
    </row>
    <row r="2200" spans="1:24">
      <c r="A2200" t="s">
        <v>358</v>
      </c>
      <c r="B2200" t="s">
        <v>663</v>
      </c>
      <c r="C2200" t="s">
        <v>266</v>
      </c>
      <c r="D2200" t="s">
        <v>129</v>
      </c>
      <c r="E2200" t="s">
        <v>377</v>
      </c>
      <c r="F2200" t="s">
        <v>310</v>
      </c>
      <c r="G2200" t="s">
        <v>338</v>
      </c>
      <c r="H2200" t="s">
        <v>104</v>
      </c>
      <c r="I2200" t="s">
        <v>743</v>
      </c>
      <c r="J2200" t="s">
        <v>379</v>
      </c>
      <c r="K2200" t="s">
        <v>546</v>
      </c>
      <c r="L2200" s="784">
        <v>40000</v>
      </c>
      <c r="M2200" t="s">
        <v>745</v>
      </c>
      <c r="N2200" s="784" t="s">
        <v>575</v>
      </c>
      <c r="P2200" t="s">
        <v>1887</v>
      </c>
      <c r="R2200" t="s">
        <v>150</v>
      </c>
      <c r="S2200" t="s">
        <v>145</v>
      </c>
      <c r="U2200">
        <v>0</v>
      </c>
      <c r="V2200" t="s">
        <v>541</v>
      </c>
      <c r="W2200" t="s">
        <v>583</v>
      </c>
      <c r="X2200" s="784">
        <v>11633535.136477679</v>
      </c>
    </row>
    <row r="2201" spans="1:24">
      <c r="A2201" t="s">
        <v>358</v>
      </c>
      <c r="B2201" t="s">
        <v>664</v>
      </c>
      <c r="C2201" t="s">
        <v>267</v>
      </c>
      <c r="D2201" t="s">
        <v>129</v>
      </c>
      <c r="E2201" t="s">
        <v>377</v>
      </c>
      <c r="F2201" t="s">
        <v>310</v>
      </c>
      <c r="G2201" t="s">
        <v>338</v>
      </c>
      <c r="H2201" t="s">
        <v>104</v>
      </c>
      <c r="I2201" t="s">
        <v>743</v>
      </c>
      <c r="J2201" t="s">
        <v>379</v>
      </c>
      <c r="K2201" t="s">
        <v>546</v>
      </c>
      <c r="L2201" s="784">
        <v>225000</v>
      </c>
      <c r="M2201" t="s">
        <v>745</v>
      </c>
      <c r="N2201" s="784" t="s">
        <v>575</v>
      </c>
      <c r="P2201" t="s">
        <v>1887</v>
      </c>
      <c r="R2201" t="s">
        <v>150</v>
      </c>
      <c r="S2201" t="s">
        <v>145</v>
      </c>
      <c r="U2201">
        <v>2</v>
      </c>
      <c r="V2201" t="s">
        <v>544</v>
      </c>
      <c r="W2201" t="s">
        <v>562</v>
      </c>
      <c r="X2201" s="784">
        <v>222008693.93354639</v>
      </c>
    </row>
    <row r="2202" spans="1:24">
      <c r="A2202" t="s">
        <v>358</v>
      </c>
      <c r="B2202" t="s">
        <v>665</v>
      </c>
      <c r="C2202" t="s">
        <v>153</v>
      </c>
      <c r="D2202" t="s">
        <v>127</v>
      </c>
      <c r="E2202" t="s">
        <v>377</v>
      </c>
      <c r="F2202" t="s">
        <v>310</v>
      </c>
      <c r="G2202" t="s">
        <v>338</v>
      </c>
      <c r="H2202" t="s">
        <v>104</v>
      </c>
      <c r="I2202" t="s">
        <v>743</v>
      </c>
      <c r="J2202" t="s">
        <v>379</v>
      </c>
      <c r="K2202" t="s">
        <v>546</v>
      </c>
      <c r="L2202" s="784">
        <v>0</v>
      </c>
      <c r="M2202" t="s">
        <v>745</v>
      </c>
      <c r="N2202" s="784" t="s">
        <v>575</v>
      </c>
      <c r="P2202" t="s">
        <v>1887</v>
      </c>
      <c r="R2202" t="s">
        <v>152</v>
      </c>
      <c r="S2202" t="s">
        <v>146</v>
      </c>
      <c r="U2202">
        <v>0</v>
      </c>
      <c r="V2202" t="s">
        <v>544</v>
      </c>
      <c r="W2202" t="s">
        <v>575</v>
      </c>
      <c r="X2202" s="784">
        <v>2564993795.1894679</v>
      </c>
    </row>
    <row r="2203" spans="1:24">
      <c r="A2203" t="s">
        <v>358</v>
      </c>
      <c r="B2203" t="s">
        <v>666</v>
      </c>
      <c r="C2203" t="s">
        <v>268</v>
      </c>
      <c r="D2203" t="s">
        <v>128</v>
      </c>
      <c r="E2203" t="s">
        <v>377</v>
      </c>
      <c r="F2203" t="s">
        <v>310</v>
      </c>
      <c r="G2203" t="s">
        <v>338</v>
      </c>
      <c r="H2203" t="s">
        <v>104</v>
      </c>
      <c r="I2203" t="s">
        <v>743</v>
      </c>
      <c r="J2203" t="s">
        <v>379</v>
      </c>
      <c r="K2203" t="s">
        <v>546</v>
      </c>
      <c r="L2203" s="784" t="s">
        <v>575</v>
      </c>
      <c r="M2203" t="s">
        <v>745</v>
      </c>
      <c r="N2203" s="784" t="s">
        <v>575</v>
      </c>
      <c r="P2203" t="s">
        <v>1887</v>
      </c>
      <c r="R2203" t="s">
        <v>550</v>
      </c>
      <c r="S2203" t="s">
        <v>146</v>
      </c>
      <c r="U2203">
        <v>0</v>
      </c>
      <c r="V2203" t="s">
        <v>541</v>
      </c>
      <c r="W2203" t="s">
        <v>546</v>
      </c>
      <c r="X2203" s="784">
        <v>60237542.945069775</v>
      </c>
    </row>
    <row r="2204" spans="1:24">
      <c r="A2204" t="s">
        <v>358</v>
      </c>
      <c r="B2204" t="s">
        <v>667</v>
      </c>
      <c r="C2204" t="s">
        <v>269</v>
      </c>
      <c r="D2204" t="s">
        <v>129</v>
      </c>
      <c r="E2204" t="s">
        <v>377</v>
      </c>
      <c r="F2204" t="s">
        <v>310</v>
      </c>
      <c r="G2204" t="s">
        <v>338</v>
      </c>
      <c r="H2204" t="s">
        <v>104</v>
      </c>
      <c r="I2204" t="s">
        <v>743</v>
      </c>
      <c r="J2204" t="s">
        <v>379</v>
      </c>
      <c r="K2204" t="s">
        <v>546</v>
      </c>
      <c r="L2204" s="784">
        <v>215000</v>
      </c>
      <c r="M2204" t="s">
        <v>745</v>
      </c>
      <c r="N2204" s="784" t="s">
        <v>575</v>
      </c>
      <c r="P2204" t="s">
        <v>1887</v>
      </c>
      <c r="R2204" t="s">
        <v>148</v>
      </c>
      <c r="S2204" t="s">
        <v>145</v>
      </c>
      <c r="U2204">
        <v>0</v>
      </c>
      <c r="V2204" t="s">
        <v>544</v>
      </c>
      <c r="W2204" t="s">
        <v>542</v>
      </c>
      <c r="X2204" s="784">
        <v>63738640.538260505</v>
      </c>
    </row>
    <row r="2205" spans="1:24">
      <c r="A2205" t="s">
        <v>358</v>
      </c>
      <c r="B2205" t="s">
        <v>668</v>
      </c>
      <c r="C2205" t="s">
        <v>270</v>
      </c>
      <c r="D2205" t="s">
        <v>126</v>
      </c>
      <c r="E2205" t="s">
        <v>377</v>
      </c>
      <c r="F2205" t="s">
        <v>310</v>
      </c>
      <c r="G2205" t="s">
        <v>338</v>
      </c>
      <c r="H2205" t="s">
        <v>104</v>
      </c>
      <c r="I2205" t="s">
        <v>743</v>
      </c>
      <c r="J2205" t="s">
        <v>379</v>
      </c>
      <c r="K2205" t="s">
        <v>546</v>
      </c>
      <c r="L2205" s="784">
        <v>75200</v>
      </c>
      <c r="M2205" t="s">
        <v>745</v>
      </c>
      <c r="N2205" s="784" t="s">
        <v>575</v>
      </c>
      <c r="P2205" t="s">
        <v>1887</v>
      </c>
      <c r="R2205" t="s">
        <v>150</v>
      </c>
      <c r="S2205" t="s">
        <v>145</v>
      </c>
      <c r="U2205">
        <v>0</v>
      </c>
      <c r="V2205" t="s">
        <v>541</v>
      </c>
      <c r="W2205" t="s">
        <v>562</v>
      </c>
      <c r="X2205" s="784">
        <v>49012774.055630356</v>
      </c>
    </row>
    <row r="2206" spans="1:24">
      <c r="A2206" t="s">
        <v>358</v>
      </c>
      <c r="B2206" t="s">
        <v>669</v>
      </c>
      <c r="C2206" t="s">
        <v>271</v>
      </c>
      <c r="D2206" t="s">
        <v>128</v>
      </c>
      <c r="E2206" t="s">
        <v>377</v>
      </c>
      <c r="F2206" t="s">
        <v>310</v>
      </c>
      <c r="G2206" t="s">
        <v>338</v>
      </c>
      <c r="H2206" t="s">
        <v>104</v>
      </c>
      <c r="I2206" t="s">
        <v>743</v>
      </c>
      <c r="J2206" t="s">
        <v>379</v>
      </c>
      <c r="K2206" t="s">
        <v>546</v>
      </c>
      <c r="L2206" s="784">
        <v>3077980</v>
      </c>
      <c r="M2206" t="s">
        <v>745</v>
      </c>
      <c r="N2206" s="784" t="s">
        <v>575</v>
      </c>
      <c r="P2206" t="s">
        <v>1887</v>
      </c>
      <c r="R2206" t="s">
        <v>148</v>
      </c>
      <c r="S2206" t="s">
        <v>145</v>
      </c>
      <c r="U2206">
        <v>1</v>
      </c>
      <c r="V2206" t="s">
        <v>544</v>
      </c>
      <c r="W2206" t="s">
        <v>583</v>
      </c>
      <c r="X2206" s="784" t="s">
        <v>575</v>
      </c>
    </row>
    <row r="2207" spans="1:24">
      <c r="A2207" t="s">
        <v>358</v>
      </c>
      <c r="B2207" t="s">
        <v>670</v>
      </c>
      <c r="C2207" t="s">
        <v>272</v>
      </c>
      <c r="D2207" t="s">
        <v>128</v>
      </c>
      <c r="E2207" t="s">
        <v>377</v>
      </c>
      <c r="F2207" t="s">
        <v>310</v>
      </c>
      <c r="G2207" t="s">
        <v>338</v>
      </c>
      <c r="H2207" t="s">
        <v>104</v>
      </c>
      <c r="I2207" t="s">
        <v>743</v>
      </c>
      <c r="J2207" t="s">
        <v>379</v>
      </c>
      <c r="K2207" t="s">
        <v>546</v>
      </c>
      <c r="L2207" s="784">
        <v>0</v>
      </c>
      <c r="M2207" t="s">
        <v>745</v>
      </c>
      <c r="N2207" s="784" t="s">
        <v>575</v>
      </c>
      <c r="P2207" t="s">
        <v>1887</v>
      </c>
      <c r="R2207" t="s">
        <v>152</v>
      </c>
      <c r="S2207" t="s">
        <v>146</v>
      </c>
      <c r="U2207">
        <v>0</v>
      </c>
      <c r="V2207" t="s">
        <v>544</v>
      </c>
      <c r="W2207" t="s">
        <v>546</v>
      </c>
      <c r="X2207" s="784">
        <v>16429121142.784708</v>
      </c>
    </row>
    <row r="2208" spans="1:24">
      <c r="A2208" t="s">
        <v>358</v>
      </c>
      <c r="B2208" t="s">
        <v>671</v>
      </c>
      <c r="C2208" t="s">
        <v>273</v>
      </c>
      <c r="D2208" t="s">
        <v>128</v>
      </c>
      <c r="E2208" t="s">
        <v>377</v>
      </c>
      <c r="F2208" t="s">
        <v>310</v>
      </c>
      <c r="G2208" t="s">
        <v>338</v>
      </c>
      <c r="H2208" t="s">
        <v>104</v>
      </c>
      <c r="I2208" t="s">
        <v>743</v>
      </c>
      <c r="J2208" t="s">
        <v>379</v>
      </c>
      <c r="K2208" t="s">
        <v>546</v>
      </c>
      <c r="L2208" s="784">
        <v>1337523</v>
      </c>
      <c r="M2208" t="s">
        <v>745</v>
      </c>
      <c r="N2208" s="784" t="s">
        <v>575</v>
      </c>
      <c r="P2208" t="s">
        <v>1887</v>
      </c>
      <c r="R2208" t="s">
        <v>148</v>
      </c>
      <c r="S2208" t="s">
        <v>145</v>
      </c>
      <c r="U2208">
        <v>1</v>
      </c>
      <c r="V2208" t="s">
        <v>544</v>
      </c>
      <c r="W2208" t="s">
        <v>542</v>
      </c>
      <c r="X2208" s="784">
        <v>31684581.76217727</v>
      </c>
    </row>
    <row r="2209" spans="1:24">
      <c r="A2209" t="s">
        <v>358</v>
      </c>
      <c r="B2209" t="s">
        <v>672</v>
      </c>
      <c r="C2209" t="s">
        <v>274</v>
      </c>
      <c r="D2209" t="s">
        <v>132</v>
      </c>
      <c r="E2209" t="s">
        <v>377</v>
      </c>
      <c r="F2209" t="s">
        <v>310</v>
      </c>
      <c r="G2209" t="s">
        <v>338</v>
      </c>
      <c r="H2209" t="s">
        <v>104</v>
      </c>
      <c r="I2209" t="s">
        <v>743</v>
      </c>
      <c r="J2209" t="s">
        <v>379</v>
      </c>
      <c r="K2209" t="s">
        <v>546</v>
      </c>
      <c r="L2209" s="784">
        <v>40000</v>
      </c>
      <c r="M2209" t="s">
        <v>745</v>
      </c>
      <c r="N2209" s="784" t="s">
        <v>575</v>
      </c>
      <c r="P2209" t="s">
        <v>1887</v>
      </c>
      <c r="R2209" t="s">
        <v>150</v>
      </c>
      <c r="S2209" t="s">
        <v>145</v>
      </c>
      <c r="U2209">
        <v>0</v>
      </c>
      <c r="V2209" t="s">
        <v>544</v>
      </c>
      <c r="W2209" t="s">
        <v>546</v>
      </c>
      <c r="X2209" s="784">
        <v>1373621563.5182886</v>
      </c>
    </row>
    <row r="2210" spans="1:24">
      <c r="A2210" t="s">
        <v>358</v>
      </c>
      <c r="B2210" t="s">
        <v>673</v>
      </c>
      <c r="C2210" t="s">
        <v>275</v>
      </c>
      <c r="D2210" t="s">
        <v>130</v>
      </c>
      <c r="E2210" t="s">
        <v>377</v>
      </c>
      <c r="F2210" t="s">
        <v>310</v>
      </c>
      <c r="G2210" t="s">
        <v>338</v>
      </c>
      <c r="H2210" t="s">
        <v>104</v>
      </c>
      <c r="I2210" t="s">
        <v>743</v>
      </c>
      <c r="J2210" t="s">
        <v>379</v>
      </c>
      <c r="K2210" t="s">
        <v>546</v>
      </c>
      <c r="L2210" s="784" t="s">
        <v>575</v>
      </c>
      <c r="M2210" t="s">
        <v>745</v>
      </c>
      <c r="N2210" s="784" t="s">
        <v>575</v>
      </c>
      <c r="P2210" t="s">
        <v>1887</v>
      </c>
      <c r="R2210" t="s">
        <v>550</v>
      </c>
      <c r="S2210" t="s">
        <v>146</v>
      </c>
      <c r="U2210">
        <v>0</v>
      </c>
      <c r="V2210" t="s">
        <v>541</v>
      </c>
      <c r="W2210" t="s">
        <v>575</v>
      </c>
      <c r="X2210" s="784">
        <v>24214370.889062837</v>
      </c>
    </row>
    <row r="2211" spans="1:24">
      <c r="A2211" t="s">
        <v>358</v>
      </c>
      <c r="B2211" t="s">
        <v>674</v>
      </c>
      <c r="C2211" t="s">
        <v>154</v>
      </c>
      <c r="D2211" t="s">
        <v>130</v>
      </c>
      <c r="E2211" t="s">
        <v>377</v>
      </c>
      <c r="F2211" t="s">
        <v>310</v>
      </c>
      <c r="G2211" t="s">
        <v>338</v>
      </c>
      <c r="H2211" t="s">
        <v>104</v>
      </c>
      <c r="I2211" t="s">
        <v>743</v>
      </c>
      <c r="J2211" t="s">
        <v>379</v>
      </c>
      <c r="K2211" t="s">
        <v>546</v>
      </c>
      <c r="L2211" s="784">
        <v>0</v>
      </c>
      <c r="M2211" t="s">
        <v>745</v>
      </c>
      <c r="N2211" s="784" t="s">
        <v>575</v>
      </c>
      <c r="P2211" t="s">
        <v>1887</v>
      </c>
      <c r="R2211" t="s">
        <v>152</v>
      </c>
      <c r="S2211" t="s">
        <v>145</v>
      </c>
      <c r="U2211">
        <v>0</v>
      </c>
      <c r="V2211" t="s">
        <v>541</v>
      </c>
      <c r="W2211" t="s">
        <v>548</v>
      </c>
      <c r="X2211" s="784">
        <v>39941279.609447442</v>
      </c>
    </row>
    <row r="2212" spans="1:24">
      <c r="A2212" t="s">
        <v>358</v>
      </c>
      <c r="B2212" t="s">
        <v>675</v>
      </c>
      <c r="C2212" t="s">
        <v>155</v>
      </c>
      <c r="D2212" t="s">
        <v>130</v>
      </c>
      <c r="E2212" t="s">
        <v>377</v>
      </c>
      <c r="F2212" t="s">
        <v>310</v>
      </c>
      <c r="G2212" t="s">
        <v>338</v>
      </c>
      <c r="H2212" t="s">
        <v>104</v>
      </c>
      <c r="I2212" t="s">
        <v>743</v>
      </c>
      <c r="J2212" t="s">
        <v>379</v>
      </c>
      <c r="K2212" t="s">
        <v>546</v>
      </c>
      <c r="L2212" s="784">
        <v>0</v>
      </c>
      <c r="M2212" t="s">
        <v>745</v>
      </c>
      <c r="N2212" s="784" t="s">
        <v>575</v>
      </c>
      <c r="P2212" t="s">
        <v>1887</v>
      </c>
      <c r="R2212" t="s">
        <v>152</v>
      </c>
      <c r="S2212" t="s">
        <v>145</v>
      </c>
      <c r="U2212">
        <v>0</v>
      </c>
      <c r="V2212" t="s">
        <v>541</v>
      </c>
      <c r="W2212" t="s">
        <v>542</v>
      </c>
      <c r="X2212" s="784">
        <v>24761675.260059897</v>
      </c>
    </row>
    <row r="2213" spans="1:24">
      <c r="A2213" t="s">
        <v>358</v>
      </c>
      <c r="B2213" t="s">
        <v>676</v>
      </c>
      <c r="C2213" t="s">
        <v>276</v>
      </c>
      <c r="D2213" t="s">
        <v>131</v>
      </c>
      <c r="E2213" t="s">
        <v>377</v>
      </c>
      <c r="F2213" t="s">
        <v>310</v>
      </c>
      <c r="G2213" t="s">
        <v>338</v>
      </c>
      <c r="H2213" t="s">
        <v>104</v>
      </c>
      <c r="I2213" t="s">
        <v>743</v>
      </c>
      <c r="J2213" t="s">
        <v>379</v>
      </c>
      <c r="K2213" t="s">
        <v>546</v>
      </c>
      <c r="L2213" s="784">
        <v>0</v>
      </c>
      <c r="M2213" t="s">
        <v>745</v>
      </c>
      <c r="N2213" s="784" t="s">
        <v>575</v>
      </c>
      <c r="P2213" t="s">
        <v>1887</v>
      </c>
      <c r="R2213" t="s">
        <v>150</v>
      </c>
      <c r="S2213" t="s">
        <v>145</v>
      </c>
      <c r="U2213">
        <v>0</v>
      </c>
      <c r="V2213" t="s">
        <v>544</v>
      </c>
      <c r="W2213" t="s">
        <v>546</v>
      </c>
      <c r="X2213" s="784" t="s">
        <v>575</v>
      </c>
    </row>
    <row r="2214" spans="1:24">
      <c r="A2214" t="s">
        <v>358</v>
      </c>
      <c r="B2214" t="s">
        <v>677</v>
      </c>
      <c r="C2214" t="s">
        <v>277</v>
      </c>
      <c r="D2214" t="s">
        <v>131</v>
      </c>
      <c r="E2214" t="s">
        <v>377</v>
      </c>
      <c r="F2214" t="s">
        <v>310</v>
      </c>
      <c r="G2214" t="s">
        <v>338</v>
      </c>
      <c r="H2214" t="s">
        <v>104</v>
      </c>
      <c r="I2214" t="s">
        <v>743</v>
      </c>
      <c r="J2214" t="s">
        <v>379</v>
      </c>
      <c r="K2214" t="s">
        <v>546</v>
      </c>
      <c r="L2214" s="784">
        <v>50000</v>
      </c>
      <c r="M2214" t="s">
        <v>745</v>
      </c>
      <c r="N2214" s="784" t="s">
        <v>575</v>
      </c>
      <c r="P2214" t="s">
        <v>1887</v>
      </c>
      <c r="R2214" t="s">
        <v>148</v>
      </c>
      <c r="S2214" t="s">
        <v>145</v>
      </c>
      <c r="U2214">
        <v>1</v>
      </c>
      <c r="V2214" t="s">
        <v>544</v>
      </c>
      <c r="W2214" t="s">
        <v>546</v>
      </c>
      <c r="X2214" s="784">
        <v>577156172.71229994</v>
      </c>
    </row>
    <row r="2215" spans="1:24">
      <c r="A2215" t="s">
        <v>358</v>
      </c>
      <c r="B2215" t="s">
        <v>678</v>
      </c>
      <c r="C2215" t="s">
        <v>278</v>
      </c>
      <c r="D2215" t="s">
        <v>126</v>
      </c>
      <c r="E2215" t="s">
        <v>377</v>
      </c>
      <c r="F2215" t="s">
        <v>310</v>
      </c>
      <c r="G2215" t="s">
        <v>338</v>
      </c>
      <c r="H2215" t="s">
        <v>104</v>
      </c>
      <c r="I2215" t="s">
        <v>743</v>
      </c>
      <c r="J2215" t="s">
        <v>379</v>
      </c>
      <c r="K2215" t="s">
        <v>546</v>
      </c>
      <c r="L2215" s="784" t="s">
        <v>575</v>
      </c>
      <c r="M2215" t="s">
        <v>745</v>
      </c>
      <c r="N2215" s="784" t="s">
        <v>575</v>
      </c>
      <c r="P2215" t="s">
        <v>1887</v>
      </c>
      <c r="R2215" t="s">
        <v>152</v>
      </c>
      <c r="S2215" t="s">
        <v>146</v>
      </c>
      <c r="U2215">
        <v>0</v>
      </c>
      <c r="V2215" t="s">
        <v>541</v>
      </c>
      <c r="W2215" t="s">
        <v>575</v>
      </c>
      <c r="X2215" s="784">
        <v>180052034.19851837</v>
      </c>
    </row>
    <row r="2216" spans="1:24">
      <c r="A2216" t="s">
        <v>358</v>
      </c>
      <c r="B2216" t="s">
        <v>679</v>
      </c>
      <c r="C2216" t="s">
        <v>279</v>
      </c>
      <c r="D2216" t="s">
        <v>131</v>
      </c>
      <c r="E2216" t="s">
        <v>377</v>
      </c>
      <c r="F2216" t="s">
        <v>310</v>
      </c>
      <c r="G2216" t="s">
        <v>338</v>
      </c>
      <c r="H2216" t="s">
        <v>104</v>
      </c>
      <c r="I2216" t="s">
        <v>743</v>
      </c>
      <c r="J2216" t="s">
        <v>379</v>
      </c>
      <c r="K2216" t="s">
        <v>546</v>
      </c>
      <c r="L2216" s="784">
        <v>175000</v>
      </c>
      <c r="M2216" t="s">
        <v>745</v>
      </c>
      <c r="N2216" s="784" t="s">
        <v>575</v>
      </c>
      <c r="P2216" t="s">
        <v>1887</v>
      </c>
      <c r="R2216" t="s">
        <v>148</v>
      </c>
      <c r="S2216" t="s">
        <v>145</v>
      </c>
      <c r="U2216">
        <v>1</v>
      </c>
      <c r="V2216" t="s">
        <v>544</v>
      </c>
      <c r="W2216" t="s">
        <v>546</v>
      </c>
      <c r="X2216" s="784" t="s">
        <v>575</v>
      </c>
    </row>
    <row r="2217" spans="1:24">
      <c r="A2217" t="s">
        <v>358</v>
      </c>
      <c r="B2217" t="s">
        <v>680</v>
      </c>
      <c r="C2217" t="s">
        <v>280</v>
      </c>
      <c r="D2217" t="s">
        <v>127</v>
      </c>
      <c r="E2217" t="s">
        <v>377</v>
      </c>
      <c r="F2217" t="s">
        <v>310</v>
      </c>
      <c r="G2217" t="s">
        <v>338</v>
      </c>
      <c r="H2217" t="s">
        <v>104</v>
      </c>
      <c r="I2217" t="s">
        <v>743</v>
      </c>
      <c r="J2217" t="s">
        <v>379</v>
      </c>
      <c r="K2217" t="s">
        <v>546</v>
      </c>
      <c r="L2217" s="784">
        <v>268000</v>
      </c>
      <c r="M2217" t="s">
        <v>745</v>
      </c>
      <c r="N2217" s="784" t="s">
        <v>575</v>
      </c>
      <c r="P2217" t="s">
        <v>1887</v>
      </c>
      <c r="R2217" t="s">
        <v>150</v>
      </c>
      <c r="S2217" t="s">
        <v>145</v>
      </c>
      <c r="U2217">
        <v>0</v>
      </c>
      <c r="V2217" t="s">
        <v>544</v>
      </c>
      <c r="W2217" t="s">
        <v>542</v>
      </c>
      <c r="X2217" s="784">
        <v>147296124.32232863</v>
      </c>
    </row>
    <row r="2218" spans="1:24">
      <c r="A2218" t="s">
        <v>358</v>
      </c>
      <c r="B2218" t="s">
        <v>681</v>
      </c>
      <c r="C2218" t="s">
        <v>156</v>
      </c>
      <c r="D2218" t="s">
        <v>128</v>
      </c>
      <c r="E2218" t="s">
        <v>377</v>
      </c>
      <c r="F2218" t="s">
        <v>310</v>
      </c>
      <c r="G2218" t="s">
        <v>338</v>
      </c>
      <c r="H2218" t="s">
        <v>104</v>
      </c>
      <c r="I2218" t="s">
        <v>743</v>
      </c>
      <c r="J2218" t="s">
        <v>379</v>
      </c>
      <c r="K2218" t="s">
        <v>546</v>
      </c>
      <c r="L2218" s="784">
        <v>420000</v>
      </c>
      <c r="M2218" t="s">
        <v>745</v>
      </c>
      <c r="N2218" s="784" t="s">
        <v>575</v>
      </c>
      <c r="P2218" t="s">
        <v>1887</v>
      </c>
      <c r="R2218" t="s">
        <v>150</v>
      </c>
      <c r="S2218" t="s">
        <v>145</v>
      </c>
      <c r="U2218">
        <v>0</v>
      </c>
      <c r="V2218" t="s">
        <v>544</v>
      </c>
      <c r="W2218" t="s">
        <v>548</v>
      </c>
      <c r="X2218" s="784">
        <v>890576536.83065879</v>
      </c>
    </row>
    <row r="2219" spans="1:24">
      <c r="A2219" t="s">
        <v>358</v>
      </c>
      <c r="B2219" t="s">
        <v>682</v>
      </c>
      <c r="C2219" t="s">
        <v>157</v>
      </c>
      <c r="D2219" t="s">
        <v>126</v>
      </c>
      <c r="E2219" t="s">
        <v>377</v>
      </c>
      <c r="F2219" t="s">
        <v>310</v>
      </c>
      <c r="G2219" t="s">
        <v>338</v>
      </c>
      <c r="H2219" t="s">
        <v>104</v>
      </c>
      <c r="I2219" t="s">
        <v>743</v>
      </c>
      <c r="J2219" t="s">
        <v>379</v>
      </c>
      <c r="K2219" t="s">
        <v>546</v>
      </c>
      <c r="L2219" s="784">
        <v>0</v>
      </c>
      <c r="M2219" t="s">
        <v>745</v>
      </c>
      <c r="N2219" s="784" t="s">
        <v>575</v>
      </c>
      <c r="P2219" t="s">
        <v>1887</v>
      </c>
      <c r="R2219" t="s">
        <v>152</v>
      </c>
      <c r="S2219" t="s">
        <v>146</v>
      </c>
      <c r="U2219">
        <v>0</v>
      </c>
      <c r="V2219" t="s">
        <v>544</v>
      </c>
      <c r="W2219" t="s">
        <v>575</v>
      </c>
      <c r="X2219" s="784">
        <v>14611129792.346064</v>
      </c>
    </row>
    <row r="2220" spans="1:24">
      <c r="A2220" t="s">
        <v>358</v>
      </c>
      <c r="B2220" t="s">
        <v>683</v>
      </c>
      <c r="C2220" t="s">
        <v>281</v>
      </c>
      <c r="D2220" t="s">
        <v>126</v>
      </c>
      <c r="E2220" t="s">
        <v>377</v>
      </c>
      <c r="F2220" t="s">
        <v>310</v>
      </c>
      <c r="G2220" t="s">
        <v>338</v>
      </c>
      <c r="H2220" t="s">
        <v>104</v>
      </c>
      <c r="I2220" t="s">
        <v>743</v>
      </c>
      <c r="J2220" t="s">
        <v>379</v>
      </c>
      <c r="K2220" t="s">
        <v>546</v>
      </c>
      <c r="L2220" s="784">
        <v>50000</v>
      </c>
      <c r="M2220" t="s">
        <v>745</v>
      </c>
      <c r="N2220" s="784" t="s">
        <v>575</v>
      </c>
      <c r="P2220" t="s">
        <v>1887</v>
      </c>
      <c r="R2220" t="s">
        <v>150</v>
      </c>
      <c r="S2220" t="s">
        <v>145</v>
      </c>
      <c r="U2220">
        <v>0</v>
      </c>
      <c r="V2220" t="s">
        <v>541</v>
      </c>
      <c r="W2220" t="s">
        <v>558</v>
      </c>
      <c r="X2220" s="784">
        <v>72046877.233008593</v>
      </c>
    </row>
    <row r="2221" spans="1:24">
      <c r="A2221" t="s">
        <v>358</v>
      </c>
      <c r="B2221" t="s">
        <v>684</v>
      </c>
      <c r="C2221" t="s">
        <v>282</v>
      </c>
      <c r="D2221" t="s">
        <v>129</v>
      </c>
      <c r="E2221" t="s">
        <v>377</v>
      </c>
      <c r="F2221" t="s">
        <v>310</v>
      </c>
      <c r="G2221" t="s">
        <v>338</v>
      </c>
      <c r="H2221" t="s">
        <v>104</v>
      </c>
      <c r="I2221" t="s">
        <v>743</v>
      </c>
      <c r="J2221" t="s">
        <v>379</v>
      </c>
      <c r="K2221" t="s">
        <v>546</v>
      </c>
      <c r="L2221" s="784">
        <v>40000</v>
      </c>
      <c r="M2221" t="s">
        <v>745</v>
      </c>
      <c r="N2221" s="784" t="s">
        <v>575</v>
      </c>
      <c r="P2221" t="s">
        <v>1887</v>
      </c>
      <c r="R2221" t="s">
        <v>148</v>
      </c>
      <c r="S2221" t="s">
        <v>145</v>
      </c>
      <c r="U2221">
        <v>0</v>
      </c>
      <c r="V2221" t="s">
        <v>544</v>
      </c>
      <c r="W2221" t="s">
        <v>542</v>
      </c>
      <c r="X2221" s="784">
        <v>56248139.267255567</v>
      </c>
    </row>
    <row r="2222" spans="1:24">
      <c r="A2222" t="s">
        <v>358</v>
      </c>
      <c r="B2222" t="s">
        <v>685</v>
      </c>
      <c r="C2222" t="s">
        <v>283</v>
      </c>
      <c r="D2222" t="s">
        <v>126</v>
      </c>
      <c r="E2222" t="s">
        <v>377</v>
      </c>
      <c r="F2222" t="s">
        <v>310</v>
      </c>
      <c r="G2222" t="s">
        <v>338</v>
      </c>
      <c r="H2222" t="s">
        <v>104</v>
      </c>
      <c r="I2222" t="s">
        <v>743</v>
      </c>
      <c r="J2222" t="s">
        <v>379</v>
      </c>
      <c r="K2222" t="s">
        <v>546</v>
      </c>
      <c r="L2222" s="784">
        <v>0</v>
      </c>
      <c r="M2222" t="s">
        <v>745</v>
      </c>
      <c r="N2222" s="784" t="s">
        <v>575</v>
      </c>
      <c r="P2222" t="s">
        <v>1887</v>
      </c>
      <c r="R2222" t="s">
        <v>152</v>
      </c>
      <c r="S2222" t="s">
        <v>145</v>
      </c>
      <c r="U2222">
        <v>0</v>
      </c>
      <c r="V2222" t="s">
        <v>541</v>
      </c>
      <c r="W2222" t="s">
        <v>542</v>
      </c>
      <c r="X2222" s="784">
        <v>15464031.712942109</v>
      </c>
    </row>
    <row r="2223" spans="1:24">
      <c r="A2223" t="s">
        <v>358</v>
      </c>
      <c r="B2223" t="s">
        <v>686</v>
      </c>
      <c r="C2223" t="s">
        <v>284</v>
      </c>
      <c r="D2223" t="s">
        <v>130</v>
      </c>
      <c r="E2223" t="s">
        <v>377</v>
      </c>
      <c r="F2223" t="s">
        <v>310</v>
      </c>
      <c r="G2223" t="s">
        <v>338</v>
      </c>
      <c r="H2223" t="s">
        <v>104</v>
      </c>
      <c r="I2223" t="s">
        <v>743</v>
      </c>
      <c r="J2223" t="s">
        <v>379</v>
      </c>
      <c r="K2223" t="s">
        <v>546</v>
      </c>
      <c r="L2223" s="784" t="s">
        <v>575</v>
      </c>
      <c r="M2223" t="s">
        <v>745</v>
      </c>
      <c r="N2223" s="784" t="s">
        <v>575</v>
      </c>
      <c r="P2223" t="s">
        <v>1887</v>
      </c>
      <c r="R2223" t="s">
        <v>550</v>
      </c>
      <c r="S2223" t="s">
        <v>146</v>
      </c>
      <c r="U2223">
        <v>0</v>
      </c>
      <c r="V2223" t="s">
        <v>541</v>
      </c>
      <c r="W2223" t="s">
        <v>546</v>
      </c>
      <c r="X2223" s="784">
        <v>769564399.33249676</v>
      </c>
    </row>
    <row r="2224" spans="1:24">
      <c r="A2224" t="s">
        <v>358</v>
      </c>
      <c r="B2224" t="s">
        <v>687</v>
      </c>
      <c r="C2224" t="s">
        <v>285</v>
      </c>
      <c r="D2224" t="s">
        <v>131</v>
      </c>
      <c r="E2224" t="s">
        <v>377</v>
      </c>
      <c r="F2224" t="s">
        <v>310</v>
      </c>
      <c r="G2224" t="s">
        <v>338</v>
      </c>
      <c r="H2224" t="s">
        <v>104</v>
      </c>
      <c r="I2224" t="s">
        <v>743</v>
      </c>
      <c r="J2224" t="s">
        <v>379</v>
      </c>
      <c r="K2224" t="s">
        <v>546</v>
      </c>
      <c r="L2224" s="784">
        <v>40000</v>
      </c>
      <c r="M2224" t="s">
        <v>745</v>
      </c>
      <c r="N2224" s="784" t="s">
        <v>575</v>
      </c>
      <c r="P2224" t="s">
        <v>1887</v>
      </c>
      <c r="R2224" t="s">
        <v>150</v>
      </c>
      <c r="S2224" t="s">
        <v>145</v>
      </c>
      <c r="U2224">
        <v>0</v>
      </c>
      <c r="V2224" t="s">
        <v>544</v>
      </c>
      <c r="W2224" t="s">
        <v>546</v>
      </c>
      <c r="X2224" s="784">
        <v>1668954539.7630196</v>
      </c>
    </row>
    <row r="2225" spans="1:24">
      <c r="A2225" t="s">
        <v>358</v>
      </c>
      <c r="B2225" t="s">
        <v>688</v>
      </c>
      <c r="C2225" t="s">
        <v>286</v>
      </c>
      <c r="D2225" t="s">
        <v>127</v>
      </c>
      <c r="E2225" t="s">
        <v>377</v>
      </c>
      <c r="F2225" t="s">
        <v>310</v>
      </c>
      <c r="G2225" t="s">
        <v>338</v>
      </c>
      <c r="H2225" t="s">
        <v>104</v>
      </c>
      <c r="I2225" t="s">
        <v>743</v>
      </c>
      <c r="J2225" t="s">
        <v>379</v>
      </c>
      <c r="K2225" t="s">
        <v>546</v>
      </c>
      <c r="L2225" s="784">
        <v>0</v>
      </c>
      <c r="M2225" t="s">
        <v>745</v>
      </c>
      <c r="N2225" s="784" t="s">
        <v>575</v>
      </c>
      <c r="P2225" t="s">
        <v>1887</v>
      </c>
      <c r="R2225" t="s">
        <v>152</v>
      </c>
      <c r="S2225" t="s">
        <v>146</v>
      </c>
      <c r="U2225">
        <v>0</v>
      </c>
      <c r="V2225" t="s">
        <v>544</v>
      </c>
      <c r="W2225" t="s">
        <v>575</v>
      </c>
      <c r="X2225" s="784">
        <v>24840920016.18832</v>
      </c>
    </row>
    <row r="2226" spans="1:24">
      <c r="A2226" t="s">
        <v>358</v>
      </c>
      <c r="B2226" t="s">
        <v>689</v>
      </c>
      <c r="C2226" t="s">
        <v>287</v>
      </c>
      <c r="D2226" t="s">
        <v>127</v>
      </c>
      <c r="E2226" t="s">
        <v>377</v>
      </c>
      <c r="F2226" t="s">
        <v>310</v>
      </c>
      <c r="G2226" t="s">
        <v>338</v>
      </c>
      <c r="H2226" t="s">
        <v>104</v>
      </c>
      <c r="I2226" t="s">
        <v>743</v>
      </c>
      <c r="J2226" t="s">
        <v>379</v>
      </c>
      <c r="K2226" t="s">
        <v>546</v>
      </c>
      <c r="L2226" s="784">
        <v>0</v>
      </c>
      <c r="M2226" t="s">
        <v>745</v>
      </c>
      <c r="N2226" s="784" t="s">
        <v>575</v>
      </c>
      <c r="P2226" t="s">
        <v>1887</v>
      </c>
      <c r="R2226" t="s">
        <v>152</v>
      </c>
      <c r="S2226" t="s">
        <v>146</v>
      </c>
      <c r="U2226">
        <v>0</v>
      </c>
      <c r="V2226" t="s">
        <v>544</v>
      </c>
      <c r="W2226" t="s">
        <v>546</v>
      </c>
      <c r="X2226" s="784">
        <v>487888462.83720118</v>
      </c>
    </row>
    <row r="2227" spans="1:24">
      <c r="A2227" t="s">
        <v>358</v>
      </c>
      <c r="B2227" t="s">
        <v>690</v>
      </c>
      <c r="C2227" t="s">
        <v>288</v>
      </c>
      <c r="D2227" t="s">
        <v>126</v>
      </c>
      <c r="E2227" t="s">
        <v>377</v>
      </c>
      <c r="F2227" t="s">
        <v>310</v>
      </c>
      <c r="G2227" t="s">
        <v>338</v>
      </c>
      <c r="H2227" t="s">
        <v>104</v>
      </c>
      <c r="I2227" t="s">
        <v>743</v>
      </c>
      <c r="J2227" t="s">
        <v>379</v>
      </c>
      <c r="K2227" t="s">
        <v>546</v>
      </c>
      <c r="L2227" s="784">
        <v>0</v>
      </c>
      <c r="M2227" t="s">
        <v>745</v>
      </c>
      <c r="N2227" s="784" t="s">
        <v>575</v>
      </c>
      <c r="P2227" t="s">
        <v>1887</v>
      </c>
      <c r="R2227" t="s">
        <v>152</v>
      </c>
      <c r="S2227" t="s">
        <v>145</v>
      </c>
      <c r="U2227">
        <v>0</v>
      </c>
      <c r="V2227" t="s">
        <v>541</v>
      </c>
      <c r="W2227" t="s">
        <v>548</v>
      </c>
      <c r="X2227" s="784">
        <v>6365061.1736073596</v>
      </c>
    </row>
    <row r="2228" spans="1:24">
      <c r="A2228" t="s">
        <v>358</v>
      </c>
      <c r="B2228" t="s">
        <v>691</v>
      </c>
      <c r="C2228" t="s">
        <v>289</v>
      </c>
      <c r="D2228" t="s">
        <v>128</v>
      </c>
      <c r="E2228" t="s">
        <v>377</v>
      </c>
      <c r="F2228" t="s">
        <v>310</v>
      </c>
      <c r="G2228" t="s">
        <v>338</v>
      </c>
      <c r="H2228" t="s">
        <v>104</v>
      </c>
      <c r="I2228" t="s">
        <v>743</v>
      </c>
      <c r="J2228" t="s">
        <v>379</v>
      </c>
      <c r="K2228" t="s">
        <v>546</v>
      </c>
      <c r="L2228" s="784">
        <v>328600</v>
      </c>
      <c r="M2228" t="s">
        <v>745</v>
      </c>
      <c r="N2228" s="784" t="s">
        <v>575</v>
      </c>
      <c r="P2228" t="s">
        <v>1887</v>
      </c>
      <c r="R2228" t="s">
        <v>148</v>
      </c>
      <c r="S2228" t="s">
        <v>145</v>
      </c>
      <c r="U2228">
        <v>2</v>
      </c>
      <c r="V2228" t="s">
        <v>544</v>
      </c>
      <c r="W2228" t="s">
        <v>558</v>
      </c>
      <c r="X2228" s="784">
        <v>291799092.90196139</v>
      </c>
    </row>
    <row r="2229" spans="1:24">
      <c r="A2229" t="s">
        <v>358</v>
      </c>
      <c r="B2229" t="s">
        <v>692</v>
      </c>
      <c r="C2229" t="s">
        <v>290</v>
      </c>
      <c r="D2229" t="s">
        <v>127</v>
      </c>
      <c r="E2229" t="s">
        <v>377</v>
      </c>
      <c r="F2229" t="s">
        <v>310</v>
      </c>
      <c r="G2229" t="s">
        <v>338</v>
      </c>
      <c r="H2229" t="s">
        <v>104</v>
      </c>
      <c r="I2229" t="s">
        <v>743</v>
      </c>
      <c r="J2229" t="s">
        <v>379</v>
      </c>
      <c r="K2229" t="s">
        <v>546</v>
      </c>
      <c r="L2229" s="784">
        <v>110000</v>
      </c>
      <c r="M2229" t="s">
        <v>745</v>
      </c>
      <c r="N2229" s="784" t="s">
        <v>575</v>
      </c>
      <c r="P2229" t="s">
        <v>1887</v>
      </c>
      <c r="R2229" t="s">
        <v>150</v>
      </c>
      <c r="S2229" t="s">
        <v>145</v>
      </c>
      <c r="U2229">
        <v>0</v>
      </c>
      <c r="V2229" t="s">
        <v>544</v>
      </c>
      <c r="W2229" t="s">
        <v>546</v>
      </c>
      <c r="X2229" s="784">
        <v>4844815340.2135534</v>
      </c>
    </row>
    <row r="2230" spans="1:24">
      <c r="A2230" t="s">
        <v>358</v>
      </c>
      <c r="B2230" t="s">
        <v>693</v>
      </c>
      <c r="C2230" t="s">
        <v>291</v>
      </c>
      <c r="D2230" t="s">
        <v>130</v>
      </c>
      <c r="E2230" t="s">
        <v>377</v>
      </c>
      <c r="F2230" t="s">
        <v>310</v>
      </c>
      <c r="G2230" t="s">
        <v>338</v>
      </c>
      <c r="H2230" t="s">
        <v>104</v>
      </c>
      <c r="I2230" t="s">
        <v>743</v>
      </c>
      <c r="J2230" t="s">
        <v>379</v>
      </c>
      <c r="K2230" t="s">
        <v>546</v>
      </c>
      <c r="L2230" s="784">
        <v>412400</v>
      </c>
      <c r="M2230" t="s">
        <v>745</v>
      </c>
      <c r="N2230" s="784" t="s">
        <v>575</v>
      </c>
      <c r="P2230" t="s">
        <v>1887</v>
      </c>
      <c r="R2230" t="s">
        <v>550</v>
      </c>
      <c r="S2230" t="s">
        <v>146</v>
      </c>
      <c r="U2230">
        <v>0</v>
      </c>
      <c r="V2230" t="s">
        <v>544</v>
      </c>
      <c r="W2230" t="s">
        <v>575</v>
      </c>
      <c r="X2230" s="784">
        <v>4001891446.6871672</v>
      </c>
    </row>
    <row r="2231" spans="1:24">
      <c r="A2231" t="s">
        <v>358</v>
      </c>
      <c r="B2231" t="s">
        <v>694</v>
      </c>
      <c r="C2231" t="s">
        <v>292</v>
      </c>
      <c r="D2231" t="s">
        <v>127</v>
      </c>
      <c r="E2231" t="s">
        <v>377</v>
      </c>
      <c r="F2231" t="s">
        <v>310</v>
      </c>
      <c r="G2231" t="s">
        <v>338</v>
      </c>
      <c r="H2231" t="s">
        <v>104</v>
      </c>
      <c r="I2231" t="s">
        <v>743</v>
      </c>
      <c r="J2231" t="s">
        <v>379</v>
      </c>
      <c r="K2231" t="s">
        <v>546</v>
      </c>
      <c r="L2231" s="784">
        <v>275000</v>
      </c>
      <c r="M2231" t="s">
        <v>745</v>
      </c>
      <c r="N2231" s="784" t="s">
        <v>575</v>
      </c>
      <c r="P2231" t="s">
        <v>1887</v>
      </c>
      <c r="R2231" t="s">
        <v>150</v>
      </c>
      <c r="S2231" t="s">
        <v>145</v>
      </c>
      <c r="U2231">
        <v>0</v>
      </c>
      <c r="V2231" t="s">
        <v>544</v>
      </c>
      <c r="W2231" t="s">
        <v>558</v>
      </c>
      <c r="X2231" s="784">
        <v>1019800630.5853213</v>
      </c>
    </row>
    <row r="2232" spans="1:24">
      <c r="A2232" t="s">
        <v>358</v>
      </c>
      <c r="B2232" t="s">
        <v>695</v>
      </c>
      <c r="C2232" t="s">
        <v>293</v>
      </c>
      <c r="D2232" t="s">
        <v>126</v>
      </c>
      <c r="E2232" t="s">
        <v>377</v>
      </c>
      <c r="F2232" t="s">
        <v>310</v>
      </c>
      <c r="G2232" t="s">
        <v>338</v>
      </c>
      <c r="H2232" t="s">
        <v>104</v>
      </c>
      <c r="I2232" t="s">
        <v>743</v>
      </c>
      <c r="J2232" t="s">
        <v>379</v>
      </c>
      <c r="K2232" t="s">
        <v>546</v>
      </c>
      <c r="L2232" s="784">
        <v>0</v>
      </c>
      <c r="M2232" t="s">
        <v>745</v>
      </c>
      <c r="N2232" s="784" t="s">
        <v>575</v>
      </c>
      <c r="P2232" t="s">
        <v>1887</v>
      </c>
      <c r="R2232" t="s">
        <v>150</v>
      </c>
      <c r="S2232" t="s">
        <v>145</v>
      </c>
      <c r="U2232">
        <v>0</v>
      </c>
      <c r="V2232" t="s">
        <v>541</v>
      </c>
      <c r="W2232" t="s">
        <v>562</v>
      </c>
      <c r="X2232" s="784">
        <v>19578671.310841195</v>
      </c>
    </row>
    <row r="2233" spans="1:24">
      <c r="A2233" t="s">
        <v>358</v>
      </c>
      <c r="B2233" t="s">
        <v>696</v>
      </c>
      <c r="C2233" t="s">
        <v>294</v>
      </c>
      <c r="D2233" t="s">
        <v>130</v>
      </c>
      <c r="E2233" t="s">
        <v>377</v>
      </c>
      <c r="F2233" t="s">
        <v>310</v>
      </c>
      <c r="G2233" t="s">
        <v>338</v>
      </c>
      <c r="H2233" t="s">
        <v>104</v>
      </c>
      <c r="I2233" t="s">
        <v>743</v>
      </c>
      <c r="J2233" t="s">
        <v>379</v>
      </c>
      <c r="K2233" t="s">
        <v>546</v>
      </c>
      <c r="L2233" s="784" t="s">
        <v>575</v>
      </c>
      <c r="M2233" t="s">
        <v>745</v>
      </c>
      <c r="N2233" s="784" t="s">
        <v>575</v>
      </c>
      <c r="P2233" t="s">
        <v>1887</v>
      </c>
      <c r="R2233" t="s">
        <v>322</v>
      </c>
      <c r="S2233" t="s">
        <v>146</v>
      </c>
      <c r="U2233">
        <v>0</v>
      </c>
      <c r="V2233" t="s">
        <v>544</v>
      </c>
      <c r="W2233" t="s">
        <v>546</v>
      </c>
      <c r="X2233" s="784">
        <v>3551452001.0684834</v>
      </c>
    </row>
    <row r="2234" spans="1:24">
      <c r="A2234" t="s">
        <v>358</v>
      </c>
      <c r="B2234" t="s">
        <v>697</v>
      </c>
      <c r="C2234" t="s">
        <v>295</v>
      </c>
      <c r="D2234" t="s">
        <v>126</v>
      </c>
      <c r="E2234" t="s">
        <v>377</v>
      </c>
      <c r="F2234" t="s">
        <v>310</v>
      </c>
      <c r="G2234" t="s">
        <v>338</v>
      </c>
      <c r="H2234" t="s">
        <v>104</v>
      </c>
      <c r="I2234" t="s">
        <v>743</v>
      </c>
      <c r="J2234" t="s">
        <v>379</v>
      </c>
      <c r="K2234" t="s">
        <v>546</v>
      </c>
      <c r="L2234" s="784">
        <v>70000</v>
      </c>
      <c r="M2234" t="s">
        <v>745</v>
      </c>
      <c r="N2234" s="784" t="s">
        <v>575</v>
      </c>
      <c r="P2234" t="s">
        <v>1887</v>
      </c>
      <c r="R2234" t="s">
        <v>150</v>
      </c>
      <c r="S2234" t="s">
        <v>145</v>
      </c>
      <c r="U2234">
        <v>0</v>
      </c>
      <c r="V2234" t="s">
        <v>544</v>
      </c>
      <c r="W2234" t="s">
        <v>546</v>
      </c>
      <c r="X2234" s="784">
        <v>6603048821.7575006</v>
      </c>
    </row>
    <row r="2235" spans="1:24">
      <c r="A2235" t="s">
        <v>358</v>
      </c>
      <c r="B2235" t="s">
        <v>698</v>
      </c>
      <c r="C2235" t="s">
        <v>296</v>
      </c>
      <c r="D2235" t="s">
        <v>131</v>
      </c>
      <c r="E2235" t="s">
        <v>377</v>
      </c>
      <c r="F2235" t="s">
        <v>310</v>
      </c>
      <c r="G2235" t="s">
        <v>338</v>
      </c>
      <c r="H2235" t="s">
        <v>104</v>
      </c>
      <c r="I2235" t="s">
        <v>743</v>
      </c>
      <c r="J2235" t="s">
        <v>379</v>
      </c>
      <c r="K2235" t="s">
        <v>546</v>
      </c>
      <c r="L2235" s="784">
        <v>1953750</v>
      </c>
      <c r="M2235" t="s">
        <v>745</v>
      </c>
      <c r="N2235" s="784" t="s">
        <v>575</v>
      </c>
      <c r="P2235" t="s">
        <v>1887</v>
      </c>
      <c r="R2235" t="s">
        <v>148</v>
      </c>
      <c r="S2235" t="s">
        <v>145</v>
      </c>
      <c r="U2235">
        <v>1</v>
      </c>
      <c r="V2235" t="s">
        <v>544</v>
      </c>
      <c r="W2235" t="s">
        <v>548</v>
      </c>
      <c r="X2235" s="784" t="s">
        <v>575</v>
      </c>
    </row>
    <row r="2236" spans="1:24">
      <c r="A2236" t="s">
        <v>358</v>
      </c>
      <c r="B2236" t="s">
        <v>699</v>
      </c>
      <c r="C2236" t="s">
        <v>297</v>
      </c>
      <c r="D2236" t="s">
        <v>128</v>
      </c>
      <c r="E2236" t="s">
        <v>377</v>
      </c>
      <c r="F2236" t="s">
        <v>310</v>
      </c>
      <c r="G2236" t="s">
        <v>338</v>
      </c>
      <c r="H2236" t="s">
        <v>104</v>
      </c>
      <c r="I2236" t="s">
        <v>743</v>
      </c>
      <c r="J2236" t="s">
        <v>379</v>
      </c>
      <c r="K2236" t="s">
        <v>546</v>
      </c>
      <c r="L2236" s="784">
        <v>265000</v>
      </c>
      <c r="M2236" t="s">
        <v>745</v>
      </c>
      <c r="N2236" s="784" t="s">
        <v>575</v>
      </c>
      <c r="P2236" t="s">
        <v>1887</v>
      </c>
      <c r="R2236" t="s">
        <v>150</v>
      </c>
      <c r="S2236" t="s">
        <v>145</v>
      </c>
      <c r="U2236">
        <v>0</v>
      </c>
      <c r="V2236" t="s">
        <v>544</v>
      </c>
      <c r="W2236" t="s">
        <v>542</v>
      </c>
      <c r="X2236" s="784">
        <v>515352723.9821828</v>
      </c>
    </row>
    <row r="2237" spans="1:24">
      <c r="A2237" t="s">
        <v>358</v>
      </c>
      <c r="B2237" t="s">
        <v>700</v>
      </c>
      <c r="C2237" t="s">
        <v>298</v>
      </c>
      <c r="D2237" t="s">
        <v>128</v>
      </c>
      <c r="E2237" t="s">
        <v>377</v>
      </c>
      <c r="F2237" t="s">
        <v>310</v>
      </c>
      <c r="G2237" t="s">
        <v>338</v>
      </c>
      <c r="H2237" t="s">
        <v>104</v>
      </c>
      <c r="I2237" t="s">
        <v>743</v>
      </c>
      <c r="J2237" t="s">
        <v>379</v>
      </c>
      <c r="K2237" t="s">
        <v>546</v>
      </c>
      <c r="L2237" s="784">
        <v>205000</v>
      </c>
      <c r="M2237" t="s">
        <v>745</v>
      </c>
      <c r="N2237" s="784" t="s">
        <v>575</v>
      </c>
      <c r="P2237" t="s">
        <v>1887</v>
      </c>
      <c r="R2237" t="s">
        <v>150</v>
      </c>
      <c r="S2237" t="s">
        <v>145</v>
      </c>
      <c r="U2237">
        <v>0</v>
      </c>
      <c r="V2237" t="s">
        <v>544</v>
      </c>
      <c r="W2237" t="s">
        <v>546</v>
      </c>
      <c r="X2237" s="784">
        <v>566711742.22428358</v>
      </c>
    </row>
    <row r="2238" spans="1:24">
      <c r="A2238" t="s">
        <v>358</v>
      </c>
      <c r="B2238" t="s">
        <v>540</v>
      </c>
      <c r="C2238" t="s">
        <v>160</v>
      </c>
      <c r="D2238" t="s">
        <v>132</v>
      </c>
      <c r="E2238" t="s">
        <v>377</v>
      </c>
      <c r="F2238" t="s">
        <v>384</v>
      </c>
      <c r="G2238" t="s">
        <v>335</v>
      </c>
      <c r="H2238" t="s">
        <v>749</v>
      </c>
      <c r="I2238" t="s">
        <v>743</v>
      </c>
      <c r="J2238" t="s">
        <v>379</v>
      </c>
      <c r="K2238" t="s">
        <v>546</v>
      </c>
      <c r="L2238" s="784" t="s">
        <v>575</v>
      </c>
      <c r="M2238" t="s">
        <v>745</v>
      </c>
      <c r="N2238" s="784" t="s">
        <v>575</v>
      </c>
      <c r="P2238" t="s">
        <v>1887</v>
      </c>
      <c r="R2238" t="s">
        <v>148</v>
      </c>
      <c r="S2238" t="s">
        <v>145</v>
      </c>
      <c r="U2238">
        <v>1</v>
      </c>
      <c r="V2238" t="s">
        <v>544</v>
      </c>
      <c r="W2238" t="s">
        <v>542</v>
      </c>
      <c r="X2238" s="784">
        <v>95829480.719269618</v>
      </c>
    </row>
    <row r="2239" spans="1:24">
      <c r="A2239" t="s">
        <v>358</v>
      </c>
      <c r="B2239" t="s">
        <v>543</v>
      </c>
      <c r="C2239" t="s">
        <v>161</v>
      </c>
      <c r="D2239" t="s">
        <v>127</v>
      </c>
      <c r="E2239" t="s">
        <v>377</v>
      </c>
      <c r="F2239" t="s">
        <v>384</v>
      </c>
      <c r="G2239" t="s">
        <v>335</v>
      </c>
      <c r="H2239" t="s">
        <v>749</v>
      </c>
      <c r="I2239" t="s">
        <v>743</v>
      </c>
      <c r="J2239" t="s">
        <v>379</v>
      </c>
      <c r="K2239" t="s">
        <v>546</v>
      </c>
      <c r="L2239" s="784" t="s">
        <v>575</v>
      </c>
      <c r="M2239" t="s">
        <v>745</v>
      </c>
      <c r="N2239" s="784" t="s">
        <v>575</v>
      </c>
      <c r="P2239" t="s">
        <v>1887</v>
      </c>
      <c r="R2239" t="s">
        <v>152</v>
      </c>
      <c r="S2239" t="s">
        <v>146</v>
      </c>
      <c r="U2239">
        <v>0</v>
      </c>
      <c r="V2239" t="s">
        <v>544</v>
      </c>
      <c r="W2239" t="s">
        <v>575</v>
      </c>
      <c r="X2239" s="784">
        <v>427904035.52443534</v>
      </c>
    </row>
    <row r="2240" spans="1:24">
      <c r="A2240" t="s">
        <v>358</v>
      </c>
      <c r="B2240" t="s">
        <v>545</v>
      </c>
      <c r="C2240" t="s">
        <v>143</v>
      </c>
      <c r="D2240" t="s">
        <v>131</v>
      </c>
      <c r="E2240" t="s">
        <v>377</v>
      </c>
      <c r="F2240" t="s">
        <v>384</v>
      </c>
      <c r="G2240" t="s">
        <v>335</v>
      </c>
      <c r="H2240" t="s">
        <v>749</v>
      </c>
      <c r="I2240" t="s">
        <v>743</v>
      </c>
      <c r="J2240" t="s">
        <v>379</v>
      </c>
      <c r="K2240" t="s">
        <v>546</v>
      </c>
      <c r="L2240" s="784" t="s">
        <v>575</v>
      </c>
      <c r="M2240" t="s">
        <v>745</v>
      </c>
      <c r="N2240" s="784" t="s">
        <v>575</v>
      </c>
      <c r="P2240" t="s">
        <v>1887</v>
      </c>
      <c r="R2240" t="s">
        <v>150</v>
      </c>
      <c r="S2240" t="s">
        <v>145</v>
      </c>
      <c r="U2240">
        <v>0</v>
      </c>
      <c r="V2240" t="s">
        <v>544</v>
      </c>
      <c r="W2240" t="s">
        <v>546</v>
      </c>
      <c r="X2240" s="784">
        <v>7113361022.7267885</v>
      </c>
    </row>
    <row r="2241" spans="1:24">
      <c r="A2241" t="s">
        <v>358</v>
      </c>
      <c r="B2241" t="s">
        <v>547</v>
      </c>
      <c r="C2241" t="s">
        <v>162</v>
      </c>
      <c r="D2241" t="s">
        <v>128</v>
      </c>
      <c r="E2241" t="s">
        <v>377</v>
      </c>
      <c r="F2241" t="s">
        <v>384</v>
      </c>
      <c r="G2241" t="s">
        <v>335</v>
      </c>
      <c r="H2241" t="s">
        <v>749</v>
      </c>
      <c r="I2241" t="s">
        <v>743</v>
      </c>
      <c r="J2241" t="s">
        <v>379</v>
      </c>
      <c r="K2241" t="s">
        <v>546</v>
      </c>
      <c r="L2241" s="784" t="s">
        <v>575</v>
      </c>
      <c r="M2241" t="s">
        <v>745</v>
      </c>
      <c r="N2241" s="784" t="s">
        <v>575</v>
      </c>
      <c r="P2241" t="s">
        <v>1887</v>
      </c>
      <c r="R2241" t="s">
        <v>150</v>
      </c>
      <c r="S2241" t="s">
        <v>145</v>
      </c>
      <c r="U2241">
        <v>0</v>
      </c>
      <c r="V2241" t="s">
        <v>544</v>
      </c>
      <c r="W2241" t="s">
        <v>548</v>
      </c>
      <c r="X2241" s="784">
        <v>1131865946.5875781</v>
      </c>
    </row>
    <row r="2242" spans="1:24">
      <c r="A2242" t="s">
        <v>358</v>
      </c>
      <c r="B2242" t="s">
        <v>549</v>
      </c>
      <c r="C2242" t="s">
        <v>163</v>
      </c>
      <c r="D2242" t="s">
        <v>130</v>
      </c>
      <c r="E2242" t="s">
        <v>377</v>
      </c>
      <c r="F2242" t="s">
        <v>384</v>
      </c>
      <c r="G2242" t="s">
        <v>335</v>
      </c>
      <c r="H2242" t="s">
        <v>749</v>
      </c>
      <c r="I2242" t="s">
        <v>743</v>
      </c>
      <c r="J2242" t="s">
        <v>379</v>
      </c>
      <c r="K2242" t="s">
        <v>546</v>
      </c>
      <c r="L2242" s="784" t="s">
        <v>575</v>
      </c>
      <c r="M2242" t="s">
        <v>745</v>
      </c>
      <c r="N2242" s="784" t="s">
        <v>575</v>
      </c>
      <c r="P2242" t="s">
        <v>1887</v>
      </c>
      <c r="R2242" t="s">
        <v>550</v>
      </c>
      <c r="S2242" t="s">
        <v>146</v>
      </c>
      <c r="U2242">
        <v>0</v>
      </c>
      <c r="V2242" t="s">
        <v>541</v>
      </c>
      <c r="W2242" t="s">
        <v>575</v>
      </c>
      <c r="X2242" s="784">
        <v>46777779.823447868</v>
      </c>
    </row>
    <row r="2243" spans="1:24">
      <c r="A2243" t="s">
        <v>358</v>
      </c>
      <c r="B2243" t="s">
        <v>551</v>
      </c>
      <c r="C2243" t="s">
        <v>164</v>
      </c>
      <c r="D2243" t="s">
        <v>130</v>
      </c>
      <c r="E2243" t="s">
        <v>377</v>
      </c>
      <c r="F2243" t="s">
        <v>384</v>
      </c>
      <c r="G2243" t="s">
        <v>335</v>
      </c>
      <c r="H2243" t="s">
        <v>749</v>
      </c>
      <c r="I2243" t="s">
        <v>743</v>
      </c>
      <c r="J2243" t="s">
        <v>379</v>
      </c>
      <c r="K2243" t="s">
        <v>546</v>
      </c>
      <c r="L2243" s="784" t="s">
        <v>575</v>
      </c>
      <c r="M2243" t="s">
        <v>745</v>
      </c>
      <c r="N2243" s="784" t="s">
        <v>575</v>
      </c>
      <c r="P2243" t="s">
        <v>1887</v>
      </c>
      <c r="R2243" t="s">
        <v>152</v>
      </c>
      <c r="S2243" t="s">
        <v>146</v>
      </c>
      <c r="U2243">
        <v>0</v>
      </c>
      <c r="V2243" t="s">
        <v>544</v>
      </c>
      <c r="W2243" t="s">
        <v>575</v>
      </c>
      <c r="X2243" s="784">
        <v>30725305777.596794</v>
      </c>
    </row>
    <row r="2244" spans="1:24">
      <c r="A2244" t="s">
        <v>358</v>
      </c>
      <c r="B2244" t="s">
        <v>553</v>
      </c>
      <c r="C2244" t="s">
        <v>165</v>
      </c>
      <c r="D2244" t="s">
        <v>127</v>
      </c>
      <c r="E2244" t="s">
        <v>377</v>
      </c>
      <c r="F2244" t="s">
        <v>384</v>
      </c>
      <c r="G2244" t="s">
        <v>335</v>
      </c>
      <c r="H2244" t="s">
        <v>749</v>
      </c>
      <c r="I2244" t="s">
        <v>743</v>
      </c>
      <c r="J2244" t="s">
        <v>379</v>
      </c>
      <c r="K2244" t="s">
        <v>546</v>
      </c>
      <c r="L2244" s="784" t="s">
        <v>575</v>
      </c>
      <c r="M2244" t="s">
        <v>745</v>
      </c>
      <c r="N2244" s="784" t="s">
        <v>575</v>
      </c>
      <c r="P2244" t="s">
        <v>1887</v>
      </c>
      <c r="R2244" t="s">
        <v>152</v>
      </c>
      <c r="S2244" t="s">
        <v>146</v>
      </c>
      <c r="U2244">
        <v>0</v>
      </c>
      <c r="V2244" t="s">
        <v>544</v>
      </c>
      <c r="W2244" t="s">
        <v>575</v>
      </c>
      <c r="X2244" s="784">
        <v>153815827.8380394</v>
      </c>
    </row>
    <row r="2245" spans="1:24">
      <c r="A2245" t="s">
        <v>358</v>
      </c>
      <c r="B2245" t="s">
        <v>554</v>
      </c>
      <c r="C2245" t="s">
        <v>166</v>
      </c>
      <c r="D2245" t="s">
        <v>127</v>
      </c>
      <c r="E2245" t="s">
        <v>377</v>
      </c>
      <c r="F2245" t="s">
        <v>384</v>
      </c>
      <c r="G2245" t="s">
        <v>335</v>
      </c>
      <c r="H2245" t="s">
        <v>749</v>
      </c>
      <c r="I2245" t="s">
        <v>743</v>
      </c>
      <c r="J2245" t="s">
        <v>379</v>
      </c>
      <c r="K2245" t="s">
        <v>546</v>
      </c>
      <c r="L2245" s="784" t="s">
        <v>575</v>
      </c>
      <c r="M2245" t="s">
        <v>745</v>
      </c>
      <c r="N2245" s="784" t="s">
        <v>575</v>
      </c>
      <c r="P2245" t="s">
        <v>1887</v>
      </c>
      <c r="R2245" t="s">
        <v>152</v>
      </c>
      <c r="S2245" t="s">
        <v>146</v>
      </c>
      <c r="U2245">
        <v>0</v>
      </c>
      <c r="V2245" t="s">
        <v>544</v>
      </c>
      <c r="W2245" t="s">
        <v>546</v>
      </c>
      <c r="X2245" s="784">
        <v>437525105.31216973</v>
      </c>
    </row>
    <row r="2246" spans="1:24">
      <c r="A2246" t="s">
        <v>358</v>
      </c>
      <c r="B2246" t="s">
        <v>555</v>
      </c>
      <c r="C2246" t="s">
        <v>556</v>
      </c>
      <c r="D2246" t="s">
        <v>130</v>
      </c>
      <c r="E2246" t="s">
        <v>377</v>
      </c>
      <c r="F2246" t="s">
        <v>384</v>
      </c>
      <c r="G2246" t="s">
        <v>335</v>
      </c>
      <c r="H2246" t="s">
        <v>749</v>
      </c>
      <c r="I2246" t="s">
        <v>743</v>
      </c>
      <c r="J2246" t="s">
        <v>379</v>
      </c>
      <c r="K2246" t="s">
        <v>546</v>
      </c>
      <c r="L2246" s="784" t="s">
        <v>575</v>
      </c>
      <c r="M2246" t="s">
        <v>745</v>
      </c>
      <c r="N2246" s="784" t="s">
        <v>575</v>
      </c>
      <c r="P2246" t="s">
        <v>1887</v>
      </c>
      <c r="R2246" t="s">
        <v>550</v>
      </c>
      <c r="S2246" t="s">
        <v>146</v>
      </c>
      <c r="U2246">
        <v>0</v>
      </c>
      <c r="V2246" t="s">
        <v>541</v>
      </c>
      <c r="W2246" t="s">
        <v>575</v>
      </c>
      <c r="X2246" s="784">
        <v>149463302.00602186</v>
      </c>
    </row>
    <row r="2247" spans="1:24">
      <c r="A2247" t="s">
        <v>358</v>
      </c>
      <c r="B2247" t="s">
        <v>557</v>
      </c>
      <c r="C2247" t="s">
        <v>167</v>
      </c>
      <c r="D2247" t="s">
        <v>132</v>
      </c>
      <c r="E2247" t="s">
        <v>377</v>
      </c>
      <c r="F2247" t="s">
        <v>384</v>
      </c>
      <c r="G2247" t="s">
        <v>335</v>
      </c>
      <c r="H2247" t="s">
        <v>749</v>
      </c>
      <c r="I2247" t="s">
        <v>743</v>
      </c>
      <c r="J2247" t="s">
        <v>379</v>
      </c>
      <c r="K2247" t="s">
        <v>546</v>
      </c>
      <c r="L2247" s="784" t="s">
        <v>575</v>
      </c>
      <c r="M2247" t="s">
        <v>745</v>
      </c>
      <c r="N2247" s="784" t="s">
        <v>575</v>
      </c>
      <c r="P2247" t="s">
        <v>1887</v>
      </c>
      <c r="R2247" t="s">
        <v>150</v>
      </c>
      <c r="S2247" t="s">
        <v>145</v>
      </c>
      <c r="U2247">
        <v>0</v>
      </c>
      <c r="V2247" t="s">
        <v>544</v>
      </c>
      <c r="W2247" t="s">
        <v>558</v>
      </c>
      <c r="X2247" s="784">
        <v>1148322593.9600098</v>
      </c>
    </row>
    <row r="2248" spans="1:24">
      <c r="A2248" t="s">
        <v>358</v>
      </c>
      <c r="B2248" t="s">
        <v>559</v>
      </c>
      <c r="C2248" t="s">
        <v>168</v>
      </c>
      <c r="D2248" t="s">
        <v>127</v>
      </c>
      <c r="E2248" t="s">
        <v>377</v>
      </c>
      <c r="F2248" t="s">
        <v>384</v>
      </c>
      <c r="G2248" t="s">
        <v>335</v>
      </c>
      <c r="H2248" t="s">
        <v>749</v>
      </c>
      <c r="I2248" t="s">
        <v>743</v>
      </c>
      <c r="J2248" t="s">
        <v>379</v>
      </c>
      <c r="K2248" t="s">
        <v>546</v>
      </c>
      <c r="L2248" s="784" t="s">
        <v>575</v>
      </c>
      <c r="M2248" t="s">
        <v>745</v>
      </c>
      <c r="N2248" s="784" t="s">
        <v>575</v>
      </c>
      <c r="P2248" t="s">
        <v>1887</v>
      </c>
      <c r="R2248" t="s">
        <v>152</v>
      </c>
      <c r="S2248" t="s">
        <v>146</v>
      </c>
      <c r="U2248">
        <v>0</v>
      </c>
      <c r="V2248" t="s">
        <v>544</v>
      </c>
      <c r="W2248" t="s">
        <v>575</v>
      </c>
      <c r="X2248" s="784">
        <v>2371102058.1093163</v>
      </c>
    </row>
    <row r="2249" spans="1:24">
      <c r="A2249" t="s">
        <v>358</v>
      </c>
      <c r="B2249" t="s">
        <v>560</v>
      </c>
      <c r="C2249" t="s">
        <v>169</v>
      </c>
      <c r="D2249" t="s">
        <v>130</v>
      </c>
      <c r="E2249" t="s">
        <v>377</v>
      </c>
      <c r="F2249" t="s">
        <v>384</v>
      </c>
      <c r="G2249" t="s">
        <v>335</v>
      </c>
      <c r="H2249" t="s">
        <v>749</v>
      </c>
      <c r="I2249" t="s">
        <v>743</v>
      </c>
      <c r="J2249" t="s">
        <v>379</v>
      </c>
      <c r="K2249" t="s">
        <v>546</v>
      </c>
      <c r="L2249" s="784" t="s">
        <v>575</v>
      </c>
      <c r="M2249" t="s">
        <v>745</v>
      </c>
      <c r="N2249" s="784" t="s">
        <v>575</v>
      </c>
      <c r="P2249" t="s">
        <v>1887</v>
      </c>
      <c r="R2249" t="s">
        <v>150</v>
      </c>
      <c r="S2249" t="s">
        <v>146</v>
      </c>
      <c r="U2249">
        <v>0</v>
      </c>
      <c r="V2249" t="s">
        <v>541</v>
      </c>
      <c r="W2249" t="s">
        <v>546</v>
      </c>
      <c r="X2249" s="784">
        <v>75151620.005215243</v>
      </c>
    </row>
    <row r="2250" spans="1:24">
      <c r="A2250" t="s">
        <v>358</v>
      </c>
      <c r="B2250" t="s">
        <v>561</v>
      </c>
      <c r="C2250" t="s">
        <v>170</v>
      </c>
      <c r="D2250" t="s">
        <v>129</v>
      </c>
      <c r="E2250" t="s">
        <v>377</v>
      </c>
      <c r="F2250" t="s">
        <v>384</v>
      </c>
      <c r="G2250" t="s">
        <v>335</v>
      </c>
      <c r="H2250" t="s">
        <v>749</v>
      </c>
      <c r="I2250" t="s">
        <v>743</v>
      </c>
      <c r="J2250" t="s">
        <v>379</v>
      </c>
      <c r="K2250" t="s">
        <v>546</v>
      </c>
      <c r="L2250" s="784" t="s">
        <v>575</v>
      </c>
      <c r="M2250" t="s">
        <v>745</v>
      </c>
      <c r="N2250" s="784" t="s">
        <v>575</v>
      </c>
      <c r="P2250" t="s">
        <v>1887</v>
      </c>
      <c r="R2250" t="s">
        <v>150</v>
      </c>
      <c r="S2250" t="s">
        <v>145</v>
      </c>
      <c r="U2250">
        <v>0</v>
      </c>
      <c r="V2250" t="s">
        <v>544</v>
      </c>
      <c r="W2250" t="s">
        <v>562</v>
      </c>
      <c r="X2250" s="784">
        <v>69958487.197715744</v>
      </c>
    </row>
    <row r="2251" spans="1:24">
      <c r="A2251" t="s">
        <v>358</v>
      </c>
      <c r="B2251" t="s">
        <v>563</v>
      </c>
      <c r="C2251" t="s">
        <v>171</v>
      </c>
      <c r="D2251" t="s">
        <v>132</v>
      </c>
      <c r="E2251" t="s">
        <v>377</v>
      </c>
      <c r="F2251" t="s">
        <v>384</v>
      </c>
      <c r="G2251" t="s">
        <v>335</v>
      </c>
      <c r="H2251" t="s">
        <v>749</v>
      </c>
      <c r="I2251" t="s">
        <v>743</v>
      </c>
      <c r="J2251" t="s">
        <v>379</v>
      </c>
      <c r="K2251" t="s">
        <v>546</v>
      </c>
      <c r="L2251" s="784" t="s">
        <v>575</v>
      </c>
      <c r="M2251" t="s">
        <v>745</v>
      </c>
      <c r="N2251" s="784" t="s">
        <v>575</v>
      </c>
      <c r="P2251" t="s">
        <v>1887</v>
      </c>
      <c r="R2251" t="s">
        <v>150</v>
      </c>
      <c r="S2251" t="s">
        <v>145</v>
      </c>
      <c r="U2251">
        <v>0</v>
      </c>
      <c r="V2251" t="s">
        <v>544</v>
      </c>
      <c r="W2251" t="s">
        <v>548</v>
      </c>
      <c r="X2251" s="784">
        <v>61654608.560629159</v>
      </c>
    </row>
    <row r="2252" spans="1:24">
      <c r="A2252" t="s">
        <v>358</v>
      </c>
      <c r="B2252" t="s">
        <v>564</v>
      </c>
      <c r="C2252" t="s">
        <v>172</v>
      </c>
      <c r="D2252" t="s">
        <v>130</v>
      </c>
      <c r="E2252" t="s">
        <v>377</v>
      </c>
      <c r="F2252" t="s">
        <v>384</v>
      </c>
      <c r="G2252" t="s">
        <v>335</v>
      </c>
      <c r="H2252" t="s">
        <v>749</v>
      </c>
      <c r="I2252" t="s">
        <v>743</v>
      </c>
      <c r="J2252" t="s">
        <v>379</v>
      </c>
      <c r="K2252" t="s">
        <v>546</v>
      </c>
      <c r="L2252" s="784" t="s">
        <v>575</v>
      </c>
      <c r="M2252" t="s">
        <v>745</v>
      </c>
      <c r="N2252" s="784" t="s">
        <v>575</v>
      </c>
      <c r="P2252" t="s">
        <v>1887</v>
      </c>
      <c r="R2252" t="s">
        <v>150</v>
      </c>
      <c r="S2252" t="s">
        <v>145</v>
      </c>
      <c r="U2252">
        <v>0</v>
      </c>
      <c r="V2252" t="s">
        <v>544</v>
      </c>
      <c r="W2252" t="s">
        <v>546</v>
      </c>
      <c r="X2252" s="784">
        <v>1806638707.7615163</v>
      </c>
    </row>
    <row r="2253" spans="1:24">
      <c r="A2253" t="s">
        <v>358</v>
      </c>
      <c r="B2253" t="s">
        <v>565</v>
      </c>
      <c r="C2253" t="s">
        <v>174</v>
      </c>
      <c r="D2253" t="s">
        <v>127</v>
      </c>
      <c r="E2253" t="s">
        <v>377</v>
      </c>
      <c r="F2253" t="s">
        <v>384</v>
      </c>
      <c r="G2253" t="s">
        <v>335</v>
      </c>
      <c r="H2253" t="s">
        <v>749</v>
      </c>
      <c r="I2253" t="s">
        <v>743</v>
      </c>
      <c r="J2253" t="s">
        <v>379</v>
      </c>
      <c r="K2253" t="s">
        <v>546</v>
      </c>
      <c r="L2253" s="784" t="s">
        <v>575</v>
      </c>
      <c r="M2253" t="s">
        <v>745</v>
      </c>
      <c r="N2253" s="784" t="s">
        <v>575</v>
      </c>
      <c r="P2253" t="s">
        <v>1887</v>
      </c>
      <c r="R2253" t="s">
        <v>152</v>
      </c>
      <c r="S2253" t="s">
        <v>146</v>
      </c>
      <c r="U2253">
        <v>0</v>
      </c>
      <c r="V2253" t="s">
        <v>544</v>
      </c>
      <c r="W2253" t="s">
        <v>546</v>
      </c>
      <c r="X2253" s="784">
        <v>1252696525.0627904</v>
      </c>
    </row>
    <row r="2254" spans="1:24">
      <c r="A2254" t="s">
        <v>358</v>
      </c>
      <c r="B2254" t="s">
        <v>566</v>
      </c>
      <c r="C2254" t="s">
        <v>175</v>
      </c>
      <c r="D2254" t="s">
        <v>128</v>
      </c>
      <c r="E2254" t="s">
        <v>377</v>
      </c>
      <c r="F2254" t="s">
        <v>384</v>
      </c>
      <c r="G2254" t="s">
        <v>335</v>
      </c>
      <c r="H2254" t="s">
        <v>749</v>
      </c>
      <c r="I2254" t="s">
        <v>743</v>
      </c>
      <c r="J2254" t="s">
        <v>379</v>
      </c>
      <c r="K2254" t="s">
        <v>546</v>
      </c>
      <c r="L2254" s="784" t="s">
        <v>575</v>
      </c>
      <c r="M2254" t="s">
        <v>745</v>
      </c>
      <c r="N2254" s="784" t="s">
        <v>575</v>
      </c>
      <c r="P2254" t="s">
        <v>1887</v>
      </c>
      <c r="R2254" t="s">
        <v>152</v>
      </c>
      <c r="S2254" t="s">
        <v>146</v>
      </c>
      <c r="U2254">
        <v>0</v>
      </c>
      <c r="V2254" t="s">
        <v>544</v>
      </c>
      <c r="W2254" t="s">
        <v>575</v>
      </c>
      <c r="X2254" s="784">
        <v>843425084.07334602</v>
      </c>
    </row>
    <row r="2255" spans="1:24">
      <c r="A2255" t="s">
        <v>358</v>
      </c>
      <c r="B2255" t="s">
        <v>567</v>
      </c>
      <c r="C2255" t="s">
        <v>144</v>
      </c>
      <c r="D2255" t="s">
        <v>130</v>
      </c>
      <c r="E2255" t="s">
        <v>377</v>
      </c>
      <c r="F2255" t="s">
        <v>384</v>
      </c>
      <c r="G2255" t="s">
        <v>335</v>
      </c>
      <c r="H2255" t="s">
        <v>749</v>
      </c>
      <c r="I2255" t="s">
        <v>743</v>
      </c>
      <c r="J2255" t="s">
        <v>379</v>
      </c>
      <c r="K2255" t="s">
        <v>546</v>
      </c>
      <c r="L2255" s="784" t="s">
        <v>575</v>
      </c>
      <c r="M2255" t="s">
        <v>745</v>
      </c>
      <c r="N2255" s="784" t="s">
        <v>575</v>
      </c>
      <c r="P2255" t="s">
        <v>1887</v>
      </c>
      <c r="R2255" t="s">
        <v>152</v>
      </c>
      <c r="S2255" t="s">
        <v>146</v>
      </c>
      <c r="U2255">
        <v>0</v>
      </c>
      <c r="V2255" t="s">
        <v>544</v>
      </c>
      <c r="W2255" t="s">
        <v>546</v>
      </c>
      <c r="X2255" s="784">
        <v>74055620038.853683</v>
      </c>
    </row>
    <row r="2256" spans="1:24">
      <c r="A2256" t="s">
        <v>358</v>
      </c>
      <c r="B2256" t="s">
        <v>568</v>
      </c>
      <c r="C2256" t="s">
        <v>176</v>
      </c>
      <c r="D2256" t="s">
        <v>127</v>
      </c>
      <c r="E2256" t="s">
        <v>377</v>
      </c>
      <c r="F2256" t="s">
        <v>384</v>
      </c>
      <c r="G2256" t="s">
        <v>335</v>
      </c>
      <c r="H2256" t="s">
        <v>749</v>
      </c>
      <c r="I2256" t="s">
        <v>743</v>
      </c>
      <c r="J2256" t="s">
        <v>379</v>
      </c>
      <c r="K2256" t="s">
        <v>546</v>
      </c>
      <c r="L2256" s="784" t="s">
        <v>575</v>
      </c>
      <c r="M2256" t="s">
        <v>745</v>
      </c>
      <c r="N2256" s="784" t="s">
        <v>575</v>
      </c>
      <c r="P2256" t="s">
        <v>1887</v>
      </c>
      <c r="R2256" t="s">
        <v>152</v>
      </c>
      <c r="S2256" t="s">
        <v>146</v>
      </c>
      <c r="U2256">
        <v>0</v>
      </c>
      <c r="V2256" t="s">
        <v>544</v>
      </c>
      <c r="W2256" t="s">
        <v>575</v>
      </c>
      <c r="X2256" s="784">
        <v>2803357765.5888777</v>
      </c>
    </row>
    <row r="2257" spans="1:24">
      <c r="A2257" t="s">
        <v>358</v>
      </c>
      <c r="B2257" t="s">
        <v>569</v>
      </c>
      <c r="C2257" t="s">
        <v>177</v>
      </c>
      <c r="D2257" t="s">
        <v>129</v>
      </c>
      <c r="E2257" t="s">
        <v>377</v>
      </c>
      <c r="F2257" t="s">
        <v>384</v>
      </c>
      <c r="G2257" t="s">
        <v>335</v>
      </c>
      <c r="H2257" t="s">
        <v>749</v>
      </c>
      <c r="I2257" t="s">
        <v>743</v>
      </c>
      <c r="J2257" t="s">
        <v>379</v>
      </c>
      <c r="K2257" t="s">
        <v>546</v>
      </c>
      <c r="L2257" s="784" t="s">
        <v>575</v>
      </c>
      <c r="M2257" t="s">
        <v>745</v>
      </c>
      <c r="N2257" s="784" t="s">
        <v>575</v>
      </c>
      <c r="P2257" t="s">
        <v>1887</v>
      </c>
      <c r="R2257" t="s">
        <v>148</v>
      </c>
      <c r="S2257" t="s">
        <v>145</v>
      </c>
      <c r="U2257">
        <v>2</v>
      </c>
      <c r="V2257" t="s">
        <v>544</v>
      </c>
      <c r="W2257" t="s">
        <v>562</v>
      </c>
      <c r="X2257" s="784">
        <v>337927779.25510043</v>
      </c>
    </row>
    <row r="2258" spans="1:24">
      <c r="A2258" t="s">
        <v>358</v>
      </c>
      <c r="B2258" t="s">
        <v>570</v>
      </c>
      <c r="C2258" t="s">
        <v>178</v>
      </c>
      <c r="D2258" t="s">
        <v>128</v>
      </c>
      <c r="E2258" t="s">
        <v>377</v>
      </c>
      <c r="F2258" t="s">
        <v>384</v>
      </c>
      <c r="G2258" t="s">
        <v>335</v>
      </c>
      <c r="H2258" t="s">
        <v>749</v>
      </c>
      <c r="I2258" t="s">
        <v>743</v>
      </c>
      <c r="J2258" t="s">
        <v>379</v>
      </c>
      <c r="K2258" t="s">
        <v>546</v>
      </c>
      <c r="L2258" s="784" t="s">
        <v>575</v>
      </c>
      <c r="M2258" t="s">
        <v>745</v>
      </c>
      <c r="N2258" s="784" t="s">
        <v>575</v>
      </c>
      <c r="P2258" t="s">
        <v>1887</v>
      </c>
      <c r="R2258" t="s">
        <v>148</v>
      </c>
      <c r="S2258" t="s">
        <v>145</v>
      </c>
      <c r="U2258">
        <v>2</v>
      </c>
      <c r="V2258" t="s">
        <v>544</v>
      </c>
      <c r="W2258" t="s">
        <v>548</v>
      </c>
      <c r="X2258" s="784">
        <v>65979512.47399316</v>
      </c>
    </row>
    <row r="2259" spans="1:24">
      <c r="A2259" t="s">
        <v>358</v>
      </c>
      <c r="B2259" t="s">
        <v>571</v>
      </c>
      <c r="C2259" t="s">
        <v>179</v>
      </c>
      <c r="D2259" t="s">
        <v>129</v>
      </c>
      <c r="E2259" t="s">
        <v>377</v>
      </c>
      <c r="F2259" t="s">
        <v>384</v>
      </c>
      <c r="G2259" t="s">
        <v>335</v>
      </c>
      <c r="H2259" t="s">
        <v>749</v>
      </c>
      <c r="I2259" t="s">
        <v>743</v>
      </c>
      <c r="J2259" t="s">
        <v>379</v>
      </c>
      <c r="K2259" t="s">
        <v>546</v>
      </c>
      <c r="L2259" s="784" t="s">
        <v>575</v>
      </c>
      <c r="M2259" t="s">
        <v>745</v>
      </c>
      <c r="N2259" s="784" t="s">
        <v>575</v>
      </c>
      <c r="P2259" t="s">
        <v>1887</v>
      </c>
      <c r="R2259" t="s">
        <v>150</v>
      </c>
      <c r="S2259" t="s">
        <v>145</v>
      </c>
      <c r="U2259">
        <v>0</v>
      </c>
      <c r="V2259" t="s">
        <v>541</v>
      </c>
      <c r="W2259" t="s">
        <v>542</v>
      </c>
      <c r="X2259" s="784">
        <v>63748362.778827004</v>
      </c>
    </row>
    <row r="2260" spans="1:24">
      <c r="A2260" t="s">
        <v>358</v>
      </c>
      <c r="B2260" t="s">
        <v>572</v>
      </c>
      <c r="C2260" t="s">
        <v>180</v>
      </c>
      <c r="D2260" t="s">
        <v>126</v>
      </c>
      <c r="E2260" t="s">
        <v>377</v>
      </c>
      <c r="F2260" t="s">
        <v>384</v>
      </c>
      <c r="G2260" t="s">
        <v>335</v>
      </c>
      <c r="H2260" t="s">
        <v>749</v>
      </c>
      <c r="I2260" t="s">
        <v>743</v>
      </c>
      <c r="J2260" t="s">
        <v>379</v>
      </c>
      <c r="K2260" t="s">
        <v>546</v>
      </c>
      <c r="L2260" s="784">
        <v>0</v>
      </c>
      <c r="M2260" t="s">
        <v>745</v>
      </c>
      <c r="N2260" s="784" t="s">
        <v>575</v>
      </c>
      <c r="P2260" t="s">
        <v>1887</v>
      </c>
      <c r="R2260" t="s">
        <v>150</v>
      </c>
      <c r="S2260" t="s">
        <v>145</v>
      </c>
      <c r="U2260">
        <v>0</v>
      </c>
      <c r="V2260" t="s">
        <v>544</v>
      </c>
      <c r="W2260" t="s">
        <v>558</v>
      </c>
      <c r="X2260" s="784">
        <v>313039649.45369786</v>
      </c>
    </row>
    <row r="2261" spans="1:24">
      <c r="A2261" t="s">
        <v>358</v>
      </c>
      <c r="B2261" t="s">
        <v>573</v>
      </c>
      <c r="C2261" t="s">
        <v>181</v>
      </c>
      <c r="D2261" t="s">
        <v>129</v>
      </c>
      <c r="E2261" t="s">
        <v>377</v>
      </c>
      <c r="F2261" t="s">
        <v>384</v>
      </c>
      <c r="G2261" t="s">
        <v>335</v>
      </c>
      <c r="H2261" t="s">
        <v>749</v>
      </c>
      <c r="I2261" t="s">
        <v>743</v>
      </c>
      <c r="J2261" t="s">
        <v>379</v>
      </c>
      <c r="K2261" t="s">
        <v>546</v>
      </c>
      <c r="L2261" s="784" t="s">
        <v>575</v>
      </c>
      <c r="M2261" t="s">
        <v>745</v>
      </c>
      <c r="N2261" s="784" t="s">
        <v>575</v>
      </c>
      <c r="P2261" t="s">
        <v>1887</v>
      </c>
      <c r="R2261" t="s">
        <v>150</v>
      </c>
      <c r="S2261" t="s">
        <v>145</v>
      </c>
      <c r="U2261">
        <v>2</v>
      </c>
      <c r="V2261" t="s">
        <v>544</v>
      </c>
      <c r="W2261" t="s">
        <v>542</v>
      </c>
      <c r="X2261" s="784">
        <v>81361801.477472037</v>
      </c>
    </row>
    <row r="2262" spans="1:24">
      <c r="A2262" t="s">
        <v>358</v>
      </c>
      <c r="B2262" t="s">
        <v>574</v>
      </c>
      <c r="C2262" t="s">
        <v>182</v>
      </c>
      <c r="D2262" t="s">
        <v>129</v>
      </c>
      <c r="E2262" t="s">
        <v>377</v>
      </c>
      <c r="F2262" t="s">
        <v>384</v>
      </c>
      <c r="G2262" t="s">
        <v>335</v>
      </c>
      <c r="H2262" t="s">
        <v>749</v>
      </c>
      <c r="I2262" t="s">
        <v>743</v>
      </c>
      <c r="J2262" t="s">
        <v>379</v>
      </c>
      <c r="K2262" t="s">
        <v>546</v>
      </c>
      <c r="L2262" s="784" t="s">
        <v>575</v>
      </c>
      <c r="M2262" t="s">
        <v>745</v>
      </c>
      <c r="N2262" s="784" t="s">
        <v>575</v>
      </c>
      <c r="P2262" t="s">
        <v>1887</v>
      </c>
      <c r="R2262" t="s">
        <v>148</v>
      </c>
      <c r="S2262" t="s">
        <v>145</v>
      </c>
      <c r="U2262">
        <v>1</v>
      </c>
      <c r="V2262" t="s">
        <v>544</v>
      </c>
      <c r="W2262" t="s">
        <v>542</v>
      </c>
      <c r="X2262" s="784" t="s">
        <v>575</v>
      </c>
    </row>
    <row r="2263" spans="1:24">
      <c r="A2263" t="s">
        <v>358</v>
      </c>
      <c r="B2263" t="s">
        <v>576</v>
      </c>
      <c r="C2263" t="s">
        <v>183</v>
      </c>
      <c r="D2263" t="s">
        <v>129</v>
      </c>
      <c r="E2263" t="s">
        <v>377</v>
      </c>
      <c r="F2263" t="s">
        <v>384</v>
      </c>
      <c r="G2263" t="s">
        <v>335</v>
      </c>
      <c r="H2263" t="s">
        <v>749</v>
      </c>
      <c r="I2263" t="s">
        <v>743</v>
      </c>
      <c r="J2263" t="s">
        <v>379</v>
      </c>
      <c r="K2263" t="s">
        <v>546</v>
      </c>
      <c r="L2263" s="784" t="s">
        <v>575</v>
      </c>
      <c r="M2263" t="s">
        <v>745</v>
      </c>
      <c r="N2263" s="784" t="s">
        <v>575</v>
      </c>
      <c r="P2263" t="s">
        <v>1887</v>
      </c>
      <c r="R2263" t="s">
        <v>148</v>
      </c>
      <c r="S2263" t="s">
        <v>145</v>
      </c>
      <c r="U2263">
        <v>1</v>
      </c>
      <c r="V2263" t="s">
        <v>544</v>
      </c>
      <c r="W2263" t="s">
        <v>542</v>
      </c>
      <c r="X2263" s="784">
        <v>76939306.715636879</v>
      </c>
    </row>
    <row r="2264" spans="1:24">
      <c r="A2264" t="s">
        <v>358</v>
      </c>
      <c r="B2264" t="s">
        <v>577</v>
      </c>
      <c r="C2264" t="s">
        <v>184</v>
      </c>
      <c r="D2264" t="s">
        <v>130</v>
      </c>
      <c r="E2264" t="s">
        <v>377</v>
      </c>
      <c r="F2264" t="s">
        <v>384</v>
      </c>
      <c r="G2264" t="s">
        <v>335</v>
      </c>
      <c r="H2264" t="s">
        <v>749</v>
      </c>
      <c r="I2264" t="s">
        <v>743</v>
      </c>
      <c r="J2264" t="s">
        <v>379</v>
      </c>
      <c r="K2264" t="s">
        <v>546</v>
      </c>
      <c r="L2264" s="784" t="s">
        <v>575</v>
      </c>
      <c r="M2264" t="s">
        <v>745</v>
      </c>
      <c r="N2264" s="784" t="s">
        <v>575</v>
      </c>
      <c r="P2264" t="s">
        <v>1887</v>
      </c>
      <c r="R2264" t="s">
        <v>550</v>
      </c>
      <c r="S2264" t="s">
        <v>146</v>
      </c>
      <c r="U2264">
        <v>0</v>
      </c>
      <c r="V2264" t="s">
        <v>544</v>
      </c>
      <c r="W2264" t="s">
        <v>575</v>
      </c>
      <c r="X2264" s="784">
        <v>13859708717.682571</v>
      </c>
    </row>
    <row r="2265" spans="1:24">
      <c r="A2265" t="s">
        <v>358</v>
      </c>
      <c r="B2265" t="s">
        <v>578</v>
      </c>
      <c r="C2265" t="s">
        <v>185</v>
      </c>
      <c r="D2265" t="s">
        <v>126</v>
      </c>
      <c r="E2265" t="s">
        <v>377</v>
      </c>
      <c r="F2265" t="s">
        <v>384</v>
      </c>
      <c r="G2265" t="s">
        <v>335</v>
      </c>
      <c r="H2265" t="s">
        <v>749</v>
      </c>
      <c r="I2265" t="s">
        <v>743</v>
      </c>
      <c r="J2265" t="s">
        <v>379</v>
      </c>
      <c r="K2265" t="s">
        <v>546</v>
      </c>
      <c r="L2265" s="784" t="s">
        <v>575</v>
      </c>
      <c r="M2265" t="s">
        <v>745</v>
      </c>
      <c r="N2265" s="784" t="s">
        <v>575</v>
      </c>
      <c r="P2265" t="s">
        <v>1887</v>
      </c>
      <c r="R2265" t="s">
        <v>152</v>
      </c>
      <c r="S2265" t="s">
        <v>146</v>
      </c>
      <c r="U2265">
        <v>0</v>
      </c>
      <c r="V2265" t="s">
        <v>544</v>
      </c>
      <c r="W2265" t="s">
        <v>575</v>
      </c>
      <c r="X2265" s="784">
        <v>403567160707.7016</v>
      </c>
    </row>
    <row r="2266" spans="1:24">
      <c r="A2266" t="s">
        <v>358</v>
      </c>
      <c r="B2266" t="s">
        <v>579</v>
      </c>
      <c r="C2266" t="s">
        <v>186</v>
      </c>
      <c r="D2266" t="s">
        <v>130</v>
      </c>
      <c r="E2266" t="s">
        <v>377</v>
      </c>
      <c r="F2266" t="s">
        <v>384</v>
      </c>
      <c r="G2266" t="s">
        <v>335</v>
      </c>
      <c r="H2266" t="s">
        <v>749</v>
      </c>
      <c r="I2266" t="s">
        <v>743</v>
      </c>
      <c r="J2266" t="s">
        <v>379</v>
      </c>
      <c r="K2266" t="s">
        <v>546</v>
      </c>
      <c r="L2266" s="784" t="s">
        <v>575</v>
      </c>
      <c r="M2266" t="s">
        <v>745</v>
      </c>
      <c r="N2266" s="784" t="s">
        <v>575</v>
      </c>
      <c r="P2266" t="s">
        <v>1887</v>
      </c>
      <c r="R2266" t="s">
        <v>152</v>
      </c>
      <c r="S2266" t="s">
        <v>146</v>
      </c>
      <c r="U2266">
        <v>0</v>
      </c>
      <c r="V2266" t="s">
        <v>544</v>
      </c>
      <c r="W2266" t="s">
        <v>575</v>
      </c>
      <c r="X2266" s="784">
        <v>18250225995.972618</v>
      </c>
    </row>
    <row r="2267" spans="1:24">
      <c r="A2267" t="s">
        <v>358</v>
      </c>
      <c r="B2267" t="s">
        <v>580</v>
      </c>
      <c r="C2267" t="s">
        <v>187</v>
      </c>
      <c r="D2267" t="s">
        <v>128</v>
      </c>
      <c r="E2267" t="s">
        <v>377</v>
      </c>
      <c r="F2267" t="s">
        <v>384</v>
      </c>
      <c r="G2267" t="s">
        <v>335</v>
      </c>
      <c r="H2267" t="s">
        <v>749</v>
      </c>
      <c r="I2267" t="s">
        <v>743</v>
      </c>
      <c r="J2267" t="s">
        <v>379</v>
      </c>
      <c r="K2267" t="s">
        <v>546</v>
      </c>
      <c r="L2267" s="784" t="s">
        <v>575</v>
      </c>
      <c r="M2267" t="s">
        <v>745</v>
      </c>
      <c r="N2267" s="784" t="s">
        <v>575</v>
      </c>
      <c r="P2267" t="s">
        <v>1887</v>
      </c>
      <c r="R2267" t="s">
        <v>150</v>
      </c>
      <c r="S2267" t="s">
        <v>145</v>
      </c>
      <c r="U2267">
        <v>0</v>
      </c>
      <c r="V2267" t="s">
        <v>541</v>
      </c>
      <c r="W2267" t="s">
        <v>562</v>
      </c>
      <c r="X2267" s="784">
        <v>5027591.1682657599</v>
      </c>
    </row>
    <row r="2268" spans="1:24">
      <c r="A2268" t="s">
        <v>358</v>
      </c>
      <c r="B2268" t="s">
        <v>581</v>
      </c>
      <c r="C2268" t="s">
        <v>188</v>
      </c>
      <c r="D2268" t="s">
        <v>129</v>
      </c>
      <c r="E2268" t="s">
        <v>377</v>
      </c>
      <c r="F2268" t="s">
        <v>384</v>
      </c>
      <c r="G2268" t="s">
        <v>335</v>
      </c>
      <c r="H2268" t="s">
        <v>749</v>
      </c>
      <c r="I2268" t="s">
        <v>743</v>
      </c>
      <c r="J2268" t="s">
        <v>379</v>
      </c>
      <c r="K2268" t="s">
        <v>546</v>
      </c>
      <c r="L2268" s="784" t="s">
        <v>575</v>
      </c>
      <c r="M2268" t="s">
        <v>745</v>
      </c>
      <c r="N2268" s="784" t="s">
        <v>575</v>
      </c>
      <c r="P2268" t="s">
        <v>1887</v>
      </c>
      <c r="R2268" t="s">
        <v>148</v>
      </c>
      <c r="S2268" t="s">
        <v>145</v>
      </c>
      <c r="U2268">
        <v>3</v>
      </c>
      <c r="V2268" t="s">
        <v>544</v>
      </c>
      <c r="W2268" t="s">
        <v>562</v>
      </c>
      <c r="X2268" s="784">
        <v>234645958.63289919</v>
      </c>
    </row>
    <row r="2269" spans="1:24">
      <c r="A2269" t="s">
        <v>358</v>
      </c>
      <c r="B2269" t="s">
        <v>582</v>
      </c>
      <c r="C2269" t="s">
        <v>189</v>
      </c>
      <c r="D2269" t="s">
        <v>129</v>
      </c>
      <c r="E2269" t="s">
        <v>377</v>
      </c>
      <c r="F2269" t="s">
        <v>384</v>
      </c>
      <c r="G2269" t="s">
        <v>335</v>
      </c>
      <c r="H2269" t="s">
        <v>749</v>
      </c>
      <c r="I2269" t="s">
        <v>743</v>
      </c>
      <c r="J2269" t="s">
        <v>379</v>
      </c>
      <c r="K2269" t="s">
        <v>546</v>
      </c>
      <c r="L2269" s="784" t="s">
        <v>575</v>
      </c>
      <c r="M2269" t="s">
        <v>745</v>
      </c>
      <c r="N2269" s="784" t="s">
        <v>575</v>
      </c>
      <c r="P2269" t="s">
        <v>1887</v>
      </c>
      <c r="R2269" t="s">
        <v>150</v>
      </c>
      <c r="S2269" t="s">
        <v>145</v>
      </c>
      <c r="U2269">
        <v>2</v>
      </c>
      <c r="V2269" t="s">
        <v>544</v>
      </c>
      <c r="W2269" t="s">
        <v>583</v>
      </c>
      <c r="X2269" s="784">
        <v>91590910.247314155</v>
      </c>
    </row>
    <row r="2270" spans="1:24">
      <c r="A2270" t="s">
        <v>358</v>
      </c>
      <c r="B2270" t="s">
        <v>584</v>
      </c>
      <c r="C2270" t="s">
        <v>190</v>
      </c>
      <c r="D2270" t="s">
        <v>126</v>
      </c>
      <c r="E2270" t="s">
        <v>377</v>
      </c>
      <c r="F2270" t="s">
        <v>384</v>
      </c>
      <c r="G2270" t="s">
        <v>335</v>
      </c>
      <c r="H2270" t="s">
        <v>749</v>
      </c>
      <c r="I2270" t="s">
        <v>743</v>
      </c>
      <c r="J2270" t="s">
        <v>379</v>
      </c>
      <c r="K2270" t="s">
        <v>546</v>
      </c>
      <c r="L2270" s="784" t="s">
        <v>575</v>
      </c>
      <c r="M2270" t="s">
        <v>745</v>
      </c>
      <c r="N2270" s="784" t="s">
        <v>575</v>
      </c>
      <c r="P2270" t="s">
        <v>1887</v>
      </c>
      <c r="R2270" t="s">
        <v>322</v>
      </c>
      <c r="S2270" t="s">
        <v>146</v>
      </c>
      <c r="U2270">
        <v>0</v>
      </c>
      <c r="V2270" t="s">
        <v>541</v>
      </c>
      <c r="W2270" t="s">
        <v>546</v>
      </c>
      <c r="X2270" s="784">
        <v>8560012.8840167802</v>
      </c>
    </row>
    <row r="2271" spans="1:24">
      <c r="A2271" t="s">
        <v>358</v>
      </c>
      <c r="B2271" t="s">
        <v>585</v>
      </c>
      <c r="C2271" t="s">
        <v>191</v>
      </c>
      <c r="D2271" t="s">
        <v>130</v>
      </c>
      <c r="E2271" t="s">
        <v>377</v>
      </c>
      <c r="F2271" t="s">
        <v>384</v>
      </c>
      <c r="G2271" t="s">
        <v>335</v>
      </c>
      <c r="H2271" t="s">
        <v>749</v>
      </c>
      <c r="I2271" t="s">
        <v>743</v>
      </c>
      <c r="J2271" t="s">
        <v>379</v>
      </c>
      <c r="K2271" t="s">
        <v>546</v>
      </c>
      <c r="L2271" s="784" t="s">
        <v>575</v>
      </c>
      <c r="M2271" t="s">
        <v>745</v>
      </c>
      <c r="N2271" s="784" t="s">
        <v>575</v>
      </c>
      <c r="P2271" t="s">
        <v>1887</v>
      </c>
      <c r="R2271" t="s">
        <v>152</v>
      </c>
      <c r="S2271" t="s">
        <v>146</v>
      </c>
      <c r="U2271">
        <v>0</v>
      </c>
      <c r="V2271" t="s">
        <v>544</v>
      </c>
      <c r="W2271" t="s">
        <v>546</v>
      </c>
      <c r="X2271" s="784">
        <v>3292372960.3962669</v>
      </c>
    </row>
    <row r="2272" spans="1:24">
      <c r="A2272" t="s">
        <v>358</v>
      </c>
      <c r="B2272" t="s">
        <v>586</v>
      </c>
      <c r="C2272" t="s">
        <v>192</v>
      </c>
      <c r="D2272" t="s">
        <v>129</v>
      </c>
      <c r="E2272" t="s">
        <v>377</v>
      </c>
      <c r="F2272" t="s">
        <v>384</v>
      </c>
      <c r="G2272" t="s">
        <v>335</v>
      </c>
      <c r="H2272" t="s">
        <v>749</v>
      </c>
      <c r="I2272" t="s">
        <v>743</v>
      </c>
      <c r="J2272" t="s">
        <v>379</v>
      </c>
      <c r="K2272" t="s">
        <v>546</v>
      </c>
      <c r="L2272" s="784" t="s">
        <v>575</v>
      </c>
      <c r="M2272" t="s">
        <v>745</v>
      </c>
      <c r="N2272" s="784" t="s">
        <v>575</v>
      </c>
      <c r="P2272" t="s">
        <v>1887</v>
      </c>
      <c r="R2272" t="s">
        <v>150</v>
      </c>
      <c r="S2272" t="s">
        <v>145</v>
      </c>
      <c r="U2272">
        <v>0</v>
      </c>
      <c r="V2272" t="s">
        <v>544</v>
      </c>
      <c r="W2272" t="s">
        <v>562</v>
      </c>
      <c r="X2272" s="784">
        <v>519209981.22981054</v>
      </c>
    </row>
    <row r="2273" spans="1:24">
      <c r="A2273" t="s">
        <v>358</v>
      </c>
      <c r="B2273" t="s">
        <v>587</v>
      </c>
      <c r="C2273" t="s">
        <v>193</v>
      </c>
      <c r="D2273" t="s">
        <v>127</v>
      </c>
      <c r="E2273" t="s">
        <v>377</v>
      </c>
      <c r="F2273" t="s">
        <v>384</v>
      </c>
      <c r="G2273" t="s">
        <v>335</v>
      </c>
      <c r="H2273" t="s">
        <v>749</v>
      </c>
      <c r="I2273" t="s">
        <v>743</v>
      </c>
      <c r="J2273" t="s">
        <v>379</v>
      </c>
      <c r="K2273" t="s">
        <v>546</v>
      </c>
      <c r="L2273" s="784" t="s">
        <v>575</v>
      </c>
      <c r="M2273" t="s">
        <v>745</v>
      </c>
      <c r="N2273" s="784" t="s">
        <v>575</v>
      </c>
      <c r="P2273" t="s">
        <v>1887</v>
      </c>
      <c r="R2273" t="s">
        <v>550</v>
      </c>
      <c r="S2273" t="s">
        <v>146</v>
      </c>
      <c r="U2273">
        <v>0</v>
      </c>
      <c r="V2273" t="s">
        <v>544</v>
      </c>
      <c r="W2273" t="s">
        <v>575</v>
      </c>
      <c r="X2273" s="784">
        <v>3464739907.1604805</v>
      </c>
    </row>
    <row r="2274" spans="1:24">
      <c r="A2274" t="s">
        <v>358</v>
      </c>
      <c r="B2274" t="s">
        <v>588</v>
      </c>
      <c r="C2274" t="s">
        <v>147</v>
      </c>
      <c r="D2274" t="s">
        <v>130</v>
      </c>
      <c r="E2274" t="s">
        <v>377</v>
      </c>
      <c r="F2274" t="s">
        <v>384</v>
      </c>
      <c r="G2274" t="s">
        <v>335</v>
      </c>
      <c r="H2274" t="s">
        <v>749</v>
      </c>
      <c r="I2274" t="s">
        <v>743</v>
      </c>
      <c r="J2274" t="s">
        <v>379</v>
      </c>
      <c r="K2274" t="s">
        <v>546</v>
      </c>
      <c r="L2274" s="784" t="s">
        <v>575</v>
      </c>
      <c r="M2274" t="s">
        <v>745</v>
      </c>
      <c r="N2274" s="784" t="s">
        <v>575</v>
      </c>
      <c r="P2274" t="s">
        <v>1887</v>
      </c>
      <c r="R2274" t="s">
        <v>152</v>
      </c>
      <c r="S2274" t="s">
        <v>146</v>
      </c>
      <c r="U2274">
        <v>0</v>
      </c>
      <c r="V2274" t="s">
        <v>541</v>
      </c>
      <c r="W2274" t="s">
        <v>575</v>
      </c>
      <c r="X2274" s="784">
        <v>9948521252.2569065</v>
      </c>
    </row>
    <row r="2275" spans="1:24">
      <c r="A2275" t="s">
        <v>358</v>
      </c>
      <c r="B2275" t="s">
        <v>589</v>
      </c>
      <c r="C2275" t="s">
        <v>194</v>
      </c>
      <c r="D2275" t="s">
        <v>131</v>
      </c>
      <c r="E2275" t="s">
        <v>377</v>
      </c>
      <c r="F2275" t="s">
        <v>384</v>
      </c>
      <c r="G2275" t="s">
        <v>335</v>
      </c>
      <c r="H2275" t="s">
        <v>749</v>
      </c>
      <c r="I2275" t="s">
        <v>743</v>
      </c>
      <c r="J2275" t="s">
        <v>379</v>
      </c>
      <c r="K2275" t="s">
        <v>546</v>
      </c>
      <c r="L2275" s="784" t="s">
        <v>575</v>
      </c>
      <c r="M2275" t="s">
        <v>745</v>
      </c>
      <c r="N2275" s="784" t="s">
        <v>575</v>
      </c>
      <c r="P2275" t="s">
        <v>1887</v>
      </c>
      <c r="R2275" t="s">
        <v>150</v>
      </c>
      <c r="S2275" t="s">
        <v>145</v>
      </c>
      <c r="U2275">
        <v>1</v>
      </c>
      <c r="V2275" t="s">
        <v>544</v>
      </c>
      <c r="W2275" t="s">
        <v>542</v>
      </c>
      <c r="X2275" s="784">
        <v>33679192.765657313</v>
      </c>
    </row>
    <row r="2276" spans="1:24">
      <c r="A2276" t="s">
        <v>358</v>
      </c>
      <c r="B2276" t="s">
        <v>590</v>
      </c>
      <c r="C2276" t="s">
        <v>195</v>
      </c>
      <c r="D2276" t="s">
        <v>130</v>
      </c>
      <c r="E2276" t="s">
        <v>377</v>
      </c>
      <c r="F2276" t="s">
        <v>384</v>
      </c>
      <c r="G2276" t="s">
        <v>335</v>
      </c>
      <c r="H2276" t="s">
        <v>749</v>
      </c>
      <c r="I2276" t="s">
        <v>743</v>
      </c>
      <c r="J2276" t="s">
        <v>379</v>
      </c>
      <c r="K2276" t="s">
        <v>546</v>
      </c>
      <c r="L2276" s="784" t="s">
        <v>575</v>
      </c>
      <c r="M2276" t="s">
        <v>745</v>
      </c>
      <c r="N2276" s="784" t="s">
        <v>575</v>
      </c>
      <c r="P2276" t="s">
        <v>1887</v>
      </c>
      <c r="R2276" t="s">
        <v>152</v>
      </c>
      <c r="S2276" t="s">
        <v>145</v>
      </c>
      <c r="U2276">
        <v>0</v>
      </c>
      <c r="V2276" t="s">
        <v>541</v>
      </c>
      <c r="W2276" t="s">
        <v>548</v>
      </c>
      <c r="X2276" s="784">
        <v>22784494.365742501</v>
      </c>
    </row>
    <row r="2277" spans="1:24">
      <c r="A2277" t="s">
        <v>358</v>
      </c>
      <c r="B2277" t="s">
        <v>591</v>
      </c>
      <c r="C2277" t="s">
        <v>196</v>
      </c>
      <c r="D2277" t="s">
        <v>130</v>
      </c>
      <c r="E2277" t="s">
        <v>377</v>
      </c>
      <c r="F2277" t="s">
        <v>384</v>
      </c>
      <c r="G2277" t="s">
        <v>335</v>
      </c>
      <c r="H2277" t="s">
        <v>749</v>
      </c>
      <c r="I2277" t="s">
        <v>743</v>
      </c>
      <c r="J2277" t="s">
        <v>379</v>
      </c>
      <c r="K2277" t="s">
        <v>546</v>
      </c>
      <c r="L2277" s="784" t="s">
        <v>575</v>
      </c>
      <c r="M2277" t="s">
        <v>745</v>
      </c>
      <c r="N2277" s="784" t="s">
        <v>575</v>
      </c>
      <c r="P2277" t="s">
        <v>1887</v>
      </c>
      <c r="R2277" t="s">
        <v>152</v>
      </c>
      <c r="S2277" t="s">
        <v>146</v>
      </c>
      <c r="U2277">
        <v>0</v>
      </c>
      <c r="V2277" t="s">
        <v>541</v>
      </c>
      <c r="W2277" t="s">
        <v>575</v>
      </c>
      <c r="X2277" s="784">
        <v>2173208011.4858823</v>
      </c>
    </row>
    <row r="2278" spans="1:24">
      <c r="A2278" t="s">
        <v>358</v>
      </c>
      <c r="B2278" t="s">
        <v>592</v>
      </c>
      <c r="C2278" t="s">
        <v>197</v>
      </c>
      <c r="D2278" t="s">
        <v>130</v>
      </c>
      <c r="E2278" t="s">
        <v>377</v>
      </c>
      <c r="F2278" t="s">
        <v>384</v>
      </c>
      <c r="G2278" t="s">
        <v>335</v>
      </c>
      <c r="H2278" t="s">
        <v>749</v>
      </c>
      <c r="I2278" t="s">
        <v>743</v>
      </c>
      <c r="J2278" t="s">
        <v>379</v>
      </c>
      <c r="K2278" t="s">
        <v>546</v>
      </c>
      <c r="L2278" s="784" t="s">
        <v>575</v>
      </c>
      <c r="M2278" t="s">
        <v>745</v>
      </c>
      <c r="N2278" s="784" t="s">
        <v>575</v>
      </c>
      <c r="P2278" t="s">
        <v>1887</v>
      </c>
      <c r="R2278" t="s">
        <v>152</v>
      </c>
      <c r="S2278" t="s">
        <v>146</v>
      </c>
      <c r="U2278">
        <v>0</v>
      </c>
      <c r="V2278" t="s">
        <v>544</v>
      </c>
      <c r="W2278" t="s">
        <v>546</v>
      </c>
      <c r="X2278" s="784">
        <v>4585736158.8323269</v>
      </c>
    </row>
    <row r="2279" spans="1:24">
      <c r="A2279" t="s">
        <v>358</v>
      </c>
      <c r="B2279" t="s">
        <v>593</v>
      </c>
      <c r="C2279" t="s">
        <v>198</v>
      </c>
      <c r="D2279" t="s">
        <v>131</v>
      </c>
      <c r="E2279" t="s">
        <v>377</v>
      </c>
      <c r="F2279" t="s">
        <v>384</v>
      </c>
      <c r="G2279" t="s">
        <v>335</v>
      </c>
      <c r="H2279" t="s">
        <v>749</v>
      </c>
      <c r="I2279" t="s">
        <v>743</v>
      </c>
      <c r="J2279" t="s">
        <v>379</v>
      </c>
      <c r="K2279" t="s">
        <v>546</v>
      </c>
      <c r="L2279" s="784" t="s">
        <v>575</v>
      </c>
      <c r="M2279" t="s">
        <v>745</v>
      </c>
      <c r="N2279" s="784" t="s">
        <v>575</v>
      </c>
      <c r="P2279" t="s">
        <v>1887</v>
      </c>
      <c r="R2279" t="s">
        <v>150</v>
      </c>
      <c r="S2279" t="s">
        <v>145</v>
      </c>
      <c r="U2279">
        <v>0</v>
      </c>
      <c r="V2279" t="s">
        <v>544</v>
      </c>
      <c r="W2279" t="s">
        <v>546</v>
      </c>
      <c r="X2279" s="784">
        <v>3550291584.8645592</v>
      </c>
    </row>
    <row r="2280" spans="1:24">
      <c r="A2280" t="s">
        <v>358</v>
      </c>
      <c r="B2280" t="s">
        <v>594</v>
      </c>
      <c r="C2280" t="s">
        <v>199</v>
      </c>
      <c r="D2280" t="s">
        <v>130</v>
      </c>
      <c r="E2280" t="s">
        <v>377</v>
      </c>
      <c r="F2280" t="s">
        <v>384</v>
      </c>
      <c r="G2280" t="s">
        <v>335</v>
      </c>
      <c r="H2280" t="s">
        <v>749</v>
      </c>
      <c r="I2280" t="s">
        <v>743</v>
      </c>
      <c r="J2280" t="s">
        <v>379</v>
      </c>
      <c r="K2280" t="s">
        <v>546</v>
      </c>
      <c r="L2280" s="784" t="s">
        <v>575</v>
      </c>
      <c r="M2280" t="s">
        <v>745</v>
      </c>
      <c r="N2280" s="784" t="s">
        <v>575</v>
      </c>
      <c r="P2280" t="s">
        <v>1887</v>
      </c>
      <c r="R2280" t="s">
        <v>150</v>
      </c>
      <c r="S2280" t="s">
        <v>145</v>
      </c>
      <c r="U2280">
        <v>0</v>
      </c>
      <c r="V2280" t="s">
        <v>544</v>
      </c>
      <c r="W2280" t="s">
        <v>546</v>
      </c>
      <c r="X2280" s="784">
        <v>1182840319.0410969</v>
      </c>
    </row>
    <row r="2281" spans="1:24">
      <c r="A2281" t="s">
        <v>358</v>
      </c>
      <c r="B2281" t="s">
        <v>595</v>
      </c>
      <c r="C2281" t="s">
        <v>200</v>
      </c>
      <c r="D2281" t="s">
        <v>130</v>
      </c>
      <c r="E2281" t="s">
        <v>377</v>
      </c>
      <c r="F2281" t="s">
        <v>384</v>
      </c>
      <c r="G2281" t="s">
        <v>335</v>
      </c>
      <c r="H2281" t="s">
        <v>749</v>
      </c>
      <c r="I2281" t="s">
        <v>743</v>
      </c>
      <c r="J2281" t="s">
        <v>379</v>
      </c>
      <c r="K2281" t="s">
        <v>546</v>
      </c>
      <c r="L2281" s="784" t="s">
        <v>575</v>
      </c>
      <c r="M2281" t="s">
        <v>745</v>
      </c>
      <c r="N2281" s="784" t="s">
        <v>575</v>
      </c>
      <c r="P2281" t="s">
        <v>1887</v>
      </c>
      <c r="R2281" t="s">
        <v>152</v>
      </c>
      <c r="S2281" t="s">
        <v>146</v>
      </c>
      <c r="U2281">
        <v>0</v>
      </c>
      <c r="V2281" t="s">
        <v>544</v>
      </c>
      <c r="W2281" t="s">
        <v>575</v>
      </c>
      <c r="X2281" s="784">
        <v>81728347.604567245</v>
      </c>
    </row>
    <row r="2282" spans="1:24">
      <c r="A2282" t="s">
        <v>358</v>
      </c>
      <c r="B2282" t="s">
        <v>596</v>
      </c>
      <c r="C2282" t="s">
        <v>201</v>
      </c>
      <c r="D2282" t="s">
        <v>128</v>
      </c>
      <c r="E2282" t="s">
        <v>377</v>
      </c>
      <c r="F2282" t="s">
        <v>384</v>
      </c>
      <c r="G2282" t="s">
        <v>335</v>
      </c>
      <c r="H2282" t="s">
        <v>749</v>
      </c>
      <c r="I2282" t="s">
        <v>743</v>
      </c>
      <c r="J2282" t="s">
        <v>379</v>
      </c>
      <c r="K2282" t="s">
        <v>546</v>
      </c>
      <c r="L2282" s="784" t="s">
        <v>575</v>
      </c>
      <c r="M2282" t="s">
        <v>745</v>
      </c>
      <c r="N2282" s="784" t="s">
        <v>575</v>
      </c>
      <c r="P2282" t="s">
        <v>1887</v>
      </c>
      <c r="R2282" t="s">
        <v>148</v>
      </c>
      <c r="S2282" t="s">
        <v>145</v>
      </c>
      <c r="U2282">
        <v>2</v>
      </c>
      <c r="V2282" t="s">
        <v>544</v>
      </c>
      <c r="W2282" t="s">
        <v>546</v>
      </c>
      <c r="X2282" s="784">
        <v>12787914.977715338</v>
      </c>
    </row>
    <row r="2283" spans="1:24">
      <c r="A2283" t="s">
        <v>358</v>
      </c>
      <c r="B2283" t="s">
        <v>597</v>
      </c>
      <c r="C2283" t="s">
        <v>202</v>
      </c>
      <c r="D2283" t="s">
        <v>128</v>
      </c>
      <c r="E2283" t="s">
        <v>377</v>
      </c>
      <c r="F2283" t="s">
        <v>384</v>
      </c>
      <c r="G2283" t="s">
        <v>335</v>
      </c>
      <c r="H2283" t="s">
        <v>749</v>
      </c>
      <c r="I2283" t="s">
        <v>743</v>
      </c>
      <c r="J2283" t="s">
        <v>379</v>
      </c>
      <c r="K2283" t="s">
        <v>546</v>
      </c>
      <c r="L2283" s="784" t="s">
        <v>575</v>
      </c>
      <c r="M2283" t="s">
        <v>745</v>
      </c>
      <c r="N2283" s="784" t="s">
        <v>575</v>
      </c>
      <c r="P2283" t="s">
        <v>1887</v>
      </c>
      <c r="R2283" t="s">
        <v>150</v>
      </c>
      <c r="S2283" t="s">
        <v>145</v>
      </c>
      <c r="U2283">
        <v>2</v>
      </c>
      <c r="V2283" t="s">
        <v>544</v>
      </c>
      <c r="W2283" t="s">
        <v>546</v>
      </c>
      <c r="X2283" s="784">
        <v>101271737.65410839</v>
      </c>
    </row>
    <row r="2284" spans="1:24">
      <c r="A2284" t="s">
        <v>358</v>
      </c>
      <c r="B2284" t="s">
        <v>598</v>
      </c>
      <c r="C2284" t="s">
        <v>203</v>
      </c>
      <c r="D2284" t="s">
        <v>128</v>
      </c>
      <c r="E2284" t="s">
        <v>377</v>
      </c>
      <c r="F2284" t="s">
        <v>384</v>
      </c>
      <c r="G2284" t="s">
        <v>335</v>
      </c>
      <c r="H2284" t="s">
        <v>749</v>
      </c>
      <c r="I2284" t="s">
        <v>743</v>
      </c>
      <c r="J2284" t="s">
        <v>379</v>
      </c>
      <c r="K2284" t="s">
        <v>546</v>
      </c>
      <c r="L2284" s="784" t="s">
        <v>575</v>
      </c>
      <c r="M2284" t="s">
        <v>745</v>
      </c>
      <c r="N2284" s="784" t="s">
        <v>575</v>
      </c>
      <c r="P2284" t="s">
        <v>1887</v>
      </c>
      <c r="R2284" t="s">
        <v>148</v>
      </c>
      <c r="S2284" t="s">
        <v>145</v>
      </c>
      <c r="U2284">
        <v>3</v>
      </c>
      <c r="V2284" t="s">
        <v>544</v>
      </c>
      <c r="W2284" t="s">
        <v>542</v>
      </c>
      <c r="X2284" s="784">
        <v>618344226.71759331</v>
      </c>
    </row>
    <row r="2285" spans="1:24">
      <c r="A2285" t="s">
        <v>358</v>
      </c>
      <c r="B2285" t="s">
        <v>599</v>
      </c>
      <c r="C2285" t="s">
        <v>204</v>
      </c>
      <c r="D2285" t="s">
        <v>126</v>
      </c>
      <c r="E2285" t="s">
        <v>377</v>
      </c>
      <c r="F2285" t="s">
        <v>384</v>
      </c>
      <c r="G2285" t="s">
        <v>335</v>
      </c>
      <c r="H2285" t="s">
        <v>749</v>
      </c>
      <c r="I2285" t="s">
        <v>743</v>
      </c>
      <c r="J2285" t="s">
        <v>379</v>
      </c>
      <c r="K2285" t="s">
        <v>546</v>
      </c>
      <c r="L2285" s="784">
        <v>0</v>
      </c>
      <c r="M2285" t="s">
        <v>745</v>
      </c>
      <c r="N2285" s="784" t="s">
        <v>575</v>
      </c>
      <c r="P2285" t="s">
        <v>1887</v>
      </c>
      <c r="R2285" t="s">
        <v>152</v>
      </c>
      <c r="S2285" t="s">
        <v>145</v>
      </c>
      <c r="U2285">
        <v>0</v>
      </c>
      <c r="V2285" t="s">
        <v>541</v>
      </c>
      <c r="W2285" t="s">
        <v>548</v>
      </c>
      <c r="X2285" s="784">
        <v>129483872.95906857</v>
      </c>
    </row>
    <row r="2286" spans="1:24">
      <c r="A2286" t="s">
        <v>358</v>
      </c>
      <c r="B2286" t="s">
        <v>600</v>
      </c>
      <c r="C2286" t="s">
        <v>205</v>
      </c>
      <c r="D2286" t="s">
        <v>129</v>
      </c>
      <c r="E2286" t="s">
        <v>377</v>
      </c>
      <c r="F2286" t="s">
        <v>384</v>
      </c>
      <c r="G2286" t="s">
        <v>335</v>
      </c>
      <c r="H2286" t="s">
        <v>749</v>
      </c>
      <c r="I2286" t="s">
        <v>743</v>
      </c>
      <c r="J2286" t="s">
        <v>379</v>
      </c>
      <c r="K2286" t="s">
        <v>546</v>
      </c>
      <c r="L2286" s="784" t="s">
        <v>575</v>
      </c>
      <c r="M2286" t="s">
        <v>745</v>
      </c>
      <c r="N2286" s="784" t="s">
        <v>575</v>
      </c>
      <c r="P2286" t="s">
        <v>1887</v>
      </c>
      <c r="R2286" t="s">
        <v>152</v>
      </c>
      <c r="S2286" t="s">
        <v>146</v>
      </c>
      <c r="U2286">
        <v>0</v>
      </c>
      <c r="V2286" t="s">
        <v>544</v>
      </c>
      <c r="W2286" t="s">
        <v>546</v>
      </c>
      <c r="X2286" s="784">
        <v>271184658.35014349</v>
      </c>
    </row>
    <row r="2287" spans="1:24">
      <c r="A2287" t="s">
        <v>358</v>
      </c>
      <c r="B2287" t="s">
        <v>601</v>
      </c>
      <c r="C2287" t="s">
        <v>206</v>
      </c>
      <c r="D2287" t="s">
        <v>129</v>
      </c>
      <c r="E2287" t="s">
        <v>377</v>
      </c>
      <c r="F2287" t="s">
        <v>384</v>
      </c>
      <c r="G2287" t="s">
        <v>335</v>
      </c>
      <c r="H2287" t="s">
        <v>749</v>
      </c>
      <c r="I2287" t="s">
        <v>743</v>
      </c>
      <c r="J2287" t="s">
        <v>379</v>
      </c>
      <c r="K2287" t="s">
        <v>546</v>
      </c>
      <c r="L2287" s="784" t="s">
        <v>575</v>
      </c>
      <c r="M2287" t="s">
        <v>745</v>
      </c>
      <c r="N2287" s="784" t="s">
        <v>575</v>
      </c>
      <c r="P2287" t="s">
        <v>1887</v>
      </c>
      <c r="R2287" t="s">
        <v>148</v>
      </c>
      <c r="S2287" t="s">
        <v>145</v>
      </c>
      <c r="U2287">
        <v>0</v>
      </c>
      <c r="V2287" t="s">
        <v>544</v>
      </c>
      <c r="W2287" t="s">
        <v>542</v>
      </c>
      <c r="X2287" s="784">
        <v>15455265.086884515</v>
      </c>
    </row>
    <row r="2288" spans="1:24">
      <c r="A2288" t="s">
        <v>358</v>
      </c>
      <c r="B2288" t="s">
        <v>602</v>
      </c>
      <c r="C2288" t="s">
        <v>207</v>
      </c>
      <c r="D2288" t="s">
        <v>127</v>
      </c>
      <c r="E2288" t="s">
        <v>377</v>
      </c>
      <c r="F2288" t="s">
        <v>384</v>
      </c>
      <c r="G2288" t="s">
        <v>335</v>
      </c>
      <c r="H2288" t="s">
        <v>749</v>
      </c>
      <c r="I2288" t="s">
        <v>743</v>
      </c>
      <c r="J2288" t="s">
        <v>379</v>
      </c>
      <c r="K2288" t="s">
        <v>546</v>
      </c>
      <c r="L2288" s="784" t="s">
        <v>575</v>
      </c>
      <c r="M2288" t="s">
        <v>745</v>
      </c>
      <c r="N2288" s="784" t="s">
        <v>575</v>
      </c>
      <c r="P2288" t="s">
        <v>1887</v>
      </c>
      <c r="R2288" t="s">
        <v>152</v>
      </c>
      <c r="S2288" t="s">
        <v>146</v>
      </c>
      <c r="U2288">
        <v>0</v>
      </c>
      <c r="V2288" t="s">
        <v>544</v>
      </c>
      <c r="W2288" t="s">
        <v>546</v>
      </c>
      <c r="X2288" s="784">
        <v>494021502.525527</v>
      </c>
    </row>
    <row r="2289" spans="1:24">
      <c r="A2289" t="s">
        <v>358</v>
      </c>
      <c r="B2289" t="s">
        <v>603</v>
      </c>
      <c r="C2289" t="s">
        <v>208</v>
      </c>
      <c r="D2289" t="s">
        <v>129</v>
      </c>
      <c r="E2289" t="s">
        <v>377</v>
      </c>
      <c r="F2289" t="s">
        <v>384</v>
      </c>
      <c r="G2289" t="s">
        <v>335</v>
      </c>
      <c r="H2289" t="s">
        <v>749</v>
      </c>
      <c r="I2289" t="s">
        <v>743</v>
      </c>
      <c r="J2289" t="s">
        <v>379</v>
      </c>
      <c r="K2289" t="s">
        <v>546</v>
      </c>
      <c r="L2289" s="784" t="s">
        <v>575</v>
      </c>
      <c r="M2289" t="s">
        <v>745</v>
      </c>
      <c r="N2289" s="784" t="s">
        <v>575</v>
      </c>
      <c r="P2289" t="s">
        <v>1887</v>
      </c>
      <c r="R2289" t="s">
        <v>150</v>
      </c>
      <c r="S2289" t="s">
        <v>145</v>
      </c>
      <c r="U2289">
        <v>0</v>
      </c>
      <c r="V2289" t="s">
        <v>544</v>
      </c>
      <c r="W2289" t="s">
        <v>542</v>
      </c>
      <c r="X2289" s="784">
        <v>902005621.73836684</v>
      </c>
    </row>
    <row r="2290" spans="1:24">
      <c r="A2290" t="s">
        <v>358</v>
      </c>
      <c r="B2290" t="s">
        <v>604</v>
      </c>
      <c r="C2290" t="s">
        <v>209</v>
      </c>
      <c r="D2290" t="s">
        <v>130</v>
      </c>
      <c r="E2290" t="s">
        <v>377</v>
      </c>
      <c r="F2290" t="s">
        <v>384</v>
      </c>
      <c r="G2290" t="s">
        <v>335</v>
      </c>
      <c r="H2290" t="s">
        <v>749</v>
      </c>
      <c r="I2290" t="s">
        <v>743</v>
      </c>
      <c r="J2290" t="s">
        <v>379</v>
      </c>
      <c r="K2290" t="s">
        <v>546</v>
      </c>
      <c r="L2290" s="784" t="s">
        <v>575</v>
      </c>
      <c r="M2290" t="s">
        <v>745</v>
      </c>
      <c r="N2290" s="784" t="s">
        <v>575</v>
      </c>
      <c r="P2290" t="s">
        <v>1887</v>
      </c>
      <c r="R2290" t="s">
        <v>152</v>
      </c>
      <c r="S2290" t="s">
        <v>145</v>
      </c>
      <c r="U2290">
        <v>0</v>
      </c>
      <c r="V2290" t="s">
        <v>541</v>
      </c>
      <c r="W2290" t="s">
        <v>583</v>
      </c>
      <c r="X2290" s="784">
        <v>20201670.142996579</v>
      </c>
    </row>
    <row r="2291" spans="1:24">
      <c r="A2291" t="s">
        <v>358</v>
      </c>
      <c r="B2291" t="s">
        <v>605</v>
      </c>
      <c r="C2291" t="s">
        <v>210</v>
      </c>
      <c r="D2291" t="s">
        <v>130</v>
      </c>
      <c r="E2291" t="s">
        <v>377</v>
      </c>
      <c r="F2291" t="s">
        <v>384</v>
      </c>
      <c r="G2291" t="s">
        <v>335</v>
      </c>
      <c r="H2291" t="s">
        <v>749</v>
      </c>
      <c r="I2291" t="s">
        <v>743</v>
      </c>
      <c r="J2291" t="s">
        <v>379</v>
      </c>
      <c r="K2291" t="s">
        <v>546</v>
      </c>
      <c r="L2291" s="784" t="s">
        <v>575</v>
      </c>
      <c r="M2291" t="s">
        <v>745</v>
      </c>
      <c r="N2291" s="784" t="s">
        <v>575</v>
      </c>
      <c r="P2291" t="s">
        <v>1887</v>
      </c>
      <c r="R2291" t="s">
        <v>152</v>
      </c>
      <c r="S2291" t="s">
        <v>146</v>
      </c>
      <c r="U2291">
        <v>0</v>
      </c>
      <c r="V2291" t="s">
        <v>544</v>
      </c>
      <c r="W2291" t="s">
        <v>575</v>
      </c>
      <c r="X2291" s="784">
        <v>1612434649.6948864</v>
      </c>
    </row>
    <row r="2292" spans="1:24">
      <c r="A2292" t="s">
        <v>358</v>
      </c>
      <c r="B2292" t="s">
        <v>606</v>
      </c>
      <c r="C2292" t="s">
        <v>211</v>
      </c>
      <c r="D2292" t="s">
        <v>129</v>
      </c>
      <c r="E2292" t="s">
        <v>377</v>
      </c>
      <c r="F2292" t="s">
        <v>384</v>
      </c>
      <c r="G2292" t="s">
        <v>335</v>
      </c>
      <c r="H2292" t="s">
        <v>749</v>
      </c>
      <c r="I2292" t="s">
        <v>743</v>
      </c>
      <c r="J2292" t="s">
        <v>379</v>
      </c>
      <c r="K2292" t="s">
        <v>546</v>
      </c>
      <c r="L2292" s="784" t="s">
        <v>575</v>
      </c>
      <c r="M2292" t="s">
        <v>745</v>
      </c>
      <c r="N2292" s="784" t="s">
        <v>575</v>
      </c>
      <c r="P2292" t="s">
        <v>1887</v>
      </c>
      <c r="R2292" t="s">
        <v>148</v>
      </c>
      <c r="S2292" t="s">
        <v>145</v>
      </c>
      <c r="U2292">
        <v>0</v>
      </c>
      <c r="V2292" t="s">
        <v>544</v>
      </c>
      <c r="W2292" t="s">
        <v>562</v>
      </c>
      <c r="X2292" s="784">
        <v>78203134.118229344</v>
      </c>
    </row>
    <row r="2293" spans="1:24">
      <c r="A2293" t="s">
        <v>358</v>
      </c>
      <c r="B2293" t="s">
        <v>607</v>
      </c>
      <c r="C2293" t="s">
        <v>212</v>
      </c>
      <c r="D2293" t="s">
        <v>129</v>
      </c>
      <c r="E2293" t="s">
        <v>377</v>
      </c>
      <c r="F2293" t="s">
        <v>384</v>
      </c>
      <c r="G2293" t="s">
        <v>335</v>
      </c>
      <c r="H2293" t="s">
        <v>749</v>
      </c>
      <c r="I2293" t="s">
        <v>743</v>
      </c>
      <c r="J2293" t="s">
        <v>379</v>
      </c>
      <c r="K2293" t="s">
        <v>546</v>
      </c>
      <c r="L2293" s="784" t="s">
        <v>575</v>
      </c>
      <c r="M2293" t="s">
        <v>745</v>
      </c>
      <c r="N2293" s="784" t="s">
        <v>575</v>
      </c>
      <c r="P2293" t="s">
        <v>1887</v>
      </c>
      <c r="R2293" t="s">
        <v>148</v>
      </c>
      <c r="S2293" t="s">
        <v>145</v>
      </c>
      <c r="U2293">
        <v>2</v>
      </c>
      <c r="V2293" t="s">
        <v>541</v>
      </c>
      <c r="W2293" t="s">
        <v>542</v>
      </c>
      <c r="X2293" s="784">
        <v>9151637.7411015611</v>
      </c>
    </row>
    <row r="2294" spans="1:24">
      <c r="A2294" t="s">
        <v>358</v>
      </c>
      <c r="B2294" t="s">
        <v>608</v>
      </c>
      <c r="C2294" t="s">
        <v>213</v>
      </c>
      <c r="D2294" t="s">
        <v>130</v>
      </c>
      <c r="E2294" t="s">
        <v>377</v>
      </c>
      <c r="F2294" t="s">
        <v>384</v>
      </c>
      <c r="G2294" t="s">
        <v>335</v>
      </c>
      <c r="H2294" t="s">
        <v>749</v>
      </c>
      <c r="I2294" t="s">
        <v>743</v>
      </c>
      <c r="J2294" t="s">
        <v>379</v>
      </c>
      <c r="K2294" t="s">
        <v>546</v>
      </c>
      <c r="L2294" s="784" t="s">
        <v>575</v>
      </c>
      <c r="M2294" t="s">
        <v>745</v>
      </c>
      <c r="N2294" s="784" t="s">
        <v>575</v>
      </c>
      <c r="P2294" t="s">
        <v>1887</v>
      </c>
      <c r="R2294" t="s">
        <v>152</v>
      </c>
      <c r="S2294" t="s">
        <v>145</v>
      </c>
      <c r="U2294">
        <v>0</v>
      </c>
      <c r="V2294" t="s">
        <v>541</v>
      </c>
      <c r="W2294" t="s">
        <v>562</v>
      </c>
      <c r="X2294" s="784">
        <v>142455920.02856269</v>
      </c>
    </row>
    <row r="2295" spans="1:24">
      <c r="A2295" t="s">
        <v>358</v>
      </c>
      <c r="B2295" t="s">
        <v>609</v>
      </c>
      <c r="C2295" t="s">
        <v>214</v>
      </c>
      <c r="D2295" t="s">
        <v>130</v>
      </c>
      <c r="E2295" t="s">
        <v>377</v>
      </c>
      <c r="F2295" t="s">
        <v>384</v>
      </c>
      <c r="G2295" t="s">
        <v>335</v>
      </c>
      <c r="H2295" t="s">
        <v>749</v>
      </c>
      <c r="I2295" t="s">
        <v>743</v>
      </c>
      <c r="J2295" t="s">
        <v>379</v>
      </c>
      <c r="K2295" t="s">
        <v>546</v>
      </c>
      <c r="L2295" s="784" t="s">
        <v>575</v>
      </c>
      <c r="M2295" t="s">
        <v>745</v>
      </c>
      <c r="N2295" s="784" t="s">
        <v>575</v>
      </c>
      <c r="P2295" t="s">
        <v>1887</v>
      </c>
      <c r="R2295" t="s">
        <v>150</v>
      </c>
      <c r="S2295" t="s">
        <v>145</v>
      </c>
      <c r="U2295">
        <v>1</v>
      </c>
      <c r="V2295" t="s">
        <v>541</v>
      </c>
      <c r="W2295" t="s">
        <v>542</v>
      </c>
      <c r="X2295" s="784">
        <v>85611818.171245083</v>
      </c>
    </row>
    <row r="2296" spans="1:24">
      <c r="A2296" t="s">
        <v>358</v>
      </c>
      <c r="B2296" t="s">
        <v>610</v>
      </c>
      <c r="C2296" t="s">
        <v>215</v>
      </c>
      <c r="D2296" t="s">
        <v>130</v>
      </c>
      <c r="E2296" t="s">
        <v>377</v>
      </c>
      <c r="F2296" t="s">
        <v>384</v>
      </c>
      <c r="G2296" t="s">
        <v>335</v>
      </c>
      <c r="H2296" t="s">
        <v>749</v>
      </c>
      <c r="I2296" t="s">
        <v>743</v>
      </c>
      <c r="J2296" t="s">
        <v>379</v>
      </c>
      <c r="K2296" t="s">
        <v>546</v>
      </c>
      <c r="L2296" s="784" t="s">
        <v>575</v>
      </c>
      <c r="M2296" t="s">
        <v>745</v>
      </c>
      <c r="N2296" s="784" t="s">
        <v>575</v>
      </c>
      <c r="P2296" t="s">
        <v>1887</v>
      </c>
      <c r="R2296" t="s">
        <v>150</v>
      </c>
      <c r="S2296" t="s">
        <v>145</v>
      </c>
      <c r="U2296">
        <v>0</v>
      </c>
      <c r="V2296" t="s">
        <v>544</v>
      </c>
      <c r="W2296" t="s">
        <v>558</v>
      </c>
      <c r="X2296" s="784">
        <v>680289736.30082119</v>
      </c>
    </row>
    <row r="2297" spans="1:24">
      <c r="A2297" t="s">
        <v>358</v>
      </c>
      <c r="B2297" t="s">
        <v>611</v>
      </c>
      <c r="C2297" t="s">
        <v>216</v>
      </c>
      <c r="D2297" t="s">
        <v>132</v>
      </c>
      <c r="E2297" t="s">
        <v>377</v>
      </c>
      <c r="F2297" t="s">
        <v>384</v>
      </c>
      <c r="G2297" t="s">
        <v>335</v>
      </c>
      <c r="H2297" t="s">
        <v>749</v>
      </c>
      <c r="I2297" t="s">
        <v>743</v>
      </c>
      <c r="J2297" t="s">
        <v>379</v>
      </c>
      <c r="K2297" t="s">
        <v>546</v>
      </c>
      <c r="L2297" s="784" t="s">
        <v>575</v>
      </c>
      <c r="M2297" t="s">
        <v>745</v>
      </c>
      <c r="N2297" s="784" t="s">
        <v>575</v>
      </c>
      <c r="P2297" t="s">
        <v>1887</v>
      </c>
      <c r="R2297" t="s">
        <v>150</v>
      </c>
      <c r="S2297" t="s">
        <v>145</v>
      </c>
      <c r="U2297">
        <v>0</v>
      </c>
      <c r="V2297" t="s">
        <v>544</v>
      </c>
      <c r="W2297" t="s">
        <v>546</v>
      </c>
      <c r="X2297" s="784">
        <v>26554332750.47023</v>
      </c>
    </row>
    <row r="2298" spans="1:24">
      <c r="A2298" t="s">
        <v>358</v>
      </c>
      <c r="B2298" t="s">
        <v>612</v>
      </c>
      <c r="C2298" t="s">
        <v>217</v>
      </c>
      <c r="D2298" t="s">
        <v>126</v>
      </c>
      <c r="E2298" t="s">
        <v>377</v>
      </c>
      <c r="F2298" t="s">
        <v>384</v>
      </c>
      <c r="G2298" t="s">
        <v>335</v>
      </c>
      <c r="H2298" t="s">
        <v>749</v>
      </c>
      <c r="I2298" t="s">
        <v>743</v>
      </c>
      <c r="J2298" t="s">
        <v>379</v>
      </c>
      <c r="K2298" t="s">
        <v>546</v>
      </c>
      <c r="L2298" s="784">
        <v>5452817</v>
      </c>
      <c r="M2298" t="s">
        <v>745</v>
      </c>
      <c r="N2298" s="784" t="s">
        <v>575</v>
      </c>
      <c r="P2298" t="s">
        <v>1887</v>
      </c>
      <c r="R2298" t="s">
        <v>150</v>
      </c>
      <c r="S2298" t="s">
        <v>145</v>
      </c>
      <c r="U2298">
        <v>0</v>
      </c>
      <c r="V2298" t="s">
        <v>544</v>
      </c>
      <c r="W2298" t="s">
        <v>546</v>
      </c>
      <c r="X2298" s="784">
        <v>14745961064.890842</v>
      </c>
    </row>
    <row r="2299" spans="1:24">
      <c r="A2299" t="s">
        <v>358</v>
      </c>
      <c r="B2299" t="s">
        <v>613</v>
      </c>
      <c r="C2299" t="s">
        <v>149</v>
      </c>
      <c r="D2299" t="s">
        <v>131</v>
      </c>
      <c r="E2299" t="s">
        <v>377</v>
      </c>
      <c r="F2299" t="s">
        <v>384</v>
      </c>
      <c r="G2299" t="s">
        <v>335</v>
      </c>
      <c r="H2299" t="s">
        <v>749</v>
      </c>
      <c r="I2299" t="s">
        <v>743</v>
      </c>
      <c r="J2299" t="s">
        <v>379</v>
      </c>
      <c r="K2299" t="s">
        <v>546</v>
      </c>
      <c r="L2299" s="784" t="s">
        <v>575</v>
      </c>
      <c r="M2299" t="s">
        <v>745</v>
      </c>
      <c r="N2299" s="784" t="s">
        <v>575</v>
      </c>
      <c r="P2299" t="s">
        <v>1887</v>
      </c>
      <c r="R2299" t="s">
        <v>150</v>
      </c>
      <c r="S2299" t="s">
        <v>146</v>
      </c>
      <c r="U2299">
        <v>0</v>
      </c>
      <c r="V2299" t="s">
        <v>544</v>
      </c>
      <c r="W2299" t="s">
        <v>546</v>
      </c>
      <c r="X2299" s="784">
        <v>18194076299.786381</v>
      </c>
    </row>
    <row r="2300" spans="1:24">
      <c r="A2300" t="s">
        <v>358</v>
      </c>
      <c r="B2300" t="s">
        <v>614</v>
      </c>
      <c r="C2300" t="s">
        <v>218</v>
      </c>
      <c r="D2300" t="s">
        <v>131</v>
      </c>
      <c r="E2300" t="s">
        <v>377</v>
      </c>
      <c r="F2300" t="s">
        <v>384</v>
      </c>
      <c r="G2300" t="s">
        <v>335</v>
      </c>
      <c r="H2300" t="s">
        <v>749</v>
      </c>
      <c r="I2300" t="s">
        <v>743</v>
      </c>
      <c r="J2300" t="s">
        <v>379</v>
      </c>
      <c r="K2300" t="s">
        <v>546</v>
      </c>
      <c r="L2300" s="784" t="s">
        <v>575</v>
      </c>
      <c r="M2300" t="s">
        <v>745</v>
      </c>
      <c r="N2300" s="784" t="s">
        <v>575</v>
      </c>
      <c r="P2300" t="s">
        <v>1887</v>
      </c>
      <c r="R2300" t="s">
        <v>152</v>
      </c>
      <c r="S2300" t="s">
        <v>146</v>
      </c>
      <c r="U2300">
        <v>0</v>
      </c>
      <c r="V2300" t="s">
        <v>544</v>
      </c>
      <c r="W2300" t="s">
        <v>546</v>
      </c>
      <c r="X2300" s="784">
        <v>4428819387.769825</v>
      </c>
    </row>
    <row r="2301" spans="1:24">
      <c r="A2301" t="s">
        <v>358</v>
      </c>
      <c r="B2301" t="s">
        <v>615</v>
      </c>
      <c r="C2301" t="s">
        <v>219</v>
      </c>
      <c r="D2301" t="s">
        <v>130</v>
      </c>
      <c r="E2301" t="s">
        <v>377</v>
      </c>
      <c r="F2301" t="s">
        <v>384</v>
      </c>
      <c r="G2301" t="s">
        <v>335</v>
      </c>
      <c r="H2301" t="s">
        <v>749</v>
      </c>
      <c r="I2301" t="s">
        <v>743</v>
      </c>
      <c r="J2301" t="s">
        <v>379</v>
      </c>
      <c r="K2301" t="s">
        <v>546</v>
      </c>
      <c r="L2301" s="784" t="s">
        <v>575</v>
      </c>
      <c r="M2301" t="s">
        <v>745</v>
      </c>
      <c r="N2301" s="784" t="s">
        <v>575</v>
      </c>
      <c r="P2301" t="s">
        <v>1887</v>
      </c>
      <c r="R2301" t="s">
        <v>152</v>
      </c>
      <c r="S2301" t="s">
        <v>146</v>
      </c>
      <c r="U2301">
        <v>0</v>
      </c>
      <c r="V2301" t="s">
        <v>541</v>
      </c>
      <c r="W2301" t="s">
        <v>575</v>
      </c>
      <c r="X2301" s="784">
        <v>611739560.62679195</v>
      </c>
    </row>
    <row r="2302" spans="1:24">
      <c r="A2302" t="s">
        <v>358</v>
      </c>
      <c r="B2302" t="s">
        <v>616</v>
      </c>
      <c r="C2302" t="s">
        <v>220</v>
      </c>
      <c r="D2302" t="s">
        <v>131</v>
      </c>
      <c r="E2302" t="s">
        <v>377</v>
      </c>
      <c r="F2302" t="s">
        <v>384</v>
      </c>
      <c r="G2302" t="s">
        <v>335</v>
      </c>
      <c r="H2302" t="s">
        <v>749</v>
      </c>
      <c r="I2302" t="s">
        <v>743</v>
      </c>
      <c r="J2302" t="s">
        <v>379</v>
      </c>
      <c r="K2302" t="s">
        <v>546</v>
      </c>
      <c r="L2302" s="784" t="s">
        <v>575</v>
      </c>
      <c r="M2302" t="s">
        <v>745</v>
      </c>
      <c r="N2302" s="784" t="s">
        <v>575</v>
      </c>
      <c r="P2302" t="s">
        <v>1887</v>
      </c>
      <c r="R2302" t="s">
        <v>152</v>
      </c>
      <c r="S2302" t="s">
        <v>146</v>
      </c>
      <c r="U2302">
        <v>0</v>
      </c>
      <c r="V2302" t="s">
        <v>544</v>
      </c>
      <c r="W2302" t="s">
        <v>546</v>
      </c>
      <c r="X2302" s="784">
        <v>1617913383.0481031</v>
      </c>
    </row>
    <row r="2303" spans="1:24">
      <c r="A2303" t="s">
        <v>358</v>
      </c>
      <c r="B2303" t="s">
        <v>617</v>
      </c>
      <c r="C2303" t="s">
        <v>221</v>
      </c>
      <c r="D2303" t="s">
        <v>127</v>
      </c>
      <c r="E2303" t="s">
        <v>377</v>
      </c>
      <c r="F2303" t="s">
        <v>384</v>
      </c>
      <c r="G2303" t="s">
        <v>335</v>
      </c>
      <c r="H2303" t="s">
        <v>749</v>
      </c>
      <c r="I2303" t="s">
        <v>743</v>
      </c>
      <c r="J2303" t="s">
        <v>379</v>
      </c>
      <c r="K2303" t="s">
        <v>546</v>
      </c>
      <c r="L2303" s="784" t="s">
        <v>575</v>
      </c>
      <c r="M2303" t="s">
        <v>745</v>
      </c>
      <c r="N2303" s="784" t="s">
        <v>575</v>
      </c>
      <c r="P2303" t="s">
        <v>1887</v>
      </c>
      <c r="R2303" t="s">
        <v>152</v>
      </c>
      <c r="S2303" t="s">
        <v>146</v>
      </c>
      <c r="U2303">
        <v>0</v>
      </c>
      <c r="V2303" t="s">
        <v>544</v>
      </c>
      <c r="W2303" t="s">
        <v>575</v>
      </c>
      <c r="X2303" s="784">
        <v>3074419112.4562683</v>
      </c>
    </row>
    <row r="2304" spans="1:24">
      <c r="A2304" t="s">
        <v>358</v>
      </c>
      <c r="B2304" t="s">
        <v>618</v>
      </c>
      <c r="C2304" t="s">
        <v>222</v>
      </c>
      <c r="D2304" t="s">
        <v>128</v>
      </c>
      <c r="E2304" t="s">
        <v>377</v>
      </c>
      <c r="F2304" t="s">
        <v>384</v>
      </c>
      <c r="G2304" t="s">
        <v>335</v>
      </c>
      <c r="H2304" t="s">
        <v>749</v>
      </c>
      <c r="I2304" t="s">
        <v>743</v>
      </c>
      <c r="J2304" t="s">
        <v>379</v>
      </c>
      <c r="K2304" t="s">
        <v>546</v>
      </c>
      <c r="L2304" s="784" t="s">
        <v>575</v>
      </c>
      <c r="M2304" t="s">
        <v>745</v>
      </c>
      <c r="N2304" s="784" t="s">
        <v>575</v>
      </c>
      <c r="P2304" t="s">
        <v>1887</v>
      </c>
      <c r="R2304" t="s">
        <v>150</v>
      </c>
      <c r="S2304" t="s">
        <v>145</v>
      </c>
      <c r="U2304">
        <v>0</v>
      </c>
      <c r="V2304" t="s">
        <v>544</v>
      </c>
      <c r="W2304" t="s">
        <v>542</v>
      </c>
      <c r="X2304" s="784">
        <v>1914014279.8929913</v>
      </c>
    </row>
    <row r="2305" spans="1:24">
      <c r="A2305" t="s">
        <v>358</v>
      </c>
      <c r="B2305" t="s">
        <v>619</v>
      </c>
      <c r="C2305" t="s">
        <v>223</v>
      </c>
      <c r="D2305" t="s">
        <v>126</v>
      </c>
      <c r="E2305" t="s">
        <v>377</v>
      </c>
      <c r="F2305" t="s">
        <v>384</v>
      </c>
      <c r="G2305" t="s">
        <v>335</v>
      </c>
      <c r="H2305" t="s">
        <v>749</v>
      </c>
      <c r="I2305" t="s">
        <v>743</v>
      </c>
      <c r="J2305" t="s">
        <v>379</v>
      </c>
      <c r="K2305" t="s">
        <v>546</v>
      </c>
      <c r="L2305" s="784">
        <v>6148491</v>
      </c>
      <c r="M2305" t="s">
        <v>745</v>
      </c>
      <c r="N2305" s="784" t="s">
        <v>575</v>
      </c>
      <c r="P2305" t="s">
        <v>1887</v>
      </c>
      <c r="R2305" t="s">
        <v>150</v>
      </c>
      <c r="S2305" t="s">
        <v>145</v>
      </c>
      <c r="U2305">
        <v>0</v>
      </c>
      <c r="V2305" t="s">
        <v>541</v>
      </c>
      <c r="W2305" t="s">
        <v>542</v>
      </c>
      <c r="X2305" s="784">
        <v>17422005.762907442</v>
      </c>
    </row>
    <row r="2306" spans="1:24">
      <c r="A2306" t="s">
        <v>358</v>
      </c>
      <c r="B2306" t="s">
        <v>620</v>
      </c>
      <c r="C2306" t="s">
        <v>224</v>
      </c>
      <c r="D2306" t="s">
        <v>126</v>
      </c>
      <c r="E2306" t="s">
        <v>377</v>
      </c>
      <c r="F2306" t="s">
        <v>384</v>
      </c>
      <c r="G2306" t="s">
        <v>335</v>
      </c>
      <c r="H2306" t="s">
        <v>749</v>
      </c>
      <c r="I2306" t="s">
        <v>743</v>
      </c>
      <c r="J2306" t="s">
        <v>379</v>
      </c>
      <c r="K2306" t="s">
        <v>546</v>
      </c>
      <c r="L2306" s="784" t="s">
        <v>575</v>
      </c>
      <c r="M2306" t="s">
        <v>745</v>
      </c>
      <c r="N2306" s="784" t="s">
        <v>575</v>
      </c>
      <c r="P2306" t="s">
        <v>1887</v>
      </c>
      <c r="R2306" t="s">
        <v>148</v>
      </c>
      <c r="S2306" t="s">
        <v>145</v>
      </c>
      <c r="U2306">
        <v>0</v>
      </c>
      <c r="V2306" t="s">
        <v>544</v>
      </c>
      <c r="W2306" t="s">
        <v>546</v>
      </c>
      <c r="X2306" s="784" t="s">
        <v>575</v>
      </c>
    </row>
    <row r="2307" spans="1:24">
      <c r="A2307" t="s">
        <v>358</v>
      </c>
      <c r="B2307" t="s">
        <v>621</v>
      </c>
      <c r="C2307" t="s">
        <v>225</v>
      </c>
      <c r="D2307" t="s">
        <v>127</v>
      </c>
      <c r="E2307" t="s">
        <v>377</v>
      </c>
      <c r="F2307" t="s">
        <v>384</v>
      </c>
      <c r="G2307" t="s">
        <v>335</v>
      </c>
      <c r="H2307" t="s">
        <v>749</v>
      </c>
      <c r="I2307" t="s">
        <v>743</v>
      </c>
      <c r="J2307" t="s">
        <v>379</v>
      </c>
      <c r="K2307" t="s">
        <v>546</v>
      </c>
      <c r="L2307" s="784" t="s">
        <v>575</v>
      </c>
      <c r="M2307" t="s">
        <v>745</v>
      </c>
      <c r="N2307" s="784" t="s">
        <v>575</v>
      </c>
      <c r="P2307" t="s">
        <v>1887</v>
      </c>
      <c r="R2307" t="s">
        <v>152</v>
      </c>
      <c r="S2307" t="s">
        <v>145</v>
      </c>
      <c r="U2307">
        <v>0</v>
      </c>
      <c r="V2307" t="s">
        <v>544</v>
      </c>
      <c r="W2307" t="s">
        <v>548</v>
      </c>
      <c r="X2307" s="784" t="s">
        <v>575</v>
      </c>
    </row>
    <row r="2308" spans="1:24">
      <c r="A2308" t="s">
        <v>358</v>
      </c>
      <c r="B2308" t="s">
        <v>622</v>
      </c>
      <c r="C2308" t="s">
        <v>226</v>
      </c>
      <c r="D2308" t="s">
        <v>127</v>
      </c>
      <c r="E2308" t="s">
        <v>377</v>
      </c>
      <c r="F2308" t="s">
        <v>384</v>
      </c>
      <c r="G2308" t="s">
        <v>335</v>
      </c>
      <c r="H2308" t="s">
        <v>749</v>
      </c>
      <c r="I2308" t="s">
        <v>743</v>
      </c>
      <c r="J2308" t="s">
        <v>379</v>
      </c>
      <c r="K2308" t="s">
        <v>546</v>
      </c>
      <c r="L2308" s="784" t="s">
        <v>575</v>
      </c>
      <c r="M2308" t="s">
        <v>745</v>
      </c>
      <c r="N2308" s="784" t="s">
        <v>575</v>
      </c>
      <c r="P2308" t="s">
        <v>1887</v>
      </c>
      <c r="R2308" t="s">
        <v>150</v>
      </c>
      <c r="S2308" t="s">
        <v>145</v>
      </c>
      <c r="U2308">
        <v>2</v>
      </c>
      <c r="V2308" t="s">
        <v>544</v>
      </c>
      <c r="W2308" t="s">
        <v>562</v>
      </c>
      <c r="X2308" s="784">
        <v>231506834.84347546</v>
      </c>
    </row>
    <row r="2309" spans="1:24">
      <c r="A2309" t="s">
        <v>358</v>
      </c>
      <c r="B2309" t="s">
        <v>623</v>
      </c>
      <c r="C2309" t="s">
        <v>227</v>
      </c>
      <c r="D2309" t="s">
        <v>126</v>
      </c>
      <c r="E2309" t="s">
        <v>377</v>
      </c>
      <c r="F2309" t="s">
        <v>384</v>
      </c>
      <c r="G2309" t="s">
        <v>335</v>
      </c>
      <c r="H2309" t="s">
        <v>749</v>
      </c>
      <c r="I2309" t="s">
        <v>743</v>
      </c>
      <c r="J2309" t="s">
        <v>379</v>
      </c>
      <c r="K2309" t="s">
        <v>546</v>
      </c>
      <c r="L2309" s="784">
        <v>2711076</v>
      </c>
      <c r="M2309" t="s">
        <v>745</v>
      </c>
      <c r="N2309" s="784" t="s">
        <v>575</v>
      </c>
      <c r="P2309" t="s">
        <v>1887</v>
      </c>
      <c r="R2309" t="s">
        <v>150</v>
      </c>
      <c r="S2309" t="s">
        <v>145</v>
      </c>
      <c r="U2309">
        <v>0</v>
      </c>
      <c r="V2309" t="s">
        <v>544</v>
      </c>
      <c r="W2309" t="s">
        <v>542</v>
      </c>
      <c r="X2309" s="784">
        <v>156059428.62944782</v>
      </c>
    </row>
    <row r="2310" spans="1:24">
      <c r="A2310" t="s">
        <v>358</v>
      </c>
      <c r="B2310" t="s">
        <v>624</v>
      </c>
      <c r="C2310" t="s">
        <v>228</v>
      </c>
      <c r="D2310" t="s">
        <v>131</v>
      </c>
      <c r="E2310" t="s">
        <v>377</v>
      </c>
      <c r="F2310" t="s">
        <v>384</v>
      </c>
      <c r="G2310" t="s">
        <v>335</v>
      </c>
      <c r="H2310" t="s">
        <v>749</v>
      </c>
      <c r="I2310" t="s">
        <v>743</v>
      </c>
      <c r="J2310" t="s">
        <v>379</v>
      </c>
      <c r="K2310" t="s">
        <v>546</v>
      </c>
      <c r="L2310" s="784" t="s">
        <v>575</v>
      </c>
      <c r="M2310" t="s">
        <v>745</v>
      </c>
      <c r="N2310" s="784" t="s">
        <v>575</v>
      </c>
      <c r="P2310" t="s">
        <v>1887</v>
      </c>
      <c r="R2310" t="s">
        <v>152</v>
      </c>
      <c r="S2310" t="s">
        <v>146</v>
      </c>
      <c r="U2310">
        <v>0</v>
      </c>
      <c r="V2310" t="s">
        <v>544</v>
      </c>
      <c r="W2310" t="s">
        <v>546</v>
      </c>
      <c r="X2310" s="784">
        <v>2355391507.1635861</v>
      </c>
    </row>
    <row r="2311" spans="1:24">
      <c r="A2311" t="s">
        <v>358</v>
      </c>
      <c r="B2311" t="s">
        <v>625</v>
      </c>
      <c r="C2311" t="s">
        <v>229</v>
      </c>
      <c r="D2311" t="s">
        <v>128</v>
      </c>
      <c r="E2311" t="s">
        <v>377</v>
      </c>
      <c r="F2311" t="s">
        <v>384</v>
      </c>
      <c r="G2311" t="s">
        <v>335</v>
      </c>
      <c r="H2311" t="s">
        <v>749</v>
      </c>
      <c r="I2311" t="s">
        <v>743</v>
      </c>
      <c r="J2311" t="s">
        <v>379</v>
      </c>
      <c r="K2311" t="s">
        <v>546</v>
      </c>
      <c r="L2311" s="784" t="s">
        <v>575</v>
      </c>
      <c r="M2311" t="s">
        <v>745</v>
      </c>
      <c r="N2311" s="784" t="s">
        <v>575</v>
      </c>
      <c r="P2311" t="s">
        <v>1887</v>
      </c>
      <c r="R2311" t="s">
        <v>150</v>
      </c>
      <c r="S2311" t="s">
        <v>145</v>
      </c>
      <c r="U2311">
        <v>0</v>
      </c>
      <c r="V2311" t="s">
        <v>544</v>
      </c>
      <c r="W2311" t="s">
        <v>562</v>
      </c>
      <c r="X2311" s="784">
        <v>152760919.7684873</v>
      </c>
    </row>
    <row r="2312" spans="1:24">
      <c r="A2312" t="s">
        <v>358</v>
      </c>
      <c r="B2312" t="s">
        <v>626</v>
      </c>
      <c r="C2312" t="s">
        <v>230</v>
      </c>
      <c r="D2312" t="s">
        <v>129</v>
      </c>
      <c r="E2312" t="s">
        <v>377</v>
      </c>
      <c r="F2312" t="s">
        <v>384</v>
      </c>
      <c r="G2312" t="s">
        <v>335</v>
      </c>
      <c r="H2312" t="s">
        <v>749</v>
      </c>
      <c r="I2312" t="s">
        <v>743</v>
      </c>
      <c r="J2312" t="s">
        <v>379</v>
      </c>
      <c r="K2312" t="s">
        <v>546</v>
      </c>
      <c r="L2312" s="784" t="s">
        <v>575</v>
      </c>
      <c r="M2312" t="s">
        <v>745</v>
      </c>
      <c r="N2312" s="784" t="s">
        <v>575</v>
      </c>
      <c r="P2312" t="s">
        <v>1887</v>
      </c>
      <c r="R2312" t="s">
        <v>148</v>
      </c>
      <c r="S2312" t="s">
        <v>145</v>
      </c>
      <c r="U2312">
        <v>0</v>
      </c>
      <c r="V2312" t="s">
        <v>544</v>
      </c>
      <c r="W2312" t="s">
        <v>542</v>
      </c>
      <c r="X2312" s="784">
        <v>55072006.864440605</v>
      </c>
    </row>
    <row r="2313" spans="1:24">
      <c r="A2313" t="s">
        <v>358</v>
      </c>
      <c r="B2313" t="s">
        <v>627</v>
      </c>
      <c r="C2313" t="s">
        <v>231</v>
      </c>
      <c r="D2313" t="s">
        <v>131</v>
      </c>
      <c r="E2313" t="s">
        <v>377</v>
      </c>
      <c r="F2313" t="s">
        <v>384</v>
      </c>
      <c r="G2313" t="s">
        <v>335</v>
      </c>
      <c r="H2313" t="s">
        <v>749</v>
      </c>
      <c r="I2313" t="s">
        <v>743</v>
      </c>
      <c r="J2313" t="s">
        <v>379</v>
      </c>
      <c r="K2313" t="s">
        <v>546</v>
      </c>
      <c r="L2313" s="784" t="s">
        <v>575</v>
      </c>
      <c r="M2313" t="s">
        <v>745</v>
      </c>
      <c r="N2313" s="784" t="s">
        <v>575</v>
      </c>
      <c r="P2313" t="s">
        <v>1887</v>
      </c>
      <c r="R2313" t="s">
        <v>152</v>
      </c>
      <c r="S2313" t="s">
        <v>146</v>
      </c>
      <c r="U2313">
        <v>0</v>
      </c>
      <c r="V2313" t="s">
        <v>544</v>
      </c>
      <c r="W2313" t="s">
        <v>546</v>
      </c>
      <c r="X2313" s="784" t="s">
        <v>575</v>
      </c>
    </row>
    <row r="2314" spans="1:24">
      <c r="A2314" t="s">
        <v>358</v>
      </c>
      <c r="B2314" t="s">
        <v>628</v>
      </c>
      <c r="C2314" t="s">
        <v>232</v>
      </c>
      <c r="D2314" t="s">
        <v>128</v>
      </c>
      <c r="E2314" t="s">
        <v>377</v>
      </c>
      <c r="F2314" t="s">
        <v>384</v>
      </c>
      <c r="G2314" t="s">
        <v>335</v>
      </c>
      <c r="H2314" t="s">
        <v>749</v>
      </c>
      <c r="I2314" t="s">
        <v>743</v>
      </c>
      <c r="J2314" t="s">
        <v>379</v>
      </c>
      <c r="K2314" t="s">
        <v>546</v>
      </c>
      <c r="L2314" s="784" t="s">
        <v>575</v>
      </c>
      <c r="M2314" t="s">
        <v>745</v>
      </c>
      <c r="N2314" s="784" t="s">
        <v>575</v>
      </c>
      <c r="P2314" t="s">
        <v>1887</v>
      </c>
      <c r="R2314" t="s">
        <v>148</v>
      </c>
      <c r="S2314" t="s">
        <v>145</v>
      </c>
      <c r="U2314">
        <v>2</v>
      </c>
      <c r="V2314" t="s">
        <v>544</v>
      </c>
      <c r="W2314" t="s">
        <v>562</v>
      </c>
      <c r="X2314" s="784">
        <v>206914157.05429548</v>
      </c>
    </row>
    <row r="2315" spans="1:24">
      <c r="A2315" t="s">
        <v>358</v>
      </c>
      <c r="B2315" t="s">
        <v>629</v>
      </c>
      <c r="C2315" t="s">
        <v>233</v>
      </c>
      <c r="D2315" t="s">
        <v>128</v>
      </c>
      <c r="E2315" t="s">
        <v>377</v>
      </c>
      <c r="F2315" t="s">
        <v>384</v>
      </c>
      <c r="G2315" t="s">
        <v>335</v>
      </c>
      <c r="H2315" t="s">
        <v>749</v>
      </c>
      <c r="I2315" t="s">
        <v>743</v>
      </c>
      <c r="J2315" t="s">
        <v>379</v>
      </c>
      <c r="K2315" t="s">
        <v>546</v>
      </c>
      <c r="L2315" s="784" t="s">
        <v>575</v>
      </c>
      <c r="M2315" t="s">
        <v>745</v>
      </c>
      <c r="N2315" s="784" t="s">
        <v>575</v>
      </c>
      <c r="P2315" t="s">
        <v>1887</v>
      </c>
      <c r="R2315" t="s">
        <v>148</v>
      </c>
      <c r="S2315" t="s">
        <v>145</v>
      </c>
      <c r="U2315">
        <v>2</v>
      </c>
      <c r="V2315" t="s">
        <v>544</v>
      </c>
      <c r="W2315" t="s">
        <v>542</v>
      </c>
      <c r="X2315" s="784">
        <v>185999915.02066413</v>
      </c>
    </row>
    <row r="2316" spans="1:24">
      <c r="A2316" t="s">
        <v>358</v>
      </c>
      <c r="B2316" t="s">
        <v>630</v>
      </c>
      <c r="C2316" t="s">
        <v>234</v>
      </c>
      <c r="D2316" t="s">
        <v>126</v>
      </c>
      <c r="E2316" t="s">
        <v>377</v>
      </c>
      <c r="F2316" t="s">
        <v>384</v>
      </c>
      <c r="G2316" t="s">
        <v>335</v>
      </c>
      <c r="H2316" t="s">
        <v>749</v>
      </c>
      <c r="I2316" t="s">
        <v>743</v>
      </c>
      <c r="J2316" t="s">
        <v>379</v>
      </c>
      <c r="K2316" t="s">
        <v>546</v>
      </c>
      <c r="L2316" s="784">
        <v>10290519</v>
      </c>
      <c r="M2316" t="s">
        <v>745</v>
      </c>
      <c r="N2316" s="784" t="s">
        <v>575</v>
      </c>
      <c r="P2316" t="s">
        <v>1887</v>
      </c>
      <c r="R2316" t="s">
        <v>152</v>
      </c>
      <c r="S2316" t="s">
        <v>146</v>
      </c>
      <c r="U2316">
        <v>0</v>
      </c>
      <c r="V2316" t="s">
        <v>544</v>
      </c>
      <c r="W2316" t="s">
        <v>575</v>
      </c>
      <c r="X2316" s="784">
        <v>6893755763.2501726</v>
      </c>
    </row>
    <row r="2317" spans="1:24">
      <c r="A2317" t="s">
        <v>358</v>
      </c>
      <c r="B2317" t="s">
        <v>631</v>
      </c>
      <c r="C2317" t="s">
        <v>235</v>
      </c>
      <c r="D2317" t="s">
        <v>132</v>
      </c>
      <c r="E2317" t="s">
        <v>377</v>
      </c>
      <c r="F2317" t="s">
        <v>384</v>
      </c>
      <c r="G2317" t="s">
        <v>335</v>
      </c>
      <c r="H2317" t="s">
        <v>749</v>
      </c>
      <c r="I2317" t="s">
        <v>743</v>
      </c>
      <c r="J2317" t="s">
        <v>379</v>
      </c>
      <c r="K2317" t="s">
        <v>546</v>
      </c>
      <c r="L2317" s="784" t="s">
        <v>575</v>
      </c>
      <c r="M2317" t="s">
        <v>745</v>
      </c>
      <c r="N2317" s="784" t="s">
        <v>575</v>
      </c>
      <c r="P2317" t="s">
        <v>1887</v>
      </c>
      <c r="R2317" t="s">
        <v>152</v>
      </c>
      <c r="S2317" t="s">
        <v>145</v>
      </c>
      <c r="U2317">
        <v>0</v>
      </c>
      <c r="V2317" t="s">
        <v>541</v>
      </c>
      <c r="W2317" t="s">
        <v>542</v>
      </c>
      <c r="X2317" s="784">
        <v>354560231.58276606</v>
      </c>
    </row>
    <row r="2318" spans="1:24">
      <c r="A2318" t="s">
        <v>358</v>
      </c>
      <c r="B2318" t="s">
        <v>632</v>
      </c>
      <c r="C2318" t="s">
        <v>236</v>
      </c>
      <c r="D2318" t="s">
        <v>129</v>
      </c>
      <c r="E2318" t="s">
        <v>377</v>
      </c>
      <c r="F2318" t="s">
        <v>384</v>
      </c>
      <c r="G2318" t="s">
        <v>335</v>
      </c>
      <c r="H2318" t="s">
        <v>749</v>
      </c>
      <c r="I2318" t="s">
        <v>743</v>
      </c>
      <c r="J2318" t="s">
        <v>379</v>
      </c>
      <c r="K2318" t="s">
        <v>546</v>
      </c>
      <c r="L2318" s="784" t="s">
        <v>575</v>
      </c>
      <c r="M2318" t="s">
        <v>745</v>
      </c>
      <c r="N2318" s="784" t="s">
        <v>575</v>
      </c>
      <c r="P2318" t="s">
        <v>1887</v>
      </c>
      <c r="R2318" t="s">
        <v>148</v>
      </c>
      <c r="S2318" t="s">
        <v>145</v>
      </c>
      <c r="U2318">
        <v>1</v>
      </c>
      <c r="V2318" t="s">
        <v>544</v>
      </c>
      <c r="W2318" t="s">
        <v>562</v>
      </c>
      <c r="X2318" s="784">
        <v>188169167.56540567</v>
      </c>
    </row>
    <row r="2319" spans="1:24">
      <c r="A2319" t="s">
        <v>358</v>
      </c>
      <c r="B2319" t="s">
        <v>633</v>
      </c>
      <c r="C2319" t="s">
        <v>237</v>
      </c>
      <c r="D2319" t="s">
        <v>126</v>
      </c>
      <c r="E2319" t="s">
        <v>377</v>
      </c>
      <c r="F2319" t="s">
        <v>384</v>
      </c>
      <c r="G2319" t="s">
        <v>335</v>
      </c>
      <c r="H2319" t="s">
        <v>749</v>
      </c>
      <c r="I2319" t="s">
        <v>743</v>
      </c>
      <c r="J2319" t="s">
        <v>379</v>
      </c>
      <c r="K2319" t="s">
        <v>546</v>
      </c>
      <c r="L2319" s="784" t="s">
        <v>575</v>
      </c>
      <c r="M2319" t="s">
        <v>745</v>
      </c>
      <c r="N2319" s="784" t="s">
        <v>575</v>
      </c>
      <c r="P2319" t="s">
        <v>1887</v>
      </c>
      <c r="R2319" t="s">
        <v>152</v>
      </c>
      <c r="S2319" t="s">
        <v>145</v>
      </c>
      <c r="U2319">
        <v>0</v>
      </c>
      <c r="V2319" t="s">
        <v>541</v>
      </c>
      <c r="W2319" t="s">
        <v>575</v>
      </c>
      <c r="X2319" s="784">
        <v>16312106.556340856</v>
      </c>
    </row>
    <row r="2320" spans="1:24">
      <c r="A2320" t="s">
        <v>358</v>
      </c>
      <c r="B2320" t="s">
        <v>634</v>
      </c>
      <c r="C2320" t="s">
        <v>238</v>
      </c>
      <c r="D2320" t="s">
        <v>129</v>
      </c>
      <c r="E2320" t="s">
        <v>377</v>
      </c>
      <c r="F2320" t="s">
        <v>384</v>
      </c>
      <c r="G2320" t="s">
        <v>335</v>
      </c>
      <c r="H2320" t="s">
        <v>749</v>
      </c>
      <c r="I2320" t="s">
        <v>743</v>
      </c>
      <c r="J2320" t="s">
        <v>379</v>
      </c>
      <c r="K2320" t="s">
        <v>546</v>
      </c>
      <c r="L2320" s="784" t="s">
        <v>575</v>
      </c>
      <c r="M2320" t="s">
        <v>745</v>
      </c>
      <c r="N2320" s="784" t="s">
        <v>575</v>
      </c>
      <c r="P2320" t="s">
        <v>1887</v>
      </c>
      <c r="R2320" t="s">
        <v>150</v>
      </c>
      <c r="S2320" t="s">
        <v>145</v>
      </c>
      <c r="U2320">
        <v>2</v>
      </c>
      <c r="V2320" t="s">
        <v>544</v>
      </c>
      <c r="W2320" t="s">
        <v>542</v>
      </c>
      <c r="X2320" s="784">
        <v>86083833.534053758</v>
      </c>
    </row>
    <row r="2321" spans="1:24">
      <c r="A2321" t="s">
        <v>358</v>
      </c>
      <c r="B2321" t="s">
        <v>635</v>
      </c>
      <c r="C2321" t="s">
        <v>239</v>
      </c>
      <c r="D2321" t="s">
        <v>128</v>
      </c>
      <c r="E2321" t="s">
        <v>377</v>
      </c>
      <c r="F2321" t="s">
        <v>384</v>
      </c>
      <c r="G2321" t="s">
        <v>335</v>
      </c>
      <c r="H2321" t="s">
        <v>749</v>
      </c>
      <c r="I2321" t="s">
        <v>743</v>
      </c>
      <c r="J2321" t="s">
        <v>379</v>
      </c>
      <c r="K2321" t="s">
        <v>546</v>
      </c>
      <c r="L2321" s="784" t="s">
        <v>575</v>
      </c>
      <c r="M2321" t="s">
        <v>745</v>
      </c>
      <c r="N2321" s="784" t="s">
        <v>575</v>
      </c>
      <c r="P2321" t="s">
        <v>1887</v>
      </c>
      <c r="R2321" t="s">
        <v>152</v>
      </c>
      <c r="S2321" t="s">
        <v>146</v>
      </c>
      <c r="U2321">
        <v>0</v>
      </c>
      <c r="V2321" t="s">
        <v>541</v>
      </c>
      <c r="W2321" t="s">
        <v>546</v>
      </c>
      <c r="X2321" s="784">
        <v>357220835.93762809</v>
      </c>
    </row>
    <row r="2322" spans="1:24">
      <c r="A2322" t="s">
        <v>358</v>
      </c>
      <c r="B2322" t="s">
        <v>636</v>
      </c>
      <c r="C2322" t="s">
        <v>240</v>
      </c>
      <c r="D2322" t="s">
        <v>130</v>
      </c>
      <c r="E2322" t="s">
        <v>377</v>
      </c>
      <c r="F2322" t="s">
        <v>384</v>
      </c>
      <c r="G2322" t="s">
        <v>335</v>
      </c>
      <c r="H2322" t="s">
        <v>749</v>
      </c>
      <c r="I2322" t="s">
        <v>743</v>
      </c>
      <c r="J2322" t="s">
        <v>379</v>
      </c>
      <c r="K2322" t="s">
        <v>546</v>
      </c>
      <c r="L2322" s="784" t="s">
        <v>575</v>
      </c>
      <c r="M2322" t="s">
        <v>745</v>
      </c>
      <c r="N2322" s="784" t="s">
        <v>575</v>
      </c>
      <c r="P2322" t="s">
        <v>1887</v>
      </c>
      <c r="R2322" t="s">
        <v>152</v>
      </c>
      <c r="S2322" t="s">
        <v>146</v>
      </c>
      <c r="U2322">
        <v>0</v>
      </c>
      <c r="V2322" t="s">
        <v>544</v>
      </c>
      <c r="W2322" t="s">
        <v>575</v>
      </c>
      <c r="X2322" s="784">
        <v>32831598153.796387</v>
      </c>
    </row>
    <row r="2323" spans="1:24">
      <c r="A2323" t="s">
        <v>358</v>
      </c>
      <c r="B2323" t="s">
        <v>637</v>
      </c>
      <c r="C2323" t="s">
        <v>241</v>
      </c>
      <c r="D2323" t="s">
        <v>126</v>
      </c>
      <c r="E2323" t="s">
        <v>377</v>
      </c>
      <c r="F2323" t="s">
        <v>384</v>
      </c>
      <c r="G2323" t="s">
        <v>335</v>
      </c>
      <c r="H2323" t="s">
        <v>749</v>
      </c>
      <c r="I2323" t="s">
        <v>743</v>
      </c>
      <c r="J2323" t="s">
        <v>379</v>
      </c>
      <c r="K2323" t="s">
        <v>546</v>
      </c>
      <c r="L2323" s="784" t="s">
        <v>575</v>
      </c>
      <c r="M2323" t="s">
        <v>745</v>
      </c>
      <c r="N2323" s="784" t="s">
        <v>575</v>
      </c>
      <c r="P2323" t="s">
        <v>1887</v>
      </c>
      <c r="R2323" t="s">
        <v>150</v>
      </c>
      <c r="S2323" t="s">
        <v>145</v>
      </c>
      <c r="U2323">
        <v>0</v>
      </c>
      <c r="V2323" t="s">
        <v>541</v>
      </c>
      <c r="W2323" t="s">
        <v>542</v>
      </c>
      <c r="X2323" s="784">
        <v>12329056.093798399</v>
      </c>
    </row>
    <row r="2324" spans="1:24">
      <c r="A2324" t="s">
        <v>358</v>
      </c>
      <c r="B2324" t="s">
        <v>638</v>
      </c>
      <c r="C2324" t="s">
        <v>242</v>
      </c>
      <c r="D2324" t="s">
        <v>127</v>
      </c>
      <c r="E2324" t="s">
        <v>377</v>
      </c>
      <c r="F2324" t="s">
        <v>384</v>
      </c>
      <c r="G2324" t="s">
        <v>335</v>
      </c>
      <c r="H2324" t="s">
        <v>749</v>
      </c>
      <c r="I2324" t="s">
        <v>743</v>
      </c>
      <c r="J2324" t="s">
        <v>379</v>
      </c>
      <c r="K2324" t="s">
        <v>546</v>
      </c>
      <c r="L2324" s="784" t="s">
        <v>575</v>
      </c>
      <c r="M2324" t="s">
        <v>745</v>
      </c>
      <c r="N2324" s="784" t="s">
        <v>575</v>
      </c>
      <c r="P2324" t="s">
        <v>1887</v>
      </c>
      <c r="R2324" t="s">
        <v>152</v>
      </c>
      <c r="S2324" t="s">
        <v>145</v>
      </c>
      <c r="U2324">
        <v>0</v>
      </c>
      <c r="V2324" t="s">
        <v>544</v>
      </c>
      <c r="W2324" t="s">
        <v>558</v>
      </c>
      <c r="X2324" s="784">
        <v>426639742.85328001</v>
      </c>
    </row>
    <row r="2325" spans="1:24">
      <c r="A2325" t="s">
        <v>358</v>
      </c>
      <c r="B2325" t="s">
        <v>639</v>
      </c>
      <c r="C2325" t="s">
        <v>243</v>
      </c>
      <c r="D2325" t="s">
        <v>126</v>
      </c>
      <c r="E2325" t="s">
        <v>377</v>
      </c>
      <c r="F2325" t="s">
        <v>384</v>
      </c>
      <c r="G2325" t="s">
        <v>335</v>
      </c>
      <c r="H2325" t="s">
        <v>749</v>
      </c>
      <c r="I2325" t="s">
        <v>743</v>
      </c>
      <c r="J2325" t="s">
        <v>379</v>
      </c>
      <c r="K2325" t="s">
        <v>546</v>
      </c>
      <c r="L2325" s="784" t="s">
        <v>575</v>
      </c>
      <c r="M2325" t="s">
        <v>745</v>
      </c>
      <c r="N2325" s="784" t="s">
        <v>575</v>
      </c>
      <c r="P2325" t="s">
        <v>1887</v>
      </c>
      <c r="R2325" t="s">
        <v>150</v>
      </c>
      <c r="S2325" t="s">
        <v>145</v>
      </c>
      <c r="U2325">
        <v>0</v>
      </c>
      <c r="V2325" t="s">
        <v>544</v>
      </c>
      <c r="W2325" t="s">
        <v>548</v>
      </c>
      <c r="X2325" s="784">
        <v>288519671.85870522</v>
      </c>
    </row>
    <row r="2326" spans="1:24">
      <c r="A2326" t="s">
        <v>358</v>
      </c>
      <c r="B2326" t="s">
        <v>640</v>
      </c>
      <c r="C2326" t="s">
        <v>244</v>
      </c>
      <c r="D2326" t="s">
        <v>127</v>
      </c>
      <c r="E2326" t="s">
        <v>377</v>
      </c>
      <c r="F2326" t="s">
        <v>384</v>
      </c>
      <c r="G2326" t="s">
        <v>335</v>
      </c>
      <c r="H2326" t="s">
        <v>749</v>
      </c>
      <c r="I2326" t="s">
        <v>743</v>
      </c>
      <c r="J2326" t="s">
        <v>379</v>
      </c>
      <c r="K2326" t="s">
        <v>546</v>
      </c>
      <c r="L2326" s="784" t="s">
        <v>575</v>
      </c>
      <c r="M2326" t="s">
        <v>745</v>
      </c>
      <c r="N2326" s="784" t="s">
        <v>575</v>
      </c>
      <c r="P2326" t="s">
        <v>1887</v>
      </c>
      <c r="R2326" t="s">
        <v>152</v>
      </c>
      <c r="S2326" t="s">
        <v>146</v>
      </c>
      <c r="U2326">
        <v>0</v>
      </c>
      <c r="V2326" t="s">
        <v>544</v>
      </c>
      <c r="W2326" t="s">
        <v>546</v>
      </c>
      <c r="X2326" s="784">
        <v>275606560.78491527</v>
      </c>
    </row>
    <row r="2327" spans="1:24">
      <c r="A2327" t="s">
        <v>358</v>
      </c>
      <c r="B2327" t="s">
        <v>641</v>
      </c>
      <c r="C2327" t="s">
        <v>245</v>
      </c>
      <c r="D2327" t="s">
        <v>131</v>
      </c>
      <c r="E2327" t="s">
        <v>377</v>
      </c>
      <c r="F2327" t="s">
        <v>384</v>
      </c>
      <c r="G2327" t="s">
        <v>335</v>
      </c>
      <c r="H2327" t="s">
        <v>749</v>
      </c>
      <c r="I2327" t="s">
        <v>743</v>
      </c>
      <c r="J2327" t="s">
        <v>379</v>
      </c>
      <c r="K2327" t="s">
        <v>546</v>
      </c>
      <c r="L2327" s="784" t="s">
        <v>575</v>
      </c>
      <c r="M2327" t="s">
        <v>745</v>
      </c>
      <c r="N2327" s="784" t="s">
        <v>575</v>
      </c>
      <c r="P2327" t="s">
        <v>1887</v>
      </c>
      <c r="R2327" t="s">
        <v>150</v>
      </c>
      <c r="S2327" t="s">
        <v>145</v>
      </c>
      <c r="U2327">
        <v>0</v>
      </c>
      <c r="V2327" t="s">
        <v>544</v>
      </c>
      <c r="W2327" t="s">
        <v>546</v>
      </c>
      <c r="X2327" s="784">
        <v>2530937679.3725696</v>
      </c>
    </row>
    <row r="2328" spans="1:24">
      <c r="A2328" t="s">
        <v>358</v>
      </c>
      <c r="B2328" t="s">
        <v>642</v>
      </c>
      <c r="C2328" t="s">
        <v>246</v>
      </c>
      <c r="D2328" t="s">
        <v>128</v>
      </c>
      <c r="E2328" t="s">
        <v>377</v>
      </c>
      <c r="F2328" t="s">
        <v>384</v>
      </c>
      <c r="G2328" t="s">
        <v>335</v>
      </c>
      <c r="H2328" t="s">
        <v>749</v>
      </c>
      <c r="I2328" t="s">
        <v>743</v>
      </c>
      <c r="J2328" t="s">
        <v>379</v>
      </c>
      <c r="K2328" t="s">
        <v>546</v>
      </c>
      <c r="L2328" s="784" t="s">
        <v>575</v>
      </c>
      <c r="M2328" t="s">
        <v>745</v>
      </c>
      <c r="N2328" s="784" t="s">
        <v>575</v>
      </c>
      <c r="P2328" t="s">
        <v>1887</v>
      </c>
      <c r="R2328" t="s">
        <v>148</v>
      </c>
      <c r="S2328" t="s">
        <v>145</v>
      </c>
      <c r="U2328">
        <v>0</v>
      </c>
      <c r="V2328" t="s">
        <v>544</v>
      </c>
      <c r="W2328" t="s">
        <v>583</v>
      </c>
      <c r="X2328" s="784">
        <v>251432156.86255455</v>
      </c>
    </row>
    <row r="2329" spans="1:24">
      <c r="A2329" t="s">
        <v>358</v>
      </c>
      <c r="B2329" t="s">
        <v>643</v>
      </c>
      <c r="C2329" t="s">
        <v>247</v>
      </c>
      <c r="D2329" t="s">
        <v>126</v>
      </c>
      <c r="E2329" t="s">
        <v>377</v>
      </c>
      <c r="F2329" t="s">
        <v>384</v>
      </c>
      <c r="G2329" t="s">
        <v>335</v>
      </c>
      <c r="H2329" t="s">
        <v>749</v>
      </c>
      <c r="I2329" t="s">
        <v>743</v>
      </c>
      <c r="J2329" t="s">
        <v>379</v>
      </c>
      <c r="K2329" t="s">
        <v>546</v>
      </c>
      <c r="L2329" s="784">
        <v>2956038</v>
      </c>
      <c r="M2329" t="s">
        <v>745</v>
      </c>
      <c r="N2329" s="784" t="s">
        <v>575</v>
      </c>
      <c r="P2329" t="s">
        <v>1887</v>
      </c>
      <c r="R2329" t="s">
        <v>150</v>
      </c>
      <c r="S2329" t="s">
        <v>145</v>
      </c>
      <c r="U2329">
        <v>0</v>
      </c>
      <c r="V2329" t="s">
        <v>544</v>
      </c>
      <c r="W2329" t="s">
        <v>558</v>
      </c>
      <c r="X2329" s="784">
        <v>471534500.60109437</v>
      </c>
    </row>
    <row r="2330" spans="1:24">
      <c r="A2330" t="s">
        <v>358</v>
      </c>
      <c r="B2330" t="s">
        <v>644</v>
      </c>
      <c r="C2330" t="s">
        <v>248</v>
      </c>
      <c r="D2330" t="s">
        <v>128</v>
      </c>
      <c r="E2330" t="s">
        <v>377</v>
      </c>
      <c r="F2330" t="s">
        <v>384</v>
      </c>
      <c r="G2330" t="s">
        <v>335</v>
      </c>
      <c r="H2330" t="s">
        <v>749</v>
      </c>
      <c r="I2330" t="s">
        <v>743</v>
      </c>
      <c r="J2330" t="s">
        <v>379</v>
      </c>
      <c r="K2330" t="s">
        <v>546</v>
      </c>
      <c r="L2330" s="784" t="s">
        <v>575</v>
      </c>
      <c r="M2330" t="s">
        <v>745</v>
      </c>
      <c r="N2330" s="784" t="s">
        <v>575</v>
      </c>
      <c r="P2330" t="s">
        <v>1887</v>
      </c>
      <c r="R2330" t="s">
        <v>152</v>
      </c>
      <c r="S2330" t="s">
        <v>146</v>
      </c>
      <c r="U2330">
        <v>0</v>
      </c>
      <c r="V2330" t="s">
        <v>544</v>
      </c>
      <c r="W2330" t="s">
        <v>575</v>
      </c>
      <c r="X2330" s="784">
        <v>531677611.80447447</v>
      </c>
    </row>
    <row r="2331" spans="1:24">
      <c r="A2331" t="s">
        <v>358</v>
      </c>
      <c r="B2331" t="s">
        <v>645</v>
      </c>
      <c r="C2331" t="s">
        <v>249</v>
      </c>
      <c r="D2331" t="s">
        <v>126</v>
      </c>
      <c r="E2331" t="s">
        <v>377</v>
      </c>
      <c r="F2331" t="s">
        <v>384</v>
      </c>
      <c r="G2331" t="s">
        <v>335</v>
      </c>
      <c r="H2331" t="s">
        <v>749</v>
      </c>
      <c r="I2331" t="s">
        <v>743</v>
      </c>
      <c r="J2331" t="s">
        <v>379</v>
      </c>
      <c r="K2331" t="s">
        <v>546</v>
      </c>
      <c r="L2331" s="784">
        <v>0</v>
      </c>
      <c r="M2331" t="s">
        <v>745</v>
      </c>
      <c r="N2331" s="784" t="s">
        <v>575</v>
      </c>
      <c r="P2331" t="s">
        <v>1887</v>
      </c>
      <c r="R2331" t="s">
        <v>550</v>
      </c>
      <c r="S2331" t="s">
        <v>146</v>
      </c>
      <c r="U2331">
        <v>0</v>
      </c>
      <c r="V2331" t="s">
        <v>541</v>
      </c>
      <c r="W2331" t="s">
        <v>575</v>
      </c>
      <c r="X2331" s="784">
        <v>8528751.6418357007</v>
      </c>
    </row>
    <row r="2332" spans="1:24">
      <c r="A2332" t="s">
        <v>358</v>
      </c>
      <c r="B2332" t="s">
        <v>646</v>
      </c>
      <c r="C2332" t="s">
        <v>250</v>
      </c>
      <c r="D2332" t="s">
        <v>132</v>
      </c>
      <c r="E2332" t="s">
        <v>377</v>
      </c>
      <c r="F2332" t="s">
        <v>384</v>
      </c>
      <c r="G2332" t="s">
        <v>335</v>
      </c>
      <c r="H2332" t="s">
        <v>749</v>
      </c>
      <c r="I2332" t="s">
        <v>743</v>
      </c>
      <c r="J2332" t="s">
        <v>379</v>
      </c>
      <c r="K2332" t="s">
        <v>546</v>
      </c>
      <c r="L2332" s="784" t="s">
        <v>575</v>
      </c>
      <c r="M2332" t="s">
        <v>745</v>
      </c>
      <c r="N2332" s="784" t="s">
        <v>575</v>
      </c>
      <c r="P2332" t="s">
        <v>1887</v>
      </c>
      <c r="R2332" t="s">
        <v>150</v>
      </c>
      <c r="S2332" t="s">
        <v>145</v>
      </c>
      <c r="U2332">
        <v>0</v>
      </c>
      <c r="V2332" t="s">
        <v>544</v>
      </c>
      <c r="W2332" t="s">
        <v>558</v>
      </c>
      <c r="X2332" s="784">
        <v>407084543.19089872</v>
      </c>
    </row>
    <row r="2333" spans="1:24">
      <c r="A2333" t="s">
        <v>358</v>
      </c>
      <c r="B2333" t="s">
        <v>647</v>
      </c>
      <c r="C2333" t="s">
        <v>251</v>
      </c>
      <c r="D2333" t="s">
        <v>130</v>
      </c>
      <c r="E2333" t="s">
        <v>377</v>
      </c>
      <c r="F2333" t="s">
        <v>384</v>
      </c>
      <c r="G2333" t="s">
        <v>335</v>
      </c>
      <c r="H2333" t="s">
        <v>749</v>
      </c>
      <c r="I2333" t="s">
        <v>743</v>
      </c>
      <c r="J2333" t="s">
        <v>379</v>
      </c>
      <c r="K2333" t="s">
        <v>546</v>
      </c>
      <c r="L2333" s="784" t="s">
        <v>575</v>
      </c>
      <c r="M2333" t="s">
        <v>745</v>
      </c>
      <c r="N2333" s="784" t="s">
        <v>575</v>
      </c>
      <c r="P2333" t="s">
        <v>1887</v>
      </c>
      <c r="R2333" t="s">
        <v>150</v>
      </c>
      <c r="S2333" t="s">
        <v>145</v>
      </c>
      <c r="U2333">
        <v>0</v>
      </c>
      <c r="V2333" t="s">
        <v>544</v>
      </c>
      <c r="W2333" t="s">
        <v>562</v>
      </c>
      <c r="X2333" s="784">
        <v>671998341.93592453</v>
      </c>
    </row>
    <row r="2334" spans="1:24">
      <c r="A2334" t="s">
        <v>358</v>
      </c>
      <c r="B2334" t="s">
        <v>648</v>
      </c>
      <c r="C2334" t="s">
        <v>252</v>
      </c>
      <c r="D2334" t="s">
        <v>129</v>
      </c>
      <c r="E2334" t="s">
        <v>377</v>
      </c>
      <c r="F2334" t="s">
        <v>384</v>
      </c>
      <c r="G2334" t="s">
        <v>335</v>
      </c>
      <c r="H2334" t="s">
        <v>749</v>
      </c>
      <c r="I2334" t="s">
        <v>743</v>
      </c>
      <c r="J2334" t="s">
        <v>379</v>
      </c>
      <c r="K2334" t="s">
        <v>546</v>
      </c>
      <c r="L2334" s="784" t="s">
        <v>575</v>
      </c>
      <c r="M2334" t="s">
        <v>745</v>
      </c>
      <c r="N2334" s="784" t="s">
        <v>575</v>
      </c>
      <c r="P2334" t="s">
        <v>1887</v>
      </c>
      <c r="R2334" t="s">
        <v>148</v>
      </c>
      <c r="S2334" t="s">
        <v>145</v>
      </c>
      <c r="U2334">
        <v>1</v>
      </c>
      <c r="V2334" t="s">
        <v>544</v>
      </c>
      <c r="W2334" t="s">
        <v>562</v>
      </c>
      <c r="X2334" s="784">
        <v>226203289.67158964</v>
      </c>
    </row>
    <row r="2335" spans="1:24">
      <c r="A2335" t="s">
        <v>358</v>
      </c>
      <c r="B2335" t="s">
        <v>649</v>
      </c>
      <c r="C2335" t="s">
        <v>253</v>
      </c>
      <c r="D2335" t="s">
        <v>129</v>
      </c>
      <c r="E2335" t="s">
        <v>377</v>
      </c>
      <c r="F2335" t="s">
        <v>384</v>
      </c>
      <c r="G2335" t="s">
        <v>335</v>
      </c>
      <c r="H2335" t="s">
        <v>749</v>
      </c>
      <c r="I2335" t="s">
        <v>743</v>
      </c>
      <c r="J2335" t="s">
        <v>379</v>
      </c>
      <c r="K2335" t="s">
        <v>546</v>
      </c>
      <c r="L2335" s="784" t="s">
        <v>575</v>
      </c>
      <c r="M2335" t="s">
        <v>745</v>
      </c>
      <c r="N2335" s="784" t="s">
        <v>575</v>
      </c>
      <c r="P2335" t="s">
        <v>1887</v>
      </c>
      <c r="R2335" t="s">
        <v>150</v>
      </c>
      <c r="S2335" t="s">
        <v>145</v>
      </c>
      <c r="U2335">
        <v>3</v>
      </c>
      <c r="V2335" t="s">
        <v>544</v>
      </c>
      <c r="W2335" t="s">
        <v>548</v>
      </c>
      <c r="X2335" s="784">
        <v>2438881113.1244688</v>
      </c>
    </row>
    <row r="2336" spans="1:24">
      <c r="A2336" t="s">
        <v>358</v>
      </c>
      <c r="B2336" t="s">
        <v>650</v>
      </c>
      <c r="C2336" t="s">
        <v>254</v>
      </c>
      <c r="D2336" t="s">
        <v>127</v>
      </c>
      <c r="E2336" t="s">
        <v>377</v>
      </c>
      <c r="F2336" t="s">
        <v>384</v>
      </c>
      <c r="G2336" t="s">
        <v>335</v>
      </c>
      <c r="H2336" t="s">
        <v>749</v>
      </c>
      <c r="I2336" t="s">
        <v>743</v>
      </c>
      <c r="J2336" t="s">
        <v>379</v>
      </c>
      <c r="K2336" t="s">
        <v>546</v>
      </c>
      <c r="L2336" s="784" t="s">
        <v>575</v>
      </c>
      <c r="M2336" t="s">
        <v>745</v>
      </c>
      <c r="N2336" s="784" t="s">
        <v>575</v>
      </c>
      <c r="P2336" t="s">
        <v>1887</v>
      </c>
      <c r="R2336" t="s">
        <v>152</v>
      </c>
      <c r="S2336" t="s">
        <v>146</v>
      </c>
      <c r="U2336">
        <v>0</v>
      </c>
      <c r="V2336" t="s">
        <v>544</v>
      </c>
      <c r="W2336" t="s">
        <v>575</v>
      </c>
      <c r="X2336" s="784">
        <v>476517795.73174149</v>
      </c>
    </row>
    <row r="2337" spans="1:24">
      <c r="A2337" t="s">
        <v>358</v>
      </c>
      <c r="B2337" t="s">
        <v>651</v>
      </c>
      <c r="C2337" t="s">
        <v>255</v>
      </c>
      <c r="D2337" t="s">
        <v>132</v>
      </c>
      <c r="E2337" t="s">
        <v>377</v>
      </c>
      <c r="F2337" t="s">
        <v>384</v>
      </c>
      <c r="G2337" t="s">
        <v>335</v>
      </c>
      <c r="H2337" t="s">
        <v>749</v>
      </c>
      <c r="I2337" t="s">
        <v>743</v>
      </c>
      <c r="J2337" t="s">
        <v>379</v>
      </c>
      <c r="K2337" t="s">
        <v>546</v>
      </c>
      <c r="L2337" s="784" t="s">
        <v>575</v>
      </c>
      <c r="M2337" t="s">
        <v>745</v>
      </c>
      <c r="N2337" s="784" t="s">
        <v>575</v>
      </c>
      <c r="P2337" t="s">
        <v>1887</v>
      </c>
      <c r="R2337" t="s">
        <v>150</v>
      </c>
      <c r="S2337" t="s">
        <v>145</v>
      </c>
      <c r="U2337">
        <v>0</v>
      </c>
      <c r="V2337" t="s">
        <v>544</v>
      </c>
      <c r="W2337" t="s">
        <v>548</v>
      </c>
      <c r="X2337" s="784">
        <v>3233351297.7679496</v>
      </c>
    </row>
    <row r="2338" spans="1:24">
      <c r="A2338" t="s">
        <v>358</v>
      </c>
      <c r="B2338" t="s">
        <v>652</v>
      </c>
      <c r="C2338" t="s">
        <v>256</v>
      </c>
      <c r="D2338" t="s">
        <v>130</v>
      </c>
      <c r="E2338" t="s">
        <v>377</v>
      </c>
      <c r="F2338" t="s">
        <v>384</v>
      </c>
      <c r="G2338" t="s">
        <v>335</v>
      </c>
      <c r="H2338" t="s">
        <v>749</v>
      </c>
      <c r="I2338" t="s">
        <v>743</v>
      </c>
      <c r="J2338" t="s">
        <v>379</v>
      </c>
      <c r="K2338" t="s">
        <v>546</v>
      </c>
      <c r="L2338" s="784" t="s">
        <v>575</v>
      </c>
      <c r="M2338" t="s">
        <v>745</v>
      </c>
      <c r="N2338" s="784" t="s">
        <v>575</v>
      </c>
      <c r="P2338" t="s">
        <v>1887</v>
      </c>
      <c r="R2338" t="s">
        <v>550</v>
      </c>
      <c r="S2338" t="s">
        <v>146</v>
      </c>
      <c r="U2338">
        <v>0</v>
      </c>
      <c r="V2338" t="s">
        <v>541</v>
      </c>
      <c r="W2338" t="s">
        <v>575</v>
      </c>
      <c r="X2338" s="784">
        <v>18180646.808608256</v>
      </c>
    </row>
    <row r="2339" spans="1:24">
      <c r="A2339" t="s">
        <v>358</v>
      </c>
      <c r="B2339" t="s">
        <v>653</v>
      </c>
      <c r="C2339" t="s">
        <v>257</v>
      </c>
      <c r="D2339" t="s">
        <v>130</v>
      </c>
      <c r="E2339" t="s">
        <v>377</v>
      </c>
      <c r="F2339" t="s">
        <v>384</v>
      </c>
      <c r="G2339" t="s">
        <v>335</v>
      </c>
      <c r="H2339" t="s">
        <v>749</v>
      </c>
      <c r="I2339" t="s">
        <v>743</v>
      </c>
      <c r="J2339" t="s">
        <v>379</v>
      </c>
      <c r="K2339" t="s">
        <v>546</v>
      </c>
      <c r="L2339" s="784" t="s">
        <v>575</v>
      </c>
      <c r="M2339" t="s">
        <v>745</v>
      </c>
      <c r="N2339" s="784" t="s">
        <v>575</v>
      </c>
      <c r="P2339" t="s">
        <v>1887</v>
      </c>
      <c r="R2339" t="s">
        <v>152</v>
      </c>
      <c r="S2339" t="s">
        <v>146</v>
      </c>
      <c r="U2339">
        <v>0</v>
      </c>
      <c r="V2339" t="s">
        <v>544</v>
      </c>
      <c r="W2339" t="s">
        <v>546</v>
      </c>
      <c r="X2339" s="784">
        <v>3020530707.3485303</v>
      </c>
    </row>
    <row r="2340" spans="1:24">
      <c r="A2340" t="s">
        <v>358</v>
      </c>
      <c r="B2340" t="s">
        <v>654</v>
      </c>
      <c r="C2340" t="s">
        <v>258</v>
      </c>
      <c r="D2340" t="s">
        <v>126</v>
      </c>
      <c r="E2340" t="s">
        <v>377</v>
      </c>
      <c r="F2340" t="s">
        <v>384</v>
      </c>
      <c r="G2340" t="s">
        <v>335</v>
      </c>
      <c r="H2340" t="s">
        <v>749</v>
      </c>
      <c r="I2340" t="s">
        <v>743</v>
      </c>
      <c r="J2340" t="s">
        <v>379</v>
      </c>
      <c r="K2340" t="s">
        <v>546</v>
      </c>
      <c r="L2340" s="784">
        <v>0</v>
      </c>
      <c r="M2340" t="s">
        <v>745</v>
      </c>
      <c r="N2340" s="784" t="s">
        <v>575</v>
      </c>
      <c r="P2340" t="s">
        <v>1887</v>
      </c>
      <c r="R2340" t="s">
        <v>150</v>
      </c>
      <c r="S2340" t="s">
        <v>145</v>
      </c>
      <c r="U2340">
        <v>1</v>
      </c>
      <c r="V2340" t="s">
        <v>541</v>
      </c>
      <c r="W2340" t="s">
        <v>542</v>
      </c>
      <c r="X2340" s="784">
        <v>384406316.46074712</v>
      </c>
    </row>
    <row r="2341" spans="1:24">
      <c r="A2341" t="s">
        <v>358</v>
      </c>
      <c r="B2341" t="s">
        <v>655</v>
      </c>
      <c r="C2341" t="s">
        <v>259</v>
      </c>
      <c r="D2341" t="s">
        <v>130</v>
      </c>
      <c r="E2341" t="s">
        <v>377</v>
      </c>
      <c r="F2341" t="s">
        <v>384</v>
      </c>
      <c r="G2341" t="s">
        <v>335</v>
      </c>
      <c r="H2341" t="s">
        <v>749</v>
      </c>
      <c r="I2341" t="s">
        <v>743</v>
      </c>
      <c r="J2341" t="s">
        <v>379</v>
      </c>
      <c r="K2341" t="s">
        <v>546</v>
      </c>
      <c r="L2341" s="784" t="s">
        <v>575</v>
      </c>
      <c r="M2341" t="s">
        <v>745</v>
      </c>
      <c r="N2341" s="784" t="s">
        <v>575</v>
      </c>
      <c r="P2341" t="s">
        <v>1887</v>
      </c>
      <c r="R2341" t="s">
        <v>152</v>
      </c>
      <c r="S2341" t="s">
        <v>146</v>
      </c>
      <c r="U2341">
        <v>0</v>
      </c>
      <c r="V2341" t="s">
        <v>544</v>
      </c>
      <c r="W2341" t="s">
        <v>575</v>
      </c>
      <c r="X2341" s="784">
        <v>1218747108.9554784</v>
      </c>
    </row>
    <row r="2342" spans="1:24">
      <c r="A2342" t="s">
        <v>358</v>
      </c>
      <c r="B2342" t="s">
        <v>656</v>
      </c>
      <c r="C2342" t="s">
        <v>260</v>
      </c>
      <c r="D2342" t="s">
        <v>130</v>
      </c>
      <c r="E2342" t="s">
        <v>377</v>
      </c>
      <c r="F2342" t="s">
        <v>384</v>
      </c>
      <c r="G2342" t="s">
        <v>335</v>
      </c>
      <c r="H2342" t="s">
        <v>749</v>
      </c>
      <c r="I2342" t="s">
        <v>743</v>
      </c>
      <c r="J2342" t="s">
        <v>379</v>
      </c>
      <c r="K2342" t="s">
        <v>546</v>
      </c>
      <c r="L2342" s="784" t="s">
        <v>575</v>
      </c>
      <c r="M2342" t="s">
        <v>745</v>
      </c>
      <c r="N2342" s="784" t="s">
        <v>575</v>
      </c>
      <c r="P2342" t="s">
        <v>1887</v>
      </c>
      <c r="R2342" t="s">
        <v>152</v>
      </c>
      <c r="S2342" t="s">
        <v>146</v>
      </c>
      <c r="U2342">
        <v>0</v>
      </c>
      <c r="V2342" t="s">
        <v>544</v>
      </c>
      <c r="W2342" t="s">
        <v>575</v>
      </c>
      <c r="X2342" s="784">
        <v>7392665952.5895758</v>
      </c>
    </row>
    <row r="2343" spans="1:24">
      <c r="A2343" t="s">
        <v>358</v>
      </c>
      <c r="B2343" t="s">
        <v>657</v>
      </c>
      <c r="C2343" t="s">
        <v>261</v>
      </c>
      <c r="D2343" t="s">
        <v>126</v>
      </c>
      <c r="E2343" t="s">
        <v>377</v>
      </c>
      <c r="F2343" t="s">
        <v>384</v>
      </c>
      <c r="G2343" t="s">
        <v>335</v>
      </c>
      <c r="H2343" t="s">
        <v>749</v>
      </c>
      <c r="I2343" t="s">
        <v>743</v>
      </c>
      <c r="J2343" t="s">
        <v>379</v>
      </c>
      <c r="K2343" t="s">
        <v>546</v>
      </c>
      <c r="L2343" s="784">
        <v>0</v>
      </c>
      <c r="M2343" t="s">
        <v>745</v>
      </c>
      <c r="N2343" s="784" t="s">
        <v>575</v>
      </c>
      <c r="P2343" t="s">
        <v>1887</v>
      </c>
      <c r="R2343" t="s">
        <v>150</v>
      </c>
      <c r="S2343" t="s">
        <v>145</v>
      </c>
      <c r="U2343">
        <v>0</v>
      </c>
      <c r="V2343" t="s">
        <v>544</v>
      </c>
      <c r="W2343" t="s">
        <v>546</v>
      </c>
      <c r="X2343" s="784">
        <v>4754985988.6004429</v>
      </c>
    </row>
    <row r="2344" spans="1:24">
      <c r="A2344" t="s">
        <v>358</v>
      </c>
      <c r="B2344" t="s">
        <v>658</v>
      </c>
      <c r="C2344" t="s">
        <v>262</v>
      </c>
      <c r="D2344" t="s">
        <v>127</v>
      </c>
      <c r="E2344" t="s">
        <v>377</v>
      </c>
      <c r="F2344" t="s">
        <v>384</v>
      </c>
      <c r="G2344" t="s">
        <v>335</v>
      </c>
      <c r="H2344" t="s">
        <v>749</v>
      </c>
      <c r="I2344" t="s">
        <v>743</v>
      </c>
      <c r="J2344" t="s">
        <v>379</v>
      </c>
      <c r="K2344" t="s">
        <v>546</v>
      </c>
      <c r="L2344" s="784" t="s">
        <v>575</v>
      </c>
      <c r="M2344" t="s">
        <v>745</v>
      </c>
      <c r="N2344" s="784" t="s">
        <v>575</v>
      </c>
      <c r="P2344" t="s">
        <v>1887</v>
      </c>
      <c r="R2344" t="s">
        <v>550</v>
      </c>
      <c r="S2344" t="s">
        <v>146</v>
      </c>
      <c r="U2344">
        <v>0</v>
      </c>
      <c r="V2344" t="s">
        <v>544</v>
      </c>
      <c r="W2344" t="s">
        <v>575</v>
      </c>
      <c r="X2344" s="784">
        <v>26422210443.037273</v>
      </c>
    </row>
    <row r="2345" spans="1:24">
      <c r="A2345" t="s">
        <v>358</v>
      </c>
      <c r="B2345" t="s">
        <v>659</v>
      </c>
      <c r="C2345" t="s">
        <v>151</v>
      </c>
      <c r="D2345" t="s">
        <v>127</v>
      </c>
      <c r="E2345" t="s">
        <v>377</v>
      </c>
      <c r="F2345" t="s">
        <v>384</v>
      </c>
      <c r="G2345" t="s">
        <v>335</v>
      </c>
      <c r="H2345" t="s">
        <v>749</v>
      </c>
      <c r="I2345" t="s">
        <v>743</v>
      </c>
      <c r="J2345" t="s">
        <v>379</v>
      </c>
      <c r="K2345" t="s">
        <v>546</v>
      </c>
      <c r="L2345" s="784" t="s">
        <v>575</v>
      </c>
      <c r="M2345" t="s">
        <v>745</v>
      </c>
      <c r="N2345" s="784" t="s">
        <v>575</v>
      </c>
      <c r="P2345" t="s">
        <v>1887</v>
      </c>
      <c r="R2345" t="s">
        <v>152</v>
      </c>
      <c r="S2345" t="s">
        <v>146</v>
      </c>
      <c r="U2345">
        <v>0</v>
      </c>
      <c r="V2345" t="s">
        <v>544</v>
      </c>
      <c r="W2345" t="s">
        <v>575</v>
      </c>
      <c r="X2345" s="784">
        <v>10696495313.15033</v>
      </c>
    </row>
    <row r="2346" spans="1:24">
      <c r="A2346" t="s">
        <v>358</v>
      </c>
      <c r="B2346" t="s">
        <v>660</v>
      </c>
      <c r="C2346" t="s">
        <v>263</v>
      </c>
      <c r="D2346" t="s">
        <v>127</v>
      </c>
      <c r="E2346" t="s">
        <v>377</v>
      </c>
      <c r="F2346" t="s">
        <v>384</v>
      </c>
      <c r="G2346" t="s">
        <v>335</v>
      </c>
      <c r="H2346" t="s">
        <v>749</v>
      </c>
      <c r="I2346" t="s">
        <v>743</v>
      </c>
      <c r="J2346" t="s">
        <v>379</v>
      </c>
      <c r="K2346" t="s">
        <v>546</v>
      </c>
      <c r="L2346" s="784" t="s">
        <v>575</v>
      </c>
      <c r="M2346" t="s">
        <v>745</v>
      </c>
      <c r="N2346" s="784" t="s">
        <v>575</v>
      </c>
      <c r="P2346" t="s">
        <v>1887</v>
      </c>
      <c r="R2346" t="s">
        <v>152</v>
      </c>
      <c r="S2346" t="s">
        <v>146</v>
      </c>
      <c r="U2346">
        <v>0</v>
      </c>
      <c r="V2346" t="s">
        <v>544</v>
      </c>
      <c r="W2346" t="s">
        <v>575</v>
      </c>
      <c r="X2346" s="784">
        <v>52769713433.240509</v>
      </c>
    </row>
    <row r="2347" spans="1:24">
      <c r="A2347" t="s">
        <v>358</v>
      </c>
      <c r="B2347" t="s">
        <v>661</v>
      </c>
      <c r="C2347" t="s">
        <v>264</v>
      </c>
      <c r="D2347" t="s">
        <v>128</v>
      </c>
      <c r="E2347" t="s">
        <v>377</v>
      </c>
      <c r="F2347" t="s">
        <v>384</v>
      </c>
      <c r="G2347" t="s">
        <v>335</v>
      </c>
      <c r="H2347" t="s">
        <v>749</v>
      </c>
      <c r="I2347" t="s">
        <v>743</v>
      </c>
      <c r="J2347" t="s">
        <v>379</v>
      </c>
      <c r="K2347" t="s">
        <v>546</v>
      </c>
      <c r="L2347" s="784" t="s">
        <v>575</v>
      </c>
      <c r="M2347" t="s">
        <v>745</v>
      </c>
      <c r="N2347" s="784" t="s">
        <v>575</v>
      </c>
      <c r="P2347" t="s">
        <v>1887</v>
      </c>
      <c r="R2347" t="s">
        <v>148</v>
      </c>
      <c r="S2347" t="s">
        <v>145</v>
      </c>
      <c r="U2347">
        <v>0</v>
      </c>
      <c r="V2347" t="s">
        <v>544</v>
      </c>
      <c r="W2347" t="s">
        <v>562</v>
      </c>
      <c r="X2347" s="784">
        <v>225799814.51943746</v>
      </c>
    </row>
    <row r="2348" spans="1:24">
      <c r="A2348" t="s">
        <v>358</v>
      </c>
      <c r="B2348" t="s">
        <v>662</v>
      </c>
      <c r="C2348" t="s">
        <v>265</v>
      </c>
      <c r="D2348" t="s">
        <v>126</v>
      </c>
      <c r="E2348" t="s">
        <v>377</v>
      </c>
      <c r="F2348" t="s">
        <v>384</v>
      </c>
      <c r="G2348" t="s">
        <v>335</v>
      </c>
      <c r="H2348" t="s">
        <v>749</v>
      </c>
      <c r="I2348" t="s">
        <v>743</v>
      </c>
      <c r="J2348" t="s">
        <v>379</v>
      </c>
      <c r="K2348" t="s">
        <v>546</v>
      </c>
      <c r="L2348" s="784">
        <v>0</v>
      </c>
      <c r="M2348" t="s">
        <v>745</v>
      </c>
      <c r="N2348" s="784" t="s">
        <v>575</v>
      </c>
      <c r="P2348" t="s">
        <v>1887</v>
      </c>
      <c r="R2348" t="s">
        <v>150</v>
      </c>
      <c r="S2348" t="s">
        <v>145</v>
      </c>
      <c r="U2348">
        <v>0</v>
      </c>
      <c r="V2348" t="s">
        <v>541</v>
      </c>
      <c r="W2348" t="s">
        <v>542</v>
      </c>
      <c r="X2348" s="784">
        <v>32192988.027009469</v>
      </c>
    </row>
    <row r="2349" spans="1:24">
      <c r="A2349" t="s">
        <v>358</v>
      </c>
      <c r="B2349" t="s">
        <v>663</v>
      </c>
      <c r="C2349" t="s">
        <v>266</v>
      </c>
      <c r="D2349" t="s">
        <v>129</v>
      </c>
      <c r="E2349" t="s">
        <v>377</v>
      </c>
      <c r="F2349" t="s">
        <v>384</v>
      </c>
      <c r="G2349" t="s">
        <v>335</v>
      </c>
      <c r="H2349" t="s">
        <v>749</v>
      </c>
      <c r="I2349" t="s">
        <v>743</v>
      </c>
      <c r="J2349" t="s">
        <v>379</v>
      </c>
      <c r="K2349" t="s">
        <v>546</v>
      </c>
      <c r="L2349" s="784" t="s">
        <v>575</v>
      </c>
      <c r="M2349" t="s">
        <v>745</v>
      </c>
      <c r="N2349" s="784" t="s">
        <v>575</v>
      </c>
      <c r="P2349" t="s">
        <v>1887</v>
      </c>
      <c r="R2349" t="s">
        <v>150</v>
      </c>
      <c r="S2349" t="s">
        <v>145</v>
      </c>
      <c r="U2349">
        <v>0</v>
      </c>
      <c r="V2349" t="s">
        <v>541</v>
      </c>
      <c r="W2349" t="s">
        <v>583</v>
      </c>
      <c r="X2349" s="784">
        <v>11633535.136477679</v>
      </c>
    </row>
    <row r="2350" spans="1:24">
      <c r="A2350" t="s">
        <v>358</v>
      </c>
      <c r="B2350" t="s">
        <v>664</v>
      </c>
      <c r="C2350" t="s">
        <v>267</v>
      </c>
      <c r="D2350" t="s">
        <v>129</v>
      </c>
      <c r="E2350" t="s">
        <v>377</v>
      </c>
      <c r="F2350" t="s">
        <v>384</v>
      </c>
      <c r="G2350" t="s">
        <v>335</v>
      </c>
      <c r="H2350" t="s">
        <v>749</v>
      </c>
      <c r="I2350" t="s">
        <v>743</v>
      </c>
      <c r="J2350" t="s">
        <v>379</v>
      </c>
      <c r="K2350" t="s">
        <v>546</v>
      </c>
      <c r="L2350" s="784" t="s">
        <v>575</v>
      </c>
      <c r="M2350" t="s">
        <v>745</v>
      </c>
      <c r="N2350" s="784" t="s">
        <v>575</v>
      </c>
      <c r="P2350" t="s">
        <v>1887</v>
      </c>
      <c r="R2350" t="s">
        <v>150</v>
      </c>
      <c r="S2350" t="s">
        <v>145</v>
      </c>
      <c r="U2350">
        <v>2</v>
      </c>
      <c r="V2350" t="s">
        <v>544</v>
      </c>
      <c r="W2350" t="s">
        <v>562</v>
      </c>
      <c r="X2350" s="784">
        <v>222008693.93354639</v>
      </c>
    </row>
    <row r="2351" spans="1:24">
      <c r="A2351" t="s">
        <v>358</v>
      </c>
      <c r="B2351" t="s">
        <v>665</v>
      </c>
      <c r="C2351" t="s">
        <v>153</v>
      </c>
      <c r="D2351" t="s">
        <v>127</v>
      </c>
      <c r="E2351" t="s">
        <v>377</v>
      </c>
      <c r="F2351" t="s">
        <v>384</v>
      </c>
      <c r="G2351" t="s">
        <v>335</v>
      </c>
      <c r="H2351" t="s">
        <v>749</v>
      </c>
      <c r="I2351" t="s">
        <v>743</v>
      </c>
      <c r="J2351" t="s">
        <v>379</v>
      </c>
      <c r="K2351" t="s">
        <v>546</v>
      </c>
      <c r="L2351" s="784" t="s">
        <v>575</v>
      </c>
      <c r="M2351" t="s">
        <v>745</v>
      </c>
      <c r="N2351" s="784" t="s">
        <v>575</v>
      </c>
      <c r="P2351" t="s">
        <v>1887</v>
      </c>
      <c r="R2351" t="s">
        <v>152</v>
      </c>
      <c r="S2351" t="s">
        <v>146</v>
      </c>
      <c r="U2351">
        <v>0</v>
      </c>
      <c r="V2351" t="s">
        <v>544</v>
      </c>
      <c r="W2351" t="s">
        <v>575</v>
      </c>
      <c r="X2351" s="784">
        <v>2564993795.1894679</v>
      </c>
    </row>
    <row r="2352" spans="1:24">
      <c r="A2352" t="s">
        <v>358</v>
      </c>
      <c r="B2352" t="s">
        <v>666</v>
      </c>
      <c r="C2352" t="s">
        <v>268</v>
      </c>
      <c r="D2352" t="s">
        <v>128</v>
      </c>
      <c r="E2352" t="s">
        <v>377</v>
      </c>
      <c r="F2352" t="s">
        <v>384</v>
      </c>
      <c r="G2352" t="s">
        <v>335</v>
      </c>
      <c r="H2352" t="s">
        <v>749</v>
      </c>
      <c r="I2352" t="s">
        <v>743</v>
      </c>
      <c r="J2352" t="s">
        <v>379</v>
      </c>
      <c r="K2352" t="s">
        <v>546</v>
      </c>
      <c r="L2352" s="784" t="s">
        <v>575</v>
      </c>
      <c r="M2352" t="s">
        <v>745</v>
      </c>
      <c r="N2352" s="784" t="s">
        <v>575</v>
      </c>
      <c r="P2352" t="s">
        <v>1887</v>
      </c>
      <c r="R2352" t="s">
        <v>550</v>
      </c>
      <c r="S2352" t="s">
        <v>146</v>
      </c>
      <c r="U2352">
        <v>0</v>
      </c>
      <c r="V2352" t="s">
        <v>541</v>
      </c>
      <c r="W2352" t="s">
        <v>546</v>
      </c>
      <c r="X2352" s="784">
        <v>60237542.945069775</v>
      </c>
    </row>
    <row r="2353" spans="1:24">
      <c r="A2353" t="s">
        <v>358</v>
      </c>
      <c r="B2353" t="s">
        <v>667</v>
      </c>
      <c r="C2353" t="s">
        <v>269</v>
      </c>
      <c r="D2353" t="s">
        <v>129</v>
      </c>
      <c r="E2353" t="s">
        <v>377</v>
      </c>
      <c r="F2353" t="s">
        <v>384</v>
      </c>
      <c r="G2353" t="s">
        <v>335</v>
      </c>
      <c r="H2353" t="s">
        <v>749</v>
      </c>
      <c r="I2353" t="s">
        <v>743</v>
      </c>
      <c r="J2353" t="s">
        <v>379</v>
      </c>
      <c r="K2353" t="s">
        <v>546</v>
      </c>
      <c r="L2353" s="784" t="s">
        <v>575</v>
      </c>
      <c r="M2353" t="s">
        <v>745</v>
      </c>
      <c r="N2353" s="784" t="s">
        <v>575</v>
      </c>
      <c r="P2353" t="s">
        <v>1887</v>
      </c>
      <c r="R2353" t="s">
        <v>148</v>
      </c>
      <c r="S2353" t="s">
        <v>145</v>
      </c>
      <c r="U2353">
        <v>0</v>
      </c>
      <c r="V2353" t="s">
        <v>544</v>
      </c>
      <c r="W2353" t="s">
        <v>542</v>
      </c>
      <c r="X2353" s="784">
        <v>63738640.538260505</v>
      </c>
    </row>
    <row r="2354" spans="1:24">
      <c r="A2354" t="s">
        <v>358</v>
      </c>
      <c r="B2354" t="s">
        <v>668</v>
      </c>
      <c r="C2354" t="s">
        <v>270</v>
      </c>
      <c r="D2354" t="s">
        <v>126</v>
      </c>
      <c r="E2354" t="s">
        <v>377</v>
      </c>
      <c r="F2354" t="s">
        <v>384</v>
      </c>
      <c r="G2354" t="s">
        <v>335</v>
      </c>
      <c r="H2354" t="s">
        <v>749</v>
      </c>
      <c r="I2354" t="s">
        <v>743</v>
      </c>
      <c r="J2354" t="s">
        <v>379</v>
      </c>
      <c r="K2354" t="s">
        <v>546</v>
      </c>
      <c r="L2354" s="784">
        <v>0</v>
      </c>
      <c r="M2354" t="s">
        <v>745</v>
      </c>
      <c r="N2354" s="784" t="s">
        <v>575</v>
      </c>
      <c r="P2354" t="s">
        <v>1887</v>
      </c>
      <c r="R2354" t="s">
        <v>150</v>
      </c>
      <c r="S2354" t="s">
        <v>145</v>
      </c>
      <c r="U2354">
        <v>0</v>
      </c>
      <c r="V2354" t="s">
        <v>541</v>
      </c>
      <c r="W2354" t="s">
        <v>562</v>
      </c>
      <c r="X2354" s="784">
        <v>49012774.055630356</v>
      </c>
    </row>
    <row r="2355" spans="1:24">
      <c r="A2355" t="s">
        <v>358</v>
      </c>
      <c r="B2355" t="s">
        <v>669</v>
      </c>
      <c r="C2355" t="s">
        <v>271</v>
      </c>
      <c r="D2355" t="s">
        <v>128</v>
      </c>
      <c r="E2355" t="s">
        <v>377</v>
      </c>
      <c r="F2355" t="s">
        <v>384</v>
      </c>
      <c r="G2355" t="s">
        <v>335</v>
      </c>
      <c r="H2355" t="s">
        <v>749</v>
      </c>
      <c r="I2355" t="s">
        <v>743</v>
      </c>
      <c r="J2355" t="s">
        <v>379</v>
      </c>
      <c r="K2355" t="s">
        <v>546</v>
      </c>
      <c r="L2355" s="784" t="s">
        <v>575</v>
      </c>
      <c r="M2355" t="s">
        <v>745</v>
      </c>
      <c r="N2355" s="784" t="s">
        <v>575</v>
      </c>
      <c r="P2355" t="s">
        <v>1887</v>
      </c>
      <c r="R2355" t="s">
        <v>148</v>
      </c>
      <c r="S2355" t="s">
        <v>145</v>
      </c>
      <c r="U2355">
        <v>1</v>
      </c>
      <c r="V2355" t="s">
        <v>544</v>
      </c>
      <c r="W2355" t="s">
        <v>583</v>
      </c>
      <c r="X2355" s="784" t="s">
        <v>575</v>
      </c>
    </row>
    <row r="2356" spans="1:24">
      <c r="A2356" t="s">
        <v>358</v>
      </c>
      <c r="B2356" t="s">
        <v>670</v>
      </c>
      <c r="C2356" t="s">
        <v>272</v>
      </c>
      <c r="D2356" t="s">
        <v>128</v>
      </c>
      <c r="E2356" t="s">
        <v>377</v>
      </c>
      <c r="F2356" t="s">
        <v>384</v>
      </c>
      <c r="G2356" t="s">
        <v>335</v>
      </c>
      <c r="H2356" t="s">
        <v>749</v>
      </c>
      <c r="I2356" t="s">
        <v>743</v>
      </c>
      <c r="J2356" t="s">
        <v>379</v>
      </c>
      <c r="K2356" t="s">
        <v>546</v>
      </c>
      <c r="L2356" s="784" t="s">
        <v>575</v>
      </c>
      <c r="M2356" t="s">
        <v>745</v>
      </c>
      <c r="N2356" s="784" t="s">
        <v>575</v>
      </c>
      <c r="P2356" t="s">
        <v>1887</v>
      </c>
      <c r="R2356" t="s">
        <v>152</v>
      </c>
      <c r="S2356" t="s">
        <v>146</v>
      </c>
      <c r="U2356">
        <v>0</v>
      </c>
      <c r="V2356" t="s">
        <v>544</v>
      </c>
      <c r="W2356" t="s">
        <v>546</v>
      </c>
      <c r="X2356" s="784">
        <v>16429121142.784708</v>
      </c>
    </row>
    <row r="2357" spans="1:24">
      <c r="A2357" t="s">
        <v>358</v>
      </c>
      <c r="B2357" t="s">
        <v>671</v>
      </c>
      <c r="C2357" t="s">
        <v>273</v>
      </c>
      <c r="D2357" t="s">
        <v>128</v>
      </c>
      <c r="E2357" t="s">
        <v>377</v>
      </c>
      <c r="F2357" t="s">
        <v>384</v>
      </c>
      <c r="G2357" t="s">
        <v>335</v>
      </c>
      <c r="H2357" t="s">
        <v>749</v>
      </c>
      <c r="I2357" t="s">
        <v>743</v>
      </c>
      <c r="J2357" t="s">
        <v>379</v>
      </c>
      <c r="K2357" t="s">
        <v>546</v>
      </c>
      <c r="L2357" s="784" t="s">
        <v>575</v>
      </c>
      <c r="M2357" t="s">
        <v>745</v>
      </c>
      <c r="N2357" s="784" t="s">
        <v>575</v>
      </c>
      <c r="P2357" t="s">
        <v>1887</v>
      </c>
      <c r="R2357" t="s">
        <v>148</v>
      </c>
      <c r="S2357" t="s">
        <v>145</v>
      </c>
      <c r="U2357">
        <v>1</v>
      </c>
      <c r="V2357" t="s">
        <v>544</v>
      </c>
      <c r="W2357" t="s">
        <v>542</v>
      </c>
      <c r="X2357" s="784">
        <v>31684581.76217727</v>
      </c>
    </row>
    <row r="2358" spans="1:24">
      <c r="A2358" t="s">
        <v>358</v>
      </c>
      <c r="B2358" t="s">
        <v>672</v>
      </c>
      <c r="C2358" t="s">
        <v>274</v>
      </c>
      <c r="D2358" t="s">
        <v>132</v>
      </c>
      <c r="E2358" t="s">
        <v>377</v>
      </c>
      <c r="F2358" t="s">
        <v>384</v>
      </c>
      <c r="G2358" t="s">
        <v>335</v>
      </c>
      <c r="H2358" t="s">
        <v>749</v>
      </c>
      <c r="I2358" t="s">
        <v>743</v>
      </c>
      <c r="J2358" t="s">
        <v>379</v>
      </c>
      <c r="K2358" t="s">
        <v>546</v>
      </c>
      <c r="L2358" s="784" t="s">
        <v>575</v>
      </c>
      <c r="M2358" t="s">
        <v>745</v>
      </c>
      <c r="N2358" s="784" t="s">
        <v>575</v>
      </c>
      <c r="P2358" t="s">
        <v>1887</v>
      </c>
      <c r="R2358" t="s">
        <v>150</v>
      </c>
      <c r="S2358" t="s">
        <v>145</v>
      </c>
      <c r="U2358">
        <v>0</v>
      </c>
      <c r="V2358" t="s">
        <v>544</v>
      </c>
      <c r="W2358" t="s">
        <v>546</v>
      </c>
      <c r="X2358" s="784">
        <v>1373621563.5182886</v>
      </c>
    </row>
    <row r="2359" spans="1:24">
      <c r="A2359" t="s">
        <v>358</v>
      </c>
      <c r="B2359" t="s">
        <v>673</v>
      </c>
      <c r="C2359" t="s">
        <v>275</v>
      </c>
      <c r="D2359" t="s">
        <v>130</v>
      </c>
      <c r="E2359" t="s">
        <v>377</v>
      </c>
      <c r="F2359" t="s">
        <v>384</v>
      </c>
      <c r="G2359" t="s">
        <v>335</v>
      </c>
      <c r="H2359" t="s">
        <v>749</v>
      </c>
      <c r="I2359" t="s">
        <v>743</v>
      </c>
      <c r="J2359" t="s">
        <v>379</v>
      </c>
      <c r="K2359" t="s">
        <v>546</v>
      </c>
      <c r="L2359" s="784" t="s">
        <v>575</v>
      </c>
      <c r="M2359" t="s">
        <v>745</v>
      </c>
      <c r="N2359" s="784" t="s">
        <v>575</v>
      </c>
      <c r="P2359" t="s">
        <v>1887</v>
      </c>
      <c r="R2359" t="s">
        <v>550</v>
      </c>
      <c r="S2359" t="s">
        <v>146</v>
      </c>
      <c r="U2359">
        <v>0</v>
      </c>
      <c r="V2359" t="s">
        <v>541</v>
      </c>
      <c r="W2359" t="s">
        <v>575</v>
      </c>
      <c r="X2359" s="784">
        <v>24214370.889062837</v>
      </c>
    </row>
    <row r="2360" spans="1:24">
      <c r="A2360" t="s">
        <v>358</v>
      </c>
      <c r="B2360" t="s">
        <v>674</v>
      </c>
      <c r="C2360" t="s">
        <v>154</v>
      </c>
      <c r="D2360" t="s">
        <v>130</v>
      </c>
      <c r="E2360" t="s">
        <v>377</v>
      </c>
      <c r="F2360" t="s">
        <v>384</v>
      </c>
      <c r="G2360" t="s">
        <v>335</v>
      </c>
      <c r="H2360" t="s">
        <v>749</v>
      </c>
      <c r="I2360" t="s">
        <v>743</v>
      </c>
      <c r="J2360" t="s">
        <v>379</v>
      </c>
      <c r="K2360" t="s">
        <v>546</v>
      </c>
      <c r="L2360" s="784" t="s">
        <v>575</v>
      </c>
      <c r="M2360" t="s">
        <v>745</v>
      </c>
      <c r="N2360" s="784" t="s">
        <v>575</v>
      </c>
      <c r="P2360" t="s">
        <v>1887</v>
      </c>
      <c r="R2360" t="s">
        <v>152</v>
      </c>
      <c r="S2360" t="s">
        <v>145</v>
      </c>
      <c r="U2360">
        <v>0</v>
      </c>
      <c r="V2360" t="s">
        <v>541</v>
      </c>
      <c r="W2360" t="s">
        <v>548</v>
      </c>
      <c r="X2360" s="784">
        <v>39941279.609447442</v>
      </c>
    </row>
    <row r="2361" spans="1:24">
      <c r="A2361" t="s">
        <v>358</v>
      </c>
      <c r="B2361" t="s">
        <v>675</v>
      </c>
      <c r="C2361" t="s">
        <v>155</v>
      </c>
      <c r="D2361" t="s">
        <v>130</v>
      </c>
      <c r="E2361" t="s">
        <v>377</v>
      </c>
      <c r="F2361" t="s">
        <v>384</v>
      </c>
      <c r="G2361" t="s">
        <v>335</v>
      </c>
      <c r="H2361" t="s">
        <v>749</v>
      </c>
      <c r="I2361" t="s">
        <v>743</v>
      </c>
      <c r="J2361" t="s">
        <v>379</v>
      </c>
      <c r="K2361" t="s">
        <v>546</v>
      </c>
      <c r="L2361" s="784" t="s">
        <v>575</v>
      </c>
      <c r="M2361" t="s">
        <v>745</v>
      </c>
      <c r="N2361" s="784" t="s">
        <v>575</v>
      </c>
      <c r="P2361" t="s">
        <v>1887</v>
      </c>
      <c r="R2361" t="s">
        <v>152</v>
      </c>
      <c r="S2361" t="s">
        <v>145</v>
      </c>
      <c r="U2361">
        <v>0</v>
      </c>
      <c r="V2361" t="s">
        <v>541</v>
      </c>
      <c r="W2361" t="s">
        <v>542</v>
      </c>
      <c r="X2361" s="784">
        <v>24761675.260059897</v>
      </c>
    </row>
    <row r="2362" spans="1:24">
      <c r="A2362" t="s">
        <v>358</v>
      </c>
      <c r="B2362" t="s">
        <v>676</v>
      </c>
      <c r="C2362" t="s">
        <v>276</v>
      </c>
      <c r="D2362" t="s">
        <v>131</v>
      </c>
      <c r="E2362" t="s">
        <v>377</v>
      </c>
      <c r="F2362" t="s">
        <v>384</v>
      </c>
      <c r="G2362" t="s">
        <v>335</v>
      </c>
      <c r="H2362" t="s">
        <v>749</v>
      </c>
      <c r="I2362" t="s">
        <v>743</v>
      </c>
      <c r="J2362" t="s">
        <v>379</v>
      </c>
      <c r="K2362" t="s">
        <v>546</v>
      </c>
      <c r="L2362" s="784" t="s">
        <v>575</v>
      </c>
      <c r="M2362" t="s">
        <v>745</v>
      </c>
      <c r="N2362" s="784" t="s">
        <v>575</v>
      </c>
      <c r="P2362" t="s">
        <v>1887</v>
      </c>
      <c r="R2362" t="s">
        <v>150</v>
      </c>
      <c r="S2362" t="s">
        <v>145</v>
      </c>
      <c r="U2362">
        <v>0</v>
      </c>
      <c r="V2362" t="s">
        <v>544</v>
      </c>
      <c r="W2362" t="s">
        <v>546</v>
      </c>
      <c r="X2362" s="784" t="s">
        <v>575</v>
      </c>
    </row>
    <row r="2363" spans="1:24">
      <c r="A2363" t="s">
        <v>358</v>
      </c>
      <c r="B2363" t="s">
        <v>677</v>
      </c>
      <c r="C2363" t="s">
        <v>277</v>
      </c>
      <c r="D2363" t="s">
        <v>131</v>
      </c>
      <c r="E2363" t="s">
        <v>377</v>
      </c>
      <c r="F2363" t="s">
        <v>384</v>
      </c>
      <c r="G2363" t="s">
        <v>335</v>
      </c>
      <c r="H2363" t="s">
        <v>749</v>
      </c>
      <c r="I2363" t="s">
        <v>743</v>
      </c>
      <c r="J2363" t="s">
        <v>379</v>
      </c>
      <c r="K2363" t="s">
        <v>546</v>
      </c>
      <c r="L2363" s="784" t="s">
        <v>575</v>
      </c>
      <c r="M2363" t="s">
        <v>745</v>
      </c>
      <c r="N2363" s="784" t="s">
        <v>575</v>
      </c>
      <c r="P2363" t="s">
        <v>1887</v>
      </c>
      <c r="R2363" t="s">
        <v>148</v>
      </c>
      <c r="S2363" t="s">
        <v>145</v>
      </c>
      <c r="U2363">
        <v>1</v>
      </c>
      <c r="V2363" t="s">
        <v>544</v>
      </c>
      <c r="W2363" t="s">
        <v>546</v>
      </c>
      <c r="X2363" s="784">
        <v>577156172.71229994</v>
      </c>
    </row>
    <row r="2364" spans="1:24">
      <c r="A2364" t="s">
        <v>358</v>
      </c>
      <c r="B2364" t="s">
        <v>678</v>
      </c>
      <c r="C2364" t="s">
        <v>278</v>
      </c>
      <c r="D2364" t="s">
        <v>126</v>
      </c>
      <c r="E2364" t="s">
        <v>377</v>
      </c>
      <c r="F2364" t="s">
        <v>384</v>
      </c>
      <c r="G2364" t="s">
        <v>335</v>
      </c>
      <c r="H2364" t="s">
        <v>749</v>
      </c>
      <c r="I2364" t="s">
        <v>743</v>
      </c>
      <c r="J2364" t="s">
        <v>379</v>
      </c>
      <c r="K2364" t="s">
        <v>546</v>
      </c>
      <c r="L2364" s="784" t="s">
        <v>575</v>
      </c>
      <c r="M2364" t="s">
        <v>745</v>
      </c>
      <c r="N2364" s="784" t="s">
        <v>575</v>
      </c>
      <c r="P2364" t="s">
        <v>1887</v>
      </c>
      <c r="R2364" t="s">
        <v>152</v>
      </c>
      <c r="S2364" t="s">
        <v>146</v>
      </c>
      <c r="U2364">
        <v>0</v>
      </c>
      <c r="V2364" t="s">
        <v>541</v>
      </c>
      <c r="W2364" t="s">
        <v>575</v>
      </c>
      <c r="X2364" s="784">
        <v>180052034.19851837</v>
      </c>
    </row>
    <row r="2365" spans="1:24">
      <c r="A2365" t="s">
        <v>358</v>
      </c>
      <c r="B2365" t="s">
        <v>679</v>
      </c>
      <c r="C2365" t="s">
        <v>279</v>
      </c>
      <c r="D2365" t="s">
        <v>131</v>
      </c>
      <c r="E2365" t="s">
        <v>377</v>
      </c>
      <c r="F2365" t="s">
        <v>384</v>
      </c>
      <c r="G2365" t="s">
        <v>335</v>
      </c>
      <c r="H2365" t="s">
        <v>749</v>
      </c>
      <c r="I2365" t="s">
        <v>743</v>
      </c>
      <c r="J2365" t="s">
        <v>379</v>
      </c>
      <c r="K2365" t="s">
        <v>546</v>
      </c>
      <c r="L2365" s="784" t="s">
        <v>575</v>
      </c>
      <c r="M2365" t="s">
        <v>745</v>
      </c>
      <c r="N2365" s="784" t="s">
        <v>575</v>
      </c>
      <c r="P2365" t="s">
        <v>1887</v>
      </c>
      <c r="R2365" t="s">
        <v>148</v>
      </c>
      <c r="S2365" t="s">
        <v>145</v>
      </c>
      <c r="U2365">
        <v>1</v>
      </c>
      <c r="V2365" t="s">
        <v>544</v>
      </c>
      <c r="W2365" t="s">
        <v>546</v>
      </c>
      <c r="X2365" s="784" t="s">
        <v>575</v>
      </c>
    </row>
    <row r="2366" spans="1:24">
      <c r="A2366" t="s">
        <v>358</v>
      </c>
      <c r="B2366" t="s">
        <v>680</v>
      </c>
      <c r="C2366" t="s">
        <v>280</v>
      </c>
      <c r="D2366" t="s">
        <v>127</v>
      </c>
      <c r="E2366" t="s">
        <v>377</v>
      </c>
      <c r="F2366" t="s">
        <v>384</v>
      </c>
      <c r="G2366" t="s">
        <v>335</v>
      </c>
      <c r="H2366" t="s">
        <v>749</v>
      </c>
      <c r="I2366" t="s">
        <v>743</v>
      </c>
      <c r="J2366" t="s">
        <v>379</v>
      </c>
      <c r="K2366" t="s">
        <v>546</v>
      </c>
      <c r="L2366" s="784" t="s">
        <v>575</v>
      </c>
      <c r="M2366" t="s">
        <v>745</v>
      </c>
      <c r="N2366" s="784" t="s">
        <v>575</v>
      </c>
      <c r="P2366" t="s">
        <v>1887</v>
      </c>
      <c r="R2366" t="s">
        <v>150</v>
      </c>
      <c r="S2366" t="s">
        <v>145</v>
      </c>
      <c r="U2366">
        <v>0</v>
      </c>
      <c r="V2366" t="s">
        <v>544</v>
      </c>
      <c r="W2366" t="s">
        <v>542</v>
      </c>
      <c r="X2366" s="784">
        <v>147296124.32232863</v>
      </c>
    </row>
    <row r="2367" spans="1:24">
      <c r="A2367" t="s">
        <v>358</v>
      </c>
      <c r="B2367" t="s">
        <v>681</v>
      </c>
      <c r="C2367" t="s">
        <v>156</v>
      </c>
      <c r="D2367" t="s">
        <v>128</v>
      </c>
      <c r="E2367" t="s">
        <v>377</v>
      </c>
      <c r="F2367" t="s">
        <v>384</v>
      </c>
      <c r="G2367" t="s">
        <v>335</v>
      </c>
      <c r="H2367" t="s">
        <v>749</v>
      </c>
      <c r="I2367" t="s">
        <v>743</v>
      </c>
      <c r="J2367" t="s">
        <v>379</v>
      </c>
      <c r="K2367" t="s">
        <v>546</v>
      </c>
      <c r="L2367" s="784" t="s">
        <v>575</v>
      </c>
      <c r="M2367" t="s">
        <v>745</v>
      </c>
      <c r="N2367" s="784" t="s">
        <v>575</v>
      </c>
      <c r="P2367" t="s">
        <v>1887</v>
      </c>
      <c r="R2367" t="s">
        <v>150</v>
      </c>
      <c r="S2367" t="s">
        <v>145</v>
      </c>
      <c r="U2367">
        <v>0</v>
      </c>
      <c r="V2367" t="s">
        <v>544</v>
      </c>
      <c r="W2367" t="s">
        <v>548</v>
      </c>
      <c r="X2367" s="784">
        <v>890576536.83065879</v>
      </c>
    </row>
    <row r="2368" spans="1:24">
      <c r="A2368" t="s">
        <v>358</v>
      </c>
      <c r="B2368" t="s">
        <v>682</v>
      </c>
      <c r="C2368" t="s">
        <v>157</v>
      </c>
      <c r="D2368" t="s">
        <v>126</v>
      </c>
      <c r="E2368" t="s">
        <v>377</v>
      </c>
      <c r="F2368" t="s">
        <v>384</v>
      </c>
      <c r="G2368" t="s">
        <v>335</v>
      </c>
      <c r="H2368" t="s">
        <v>749</v>
      </c>
      <c r="I2368" t="s">
        <v>743</v>
      </c>
      <c r="J2368" t="s">
        <v>379</v>
      </c>
      <c r="K2368" t="s">
        <v>546</v>
      </c>
      <c r="L2368" s="784" t="s">
        <v>575</v>
      </c>
      <c r="M2368" t="s">
        <v>745</v>
      </c>
      <c r="N2368" s="784" t="s">
        <v>575</v>
      </c>
      <c r="P2368" t="s">
        <v>1887</v>
      </c>
      <c r="R2368" t="s">
        <v>152</v>
      </c>
      <c r="S2368" t="s">
        <v>146</v>
      </c>
      <c r="U2368">
        <v>0</v>
      </c>
      <c r="V2368" t="s">
        <v>544</v>
      </c>
      <c r="W2368" t="s">
        <v>575</v>
      </c>
      <c r="X2368" s="784">
        <v>14611129792.346064</v>
      </c>
    </row>
    <row r="2369" spans="1:24">
      <c r="A2369" t="s">
        <v>358</v>
      </c>
      <c r="B2369" t="s">
        <v>683</v>
      </c>
      <c r="C2369" t="s">
        <v>281</v>
      </c>
      <c r="D2369" t="s">
        <v>126</v>
      </c>
      <c r="E2369" t="s">
        <v>377</v>
      </c>
      <c r="F2369" t="s">
        <v>384</v>
      </c>
      <c r="G2369" t="s">
        <v>335</v>
      </c>
      <c r="H2369" t="s">
        <v>749</v>
      </c>
      <c r="I2369" t="s">
        <v>743</v>
      </c>
      <c r="J2369" t="s">
        <v>379</v>
      </c>
      <c r="K2369" t="s">
        <v>546</v>
      </c>
      <c r="L2369" s="784">
        <v>2678432</v>
      </c>
      <c r="M2369" t="s">
        <v>745</v>
      </c>
      <c r="N2369" s="784" t="s">
        <v>575</v>
      </c>
      <c r="P2369" t="s">
        <v>1887</v>
      </c>
      <c r="R2369" t="s">
        <v>150</v>
      </c>
      <c r="S2369" t="s">
        <v>145</v>
      </c>
      <c r="U2369">
        <v>0</v>
      </c>
      <c r="V2369" t="s">
        <v>541</v>
      </c>
      <c r="W2369" t="s">
        <v>558</v>
      </c>
      <c r="X2369" s="784">
        <v>72046877.233008593</v>
      </c>
    </row>
    <row r="2370" spans="1:24">
      <c r="A2370" t="s">
        <v>358</v>
      </c>
      <c r="B2370" t="s">
        <v>684</v>
      </c>
      <c r="C2370" t="s">
        <v>282</v>
      </c>
      <c r="D2370" t="s">
        <v>129</v>
      </c>
      <c r="E2370" t="s">
        <v>377</v>
      </c>
      <c r="F2370" t="s">
        <v>384</v>
      </c>
      <c r="G2370" t="s">
        <v>335</v>
      </c>
      <c r="H2370" t="s">
        <v>749</v>
      </c>
      <c r="I2370" t="s">
        <v>743</v>
      </c>
      <c r="J2370" t="s">
        <v>379</v>
      </c>
      <c r="K2370" t="s">
        <v>546</v>
      </c>
      <c r="L2370" s="784" t="s">
        <v>575</v>
      </c>
      <c r="M2370" t="s">
        <v>745</v>
      </c>
      <c r="N2370" s="784" t="s">
        <v>575</v>
      </c>
      <c r="P2370" t="s">
        <v>1887</v>
      </c>
      <c r="R2370" t="s">
        <v>148</v>
      </c>
      <c r="S2370" t="s">
        <v>145</v>
      </c>
      <c r="U2370">
        <v>0</v>
      </c>
      <c r="V2370" t="s">
        <v>544</v>
      </c>
      <c r="W2370" t="s">
        <v>542</v>
      </c>
      <c r="X2370" s="784">
        <v>56248139.267255567</v>
      </c>
    </row>
    <row r="2371" spans="1:24">
      <c r="A2371" t="s">
        <v>358</v>
      </c>
      <c r="B2371" t="s">
        <v>685</v>
      </c>
      <c r="C2371" t="s">
        <v>283</v>
      </c>
      <c r="D2371" t="s">
        <v>126</v>
      </c>
      <c r="E2371" t="s">
        <v>377</v>
      </c>
      <c r="F2371" t="s">
        <v>384</v>
      </c>
      <c r="G2371" t="s">
        <v>335</v>
      </c>
      <c r="H2371" t="s">
        <v>749</v>
      </c>
      <c r="I2371" t="s">
        <v>743</v>
      </c>
      <c r="J2371" t="s">
        <v>379</v>
      </c>
      <c r="K2371" t="s">
        <v>546</v>
      </c>
      <c r="L2371" s="784">
        <v>0</v>
      </c>
      <c r="M2371" t="s">
        <v>745</v>
      </c>
      <c r="N2371" s="784" t="s">
        <v>575</v>
      </c>
      <c r="P2371" t="s">
        <v>1887</v>
      </c>
      <c r="R2371" t="s">
        <v>152</v>
      </c>
      <c r="S2371" t="s">
        <v>145</v>
      </c>
      <c r="U2371">
        <v>0</v>
      </c>
      <c r="V2371" t="s">
        <v>541</v>
      </c>
      <c r="W2371" t="s">
        <v>542</v>
      </c>
      <c r="X2371" s="784">
        <v>15464031.712942109</v>
      </c>
    </row>
    <row r="2372" spans="1:24">
      <c r="A2372" t="s">
        <v>358</v>
      </c>
      <c r="B2372" t="s">
        <v>686</v>
      </c>
      <c r="C2372" t="s">
        <v>284</v>
      </c>
      <c r="D2372" t="s">
        <v>130</v>
      </c>
      <c r="E2372" t="s">
        <v>377</v>
      </c>
      <c r="F2372" t="s">
        <v>384</v>
      </c>
      <c r="G2372" t="s">
        <v>335</v>
      </c>
      <c r="H2372" t="s">
        <v>749</v>
      </c>
      <c r="I2372" t="s">
        <v>743</v>
      </c>
      <c r="J2372" t="s">
        <v>379</v>
      </c>
      <c r="K2372" t="s">
        <v>546</v>
      </c>
      <c r="L2372" s="784" t="s">
        <v>575</v>
      </c>
      <c r="M2372" t="s">
        <v>745</v>
      </c>
      <c r="N2372" s="784" t="s">
        <v>575</v>
      </c>
      <c r="P2372" t="s">
        <v>1887</v>
      </c>
      <c r="R2372" t="s">
        <v>550</v>
      </c>
      <c r="S2372" t="s">
        <v>146</v>
      </c>
      <c r="U2372">
        <v>0</v>
      </c>
      <c r="V2372" t="s">
        <v>541</v>
      </c>
      <c r="W2372" t="s">
        <v>546</v>
      </c>
      <c r="X2372" s="784">
        <v>769564399.33249676</v>
      </c>
    </row>
    <row r="2373" spans="1:24">
      <c r="A2373" t="s">
        <v>358</v>
      </c>
      <c r="B2373" t="s">
        <v>687</v>
      </c>
      <c r="C2373" t="s">
        <v>285</v>
      </c>
      <c r="D2373" t="s">
        <v>131</v>
      </c>
      <c r="E2373" t="s">
        <v>377</v>
      </c>
      <c r="F2373" t="s">
        <v>384</v>
      </c>
      <c r="G2373" t="s">
        <v>335</v>
      </c>
      <c r="H2373" t="s">
        <v>749</v>
      </c>
      <c r="I2373" t="s">
        <v>743</v>
      </c>
      <c r="J2373" t="s">
        <v>379</v>
      </c>
      <c r="K2373" t="s">
        <v>546</v>
      </c>
      <c r="L2373" s="784" t="s">
        <v>575</v>
      </c>
      <c r="M2373" t="s">
        <v>745</v>
      </c>
      <c r="N2373" s="784" t="s">
        <v>575</v>
      </c>
      <c r="P2373" t="s">
        <v>1887</v>
      </c>
      <c r="R2373" t="s">
        <v>150</v>
      </c>
      <c r="S2373" t="s">
        <v>145</v>
      </c>
      <c r="U2373">
        <v>0</v>
      </c>
      <c r="V2373" t="s">
        <v>544</v>
      </c>
      <c r="W2373" t="s">
        <v>546</v>
      </c>
      <c r="X2373" s="784">
        <v>1668954539.7630196</v>
      </c>
    </row>
    <row r="2374" spans="1:24">
      <c r="A2374" t="s">
        <v>358</v>
      </c>
      <c r="B2374" t="s">
        <v>688</v>
      </c>
      <c r="C2374" t="s">
        <v>286</v>
      </c>
      <c r="D2374" t="s">
        <v>127</v>
      </c>
      <c r="E2374" t="s">
        <v>377</v>
      </c>
      <c r="F2374" t="s">
        <v>384</v>
      </c>
      <c r="G2374" t="s">
        <v>335</v>
      </c>
      <c r="H2374" t="s">
        <v>749</v>
      </c>
      <c r="I2374" t="s">
        <v>743</v>
      </c>
      <c r="J2374" t="s">
        <v>379</v>
      </c>
      <c r="K2374" t="s">
        <v>546</v>
      </c>
      <c r="L2374" s="784" t="s">
        <v>575</v>
      </c>
      <c r="M2374" t="s">
        <v>745</v>
      </c>
      <c r="N2374" s="784" t="s">
        <v>575</v>
      </c>
      <c r="P2374" t="s">
        <v>1887</v>
      </c>
      <c r="R2374" t="s">
        <v>152</v>
      </c>
      <c r="S2374" t="s">
        <v>146</v>
      </c>
      <c r="U2374">
        <v>0</v>
      </c>
      <c r="V2374" t="s">
        <v>544</v>
      </c>
      <c r="W2374" t="s">
        <v>575</v>
      </c>
      <c r="X2374" s="784">
        <v>24840920016.18832</v>
      </c>
    </row>
    <row r="2375" spans="1:24">
      <c r="A2375" t="s">
        <v>358</v>
      </c>
      <c r="B2375" t="s">
        <v>689</v>
      </c>
      <c r="C2375" t="s">
        <v>287</v>
      </c>
      <c r="D2375" t="s">
        <v>127</v>
      </c>
      <c r="E2375" t="s">
        <v>377</v>
      </c>
      <c r="F2375" t="s">
        <v>384</v>
      </c>
      <c r="G2375" t="s">
        <v>335</v>
      </c>
      <c r="H2375" t="s">
        <v>749</v>
      </c>
      <c r="I2375" t="s">
        <v>743</v>
      </c>
      <c r="J2375" t="s">
        <v>379</v>
      </c>
      <c r="K2375" t="s">
        <v>546</v>
      </c>
      <c r="L2375" s="784" t="s">
        <v>575</v>
      </c>
      <c r="M2375" t="s">
        <v>745</v>
      </c>
      <c r="N2375" s="784" t="s">
        <v>575</v>
      </c>
      <c r="P2375" t="s">
        <v>1887</v>
      </c>
      <c r="R2375" t="s">
        <v>152</v>
      </c>
      <c r="S2375" t="s">
        <v>146</v>
      </c>
      <c r="U2375">
        <v>0</v>
      </c>
      <c r="V2375" t="s">
        <v>544</v>
      </c>
      <c r="W2375" t="s">
        <v>546</v>
      </c>
      <c r="X2375" s="784">
        <v>487888462.83720118</v>
      </c>
    </row>
    <row r="2376" spans="1:24">
      <c r="A2376" t="s">
        <v>358</v>
      </c>
      <c r="B2376" t="s">
        <v>690</v>
      </c>
      <c r="C2376" t="s">
        <v>288</v>
      </c>
      <c r="D2376" t="s">
        <v>126</v>
      </c>
      <c r="E2376" t="s">
        <v>377</v>
      </c>
      <c r="F2376" t="s">
        <v>384</v>
      </c>
      <c r="G2376" t="s">
        <v>335</v>
      </c>
      <c r="H2376" t="s">
        <v>749</v>
      </c>
      <c r="I2376" t="s">
        <v>743</v>
      </c>
      <c r="J2376" t="s">
        <v>379</v>
      </c>
      <c r="K2376" t="s">
        <v>546</v>
      </c>
      <c r="L2376" s="784">
        <v>0</v>
      </c>
      <c r="M2376" t="s">
        <v>745</v>
      </c>
      <c r="N2376" s="784" t="s">
        <v>575</v>
      </c>
      <c r="P2376" t="s">
        <v>1887</v>
      </c>
      <c r="R2376" t="s">
        <v>152</v>
      </c>
      <c r="S2376" t="s">
        <v>145</v>
      </c>
      <c r="U2376">
        <v>0</v>
      </c>
      <c r="V2376" t="s">
        <v>541</v>
      </c>
      <c r="W2376" t="s">
        <v>548</v>
      </c>
      <c r="X2376" s="784">
        <v>6365061.1736073596</v>
      </c>
    </row>
    <row r="2377" spans="1:24">
      <c r="A2377" t="s">
        <v>358</v>
      </c>
      <c r="B2377" t="s">
        <v>691</v>
      </c>
      <c r="C2377" t="s">
        <v>289</v>
      </c>
      <c r="D2377" t="s">
        <v>128</v>
      </c>
      <c r="E2377" t="s">
        <v>377</v>
      </c>
      <c r="F2377" t="s">
        <v>384</v>
      </c>
      <c r="G2377" t="s">
        <v>335</v>
      </c>
      <c r="H2377" t="s">
        <v>749</v>
      </c>
      <c r="I2377" t="s">
        <v>743</v>
      </c>
      <c r="J2377" t="s">
        <v>379</v>
      </c>
      <c r="K2377" t="s">
        <v>546</v>
      </c>
      <c r="L2377" s="784" t="s">
        <v>575</v>
      </c>
      <c r="M2377" t="s">
        <v>745</v>
      </c>
      <c r="N2377" s="784" t="s">
        <v>575</v>
      </c>
      <c r="P2377" t="s">
        <v>1887</v>
      </c>
      <c r="R2377" t="s">
        <v>148</v>
      </c>
      <c r="S2377" t="s">
        <v>145</v>
      </c>
      <c r="U2377">
        <v>2</v>
      </c>
      <c r="V2377" t="s">
        <v>544</v>
      </c>
      <c r="W2377" t="s">
        <v>558</v>
      </c>
      <c r="X2377" s="784">
        <v>291799092.90196139</v>
      </c>
    </row>
    <row r="2378" spans="1:24">
      <c r="A2378" t="s">
        <v>358</v>
      </c>
      <c r="B2378" t="s">
        <v>692</v>
      </c>
      <c r="C2378" t="s">
        <v>290</v>
      </c>
      <c r="D2378" t="s">
        <v>127</v>
      </c>
      <c r="E2378" t="s">
        <v>377</v>
      </c>
      <c r="F2378" t="s">
        <v>384</v>
      </c>
      <c r="G2378" t="s">
        <v>335</v>
      </c>
      <c r="H2378" t="s">
        <v>749</v>
      </c>
      <c r="I2378" t="s">
        <v>743</v>
      </c>
      <c r="J2378" t="s">
        <v>379</v>
      </c>
      <c r="K2378" t="s">
        <v>546</v>
      </c>
      <c r="L2378" s="784" t="s">
        <v>575</v>
      </c>
      <c r="M2378" t="s">
        <v>745</v>
      </c>
      <c r="N2378" s="784" t="s">
        <v>575</v>
      </c>
      <c r="P2378" t="s">
        <v>1887</v>
      </c>
      <c r="R2378" t="s">
        <v>150</v>
      </c>
      <c r="S2378" t="s">
        <v>145</v>
      </c>
      <c r="U2378">
        <v>0</v>
      </c>
      <c r="V2378" t="s">
        <v>544</v>
      </c>
      <c r="W2378" t="s">
        <v>546</v>
      </c>
      <c r="X2378" s="784">
        <v>4844815340.2135534</v>
      </c>
    </row>
    <row r="2379" spans="1:24">
      <c r="A2379" t="s">
        <v>358</v>
      </c>
      <c r="B2379" t="s">
        <v>693</v>
      </c>
      <c r="C2379" t="s">
        <v>291</v>
      </c>
      <c r="D2379" t="s">
        <v>130</v>
      </c>
      <c r="E2379" t="s">
        <v>377</v>
      </c>
      <c r="F2379" t="s">
        <v>384</v>
      </c>
      <c r="G2379" t="s">
        <v>335</v>
      </c>
      <c r="H2379" t="s">
        <v>749</v>
      </c>
      <c r="I2379" t="s">
        <v>743</v>
      </c>
      <c r="J2379" t="s">
        <v>379</v>
      </c>
      <c r="K2379" t="s">
        <v>546</v>
      </c>
      <c r="L2379" s="784" t="s">
        <v>575</v>
      </c>
      <c r="M2379" t="s">
        <v>745</v>
      </c>
      <c r="N2379" s="784" t="s">
        <v>575</v>
      </c>
      <c r="P2379" t="s">
        <v>1887</v>
      </c>
      <c r="R2379" t="s">
        <v>550</v>
      </c>
      <c r="S2379" t="s">
        <v>146</v>
      </c>
      <c r="U2379">
        <v>0</v>
      </c>
      <c r="V2379" t="s">
        <v>544</v>
      </c>
      <c r="W2379" t="s">
        <v>575</v>
      </c>
      <c r="X2379" s="784">
        <v>4001891446.6871672</v>
      </c>
    </row>
    <row r="2380" spans="1:24">
      <c r="A2380" t="s">
        <v>358</v>
      </c>
      <c r="B2380" t="s">
        <v>694</v>
      </c>
      <c r="C2380" t="s">
        <v>292</v>
      </c>
      <c r="D2380" t="s">
        <v>127</v>
      </c>
      <c r="E2380" t="s">
        <v>377</v>
      </c>
      <c r="F2380" t="s">
        <v>384</v>
      </c>
      <c r="G2380" t="s">
        <v>335</v>
      </c>
      <c r="H2380" t="s">
        <v>749</v>
      </c>
      <c r="I2380" t="s">
        <v>743</v>
      </c>
      <c r="J2380" t="s">
        <v>379</v>
      </c>
      <c r="K2380" t="s">
        <v>546</v>
      </c>
      <c r="L2380" s="784" t="s">
        <v>575</v>
      </c>
      <c r="M2380" t="s">
        <v>745</v>
      </c>
      <c r="N2380" s="784" t="s">
        <v>575</v>
      </c>
      <c r="P2380" t="s">
        <v>1887</v>
      </c>
      <c r="R2380" t="s">
        <v>150</v>
      </c>
      <c r="S2380" t="s">
        <v>145</v>
      </c>
      <c r="U2380">
        <v>0</v>
      </c>
      <c r="V2380" t="s">
        <v>544</v>
      </c>
      <c r="W2380" t="s">
        <v>558</v>
      </c>
      <c r="X2380" s="784">
        <v>1019800630.5853213</v>
      </c>
    </row>
    <row r="2381" spans="1:24">
      <c r="A2381" t="s">
        <v>358</v>
      </c>
      <c r="B2381" t="s">
        <v>695</v>
      </c>
      <c r="C2381" t="s">
        <v>293</v>
      </c>
      <c r="D2381" t="s">
        <v>126</v>
      </c>
      <c r="E2381" t="s">
        <v>377</v>
      </c>
      <c r="F2381" t="s">
        <v>384</v>
      </c>
      <c r="G2381" t="s">
        <v>335</v>
      </c>
      <c r="H2381" t="s">
        <v>749</v>
      </c>
      <c r="I2381" t="s">
        <v>743</v>
      </c>
      <c r="J2381" t="s">
        <v>379</v>
      </c>
      <c r="K2381" t="s">
        <v>546</v>
      </c>
      <c r="L2381" s="784">
        <v>0</v>
      </c>
      <c r="M2381" t="s">
        <v>745</v>
      </c>
      <c r="N2381" s="784" t="s">
        <v>575</v>
      </c>
      <c r="P2381" t="s">
        <v>1887</v>
      </c>
      <c r="R2381" t="s">
        <v>150</v>
      </c>
      <c r="S2381" t="s">
        <v>145</v>
      </c>
      <c r="U2381">
        <v>0</v>
      </c>
      <c r="V2381" t="s">
        <v>541</v>
      </c>
      <c r="W2381" t="s">
        <v>562</v>
      </c>
      <c r="X2381" s="784">
        <v>19578671.310841195</v>
      </c>
    </row>
    <row r="2382" spans="1:24">
      <c r="A2382" t="s">
        <v>358</v>
      </c>
      <c r="B2382" t="s">
        <v>696</v>
      </c>
      <c r="C2382" t="s">
        <v>294</v>
      </c>
      <c r="D2382" t="s">
        <v>130</v>
      </c>
      <c r="E2382" t="s">
        <v>377</v>
      </c>
      <c r="F2382" t="s">
        <v>384</v>
      </c>
      <c r="G2382" t="s">
        <v>335</v>
      </c>
      <c r="H2382" t="s">
        <v>749</v>
      </c>
      <c r="I2382" t="s">
        <v>743</v>
      </c>
      <c r="J2382" t="s">
        <v>379</v>
      </c>
      <c r="K2382" t="s">
        <v>546</v>
      </c>
      <c r="L2382" s="784" t="s">
        <v>575</v>
      </c>
      <c r="M2382" t="s">
        <v>745</v>
      </c>
      <c r="N2382" s="784" t="s">
        <v>575</v>
      </c>
      <c r="P2382" t="s">
        <v>1887</v>
      </c>
      <c r="R2382" t="s">
        <v>322</v>
      </c>
      <c r="S2382" t="s">
        <v>146</v>
      </c>
      <c r="U2382">
        <v>0</v>
      </c>
      <c r="V2382" t="s">
        <v>544</v>
      </c>
      <c r="W2382" t="s">
        <v>546</v>
      </c>
      <c r="X2382" s="784">
        <v>3551452001.0684834</v>
      </c>
    </row>
    <row r="2383" spans="1:24">
      <c r="A2383" t="s">
        <v>358</v>
      </c>
      <c r="B2383" t="s">
        <v>697</v>
      </c>
      <c r="C2383" t="s">
        <v>295</v>
      </c>
      <c r="D2383" t="s">
        <v>126</v>
      </c>
      <c r="E2383" t="s">
        <v>377</v>
      </c>
      <c r="F2383" t="s">
        <v>384</v>
      </c>
      <c r="G2383" t="s">
        <v>335</v>
      </c>
      <c r="H2383" t="s">
        <v>749</v>
      </c>
      <c r="I2383" t="s">
        <v>743</v>
      </c>
      <c r="J2383" t="s">
        <v>379</v>
      </c>
      <c r="K2383" t="s">
        <v>546</v>
      </c>
      <c r="L2383" s="784">
        <v>0</v>
      </c>
      <c r="M2383" t="s">
        <v>745</v>
      </c>
      <c r="N2383" s="784" t="s">
        <v>575</v>
      </c>
      <c r="P2383" t="s">
        <v>1887</v>
      </c>
      <c r="R2383" t="s">
        <v>150</v>
      </c>
      <c r="S2383" t="s">
        <v>145</v>
      </c>
      <c r="U2383">
        <v>0</v>
      </c>
      <c r="V2383" t="s">
        <v>544</v>
      </c>
      <c r="W2383" t="s">
        <v>546</v>
      </c>
      <c r="X2383" s="784">
        <v>6603048821.7575006</v>
      </c>
    </row>
    <row r="2384" spans="1:24">
      <c r="A2384" t="s">
        <v>358</v>
      </c>
      <c r="B2384" t="s">
        <v>698</v>
      </c>
      <c r="C2384" t="s">
        <v>296</v>
      </c>
      <c r="D2384" t="s">
        <v>131</v>
      </c>
      <c r="E2384" t="s">
        <v>377</v>
      </c>
      <c r="F2384" t="s">
        <v>384</v>
      </c>
      <c r="G2384" t="s">
        <v>335</v>
      </c>
      <c r="H2384" t="s">
        <v>749</v>
      </c>
      <c r="I2384" t="s">
        <v>743</v>
      </c>
      <c r="J2384" t="s">
        <v>379</v>
      </c>
      <c r="K2384" t="s">
        <v>546</v>
      </c>
      <c r="L2384" s="784" t="s">
        <v>575</v>
      </c>
      <c r="M2384" t="s">
        <v>745</v>
      </c>
      <c r="N2384" s="784" t="s">
        <v>575</v>
      </c>
      <c r="P2384" t="s">
        <v>1887</v>
      </c>
      <c r="R2384" t="s">
        <v>148</v>
      </c>
      <c r="S2384" t="s">
        <v>145</v>
      </c>
      <c r="U2384">
        <v>1</v>
      </c>
      <c r="V2384" t="s">
        <v>544</v>
      </c>
      <c r="W2384" t="s">
        <v>548</v>
      </c>
      <c r="X2384" s="784" t="s">
        <v>575</v>
      </c>
    </row>
    <row r="2385" spans="1:24">
      <c r="A2385" t="s">
        <v>358</v>
      </c>
      <c r="B2385" t="s">
        <v>699</v>
      </c>
      <c r="C2385" t="s">
        <v>297</v>
      </c>
      <c r="D2385" t="s">
        <v>128</v>
      </c>
      <c r="E2385" t="s">
        <v>377</v>
      </c>
      <c r="F2385" t="s">
        <v>384</v>
      </c>
      <c r="G2385" t="s">
        <v>335</v>
      </c>
      <c r="H2385" t="s">
        <v>749</v>
      </c>
      <c r="I2385" t="s">
        <v>743</v>
      </c>
      <c r="J2385" t="s">
        <v>379</v>
      </c>
      <c r="K2385" t="s">
        <v>546</v>
      </c>
      <c r="L2385" s="784" t="s">
        <v>575</v>
      </c>
      <c r="M2385" t="s">
        <v>745</v>
      </c>
      <c r="N2385" s="784" t="s">
        <v>575</v>
      </c>
      <c r="P2385" t="s">
        <v>1887</v>
      </c>
      <c r="R2385" t="s">
        <v>150</v>
      </c>
      <c r="S2385" t="s">
        <v>145</v>
      </c>
      <c r="U2385">
        <v>0</v>
      </c>
      <c r="V2385" t="s">
        <v>544</v>
      </c>
      <c r="W2385" t="s">
        <v>542</v>
      </c>
      <c r="X2385" s="784">
        <v>515352723.9821828</v>
      </c>
    </row>
    <row r="2386" spans="1:24">
      <c r="A2386" t="s">
        <v>358</v>
      </c>
      <c r="B2386" t="s">
        <v>700</v>
      </c>
      <c r="C2386" t="s">
        <v>298</v>
      </c>
      <c r="D2386" t="s">
        <v>128</v>
      </c>
      <c r="E2386" t="s">
        <v>377</v>
      </c>
      <c r="F2386" t="s">
        <v>384</v>
      </c>
      <c r="G2386" t="s">
        <v>335</v>
      </c>
      <c r="H2386" t="s">
        <v>749</v>
      </c>
      <c r="I2386" t="s">
        <v>743</v>
      </c>
      <c r="J2386" t="s">
        <v>379</v>
      </c>
      <c r="K2386" t="s">
        <v>546</v>
      </c>
      <c r="L2386" s="784" t="s">
        <v>575</v>
      </c>
      <c r="M2386" t="s">
        <v>745</v>
      </c>
      <c r="N2386" s="784" t="s">
        <v>575</v>
      </c>
      <c r="P2386" t="s">
        <v>1887</v>
      </c>
      <c r="R2386" t="s">
        <v>150</v>
      </c>
      <c r="S2386" t="s">
        <v>145</v>
      </c>
      <c r="U2386">
        <v>0</v>
      </c>
      <c r="V2386" t="s">
        <v>544</v>
      </c>
      <c r="W2386" t="s">
        <v>546</v>
      </c>
      <c r="X2386" s="784">
        <v>566711742.22428358</v>
      </c>
    </row>
    <row r="2387" spans="1:24">
      <c r="A2387" t="s">
        <v>358</v>
      </c>
      <c r="B2387" t="s">
        <v>540</v>
      </c>
      <c r="C2387" t="s">
        <v>160</v>
      </c>
      <c r="D2387" t="s">
        <v>132</v>
      </c>
      <c r="E2387" t="s">
        <v>377</v>
      </c>
      <c r="F2387" t="s">
        <v>384</v>
      </c>
      <c r="G2387" t="s">
        <v>335</v>
      </c>
      <c r="H2387" t="s">
        <v>749</v>
      </c>
      <c r="I2387">
        <v>2021</v>
      </c>
      <c r="J2387" t="s">
        <v>379</v>
      </c>
      <c r="K2387" t="s">
        <v>546</v>
      </c>
      <c r="L2387" s="784" t="s">
        <v>575</v>
      </c>
      <c r="M2387" t="s">
        <v>745</v>
      </c>
      <c r="N2387" s="784" t="s">
        <v>575</v>
      </c>
      <c r="O2387" t="s">
        <v>737</v>
      </c>
      <c r="P2387" t="s">
        <v>750</v>
      </c>
      <c r="R2387" t="s">
        <v>148</v>
      </c>
      <c r="S2387" t="s">
        <v>145</v>
      </c>
      <c r="U2387">
        <v>1</v>
      </c>
      <c r="V2387" t="s">
        <v>544</v>
      </c>
      <c r="W2387" t="s">
        <v>542</v>
      </c>
      <c r="X2387" s="784">
        <v>95829480.719269618</v>
      </c>
    </row>
    <row r="2388" spans="1:24">
      <c r="A2388" t="s">
        <v>358</v>
      </c>
      <c r="B2388" t="s">
        <v>543</v>
      </c>
      <c r="C2388" t="s">
        <v>161</v>
      </c>
      <c r="D2388" t="s">
        <v>127</v>
      </c>
      <c r="E2388" t="s">
        <v>377</v>
      </c>
      <c r="F2388" t="s">
        <v>384</v>
      </c>
      <c r="G2388" t="s">
        <v>335</v>
      </c>
      <c r="H2388" t="s">
        <v>749</v>
      </c>
      <c r="I2388">
        <v>2021</v>
      </c>
      <c r="J2388" t="s">
        <v>379</v>
      </c>
      <c r="K2388" t="s">
        <v>546</v>
      </c>
      <c r="L2388" s="784" t="s">
        <v>575</v>
      </c>
      <c r="M2388" t="s">
        <v>745</v>
      </c>
      <c r="N2388" s="784" t="s">
        <v>575</v>
      </c>
      <c r="O2388" t="s">
        <v>737</v>
      </c>
      <c r="P2388" t="s">
        <v>750</v>
      </c>
      <c r="R2388" t="s">
        <v>152</v>
      </c>
      <c r="S2388" t="s">
        <v>146</v>
      </c>
      <c r="U2388">
        <v>0</v>
      </c>
      <c r="V2388" t="s">
        <v>544</v>
      </c>
      <c r="W2388" t="s">
        <v>575</v>
      </c>
      <c r="X2388" s="784">
        <v>427904035.52443534</v>
      </c>
    </row>
    <row r="2389" spans="1:24">
      <c r="A2389" t="s">
        <v>358</v>
      </c>
      <c r="B2389" t="s">
        <v>545</v>
      </c>
      <c r="C2389" t="s">
        <v>143</v>
      </c>
      <c r="D2389" t="s">
        <v>131</v>
      </c>
      <c r="E2389" t="s">
        <v>377</v>
      </c>
      <c r="F2389" t="s">
        <v>384</v>
      </c>
      <c r="G2389" t="s">
        <v>335</v>
      </c>
      <c r="H2389" t="s">
        <v>749</v>
      </c>
      <c r="I2389">
        <v>2021</v>
      </c>
      <c r="J2389" t="s">
        <v>379</v>
      </c>
      <c r="K2389" t="s">
        <v>546</v>
      </c>
      <c r="L2389" s="784" t="s">
        <v>575</v>
      </c>
      <c r="M2389" t="s">
        <v>745</v>
      </c>
      <c r="N2389" s="784" t="s">
        <v>575</v>
      </c>
      <c r="O2389" t="s">
        <v>737</v>
      </c>
      <c r="P2389" t="s">
        <v>750</v>
      </c>
      <c r="R2389" t="s">
        <v>150</v>
      </c>
      <c r="S2389" t="s">
        <v>145</v>
      </c>
      <c r="U2389">
        <v>0</v>
      </c>
      <c r="V2389" t="s">
        <v>544</v>
      </c>
      <c r="W2389" t="s">
        <v>546</v>
      </c>
      <c r="X2389" s="784">
        <v>7113361022.7267885</v>
      </c>
    </row>
    <row r="2390" spans="1:24">
      <c r="A2390" t="s">
        <v>358</v>
      </c>
      <c r="B2390" t="s">
        <v>547</v>
      </c>
      <c r="C2390" t="s">
        <v>162</v>
      </c>
      <c r="D2390" t="s">
        <v>128</v>
      </c>
      <c r="E2390" t="s">
        <v>377</v>
      </c>
      <c r="F2390" t="s">
        <v>384</v>
      </c>
      <c r="G2390" t="s">
        <v>335</v>
      </c>
      <c r="H2390" t="s">
        <v>749</v>
      </c>
      <c r="I2390">
        <v>2021</v>
      </c>
      <c r="J2390" t="s">
        <v>379</v>
      </c>
      <c r="K2390" t="s">
        <v>546</v>
      </c>
      <c r="L2390" s="784" t="s">
        <v>575</v>
      </c>
      <c r="M2390" t="s">
        <v>745</v>
      </c>
      <c r="N2390" s="784" t="s">
        <v>575</v>
      </c>
      <c r="O2390" t="s">
        <v>737</v>
      </c>
      <c r="P2390" t="s">
        <v>750</v>
      </c>
      <c r="R2390" t="s">
        <v>150</v>
      </c>
      <c r="S2390" t="s">
        <v>145</v>
      </c>
      <c r="U2390">
        <v>0</v>
      </c>
      <c r="V2390" t="s">
        <v>544</v>
      </c>
      <c r="W2390" t="s">
        <v>548</v>
      </c>
      <c r="X2390" s="784">
        <v>1131865946.5875781</v>
      </c>
    </row>
    <row r="2391" spans="1:24">
      <c r="A2391" t="s">
        <v>358</v>
      </c>
      <c r="B2391" t="s">
        <v>549</v>
      </c>
      <c r="C2391" t="s">
        <v>163</v>
      </c>
      <c r="D2391" t="s">
        <v>130</v>
      </c>
      <c r="E2391" t="s">
        <v>377</v>
      </c>
      <c r="F2391" t="s">
        <v>384</v>
      </c>
      <c r="G2391" t="s">
        <v>335</v>
      </c>
      <c r="H2391" t="s">
        <v>749</v>
      </c>
      <c r="I2391">
        <v>2021</v>
      </c>
      <c r="J2391" t="s">
        <v>379</v>
      </c>
      <c r="K2391" t="s">
        <v>546</v>
      </c>
      <c r="L2391" s="784" t="s">
        <v>575</v>
      </c>
      <c r="M2391" t="s">
        <v>745</v>
      </c>
      <c r="N2391" s="784" t="s">
        <v>575</v>
      </c>
      <c r="O2391" t="s">
        <v>737</v>
      </c>
      <c r="P2391" t="s">
        <v>750</v>
      </c>
      <c r="R2391" t="s">
        <v>550</v>
      </c>
      <c r="S2391" t="s">
        <v>146</v>
      </c>
      <c r="U2391">
        <v>0</v>
      </c>
      <c r="V2391" t="s">
        <v>541</v>
      </c>
      <c r="W2391" t="s">
        <v>575</v>
      </c>
      <c r="X2391" s="784">
        <v>46777779.823447868</v>
      </c>
    </row>
    <row r="2392" spans="1:24">
      <c r="A2392" t="s">
        <v>358</v>
      </c>
      <c r="B2392" t="s">
        <v>551</v>
      </c>
      <c r="C2392" t="s">
        <v>164</v>
      </c>
      <c r="D2392" t="s">
        <v>130</v>
      </c>
      <c r="E2392" t="s">
        <v>377</v>
      </c>
      <c r="F2392" t="s">
        <v>384</v>
      </c>
      <c r="G2392" t="s">
        <v>335</v>
      </c>
      <c r="H2392" t="s">
        <v>749</v>
      </c>
      <c r="I2392">
        <v>2021</v>
      </c>
      <c r="J2392" t="s">
        <v>379</v>
      </c>
      <c r="K2392" t="s">
        <v>546</v>
      </c>
      <c r="L2392" s="784" t="s">
        <v>575</v>
      </c>
      <c r="M2392" t="s">
        <v>745</v>
      </c>
      <c r="N2392" s="784" t="s">
        <v>575</v>
      </c>
      <c r="O2392" t="s">
        <v>737</v>
      </c>
      <c r="P2392" t="s">
        <v>750</v>
      </c>
      <c r="R2392" t="s">
        <v>152</v>
      </c>
      <c r="S2392" t="s">
        <v>146</v>
      </c>
      <c r="U2392">
        <v>0</v>
      </c>
      <c r="V2392" t="s">
        <v>544</v>
      </c>
      <c r="W2392" t="s">
        <v>575</v>
      </c>
      <c r="X2392" s="784">
        <v>30725305777.596794</v>
      </c>
    </row>
    <row r="2393" spans="1:24">
      <c r="A2393" t="s">
        <v>358</v>
      </c>
      <c r="B2393" t="s">
        <v>553</v>
      </c>
      <c r="C2393" t="s">
        <v>165</v>
      </c>
      <c r="D2393" t="s">
        <v>127</v>
      </c>
      <c r="E2393" t="s">
        <v>377</v>
      </c>
      <c r="F2393" t="s">
        <v>384</v>
      </c>
      <c r="G2393" t="s">
        <v>335</v>
      </c>
      <c r="H2393" t="s">
        <v>749</v>
      </c>
      <c r="I2393">
        <v>2021</v>
      </c>
      <c r="J2393" t="s">
        <v>379</v>
      </c>
      <c r="K2393" t="s">
        <v>546</v>
      </c>
      <c r="L2393" s="784" t="s">
        <v>575</v>
      </c>
      <c r="M2393" t="s">
        <v>745</v>
      </c>
      <c r="N2393" s="784" t="s">
        <v>575</v>
      </c>
      <c r="O2393" t="s">
        <v>737</v>
      </c>
      <c r="P2393" t="s">
        <v>750</v>
      </c>
      <c r="R2393" t="s">
        <v>152</v>
      </c>
      <c r="S2393" t="s">
        <v>146</v>
      </c>
      <c r="U2393">
        <v>0</v>
      </c>
      <c r="V2393" t="s">
        <v>544</v>
      </c>
      <c r="W2393" t="s">
        <v>575</v>
      </c>
      <c r="X2393" s="784">
        <v>153815827.8380394</v>
      </c>
    </row>
    <row r="2394" spans="1:24">
      <c r="A2394" t="s">
        <v>358</v>
      </c>
      <c r="B2394" t="s">
        <v>554</v>
      </c>
      <c r="C2394" t="s">
        <v>166</v>
      </c>
      <c r="D2394" t="s">
        <v>127</v>
      </c>
      <c r="E2394" t="s">
        <v>377</v>
      </c>
      <c r="F2394" t="s">
        <v>384</v>
      </c>
      <c r="G2394" t="s">
        <v>335</v>
      </c>
      <c r="H2394" t="s">
        <v>749</v>
      </c>
      <c r="I2394">
        <v>2021</v>
      </c>
      <c r="J2394" t="s">
        <v>379</v>
      </c>
      <c r="K2394" t="s">
        <v>546</v>
      </c>
      <c r="L2394" s="784" t="s">
        <v>575</v>
      </c>
      <c r="M2394" t="s">
        <v>745</v>
      </c>
      <c r="N2394" s="784" t="s">
        <v>575</v>
      </c>
      <c r="O2394" t="s">
        <v>737</v>
      </c>
      <c r="P2394" t="s">
        <v>750</v>
      </c>
      <c r="R2394" t="s">
        <v>152</v>
      </c>
      <c r="S2394" t="s">
        <v>146</v>
      </c>
      <c r="U2394">
        <v>0</v>
      </c>
      <c r="V2394" t="s">
        <v>544</v>
      </c>
      <c r="W2394" t="s">
        <v>546</v>
      </c>
      <c r="X2394" s="784">
        <v>437525105.31216973</v>
      </c>
    </row>
    <row r="2395" spans="1:24">
      <c r="A2395" t="s">
        <v>358</v>
      </c>
      <c r="B2395" t="s">
        <v>555</v>
      </c>
      <c r="C2395" t="s">
        <v>556</v>
      </c>
      <c r="D2395" t="s">
        <v>130</v>
      </c>
      <c r="E2395" t="s">
        <v>377</v>
      </c>
      <c r="F2395" t="s">
        <v>384</v>
      </c>
      <c r="G2395" t="s">
        <v>335</v>
      </c>
      <c r="H2395" t="s">
        <v>749</v>
      </c>
      <c r="I2395">
        <v>2021</v>
      </c>
      <c r="J2395" t="s">
        <v>379</v>
      </c>
      <c r="K2395" t="s">
        <v>546</v>
      </c>
      <c r="L2395" s="784" t="s">
        <v>575</v>
      </c>
      <c r="M2395" t="s">
        <v>745</v>
      </c>
      <c r="N2395" s="784" t="s">
        <v>575</v>
      </c>
      <c r="O2395" t="s">
        <v>737</v>
      </c>
      <c r="P2395" t="s">
        <v>750</v>
      </c>
      <c r="R2395" t="s">
        <v>550</v>
      </c>
      <c r="S2395" t="s">
        <v>146</v>
      </c>
      <c r="U2395">
        <v>0</v>
      </c>
      <c r="V2395" t="s">
        <v>541</v>
      </c>
      <c r="W2395" t="s">
        <v>575</v>
      </c>
      <c r="X2395" s="784">
        <v>149463302.00602186</v>
      </c>
    </row>
    <row r="2396" spans="1:24">
      <c r="A2396" t="s">
        <v>358</v>
      </c>
      <c r="B2396" t="s">
        <v>557</v>
      </c>
      <c r="C2396" t="s">
        <v>167</v>
      </c>
      <c r="D2396" t="s">
        <v>132</v>
      </c>
      <c r="E2396" t="s">
        <v>377</v>
      </c>
      <c r="F2396" t="s">
        <v>384</v>
      </c>
      <c r="G2396" t="s">
        <v>335</v>
      </c>
      <c r="H2396" t="s">
        <v>749</v>
      </c>
      <c r="I2396">
        <v>2021</v>
      </c>
      <c r="J2396" t="s">
        <v>379</v>
      </c>
      <c r="K2396" t="s">
        <v>546</v>
      </c>
      <c r="L2396" s="784" t="s">
        <v>575</v>
      </c>
      <c r="M2396" t="s">
        <v>745</v>
      </c>
      <c r="N2396" s="784" t="s">
        <v>575</v>
      </c>
      <c r="O2396" t="s">
        <v>737</v>
      </c>
      <c r="P2396" t="s">
        <v>750</v>
      </c>
      <c r="R2396" t="s">
        <v>150</v>
      </c>
      <c r="S2396" t="s">
        <v>145</v>
      </c>
      <c r="U2396">
        <v>0</v>
      </c>
      <c r="V2396" t="s">
        <v>544</v>
      </c>
      <c r="W2396" t="s">
        <v>558</v>
      </c>
      <c r="X2396" s="784">
        <v>1148322593.9600098</v>
      </c>
    </row>
    <row r="2397" spans="1:24">
      <c r="A2397" t="s">
        <v>358</v>
      </c>
      <c r="B2397" t="s">
        <v>559</v>
      </c>
      <c r="C2397" t="s">
        <v>168</v>
      </c>
      <c r="D2397" t="s">
        <v>127</v>
      </c>
      <c r="E2397" t="s">
        <v>377</v>
      </c>
      <c r="F2397" t="s">
        <v>384</v>
      </c>
      <c r="G2397" t="s">
        <v>335</v>
      </c>
      <c r="H2397" t="s">
        <v>749</v>
      </c>
      <c r="I2397">
        <v>2021</v>
      </c>
      <c r="J2397" t="s">
        <v>379</v>
      </c>
      <c r="K2397" t="s">
        <v>546</v>
      </c>
      <c r="L2397" s="784" t="s">
        <v>575</v>
      </c>
      <c r="M2397" t="s">
        <v>745</v>
      </c>
      <c r="N2397" s="784" t="s">
        <v>575</v>
      </c>
      <c r="O2397" t="s">
        <v>737</v>
      </c>
      <c r="P2397" t="s">
        <v>750</v>
      </c>
      <c r="R2397" t="s">
        <v>152</v>
      </c>
      <c r="S2397" t="s">
        <v>146</v>
      </c>
      <c r="U2397">
        <v>0</v>
      </c>
      <c r="V2397" t="s">
        <v>544</v>
      </c>
      <c r="W2397" t="s">
        <v>575</v>
      </c>
      <c r="X2397" s="784">
        <v>2371102058.1093163</v>
      </c>
    </row>
    <row r="2398" spans="1:24">
      <c r="A2398" t="s">
        <v>358</v>
      </c>
      <c r="B2398" t="s">
        <v>560</v>
      </c>
      <c r="C2398" t="s">
        <v>169</v>
      </c>
      <c r="D2398" t="s">
        <v>130</v>
      </c>
      <c r="E2398" t="s">
        <v>377</v>
      </c>
      <c r="F2398" t="s">
        <v>384</v>
      </c>
      <c r="G2398" t="s">
        <v>335</v>
      </c>
      <c r="H2398" t="s">
        <v>749</v>
      </c>
      <c r="I2398">
        <v>2021</v>
      </c>
      <c r="J2398" t="s">
        <v>379</v>
      </c>
      <c r="K2398" t="s">
        <v>546</v>
      </c>
      <c r="L2398" s="784" t="s">
        <v>575</v>
      </c>
      <c r="M2398" t="s">
        <v>745</v>
      </c>
      <c r="N2398" s="784" t="s">
        <v>575</v>
      </c>
      <c r="O2398" t="s">
        <v>737</v>
      </c>
      <c r="P2398" t="s">
        <v>750</v>
      </c>
      <c r="R2398" t="s">
        <v>150</v>
      </c>
      <c r="S2398" t="s">
        <v>146</v>
      </c>
      <c r="U2398">
        <v>0</v>
      </c>
      <c r="V2398" t="s">
        <v>541</v>
      </c>
      <c r="W2398" t="s">
        <v>546</v>
      </c>
      <c r="X2398" s="784">
        <v>75151620.005215243</v>
      </c>
    </row>
    <row r="2399" spans="1:24">
      <c r="A2399" t="s">
        <v>358</v>
      </c>
      <c r="B2399" t="s">
        <v>561</v>
      </c>
      <c r="C2399" t="s">
        <v>170</v>
      </c>
      <c r="D2399" t="s">
        <v>129</v>
      </c>
      <c r="E2399" t="s">
        <v>377</v>
      </c>
      <c r="F2399" t="s">
        <v>384</v>
      </c>
      <c r="G2399" t="s">
        <v>335</v>
      </c>
      <c r="H2399" t="s">
        <v>749</v>
      </c>
      <c r="I2399">
        <v>2021</v>
      </c>
      <c r="J2399" t="s">
        <v>379</v>
      </c>
      <c r="K2399" t="s">
        <v>546</v>
      </c>
      <c r="L2399" s="784" t="s">
        <v>575</v>
      </c>
      <c r="M2399" t="s">
        <v>745</v>
      </c>
      <c r="N2399" s="784" t="s">
        <v>575</v>
      </c>
      <c r="O2399" t="s">
        <v>737</v>
      </c>
      <c r="P2399" t="s">
        <v>750</v>
      </c>
      <c r="R2399" t="s">
        <v>150</v>
      </c>
      <c r="S2399" t="s">
        <v>145</v>
      </c>
      <c r="U2399">
        <v>0</v>
      </c>
      <c r="V2399" t="s">
        <v>544</v>
      </c>
      <c r="W2399" t="s">
        <v>562</v>
      </c>
      <c r="X2399" s="784">
        <v>69958487.197715744</v>
      </c>
    </row>
    <row r="2400" spans="1:24">
      <c r="A2400" t="s">
        <v>358</v>
      </c>
      <c r="B2400" t="s">
        <v>563</v>
      </c>
      <c r="C2400" t="s">
        <v>171</v>
      </c>
      <c r="D2400" t="s">
        <v>132</v>
      </c>
      <c r="E2400" t="s">
        <v>377</v>
      </c>
      <c r="F2400" t="s">
        <v>384</v>
      </c>
      <c r="G2400" t="s">
        <v>335</v>
      </c>
      <c r="H2400" t="s">
        <v>749</v>
      </c>
      <c r="I2400">
        <v>2021</v>
      </c>
      <c r="J2400" t="s">
        <v>379</v>
      </c>
      <c r="K2400" t="s">
        <v>546</v>
      </c>
      <c r="L2400" s="784" t="s">
        <v>575</v>
      </c>
      <c r="M2400" t="s">
        <v>745</v>
      </c>
      <c r="N2400" s="784" t="s">
        <v>575</v>
      </c>
      <c r="O2400" t="s">
        <v>737</v>
      </c>
      <c r="P2400" t="s">
        <v>750</v>
      </c>
      <c r="R2400" t="s">
        <v>150</v>
      </c>
      <c r="S2400" t="s">
        <v>145</v>
      </c>
      <c r="U2400">
        <v>0</v>
      </c>
      <c r="V2400" t="s">
        <v>544</v>
      </c>
      <c r="W2400" t="s">
        <v>548</v>
      </c>
      <c r="X2400" s="784">
        <v>61654608.560629159</v>
      </c>
    </row>
    <row r="2401" spans="1:24">
      <c r="A2401" t="s">
        <v>358</v>
      </c>
      <c r="B2401" t="s">
        <v>564</v>
      </c>
      <c r="C2401" t="s">
        <v>172</v>
      </c>
      <c r="D2401" t="s">
        <v>130</v>
      </c>
      <c r="E2401" t="s">
        <v>377</v>
      </c>
      <c r="F2401" t="s">
        <v>384</v>
      </c>
      <c r="G2401" t="s">
        <v>335</v>
      </c>
      <c r="H2401" t="s">
        <v>749</v>
      </c>
      <c r="I2401">
        <v>2021</v>
      </c>
      <c r="J2401" t="s">
        <v>379</v>
      </c>
      <c r="K2401" t="s">
        <v>546</v>
      </c>
      <c r="L2401" s="784" t="s">
        <v>575</v>
      </c>
      <c r="M2401" t="s">
        <v>745</v>
      </c>
      <c r="N2401" s="784" t="s">
        <v>575</v>
      </c>
      <c r="O2401" t="s">
        <v>737</v>
      </c>
      <c r="P2401" t="s">
        <v>750</v>
      </c>
      <c r="R2401" t="s">
        <v>150</v>
      </c>
      <c r="S2401" t="s">
        <v>145</v>
      </c>
      <c r="U2401">
        <v>0</v>
      </c>
      <c r="V2401" t="s">
        <v>544</v>
      </c>
      <c r="W2401" t="s">
        <v>546</v>
      </c>
      <c r="X2401" s="784">
        <v>1806638707.7615163</v>
      </c>
    </row>
    <row r="2402" spans="1:24">
      <c r="A2402" t="s">
        <v>358</v>
      </c>
      <c r="B2402" t="s">
        <v>565</v>
      </c>
      <c r="C2402" t="s">
        <v>174</v>
      </c>
      <c r="D2402" t="s">
        <v>127</v>
      </c>
      <c r="E2402" t="s">
        <v>377</v>
      </c>
      <c r="F2402" t="s">
        <v>384</v>
      </c>
      <c r="G2402" t="s">
        <v>335</v>
      </c>
      <c r="H2402" t="s">
        <v>749</v>
      </c>
      <c r="I2402">
        <v>2021</v>
      </c>
      <c r="J2402" t="s">
        <v>379</v>
      </c>
      <c r="K2402" t="s">
        <v>546</v>
      </c>
      <c r="L2402" s="784" t="s">
        <v>575</v>
      </c>
      <c r="M2402" t="s">
        <v>745</v>
      </c>
      <c r="N2402" s="784" t="s">
        <v>575</v>
      </c>
      <c r="O2402" t="s">
        <v>737</v>
      </c>
      <c r="P2402" t="s">
        <v>750</v>
      </c>
      <c r="R2402" t="s">
        <v>152</v>
      </c>
      <c r="S2402" t="s">
        <v>146</v>
      </c>
      <c r="U2402">
        <v>0</v>
      </c>
      <c r="V2402" t="s">
        <v>544</v>
      </c>
      <c r="W2402" t="s">
        <v>546</v>
      </c>
      <c r="X2402" s="784">
        <v>1252696525.0627904</v>
      </c>
    </row>
    <row r="2403" spans="1:24">
      <c r="A2403" t="s">
        <v>358</v>
      </c>
      <c r="B2403" t="s">
        <v>566</v>
      </c>
      <c r="C2403" t="s">
        <v>175</v>
      </c>
      <c r="D2403" t="s">
        <v>128</v>
      </c>
      <c r="E2403" t="s">
        <v>377</v>
      </c>
      <c r="F2403" t="s">
        <v>384</v>
      </c>
      <c r="G2403" t="s">
        <v>335</v>
      </c>
      <c r="H2403" t="s">
        <v>749</v>
      </c>
      <c r="I2403">
        <v>2021</v>
      </c>
      <c r="J2403" t="s">
        <v>379</v>
      </c>
      <c r="K2403" t="s">
        <v>546</v>
      </c>
      <c r="L2403" s="784" t="s">
        <v>575</v>
      </c>
      <c r="M2403" t="s">
        <v>745</v>
      </c>
      <c r="N2403" s="784" t="s">
        <v>575</v>
      </c>
      <c r="O2403" t="s">
        <v>737</v>
      </c>
      <c r="P2403" t="s">
        <v>750</v>
      </c>
      <c r="R2403" t="s">
        <v>152</v>
      </c>
      <c r="S2403" t="s">
        <v>146</v>
      </c>
      <c r="U2403">
        <v>0</v>
      </c>
      <c r="V2403" t="s">
        <v>544</v>
      </c>
      <c r="W2403" t="s">
        <v>575</v>
      </c>
      <c r="X2403" s="784">
        <v>843425084.07334602</v>
      </c>
    </row>
    <row r="2404" spans="1:24">
      <c r="A2404" t="s">
        <v>358</v>
      </c>
      <c r="B2404" t="s">
        <v>567</v>
      </c>
      <c r="C2404" t="s">
        <v>144</v>
      </c>
      <c r="D2404" t="s">
        <v>130</v>
      </c>
      <c r="E2404" t="s">
        <v>377</v>
      </c>
      <c r="F2404" t="s">
        <v>384</v>
      </c>
      <c r="G2404" t="s">
        <v>335</v>
      </c>
      <c r="H2404" t="s">
        <v>749</v>
      </c>
      <c r="I2404">
        <v>2021</v>
      </c>
      <c r="J2404" t="s">
        <v>379</v>
      </c>
      <c r="K2404" t="s">
        <v>546</v>
      </c>
      <c r="L2404" s="784" t="s">
        <v>575</v>
      </c>
      <c r="M2404" t="s">
        <v>745</v>
      </c>
      <c r="N2404" s="784" t="s">
        <v>575</v>
      </c>
      <c r="O2404" t="s">
        <v>737</v>
      </c>
      <c r="P2404" t="s">
        <v>750</v>
      </c>
      <c r="R2404" t="s">
        <v>152</v>
      </c>
      <c r="S2404" t="s">
        <v>146</v>
      </c>
      <c r="U2404">
        <v>0</v>
      </c>
      <c r="V2404" t="s">
        <v>544</v>
      </c>
      <c r="W2404" t="s">
        <v>546</v>
      </c>
      <c r="X2404" s="784">
        <v>74055620038.853683</v>
      </c>
    </row>
    <row r="2405" spans="1:24">
      <c r="A2405" t="s">
        <v>358</v>
      </c>
      <c r="B2405" t="s">
        <v>568</v>
      </c>
      <c r="C2405" t="s">
        <v>176</v>
      </c>
      <c r="D2405" t="s">
        <v>127</v>
      </c>
      <c r="E2405" t="s">
        <v>377</v>
      </c>
      <c r="F2405" t="s">
        <v>384</v>
      </c>
      <c r="G2405" t="s">
        <v>335</v>
      </c>
      <c r="H2405" t="s">
        <v>749</v>
      </c>
      <c r="I2405">
        <v>2021</v>
      </c>
      <c r="J2405" t="s">
        <v>379</v>
      </c>
      <c r="K2405" t="s">
        <v>546</v>
      </c>
      <c r="L2405" s="784" t="s">
        <v>575</v>
      </c>
      <c r="M2405" t="s">
        <v>745</v>
      </c>
      <c r="N2405" s="784" t="s">
        <v>575</v>
      </c>
      <c r="O2405" t="s">
        <v>737</v>
      </c>
      <c r="P2405" t="s">
        <v>750</v>
      </c>
      <c r="R2405" t="s">
        <v>152</v>
      </c>
      <c r="S2405" t="s">
        <v>146</v>
      </c>
      <c r="U2405">
        <v>0</v>
      </c>
      <c r="V2405" t="s">
        <v>544</v>
      </c>
      <c r="W2405" t="s">
        <v>575</v>
      </c>
      <c r="X2405" s="784">
        <v>2803357765.5888777</v>
      </c>
    </row>
    <row r="2406" spans="1:24">
      <c r="A2406" t="s">
        <v>358</v>
      </c>
      <c r="B2406" t="s">
        <v>569</v>
      </c>
      <c r="C2406" t="s">
        <v>177</v>
      </c>
      <c r="D2406" t="s">
        <v>129</v>
      </c>
      <c r="E2406" t="s">
        <v>377</v>
      </c>
      <c r="F2406" t="s">
        <v>384</v>
      </c>
      <c r="G2406" t="s">
        <v>335</v>
      </c>
      <c r="H2406" t="s">
        <v>749</v>
      </c>
      <c r="I2406">
        <v>2021</v>
      </c>
      <c r="J2406" t="s">
        <v>379</v>
      </c>
      <c r="K2406" t="s">
        <v>546</v>
      </c>
      <c r="L2406" s="784" t="s">
        <v>575</v>
      </c>
      <c r="M2406" t="s">
        <v>745</v>
      </c>
      <c r="N2406" s="784" t="s">
        <v>575</v>
      </c>
      <c r="O2406" t="s">
        <v>737</v>
      </c>
      <c r="P2406" t="s">
        <v>750</v>
      </c>
      <c r="R2406" t="s">
        <v>148</v>
      </c>
      <c r="S2406" t="s">
        <v>145</v>
      </c>
      <c r="U2406">
        <v>2</v>
      </c>
      <c r="V2406" t="s">
        <v>544</v>
      </c>
      <c r="W2406" t="s">
        <v>562</v>
      </c>
      <c r="X2406" s="784">
        <v>337927779.25510043</v>
      </c>
    </row>
    <row r="2407" spans="1:24">
      <c r="A2407" t="s">
        <v>358</v>
      </c>
      <c r="B2407" t="s">
        <v>570</v>
      </c>
      <c r="C2407" t="s">
        <v>178</v>
      </c>
      <c r="D2407" t="s">
        <v>128</v>
      </c>
      <c r="E2407" t="s">
        <v>377</v>
      </c>
      <c r="F2407" t="s">
        <v>384</v>
      </c>
      <c r="G2407" t="s">
        <v>335</v>
      </c>
      <c r="H2407" t="s">
        <v>749</v>
      </c>
      <c r="I2407">
        <v>2021</v>
      </c>
      <c r="J2407" t="s">
        <v>379</v>
      </c>
      <c r="K2407" t="s">
        <v>546</v>
      </c>
      <c r="L2407" s="784" t="s">
        <v>575</v>
      </c>
      <c r="M2407" t="s">
        <v>745</v>
      </c>
      <c r="N2407" s="784" t="s">
        <v>575</v>
      </c>
      <c r="O2407" t="s">
        <v>737</v>
      </c>
      <c r="P2407" t="s">
        <v>750</v>
      </c>
      <c r="R2407" t="s">
        <v>148</v>
      </c>
      <c r="S2407" t="s">
        <v>145</v>
      </c>
      <c r="U2407">
        <v>2</v>
      </c>
      <c r="V2407" t="s">
        <v>544</v>
      </c>
      <c r="W2407" t="s">
        <v>548</v>
      </c>
      <c r="X2407" s="784">
        <v>65979512.47399316</v>
      </c>
    </row>
    <row r="2408" spans="1:24">
      <c r="A2408" t="s">
        <v>358</v>
      </c>
      <c r="B2408" t="s">
        <v>571</v>
      </c>
      <c r="C2408" t="s">
        <v>179</v>
      </c>
      <c r="D2408" t="s">
        <v>129</v>
      </c>
      <c r="E2408" t="s">
        <v>377</v>
      </c>
      <c r="F2408" t="s">
        <v>384</v>
      </c>
      <c r="G2408" t="s">
        <v>335</v>
      </c>
      <c r="H2408" t="s">
        <v>749</v>
      </c>
      <c r="I2408">
        <v>2021</v>
      </c>
      <c r="J2408" t="s">
        <v>379</v>
      </c>
      <c r="K2408" t="s">
        <v>546</v>
      </c>
      <c r="L2408" s="784" t="s">
        <v>575</v>
      </c>
      <c r="M2408" t="s">
        <v>745</v>
      </c>
      <c r="N2408" s="784" t="s">
        <v>575</v>
      </c>
      <c r="O2408" t="s">
        <v>737</v>
      </c>
      <c r="P2408" t="s">
        <v>750</v>
      </c>
      <c r="R2408" t="s">
        <v>150</v>
      </c>
      <c r="S2408" t="s">
        <v>145</v>
      </c>
      <c r="U2408">
        <v>0</v>
      </c>
      <c r="V2408" t="s">
        <v>541</v>
      </c>
      <c r="W2408" t="s">
        <v>542</v>
      </c>
      <c r="X2408" s="784">
        <v>63748362.778827004</v>
      </c>
    </row>
    <row r="2409" spans="1:24">
      <c r="A2409" t="s">
        <v>358</v>
      </c>
      <c r="B2409" t="s">
        <v>572</v>
      </c>
      <c r="C2409" t="s">
        <v>180</v>
      </c>
      <c r="D2409" t="s">
        <v>126</v>
      </c>
      <c r="E2409" t="s">
        <v>377</v>
      </c>
      <c r="F2409" t="s">
        <v>384</v>
      </c>
      <c r="G2409" t="s">
        <v>335</v>
      </c>
      <c r="H2409" t="s">
        <v>749</v>
      </c>
      <c r="I2409">
        <v>2021</v>
      </c>
      <c r="J2409" t="s">
        <v>379</v>
      </c>
      <c r="K2409" t="s">
        <v>546</v>
      </c>
      <c r="L2409" s="784">
        <v>1642589</v>
      </c>
      <c r="M2409" t="s">
        <v>745</v>
      </c>
      <c r="N2409" s="784" t="s">
        <v>575</v>
      </c>
      <c r="O2409" t="s">
        <v>737</v>
      </c>
      <c r="P2409" t="s">
        <v>750</v>
      </c>
      <c r="R2409" t="s">
        <v>150</v>
      </c>
      <c r="S2409" t="s">
        <v>145</v>
      </c>
      <c r="U2409">
        <v>0</v>
      </c>
      <c r="V2409" t="s">
        <v>544</v>
      </c>
      <c r="W2409" t="s">
        <v>558</v>
      </c>
      <c r="X2409" s="784">
        <v>313039649.45369786</v>
      </c>
    </row>
    <row r="2410" spans="1:24">
      <c r="A2410" t="s">
        <v>358</v>
      </c>
      <c r="B2410" t="s">
        <v>573</v>
      </c>
      <c r="C2410" t="s">
        <v>181</v>
      </c>
      <c r="D2410" t="s">
        <v>129</v>
      </c>
      <c r="E2410" t="s">
        <v>377</v>
      </c>
      <c r="F2410" t="s">
        <v>384</v>
      </c>
      <c r="G2410" t="s">
        <v>335</v>
      </c>
      <c r="H2410" t="s">
        <v>749</v>
      </c>
      <c r="I2410">
        <v>2021</v>
      </c>
      <c r="J2410" t="s">
        <v>379</v>
      </c>
      <c r="K2410" t="s">
        <v>546</v>
      </c>
      <c r="L2410" s="784" t="s">
        <v>575</v>
      </c>
      <c r="M2410" t="s">
        <v>745</v>
      </c>
      <c r="N2410" s="784" t="s">
        <v>575</v>
      </c>
      <c r="O2410" t="s">
        <v>737</v>
      </c>
      <c r="P2410" t="s">
        <v>750</v>
      </c>
      <c r="R2410" t="s">
        <v>150</v>
      </c>
      <c r="S2410" t="s">
        <v>145</v>
      </c>
      <c r="U2410">
        <v>2</v>
      </c>
      <c r="V2410" t="s">
        <v>544</v>
      </c>
      <c r="W2410" t="s">
        <v>542</v>
      </c>
      <c r="X2410" s="784">
        <v>81361801.477472037</v>
      </c>
    </row>
    <row r="2411" spans="1:24">
      <c r="A2411" t="s">
        <v>358</v>
      </c>
      <c r="B2411" t="s">
        <v>574</v>
      </c>
      <c r="C2411" t="s">
        <v>182</v>
      </c>
      <c r="D2411" t="s">
        <v>129</v>
      </c>
      <c r="E2411" t="s">
        <v>377</v>
      </c>
      <c r="F2411" t="s">
        <v>384</v>
      </c>
      <c r="G2411" t="s">
        <v>335</v>
      </c>
      <c r="H2411" t="s">
        <v>749</v>
      </c>
      <c r="I2411">
        <v>2021</v>
      </c>
      <c r="J2411" t="s">
        <v>379</v>
      </c>
      <c r="K2411" t="s">
        <v>546</v>
      </c>
      <c r="L2411" s="784" t="s">
        <v>575</v>
      </c>
      <c r="M2411" t="s">
        <v>745</v>
      </c>
      <c r="N2411" s="784" t="s">
        <v>575</v>
      </c>
      <c r="O2411" t="s">
        <v>737</v>
      </c>
      <c r="P2411" t="s">
        <v>750</v>
      </c>
      <c r="R2411" t="s">
        <v>148</v>
      </c>
      <c r="S2411" t="s">
        <v>145</v>
      </c>
      <c r="U2411">
        <v>1</v>
      </c>
      <c r="V2411" t="s">
        <v>544</v>
      </c>
      <c r="W2411" t="s">
        <v>542</v>
      </c>
      <c r="X2411" s="784" t="s">
        <v>575</v>
      </c>
    </row>
    <row r="2412" spans="1:24">
      <c r="A2412" t="s">
        <v>358</v>
      </c>
      <c r="B2412" t="s">
        <v>576</v>
      </c>
      <c r="C2412" t="s">
        <v>183</v>
      </c>
      <c r="D2412" t="s">
        <v>129</v>
      </c>
      <c r="E2412" t="s">
        <v>377</v>
      </c>
      <c r="F2412" t="s">
        <v>384</v>
      </c>
      <c r="G2412" t="s">
        <v>335</v>
      </c>
      <c r="H2412" t="s">
        <v>749</v>
      </c>
      <c r="I2412">
        <v>2021</v>
      </c>
      <c r="J2412" t="s">
        <v>379</v>
      </c>
      <c r="K2412" t="s">
        <v>546</v>
      </c>
      <c r="L2412" s="784" t="s">
        <v>575</v>
      </c>
      <c r="M2412" t="s">
        <v>745</v>
      </c>
      <c r="N2412" s="784" t="s">
        <v>575</v>
      </c>
      <c r="O2412" t="s">
        <v>737</v>
      </c>
      <c r="P2412" t="s">
        <v>750</v>
      </c>
      <c r="R2412" t="s">
        <v>148</v>
      </c>
      <c r="S2412" t="s">
        <v>145</v>
      </c>
      <c r="U2412">
        <v>1</v>
      </c>
      <c r="V2412" t="s">
        <v>544</v>
      </c>
      <c r="W2412" t="s">
        <v>542</v>
      </c>
      <c r="X2412" s="784">
        <v>76939306.715636879</v>
      </c>
    </row>
    <row r="2413" spans="1:24">
      <c r="A2413" t="s">
        <v>358</v>
      </c>
      <c r="B2413" t="s">
        <v>577</v>
      </c>
      <c r="C2413" t="s">
        <v>184</v>
      </c>
      <c r="D2413" t="s">
        <v>130</v>
      </c>
      <c r="E2413" t="s">
        <v>377</v>
      </c>
      <c r="F2413" t="s">
        <v>384</v>
      </c>
      <c r="G2413" t="s">
        <v>335</v>
      </c>
      <c r="H2413" t="s">
        <v>749</v>
      </c>
      <c r="I2413">
        <v>2021</v>
      </c>
      <c r="J2413" t="s">
        <v>379</v>
      </c>
      <c r="K2413" t="s">
        <v>546</v>
      </c>
      <c r="L2413" s="784" t="s">
        <v>575</v>
      </c>
      <c r="M2413" t="s">
        <v>745</v>
      </c>
      <c r="N2413" s="784" t="s">
        <v>575</v>
      </c>
      <c r="O2413" t="s">
        <v>737</v>
      </c>
      <c r="P2413" t="s">
        <v>750</v>
      </c>
      <c r="R2413" t="s">
        <v>550</v>
      </c>
      <c r="S2413" t="s">
        <v>146</v>
      </c>
      <c r="U2413">
        <v>0</v>
      </c>
      <c r="V2413" t="s">
        <v>544</v>
      </c>
      <c r="W2413" t="s">
        <v>575</v>
      </c>
      <c r="X2413" s="784">
        <v>13859708717.682571</v>
      </c>
    </row>
    <row r="2414" spans="1:24">
      <c r="A2414" t="s">
        <v>358</v>
      </c>
      <c r="B2414" t="s">
        <v>578</v>
      </c>
      <c r="C2414" t="s">
        <v>185</v>
      </c>
      <c r="D2414" t="s">
        <v>126</v>
      </c>
      <c r="E2414" t="s">
        <v>377</v>
      </c>
      <c r="F2414" t="s">
        <v>384</v>
      </c>
      <c r="G2414" t="s">
        <v>335</v>
      </c>
      <c r="H2414" t="s">
        <v>749</v>
      </c>
      <c r="I2414">
        <v>2021</v>
      </c>
      <c r="J2414" t="s">
        <v>379</v>
      </c>
      <c r="K2414" t="s">
        <v>546</v>
      </c>
      <c r="L2414" s="784" t="s">
        <v>575</v>
      </c>
      <c r="M2414" t="s">
        <v>745</v>
      </c>
      <c r="N2414" s="784" t="s">
        <v>575</v>
      </c>
      <c r="O2414" t="s">
        <v>737</v>
      </c>
      <c r="P2414" t="s">
        <v>750</v>
      </c>
      <c r="R2414" t="s">
        <v>152</v>
      </c>
      <c r="S2414" t="s">
        <v>146</v>
      </c>
      <c r="U2414">
        <v>0</v>
      </c>
      <c r="V2414" t="s">
        <v>544</v>
      </c>
      <c r="W2414" t="s">
        <v>575</v>
      </c>
      <c r="X2414" s="784">
        <v>403567160707.7016</v>
      </c>
    </row>
    <row r="2415" spans="1:24">
      <c r="A2415" t="s">
        <v>358</v>
      </c>
      <c r="B2415" t="s">
        <v>579</v>
      </c>
      <c r="C2415" t="s">
        <v>186</v>
      </c>
      <c r="D2415" t="s">
        <v>130</v>
      </c>
      <c r="E2415" t="s">
        <v>377</v>
      </c>
      <c r="F2415" t="s">
        <v>384</v>
      </c>
      <c r="G2415" t="s">
        <v>335</v>
      </c>
      <c r="H2415" t="s">
        <v>749</v>
      </c>
      <c r="I2415">
        <v>2021</v>
      </c>
      <c r="J2415" t="s">
        <v>379</v>
      </c>
      <c r="K2415" t="s">
        <v>546</v>
      </c>
      <c r="L2415" s="784" t="s">
        <v>575</v>
      </c>
      <c r="M2415" t="s">
        <v>745</v>
      </c>
      <c r="N2415" s="784" t="s">
        <v>575</v>
      </c>
      <c r="O2415" t="s">
        <v>737</v>
      </c>
      <c r="P2415" t="s">
        <v>750</v>
      </c>
      <c r="R2415" t="s">
        <v>152</v>
      </c>
      <c r="S2415" t="s">
        <v>146</v>
      </c>
      <c r="U2415">
        <v>0</v>
      </c>
      <c r="V2415" t="s">
        <v>544</v>
      </c>
      <c r="W2415" t="s">
        <v>575</v>
      </c>
      <c r="X2415" s="784">
        <v>18250225995.972618</v>
      </c>
    </row>
    <row r="2416" spans="1:24">
      <c r="A2416" t="s">
        <v>358</v>
      </c>
      <c r="B2416" t="s">
        <v>580</v>
      </c>
      <c r="C2416" t="s">
        <v>187</v>
      </c>
      <c r="D2416" t="s">
        <v>128</v>
      </c>
      <c r="E2416" t="s">
        <v>377</v>
      </c>
      <c r="F2416" t="s">
        <v>384</v>
      </c>
      <c r="G2416" t="s">
        <v>335</v>
      </c>
      <c r="H2416" t="s">
        <v>749</v>
      </c>
      <c r="I2416">
        <v>2021</v>
      </c>
      <c r="J2416" t="s">
        <v>379</v>
      </c>
      <c r="K2416" t="s">
        <v>546</v>
      </c>
      <c r="L2416" s="784" t="s">
        <v>575</v>
      </c>
      <c r="M2416" t="s">
        <v>745</v>
      </c>
      <c r="N2416" s="784" t="s">
        <v>575</v>
      </c>
      <c r="O2416" t="s">
        <v>737</v>
      </c>
      <c r="P2416" t="s">
        <v>750</v>
      </c>
      <c r="R2416" t="s">
        <v>150</v>
      </c>
      <c r="S2416" t="s">
        <v>145</v>
      </c>
      <c r="U2416">
        <v>0</v>
      </c>
      <c r="V2416" t="s">
        <v>541</v>
      </c>
      <c r="W2416" t="s">
        <v>562</v>
      </c>
      <c r="X2416" s="784">
        <v>5027591.1682657599</v>
      </c>
    </row>
    <row r="2417" spans="1:24">
      <c r="A2417" t="s">
        <v>358</v>
      </c>
      <c r="B2417" t="s">
        <v>581</v>
      </c>
      <c r="C2417" t="s">
        <v>188</v>
      </c>
      <c r="D2417" t="s">
        <v>129</v>
      </c>
      <c r="E2417" t="s">
        <v>377</v>
      </c>
      <c r="F2417" t="s">
        <v>384</v>
      </c>
      <c r="G2417" t="s">
        <v>335</v>
      </c>
      <c r="H2417" t="s">
        <v>749</v>
      </c>
      <c r="I2417">
        <v>2021</v>
      </c>
      <c r="J2417" t="s">
        <v>379</v>
      </c>
      <c r="K2417" t="s">
        <v>546</v>
      </c>
      <c r="L2417" s="784" t="s">
        <v>575</v>
      </c>
      <c r="M2417" t="s">
        <v>745</v>
      </c>
      <c r="N2417" s="784" t="s">
        <v>575</v>
      </c>
      <c r="O2417" t="s">
        <v>737</v>
      </c>
      <c r="P2417" t="s">
        <v>750</v>
      </c>
      <c r="R2417" t="s">
        <v>148</v>
      </c>
      <c r="S2417" t="s">
        <v>145</v>
      </c>
      <c r="U2417">
        <v>3</v>
      </c>
      <c r="V2417" t="s">
        <v>544</v>
      </c>
      <c r="W2417" t="s">
        <v>562</v>
      </c>
      <c r="X2417" s="784">
        <v>234645958.63289919</v>
      </c>
    </row>
    <row r="2418" spans="1:24">
      <c r="A2418" t="s">
        <v>358</v>
      </c>
      <c r="B2418" t="s">
        <v>582</v>
      </c>
      <c r="C2418" t="s">
        <v>189</v>
      </c>
      <c r="D2418" t="s">
        <v>129</v>
      </c>
      <c r="E2418" t="s">
        <v>377</v>
      </c>
      <c r="F2418" t="s">
        <v>384</v>
      </c>
      <c r="G2418" t="s">
        <v>335</v>
      </c>
      <c r="H2418" t="s">
        <v>749</v>
      </c>
      <c r="I2418">
        <v>2021</v>
      </c>
      <c r="J2418" t="s">
        <v>379</v>
      </c>
      <c r="K2418" t="s">
        <v>546</v>
      </c>
      <c r="L2418" s="784" t="s">
        <v>575</v>
      </c>
      <c r="M2418" t="s">
        <v>745</v>
      </c>
      <c r="N2418" s="784" t="s">
        <v>575</v>
      </c>
      <c r="O2418" t="s">
        <v>737</v>
      </c>
      <c r="P2418" t="s">
        <v>750</v>
      </c>
      <c r="R2418" t="s">
        <v>150</v>
      </c>
      <c r="S2418" t="s">
        <v>145</v>
      </c>
      <c r="U2418">
        <v>2</v>
      </c>
      <c r="V2418" t="s">
        <v>544</v>
      </c>
      <c r="W2418" t="s">
        <v>583</v>
      </c>
      <c r="X2418" s="784">
        <v>91590910.247314155</v>
      </c>
    </row>
    <row r="2419" spans="1:24">
      <c r="A2419" t="s">
        <v>358</v>
      </c>
      <c r="B2419" t="s">
        <v>584</v>
      </c>
      <c r="C2419" t="s">
        <v>190</v>
      </c>
      <c r="D2419" t="s">
        <v>126</v>
      </c>
      <c r="E2419" t="s">
        <v>377</v>
      </c>
      <c r="F2419" t="s">
        <v>384</v>
      </c>
      <c r="G2419" t="s">
        <v>335</v>
      </c>
      <c r="H2419" t="s">
        <v>749</v>
      </c>
      <c r="I2419">
        <v>2021</v>
      </c>
      <c r="J2419" t="s">
        <v>379</v>
      </c>
      <c r="K2419" t="s">
        <v>546</v>
      </c>
      <c r="L2419" s="784" t="s">
        <v>575</v>
      </c>
      <c r="M2419" t="s">
        <v>745</v>
      </c>
      <c r="N2419" s="784" t="s">
        <v>575</v>
      </c>
      <c r="O2419" t="s">
        <v>737</v>
      </c>
      <c r="P2419" t="s">
        <v>750</v>
      </c>
      <c r="R2419" t="s">
        <v>322</v>
      </c>
      <c r="S2419" t="s">
        <v>146</v>
      </c>
      <c r="U2419">
        <v>0</v>
      </c>
      <c r="V2419" t="s">
        <v>541</v>
      </c>
      <c r="W2419" t="s">
        <v>546</v>
      </c>
      <c r="X2419" s="784">
        <v>8560012.8840167802</v>
      </c>
    </row>
    <row r="2420" spans="1:24">
      <c r="A2420" t="s">
        <v>358</v>
      </c>
      <c r="B2420" t="s">
        <v>585</v>
      </c>
      <c r="C2420" t="s">
        <v>191</v>
      </c>
      <c r="D2420" t="s">
        <v>130</v>
      </c>
      <c r="E2420" t="s">
        <v>377</v>
      </c>
      <c r="F2420" t="s">
        <v>384</v>
      </c>
      <c r="G2420" t="s">
        <v>335</v>
      </c>
      <c r="H2420" t="s">
        <v>749</v>
      </c>
      <c r="I2420">
        <v>2021</v>
      </c>
      <c r="J2420" t="s">
        <v>379</v>
      </c>
      <c r="K2420" t="s">
        <v>546</v>
      </c>
      <c r="L2420" s="784" t="s">
        <v>575</v>
      </c>
      <c r="M2420" t="s">
        <v>745</v>
      </c>
      <c r="N2420" s="784" t="s">
        <v>575</v>
      </c>
      <c r="O2420" t="s">
        <v>737</v>
      </c>
      <c r="P2420" t="s">
        <v>750</v>
      </c>
      <c r="R2420" t="s">
        <v>152</v>
      </c>
      <c r="S2420" t="s">
        <v>146</v>
      </c>
      <c r="U2420">
        <v>0</v>
      </c>
      <c r="V2420" t="s">
        <v>544</v>
      </c>
      <c r="W2420" t="s">
        <v>546</v>
      </c>
      <c r="X2420" s="784">
        <v>3292372960.3962669</v>
      </c>
    </row>
    <row r="2421" spans="1:24">
      <c r="A2421" t="s">
        <v>358</v>
      </c>
      <c r="B2421" t="s">
        <v>586</v>
      </c>
      <c r="C2421" t="s">
        <v>192</v>
      </c>
      <c r="D2421" t="s">
        <v>129</v>
      </c>
      <c r="E2421" t="s">
        <v>377</v>
      </c>
      <c r="F2421" t="s">
        <v>384</v>
      </c>
      <c r="G2421" t="s">
        <v>335</v>
      </c>
      <c r="H2421" t="s">
        <v>749</v>
      </c>
      <c r="I2421">
        <v>2021</v>
      </c>
      <c r="J2421" t="s">
        <v>379</v>
      </c>
      <c r="K2421" t="s">
        <v>546</v>
      </c>
      <c r="L2421" s="784" t="s">
        <v>575</v>
      </c>
      <c r="M2421" t="s">
        <v>745</v>
      </c>
      <c r="N2421" s="784" t="s">
        <v>575</v>
      </c>
      <c r="O2421" t="s">
        <v>737</v>
      </c>
      <c r="P2421" t="s">
        <v>750</v>
      </c>
      <c r="R2421" t="s">
        <v>150</v>
      </c>
      <c r="S2421" t="s">
        <v>145</v>
      </c>
      <c r="U2421">
        <v>0</v>
      </c>
      <c r="V2421" t="s">
        <v>544</v>
      </c>
      <c r="W2421" t="s">
        <v>562</v>
      </c>
      <c r="X2421" s="784">
        <v>519209981.22981054</v>
      </c>
    </row>
    <row r="2422" spans="1:24">
      <c r="A2422" t="s">
        <v>358</v>
      </c>
      <c r="B2422" t="s">
        <v>587</v>
      </c>
      <c r="C2422" t="s">
        <v>193</v>
      </c>
      <c r="D2422" t="s">
        <v>127</v>
      </c>
      <c r="E2422" t="s">
        <v>377</v>
      </c>
      <c r="F2422" t="s">
        <v>384</v>
      </c>
      <c r="G2422" t="s">
        <v>335</v>
      </c>
      <c r="H2422" t="s">
        <v>749</v>
      </c>
      <c r="I2422">
        <v>2021</v>
      </c>
      <c r="J2422" t="s">
        <v>379</v>
      </c>
      <c r="K2422" t="s">
        <v>546</v>
      </c>
      <c r="L2422" s="784" t="s">
        <v>575</v>
      </c>
      <c r="M2422" t="s">
        <v>745</v>
      </c>
      <c r="N2422" s="784" t="s">
        <v>575</v>
      </c>
      <c r="O2422" t="s">
        <v>737</v>
      </c>
      <c r="P2422" t="s">
        <v>750</v>
      </c>
      <c r="R2422" t="s">
        <v>550</v>
      </c>
      <c r="S2422" t="s">
        <v>146</v>
      </c>
      <c r="U2422">
        <v>0</v>
      </c>
      <c r="V2422" t="s">
        <v>544</v>
      </c>
      <c r="W2422" t="s">
        <v>575</v>
      </c>
      <c r="X2422" s="784">
        <v>3464739907.1604805</v>
      </c>
    </row>
    <row r="2423" spans="1:24">
      <c r="A2423" t="s">
        <v>358</v>
      </c>
      <c r="B2423" t="s">
        <v>588</v>
      </c>
      <c r="C2423" t="s">
        <v>147</v>
      </c>
      <c r="D2423" t="s">
        <v>130</v>
      </c>
      <c r="E2423" t="s">
        <v>377</v>
      </c>
      <c r="F2423" t="s">
        <v>384</v>
      </c>
      <c r="G2423" t="s">
        <v>335</v>
      </c>
      <c r="H2423" t="s">
        <v>749</v>
      </c>
      <c r="I2423">
        <v>2021</v>
      </c>
      <c r="J2423" t="s">
        <v>379</v>
      </c>
      <c r="K2423" t="s">
        <v>546</v>
      </c>
      <c r="L2423" s="784" t="s">
        <v>575</v>
      </c>
      <c r="M2423" t="s">
        <v>745</v>
      </c>
      <c r="N2423" s="784" t="s">
        <v>575</v>
      </c>
      <c r="O2423" t="s">
        <v>737</v>
      </c>
      <c r="P2423" t="s">
        <v>750</v>
      </c>
      <c r="R2423" t="s">
        <v>152</v>
      </c>
      <c r="S2423" t="s">
        <v>146</v>
      </c>
      <c r="U2423">
        <v>0</v>
      </c>
      <c r="V2423" t="s">
        <v>541</v>
      </c>
      <c r="W2423" t="s">
        <v>575</v>
      </c>
      <c r="X2423" s="784">
        <v>9948521252.2569065</v>
      </c>
    </row>
    <row r="2424" spans="1:24">
      <c r="A2424" t="s">
        <v>358</v>
      </c>
      <c r="B2424" t="s">
        <v>589</v>
      </c>
      <c r="C2424" t="s">
        <v>194</v>
      </c>
      <c r="D2424" t="s">
        <v>131</v>
      </c>
      <c r="E2424" t="s">
        <v>377</v>
      </c>
      <c r="F2424" t="s">
        <v>384</v>
      </c>
      <c r="G2424" t="s">
        <v>335</v>
      </c>
      <c r="H2424" t="s">
        <v>749</v>
      </c>
      <c r="I2424">
        <v>2021</v>
      </c>
      <c r="J2424" t="s">
        <v>379</v>
      </c>
      <c r="K2424" t="s">
        <v>546</v>
      </c>
      <c r="L2424" s="784" t="s">
        <v>575</v>
      </c>
      <c r="M2424" t="s">
        <v>745</v>
      </c>
      <c r="N2424" s="784" t="s">
        <v>575</v>
      </c>
      <c r="O2424" t="s">
        <v>737</v>
      </c>
      <c r="P2424" t="s">
        <v>750</v>
      </c>
      <c r="R2424" t="s">
        <v>150</v>
      </c>
      <c r="S2424" t="s">
        <v>145</v>
      </c>
      <c r="U2424">
        <v>1</v>
      </c>
      <c r="V2424" t="s">
        <v>544</v>
      </c>
      <c r="W2424" t="s">
        <v>542</v>
      </c>
      <c r="X2424" s="784">
        <v>33679192.765657313</v>
      </c>
    </row>
    <row r="2425" spans="1:24">
      <c r="A2425" t="s">
        <v>358</v>
      </c>
      <c r="B2425" t="s">
        <v>590</v>
      </c>
      <c r="C2425" t="s">
        <v>195</v>
      </c>
      <c r="D2425" t="s">
        <v>130</v>
      </c>
      <c r="E2425" t="s">
        <v>377</v>
      </c>
      <c r="F2425" t="s">
        <v>384</v>
      </c>
      <c r="G2425" t="s">
        <v>335</v>
      </c>
      <c r="H2425" t="s">
        <v>749</v>
      </c>
      <c r="I2425">
        <v>2021</v>
      </c>
      <c r="J2425" t="s">
        <v>379</v>
      </c>
      <c r="K2425" t="s">
        <v>546</v>
      </c>
      <c r="L2425" s="784" t="s">
        <v>575</v>
      </c>
      <c r="M2425" t="s">
        <v>745</v>
      </c>
      <c r="N2425" s="784" t="s">
        <v>575</v>
      </c>
      <c r="O2425" t="s">
        <v>737</v>
      </c>
      <c r="P2425" t="s">
        <v>750</v>
      </c>
      <c r="R2425" t="s">
        <v>152</v>
      </c>
      <c r="S2425" t="s">
        <v>145</v>
      </c>
      <c r="U2425">
        <v>0</v>
      </c>
      <c r="V2425" t="s">
        <v>541</v>
      </c>
      <c r="W2425" t="s">
        <v>548</v>
      </c>
      <c r="X2425" s="784">
        <v>22784494.365742501</v>
      </c>
    </row>
    <row r="2426" spans="1:24">
      <c r="A2426" t="s">
        <v>358</v>
      </c>
      <c r="B2426" t="s">
        <v>591</v>
      </c>
      <c r="C2426" t="s">
        <v>196</v>
      </c>
      <c r="D2426" t="s">
        <v>130</v>
      </c>
      <c r="E2426" t="s">
        <v>377</v>
      </c>
      <c r="F2426" t="s">
        <v>384</v>
      </c>
      <c r="G2426" t="s">
        <v>335</v>
      </c>
      <c r="H2426" t="s">
        <v>749</v>
      </c>
      <c r="I2426">
        <v>2021</v>
      </c>
      <c r="J2426" t="s">
        <v>379</v>
      </c>
      <c r="K2426" t="s">
        <v>546</v>
      </c>
      <c r="L2426" s="784" t="s">
        <v>575</v>
      </c>
      <c r="M2426" t="s">
        <v>745</v>
      </c>
      <c r="N2426" s="784" t="s">
        <v>575</v>
      </c>
      <c r="O2426" t="s">
        <v>737</v>
      </c>
      <c r="P2426" t="s">
        <v>750</v>
      </c>
      <c r="R2426" t="s">
        <v>152</v>
      </c>
      <c r="S2426" t="s">
        <v>146</v>
      </c>
      <c r="U2426">
        <v>0</v>
      </c>
      <c r="V2426" t="s">
        <v>541</v>
      </c>
      <c r="W2426" t="s">
        <v>575</v>
      </c>
      <c r="X2426" s="784">
        <v>2173208011.4858823</v>
      </c>
    </row>
    <row r="2427" spans="1:24">
      <c r="A2427" t="s">
        <v>358</v>
      </c>
      <c r="B2427" t="s">
        <v>592</v>
      </c>
      <c r="C2427" t="s">
        <v>197</v>
      </c>
      <c r="D2427" t="s">
        <v>130</v>
      </c>
      <c r="E2427" t="s">
        <v>377</v>
      </c>
      <c r="F2427" t="s">
        <v>384</v>
      </c>
      <c r="G2427" t="s">
        <v>335</v>
      </c>
      <c r="H2427" t="s">
        <v>749</v>
      </c>
      <c r="I2427">
        <v>2021</v>
      </c>
      <c r="J2427" t="s">
        <v>379</v>
      </c>
      <c r="K2427" t="s">
        <v>546</v>
      </c>
      <c r="L2427" s="784" t="s">
        <v>575</v>
      </c>
      <c r="M2427" t="s">
        <v>745</v>
      </c>
      <c r="N2427" s="784" t="s">
        <v>575</v>
      </c>
      <c r="O2427" t="s">
        <v>737</v>
      </c>
      <c r="P2427" t="s">
        <v>750</v>
      </c>
      <c r="R2427" t="s">
        <v>152</v>
      </c>
      <c r="S2427" t="s">
        <v>146</v>
      </c>
      <c r="U2427">
        <v>0</v>
      </c>
      <c r="V2427" t="s">
        <v>544</v>
      </c>
      <c r="W2427" t="s">
        <v>546</v>
      </c>
      <c r="X2427" s="784">
        <v>4585736158.8323269</v>
      </c>
    </row>
    <row r="2428" spans="1:24">
      <c r="A2428" t="s">
        <v>358</v>
      </c>
      <c r="B2428" t="s">
        <v>593</v>
      </c>
      <c r="C2428" t="s">
        <v>198</v>
      </c>
      <c r="D2428" t="s">
        <v>131</v>
      </c>
      <c r="E2428" t="s">
        <v>377</v>
      </c>
      <c r="F2428" t="s">
        <v>384</v>
      </c>
      <c r="G2428" t="s">
        <v>335</v>
      </c>
      <c r="H2428" t="s">
        <v>749</v>
      </c>
      <c r="I2428">
        <v>2021</v>
      </c>
      <c r="J2428" t="s">
        <v>379</v>
      </c>
      <c r="K2428" t="s">
        <v>546</v>
      </c>
      <c r="L2428" s="784" t="s">
        <v>575</v>
      </c>
      <c r="M2428" t="s">
        <v>745</v>
      </c>
      <c r="N2428" s="784" t="s">
        <v>575</v>
      </c>
      <c r="O2428" t="s">
        <v>737</v>
      </c>
      <c r="P2428" t="s">
        <v>750</v>
      </c>
      <c r="R2428" t="s">
        <v>150</v>
      </c>
      <c r="S2428" t="s">
        <v>145</v>
      </c>
      <c r="U2428">
        <v>0</v>
      </c>
      <c r="V2428" t="s">
        <v>544</v>
      </c>
      <c r="W2428" t="s">
        <v>546</v>
      </c>
      <c r="X2428" s="784">
        <v>3550291584.8645592</v>
      </c>
    </row>
    <row r="2429" spans="1:24">
      <c r="A2429" t="s">
        <v>358</v>
      </c>
      <c r="B2429" t="s">
        <v>594</v>
      </c>
      <c r="C2429" t="s">
        <v>199</v>
      </c>
      <c r="D2429" t="s">
        <v>130</v>
      </c>
      <c r="E2429" t="s">
        <v>377</v>
      </c>
      <c r="F2429" t="s">
        <v>384</v>
      </c>
      <c r="G2429" t="s">
        <v>335</v>
      </c>
      <c r="H2429" t="s">
        <v>749</v>
      </c>
      <c r="I2429">
        <v>2021</v>
      </c>
      <c r="J2429" t="s">
        <v>379</v>
      </c>
      <c r="K2429" t="s">
        <v>546</v>
      </c>
      <c r="L2429" s="784" t="s">
        <v>575</v>
      </c>
      <c r="M2429" t="s">
        <v>745</v>
      </c>
      <c r="N2429" s="784" t="s">
        <v>575</v>
      </c>
      <c r="O2429" t="s">
        <v>737</v>
      </c>
      <c r="P2429" t="s">
        <v>750</v>
      </c>
      <c r="R2429" t="s">
        <v>150</v>
      </c>
      <c r="S2429" t="s">
        <v>145</v>
      </c>
      <c r="U2429">
        <v>0</v>
      </c>
      <c r="V2429" t="s">
        <v>544</v>
      </c>
      <c r="W2429" t="s">
        <v>546</v>
      </c>
      <c r="X2429" s="784">
        <v>1182840319.0410969</v>
      </c>
    </row>
    <row r="2430" spans="1:24">
      <c r="A2430" t="s">
        <v>358</v>
      </c>
      <c r="B2430" t="s">
        <v>595</v>
      </c>
      <c r="C2430" t="s">
        <v>200</v>
      </c>
      <c r="D2430" t="s">
        <v>130</v>
      </c>
      <c r="E2430" t="s">
        <v>377</v>
      </c>
      <c r="F2430" t="s">
        <v>384</v>
      </c>
      <c r="G2430" t="s">
        <v>335</v>
      </c>
      <c r="H2430" t="s">
        <v>749</v>
      </c>
      <c r="I2430">
        <v>2021</v>
      </c>
      <c r="J2430" t="s">
        <v>379</v>
      </c>
      <c r="K2430" t="s">
        <v>546</v>
      </c>
      <c r="L2430" s="784" t="s">
        <v>575</v>
      </c>
      <c r="M2430" t="s">
        <v>745</v>
      </c>
      <c r="N2430" s="784" t="s">
        <v>575</v>
      </c>
      <c r="O2430" t="s">
        <v>737</v>
      </c>
      <c r="P2430" t="s">
        <v>750</v>
      </c>
      <c r="R2430" t="s">
        <v>152</v>
      </c>
      <c r="S2430" t="s">
        <v>146</v>
      </c>
      <c r="U2430">
        <v>0</v>
      </c>
      <c r="V2430" t="s">
        <v>544</v>
      </c>
      <c r="W2430" t="s">
        <v>575</v>
      </c>
      <c r="X2430" s="784">
        <v>81728347.604567245</v>
      </c>
    </row>
    <row r="2431" spans="1:24">
      <c r="A2431" t="s">
        <v>358</v>
      </c>
      <c r="B2431" t="s">
        <v>596</v>
      </c>
      <c r="C2431" t="s">
        <v>201</v>
      </c>
      <c r="D2431" t="s">
        <v>128</v>
      </c>
      <c r="E2431" t="s">
        <v>377</v>
      </c>
      <c r="F2431" t="s">
        <v>384</v>
      </c>
      <c r="G2431" t="s">
        <v>335</v>
      </c>
      <c r="H2431" t="s">
        <v>749</v>
      </c>
      <c r="I2431">
        <v>2021</v>
      </c>
      <c r="J2431" t="s">
        <v>379</v>
      </c>
      <c r="K2431" t="s">
        <v>546</v>
      </c>
      <c r="L2431" s="784" t="s">
        <v>575</v>
      </c>
      <c r="M2431" t="s">
        <v>745</v>
      </c>
      <c r="N2431" s="784" t="s">
        <v>575</v>
      </c>
      <c r="O2431" t="s">
        <v>737</v>
      </c>
      <c r="P2431" t="s">
        <v>750</v>
      </c>
      <c r="R2431" t="s">
        <v>148</v>
      </c>
      <c r="S2431" t="s">
        <v>145</v>
      </c>
      <c r="U2431">
        <v>2</v>
      </c>
      <c r="V2431" t="s">
        <v>544</v>
      </c>
      <c r="W2431" t="s">
        <v>546</v>
      </c>
      <c r="X2431" s="784">
        <v>12787914.977715338</v>
      </c>
    </row>
    <row r="2432" spans="1:24">
      <c r="A2432" t="s">
        <v>358</v>
      </c>
      <c r="B2432" t="s">
        <v>597</v>
      </c>
      <c r="C2432" t="s">
        <v>202</v>
      </c>
      <c r="D2432" t="s">
        <v>128</v>
      </c>
      <c r="E2432" t="s">
        <v>377</v>
      </c>
      <c r="F2432" t="s">
        <v>384</v>
      </c>
      <c r="G2432" t="s">
        <v>335</v>
      </c>
      <c r="H2432" t="s">
        <v>749</v>
      </c>
      <c r="I2432">
        <v>2021</v>
      </c>
      <c r="J2432" t="s">
        <v>379</v>
      </c>
      <c r="K2432" t="s">
        <v>546</v>
      </c>
      <c r="L2432" s="784" t="s">
        <v>575</v>
      </c>
      <c r="M2432" t="s">
        <v>745</v>
      </c>
      <c r="N2432" s="784" t="s">
        <v>575</v>
      </c>
      <c r="O2432" t="s">
        <v>737</v>
      </c>
      <c r="P2432" t="s">
        <v>750</v>
      </c>
      <c r="R2432" t="s">
        <v>150</v>
      </c>
      <c r="S2432" t="s">
        <v>145</v>
      </c>
      <c r="U2432">
        <v>2</v>
      </c>
      <c r="V2432" t="s">
        <v>544</v>
      </c>
      <c r="W2432" t="s">
        <v>546</v>
      </c>
      <c r="X2432" s="784">
        <v>101271737.65410839</v>
      </c>
    </row>
    <row r="2433" spans="1:24">
      <c r="A2433" t="s">
        <v>358</v>
      </c>
      <c r="B2433" t="s">
        <v>598</v>
      </c>
      <c r="C2433" t="s">
        <v>203</v>
      </c>
      <c r="D2433" t="s">
        <v>128</v>
      </c>
      <c r="E2433" t="s">
        <v>377</v>
      </c>
      <c r="F2433" t="s">
        <v>384</v>
      </c>
      <c r="G2433" t="s">
        <v>335</v>
      </c>
      <c r="H2433" t="s">
        <v>749</v>
      </c>
      <c r="I2433">
        <v>2021</v>
      </c>
      <c r="J2433" t="s">
        <v>379</v>
      </c>
      <c r="K2433" t="s">
        <v>546</v>
      </c>
      <c r="L2433" s="784" t="s">
        <v>575</v>
      </c>
      <c r="M2433" t="s">
        <v>745</v>
      </c>
      <c r="N2433" s="784" t="s">
        <v>575</v>
      </c>
      <c r="O2433" t="s">
        <v>737</v>
      </c>
      <c r="P2433" t="s">
        <v>750</v>
      </c>
      <c r="R2433" t="s">
        <v>148</v>
      </c>
      <c r="S2433" t="s">
        <v>145</v>
      </c>
      <c r="U2433">
        <v>3</v>
      </c>
      <c r="V2433" t="s">
        <v>544</v>
      </c>
      <c r="W2433" t="s">
        <v>542</v>
      </c>
      <c r="X2433" s="784">
        <v>618344226.71759331</v>
      </c>
    </row>
    <row r="2434" spans="1:24">
      <c r="A2434" t="s">
        <v>358</v>
      </c>
      <c r="B2434" t="s">
        <v>599</v>
      </c>
      <c r="C2434" t="s">
        <v>204</v>
      </c>
      <c r="D2434" t="s">
        <v>126</v>
      </c>
      <c r="E2434" t="s">
        <v>377</v>
      </c>
      <c r="F2434" t="s">
        <v>384</v>
      </c>
      <c r="G2434" t="s">
        <v>335</v>
      </c>
      <c r="H2434" t="s">
        <v>749</v>
      </c>
      <c r="I2434">
        <v>2021</v>
      </c>
      <c r="J2434" t="s">
        <v>379</v>
      </c>
      <c r="K2434" t="s">
        <v>546</v>
      </c>
      <c r="L2434" s="784">
        <v>3904500</v>
      </c>
      <c r="M2434" t="s">
        <v>745</v>
      </c>
      <c r="N2434" s="784" t="s">
        <v>575</v>
      </c>
      <c r="O2434" t="s">
        <v>737</v>
      </c>
      <c r="P2434" t="s">
        <v>750</v>
      </c>
      <c r="R2434" t="s">
        <v>152</v>
      </c>
      <c r="S2434" t="s">
        <v>145</v>
      </c>
      <c r="U2434">
        <v>0</v>
      </c>
      <c r="V2434" t="s">
        <v>541</v>
      </c>
      <c r="W2434" t="s">
        <v>548</v>
      </c>
      <c r="X2434" s="784">
        <v>129483872.95906857</v>
      </c>
    </row>
    <row r="2435" spans="1:24">
      <c r="A2435" t="s">
        <v>358</v>
      </c>
      <c r="B2435" t="s">
        <v>600</v>
      </c>
      <c r="C2435" t="s">
        <v>205</v>
      </c>
      <c r="D2435" t="s">
        <v>129</v>
      </c>
      <c r="E2435" t="s">
        <v>377</v>
      </c>
      <c r="F2435" t="s">
        <v>384</v>
      </c>
      <c r="G2435" t="s">
        <v>335</v>
      </c>
      <c r="H2435" t="s">
        <v>749</v>
      </c>
      <c r="I2435">
        <v>2021</v>
      </c>
      <c r="J2435" t="s">
        <v>379</v>
      </c>
      <c r="K2435" t="s">
        <v>546</v>
      </c>
      <c r="L2435" s="784" t="s">
        <v>575</v>
      </c>
      <c r="M2435" t="s">
        <v>745</v>
      </c>
      <c r="N2435" s="784" t="s">
        <v>575</v>
      </c>
      <c r="O2435" t="s">
        <v>737</v>
      </c>
      <c r="P2435" t="s">
        <v>750</v>
      </c>
      <c r="R2435" t="s">
        <v>152</v>
      </c>
      <c r="S2435" t="s">
        <v>146</v>
      </c>
      <c r="U2435">
        <v>0</v>
      </c>
      <c r="V2435" t="s">
        <v>544</v>
      </c>
      <c r="W2435" t="s">
        <v>546</v>
      </c>
      <c r="X2435" s="784">
        <v>271184658.35014349</v>
      </c>
    </row>
    <row r="2436" spans="1:24">
      <c r="A2436" t="s">
        <v>358</v>
      </c>
      <c r="B2436" t="s">
        <v>601</v>
      </c>
      <c r="C2436" t="s">
        <v>206</v>
      </c>
      <c r="D2436" t="s">
        <v>129</v>
      </c>
      <c r="E2436" t="s">
        <v>377</v>
      </c>
      <c r="F2436" t="s">
        <v>384</v>
      </c>
      <c r="G2436" t="s">
        <v>335</v>
      </c>
      <c r="H2436" t="s">
        <v>749</v>
      </c>
      <c r="I2436">
        <v>2021</v>
      </c>
      <c r="J2436" t="s">
        <v>379</v>
      </c>
      <c r="K2436" t="s">
        <v>546</v>
      </c>
      <c r="L2436" s="784" t="s">
        <v>575</v>
      </c>
      <c r="M2436" t="s">
        <v>745</v>
      </c>
      <c r="N2436" s="784" t="s">
        <v>575</v>
      </c>
      <c r="O2436" t="s">
        <v>737</v>
      </c>
      <c r="P2436" t="s">
        <v>750</v>
      </c>
      <c r="R2436" t="s">
        <v>148</v>
      </c>
      <c r="S2436" t="s">
        <v>145</v>
      </c>
      <c r="U2436">
        <v>0</v>
      </c>
      <c r="V2436" t="s">
        <v>544</v>
      </c>
      <c r="W2436" t="s">
        <v>542</v>
      </c>
      <c r="X2436" s="784">
        <v>15455265.086884515</v>
      </c>
    </row>
    <row r="2437" spans="1:24">
      <c r="A2437" t="s">
        <v>358</v>
      </c>
      <c r="B2437" t="s">
        <v>602</v>
      </c>
      <c r="C2437" t="s">
        <v>207</v>
      </c>
      <c r="D2437" t="s">
        <v>127</v>
      </c>
      <c r="E2437" t="s">
        <v>377</v>
      </c>
      <c r="F2437" t="s">
        <v>384</v>
      </c>
      <c r="G2437" t="s">
        <v>335</v>
      </c>
      <c r="H2437" t="s">
        <v>749</v>
      </c>
      <c r="I2437">
        <v>2021</v>
      </c>
      <c r="J2437" t="s">
        <v>379</v>
      </c>
      <c r="K2437" t="s">
        <v>546</v>
      </c>
      <c r="L2437" s="784" t="s">
        <v>575</v>
      </c>
      <c r="M2437" t="s">
        <v>745</v>
      </c>
      <c r="N2437" s="784" t="s">
        <v>575</v>
      </c>
      <c r="O2437" t="s">
        <v>737</v>
      </c>
      <c r="P2437" t="s">
        <v>750</v>
      </c>
      <c r="R2437" t="s">
        <v>152</v>
      </c>
      <c r="S2437" t="s">
        <v>146</v>
      </c>
      <c r="U2437">
        <v>0</v>
      </c>
      <c r="V2437" t="s">
        <v>544</v>
      </c>
      <c r="W2437" t="s">
        <v>546</v>
      </c>
      <c r="X2437" s="784">
        <v>494021502.525527</v>
      </c>
    </row>
    <row r="2438" spans="1:24">
      <c r="A2438" t="s">
        <v>358</v>
      </c>
      <c r="B2438" t="s">
        <v>603</v>
      </c>
      <c r="C2438" t="s">
        <v>208</v>
      </c>
      <c r="D2438" t="s">
        <v>129</v>
      </c>
      <c r="E2438" t="s">
        <v>377</v>
      </c>
      <c r="F2438" t="s">
        <v>384</v>
      </c>
      <c r="G2438" t="s">
        <v>335</v>
      </c>
      <c r="H2438" t="s">
        <v>749</v>
      </c>
      <c r="I2438">
        <v>2021</v>
      </c>
      <c r="J2438" t="s">
        <v>379</v>
      </c>
      <c r="K2438" t="s">
        <v>546</v>
      </c>
      <c r="L2438" s="784" t="s">
        <v>575</v>
      </c>
      <c r="M2438" t="s">
        <v>745</v>
      </c>
      <c r="N2438" s="784" t="s">
        <v>575</v>
      </c>
      <c r="O2438" t="s">
        <v>737</v>
      </c>
      <c r="P2438" t="s">
        <v>750</v>
      </c>
      <c r="R2438" t="s">
        <v>150</v>
      </c>
      <c r="S2438" t="s">
        <v>145</v>
      </c>
      <c r="U2438">
        <v>0</v>
      </c>
      <c r="V2438" t="s">
        <v>544</v>
      </c>
      <c r="W2438" t="s">
        <v>542</v>
      </c>
      <c r="X2438" s="784">
        <v>902005621.73836684</v>
      </c>
    </row>
    <row r="2439" spans="1:24">
      <c r="A2439" t="s">
        <v>358</v>
      </c>
      <c r="B2439" t="s">
        <v>604</v>
      </c>
      <c r="C2439" t="s">
        <v>209</v>
      </c>
      <c r="D2439" t="s">
        <v>130</v>
      </c>
      <c r="E2439" t="s">
        <v>377</v>
      </c>
      <c r="F2439" t="s">
        <v>384</v>
      </c>
      <c r="G2439" t="s">
        <v>335</v>
      </c>
      <c r="H2439" t="s">
        <v>749</v>
      </c>
      <c r="I2439">
        <v>2021</v>
      </c>
      <c r="J2439" t="s">
        <v>379</v>
      </c>
      <c r="K2439" t="s">
        <v>546</v>
      </c>
      <c r="L2439" s="784" t="s">
        <v>575</v>
      </c>
      <c r="M2439" t="s">
        <v>745</v>
      </c>
      <c r="N2439" s="784" t="s">
        <v>575</v>
      </c>
      <c r="O2439" t="s">
        <v>737</v>
      </c>
      <c r="P2439" t="s">
        <v>750</v>
      </c>
      <c r="R2439" t="s">
        <v>152</v>
      </c>
      <c r="S2439" t="s">
        <v>145</v>
      </c>
      <c r="U2439">
        <v>0</v>
      </c>
      <c r="V2439" t="s">
        <v>541</v>
      </c>
      <c r="W2439" t="s">
        <v>583</v>
      </c>
      <c r="X2439" s="784">
        <v>20201670.142996579</v>
      </c>
    </row>
    <row r="2440" spans="1:24">
      <c r="A2440" t="s">
        <v>358</v>
      </c>
      <c r="B2440" t="s">
        <v>605</v>
      </c>
      <c r="C2440" t="s">
        <v>210</v>
      </c>
      <c r="D2440" t="s">
        <v>130</v>
      </c>
      <c r="E2440" t="s">
        <v>377</v>
      </c>
      <c r="F2440" t="s">
        <v>384</v>
      </c>
      <c r="G2440" t="s">
        <v>335</v>
      </c>
      <c r="H2440" t="s">
        <v>749</v>
      </c>
      <c r="I2440">
        <v>2021</v>
      </c>
      <c r="J2440" t="s">
        <v>379</v>
      </c>
      <c r="K2440" t="s">
        <v>546</v>
      </c>
      <c r="L2440" s="784" t="s">
        <v>575</v>
      </c>
      <c r="M2440" t="s">
        <v>745</v>
      </c>
      <c r="N2440" s="784" t="s">
        <v>575</v>
      </c>
      <c r="O2440" t="s">
        <v>737</v>
      </c>
      <c r="P2440" t="s">
        <v>750</v>
      </c>
      <c r="R2440" t="s">
        <v>152</v>
      </c>
      <c r="S2440" t="s">
        <v>146</v>
      </c>
      <c r="U2440">
        <v>0</v>
      </c>
      <c r="V2440" t="s">
        <v>544</v>
      </c>
      <c r="W2440" t="s">
        <v>575</v>
      </c>
      <c r="X2440" s="784">
        <v>1612434649.6948864</v>
      </c>
    </row>
    <row r="2441" spans="1:24">
      <c r="A2441" t="s">
        <v>358</v>
      </c>
      <c r="B2441" t="s">
        <v>606</v>
      </c>
      <c r="C2441" t="s">
        <v>211</v>
      </c>
      <c r="D2441" t="s">
        <v>129</v>
      </c>
      <c r="E2441" t="s">
        <v>377</v>
      </c>
      <c r="F2441" t="s">
        <v>384</v>
      </c>
      <c r="G2441" t="s">
        <v>335</v>
      </c>
      <c r="H2441" t="s">
        <v>749</v>
      </c>
      <c r="I2441">
        <v>2021</v>
      </c>
      <c r="J2441" t="s">
        <v>379</v>
      </c>
      <c r="K2441" t="s">
        <v>546</v>
      </c>
      <c r="L2441" s="784" t="s">
        <v>575</v>
      </c>
      <c r="M2441" t="s">
        <v>745</v>
      </c>
      <c r="N2441" s="784" t="s">
        <v>575</v>
      </c>
      <c r="O2441" t="s">
        <v>737</v>
      </c>
      <c r="P2441" t="s">
        <v>750</v>
      </c>
      <c r="R2441" t="s">
        <v>148</v>
      </c>
      <c r="S2441" t="s">
        <v>145</v>
      </c>
      <c r="U2441">
        <v>0</v>
      </c>
      <c r="V2441" t="s">
        <v>544</v>
      </c>
      <c r="W2441" t="s">
        <v>562</v>
      </c>
      <c r="X2441" s="784">
        <v>78203134.118229344</v>
      </c>
    </row>
    <row r="2442" spans="1:24">
      <c r="A2442" t="s">
        <v>358</v>
      </c>
      <c r="B2442" t="s">
        <v>607</v>
      </c>
      <c r="C2442" t="s">
        <v>212</v>
      </c>
      <c r="D2442" t="s">
        <v>129</v>
      </c>
      <c r="E2442" t="s">
        <v>377</v>
      </c>
      <c r="F2442" t="s">
        <v>384</v>
      </c>
      <c r="G2442" t="s">
        <v>335</v>
      </c>
      <c r="H2442" t="s">
        <v>749</v>
      </c>
      <c r="I2442">
        <v>2021</v>
      </c>
      <c r="J2442" t="s">
        <v>379</v>
      </c>
      <c r="K2442" t="s">
        <v>546</v>
      </c>
      <c r="L2442" s="784" t="s">
        <v>575</v>
      </c>
      <c r="M2442" t="s">
        <v>745</v>
      </c>
      <c r="N2442" s="784" t="s">
        <v>575</v>
      </c>
      <c r="O2442" t="s">
        <v>737</v>
      </c>
      <c r="P2442" t="s">
        <v>750</v>
      </c>
      <c r="R2442" t="s">
        <v>148</v>
      </c>
      <c r="S2442" t="s">
        <v>145</v>
      </c>
      <c r="U2442">
        <v>2</v>
      </c>
      <c r="V2442" t="s">
        <v>541</v>
      </c>
      <c r="W2442" t="s">
        <v>542</v>
      </c>
      <c r="X2442" s="784">
        <v>9151637.7411015611</v>
      </c>
    </row>
    <row r="2443" spans="1:24">
      <c r="A2443" t="s">
        <v>358</v>
      </c>
      <c r="B2443" t="s">
        <v>608</v>
      </c>
      <c r="C2443" t="s">
        <v>213</v>
      </c>
      <c r="D2443" t="s">
        <v>130</v>
      </c>
      <c r="E2443" t="s">
        <v>377</v>
      </c>
      <c r="F2443" t="s">
        <v>384</v>
      </c>
      <c r="G2443" t="s">
        <v>335</v>
      </c>
      <c r="H2443" t="s">
        <v>749</v>
      </c>
      <c r="I2443">
        <v>2021</v>
      </c>
      <c r="J2443" t="s">
        <v>379</v>
      </c>
      <c r="K2443" t="s">
        <v>546</v>
      </c>
      <c r="L2443" s="784" t="s">
        <v>575</v>
      </c>
      <c r="M2443" t="s">
        <v>745</v>
      </c>
      <c r="N2443" s="784" t="s">
        <v>575</v>
      </c>
      <c r="O2443" t="s">
        <v>737</v>
      </c>
      <c r="P2443" t="s">
        <v>750</v>
      </c>
      <c r="R2443" t="s">
        <v>152</v>
      </c>
      <c r="S2443" t="s">
        <v>145</v>
      </c>
      <c r="U2443">
        <v>0</v>
      </c>
      <c r="V2443" t="s">
        <v>541</v>
      </c>
      <c r="W2443" t="s">
        <v>562</v>
      </c>
      <c r="X2443" s="784">
        <v>142455920.02856269</v>
      </c>
    </row>
    <row r="2444" spans="1:24">
      <c r="A2444" t="s">
        <v>358</v>
      </c>
      <c r="B2444" t="s">
        <v>609</v>
      </c>
      <c r="C2444" t="s">
        <v>214</v>
      </c>
      <c r="D2444" t="s">
        <v>130</v>
      </c>
      <c r="E2444" t="s">
        <v>377</v>
      </c>
      <c r="F2444" t="s">
        <v>384</v>
      </c>
      <c r="G2444" t="s">
        <v>335</v>
      </c>
      <c r="H2444" t="s">
        <v>749</v>
      </c>
      <c r="I2444">
        <v>2021</v>
      </c>
      <c r="J2444" t="s">
        <v>379</v>
      </c>
      <c r="K2444" t="s">
        <v>546</v>
      </c>
      <c r="L2444" s="784" t="s">
        <v>575</v>
      </c>
      <c r="M2444" t="s">
        <v>745</v>
      </c>
      <c r="N2444" s="784" t="s">
        <v>575</v>
      </c>
      <c r="O2444" t="s">
        <v>737</v>
      </c>
      <c r="P2444" t="s">
        <v>750</v>
      </c>
      <c r="R2444" t="s">
        <v>150</v>
      </c>
      <c r="S2444" t="s">
        <v>145</v>
      </c>
      <c r="U2444">
        <v>1</v>
      </c>
      <c r="V2444" t="s">
        <v>541</v>
      </c>
      <c r="W2444" t="s">
        <v>542</v>
      </c>
      <c r="X2444" s="784">
        <v>85611818.171245083</v>
      </c>
    </row>
    <row r="2445" spans="1:24">
      <c r="A2445" t="s">
        <v>358</v>
      </c>
      <c r="B2445" t="s">
        <v>610</v>
      </c>
      <c r="C2445" t="s">
        <v>215</v>
      </c>
      <c r="D2445" t="s">
        <v>130</v>
      </c>
      <c r="E2445" t="s">
        <v>377</v>
      </c>
      <c r="F2445" t="s">
        <v>384</v>
      </c>
      <c r="G2445" t="s">
        <v>335</v>
      </c>
      <c r="H2445" t="s">
        <v>749</v>
      </c>
      <c r="I2445">
        <v>2021</v>
      </c>
      <c r="J2445" t="s">
        <v>379</v>
      </c>
      <c r="K2445" t="s">
        <v>546</v>
      </c>
      <c r="L2445" s="784" t="s">
        <v>575</v>
      </c>
      <c r="M2445" t="s">
        <v>745</v>
      </c>
      <c r="N2445" s="784" t="s">
        <v>575</v>
      </c>
      <c r="O2445" t="s">
        <v>737</v>
      </c>
      <c r="P2445" t="s">
        <v>750</v>
      </c>
      <c r="R2445" t="s">
        <v>150</v>
      </c>
      <c r="S2445" t="s">
        <v>145</v>
      </c>
      <c r="U2445">
        <v>0</v>
      </c>
      <c r="V2445" t="s">
        <v>544</v>
      </c>
      <c r="W2445" t="s">
        <v>558</v>
      </c>
      <c r="X2445" s="784">
        <v>680289736.30082119</v>
      </c>
    </row>
    <row r="2446" spans="1:24">
      <c r="A2446" t="s">
        <v>358</v>
      </c>
      <c r="B2446" t="s">
        <v>611</v>
      </c>
      <c r="C2446" t="s">
        <v>216</v>
      </c>
      <c r="D2446" t="s">
        <v>132</v>
      </c>
      <c r="E2446" t="s">
        <v>377</v>
      </c>
      <c r="F2446" t="s">
        <v>384</v>
      </c>
      <c r="G2446" t="s">
        <v>335</v>
      </c>
      <c r="H2446" t="s">
        <v>749</v>
      </c>
      <c r="I2446">
        <v>2021</v>
      </c>
      <c r="J2446" t="s">
        <v>379</v>
      </c>
      <c r="K2446" t="s">
        <v>546</v>
      </c>
      <c r="L2446" s="784" t="s">
        <v>575</v>
      </c>
      <c r="M2446" t="s">
        <v>745</v>
      </c>
      <c r="N2446" s="784" t="s">
        <v>575</v>
      </c>
      <c r="O2446" t="s">
        <v>737</v>
      </c>
      <c r="P2446" t="s">
        <v>750</v>
      </c>
      <c r="R2446" t="s">
        <v>150</v>
      </c>
      <c r="S2446" t="s">
        <v>145</v>
      </c>
      <c r="U2446">
        <v>0</v>
      </c>
      <c r="V2446" t="s">
        <v>544</v>
      </c>
      <c r="W2446" t="s">
        <v>546</v>
      </c>
      <c r="X2446" s="784">
        <v>26554332750.47023</v>
      </c>
    </row>
    <row r="2447" spans="1:24">
      <c r="A2447" t="s">
        <v>358</v>
      </c>
      <c r="B2447" t="s">
        <v>612</v>
      </c>
      <c r="C2447" t="s">
        <v>217</v>
      </c>
      <c r="D2447" t="s">
        <v>126</v>
      </c>
      <c r="E2447" t="s">
        <v>377</v>
      </c>
      <c r="F2447" t="s">
        <v>384</v>
      </c>
      <c r="G2447" t="s">
        <v>335</v>
      </c>
      <c r="H2447" t="s">
        <v>749</v>
      </c>
      <c r="I2447">
        <v>2021</v>
      </c>
      <c r="J2447" t="s">
        <v>379</v>
      </c>
      <c r="K2447" t="s">
        <v>546</v>
      </c>
      <c r="L2447" s="784">
        <v>774593</v>
      </c>
      <c r="M2447" t="s">
        <v>745</v>
      </c>
      <c r="N2447" s="784" t="s">
        <v>575</v>
      </c>
      <c r="O2447" t="s">
        <v>737</v>
      </c>
      <c r="P2447" t="s">
        <v>750</v>
      </c>
      <c r="R2447" t="s">
        <v>150</v>
      </c>
      <c r="S2447" t="s">
        <v>145</v>
      </c>
      <c r="U2447">
        <v>0</v>
      </c>
      <c r="V2447" t="s">
        <v>544</v>
      </c>
      <c r="W2447" t="s">
        <v>546</v>
      </c>
      <c r="X2447" s="784">
        <v>14745961064.890842</v>
      </c>
    </row>
    <row r="2448" spans="1:24">
      <c r="A2448" t="s">
        <v>358</v>
      </c>
      <c r="B2448" t="s">
        <v>613</v>
      </c>
      <c r="C2448" t="s">
        <v>149</v>
      </c>
      <c r="D2448" t="s">
        <v>131</v>
      </c>
      <c r="E2448" t="s">
        <v>377</v>
      </c>
      <c r="F2448" t="s">
        <v>384</v>
      </c>
      <c r="G2448" t="s">
        <v>335</v>
      </c>
      <c r="H2448" t="s">
        <v>749</v>
      </c>
      <c r="I2448">
        <v>2021</v>
      </c>
      <c r="J2448" t="s">
        <v>379</v>
      </c>
      <c r="K2448" t="s">
        <v>546</v>
      </c>
      <c r="L2448" s="784" t="s">
        <v>575</v>
      </c>
      <c r="M2448" t="s">
        <v>745</v>
      </c>
      <c r="N2448" s="784" t="s">
        <v>575</v>
      </c>
      <c r="O2448" t="s">
        <v>737</v>
      </c>
      <c r="P2448" t="s">
        <v>750</v>
      </c>
      <c r="R2448" t="s">
        <v>150</v>
      </c>
      <c r="S2448" t="s">
        <v>146</v>
      </c>
      <c r="U2448">
        <v>0</v>
      </c>
      <c r="V2448" t="s">
        <v>544</v>
      </c>
      <c r="W2448" t="s">
        <v>546</v>
      </c>
      <c r="X2448" s="784">
        <v>18194076299.786381</v>
      </c>
    </row>
    <row r="2449" spans="1:24">
      <c r="A2449" t="s">
        <v>358</v>
      </c>
      <c r="B2449" t="s">
        <v>614</v>
      </c>
      <c r="C2449" t="s">
        <v>218</v>
      </c>
      <c r="D2449" t="s">
        <v>131</v>
      </c>
      <c r="E2449" t="s">
        <v>377</v>
      </c>
      <c r="F2449" t="s">
        <v>384</v>
      </c>
      <c r="G2449" t="s">
        <v>335</v>
      </c>
      <c r="H2449" t="s">
        <v>749</v>
      </c>
      <c r="I2449">
        <v>2021</v>
      </c>
      <c r="J2449" t="s">
        <v>379</v>
      </c>
      <c r="K2449" t="s">
        <v>546</v>
      </c>
      <c r="L2449" s="784" t="s">
        <v>575</v>
      </c>
      <c r="M2449" t="s">
        <v>745</v>
      </c>
      <c r="N2449" s="784" t="s">
        <v>575</v>
      </c>
      <c r="O2449" t="s">
        <v>737</v>
      </c>
      <c r="P2449" t="s">
        <v>750</v>
      </c>
      <c r="R2449" t="s">
        <v>152</v>
      </c>
      <c r="S2449" t="s">
        <v>146</v>
      </c>
      <c r="U2449">
        <v>0</v>
      </c>
      <c r="V2449" t="s">
        <v>544</v>
      </c>
      <c r="W2449" t="s">
        <v>546</v>
      </c>
      <c r="X2449" s="784">
        <v>4428819387.769825</v>
      </c>
    </row>
    <row r="2450" spans="1:24">
      <c r="A2450" t="s">
        <v>358</v>
      </c>
      <c r="B2450" t="s">
        <v>615</v>
      </c>
      <c r="C2450" t="s">
        <v>219</v>
      </c>
      <c r="D2450" t="s">
        <v>130</v>
      </c>
      <c r="E2450" t="s">
        <v>377</v>
      </c>
      <c r="F2450" t="s">
        <v>384</v>
      </c>
      <c r="G2450" t="s">
        <v>335</v>
      </c>
      <c r="H2450" t="s">
        <v>749</v>
      </c>
      <c r="I2450">
        <v>2021</v>
      </c>
      <c r="J2450" t="s">
        <v>379</v>
      </c>
      <c r="K2450" t="s">
        <v>546</v>
      </c>
      <c r="L2450" s="784" t="s">
        <v>575</v>
      </c>
      <c r="M2450" t="s">
        <v>745</v>
      </c>
      <c r="N2450" s="784" t="s">
        <v>575</v>
      </c>
      <c r="O2450" t="s">
        <v>737</v>
      </c>
      <c r="P2450" t="s">
        <v>750</v>
      </c>
      <c r="R2450" t="s">
        <v>152</v>
      </c>
      <c r="S2450" t="s">
        <v>146</v>
      </c>
      <c r="U2450">
        <v>0</v>
      </c>
      <c r="V2450" t="s">
        <v>541</v>
      </c>
      <c r="W2450" t="s">
        <v>575</v>
      </c>
      <c r="X2450" s="784">
        <v>611739560.62679195</v>
      </c>
    </row>
    <row r="2451" spans="1:24">
      <c r="A2451" t="s">
        <v>358</v>
      </c>
      <c r="B2451" t="s">
        <v>616</v>
      </c>
      <c r="C2451" t="s">
        <v>220</v>
      </c>
      <c r="D2451" t="s">
        <v>131</v>
      </c>
      <c r="E2451" t="s">
        <v>377</v>
      </c>
      <c r="F2451" t="s">
        <v>384</v>
      </c>
      <c r="G2451" t="s">
        <v>335</v>
      </c>
      <c r="H2451" t="s">
        <v>749</v>
      </c>
      <c r="I2451">
        <v>2021</v>
      </c>
      <c r="J2451" t="s">
        <v>379</v>
      </c>
      <c r="K2451" t="s">
        <v>546</v>
      </c>
      <c r="L2451" s="784" t="s">
        <v>575</v>
      </c>
      <c r="M2451" t="s">
        <v>745</v>
      </c>
      <c r="N2451" s="784" t="s">
        <v>575</v>
      </c>
      <c r="O2451" t="s">
        <v>737</v>
      </c>
      <c r="P2451" t="s">
        <v>750</v>
      </c>
      <c r="R2451" t="s">
        <v>152</v>
      </c>
      <c r="S2451" t="s">
        <v>146</v>
      </c>
      <c r="U2451">
        <v>0</v>
      </c>
      <c r="V2451" t="s">
        <v>544</v>
      </c>
      <c r="W2451" t="s">
        <v>546</v>
      </c>
      <c r="X2451" s="784">
        <v>1617913383.0481031</v>
      </c>
    </row>
    <row r="2452" spans="1:24">
      <c r="A2452" t="s">
        <v>358</v>
      </c>
      <c r="B2452" t="s">
        <v>617</v>
      </c>
      <c r="C2452" t="s">
        <v>221</v>
      </c>
      <c r="D2452" t="s">
        <v>127</v>
      </c>
      <c r="E2452" t="s">
        <v>377</v>
      </c>
      <c r="F2452" t="s">
        <v>384</v>
      </c>
      <c r="G2452" t="s">
        <v>335</v>
      </c>
      <c r="H2452" t="s">
        <v>749</v>
      </c>
      <c r="I2452">
        <v>2021</v>
      </c>
      <c r="J2452" t="s">
        <v>379</v>
      </c>
      <c r="K2452" t="s">
        <v>546</v>
      </c>
      <c r="L2452" s="784" t="s">
        <v>575</v>
      </c>
      <c r="M2452" t="s">
        <v>745</v>
      </c>
      <c r="N2452" s="784" t="s">
        <v>575</v>
      </c>
      <c r="O2452" t="s">
        <v>737</v>
      </c>
      <c r="P2452" t="s">
        <v>750</v>
      </c>
      <c r="R2452" t="s">
        <v>152</v>
      </c>
      <c r="S2452" t="s">
        <v>146</v>
      </c>
      <c r="U2452">
        <v>0</v>
      </c>
      <c r="V2452" t="s">
        <v>544</v>
      </c>
      <c r="W2452" t="s">
        <v>575</v>
      </c>
      <c r="X2452" s="784">
        <v>3074419112.4562683</v>
      </c>
    </row>
    <row r="2453" spans="1:24">
      <c r="A2453" t="s">
        <v>358</v>
      </c>
      <c r="B2453" t="s">
        <v>618</v>
      </c>
      <c r="C2453" t="s">
        <v>222</v>
      </c>
      <c r="D2453" t="s">
        <v>128</v>
      </c>
      <c r="E2453" t="s">
        <v>377</v>
      </c>
      <c r="F2453" t="s">
        <v>384</v>
      </c>
      <c r="G2453" t="s">
        <v>335</v>
      </c>
      <c r="H2453" t="s">
        <v>749</v>
      </c>
      <c r="I2453">
        <v>2021</v>
      </c>
      <c r="J2453" t="s">
        <v>379</v>
      </c>
      <c r="K2453" t="s">
        <v>546</v>
      </c>
      <c r="L2453" s="784" t="s">
        <v>575</v>
      </c>
      <c r="M2453" t="s">
        <v>745</v>
      </c>
      <c r="N2453" s="784" t="s">
        <v>575</v>
      </c>
      <c r="O2453" t="s">
        <v>737</v>
      </c>
      <c r="P2453" t="s">
        <v>750</v>
      </c>
      <c r="R2453" t="s">
        <v>150</v>
      </c>
      <c r="S2453" t="s">
        <v>145</v>
      </c>
      <c r="U2453">
        <v>0</v>
      </c>
      <c r="V2453" t="s">
        <v>544</v>
      </c>
      <c r="W2453" t="s">
        <v>542</v>
      </c>
      <c r="X2453" s="784">
        <v>1914014279.8929913</v>
      </c>
    </row>
    <row r="2454" spans="1:24">
      <c r="A2454" t="s">
        <v>358</v>
      </c>
      <c r="B2454" t="s">
        <v>619</v>
      </c>
      <c r="C2454" t="s">
        <v>223</v>
      </c>
      <c r="D2454" t="s">
        <v>126</v>
      </c>
      <c r="E2454" t="s">
        <v>377</v>
      </c>
      <c r="F2454" t="s">
        <v>384</v>
      </c>
      <c r="G2454" t="s">
        <v>335</v>
      </c>
      <c r="H2454" t="s">
        <v>749</v>
      </c>
      <c r="I2454">
        <v>2021</v>
      </c>
      <c r="J2454" t="s">
        <v>379</v>
      </c>
      <c r="K2454" t="s">
        <v>546</v>
      </c>
      <c r="L2454" s="784">
        <v>0</v>
      </c>
      <c r="M2454" t="s">
        <v>745</v>
      </c>
      <c r="N2454" s="784" t="s">
        <v>575</v>
      </c>
      <c r="O2454" t="s">
        <v>737</v>
      </c>
      <c r="P2454" t="s">
        <v>750</v>
      </c>
      <c r="R2454" t="s">
        <v>150</v>
      </c>
      <c r="S2454" t="s">
        <v>145</v>
      </c>
      <c r="U2454">
        <v>0</v>
      </c>
      <c r="V2454" t="s">
        <v>541</v>
      </c>
      <c r="W2454" t="s">
        <v>542</v>
      </c>
      <c r="X2454" s="784">
        <v>17422005.762907442</v>
      </c>
    </row>
    <row r="2455" spans="1:24">
      <c r="A2455" t="s">
        <v>358</v>
      </c>
      <c r="B2455" t="s">
        <v>620</v>
      </c>
      <c r="C2455" t="s">
        <v>224</v>
      </c>
      <c r="D2455" t="s">
        <v>126</v>
      </c>
      <c r="E2455" t="s">
        <v>377</v>
      </c>
      <c r="F2455" t="s">
        <v>384</v>
      </c>
      <c r="G2455" t="s">
        <v>335</v>
      </c>
      <c r="H2455" t="s">
        <v>749</v>
      </c>
      <c r="I2455">
        <v>2021</v>
      </c>
      <c r="J2455" t="s">
        <v>379</v>
      </c>
      <c r="K2455" t="s">
        <v>546</v>
      </c>
      <c r="L2455" s="784" t="s">
        <v>575</v>
      </c>
      <c r="M2455" t="s">
        <v>745</v>
      </c>
      <c r="N2455" s="784" t="s">
        <v>575</v>
      </c>
      <c r="O2455" t="s">
        <v>737</v>
      </c>
      <c r="P2455" t="s">
        <v>750</v>
      </c>
      <c r="R2455" t="s">
        <v>148</v>
      </c>
      <c r="S2455" t="s">
        <v>145</v>
      </c>
      <c r="U2455">
        <v>0</v>
      </c>
      <c r="V2455" t="s">
        <v>544</v>
      </c>
      <c r="W2455" t="s">
        <v>546</v>
      </c>
      <c r="X2455" s="784" t="s">
        <v>575</v>
      </c>
    </row>
    <row r="2456" spans="1:24">
      <c r="A2456" t="s">
        <v>358</v>
      </c>
      <c r="B2456" t="s">
        <v>621</v>
      </c>
      <c r="C2456" t="s">
        <v>225</v>
      </c>
      <c r="D2456" t="s">
        <v>127</v>
      </c>
      <c r="E2456" t="s">
        <v>377</v>
      </c>
      <c r="F2456" t="s">
        <v>384</v>
      </c>
      <c r="G2456" t="s">
        <v>335</v>
      </c>
      <c r="H2456" t="s">
        <v>749</v>
      </c>
      <c r="I2456">
        <v>2021</v>
      </c>
      <c r="J2456" t="s">
        <v>379</v>
      </c>
      <c r="K2456" t="s">
        <v>546</v>
      </c>
      <c r="L2456" s="784" t="s">
        <v>575</v>
      </c>
      <c r="M2456" t="s">
        <v>745</v>
      </c>
      <c r="N2456" s="784" t="s">
        <v>575</v>
      </c>
      <c r="O2456" t="s">
        <v>737</v>
      </c>
      <c r="P2456" t="s">
        <v>750</v>
      </c>
      <c r="R2456" t="s">
        <v>152</v>
      </c>
      <c r="S2456" t="s">
        <v>145</v>
      </c>
      <c r="U2456">
        <v>0</v>
      </c>
      <c r="V2456" t="s">
        <v>544</v>
      </c>
      <c r="W2456" t="s">
        <v>548</v>
      </c>
      <c r="X2456" s="784" t="s">
        <v>575</v>
      </c>
    </row>
    <row r="2457" spans="1:24">
      <c r="A2457" t="s">
        <v>358</v>
      </c>
      <c r="B2457" t="s">
        <v>622</v>
      </c>
      <c r="C2457" t="s">
        <v>226</v>
      </c>
      <c r="D2457" t="s">
        <v>127</v>
      </c>
      <c r="E2457" t="s">
        <v>377</v>
      </c>
      <c r="F2457" t="s">
        <v>384</v>
      </c>
      <c r="G2457" t="s">
        <v>335</v>
      </c>
      <c r="H2457" t="s">
        <v>749</v>
      </c>
      <c r="I2457">
        <v>2021</v>
      </c>
      <c r="J2457" t="s">
        <v>379</v>
      </c>
      <c r="K2457" t="s">
        <v>546</v>
      </c>
      <c r="L2457" s="784" t="s">
        <v>575</v>
      </c>
      <c r="M2457" t="s">
        <v>745</v>
      </c>
      <c r="N2457" s="784" t="s">
        <v>575</v>
      </c>
      <c r="O2457" t="s">
        <v>737</v>
      </c>
      <c r="P2457" t="s">
        <v>750</v>
      </c>
      <c r="R2457" t="s">
        <v>150</v>
      </c>
      <c r="S2457" t="s">
        <v>145</v>
      </c>
      <c r="U2457">
        <v>2</v>
      </c>
      <c r="V2457" t="s">
        <v>544</v>
      </c>
      <c r="W2457" t="s">
        <v>562</v>
      </c>
      <c r="X2457" s="784">
        <v>231506834.84347546</v>
      </c>
    </row>
    <row r="2458" spans="1:24">
      <c r="A2458" t="s">
        <v>358</v>
      </c>
      <c r="B2458" t="s">
        <v>623</v>
      </c>
      <c r="C2458" t="s">
        <v>227</v>
      </c>
      <c r="D2458" t="s">
        <v>126</v>
      </c>
      <c r="E2458" t="s">
        <v>377</v>
      </c>
      <c r="F2458" t="s">
        <v>384</v>
      </c>
      <c r="G2458" t="s">
        <v>335</v>
      </c>
      <c r="H2458" t="s">
        <v>749</v>
      </c>
      <c r="I2458">
        <v>2021</v>
      </c>
      <c r="J2458" t="s">
        <v>379</v>
      </c>
      <c r="K2458" t="s">
        <v>546</v>
      </c>
      <c r="L2458" s="784">
        <v>2661863</v>
      </c>
      <c r="M2458" t="s">
        <v>745</v>
      </c>
      <c r="N2458" s="784" t="s">
        <v>575</v>
      </c>
      <c r="O2458" t="s">
        <v>737</v>
      </c>
      <c r="P2458" t="s">
        <v>750</v>
      </c>
      <c r="R2458" t="s">
        <v>150</v>
      </c>
      <c r="S2458" t="s">
        <v>145</v>
      </c>
      <c r="U2458">
        <v>0</v>
      </c>
      <c r="V2458" t="s">
        <v>544</v>
      </c>
      <c r="W2458" t="s">
        <v>542</v>
      </c>
      <c r="X2458" s="784">
        <v>156059428.62944782</v>
      </c>
    </row>
    <row r="2459" spans="1:24">
      <c r="A2459" t="s">
        <v>358</v>
      </c>
      <c r="B2459" t="s">
        <v>624</v>
      </c>
      <c r="C2459" t="s">
        <v>228</v>
      </c>
      <c r="D2459" t="s">
        <v>131</v>
      </c>
      <c r="E2459" t="s">
        <v>377</v>
      </c>
      <c r="F2459" t="s">
        <v>384</v>
      </c>
      <c r="G2459" t="s">
        <v>335</v>
      </c>
      <c r="H2459" t="s">
        <v>749</v>
      </c>
      <c r="I2459">
        <v>2021</v>
      </c>
      <c r="J2459" t="s">
        <v>379</v>
      </c>
      <c r="K2459" t="s">
        <v>546</v>
      </c>
      <c r="L2459" s="784" t="s">
        <v>575</v>
      </c>
      <c r="M2459" t="s">
        <v>745</v>
      </c>
      <c r="N2459" s="784" t="s">
        <v>575</v>
      </c>
      <c r="O2459" t="s">
        <v>737</v>
      </c>
      <c r="P2459" t="s">
        <v>750</v>
      </c>
      <c r="R2459" t="s">
        <v>152</v>
      </c>
      <c r="S2459" t="s">
        <v>146</v>
      </c>
      <c r="U2459">
        <v>0</v>
      </c>
      <c r="V2459" t="s">
        <v>544</v>
      </c>
      <c r="W2459" t="s">
        <v>546</v>
      </c>
      <c r="X2459" s="784">
        <v>2355391507.1635861</v>
      </c>
    </row>
    <row r="2460" spans="1:24">
      <c r="A2460" t="s">
        <v>358</v>
      </c>
      <c r="B2460" t="s">
        <v>625</v>
      </c>
      <c r="C2460" t="s">
        <v>229</v>
      </c>
      <c r="D2460" t="s">
        <v>128</v>
      </c>
      <c r="E2460" t="s">
        <v>377</v>
      </c>
      <c r="F2460" t="s">
        <v>384</v>
      </c>
      <c r="G2460" t="s">
        <v>335</v>
      </c>
      <c r="H2460" t="s">
        <v>749</v>
      </c>
      <c r="I2460">
        <v>2021</v>
      </c>
      <c r="J2460" t="s">
        <v>379</v>
      </c>
      <c r="K2460" t="s">
        <v>546</v>
      </c>
      <c r="L2460" s="784" t="s">
        <v>575</v>
      </c>
      <c r="M2460" t="s">
        <v>745</v>
      </c>
      <c r="N2460" s="784" t="s">
        <v>575</v>
      </c>
      <c r="O2460" t="s">
        <v>737</v>
      </c>
      <c r="P2460" t="s">
        <v>750</v>
      </c>
      <c r="R2460" t="s">
        <v>150</v>
      </c>
      <c r="S2460" t="s">
        <v>145</v>
      </c>
      <c r="U2460">
        <v>0</v>
      </c>
      <c r="V2460" t="s">
        <v>544</v>
      </c>
      <c r="W2460" t="s">
        <v>562</v>
      </c>
      <c r="X2460" s="784">
        <v>152760919.7684873</v>
      </c>
    </row>
    <row r="2461" spans="1:24">
      <c r="A2461" t="s">
        <v>358</v>
      </c>
      <c r="B2461" t="s">
        <v>626</v>
      </c>
      <c r="C2461" t="s">
        <v>230</v>
      </c>
      <c r="D2461" t="s">
        <v>129</v>
      </c>
      <c r="E2461" t="s">
        <v>377</v>
      </c>
      <c r="F2461" t="s">
        <v>384</v>
      </c>
      <c r="G2461" t="s">
        <v>335</v>
      </c>
      <c r="H2461" t="s">
        <v>749</v>
      </c>
      <c r="I2461">
        <v>2021</v>
      </c>
      <c r="J2461" t="s">
        <v>379</v>
      </c>
      <c r="K2461" t="s">
        <v>546</v>
      </c>
      <c r="L2461" s="784" t="s">
        <v>575</v>
      </c>
      <c r="M2461" t="s">
        <v>745</v>
      </c>
      <c r="N2461" s="784" t="s">
        <v>575</v>
      </c>
      <c r="O2461" t="s">
        <v>737</v>
      </c>
      <c r="P2461" t="s">
        <v>750</v>
      </c>
      <c r="R2461" t="s">
        <v>148</v>
      </c>
      <c r="S2461" t="s">
        <v>145</v>
      </c>
      <c r="U2461">
        <v>0</v>
      </c>
      <c r="V2461" t="s">
        <v>544</v>
      </c>
      <c r="W2461" t="s">
        <v>542</v>
      </c>
      <c r="X2461" s="784">
        <v>55072006.864440605</v>
      </c>
    </row>
    <row r="2462" spans="1:24">
      <c r="A2462" t="s">
        <v>358</v>
      </c>
      <c r="B2462" t="s">
        <v>627</v>
      </c>
      <c r="C2462" t="s">
        <v>231</v>
      </c>
      <c r="D2462" t="s">
        <v>131</v>
      </c>
      <c r="E2462" t="s">
        <v>377</v>
      </c>
      <c r="F2462" t="s">
        <v>384</v>
      </c>
      <c r="G2462" t="s">
        <v>335</v>
      </c>
      <c r="H2462" t="s">
        <v>749</v>
      </c>
      <c r="I2462">
        <v>2021</v>
      </c>
      <c r="J2462" t="s">
        <v>379</v>
      </c>
      <c r="K2462" t="s">
        <v>546</v>
      </c>
      <c r="L2462" s="784" t="s">
        <v>575</v>
      </c>
      <c r="M2462" t="s">
        <v>745</v>
      </c>
      <c r="N2462" s="784" t="s">
        <v>575</v>
      </c>
      <c r="O2462" t="s">
        <v>737</v>
      </c>
      <c r="P2462" t="s">
        <v>750</v>
      </c>
      <c r="R2462" t="s">
        <v>152</v>
      </c>
      <c r="S2462" t="s">
        <v>146</v>
      </c>
      <c r="U2462">
        <v>0</v>
      </c>
      <c r="V2462" t="s">
        <v>544</v>
      </c>
      <c r="W2462" t="s">
        <v>546</v>
      </c>
      <c r="X2462" s="784" t="s">
        <v>575</v>
      </c>
    </row>
    <row r="2463" spans="1:24">
      <c r="A2463" t="s">
        <v>358</v>
      </c>
      <c r="B2463" t="s">
        <v>628</v>
      </c>
      <c r="C2463" t="s">
        <v>232</v>
      </c>
      <c r="D2463" t="s">
        <v>128</v>
      </c>
      <c r="E2463" t="s">
        <v>377</v>
      </c>
      <c r="F2463" t="s">
        <v>384</v>
      </c>
      <c r="G2463" t="s">
        <v>335</v>
      </c>
      <c r="H2463" t="s">
        <v>749</v>
      </c>
      <c r="I2463">
        <v>2021</v>
      </c>
      <c r="J2463" t="s">
        <v>379</v>
      </c>
      <c r="K2463" t="s">
        <v>546</v>
      </c>
      <c r="L2463" s="784" t="s">
        <v>575</v>
      </c>
      <c r="M2463" t="s">
        <v>745</v>
      </c>
      <c r="N2463" s="784" t="s">
        <v>575</v>
      </c>
      <c r="O2463" t="s">
        <v>737</v>
      </c>
      <c r="P2463" t="s">
        <v>750</v>
      </c>
      <c r="R2463" t="s">
        <v>148</v>
      </c>
      <c r="S2463" t="s">
        <v>145</v>
      </c>
      <c r="U2463">
        <v>2</v>
      </c>
      <c r="V2463" t="s">
        <v>544</v>
      </c>
      <c r="W2463" t="s">
        <v>562</v>
      </c>
      <c r="X2463" s="784">
        <v>206914157.05429548</v>
      </c>
    </row>
    <row r="2464" spans="1:24">
      <c r="A2464" t="s">
        <v>358</v>
      </c>
      <c r="B2464" t="s">
        <v>629</v>
      </c>
      <c r="C2464" t="s">
        <v>233</v>
      </c>
      <c r="D2464" t="s">
        <v>128</v>
      </c>
      <c r="E2464" t="s">
        <v>377</v>
      </c>
      <c r="F2464" t="s">
        <v>384</v>
      </c>
      <c r="G2464" t="s">
        <v>335</v>
      </c>
      <c r="H2464" t="s">
        <v>749</v>
      </c>
      <c r="I2464">
        <v>2021</v>
      </c>
      <c r="J2464" t="s">
        <v>379</v>
      </c>
      <c r="K2464" t="s">
        <v>546</v>
      </c>
      <c r="L2464" s="784" t="s">
        <v>575</v>
      </c>
      <c r="M2464" t="s">
        <v>745</v>
      </c>
      <c r="N2464" s="784" t="s">
        <v>575</v>
      </c>
      <c r="O2464" t="s">
        <v>737</v>
      </c>
      <c r="P2464" t="s">
        <v>750</v>
      </c>
      <c r="R2464" t="s">
        <v>148</v>
      </c>
      <c r="S2464" t="s">
        <v>145</v>
      </c>
      <c r="U2464">
        <v>2</v>
      </c>
      <c r="V2464" t="s">
        <v>544</v>
      </c>
      <c r="W2464" t="s">
        <v>542</v>
      </c>
      <c r="X2464" s="784">
        <v>185999915.02066413</v>
      </c>
    </row>
    <row r="2465" spans="1:24">
      <c r="A2465" t="s">
        <v>358</v>
      </c>
      <c r="B2465" t="s">
        <v>630</v>
      </c>
      <c r="C2465" t="s">
        <v>234</v>
      </c>
      <c r="D2465" t="s">
        <v>126</v>
      </c>
      <c r="E2465" t="s">
        <v>377</v>
      </c>
      <c r="F2465" t="s">
        <v>384</v>
      </c>
      <c r="G2465" t="s">
        <v>335</v>
      </c>
      <c r="H2465" t="s">
        <v>749</v>
      </c>
      <c r="I2465">
        <v>2021</v>
      </c>
      <c r="J2465" t="s">
        <v>379</v>
      </c>
      <c r="K2465" t="s">
        <v>546</v>
      </c>
      <c r="L2465" s="784">
        <v>128581</v>
      </c>
      <c r="M2465" t="s">
        <v>745</v>
      </c>
      <c r="N2465" s="784" t="s">
        <v>575</v>
      </c>
      <c r="O2465" t="s">
        <v>737</v>
      </c>
      <c r="P2465" t="s">
        <v>750</v>
      </c>
      <c r="R2465" t="s">
        <v>152</v>
      </c>
      <c r="S2465" t="s">
        <v>146</v>
      </c>
      <c r="U2465">
        <v>0</v>
      </c>
      <c r="V2465" t="s">
        <v>544</v>
      </c>
      <c r="W2465" t="s">
        <v>575</v>
      </c>
      <c r="X2465" s="784">
        <v>6893755763.2501726</v>
      </c>
    </row>
    <row r="2466" spans="1:24">
      <c r="A2466" t="s">
        <v>358</v>
      </c>
      <c r="B2466" t="s">
        <v>631</v>
      </c>
      <c r="C2466" t="s">
        <v>235</v>
      </c>
      <c r="D2466" t="s">
        <v>132</v>
      </c>
      <c r="E2466" t="s">
        <v>377</v>
      </c>
      <c r="F2466" t="s">
        <v>384</v>
      </c>
      <c r="G2466" t="s">
        <v>335</v>
      </c>
      <c r="H2466" t="s">
        <v>749</v>
      </c>
      <c r="I2466">
        <v>2021</v>
      </c>
      <c r="J2466" t="s">
        <v>379</v>
      </c>
      <c r="K2466" t="s">
        <v>546</v>
      </c>
      <c r="L2466" s="784" t="s">
        <v>575</v>
      </c>
      <c r="M2466" t="s">
        <v>745</v>
      </c>
      <c r="N2466" s="784" t="s">
        <v>575</v>
      </c>
      <c r="O2466" t="s">
        <v>737</v>
      </c>
      <c r="P2466" t="s">
        <v>750</v>
      </c>
      <c r="R2466" t="s">
        <v>152</v>
      </c>
      <c r="S2466" t="s">
        <v>145</v>
      </c>
      <c r="U2466">
        <v>0</v>
      </c>
      <c r="V2466" t="s">
        <v>541</v>
      </c>
      <c r="W2466" t="s">
        <v>542</v>
      </c>
      <c r="X2466" s="784">
        <v>354560231.58276606</v>
      </c>
    </row>
    <row r="2467" spans="1:24">
      <c r="A2467" t="s">
        <v>358</v>
      </c>
      <c r="B2467" t="s">
        <v>632</v>
      </c>
      <c r="C2467" t="s">
        <v>236</v>
      </c>
      <c r="D2467" t="s">
        <v>129</v>
      </c>
      <c r="E2467" t="s">
        <v>377</v>
      </c>
      <c r="F2467" t="s">
        <v>384</v>
      </c>
      <c r="G2467" t="s">
        <v>335</v>
      </c>
      <c r="H2467" t="s">
        <v>749</v>
      </c>
      <c r="I2467">
        <v>2021</v>
      </c>
      <c r="J2467" t="s">
        <v>379</v>
      </c>
      <c r="K2467" t="s">
        <v>546</v>
      </c>
      <c r="L2467" s="784" t="s">
        <v>575</v>
      </c>
      <c r="M2467" t="s">
        <v>745</v>
      </c>
      <c r="N2467" s="784" t="s">
        <v>575</v>
      </c>
      <c r="O2467" t="s">
        <v>737</v>
      </c>
      <c r="P2467" t="s">
        <v>750</v>
      </c>
      <c r="R2467" t="s">
        <v>148</v>
      </c>
      <c r="S2467" t="s">
        <v>145</v>
      </c>
      <c r="U2467">
        <v>1</v>
      </c>
      <c r="V2467" t="s">
        <v>544</v>
      </c>
      <c r="W2467" t="s">
        <v>562</v>
      </c>
      <c r="X2467" s="784">
        <v>188169167.56540567</v>
      </c>
    </row>
    <row r="2468" spans="1:24">
      <c r="A2468" t="s">
        <v>358</v>
      </c>
      <c r="B2468" t="s">
        <v>633</v>
      </c>
      <c r="C2468" t="s">
        <v>237</v>
      </c>
      <c r="D2468" t="s">
        <v>126</v>
      </c>
      <c r="E2468" t="s">
        <v>377</v>
      </c>
      <c r="F2468" t="s">
        <v>384</v>
      </c>
      <c r="G2468" t="s">
        <v>335</v>
      </c>
      <c r="H2468" t="s">
        <v>749</v>
      </c>
      <c r="I2468">
        <v>2021</v>
      </c>
      <c r="J2468" t="s">
        <v>379</v>
      </c>
      <c r="K2468" t="s">
        <v>546</v>
      </c>
      <c r="L2468" s="784" t="s">
        <v>575</v>
      </c>
      <c r="M2468" t="s">
        <v>745</v>
      </c>
      <c r="N2468" s="784" t="s">
        <v>575</v>
      </c>
      <c r="O2468" t="s">
        <v>737</v>
      </c>
      <c r="P2468" t="s">
        <v>750</v>
      </c>
      <c r="R2468" t="s">
        <v>152</v>
      </c>
      <c r="S2468" t="s">
        <v>145</v>
      </c>
      <c r="U2468">
        <v>0</v>
      </c>
      <c r="V2468" t="s">
        <v>541</v>
      </c>
      <c r="W2468" t="s">
        <v>575</v>
      </c>
      <c r="X2468" s="784">
        <v>16312106.556340856</v>
      </c>
    </row>
    <row r="2469" spans="1:24">
      <c r="A2469" t="s">
        <v>358</v>
      </c>
      <c r="B2469" t="s">
        <v>634</v>
      </c>
      <c r="C2469" t="s">
        <v>238</v>
      </c>
      <c r="D2469" t="s">
        <v>129</v>
      </c>
      <c r="E2469" t="s">
        <v>377</v>
      </c>
      <c r="F2469" t="s">
        <v>384</v>
      </c>
      <c r="G2469" t="s">
        <v>335</v>
      </c>
      <c r="H2469" t="s">
        <v>749</v>
      </c>
      <c r="I2469">
        <v>2021</v>
      </c>
      <c r="J2469" t="s">
        <v>379</v>
      </c>
      <c r="K2469" t="s">
        <v>546</v>
      </c>
      <c r="L2469" s="784" t="s">
        <v>575</v>
      </c>
      <c r="M2469" t="s">
        <v>745</v>
      </c>
      <c r="N2469" s="784" t="s">
        <v>575</v>
      </c>
      <c r="O2469" t="s">
        <v>737</v>
      </c>
      <c r="P2469" t="s">
        <v>750</v>
      </c>
      <c r="R2469" t="s">
        <v>150</v>
      </c>
      <c r="S2469" t="s">
        <v>145</v>
      </c>
      <c r="U2469">
        <v>2</v>
      </c>
      <c r="V2469" t="s">
        <v>544</v>
      </c>
      <c r="W2469" t="s">
        <v>542</v>
      </c>
      <c r="X2469" s="784">
        <v>86083833.534053758</v>
      </c>
    </row>
    <row r="2470" spans="1:24">
      <c r="A2470" t="s">
        <v>358</v>
      </c>
      <c r="B2470" t="s">
        <v>635</v>
      </c>
      <c r="C2470" t="s">
        <v>239</v>
      </c>
      <c r="D2470" t="s">
        <v>128</v>
      </c>
      <c r="E2470" t="s">
        <v>377</v>
      </c>
      <c r="F2470" t="s">
        <v>384</v>
      </c>
      <c r="G2470" t="s">
        <v>335</v>
      </c>
      <c r="H2470" t="s">
        <v>749</v>
      </c>
      <c r="I2470">
        <v>2021</v>
      </c>
      <c r="J2470" t="s">
        <v>379</v>
      </c>
      <c r="K2470" t="s">
        <v>546</v>
      </c>
      <c r="L2470" s="784" t="s">
        <v>575</v>
      </c>
      <c r="M2470" t="s">
        <v>745</v>
      </c>
      <c r="N2470" s="784" t="s">
        <v>575</v>
      </c>
      <c r="O2470" t="s">
        <v>737</v>
      </c>
      <c r="P2470" t="s">
        <v>750</v>
      </c>
      <c r="R2470" t="s">
        <v>152</v>
      </c>
      <c r="S2470" t="s">
        <v>146</v>
      </c>
      <c r="U2470">
        <v>0</v>
      </c>
      <c r="V2470" t="s">
        <v>541</v>
      </c>
      <c r="W2470" t="s">
        <v>546</v>
      </c>
      <c r="X2470" s="784">
        <v>357220835.93762809</v>
      </c>
    </row>
    <row r="2471" spans="1:24">
      <c r="A2471" t="s">
        <v>358</v>
      </c>
      <c r="B2471" t="s">
        <v>636</v>
      </c>
      <c r="C2471" t="s">
        <v>240</v>
      </c>
      <c r="D2471" t="s">
        <v>130</v>
      </c>
      <c r="E2471" t="s">
        <v>377</v>
      </c>
      <c r="F2471" t="s">
        <v>384</v>
      </c>
      <c r="G2471" t="s">
        <v>335</v>
      </c>
      <c r="H2471" t="s">
        <v>749</v>
      </c>
      <c r="I2471">
        <v>2021</v>
      </c>
      <c r="J2471" t="s">
        <v>379</v>
      </c>
      <c r="K2471" t="s">
        <v>546</v>
      </c>
      <c r="L2471" s="784" t="s">
        <v>575</v>
      </c>
      <c r="M2471" t="s">
        <v>745</v>
      </c>
      <c r="N2471" s="784" t="s">
        <v>575</v>
      </c>
      <c r="O2471" t="s">
        <v>737</v>
      </c>
      <c r="P2471" t="s">
        <v>750</v>
      </c>
      <c r="R2471" t="s">
        <v>152</v>
      </c>
      <c r="S2471" t="s">
        <v>146</v>
      </c>
      <c r="U2471">
        <v>0</v>
      </c>
      <c r="V2471" t="s">
        <v>544</v>
      </c>
      <c r="W2471" t="s">
        <v>575</v>
      </c>
      <c r="X2471" s="784">
        <v>32831598153.796387</v>
      </c>
    </row>
    <row r="2472" spans="1:24">
      <c r="A2472" t="s">
        <v>358</v>
      </c>
      <c r="B2472" t="s">
        <v>637</v>
      </c>
      <c r="C2472" t="s">
        <v>241</v>
      </c>
      <c r="D2472" t="s">
        <v>126</v>
      </c>
      <c r="E2472" t="s">
        <v>377</v>
      </c>
      <c r="F2472" t="s">
        <v>384</v>
      </c>
      <c r="G2472" t="s">
        <v>335</v>
      </c>
      <c r="H2472" t="s">
        <v>749</v>
      </c>
      <c r="I2472">
        <v>2021</v>
      </c>
      <c r="J2472" t="s">
        <v>379</v>
      </c>
      <c r="K2472" t="s">
        <v>546</v>
      </c>
      <c r="L2472" s="784" t="s">
        <v>575</v>
      </c>
      <c r="M2472" t="s">
        <v>745</v>
      </c>
      <c r="N2472" s="784" t="s">
        <v>575</v>
      </c>
      <c r="O2472" t="s">
        <v>737</v>
      </c>
      <c r="P2472" t="s">
        <v>750</v>
      </c>
      <c r="R2472" t="s">
        <v>150</v>
      </c>
      <c r="S2472" t="s">
        <v>145</v>
      </c>
      <c r="U2472">
        <v>0</v>
      </c>
      <c r="V2472" t="s">
        <v>541</v>
      </c>
      <c r="W2472" t="s">
        <v>542</v>
      </c>
      <c r="X2472" s="784">
        <v>12329056.093798399</v>
      </c>
    </row>
    <row r="2473" spans="1:24">
      <c r="A2473" t="s">
        <v>358</v>
      </c>
      <c r="B2473" t="s">
        <v>638</v>
      </c>
      <c r="C2473" t="s">
        <v>242</v>
      </c>
      <c r="D2473" t="s">
        <v>127</v>
      </c>
      <c r="E2473" t="s">
        <v>377</v>
      </c>
      <c r="F2473" t="s">
        <v>384</v>
      </c>
      <c r="G2473" t="s">
        <v>335</v>
      </c>
      <c r="H2473" t="s">
        <v>749</v>
      </c>
      <c r="I2473">
        <v>2021</v>
      </c>
      <c r="J2473" t="s">
        <v>379</v>
      </c>
      <c r="K2473" t="s">
        <v>546</v>
      </c>
      <c r="L2473" s="784" t="s">
        <v>575</v>
      </c>
      <c r="M2473" t="s">
        <v>745</v>
      </c>
      <c r="N2473" s="784" t="s">
        <v>575</v>
      </c>
      <c r="O2473" t="s">
        <v>737</v>
      </c>
      <c r="P2473" t="s">
        <v>750</v>
      </c>
      <c r="R2473" t="s">
        <v>152</v>
      </c>
      <c r="S2473" t="s">
        <v>145</v>
      </c>
      <c r="U2473">
        <v>0</v>
      </c>
      <c r="V2473" t="s">
        <v>544</v>
      </c>
      <c r="W2473" t="s">
        <v>558</v>
      </c>
      <c r="X2473" s="784">
        <v>426639742.85328001</v>
      </c>
    </row>
    <row r="2474" spans="1:24">
      <c r="A2474" t="s">
        <v>358</v>
      </c>
      <c r="B2474" t="s">
        <v>639</v>
      </c>
      <c r="C2474" t="s">
        <v>243</v>
      </c>
      <c r="D2474" t="s">
        <v>126</v>
      </c>
      <c r="E2474" t="s">
        <v>377</v>
      </c>
      <c r="F2474" t="s">
        <v>384</v>
      </c>
      <c r="G2474" t="s">
        <v>335</v>
      </c>
      <c r="H2474" t="s">
        <v>749</v>
      </c>
      <c r="I2474">
        <v>2021</v>
      </c>
      <c r="J2474" t="s">
        <v>379</v>
      </c>
      <c r="K2474" t="s">
        <v>546</v>
      </c>
      <c r="L2474" s="784" t="s">
        <v>575</v>
      </c>
      <c r="M2474" t="s">
        <v>745</v>
      </c>
      <c r="N2474" s="784" t="s">
        <v>575</v>
      </c>
      <c r="O2474" t="s">
        <v>737</v>
      </c>
      <c r="P2474" t="s">
        <v>750</v>
      </c>
      <c r="R2474" t="s">
        <v>150</v>
      </c>
      <c r="S2474" t="s">
        <v>145</v>
      </c>
      <c r="U2474">
        <v>0</v>
      </c>
      <c r="V2474" t="s">
        <v>544</v>
      </c>
      <c r="W2474" t="s">
        <v>548</v>
      </c>
      <c r="X2474" s="784">
        <v>288519671.85870522</v>
      </c>
    </row>
    <row r="2475" spans="1:24">
      <c r="A2475" t="s">
        <v>358</v>
      </c>
      <c r="B2475" t="s">
        <v>640</v>
      </c>
      <c r="C2475" t="s">
        <v>244</v>
      </c>
      <c r="D2475" t="s">
        <v>127</v>
      </c>
      <c r="E2475" t="s">
        <v>377</v>
      </c>
      <c r="F2475" t="s">
        <v>384</v>
      </c>
      <c r="G2475" t="s">
        <v>335</v>
      </c>
      <c r="H2475" t="s">
        <v>749</v>
      </c>
      <c r="I2475">
        <v>2021</v>
      </c>
      <c r="J2475" t="s">
        <v>379</v>
      </c>
      <c r="K2475" t="s">
        <v>546</v>
      </c>
      <c r="L2475" s="784" t="s">
        <v>575</v>
      </c>
      <c r="M2475" t="s">
        <v>745</v>
      </c>
      <c r="N2475" s="784" t="s">
        <v>575</v>
      </c>
      <c r="O2475" t="s">
        <v>737</v>
      </c>
      <c r="P2475" t="s">
        <v>750</v>
      </c>
      <c r="R2475" t="s">
        <v>152</v>
      </c>
      <c r="S2475" t="s">
        <v>146</v>
      </c>
      <c r="U2475">
        <v>0</v>
      </c>
      <c r="V2475" t="s">
        <v>544</v>
      </c>
      <c r="W2475" t="s">
        <v>546</v>
      </c>
      <c r="X2475" s="784">
        <v>275606560.78491527</v>
      </c>
    </row>
    <row r="2476" spans="1:24">
      <c r="A2476" t="s">
        <v>358</v>
      </c>
      <c r="B2476" t="s">
        <v>641</v>
      </c>
      <c r="C2476" t="s">
        <v>245</v>
      </c>
      <c r="D2476" t="s">
        <v>131</v>
      </c>
      <c r="E2476" t="s">
        <v>377</v>
      </c>
      <c r="F2476" t="s">
        <v>384</v>
      </c>
      <c r="G2476" t="s">
        <v>335</v>
      </c>
      <c r="H2476" t="s">
        <v>749</v>
      </c>
      <c r="I2476">
        <v>2021</v>
      </c>
      <c r="J2476" t="s">
        <v>379</v>
      </c>
      <c r="K2476" t="s">
        <v>546</v>
      </c>
      <c r="L2476" s="784" t="s">
        <v>575</v>
      </c>
      <c r="M2476" t="s">
        <v>745</v>
      </c>
      <c r="N2476" s="784" t="s">
        <v>575</v>
      </c>
      <c r="O2476" t="s">
        <v>737</v>
      </c>
      <c r="P2476" t="s">
        <v>750</v>
      </c>
      <c r="R2476" t="s">
        <v>150</v>
      </c>
      <c r="S2476" t="s">
        <v>145</v>
      </c>
      <c r="U2476">
        <v>0</v>
      </c>
      <c r="V2476" t="s">
        <v>544</v>
      </c>
      <c r="W2476" t="s">
        <v>546</v>
      </c>
      <c r="X2476" s="784">
        <v>2530937679.3725696</v>
      </c>
    </row>
    <row r="2477" spans="1:24">
      <c r="A2477" t="s">
        <v>358</v>
      </c>
      <c r="B2477" t="s">
        <v>642</v>
      </c>
      <c r="C2477" t="s">
        <v>246</v>
      </c>
      <c r="D2477" t="s">
        <v>128</v>
      </c>
      <c r="E2477" t="s">
        <v>377</v>
      </c>
      <c r="F2477" t="s">
        <v>384</v>
      </c>
      <c r="G2477" t="s">
        <v>335</v>
      </c>
      <c r="H2477" t="s">
        <v>749</v>
      </c>
      <c r="I2477">
        <v>2021</v>
      </c>
      <c r="J2477" t="s">
        <v>379</v>
      </c>
      <c r="K2477" t="s">
        <v>546</v>
      </c>
      <c r="L2477" s="784" t="s">
        <v>575</v>
      </c>
      <c r="M2477" t="s">
        <v>745</v>
      </c>
      <c r="N2477" s="784" t="s">
        <v>575</v>
      </c>
      <c r="O2477" t="s">
        <v>737</v>
      </c>
      <c r="P2477" t="s">
        <v>750</v>
      </c>
      <c r="R2477" t="s">
        <v>148</v>
      </c>
      <c r="S2477" t="s">
        <v>145</v>
      </c>
      <c r="U2477">
        <v>0</v>
      </c>
      <c r="V2477" t="s">
        <v>544</v>
      </c>
      <c r="W2477" t="s">
        <v>583</v>
      </c>
      <c r="X2477" s="784">
        <v>251432156.86255455</v>
      </c>
    </row>
    <row r="2478" spans="1:24">
      <c r="A2478" t="s">
        <v>358</v>
      </c>
      <c r="B2478" t="s">
        <v>643</v>
      </c>
      <c r="C2478" t="s">
        <v>247</v>
      </c>
      <c r="D2478" t="s">
        <v>126</v>
      </c>
      <c r="E2478" t="s">
        <v>377</v>
      </c>
      <c r="F2478" t="s">
        <v>384</v>
      </c>
      <c r="G2478" t="s">
        <v>335</v>
      </c>
      <c r="H2478" t="s">
        <v>749</v>
      </c>
      <c r="I2478">
        <v>2021</v>
      </c>
      <c r="J2478" t="s">
        <v>379</v>
      </c>
      <c r="K2478" t="s">
        <v>546</v>
      </c>
      <c r="L2478" s="784">
        <v>0</v>
      </c>
      <c r="M2478" t="s">
        <v>745</v>
      </c>
      <c r="N2478" s="784" t="s">
        <v>575</v>
      </c>
      <c r="O2478" t="s">
        <v>737</v>
      </c>
      <c r="P2478" t="s">
        <v>750</v>
      </c>
      <c r="R2478" t="s">
        <v>150</v>
      </c>
      <c r="S2478" t="s">
        <v>145</v>
      </c>
      <c r="U2478">
        <v>0</v>
      </c>
      <c r="V2478" t="s">
        <v>544</v>
      </c>
      <c r="W2478" t="s">
        <v>558</v>
      </c>
      <c r="X2478" s="784">
        <v>471534500.60109437</v>
      </c>
    </row>
    <row r="2479" spans="1:24">
      <c r="A2479" t="s">
        <v>358</v>
      </c>
      <c r="B2479" t="s">
        <v>644</v>
      </c>
      <c r="C2479" t="s">
        <v>248</v>
      </c>
      <c r="D2479" t="s">
        <v>128</v>
      </c>
      <c r="E2479" t="s">
        <v>377</v>
      </c>
      <c r="F2479" t="s">
        <v>384</v>
      </c>
      <c r="G2479" t="s">
        <v>335</v>
      </c>
      <c r="H2479" t="s">
        <v>749</v>
      </c>
      <c r="I2479">
        <v>2021</v>
      </c>
      <c r="J2479" t="s">
        <v>379</v>
      </c>
      <c r="K2479" t="s">
        <v>546</v>
      </c>
      <c r="L2479" s="784" t="s">
        <v>575</v>
      </c>
      <c r="M2479" t="s">
        <v>745</v>
      </c>
      <c r="N2479" s="784" t="s">
        <v>575</v>
      </c>
      <c r="O2479" t="s">
        <v>737</v>
      </c>
      <c r="P2479" t="s">
        <v>750</v>
      </c>
      <c r="R2479" t="s">
        <v>152</v>
      </c>
      <c r="S2479" t="s">
        <v>146</v>
      </c>
      <c r="U2479">
        <v>0</v>
      </c>
      <c r="V2479" t="s">
        <v>544</v>
      </c>
      <c r="W2479" t="s">
        <v>575</v>
      </c>
      <c r="X2479" s="784">
        <v>531677611.80447447</v>
      </c>
    </row>
    <row r="2480" spans="1:24">
      <c r="A2480" t="s">
        <v>358</v>
      </c>
      <c r="B2480" t="s">
        <v>645</v>
      </c>
      <c r="C2480" t="s">
        <v>249</v>
      </c>
      <c r="D2480" t="s">
        <v>126</v>
      </c>
      <c r="E2480" t="s">
        <v>377</v>
      </c>
      <c r="F2480" t="s">
        <v>384</v>
      </c>
      <c r="G2480" t="s">
        <v>335</v>
      </c>
      <c r="H2480" t="s">
        <v>749</v>
      </c>
      <c r="I2480">
        <v>2021</v>
      </c>
      <c r="J2480" t="s">
        <v>379</v>
      </c>
      <c r="K2480" t="s">
        <v>546</v>
      </c>
      <c r="L2480" s="784">
        <v>0</v>
      </c>
      <c r="M2480" t="s">
        <v>745</v>
      </c>
      <c r="N2480" s="784" t="s">
        <v>575</v>
      </c>
      <c r="O2480" t="s">
        <v>737</v>
      </c>
      <c r="P2480" t="s">
        <v>750</v>
      </c>
      <c r="R2480" t="s">
        <v>550</v>
      </c>
      <c r="S2480" t="s">
        <v>146</v>
      </c>
      <c r="U2480">
        <v>0</v>
      </c>
      <c r="V2480" t="s">
        <v>541</v>
      </c>
      <c r="W2480" t="s">
        <v>575</v>
      </c>
      <c r="X2480" s="784">
        <v>8528751.6418357007</v>
      </c>
    </row>
    <row r="2481" spans="1:24">
      <c r="A2481" t="s">
        <v>358</v>
      </c>
      <c r="B2481" t="s">
        <v>646</v>
      </c>
      <c r="C2481" t="s">
        <v>250</v>
      </c>
      <c r="D2481" t="s">
        <v>132</v>
      </c>
      <c r="E2481" t="s">
        <v>377</v>
      </c>
      <c r="F2481" t="s">
        <v>384</v>
      </c>
      <c r="G2481" t="s">
        <v>335</v>
      </c>
      <c r="H2481" t="s">
        <v>749</v>
      </c>
      <c r="I2481">
        <v>2021</v>
      </c>
      <c r="J2481" t="s">
        <v>379</v>
      </c>
      <c r="K2481" t="s">
        <v>546</v>
      </c>
      <c r="L2481" s="784" t="s">
        <v>575</v>
      </c>
      <c r="M2481" t="s">
        <v>745</v>
      </c>
      <c r="N2481" s="784" t="s">
        <v>575</v>
      </c>
      <c r="O2481" t="s">
        <v>737</v>
      </c>
      <c r="P2481" t="s">
        <v>750</v>
      </c>
      <c r="R2481" t="s">
        <v>150</v>
      </c>
      <c r="S2481" t="s">
        <v>145</v>
      </c>
      <c r="U2481">
        <v>0</v>
      </c>
      <c r="V2481" t="s">
        <v>544</v>
      </c>
      <c r="W2481" t="s">
        <v>558</v>
      </c>
      <c r="X2481" s="784">
        <v>407084543.19089872</v>
      </c>
    </row>
    <row r="2482" spans="1:24">
      <c r="A2482" t="s">
        <v>358</v>
      </c>
      <c r="B2482" t="s">
        <v>647</v>
      </c>
      <c r="C2482" t="s">
        <v>251</v>
      </c>
      <c r="D2482" t="s">
        <v>130</v>
      </c>
      <c r="E2482" t="s">
        <v>377</v>
      </c>
      <c r="F2482" t="s">
        <v>384</v>
      </c>
      <c r="G2482" t="s">
        <v>335</v>
      </c>
      <c r="H2482" t="s">
        <v>749</v>
      </c>
      <c r="I2482">
        <v>2021</v>
      </c>
      <c r="J2482" t="s">
        <v>379</v>
      </c>
      <c r="K2482" t="s">
        <v>546</v>
      </c>
      <c r="L2482" s="784" t="s">
        <v>575</v>
      </c>
      <c r="M2482" t="s">
        <v>745</v>
      </c>
      <c r="N2482" s="784" t="s">
        <v>575</v>
      </c>
      <c r="O2482" t="s">
        <v>737</v>
      </c>
      <c r="P2482" t="s">
        <v>750</v>
      </c>
      <c r="R2482" t="s">
        <v>150</v>
      </c>
      <c r="S2482" t="s">
        <v>145</v>
      </c>
      <c r="U2482">
        <v>0</v>
      </c>
      <c r="V2482" t="s">
        <v>544</v>
      </c>
      <c r="W2482" t="s">
        <v>562</v>
      </c>
      <c r="X2482" s="784">
        <v>671998341.93592453</v>
      </c>
    </row>
    <row r="2483" spans="1:24">
      <c r="A2483" t="s">
        <v>358</v>
      </c>
      <c r="B2483" t="s">
        <v>648</v>
      </c>
      <c r="C2483" t="s">
        <v>252</v>
      </c>
      <c r="D2483" t="s">
        <v>129</v>
      </c>
      <c r="E2483" t="s">
        <v>377</v>
      </c>
      <c r="F2483" t="s">
        <v>384</v>
      </c>
      <c r="G2483" t="s">
        <v>335</v>
      </c>
      <c r="H2483" t="s">
        <v>749</v>
      </c>
      <c r="I2483">
        <v>2021</v>
      </c>
      <c r="J2483" t="s">
        <v>379</v>
      </c>
      <c r="K2483" t="s">
        <v>546</v>
      </c>
      <c r="L2483" s="784" t="s">
        <v>575</v>
      </c>
      <c r="M2483" t="s">
        <v>745</v>
      </c>
      <c r="N2483" s="784" t="s">
        <v>575</v>
      </c>
      <c r="O2483" t="s">
        <v>737</v>
      </c>
      <c r="P2483" t="s">
        <v>750</v>
      </c>
      <c r="R2483" t="s">
        <v>148</v>
      </c>
      <c r="S2483" t="s">
        <v>145</v>
      </c>
      <c r="U2483">
        <v>1</v>
      </c>
      <c r="V2483" t="s">
        <v>544</v>
      </c>
      <c r="W2483" t="s">
        <v>562</v>
      </c>
      <c r="X2483" s="784">
        <v>226203289.67158964</v>
      </c>
    </row>
    <row r="2484" spans="1:24">
      <c r="A2484" t="s">
        <v>358</v>
      </c>
      <c r="B2484" t="s">
        <v>649</v>
      </c>
      <c r="C2484" t="s">
        <v>253</v>
      </c>
      <c r="D2484" t="s">
        <v>129</v>
      </c>
      <c r="E2484" t="s">
        <v>377</v>
      </c>
      <c r="F2484" t="s">
        <v>384</v>
      </c>
      <c r="G2484" t="s">
        <v>335</v>
      </c>
      <c r="H2484" t="s">
        <v>749</v>
      </c>
      <c r="I2484">
        <v>2021</v>
      </c>
      <c r="J2484" t="s">
        <v>379</v>
      </c>
      <c r="K2484" t="s">
        <v>546</v>
      </c>
      <c r="L2484" s="784" t="s">
        <v>575</v>
      </c>
      <c r="M2484" t="s">
        <v>745</v>
      </c>
      <c r="N2484" s="784" t="s">
        <v>575</v>
      </c>
      <c r="O2484" t="s">
        <v>737</v>
      </c>
      <c r="P2484" t="s">
        <v>750</v>
      </c>
      <c r="R2484" t="s">
        <v>150</v>
      </c>
      <c r="S2484" t="s">
        <v>145</v>
      </c>
      <c r="U2484">
        <v>3</v>
      </c>
      <c r="V2484" t="s">
        <v>544</v>
      </c>
      <c r="W2484" t="s">
        <v>548</v>
      </c>
      <c r="X2484" s="784">
        <v>2438881113.1244688</v>
      </c>
    </row>
    <row r="2485" spans="1:24">
      <c r="A2485" t="s">
        <v>358</v>
      </c>
      <c r="B2485" t="s">
        <v>650</v>
      </c>
      <c r="C2485" t="s">
        <v>254</v>
      </c>
      <c r="D2485" t="s">
        <v>127</v>
      </c>
      <c r="E2485" t="s">
        <v>377</v>
      </c>
      <c r="F2485" t="s">
        <v>384</v>
      </c>
      <c r="G2485" t="s">
        <v>335</v>
      </c>
      <c r="H2485" t="s">
        <v>749</v>
      </c>
      <c r="I2485">
        <v>2021</v>
      </c>
      <c r="J2485" t="s">
        <v>379</v>
      </c>
      <c r="K2485" t="s">
        <v>546</v>
      </c>
      <c r="L2485" s="784" t="s">
        <v>575</v>
      </c>
      <c r="M2485" t="s">
        <v>745</v>
      </c>
      <c r="N2485" s="784" t="s">
        <v>575</v>
      </c>
      <c r="O2485" t="s">
        <v>737</v>
      </c>
      <c r="P2485" t="s">
        <v>750</v>
      </c>
      <c r="R2485" t="s">
        <v>152</v>
      </c>
      <c r="S2485" t="s">
        <v>146</v>
      </c>
      <c r="U2485">
        <v>0</v>
      </c>
      <c r="V2485" t="s">
        <v>544</v>
      </c>
      <c r="W2485" t="s">
        <v>575</v>
      </c>
      <c r="X2485" s="784">
        <v>476517795.73174149</v>
      </c>
    </row>
    <row r="2486" spans="1:24">
      <c r="A2486" t="s">
        <v>358</v>
      </c>
      <c r="B2486" t="s">
        <v>651</v>
      </c>
      <c r="C2486" t="s">
        <v>255</v>
      </c>
      <c r="D2486" t="s">
        <v>132</v>
      </c>
      <c r="E2486" t="s">
        <v>377</v>
      </c>
      <c r="F2486" t="s">
        <v>384</v>
      </c>
      <c r="G2486" t="s">
        <v>335</v>
      </c>
      <c r="H2486" t="s">
        <v>749</v>
      </c>
      <c r="I2486">
        <v>2021</v>
      </c>
      <c r="J2486" t="s">
        <v>379</v>
      </c>
      <c r="K2486" t="s">
        <v>546</v>
      </c>
      <c r="L2486" s="784" t="s">
        <v>575</v>
      </c>
      <c r="M2486" t="s">
        <v>745</v>
      </c>
      <c r="N2486" s="784" t="s">
        <v>575</v>
      </c>
      <c r="O2486" t="s">
        <v>737</v>
      </c>
      <c r="P2486" t="s">
        <v>750</v>
      </c>
      <c r="R2486" t="s">
        <v>150</v>
      </c>
      <c r="S2486" t="s">
        <v>145</v>
      </c>
      <c r="U2486">
        <v>0</v>
      </c>
      <c r="V2486" t="s">
        <v>544</v>
      </c>
      <c r="W2486" t="s">
        <v>548</v>
      </c>
      <c r="X2486" s="784">
        <v>3233351297.7679496</v>
      </c>
    </row>
    <row r="2487" spans="1:24">
      <c r="A2487" t="s">
        <v>358</v>
      </c>
      <c r="B2487" t="s">
        <v>652</v>
      </c>
      <c r="C2487" t="s">
        <v>256</v>
      </c>
      <c r="D2487" t="s">
        <v>130</v>
      </c>
      <c r="E2487" t="s">
        <v>377</v>
      </c>
      <c r="F2487" t="s">
        <v>384</v>
      </c>
      <c r="G2487" t="s">
        <v>335</v>
      </c>
      <c r="H2487" t="s">
        <v>749</v>
      </c>
      <c r="I2487">
        <v>2021</v>
      </c>
      <c r="J2487" t="s">
        <v>379</v>
      </c>
      <c r="K2487" t="s">
        <v>546</v>
      </c>
      <c r="L2487" s="784" t="s">
        <v>575</v>
      </c>
      <c r="M2487" t="s">
        <v>745</v>
      </c>
      <c r="N2487" s="784" t="s">
        <v>575</v>
      </c>
      <c r="O2487" t="s">
        <v>737</v>
      </c>
      <c r="P2487" t="s">
        <v>750</v>
      </c>
      <c r="R2487" t="s">
        <v>550</v>
      </c>
      <c r="S2487" t="s">
        <v>146</v>
      </c>
      <c r="U2487">
        <v>0</v>
      </c>
      <c r="V2487" t="s">
        <v>541</v>
      </c>
      <c r="W2487" t="s">
        <v>575</v>
      </c>
      <c r="X2487" s="784">
        <v>18180646.808608256</v>
      </c>
    </row>
    <row r="2488" spans="1:24">
      <c r="A2488" t="s">
        <v>358</v>
      </c>
      <c r="B2488" t="s">
        <v>653</v>
      </c>
      <c r="C2488" t="s">
        <v>257</v>
      </c>
      <c r="D2488" t="s">
        <v>130</v>
      </c>
      <c r="E2488" t="s">
        <v>377</v>
      </c>
      <c r="F2488" t="s">
        <v>384</v>
      </c>
      <c r="G2488" t="s">
        <v>335</v>
      </c>
      <c r="H2488" t="s">
        <v>749</v>
      </c>
      <c r="I2488">
        <v>2021</v>
      </c>
      <c r="J2488" t="s">
        <v>379</v>
      </c>
      <c r="K2488" t="s">
        <v>546</v>
      </c>
      <c r="L2488" s="784" t="s">
        <v>575</v>
      </c>
      <c r="M2488" t="s">
        <v>745</v>
      </c>
      <c r="N2488" s="784" t="s">
        <v>575</v>
      </c>
      <c r="O2488" t="s">
        <v>737</v>
      </c>
      <c r="P2488" t="s">
        <v>750</v>
      </c>
      <c r="R2488" t="s">
        <v>152</v>
      </c>
      <c r="S2488" t="s">
        <v>146</v>
      </c>
      <c r="U2488">
        <v>0</v>
      </c>
      <c r="V2488" t="s">
        <v>544</v>
      </c>
      <c r="W2488" t="s">
        <v>546</v>
      </c>
      <c r="X2488" s="784">
        <v>3020530707.3485303</v>
      </c>
    </row>
    <row r="2489" spans="1:24">
      <c r="A2489" t="s">
        <v>358</v>
      </c>
      <c r="B2489" t="s">
        <v>654</v>
      </c>
      <c r="C2489" t="s">
        <v>258</v>
      </c>
      <c r="D2489" t="s">
        <v>126</v>
      </c>
      <c r="E2489" t="s">
        <v>377</v>
      </c>
      <c r="F2489" t="s">
        <v>384</v>
      </c>
      <c r="G2489" t="s">
        <v>335</v>
      </c>
      <c r="H2489" t="s">
        <v>749</v>
      </c>
      <c r="I2489">
        <v>2021</v>
      </c>
      <c r="J2489" t="s">
        <v>379</v>
      </c>
      <c r="K2489" t="s">
        <v>546</v>
      </c>
      <c r="L2489" s="784">
        <v>0</v>
      </c>
      <c r="M2489" t="s">
        <v>745</v>
      </c>
      <c r="N2489" s="784" t="s">
        <v>575</v>
      </c>
      <c r="O2489" t="s">
        <v>737</v>
      </c>
      <c r="P2489" t="s">
        <v>750</v>
      </c>
      <c r="R2489" t="s">
        <v>150</v>
      </c>
      <c r="S2489" t="s">
        <v>145</v>
      </c>
      <c r="U2489">
        <v>1</v>
      </c>
      <c r="V2489" t="s">
        <v>541</v>
      </c>
      <c r="W2489" t="s">
        <v>542</v>
      </c>
      <c r="X2489" s="784">
        <v>384406316.46074712</v>
      </c>
    </row>
    <row r="2490" spans="1:24">
      <c r="A2490" t="s">
        <v>358</v>
      </c>
      <c r="B2490" t="s">
        <v>655</v>
      </c>
      <c r="C2490" t="s">
        <v>259</v>
      </c>
      <c r="D2490" t="s">
        <v>130</v>
      </c>
      <c r="E2490" t="s">
        <v>377</v>
      </c>
      <c r="F2490" t="s">
        <v>384</v>
      </c>
      <c r="G2490" t="s">
        <v>335</v>
      </c>
      <c r="H2490" t="s">
        <v>749</v>
      </c>
      <c r="I2490">
        <v>2021</v>
      </c>
      <c r="J2490" t="s">
        <v>379</v>
      </c>
      <c r="K2490" t="s">
        <v>546</v>
      </c>
      <c r="L2490" s="784" t="s">
        <v>575</v>
      </c>
      <c r="M2490" t="s">
        <v>745</v>
      </c>
      <c r="N2490" s="784" t="s">
        <v>575</v>
      </c>
      <c r="O2490" t="s">
        <v>737</v>
      </c>
      <c r="P2490" t="s">
        <v>750</v>
      </c>
      <c r="R2490" t="s">
        <v>152</v>
      </c>
      <c r="S2490" t="s">
        <v>146</v>
      </c>
      <c r="U2490">
        <v>0</v>
      </c>
      <c r="V2490" t="s">
        <v>544</v>
      </c>
      <c r="W2490" t="s">
        <v>575</v>
      </c>
      <c r="X2490" s="784">
        <v>1218747108.9554784</v>
      </c>
    </row>
    <row r="2491" spans="1:24">
      <c r="A2491" t="s">
        <v>358</v>
      </c>
      <c r="B2491" t="s">
        <v>656</v>
      </c>
      <c r="C2491" t="s">
        <v>260</v>
      </c>
      <c r="D2491" t="s">
        <v>130</v>
      </c>
      <c r="E2491" t="s">
        <v>377</v>
      </c>
      <c r="F2491" t="s">
        <v>384</v>
      </c>
      <c r="G2491" t="s">
        <v>335</v>
      </c>
      <c r="H2491" t="s">
        <v>749</v>
      </c>
      <c r="I2491">
        <v>2021</v>
      </c>
      <c r="J2491" t="s">
        <v>379</v>
      </c>
      <c r="K2491" t="s">
        <v>546</v>
      </c>
      <c r="L2491" s="784" t="s">
        <v>575</v>
      </c>
      <c r="M2491" t="s">
        <v>745</v>
      </c>
      <c r="N2491" s="784" t="s">
        <v>575</v>
      </c>
      <c r="O2491" t="s">
        <v>737</v>
      </c>
      <c r="P2491" t="s">
        <v>750</v>
      </c>
      <c r="R2491" t="s">
        <v>152</v>
      </c>
      <c r="S2491" t="s">
        <v>146</v>
      </c>
      <c r="U2491">
        <v>0</v>
      </c>
      <c r="V2491" t="s">
        <v>544</v>
      </c>
      <c r="W2491" t="s">
        <v>575</v>
      </c>
      <c r="X2491" s="784">
        <v>7392665952.5895758</v>
      </c>
    </row>
    <row r="2492" spans="1:24">
      <c r="A2492" t="s">
        <v>358</v>
      </c>
      <c r="B2492" t="s">
        <v>657</v>
      </c>
      <c r="C2492" t="s">
        <v>261</v>
      </c>
      <c r="D2492" t="s">
        <v>126</v>
      </c>
      <c r="E2492" t="s">
        <v>377</v>
      </c>
      <c r="F2492" t="s">
        <v>384</v>
      </c>
      <c r="G2492" t="s">
        <v>335</v>
      </c>
      <c r="H2492" t="s">
        <v>749</v>
      </c>
      <c r="I2492">
        <v>2021</v>
      </c>
      <c r="J2492" t="s">
        <v>379</v>
      </c>
      <c r="K2492" t="s">
        <v>546</v>
      </c>
      <c r="L2492" s="784">
        <v>0</v>
      </c>
      <c r="M2492" t="s">
        <v>745</v>
      </c>
      <c r="N2492" s="784" t="s">
        <v>575</v>
      </c>
      <c r="O2492" t="s">
        <v>737</v>
      </c>
      <c r="P2492" t="s">
        <v>750</v>
      </c>
      <c r="R2492" t="s">
        <v>150</v>
      </c>
      <c r="S2492" t="s">
        <v>145</v>
      </c>
      <c r="U2492">
        <v>0</v>
      </c>
      <c r="V2492" t="s">
        <v>544</v>
      </c>
      <c r="W2492" t="s">
        <v>546</v>
      </c>
      <c r="X2492" s="784">
        <v>4754985988.6004429</v>
      </c>
    </row>
    <row r="2493" spans="1:24">
      <c r="A2493" t="s">
        <v>358</v>
      </c>
      <c r="B2493" t="s">
        <v>658</v>
      </c>
      <c r="C2493" t="s">
        <v>262</v>
      </c>
      <c r="D2493" t="s">
        <v>127</v>
      </c>
      <c r="E2493" t="s">
        <v>377</v>
      </c>
      <c r="F2493" t="s">
        <v>384</v>
      </c>
      <c r="G2493" t="s">
        <v>335</v>
      </c>
      <c r="H2493" t="s">
        <v>749</v>
      </c>
      <c r="I2493">
        <v>2021</v>
      </c>
      <c r="J2493" t="s">
        <v>379</v>
      </c>
      <c r="K2493" t="s">
        <v>546</v>
      </c>
      <c r="L2493" s="784" t="s">
        <v>575</v>
      </c>
      <c r="M2493" t="s">
        <v>745</v>
      </c>
      <c r="N2493" s="784" t="s">
        <v>575</v>
      </c>
      <c r="O2493" t="s">
        <v>737</v>
      </c>
      <c r="P2493" t="s">
        <v>750</v>
      </c>
      <c r="R2493" t="s">
        <v>550</v>
      </c>
      <c r="S2493" t="s">
        <v>146</v>
      </c>
      <c r="U2493">
        <v>0</v>
      </c>
      <c r="V2493" t="s">
        <v>544</v>
      </c>
      <c r="W2493" t="s">
        <v>575</v>
      </c>
      <c r="X2493" s="784">
        <v>26422210443.037273</v>
      </c>
    </row>
    <row r="2494" spans="1:24">
      <c r="A2494" t="s">
        <v>358</v>
      </c>
      <c r="B2494" t="s">
        <v>659</v>
      </c>
      <c r="C2494" t="s">
        <v>151</v>
      </c>
      <c r="D2494" t="s">
        <v>127</v>
      </c>
      <c r="E2494" t="s">
        <v>377</v>
      </c>
      <c r="F2494" t="s">
        <v>384</v>
      </c>
      <c r="G2494" t="s">
        <v>335</v>
      </c>
      <c r="H2494" t="s">
        <v>749</v>
      </c>
      <c r="I2494">
        <v>2021</v>
      </c>
      <c r="J2494" t="s">
        <v>379</v>
      </c>
      <c r="K2494" t="s">
        <v>546</v>
      </c>
      <c r="L2494" s="784" t="s">
        <v>575</v>
      </c>
      <c r="M2494" t="s">
        <v>745</v>
      </c>
      <c r="N2494" s="784" t="s">
        <v>575</v>
      </c>
      <c r="O2494" t="s">
        <v>737</v>
      </c>
      <c r="P2494" t="s">
        <v>750</v>
      </c>
      <c r="R2494" t="s">
        <v>152</v>
      </c>
      <c r="S2494" t="s">
        <v>146</v>
      </c>
      <c r="U2494">
        <v>0</v>
      </c>
      <c r="V2494" t="s">
        <v>544</v>
      </c>
      <c r="W2494" t="s">
        <v>575</v>
      </c>
      <c r="X2494" s="784">
        <v>10696495313.15033</v>
      </c>
    </row>
    <row r="2495" spans="1:24">
      <c r="A2495" t="s">
        <v>358</v>
      </c>
      <c r="B2495" t="s">
        <v>660</v>
      </c>
      <c r="C2495" t="s">
        <v>263</v>
      </c>
      <c r="D2495" t="s">
        <v>127</v>
      </c>
      <c r="E2495" t="s">
        <v>377</v>
      </c>
      <c r="F2495" t="s">
        <v>384</v>
      </c>
      <c r="G2495" t="s">
        <v>335</v>
      </c>
      <c r="H2495" t="s">
        <v>749</v>
      </c>
      <c r="I2495">
        <v>2021</v>
      </c>
      <c r="J2495" t="s">
        <v>379</v>
      </c>
      <c r="K2495" t="s">
        <v>546</v>
      </c>
      <c r="L2495" s="784" t="s">
        <v>575</v>
      </c>
      <c r="M2495" t="s">
        <v>745</v>
      </c>
      <c r="N2495" s="784" t="s">
        <v>575</v>
      </c>
      <c r="O2495" t="s">
        <v>737</v>
      </c>
      <c r="P2495" t="s">
        <v>750</v>
      </c>
      <c r="R2495" t="s">
        <v>152</v>
      </c>
      <c r="S2495" t="s">
        <v>146</v>
      </c>
      <c r="U2495">
        <v>0</v>
      </c>
      <c r="V2495" t="s">
        <v>544</v>
      </c>
      <c r="W2495" t="s">
        <v>575</v>
      </c>
      <c r="X2495" s="784">
        <v>52769713433.240509</v>
      </c>
    </row>
    <row r="2496" spans="1:24">
      <c r="A2496" t="s">
        <v>358</v>
      </c>
      <c r="B2496" t="s">
        <v>661</v>
      </c>
      <c r="C2496" t="s">
        <v>264</v>
      </c>
      <c r="D2496" t="s">
        <v>128</v>
      </c>
      <c r="E2496" t="s">
        <v>377</v>
      </c>
      <c r="F2496" t="s">
        <v>384</v>
      </c>
      <c r="G2496" t="s">
        <v>335</v>
      </c>
      <c r="H2496" t="s">
        <v>749</v>
      </c>
      <c r="I2496">
        <v>2021</v>
      </c>
      <c r="J2496" t="s">
        <v>379</v>
      </c>
      <c r="K2496" t="s">
        <v>546</v>
      </c>
      <c r="L2496" s="784" t="s">
        <v>575</v>
      </c>
      <c r="M2496" t="s">
        <v>745</v>
      </c>
      <c r="N2496" s="784" t="s">
        <v>575</v>
      </c>
      <c r="O2496" t="s">
        <v>737</v>
      </c>
      <c r="P2496" t="s">
        <v>750</v>
      </c>
      <c r="R2496" t="s">
        <v>148</v>
      </c>
      <c r="S2496" t="s">
        <v>145</v>
      </c>
      <c r="U2496">
        <v>0</v>
      </c>
      <c r="V2496" t="s">
        <v>544</v>
      </c>
      <c r="W2496" t="s">
        <v>562</v>
      </c>
      <c r="X2496" s="784">
        <v>225799814.51943746</v>
      </c>
    </row>
    <row r="2497" spans="1:24">
      <c r="A2497" t="s">
        <v>358</v>
      </c>
      <c r="B2497" t="s">
        <v>662</v>
      </c>
      <c r="C2497" t="s">
        <v>265</v>
      </c>
      <c r="D2497" t="s">
        <v>126</v>
      </c>
      <c r="E2497" t="s">
        <v>377</v>
      </c>
      <c r="F2497" t="s">
        <v>384</v>
      </c>
      <c r="G2497" t="s">
        <v>335</v>
      </c>
      <c r="H2497" t="s">
        <v>749</v>
      </c>
      <c r="I2497">
        <v>2021</v>
      </c>
      <c r="J2497" t="s">
        <v>379</v>
      </c>
      <c r="K2497" t="s">
        <v>546</v>
      </c>
      <c r="L2497" s="784">
        <v>0</v>
      </c>
      <c r="M2497" t="s">
        <v>745</v>
      </c>
      <c r="N2497" s="784" t="s">
        <v>575</v>
      </c>
      <c r="O2497" t="s">
        <v>737</v>
      </c>
      <c r="P2497" t="s">
        <v>750</v>
      </c>
      <c r="R2497" t="s">
        <v>150</v>
      </c>
      <c r="S2497" t="s">
        <v>145</v>
      </c>
      <c r="U2497">
        <v>0</v>
      </c>
      <c r="V2497" t="s">
        <v>541</v>
      </c>
      <c r="W2497" t="s">
        <v>542</v>
      </c>
      <c r="X2497" s="784">
        <v>32192988.027009469</v>
      </c>
    </row>
    <row r="2498" spans="1:24">
      <c r="A2498" t="s">
        <v>358</v>
      </c>
      <c r="B2498" t="s">
        <v>663</v>
      </c>
      <c r="C2498" t="s">
        <v>266</v>
      </c>
      <c r="D2498" t="s">
        <v>129</v>
      </c>
      <c r="E2498" t="s">
        <v>377</v>
      </c>
      <c r="F2498" t="s">
        <v>384</v>
      </c>
      <c r="G2498" t="s">
        <v>335</v>
      </c>
      <c r="H2498" t="s">
        <v>749</v>
      </c>
      <c r="I2498">
        <v>2021</v>
      </c>
      <c r="J2498" t="s">
        <v>379</v>
      </c>
      <c r="K2498" t="s">
        <v>546</v>
      </c>
      <c r="L2498" s="784" t="s">
        <v>575</v>
      </c>
      <c r="M2498" t="s">
        <v>745</v>
      </c>
      <c r="N2498" s="784" t="s">
        <v>575</v>
      </c>
      <c r="O2498" t="s">
        <v>737</v>
      </c>
      <c r="P2498" t="s">
        <v>750</v>
      </c>
      <c r="R2498" t="s">
        <v>150</v>
      </c>
      <c r="S2498" t="s">
        <v>145</v>
      </c>
      <c r="U2498">
        <v>0</v>
      </c>
      <c r="V2498" t="s">
        <v>541</v>
      </c>
      <c r="W2498" t="s">
        <v>583</v>
      </c>
      <c r="X2498" s="784">
        <v>11633535.136477679</v>
      </c>
    </row>
    <row r="2499" spans="1:24">
      <c r="A2499" t="s">
        <v>358</v>
      </c>
      <c r="B2499" t="s">
        <v>664</v>
      </c>
      <c r="C2499" t="s">
        <v>267</v>
      </c>
      <c r="D2499" t="s">
        <v>129</v>
      </c>
      <c r="E2499" t="s">
        <v>377</v>
      </c>
      <c r="F2499" t="s">
        <v>384</v>
      </c>
      <c r="G2499" t="s">
        <v>335</v>
      </c>
      <c r="H2499" t="s">
        <v>749</v>
      </c>
      <c r="I2499">
        <v>2021</v>
      </c>
      <c r="J2499" t="s">
        <v>379</v>
      </c>
      <c r="K2499" t="s">
        <v>546</v>
      </c>
      <c r="L2499" s="784" t="s">
        <v>575</v>
      </c>
      <c r="M2499" t="s">
        <v>745</v>
      </c>
      <c r="N2499" s="784" t="s">
        <v>575</v>
      </c>
      <c r="O2499" t="s">
        <v>737</v>
      </c>
      <c r="P2499" t="s">
        <v>750</v>
      </c>
      <c r="R2499" t="s">
        <v>150</v>
      </c>
      <c r="S2499" t="s">
        <v>145</v>
      </c>
      <c r="U2499">
        <v>2</v>
      </c>
      <c r="V2499" t="s">
        <v>544</v>
      </c>
      <c r="W2499" t="s">
        <v>562</v>
      </c>
      <c r="X2499" s="784">
        <v>222008693.93354639</v>
      </c>
    </row>
    <row r="2500" spans="1:24">
      <c r="A2500" t="s">
        <v>358</v>
      </c>
      <c r="B2500" t="s">
        <v>665</v>
      </c>
      <c r="C2500" t="s">
        <v>153</v>
      </c>
      <c r="D2500" t="s">
        <v>127</v>
      </c>
      <c r="E2500" t="s">
        <v>377</v>
      </c>
      <c r="F2500" t="s">
        <v>384</v>
      </c>
      <c r="G2500" t="s">
        <v>335</v>
      </c>
      <c r="H2500" t="s">
        <v>749</v>
      </c>
      <c r="I2500">
        <v>2021</v>
      </c>
      <c r="J2500" t="s">
        <v>379</v>
      </c>
      <c r="K2500" t="s">
        <v>546</v>
      </c>
      <c r="L2500" s="784" t="s">
        <v>575</v>
      </c>
      <c r="M2500" t="s">
        <v>745</v>
      </c>
      <c r="N2500" s="784" t="s">
        <v>575</v>
      </c>
      <c r="O2500" t="s">
        <v>737</v>
      </c>
      <c r="P2500" t="s">
        <v>750</v>
      </c>
      <c r="R2500" t="s">
        <v>152</v>
      </c>
      <c r="S2500" t="s">
        <v>146</v>
      </c>
      <c r="U2500">
        <v>0</v>
      </c>
      <c r="V2500" t="s">
        <v>544</v>
      </c>
      <c r="W2500" t="s">
        <v>575</v>
      </c>
      <c r="X2500" s="784">
        <v>2564993795.1894679</v>
      </c>
    </row>
    <row r="2501" spans="1:24">
      <c r="A2501" t="s">
        <v>358</v>
      </c>
      <c r="B2501" t="s">
        <v>666</v>
      </c>
      <c r="C2501" t="s">
        <v>268</v>
      </c>
      <c r="D2501" t="s">
        <v>128</v>
      </c>
      <c r="E2501" t="s">
        <v>377</v>
      </c>
      <c r="F2501" t="s">
        <v>384</v>
      </c>
      <c r="G2501" t="s">
        <v>335</v>
      </c>
      <c r="H2501" t="s">
        <v>749</v>
      </c>
      <c r="I2501">
        <v>2021</v>
      </c>
      <c r="J2501" t="s">
        <v>379</v>
      </c>
      <c r="K2501" t="s">
        <v>546</v>
      </c>
      <c r="L2501" s="784" t="s">
        <v>575</v>
      </c>
      <c r="M2501" t="s">
        <v>745</v>
      </c>
      <c r="N2501" s="784" t="s">
        <v>575</v>
      </c>
      <c r="O2501" t="s">
        <v>737</v>
      </c>
      <c r="P2501" t="s">
        <v>750</v>
      </c>
      <c r="R2501" t="s">
        <v>550</v>
      </c>
      <c r="S2501" t="s">
        <v>146</v>
      </c>
      <c r="U2501">
        <v>0</v>
      </c>
      <c r="V2501" t="s">
        <v>541</v>
      </c>
      <c r="W2501" t="s">
        <v>546</v>
      </c>
      <c r="X2501" s="784">
        <v>60237542.945069775</v>
      </c>
    </row>
    <row r="2502" spans="1:24">
      <c r="A2502" t="s">
        <v>358</v>
      </c>
      <c r="B2502" t="s">
        <v>667</v>
      </c>
      <c r="C2502" t="s">
        <v>269</v>
      </c>
      <c r="D2502" t="s">
        <v>129</v>
      </c>
      <c r="E2502" t="s">
        <v>377</v>
      </c>
      <c r="F2502" t="s">
        <v>384</v>
      </c>
      <c r="G2502" t="s">
        <v>335</v>
      </c>
      <c r="H2502" t="s">
        <v>749</v>
      </c>
      <c r="I2502">
        <v>2021</v>
      </c>
      <c r="J2502" t="s">
        <v>379</v>
      </c>
      <c r="K2502" t="s">
        <v>546</v>
      </c>
      <c r="L2502" s="784" t="s">
        <v>575</v>
      </c>
      <c r="M2502" t="s">
        <v>745</v>
      </c>
      <c r="N2502" s="784" t="s">
        <v>575</v>
      </c>
      <c r="O2502" t="s">
        <v>737</v>
      </c>
      <c r="P2502" t="s">
        <v>750</v>
      </c>
      <c r="R2502" t="s">
        <v>148</v>
      </c>
      <c r="S2502" t="s">
        <v>145</v>
      </c>
      <c r="U2502">
        <v>0</v>
      </c>
      <c r="V2502" t="s">
        <v>544</v>
      </c>
      <c r="W2502" t="s">
        <v>542</v>
      </c>
      <c r="X2502" s="784">
        <v>63738640.538260505</v>
      </c>
    </row>
    <row r="2503" spans="1:24">
      <c r="A2503" t="s">
        <v>358</v>
      </c>
      <c r="B2503" t="s">
        <v>668</v>
      </c>
      <c r="C2503" t="s">
        <v>270</v>
      </c>
      <c r="D2503" t="s">
        <v>126</v>
      </c>
      <c r="E2503" t="s">
        <v>377</v>
      </c>
      <c r="F2503" t="s">
        <v>384</v>
      </c>
      <c r="G2503" t="s">
        <v>335</v>
      </c>
      <c r="H2503" t="s">
        <v>749</v>
      </c>
      <c r="I2503">
        <v>2021</v>
      </c>
      <c r="J2503" t="s">
        <v>379</v>
      </c>
      <c r="K2503" t="s">
        <v>546</v>
      </c>
      <c r="L2503" s="784">
        <v>0</v>
      </c>
      <c r="M2503" t="s">
        <v>745</v>
      </c>
      <c r="N2503" s="784" t="s">
        <v>575</v>
      </c>
      <c r="O2503" t="s">
        <v>737</v>
      </c>
      <c r="P2503" t="s">
        <v>750</v>
      </c>
      <c r="R2503" t="s">
        <v>150</v>
      </c>
      <c r="S2503" t="s">
        <v>145</v>
      </c>
      <c r="U2503">
        <v>0</v>
      </c>
      <c r="V2503" t="s">
        <v>541</v>
      </c>
      <c r="W2503" t="s">
        <v>562</v>
      </c>
      <c r="X2503" s="784">
        <v>49012774.055630356</v>
      </c>
    </row>
    <row r="2504" spans="1:24">
      <c r="A2504" t="s">
        <v>358</v>
      </c>
      <c r="B2504" t="s">
        <v>669</v>
      </c>
      <c r="C2504" t="s">
        <v>271</v>
      </c>
      <c r="D2504" t="s">
        <v>128</v>
      </c>
      <c r="E2504" t="s">
        <v>377</v>
      </c>
      <c r="F2504" t="s">
        <v>384</v>
      </c>
      <c r="G2504" t="s">
        <v>335</v>
      </c>
      <c r="H2504" t="s">
        <v>749</v>
      </c>
      <c r="I2504">
        <v>2021</v>
      </c>
      <c r="J2504" t="s">
        <v>379</v>
      </c>
      <c r="K2504" t="s">
        <v>546</v>
      </c>
      <c r="L2504" s="784" t="s">
        <v>575</v>
      </c>
      <c r="M2504" t="s">
        <v>745</v>
      </c>
      <c r="N2504" s="784" t="s">
        <v>575</v>
      </c>
      <c r="O2504" t="s">
        <v>737</v>
      </c>
      <c r="P2504" t="s">
        <v>750</v>
      </c>
      <c r="R2504" t="s">
        <v>148</v>
      </c>
      <c r="S2504" t="s">
        <v>145</v>
      </c>
      <c r="U2504">
        <v>1</v>
      </c>
      <c r="V2504" t="s">
        <v>544</v>
      </c>
      <c r="W2504" t="s">
        <v>583</v>
      </c>
      <c r="X2504" s="784" t="s">
        <v>575</v>
      </c>
    </row>
    <row r="2505" spans="1:24">
      <c r="A2505" t="s">
        <v>358</v>
      </c>
      <c r="B2505" t="s">
        <v>670</v>
      </c>
      <c r="C2505" t="s">
        <v>272</v>
      </c>
      <c r="D2505" t="s">
        <v>128</v>
      </c>
      <c r="E2505" t="s">
        <v>377</v>
      </c>
      <c r="F2505" t="s">
        <v>384</v>
      </c>
      <c r="G2505" t="s">
        <v>335</v>
      </c>
      <c r="H2505" t="s">
        <v>749</v>
      </c>
      <c r="I2505">
        <v>2021</v>
      </c>
      <c r="J2505" t="s">
        <v>379</v>
      </c>
      <c r="K2505" t="s">
        <v>546</v>
      </c>
      <c r="L2505" s="784" t="s">
        <v>575</v>
      </c>
      <c r="M2505" t="s">
        <v>745</v>
      </c>
      <c r="N2505" s="784" t="s">
        <v>575</v>
      </c>
      <c r="O2505" t="s">
        <v>737</v>
      </c>
      <c r="P2505" t="s">
        <v>750</v>
      </c>
      <c r="R2505" t="s">
        <v>152</v>
      </c>
      <c r="S2505" t="s">
        <v>146</v>
      </c>
      <c r="U2505">
        <v>0</v>
      </c>
      <c r="V2505" t="s">
        <v>544</v>
      </c>
      <c r="W2505" t="s">
        <v>546</v>
      </c>
      <c r="X2505" s="784">
        <v>16429121142.784708</v>
      </c>
    </row>
    <row r="2506" spans="1:24">
      <c r="A2506" t="s">
        <v>358</v>
      </c>
      <c r="B2506" t="s">
        <v>671</v>
      </c>
      <c r="C2506" t="s">
        <v>273</v>
      </c>
      <c r="D2506" t="s">
        <v>128</v>
      </c>
      <c r="E2506" t="s">
        <v>377</v>
      </c>
      <c r="F2506" t="s">
        <v>384</v>
      </c>
      <c r="G2506" t="s">
        <v>335</v>
      </c>
      <c r="H2506" t="s">
        <v>749</v>
      </c>
      <c r="I2506">
        <v>2021</v>
      </c>
      <c r="J2506" t="s">
        <v>379</v>
      </c>
      <c r="K2506" t="s">
        <v>546</v>
      </c>
      <c r="L2506" s="784" t="s">
        <v>575</v>
      </c>
      <c r="M2506" t="s">
        <v>745</v>
      </c>
      <c r="N2506" s="784" t="s">
        <v>575</v>
      </c>
      <c r="O2506" t="s">
        <v>737</v>
      </c>
      <c r="P2506" t="s">
        <v>750</v>
      </c>
      <c r="R2506" t="s">
        <v>148</v>
      </c>
      <c r="S2506" t="s">
        <v>145</v>
      </c>
      <c r="U2506">
        <v>1</v>
      </c>
      <c r="V2506" t="s">
        <v>544</v>
      </c>
      <c r="W2506" t="s">
        <v>542</v>
      </c>
      <c r="X2506" s="784">
        <v>31684581.76217727</v>
      </c>
    </row>
    <row r="2507" spans="1:24">
      <c r="A2507" t="s">
        <v>358</v>
      </c>
      <c r="B2507" t="s">
        <v>672</v>
      </c>
      <c r="C2507" t="s">
        <v>274</v>
      </c>
      <c r="D2507" t="s">
        <v>132</v>
      </c>
      <c r="E2507" t="s">
        <v>377</v>
      </c>
      <c r="F2507" t="s">
        <v>384</v>
      </c>
      <c r="G2507" t="s">
        <v>335</v>
      </c>
      <c r="H2507" t="s">
        <v>749</v>
      </c>
      <c r="I2507">
        <v>2021</v>
      </c>
      <c r="J2507" t="s">
        <v>379</v>
      </c>
      <c r="K2507" t="s">
        <v>546</v>
      </c>
      <c r="L2507" s="784" t="s">
        <v>575</v>
      </c>
      <c r="M2507" t="s">
        <v>745</v>
      </c>
      <c r="N2507" s="784" t="s">
        <v>575</v>
      </c>
      <c r="O2507" t="s">
        <v>737</v>
      </c>
      <c r="P2507" t="s">
        <v>750</v>
      </c>
      <c r="R2507" t="s">
        <v>150</v>
      </c>
      <c r="S2507" t="s">
        <v>145</v>
      </c>
      <c r="U2507">
        <v>0</v>
      </c>
      <c r="V2507" t="s">
        <v>544</v>
      </c>
      <c r="W2507" t="s">
        <v>546</v>
      </c>
      <c r="X2507" s="784">
        <v>1373621563.5182886</v>
      </c>
    </row>
    <row r="2508" spans="1:24">
      <c r="A2508" t="s">
        <v>358</v>
      </c>
      <c r="B2508" t="s">
        <v>673</v>
      </c>
      <c r="C2508" t="s">
        <v>275</v>
      </c>
      <c r="D2508" t="s">
        <v>130</v>
      </c>
      <c r="E2508" t="s">
        <v>377</v>
      </c>
      <c r="F2508" t="s">
        <v>384</v>
      </c>
      <c r="G2508" t="s">
        <v>335</v>
      </c>
      <c r="H2508" t="s">
        <v>749</v>
      </c>
      <c r="I2508">
        <v>2021</v>
      </c>
      <c r="J2508" t="s">
        <v>379</v>
      </c>
      <c r="K2508" t="s">
        <v>546</v>
      </c>
      <c r="L2508" s="784" t="s">
        <v>575</v>
      </c>
      <c r="M2508" t="s">
        <v>745</v>
      </c>
      <c r="N2508" s="784" t="s">
        <v>575</v>
      </c>
      <c r="O2508" t="s">
        <v>737</v>
      </c>
      <c r="P2508" t="s">
        <v>750</v>
      </c>
      <c r="R2508" t="s">
        <v>550</v>
      </c>
      <c r="S2508" t="s">
        <v>146</v>
      </c>
      <c r="U2508">
        <v>0</v>
      </c>
      <c r="V2508" t="s">
        <v>541</v>
      </c>
      <c r="W2508" t="s">
        <v>575</v>
      </c>
      <c r="X2508" s="784">
        <v>24214370.889062837</v>
      </c>
    </row>
    <row r="2509" spans="1:24">
      <c r="A2509" t="s">
        <v>358</v>
      </c>
      <c r="B2509" t="s">
        <v>674</v>
      </c>
      <c r="C2509" t="s">
        <v>154</v>
      </c>
      <c r="D2509" t="s">
        <v>130</v>
      </c>
      <c r="E2509" t="s">
        <v>377</v>
      </c>
      <c r="F2509" t="s">
        <v>384</v>
      </c>
      <c r="G2509" t="s">
        <v>335</v>
      </c>
      <c r="H2509" t="s">
        <v>749</v>
      </c>
      <c r="I2509">
        <v>2021</v>
      </c>
      <c r="J2509" t="s">
        <v>379</v>
      </c>
      <c r="K2509" t="s">
        <v>546</v>
      </c>
      <c r="L2509" s="784" t="s">
        <v>575</v>
      </c>
      <c r="M2509" t="s">
        <v>745</v>
      </c>
      <c r="N2509" s="784" t="s">
        <v>575</v>
      </c>
      <c r="O2509" t="s">
        <v>737</v>
      </c>
      <c r="P2509" t="s">
        <v>750</v>
      </c>
      <c r="R2509" t="s">
        <v>152</v>
      </c>
      <c r="S2509" t="s">
        <v>145</v>
      </c>
      <c r="U2509">
        <v>0</v>
      </c>
      <c r="V2509" t="s">
        <v>541</v>
      </c>
      <c r="W2509" t="s">
        <v>548</v>
      </c>
      <c r="X2509" s="784">
        <v>39941279.609447442</v>
      </c>
    </row>
    <row r="2510" spans="1:24">
      <c r="A2510" t="s">
        <v>358</v>
      </c>
      <c r="B2510" t="s">
        <v>675</v>
      </c>
      <c r="C2510" t="s">
        <v>155</v>
      </c>
      <c r="D2510" t="s">
        <v>130</v>
      </c>
      <c r="E2510" t="s">
        <v>377</v>
      </c>
      <c r="F2510" t="s">
        <v>384</v>
      </c>
      <c r="G2510" t="s">
        <v>335</v>
      </c>
      <c r="H2510" t="s">
        <v>749</v>
      </c>
      <c r="I2510">
        <v>2021</v>
      </c>
      <c r="J2510" t="s">
        <v>379</v>
      </c>
      <c r="K2510" t="s">
        <v>546</v>
      </c>
      <c r="L2510" s="784" t="s">
        <v>575</v>
      </c>
      <c r="M2510" t="s">
        <v>745</v>
      </c>
      <c r="N2510" s="784" t="s">
        <v>575</v>
      </c>
      <c r="O2510" t="s">
        <v>737</v>
      </c>
      <c r="P2510" t="s">
        <v>750</v>
      </c>
      <c r="R2510" t="s">
        <v>152</v>
      </c>
      <c r="S2510" t="s">
        <v>145</v>
      </c>
      <c r="U2510">
        <v>0</v>
      </c>
      <c r="V2510" t="s">
        <v>541</v>
      </c>
      <c r="W2510" t="s">
        <v>542</v>
      </c>
      <c r="X2510" s="784">
        <v>24761675.260059897</v>
      </c>
    </row>
    <row r="2511" spans="1:24">
      <c r="A2511" t="s">
        <v>358</v>
      </c>
      <c r="B2511" t="s">
        <v>676</v>
      </c>
      <c r="C2511" t="s">
        <v>276</v>
      </c>
      <c r="D2511" t="s">
        <v>131</v>
      </c>
      <c r="E2511" t="s">
        <v>377</v>
      </c>
      <c r="F2511" t="s">
        <v>384</v>
      </c>
      <c r="G2511" t="s">
        <v>335</v>
      </c>
      <c r="H2511" t="s">
        <v>749</v>
      </c>
      <c r="I2511">
        <v>2021</v>
      </c>
      <c r="J2511" t="s">
        <v>379</v>
      </c>
      <c r="K2511" t="s">
        <v>546</v>
      </c>
      <c r="L2511" s="784" t="s">
        <v>575</v>
      </c>
      <c r="M2511" t="s">
        <v>745</v>
      </c>
      <c r="N2511" s="784" t="s">
        <v>575</v>
      </c>
      <c r="O2511" t="s">
        <v>737</v>
      </c>
      <c r="P2511" t="s">
        <v>750</v>
      </c>
      <c r="R2511" t="s">
        <v>150</v>
      </c>
      <c r="S2511" t="s">
        <v>145</v>
      </c>
      <c r="U2511">
        <v>0</v>
      </c>
      <c r="V2511" t="s">
        <v>544</v>
      </c>
      <c r="W2511" t="s">
        <v>546</v>
      </c>
      <c r="X2511" s="784" t="s">
        <v>575</v>
      </c>
    </row>
    <row r="2512" spans="1:24">
      <c r="A2512" t="s">
        <v>358</v>
      </c>
      <c r="B2512" t="s">
        <v>677</v>
      </c>
      <c r="C2512" t="s">
        <v>277</v>
      </c>
      <c r="D2512" t="s">
        <v>131</v>
      </c>
      <c r="E2512" t="s">
        <v>377</v>
      </c>
      <c r="F2512" t="s">
        <v>384</v>
      </c>
      <c r="G2512" t="s">
        <v>335</v>
      </c>
      <c r="H2512" t="s">
        <v>749</v>
      </c>
      <c r="I2512">
        <v>2021</v>
      </c>
      <c r="J2512" t="s">
        <v>379</v>
      </c>
      <c r="K2512" t="s">
        <v>546</v>
      </c>
      <c r="L2512" s="784" t="s">
        <v>575</v>
      </c>
      <c r="M2512" t="s">
        <v>745</v>
      </c>
      <c r="N2512" s="784" t="s">
        <v>575</v>
      </c>
      <c r="O2512" t="s">
        <v>737</v>
      </c>
      <c r="P2512" t="s">
        <v>750</v>
      </c>
      <c r="R2512" t="s">
        <v>148</v>
      </c>
      <c r="S2512" t="s">
        <v>145</v>
      </c>
      <c r="U2512">
        <v>1</v>
      </c>
      <c r="V2512" t="s">
        <v>544</v>
      </c>
      <c r="W2512" t="s">
        <v>546</v>
      </c>
      <c r="X2512" s="784">
        <v>577156172.71229994</v>
      </c>
    </row>
    <row r="2513" spans="1:24">
      <c r="A2513" t="s">
        <v>358</v>
      </c>
      <c r="B2513" t="s">
        <v>678</v>
      </c>
      <c r="C2513" t="s">
        <v>278</v>
      </c>
      <c r="D2513" t="s">
        <v>126</v>
      </c>
      <c r="E2513" t="s">
        <v>377</v>
      </c>
      <c r="F2513" t="s">
        <v>384</v>
      </c>
      <c r="G2513" t="s">
        <v>335</v>
      </c>
      <c r="H2513" t="s">
        <v>749</v>
      </c>
      <c r="I2513">
        <v>2021</v>
      </c>
      <c r="J2513" t="s">
        <v>379</v>
      </c>
      <c r="K2513" t="s">
        <v>546</v>
      </c>
      <c r="L2513" s="784" t="s">
        <v>575</v>
      </c>
      <c r="M2513" t="s">
        <v>745</v>
      </c>
      <c r="N2513" s="784" t="s">
        <v>575</v>
      </c>
      <c r="O2513" t="s">
        <v>737</v>
      </c>
      <c r="P2513" t="s">
        <v>750</v>
      </c>
      <c r="R2513" t="s">
        <v>152</v>
      </c>
      <c r="S2513" t="s">
        <v>146</v>
      </c>
      <c r="U2513">
        <v>0</v>
      </c>
      <c r="V2513" t="s">
        <v>541</v>
      </c>
      <c r="W2513" t="s">
        <v>575</v>
      </c>
      <c r="X2513" s="784">
        <v>180052034.19851837</v>
      </c>
    </row>
    <row r="2514" spans="1:24">
      <c r="A2514" t="s">
        <v>358</v>
      </c>
      <c r="B2514" t="s">
        <v>679</v>
      </c>
      <c r="C2514" t="s">
        <v>279</v>
      </c>
      <c r="D2514" t="s">
        <v>131</v>
      </c>
      <c r="E2514" t="s">
        <v>377</v>
      </c>
      <c r="F2514" t="s">
        <v>384</v>
      </c>
      <c r="G2514" t="s">
        <v>335</v>
      </c>
      <c r="H2514" t="s">
        <v>749</v>
      </c>
      <c r="I2514">
        <v>2021</v>
      </c>
      <c r="J2514" t="s">
        <v>379</v>
      </c>
      <c r="K2514" t="s">
        <v>546</v>
      </c>
      <c r="L2514" s="784" t="s">
        <v>575</v>
      </c>
      <c r="M2514" t="s">
        <v>745</v>
      </c>
      <c r="N2514" s="784" t="s">
        <v>575</v>
      </c>
      <c r="O2514" t="s">
        <v>737</v>
      </c>
      <c r="P2514" t="s">
        <v>750</v>
      </c>
      <c r="R2514" t="s">
        <v>148</v>
      </c>
      <c r="S2514" t="s">
        <v>145</v>
      </c>
      <c r="U2514">
        <v>1</v>
      </c>
      <c r="V2514" t="s">
        <v>544</v>
      </c>
      <c r="W2514" t="s">
        <v>546</v>
      </c>
      <c r="X2514" s="784" t="s">
        <v>575</v>
      </c>
    </row>
    <row r="2515" spans="1:24">
      <c r="A2515" t="s">
        <v>358</v>
      </c>
      <c r="B2515" t="s">
        <v>680</v>
      </c>
      <c r="C2515" t="s">
        <v>280</v>
      </c>
      <c r="D2515" t="s">
        <v>127</v>
      </c>
      <c r="E2515" t="s">
        <v>377</v>
      </c>
      <c r="F2515" t="s">
        <v>384</v>
      </c>
      <c r="G2515" t="s">
        <v>335</v>
      </c>
      <c r="H2515" t="s">
        <v>749</v>
      </c>
      <c r="I2515">
        <v>2021</v>
      </c>
      <c r="J2515" t="s">
        <v>379</v>
      </c>
      <c r="K2515" t="s">
        <v>546</v>
      </c>
      <c r="L2515" s="784" t="s">
        <v>575</v>
      </c>
      <c r="M2515" t="s">
        <v>745</v>
      </c>
      <c r="N2515" s="784" t="s">
        <v>575</v>
      </c>
      <c r="O2515" t="s">
        <v>737</v>
      </c>
      <c r="P2515" t="s">
        <v>750</v>
      </c>
      <c r="R2515" t="s">
        <v>150</v>
      </c>
      <c r="S2515" t="s">
        <v>145</v>
      </c>
      <c r="U2515">
        <v>0</v>
      </c>
      <c r="V2515" t="s">
        <v>544</v>
      </c>
      <c r="W2515" t="s">
        <v>542</v>
      </c>
      <c r="X2515" s="784">
        <v>147296124.32232863</v>
      </c>
    </row>
    <row r="2516" spans="1:24">
      <c r="A2516" t="s">
        <v>358</v>
      </c>
      <c r="B2516" t="s">
        <v>681</v>
      </c>
      <c r="C2516" t="s">
        <v>156</v>
      </c>
      <c r="D2516" t="s">
        <v>128</v>
      </c>
      <c r="E2516" t="s">
        <v>377</v>
      </c>
      <c r="F2516" t="s">
        <v>384</v>
      </c>
      <c r="G2516" t="s">
        <v>335</v>
      </c>
      <c r="H2516" t="s">
        <v>749</v>
      </c>
      <c r="I2516">
        <v>2021</v>
      </c>
      <c r="J2516" t="s">
        <v>379</v>
      </c>
      <c r="K2516" t="s">
        <v>546</v>
      </c>
      <c r="L2516" s="784" t="s">
        <v>575</v>
      </c>
      <c r="M2516" t="s">
        <v>745</v>
      </c>
      <c r="N2516" s="784" t="s">
        <v>575</v>
      </c>
      <c r="O2516" t="s">
        <v>737</v>
      </c>
      <c r="P2516" t="s">
        <v>750</v>
      </c>
      <c r="R2516" t="s">
        <v>150</v>
      </c>
      <c r="S2516" t="s">
        <v>145</v>
      </c>
      <c r="U2516">
        <v>0</v>
      </c>
      <c r="V2516" t="s">
        <v>544</v>
      </c>
      <c r="W2516" t="s">
        <v>548</v>
      </c>
      <c r="X2516" s="784">
        <v>890576536.83065879</v>
      </c>
    </row>
    <row r="2517" spans="1:24">
      <c r="A2517" t="s">
        <v>358</v>
      </c>
      <c r="B2517" t="s">
        <v>682</v>
      </c>
      <c r="C2517" t="s">
        <v>157</v>
      </c>
      <c r="D2517" t="s">
        <v>126</v>
      </c>
      <c r="E2517" t="s">
        <v>377</v>
      </c>
      <c r="F2517" t="s">
        <v>384</v>
      </c>
      <c r="G2517" t="s">
        <v>335</v>
      </c>
      <c r="H2517" t="s">
        <v>749</v>
      </c>
      <c r="I2517">
        <v>2021</v>
      </c>
      <c r="J2517" t="s">
        <v>379</v>
      </c>
      <c r="K2517" t="s">
        <v>546</v>
      </c>
      <c r="L2517" s="784" t="s">
        <v>575</v>
      </c>
      <c r="M2517" t="s">
        <v>745</v>
      </c>
      <c r="N2517" s="784" t="s">
        <v>575</v>
      </c>
      <c r="O2517" t="s">
        <v>737</v>
      </c>
      <c r="P2517" t="s">
        <v>750</v>
      </c>
      <c r="R2517" t="s">
        <v>152</v>
      </c>
      <c r="S2517" t="s">
        <v>146</v>
      </c>
      <c r="U2517">
        <v>0</v>
      </c>
      <c r="V2517" t="s">
        <v>544</v>
      </c>
      <c r="W2517" t="s">
        <v>575</v>
      </c>
      <c r="X2517" s="784">
        <v>14611129792.346064</v>
      </c>
    </row>
    <row r="2518" spans="1:24">
      <c r="A2518" t="s">
        <v>358</v>
      </c>
      <c r="B2518" t="s">
        <v>683</v>
      </c>
      <c r="C2518" t="s">
        <v>281</v>
      </c>
      <c r="D2518" t="s">
        <v>126</v>
      </c>
      <c r="E2518" t="s">
        <v>377</v>
      </c>
      <c r="F2518" t="s">
        <v>384</v>
      </c>
      <c r="G2518" t="s">
        <v>335</v>
      </c>
      <c r="H2518" t="s">
        <v>749</v>
      </c>
      <c r="I2518">
        <v>2021</v>
      </c>
      <c r="J2518" t="s">
        <v>379</v>
      </c>
      <c r="K2518" t="s">
        <v>546</v>
      </c>
      <c r="L2518" s="784">
        <v>0</v>
      </c>
      <c r="M2518" t="s">
        <v>745</v>
      </c>
      <c r="N2518" s="784" t="s">
        <v>575</v>
      </c>
      <c r="O2518" t="s">
        <v>737</v>
      </c>
      <c r="P2518" t="s">
        <v>750</v>
      </c>
      <c r="R2518" t="s">
        <v>150</v>
      </c>
      <c r="S2518" t="s">
        <v>145</v>
      </c>
      <c r="U2518">
        <v>0</v>
      </c>
      <c r="V2518" t="s">
        <v>541</v>
      </c>
      <c r="W2518" t="s">
        <v>558</v>
      </c>
      <c r="X2518" s="784">
        <v>72046877.233008593</v>
      </c>
    </row>
    <row r="2519" spans="1:24">
      <c r="A2519" t="s">
        <v>358</v>
      </c>
      <c r="B2519" t="s">
        <v>684</v>
      </c>
      <c r="C2519" t="s">
        <v>282</v>
      </c>
      <c r="D2519" t="s">
        <v>129</v>
      </c>
      <c r="E2519" t="s">
        <v>377</v>
      </c>
      <c r="F2519" t="s">
        <v>384</v>
      </c>
      <c r="G2519" t="s">
        <v>335</v>
      </c>
      <c r="H2519" t="s">
        <v>749</v>
      </c>
      <c r="I2519">
        <v>2021</v>
      </c>
      <c r="J2519" t="s">
        <v>379</v>
      </c>
      <c r="K2519" t="s">
        <v>546</v>
      </c>
      <c r="L2519" s="784" t="s">
        <v>575</v>
      </c>
      <c r="M2519" t="s">
        <v>745</v>
      </c>
      <c r="N2519" s="784" t="s">
        <v>575</v>
      </c>
      <c r="O2519" t="s">
        <v>737</v>
      </c>
      <c r="P2519" t="s">
        <v>750</v>
      </c>
      <c r="R2519" t="s">
        <v>148</v>
      </c>
      <c r="S2519" t="s">
        <v>145</v>
      </c>
      <c r="U2519">
        <v>0</v>
      </c>
      <c r="V2519" t="s">
        <v>544</v>
      </c>
      <c r="W2519" t="s">
        <v>542</v>
      </c>
      <c r="X2519" s="784">
        <v>56248139.267255567</v>
      </c>
    </row>
    <row r="2520" spans="1:24">
      <c r="A2520" t="s">
        <v>358</v>
      </c>
      <c r="B2520" t="s">
        <v>685</v>
      </c>
      <c r="C2520" t="s">
        <v>283</v>
      </c>
      <c r="D2520" t="s">
        <v>126</v>
      </c>
      <c r="E2520" t="s">
        <v>377</v>
      </c>
      <c r="F2520" t="s">
        <v>384</v>
      </c>
      <c r="G2520" t="s">
        <v>335</v>
      </c>
      <c r="H2520" t="s">
        <v>749</v>
      </c>
      <c r="I2520">
        <v>2021</v>
      </c>
      <c r="J2520" t="s">
        <v>379</v>
      </c>
      <c r="K2520" t="s">
        <v>546</v>
      </c>
      <c r="L2520" s="784">
        <v>0</v>
      </c>
      <c r="M2520" t="s">
        <v>745</v>
      </c>
      <c r="N2520" s="784" t="s">
        <v>575</v>
      </c>
      <c r="O2520" t="s">
        <v>737</v>
      </c>
      <c r="P2520" t="s">
        <v>750</v>
      </c>
      <c r="R2520" t="s">
        <v>152</v>
      </c>
      <c r="S2520" t="s">
        <v>145</v>
      </c>
      <c r="U2520">
        <v>0</v>
      </c>
      <c r="V2520" t="s">
        <v>541</v>
      </c>
      <c r="W2520" t="s">
        <v>542</v>
      </c>
      <c r="X2520" s="784">
        <v>15464031.712942109</v>
      </c>
    </row>
    <row r="2521" spans="1:24">
      <c r="A2521" t="s">
        <v>358</v>
      </c>
      <c r="B2521" t="s">
        <v>686</v>
      </c>
      <c r="C2521" t="s">
        <v>284</v>
      </c>
      <c r="D2521" t="s">
        <v>130</v>
      </c>
      <c r="E2521" t="s">
        <v>377</v>
      </c>
      <c r="F2521" t="s">
        <v>384</v>
      </c>
      <c r="G2521" t="s">
        <v>335</v>
      </c>
      <c r="H2521" t="s">
        <v>749</v>
      </c>
      <c r="I2521">
        <v>2021</v>
      </c>
      <c r="J2521" t="s">
        <v>379</v>
      </c>
      <c r="K2521" t="s">
        <v>546</v>
      </c>
      <c r="L2521" s="784" t="s">
        <v>575</v>
      </c>
      <c r="M2521" t="s">
        <v>745</v>
      </c>
      <c r="N2521" s="784" t="s">
        <v>575</v>
      </c>
      <c r="O2521" t="s">
        <v>737</v>
      </c>
      <c r="P2521" t="s">
        <v>750</v>
      </c>
      <c r="R2521" t="s">
        <v>550</v>
      </c>
      <c r="S2521" t="s">
        <v>146</v>
      </c>
      <c r="U2521">
        <v>0</v>
      </c>
      <c r="V2521" t="s">
        <v>541</v>
      </c>
      <c r="W2521" t="s">
        <v>546</v>
      </c>
      <c r="X2521" s="784">
        <v>769564399.33249676</v>
      </c>
    </row>
    <row r="2522" spans="1:24">
      <c r="A2522" t="s">
        <v>358</v>
      </c>
      <c r="B2522" t="s">
        <v>687</v>
      </c>
      <c r="C2522" t="s">
        <v>285</v>
      </c>
      <c r="D2522" t="s">
        <v>131</v>
      </c>
      <c r="E2522" t="s">
        <v>377</v>
      </c>
      <c r="F2522" t="s">
        <v>384</v>
      </c>
      <c r="G2522" t="s">
        <v>335</v>
      </c>
      <c r="H2522" t="s">
        <v>749</v>
      </c>
      <c r="I2522">
        <v>2021</v>
      </c>
      <c r="J2522" t="s">
        <v>379</v>
      </c>
      <c r="K2522" t="s">
        <v>546</v>
      </c>
      <c r="L2522" s="784" t="s">
        <v>575</v>
      </c>
      <c r="M2522" t="s">
        <v>745</v>
      </c>
      <c r="N2522" s="784" t="s">
        <v>575</v>
      </c>
      <c r="O2522" t="s">
        <v>737</v>
      </c>
      <c r="P2522" t="s">
        <v>750</v>
      </c>
      <c r="R2522" t="s">
        <v>150</v>
      </c>
      <c r="S2522" t="s">
        <v>145</v>
      </c>
      <c r="U2522">
        <v>0</v>
      </c>
      <c r="V2522" t="s">
        <v>544</v>
      </c>
      <c r="W2522" t="s">
        <v>546</v>
      </c>
      <c r="X2522" s="784">
        <v>1668954539.7630196</v>
      </c>
    </row>
    <row r="2523" spans="1:24">
      <c r="A2523" t="s">
        <v>358</v>
      </c>
      <c r="B2523" t="s">
        <v>688</v>
      </c>
      <c r="C2523" t="s">
        <v>286</v>
      </c>
      <c r="D2523" t="s">
        <v>127</v>
      </c>
      <c r="E2523" t="s">
        <v>377</v>
      </c>
      <c r="F2523" t="s">
        <v>384</v>
      </c>
      <c r="G2523" t="s">
        <v>335</v>
      </c>
      <c r="H2523" t="s">
        <v>749</v>
      </c>
      <c r="I2523">
        <v>2021</v>
      </c>
      <c r="J2523" t="s">
        <v>379</v>
      </c>
      <c r="K2523" t="s">
        <v>546</v>
      </c>
      <c r="L2523" s="784" t="s">
        <v>575</v>
      </c>
      <c r="M2523" t="s">
        <v>745</v>
      </c>
      <c r="N2523" s="784" t="s">
        <v>575</v>
      </c>
      <c r="O2523" t="s">
        <v>737</v>
      </c>
      <c r="P2523" t="s">
        <v>750</v>
      </c>
      <c r="R2523" t="s">
        <v>152</v>
      </c>
      <c r="S2523" t="s">
        <v>146</v>
      </c>
      <c r="U2523">
        <v>0</v>
      </c>
      <c r="V2523" t="s">
        <v>544</v>
      </c>
      <c r="W2523" t="s">
        <v>575</v>
      </c>
      <c r="X2523" s="784">
        <v>24840920016.18832</v>
      </c>
    </row>
    <row r="2524" spans="1:24">
      <c r="A2524" t="s">
        <v>358</v>
      </c>
      <c r="B2524" t="s">
        <v>689</v>
      </c>
      <c r="C2524" t="s">
        <v>287</v>
      </c>
      <c r="D2524" t="s">
        <v>127</v>
      </c>
      <c r="E2524" t="s">
        <v>377</v>
      </c>
      <c r="F2524" t="s">
        <v>384</v>
      </c>
      <c r="G2524" t="s">
        <v>335</v>
      </c>
      <c r="H2524" t="s">
        <v>749</v>
      </c>
      <c r="I2524">
        <v>2021</v>
      </c>
      <c r="J2524" t="s">
        <v>379</v>
      </c>
      <c r="K2524" t="s">
        <v>546</v>
      </c>
      <c r="L2524" s="784" t="s">
        <v>575</v>
      </c>
      <c r="M2524" t="s">
        <v>745</v>
      </c>
      <c r="N2524" s="784" t="s">
        <v>575</v>
      </c>
      <c r="O2524" t="s">
        <v>737</v>
      </c>
      <c r="P2524" t="s">
        <v>750</v>
      </c>
      <c r="R2524" t="s">
        <v>152</v>
      </c>
      <c r="S2524" t="s">
        <v>146</v>
      </c>
      <c r="U2524">
        <v>0</v>
      </c>
      <c r="V2524" t="s">
        <v>544</v>
      </c>
      <c r="W2524" t="s">
        <v>546</v>
      </c>
      <c r="X2524" s="784">
        <v>487888462.83720118</v>
      </c>
    </row>
    <row r="2525" spans="1:24">
      <c r="A2525" t="s">
        <v>358</v>
      </c>
      <c r="B2525" t="s">
        <v>690</v>
      </c>
      <c r="C2525" t="s">
        <v>288</v>
      </c>
      <c r="D2525" t="s">
        <v>126</v>
      </c>
      <c r="E2525" t="s">
        <v>377</v>
      </c>
      <c r="F2525" t="s">
        <v>384</v>
      </c>
      <c r="G2525" t="s">
        <v>335</v>
      </c>
      <c r="H2525" t="s">
        <v>749</v>
      </c>
      <c r="I2525">
        <v>2021</v>
      </c>
      <c r="J2525" t="s">
        <v>379</v>
      </c>
      <c r="K2525" t="s">
        <v>546</v>
      </c>
      <c r="L2525" s="784">
        <v>0</v>
      </c>
      <c r="M2525" t="s">
        <v>745</v>
      </c>
      <c r="N2525" s="784" t="s">
        <v>575</v>
      </c>
      <c r="O2525" t="s">
        <v>737</v>
      </c>
      <c r="P2525" t="s">
        <v>750</v>
      </c>
      <c r="R2525" t="s">
        <v>152</v>
      </c>
      <c r="S2525" t="s">
        <v>145</v>
      </c>
      <c r="U2525">
        <v>0</v>
      </c>
      <c r="V2525" t="s">
        <v>541</v>
      </c>
      <c r="W2525" t="s">
        <v>548</v>
      </c>
      <c r="X2525" s="784">
        <v>6365061.1736073596</v>
      </c>
    </row>
    <row r="2526" spans="1:24">
      <c r="A2526" t="s">
        <v>358</v>
      </c>
      <c r="B2526" t="s">
        <v>691</v>
      </c>
      <c r="C2526" t="s">
        <v>289</v>
      </c>
      <c r="D2526" t="s">
        <v>128</v>
      </c>
      <c r="E2526" t="s">
        <v>377</v>
      </c>
      <c r="F2526" t="s">
        <v>384</v>
      </c>
      <c r="G2526" t="s">
        <v>335</v>
      </c>
      <c r="H2526" t="s">
        <v>749</v>
      </c>
      <c r="I2526">
        <v>2021</v>
      </c>
      <c r="J2526" t="s">
        <v>379</v>
      </c>
      <c r="K2526" t="s">
        <v>546</v>
      </c>
      <c r="L2526" s="784" t="s">
        <v>575</v>
      </c>
      <c r="M2526" t="s">
        <v>745</v>
      </c>
      <c r="N2526" s="784" t="s">
        <v>575</v>
      </c>
      <c r="O2526" t="s">
        <v>737</v>
      </c>
      <c r="P2526" t="s">
        <v>750</v>
      </c>
      <c r="R2526" t="s">
        <v>148</v>
      </c>
      <c r="S2526" t="s">
        <v>145</v>
      </c>
      <c r="U2526">
        <v>2</v>
      </c>
      <c r="V2526" t="s">
        <v>544</v>
      </c>
      <c r="W2526" t="s">
        <v>558</v>
      </c>
      <c r="X2526" s="784">
        <v>291799092.90196139</v>
      </c>
    </row>
    <row r="2527" spans="1:24">
      <c r="A2527" t="s">
        <v>358</v>
      </c>
      <c r="B2527" t="s">
        <v>692</v>
      </c>
      <c r="C2527" t="s">
        <v>290</v>
      </c>
      <c r="D2527" t="s">
        <v>127</v>
      </c>
      <c r="E2527" t="s">
        <v>377</v>
      </c>
      <c r="F2527" t="s">
        <v>384</v>
      </c>
      <c r="G2527" t="s">
        <v>335</v>
      </c>
      <c r="H2527" t="s">
        <v>749</v>
      </c>
      <c r="I2527">
        <v>2021</v>
      </c>
      <c r="J2527" t="s">
        <v>379</v>
      </c>
      <c r="K2527" t="s">
        <v>546</v>
      </c>
      <c r="L2527" s="784" t="s">
        <v>575</v>
      </c>
      <c r="M2527" t="s">
        <v>745</v>
      </c>
      <c r="N2527" s="784" t="s">
        <v>575</v>
      </c>
      <c r="O2527" t="s">
        <v>737</v>
      </c>
      <c r="P2527" t="s">
        <v>750</v>
      </c>
      <c r="R2527" t="s">
        <v>150</v>
      </c>
      <c r="S2527" t="s">
        <v>145</v>
      </c>
      <c r="U2527">
        <v>0</v>
      </c>
      <c r="V2527" t="s">
        <v>544</v>
      </c>
      <c r="W2527" t="s">
        <v>546</v>
      </c>
      <c r="X2527" s="784">
        <v>4844815340.2135534</v>
      </c>
    </row>
    <row r="2528" spans="1:24">
      <c r="A2528" t="s">
        <v>358</v>
      </c>
      <c r="B2528" t="s">
        <v>693</v>
      </c>
      <c r="C2528" t="s">
        <v>291</v>
      </c>
      <c r="D2528" t="s">
        <v>130</v>
      </c>
      <c r="E2528" t="s">
        <v>377</v>
      </c>
      <c r="F2528" t="s">
        <v>384</v>
      </c>
      <c r="G2528" t="s">
        <v>335</v>
      </c>
      <c r="H2528" t="s">
        <v>749</v>
      </c>
      <c r="I2528">
        <v>2021</v>
      </c>
      <c r="J2528" t="s">
        <v>379</v>
      </c>
      <c r="K2528" t="s">
        <v>546</v>
      </c>
      <c r="L2528" s="784" t="s">
        <v>575</v>
      </c>
      <c r="M2528" t="s">
        <v>745</v>
      </c>
      <c r="N2528" s="784" t="s">
        <v>575</v>
      </c>
      <c r="O2528" t="s">
        <v>737</v>
      </c>
      <c r="P2528" t="s">
        <v>750</v>
      </c>
      <c r="R2528" t="s">
        <v>550</v>
      </c>
      <c r="S2528" t="s">
        <v>146</v>
      </c>
      <c r="U2528">
        <v>0</v>
      </c>
      <c r="V2528" t="s">
        <v>544</v>
      </c>
      <c r="W2528" t="s">
        <v>575</v>
      </c>
      <c r="X2528" s="784">
        <v>4001891446.6871672</v>
      </c>
    </row>
    <row r="2529" spans="1:24">
      <c r="A2529" t="s">
        <v>358</v>
      </c>
      <c r="B2529" t="s">
        <v>694</v>
      </c>
      <c r="C2529" t="s">
        <v>292</v>
      </c>
      <c r="D2529" t="s">
        <v>127</v>
      </c>
      <c r="E2529" t="s">
        <v>377</v>
      </c>
      <c r="F2529" t="s">
        <v>384</v>
      </c>
      <c r="G2529" t="s">
        <v>335</v>
      </c>
      <c r="H2529" t="s">
        <v>749</v>
      </c>
      <c r="I2529">
        <v>2021</v>
      </c>
      <c r="J2529" t="s">
        <v>379</v>
      </c>
      <c r="K2529" t="s">
        <v>546</v>
      </c>
      <c r="L2529" s="784" t="s">
        <v>575</v>
      </c>
      <c r="M2529" t="s">
        <v>745</v>
      </c>
      <c r="N2529" s="784" t="s">
        <v>575</v>
      </c>
      <c r="O2529" t="s">
        <v>737</v>
      </c>
      <c r="P2529" t="s">
        <v>750</v>
      </c>
      <c r="R2529" t="s">
        <v>150</v>
      </c>
      <c r="S2529" t="s">
        <v>145</v>
      </c>
      <c r="U2529">
        <v>0</v>
      </c>
      <c r="V2529" t="s">
        <v>544</v>
      </c>
      <c r="W2529" t="s">
        <v>558</v>
      </c>
      <c r="X2529" s="784">
        <v>1019800630.5853213</v>
      </c>
    </row>
    <row r="2530" spans="1:24">
      <c r="A2530" t="s">
        <v>358</v>
      </c>
      <c r="B2530" t="s">
        <v>695</v>
      </c>
      <c r="C2530" t="s">
        <v>293</v>
      </c>
      <c r="D2530" t="s">
        <v>126</v>
      </c>
      <c r="E2530" t="s">
        <v>377</v>
      </c>
      <c r="F2530" t="s">
        <v>384</v>
      </c>
      <c r="G2530" t="s">
        <v>335</v>
      </c>
      <c r="H2530" t="s">
        <v>749</v>
      </c>
      <c r="I2530">
        <v>2021</v>
      </c>
      <c r="J2530" t="s">
        <v>379</v>
      </c>
      <c r="K2530" t="s">
        <v>546</v>
      </c>
      <c r="L2530" s="784">
        <v>0</v>
      </c>
      <c r="M2530" t="s">
        <v>745</v>
      </c>
      <c r="N2530" s="784" t="s">
        <v>575</v>
      </c>
      <c r="O2530" t="s">
        <v>737</v>
      </c>
      <c r="P2530" t="s">
        <v>750</v>
      </c>
      <c r="R2530" t="s">
        <v>150</v>
      </c>
      <c r="S2530" t="s">
        <v>145</v>
      </c>
      <c r="U2530">
        <v>0</v>
      </c>
      <c r="V2530" t="s">
        <v>541</v>
      </c>
      <c r="W2530" t="s">
        <v>562</v>
      </c>
      <c r="X2530" s="784">
        <v>19578671.310841195</v>
      </c>
    </row>
    <row r="2531" spans="1:24">
      <c r="A2531" t="s">
        <v>358</v>
      </c>
      <c r="B2531" t="s">
        <v>696</v>
      </c>
      <c r="C2531" t="s">
        <v>294</v>
      </c>
      <c r="D2531" t="s">
        <v>130</v>
      </c>
      <c r="E2531" t="s">
        <v>377</v>
      </c>
      <c r="F2531" t="s">
        <v>384</v>
      </c>
      <c r="G2531" t="s">
        <v>335</v>
      </c>
      <c r="H2531" t="s">
        <v>749</v>
      </c>
      <c r="I2531">
        <v>2021</v>
      </c>
      <c r="J2531" t="s">
        <v>379</v>
      </c>
      <c r="K2531" t="s">
        <v>546</v>
      </c>
      <c r="L2531" s="784" t="s">
        <v>575</v>
      </c>
      <c r="M2531" t="s">
        <v>745</v>
      </c>
      <c r="N2531" s="784" t="s">
        <v>575</v>
      </c>
      <c r="O2531" t="s">
        <v>737</v>
      </c>
      <c r="P2531" t="s">
        <v>750</v>
      </c>
      <c r="R2531" t="s">
        <v>322</v>
      </c>
      <c r="S2531" t="s">
        <v>146</v>
      </c>
      <c r="U2531">
        <v>0</v>
      </c>
      <c r="V2531" t="s">
        <v>544</v>
      </c>
      <c r="W2531" t="s">
        <v>546</v>
      </c>
      <c r="X2531" s="784">
        <v>3551452001.0684834</v>
      </c>
    </row>
    <row r="2532" spans="1:24">
      <c r="A2532" t="s">
        <v>358</v>
      </c>
      <c r="B2532" t="s">
        <v>697</v>
      </c>
      <c r="C2532" t="s">
        <v>295</v>
      </c>
      <c r="D2532" t="s">
        <v>126</v>
      </c>
      <c r="E2532" t="s">
        <v>377</v>
      </c>
      <c r="F2532" t="s">
        <v>384</v>
      </c>
      <c r="G2532" t="s">
        <v>335</v>
      </c>
      <c r="H2532" t="s">
        <v>749</v>
      </c>
      <c r="I2532">
        <v>2021</v>
      </c>
      <c r="J2532" t="s">
        <v>379</v>
      </c>
      <c r="K2532" t="s">
        <v>546</v>
      </c>
      <c r="L2532" s="784">
        <v>6164384</v>
      </c>
      <c r="M2532" t="s">
        <v>745</v>
      </c>
      <c r="N2532" s="784" t="s">
        <v>575</v>
      </c>
      <c r="O2532" t="s">
        <v>737</v>
      </c>
      <c r="P2532" t="s">
        <v>750</v>
      </c>
      <c r="R2532" t="s">
        <v>150</v>
      </c>
      <c r="S2532" t="s">
        <v>145</v>
      </c>
      <c r="U2532">
        <v>0</v>
      </c>
      <c r="V2532" t="s">
        <v>544</v>
      </c>
      <c r="W2532" t="s">
        <v>546</v>
      </c>
      <c r="X2532" s="784">
        <v>6603048821.7575006</v>
      </c>
    </row>
    <row r="2533" spans="1:24">
      <c r="A2533" t="s">
        <v>358</v>
      </c>
      <c r="B2533" t="s">
        <v>698</v>
      </c>
      <c r="C2533" t="s">
        <v>296</v>
      </c>
      <c r="D2533" t="s">
        <v>131</v>
      </c>
      <c r="E2533" t="s">
        <v>377</v>
      </c>
      <c r="F2533" t="s">
        <v>384</v>
      </c>
      <c r="G2533" t="s">
        <v>335</v>
      </c>
      <c r="H2533" t="s">
        <v>749</v>
      </c>
      <c r="I2533">
        <v>2021</v>
      </c>
      <c r="J2533" t="s">
        <v>379</v>
      </c>
      <c r="K2533" t="s">
        <v>546</v>
      </c>
      <c r="L2533" s="784" t="s">
        <v>575</v>
      </c>
      <c r="M2533" t="s">
        <v>745</v>
      </c>
      <c r="N2533" s="784" t="s">
        <v>575</v>
      </c>
      <c r="O2533" t="s">
        <v>737</v>
      </c>
      <c r="P2533" t="s">
        <v>750</v>
      </c>
      <c r="R2533" t="s">
        <v>148</v>
      </c>
      <c r="S2533" t="s">
        <v>145</v>
      </c>
      <c r="U2533">
        <v>1</v>
      </c>
      <c r="V2533" t="s">
        <v>544</v>
      </c>
      <c r="W2533" t="s">
        <v>548</v>
      </c>
      <c r="X2533" s="784" t="s">
        <v>575</v>
      </c>
    </row>
    <row r="2534" spans="1:24">
      <c r="A2534" t="s">
        <v>358</v>
      </c>
      <c r="B2534" t="s">
        <v>699</v>
      </c>
      <c r="C2534" t="s">
        <v>297</v>
      </c>
      <c r="D2534" t="s">
        <v>128</v>
      </c>
      <c r="E2534" t="s">
        <v>377</v>
      </c>
      <c r="F2534" t="s">
        <v>384</v>
      </c>
      <c r="G2534" t="s">
        <v>335</v>
      </c>
      <c r="H2534" t="s">
        <v>749</v>
      </c>
      <c r="I2534">
        <v>2021</v>
      </c>
      <c r="J2534" t="s">
        <v>379</v>
      </c>
      <c r="K2534" t="s">
        <v>546</v>
      </c>
      <c r="L2534" s="784" t="s">
        <v>575</v>
      </c>
      <c r="M2534" t="s">
        <v>745</v>
      </c>
      <c r="N2534" s="784" t="s">
        <v>575</v>
      </c>
      <c r="O2534" t="s">
        <v>737</v>
      </c>
      <c r="P2534" t="s">
        <v>750</v>
      </c>
      <c r="R2534" t="s">
        <v>150</v>
      </c>
      <c r="S2534" t="s">
        <v>145</v>
      </c>
      <c r="U2534">
        <v>0</v>
      </c>
      <c r="V2534" t="s">
        <v>544</v>
      </c>
      <c r="W2534" t="s">
        <v>542</v>
      </c>
      <c r="X2534" s="784">
        <v>515352723.9821828</v>
      </c>
    </row>
    <row r="2535" spans="1:24">
      <c r="A2535" t="s">
        <v>358</v>
      </c>
      <c r="B2535" t="s">
        <v>700</v>
      </c>
      <c r="C2535" t="s">
        <v>298</v>
      </c>
      <c r="D2535" t="s">
        <v>128</v>
      </c>
      <c r="E2535" t="s">
        <v>377</v>
      </c>
      <c r="F2535" t="s">
        <v>384</v>
      </c>
      <c r="G2535" t="s">
        <v>335</v>
      </c>
      <c r="H2535" t="s">
        <v>749</v>
      </c>
      <c r="I2535">
        <v>2021</v>
      </c>
      <c r="J2535" t="s">
        <v>379</v>
      </c>
      <c r="K2535" t="s">
        <v>546</v>
      </c>
      <c r="L2535" s="784" t="s">
        <v>575</v>
      </c>
      <c r="M2535" t="s">
        <v>745</v>
      </c>
      <c r="N2535" s="784" t="s">
        <v>575</v>
      </c>
      <c r="O2535" t="s">
        <v>737</v>
      </c>
      <c r="P2535" t="s">
        <v>750</v>
      </c>
      <c r="R2535" t="s">
        <v>150</v>
      </c>
      <c r="S2535" t="s">
        <v>145</v>
      </c>
      <c r="U2535">
        <v>0</v>
      </c>
      <c r="V2535" t="s">
        <v>544</v>
      </c>
      <c r="W2535" t="s">
        <v>546</v>
      </c>
      <c r="X2535" s="784">
        <v>566711742.22428358</v>
      </c>
    </row>
    <row r="2536" spans="1:24">
      <c r="A2536" t="s">
        <v>358</v>
      </c>
      <c r="B2536" t="s">
        <v>540</v>
      </c>
      <c r="C2536" t="s">
        <v>160</v>
      </c>
      <c r="D2536" t="s">
        <v>132</v>
      </c>
      <c r="E2536" t="s">
        <v>377</v>
      </c>
      <c r="F2536" t="s">
        <v>384</v>
      </c>
      <c r="G2536" t="s">
        <v>51</v>
      </c>
      <c r="H2536" t="s">
        <v>749</v>
      </c>
      <c r="I2536" t="s">
        <v>743</v>
      </c>
      <c r="J2536" t="s">
        <v>379</v>
      </c>
      <c r="K2536" t="s">
        <v>546</v>
      </c>
      <c r="L2536" s="784">
        <v>0</v>
      </c>
      <c r="M2536" t="s">
        <v>745</v>
      </c>
      <c r="N2536" s="784" t="s">
        <v>575</v>
      </c>
      <c r="O2536" t="s">
        <v>737</v>
      </c>
      <c r="P2536" t="s">
        <v>1887</v>
      </c>
      <c r="R2536" t="s">
        <v>148</v>
      </c>
      <c r="S2536" t="s">
        <v>145</v>
      </c>
      <c r="U2536">
        <v>1</v>
      </c>
      <c r="V2536" t="s">
        <v>544</v>
      </c>
      <c r="W2536" t="s">
        <v>542</v>
      </c>
      <c r="X2536" s="784">
        <v>95829480.719269618</v>
      </c>
    </row>
    <row r="2537" spans="1:24">
      <c r="A2537" t="s">
        <v>358</v>
      </c>
      <c r="B2537" t="s">
        <v>543</v>
      </c>
      <c r="C2537" t="s">
        <v>161</v>
      </c>
      <c r="D2537" t="s">
        <v>127</v>
      </c>
      <c r="E2537" t="s">
        <v>377</v>
      </c>
      <c r="F2537" t="s">
        <v>384</v>
      </c>
      <c r="G2537" t="s">
        <v>51</v>
      </c>
      <c r="H2537" t="s">
        <v>749</v>
      </c>
      <c r="I2537" t="s">
        <v>743</v>
      </c>
      <c r="J2537" t="s">
        <v>379</v>
      </c>
      <c r="K2537" t="s">
        <v>546</v>
      </c>
      <c r="L2537" s="784">
        <v>0</v>
      </c>
      <c r="M2537" t="s">
        <v>745</v>
      </c>
      <c r="N2537" s="784" t="s">
        <v>575</v>
      </c>
      <c r="O2537" t="s">
        <v>737</v>
      </c>
      <c r="P2537" t="s">
        <v>1887</v>
      </c>
      <c r="R2537" t="s">
        <v>152</v>
      </c>
      <c r="S2537" t="s">
        <v>146</v>
      </c>
      <c r="U2537">
        <v>0</v>
      </c>
      <c r="V2537" t="s">
        <v>544</v>
      </c>
      <c r="W2537" t="s">
        <v>575</v>
      </c>
      <c r="X2537" s="784">
        <v>427904035.52443534</v>
      </c>
    </row>
    <row r="2538" spans="1:24">
      <c r="A2538" t="s">
        <v>358</v>
      </c>
      <c r="B2538" t="s">
        <v>545</v>
      </c>
      <c r="C2538" t="s">
        <v>143</v>
      </c>
      <c r="D2538" t="s">
        <v>131</v>
      </c>
      <c r="E2538" t="s">
        <v>377</v>
      </c>
      <c r="F2538" t="s">
        <v>384</v>
      </c>
      <c r="G2538" t="s">
        <v>51</v>
      </c>
      <c r="H2538" t="s">
        <v>749</v>
      </c>
      <c r="I2538" t="s">
        <v>743</v>
      </c>
      <c r="J2538" t="s">
        <v>379</v>
      </c>
      <c r="K2538" t="s">
        <v>546</v>
      </c>
      <c r="L2538" s="784">
        <v>0</v>
      </c>
      <c r="M2538" t="s">
        <v>745</v>
      </c>
      <c r="N2538" s="784" t="s">
        <v>575</v>
      </c>
      <c r="O2538" t="s">
        <v>737</v>
      </c>
      <c r="P2538" t="s">
        <v>1887</v>
      </c>
      <c r="R2538" t="s">
        <v>150</v>
      </c>
      <c r="S2538" t="s">
        <v>145</v>
      </c>
      <c r="U2538">
        <v>0</v>
      </c>
      <c r="V2538" t="s">
        <v>544</v>
      </c>
      <c r="W2538" t="s">
        <v>546</v>
      </c>
      <c r="X2538" s="784">
        <v>7113361022.7267885</v>
      </c>
    </row>
    <row r="2539" spans="1:24">
      <c r="A2539" t="s">
        <v>358</v>
      </c>
      <c r="B2539" t="s">
        <v>547</v>
      </c>
      <c r="C2539" t="s">
        <v>162</v>
      </c>
      <c r="D2539" t="s">
        <v>128</v>
      </c>
      <c r="E2539" t="s">
        <v>377</v>
      </c>
      <c r="F2539" t="s">
        <v>384</v>
      </c>
      <c r="G2539" t="s">
        <v>51</v>
      </c>
      <c r="H2539" t="s">
        <v>749</v>
      </c>
      <c r="I2539" t="s">
        <v>743</v>
      </c>
      <c r="J2539" t="s">
        <v>379</v>
      </c>
      <c r="K2539" t="s">
        <v>546</v>
      </c>
      <c r="L2539" s="784">
        <v>0</v>
      </c>
      <c r="M2539" t="s">
        <v>745</v>
      </c>
      <c r="N2539" s="784" t="s">
        <v>575</v>
      </c>
      <c r="O2539" t="s">
        <v>737</v>
      </c>
      <c r="P2539" t="s">
        <v>1887</v>
      </c>
      <c r="R2539" t="s">
        <v>150</v>
      </c>
      <c r="S2539" t="s">
        <v>145</v>
      </c>
      <c r="U2539">
        <v>0</v>
      </c>
      <c r="V2539" t="s">
        <v>544</v>
      </c>
      <c r="W2539" t="s">
        <v>548</v>
      </c>
      <c r="X2539" s="784">
        <v>1131865946.5875781</v>
      </c>
    </row>
    <row r="2540" spans="1:24">
      <c r="A2540" t="s">
        <v>358</v>
      </c>
      <c r="B2540" t="s">
        <v>549</v>
      </c>
      <c r="C2540" t="s">
        <v>163</v>
      </c>
      <c r="D2540" t="s">
        <v>130</v>
      </c>
      <c r="E2540" t="s">
        <v>377</v>
      </c>
      <c r="F2540" t="s">
        <v>384</v>
      </c>
      <c r="G2540" t="s">
        <v>51</v>
      </c>
      <c r="H2540" t="s">
        <v>749</v>
      </c>
      <c r="I2540" t="s">
        <v>743</v>
      </c>
      <c r="J2540" t="s">
        <v>379</v>
      </c>
      <c r="K2540" t="s">
        <v>546</v>
      </c>
      <c r="L2540" s="784">
        <v>0</v>
      </c>
      <c r="M2540" t="s">
        <v>745</v>
      </c>
      <c r="N2540" s="784" t="s">
        <v>575</v>
      </c>
      <c r="O2540" t="s">
        <v>737</v>
      </c>
      <c r="P2540" t="s">
        <v>1887</v>
      </c>
      <c r="R2540" t="s">
        <v>550</v>
      </c>
      <c r="S2540" t="s">
        <v>146</v>
      </c>
      <c r="U2540">
        <v>0</v>
      </c>
      <c r="V2540" t="s">
        <v>541</v>
      </c>
      <c r="W2540" t="s">
        <v>575</v>
      </c>
      <c r="X2540" s="784">
        <v>46777779.823447868</v>
      </c>
    </row>
    <row r="2541" spans="1:24">
      <c r="A2541" t="s">
        <v>358</v>
      </c>
      <c r="B2541" t="s">
        <v>551</v>
      </c>
      <c r="C2541" t="s">
        <v>164</v>
      </c>
      <c r="D2541" t="s">
        <v>130</v>
      </c>
      <c r="E2541" t="s">
        <v>377</v>
      </c>
      <c r="F2541" t="s">
        <v>384</v>
      </c>
      <c r="G2541" t="s">
        <v>51</v>
      </c>
      <c r="H2541" t="s">
        <v>749</v>
      </c>
      <c r="I2541" t="s">
        <v>743</v>
      </c>
      <c r="J2541" t="s">
        <v>379</v>
      </c>
      <c r="K2541" t="s">
        <v>546</v>
      </c>
      <c r="L2541" s="784">
        <v>0</v>
      </c>
      <c r="M2541" t="s">
        <v>745</v>
      </c>
      <c r="N2541" s="784" t="s">
        <v>575</v>
      </c>
      <c r="O2541" t="s">
        <v>737</v>
      </c>
      <c r="P2541" t="s">
        <v>1887</v>
      </c>
      <c r="R2541" t="s">
        <v>152</v>
      </c>
      <c r="S2541" t="s">
        <v>146</v>
      </c>
      <c r="U2541">
        <v>0</v>
      </c>
      <c r="V2541" t="s">
        <v>544</v>
      </c>
      <c r="W2541" t="s">
        <v>575</v>
      </c>
      <c r="X2541" s="784">
        <v>30725305777.596794</v>
      </c>
    </row>
    <row r="2542" spans="1:24">
      <c r="A2542" t="s">
        <v>358</v>
      </c>
      <c r="B2542" t="s">
        <v>553</v>
      </c>
      <c r="C2542" t="s">
        <v>165</v>
      </c>
      <c r="D2542" t="s">
        <v>127</v>
      </c>
      <c r="E2542" t="s">
        <v>377</v>
      </c>
      <c r="F2542" t="s">
        <v>384</v>
      </c>
      <c r="G2542" t="s">
        <v>51</v>
      </c>
      <c r="H2542" t="s">
        <v>749</v>
      </c>
      <c r="I2542" t="s">
        <v>743</v>
      </c>
      <c r="J2542" t="s">
        <v>379</v>
      </c>
      <c r="K2542" t="s">
        <v>546</v>
      </c>
      <c r="L2542" s="784">
        <v>0</v>
      </c>
      <c r="M2542" t="s">
        <v>745</v>
      </c>
      <c r="N2542" s="784" t="s">
        <v>575</v>
      </c>
      <c r="O2542" t="s">
        <v>737</v>
      </c>
      <c r="P2542" t="s">
        <v>1887</v>
      </c>
      <c r="R2542" t="s">
        <v>152</v>
      </c>
      <c r="S2542" t="s">
        <v>146</v>
      </c>
      <c r="U2542">
        <v>0</v>
      </c>
      <c r="V2542" t="s">
        <v>544</v>
      </c>
      <c r="W2542" t="s">
        <v>575</v>
      </c>
      <c r="X2542" s="784">
        <v>153815827.8380394</v>
      </c>
    </row>
    <row r="2543" spans="1:24">
      <c r="A2543" t="s">
        <v>358</v>
      </c>
      <c r="B2543" t="s">
        <v>554</v>
      </c>
      <c r="C2543" t="s">
        <v>166</v>
      </c>
      <c r="D2543" t="s">
        <v>127</v>
      </c>
      <c r="E2543" t="s">
        <v>377</v>
      </c>
      <c r="F2543" t="s">
        <v>384</v>
      </c>
      <c r="G2543" t="s">
        <v>51</v>
      </c>
      <c r="H2543" t="s">
        <v>749</v>
      </c>
      <c r="I2543" t="s">
        <v>743</v>
      </c>
      <c r="J2543" t="s">
        <v>379</v>
      </c>
      <c r="K2543" t="s">
        <v>546</v>
      </c>
      <c r="L2543" s="784">
        <v>0</v>
      </c>
      <c r="M2543" t="s">
        <v>745</v>
      </c>
      <c r="N2543" s="784" t="s">
        <v>575</v>
      </c>
      <c r="O2543" t="s">
        <v>737</v>
      </c>
      <c r="P2543" t="s">
        <v>1887</v>
      </c>
      <c r="R2543" t="s">
        <v>152</v>
      </c>
      <c r="S2543" t="s">
        <v>146</v>
      </c>
      <c r="U2543">
        <v>0</v>
      </c>
      <c r="V2543" t="s">
        <v>544</v>
      </c>
      <c r="W2543" t="s">
        <v>546</v>
      </c>
      <c r="X2543" s="784">
        <v>437525105.31216973</v>
      </c>
    </row>
    <row r="2544" spans="1:24">
      <c r="A2544" t="s">
        <v>358</v>
      </c>
      <c r="B2544" t="s">
        <v>555</v>
      </c>
      <c r="C2544" t="s">
        <v>556</v>
      </c>
      <c r="D2544" t="s">
        <v>130</v>
      </c>
      <c r="E2544" t="s">
        <v>377</v>
      </c>
      <c r="F2544" t="s">
        <v>384</v>
      </c>
      <c r="G2544" t="s">
        <v>51</v>
      </c>
      <c r="H2544" t="s">
        <v>749</v>
      </c>
      <c r="I2544" t="s">
        <v>743</v>
      </c>
      <c r="J2544" t="s">
        <v>379</v>
      </c>
      <c r="K2544" t="s">
        <v>546</v>
      </c>
      <c r="L2544" s="784">
        <v>0</v>
      </c>
      <c r="M2544" t="s">
        <v>745</v>
      </c>
      <c r="N2544" s="784" t="s">
        <v>575</v>
      </c>
      <c r="O2544" t="s">
        <v>737</v>
      </c>
      <c r="P2544" t="s">
        <v>1887</v>
      </c>
      <c r="R2544" t="s">
        <v>550</v>
      </c>
      <c r="S2544" t="s">
        <v>146</v>
      </c>
      <c r="U2544">
        <v>0</v>
      </c>
      <c r="V2544" t="s">
        <v>541</v>
      </c>
      <c r="W2544" t="s">
        <v>575</v>
      </c>
      <c r="X2544" s="784">
        <v>149463302.00602186</v>
      </c>
    </row>
    <row r="2545" spans="1:24">
      <c r="A2545" t="s">
        <v>358</v>
      </c>
      <c r="B2545" t="s">
        <v>557</v>
      </c>
      <c r="C2545" t="s">
        <v>167</v>
      </c>
      <c r="D2545" t="s">
        <v>132</v>
      </c>
      <c r="E2545" t="s">
        <v>377</v>
      </c>
      <c r="F2545" t="s">
        <v>384</v>
      </c>
      <c r="G2545" t="s">
        <v>51</v>
      </c>
      <c r="H2545" t="s">
        <v>749</v>
      </c>
      <c r="I2545" t="s">
        <v>743</v>
      </c>
      <c r="J2545" t="s">
        <v>379</v>
      </c>
      <c r="K2545" t="s">
        <v>546</v>
      </c>
      <c r="L2545" s="784">
        <v>0</v>
      </c>
      <c r="M2545" t="s">
        <v>745</v>
      </c>
      <c r="N2545" s="784" t="s">
        <v>575</v>
      </c>
      <c r="O2545" t="s">
        <v>737</v>
      </c>
      <c r="P2545" t="s">
        <v>1887</v>
      </c>
      <c r="R2545" t="s">
        <v>150</v>
      </c>
      <c r="S2545" t="s">
        <v>145</v>
      </c>
      <c r="U2545">
        <v>0</v>
      </c>
      <c r="V2545" t="s">
        <v>544</v>
      </c>
      <c r="W2545" t="s">
        <v>558</v>
      </c>
      <c r="X2545" s="784">
        <v>1148322593.9600098</v>
      </c>
    </row>
    <row r="2546" spans="1:24">
      <c r="A2546" t="s">
        <v>358</v>
      </c>
      <c r="B2546" t="s">
        <v>559</v>
      </c>
      <c r="C2546" t="s">
        <v>168</v>
      </c>
      <c r="D2546" t="s">
        <v>127</v>
      </c>
      <c r="E2546" t="s">
        <v>377</v>
      </c>
      <c r="F2546" t="s">
        <v>384</v>
      </c>
      <c r="G2546" t="s">
        <v>51</v>
      </c>
      <c r="H2546" t="s">
        <v>749</v>
      </c>
      <c r="I2546" t="s">
        <v>743</v>
      </c>
      <c r="J2546" t="s">
        <v>379</v>
      </c>
      <c r="K2546" t="s">
        <v>546</v>
      </c>
      <c r="L2546" s="784">
        <v>0</v>
      </c>
      <c r="M2546" t="s">
        <v>745</v>
      </c>
      <c r="N2546" s="784" t="s">
        <v>575</v>
      </c>
      <c r="O2546" t="s">
        <v>737</v>
      </c>
      <c r="P2546" t="s">
        <v>1887</v>
      </c>
      <c r="R2546" t="s">
        <v>152</v>
      </c>
      <c r="S2546" t="s">
        <v>146</v>
      </c>
      <c r="U2546">
        <v>0</v>
      </c>
      <c r="V2546" t="s">
        <v>544</v>
      </c>
      <c r="W2546" t="s">
        <v>575</v>
      </c>
      <c r="X2546" s="784">
        <v>2371102058.1093163</v>
      </c>
    </row>
    <row r="2547" spans="1:24">
      <c r="A2547" t="s">
        <v>358</v>
      </c>
      <c r="B2547" t="s">
        <v>560</v>
      </c>
      <c r="C2547" t="s">
        <v>169</v>
      </c>
      <c r="D2547" t="s">
        <v>130</v>
      </c>
      <c r="E2547" t="s">
        <v>377</v>
      </c>
      <c r="F2547" t="s">
        <v>384</v>
      </c>
      <c r="G2547" t="s">
        <v>51</v>
      </c>
      <c r="H2547" t="s">
        <v>749</v>
      </c>
      <c r="I2547" t="s">
        <v>743</v>
      </c>
      <c r="J2547" t="s">
        <v>379</v>
      </c>
      <c r="K2547" t="s">
        <v>546</v>
      </c>
      <c r="L2547" s="784">
        <v>0</v>
      </c>
      <c r="M2547" t="s">
        <v>745</v>
      </c>
      <c r="N2547" s="784" t="s">
        <v>575</v>
      </c>
      <c r="O2547" t="s">
        <v>737</v>
      </c>
      <c r="P2547" t="s">
        <v>1887</v>
      </c>
      <c r="R2547" t="s">
        <v>150</v>
      </c>
      <c r="S2547" t="s">
        <v>146</v>
      </c>
      <c r="U2547">
        <v>0</v>
      </c>
      <c r="V2547" t="s">
        <v>541</v>
      </c>
      <c r="W2547" t="s">
        <v>546</v>
      </c>
      <c r="X2547" s="784">
        <v>75151620.005215243</v>
      </c>
    </row>
    <row r="2548" spans="1:24">
      <c r="A2548" t="s">
        <v>358</v>
      </c>
      <c r="B2548" t="s">
        <v>561</v>
      </c>
      <c r="C2548" t="s">
        <v>170</v>
      </c>
      <c r="D2548" t="s">
        <v>129</v>
      </c>
      <c r="E2548" t="s">
        <v>377</v>
      </c>
      <c r="F2548" t="s">
        <v>384</v>
      </c>
      <c r="G2548" t="s">
        <v>51</v>
      </c>
      <c r="H2548" t="s">
        <v>749</v>
      </c>
      <c r="I2548" t="s">
        <v>743</v>
      </c>
      <c r="J2548" t="s">
        <v>379</v>
      </c>
      <c r="K2548" t="s">
        <v>546</v>
      </c>
      <c r="L2548" s="784">
        <v>0</v>
      </c>
      <c r="M2548" t="s">
        <v>745</v>
      </c>
      <c r="N2548" s="784" t="s">
        <v>575</v>
      </c>
      <c r="O2548" t="s">
        <v>737</v>
      </c>
      <c r="P2548" t="s">
        <v>1887</v>
      </c>
      <c r="R2548" t="s">
        <v>150</v>
      </c>
      <c r="S2548" t="s">
        <v>145</v>
      </c>
      <c r="U2548">
        <v>0</v>
      </c>
      <c r="V2548" t="s">
        <v>544</v>
      </c>
      <c r="W2548" t="s">
        <v>562</v>
      </c>
      <c r="X2548" s="784">
        <v>69958487.197715744</v>
      </c>
    </row>
    <row r="2549" spans="1:24">
      <c r="A2549" t="s">
        <v>358</v>
      </c>
      <c r="B2549" t="s">
        <v>563</v>
      </c>
      <c r="C2549" t="s">
        <v>171</v>
      </c>
      <c r="D2549" t="s">
        <v>132</v>
      </c>
      <c r="E2549" t="s">
        <v>377</v>
      </c>
      <c r="F2549" t="s">
        <v>384</v>
      </c>
      <c r="G2549" t="s">
        <v>51</v>
      </c>
      <c r="H2549" t="s">
        <v>749</v>
      </c>
      <c r="I2549" t="s">
        <v>743</v>
      </c>
      <c r="J2549" t="s">
        <v>379</v>
      </c>
      <c r="K2549" t="s">
        <v>546</v>
      </c>
      <c r="L2549" s="784">
        <v>0</v>
      </c>
      <c r="M2549" t="s">
        <v>745</v>
      </c>
      <c r="N2549" s="784" t="s">
        <v>575</v>
      </c>
      <c r="O2549" t="s">
        <v>737</v>
      </c>
      <c r="P2549" t="s">
        <v>1887</v>
      </c>
      <c r="R2549" t="s">
        <v>150</v>
      </c>
      <c r="S2549" t="s">
        <v>145</v>
      </c>
      <c r="U2549">
        <v>0</v>
      </c>
      <c r="V2549" t="s">
        <v>544</v>
      </c>
      <c r="W2549" t="s">
        <v>548</v>
      </c>
      <c r="X2549" s="784">
        <v>61654608.560629159</v>
      </c>
    </row>
    <row r="2550" spans="1:24">
      <c r="A2550" t="s">
        <v>358</v>
      </c>
      <c r="B2550" t="s">
        <v>564</v>
      </c>
      <c r="C2550" t="s">
        <v>172</v>
      </c>
      <c r="D2550" t="s">
        <v>130</v>
      </c>
      <c r="E2550" t="s">
        <v>377</v>
      </c>
      <c r="F2550" t="s">
        <v>384</v>
      </c>
      <c r="G2550" t="s">
        <v>51</v>
      </c>
      <c r="H2550" t="s">
        <v>749</v>
      </c>
      <c r="I2550" t="s">
        <v>743</v>
      </c>
      <c r="J2550" t="s">
        <v>379</v>
      </c>
      <c r="K2550" t="s">
        <v>546</v>
      </c>
      <c r="L2550" s="784">
        <v>0</v>
      </c>
      <c r="M2550" t="s">
        <v>745</v>
      </c>
      <c r="N2550" s="784" t="s">
        <v>575</v>
      </c>
      <c r="O2550" t="s">
        <v>737</v>
      </c>
      <c r="P2550" t="s">
        <v>1887</v>
      </c>
      <c r="R2550" t="s">
        <v>150</v>
      </c>
      <c r="S2550" t="s">
        <v>145</v>
      </c>
      <c r="U2550">
        <v>0</v>
      </c>
      <c r="V2550" t="s">
        <v>544</v>
      </c>
      <c r="W2550" t="s">
        <v>546</v>
      </c>
      <c r="X2550" s="784">
        <v>1806638707.7615163</v>
      </c>
    </row>
    <row r="2551" spans="1:24">
      <c r="A2551" t="s">
        <v>358</v>
      </c>
      <c r="B2551" t="s">
        <v>565</v>
      </c>
      <c r="C2551" t="s">
        <v>174</v>
      </c>
      <c r="D2551" t="s">
        <v>127</v>
      </c>
      <c r="E2551" t="s">
        <v>377</v>
      </c>
      <c r="F2551" t="s">
        <v>384</v>
      </c>
      <c r="G2551" t="s">
        <v>51</v>
      </c>
      <c r="H2551" t="s">
        <v>749</v>
      </c>
      <c r="I2551" t="s">
        <v>743</v>
      </c>
      <c r="J2551" t="s">
        <v>379</v>
      </c>
      <c r="K2551" t="s">
        <v>546</v>
      </c>
      <c r="L2551" s="784">
        <v>0</v>
      </c>
      <c r="M2551" t="s">
        <v>745</v>
      </c>
      <c r="N2551" s="784" t="s">
        <v>575</v>
      </c>
      <c r="O2551" t="s">
        <v>737</v>
      </c>
      <c r="P2551" t="s">
        <v>1887</v>
      </c>
      <c r="R2551" t="s">
        <v>152</v>
      </c>
      <c r="S2551" t="s">
        <v>146</v>
      </c>
      <c r="U2551">
        <v>0</v>
      </c>
      <c r="V2551" t="s">
        <v>544</v>
      </c>
      <c r="W2551" t="s">
        <v>546</v>
      </c>
      <c r="X2551" s="784">
        <v>1252696525.0627904</v>
      </c>
    </row>
    <row r="2552" spans="1:24">
      <c r="A2552" t="s">
        <v>358</v>
      </c>
      <c r="B2552" t="s">
        <v>566</v>
      </c>
      <c r="C2552" t="s">
        <v>175</v>
      </c>
      <c r="D2552" t="s">
        <v>128</v>
      </c>
      <c r="E2552" t="s">
        <v>377</v>
      </c>
      <c r="F2552" t="s">
        <v>384</v>
      </c>
      <c r="G2552" t="s">
        <v>51</v>
      </c>
      <c r="H2552" t="s">
        <v>749</v>
      </c>
      <c r="I2552" t="s">
        <v>743</v>
      </c>
      <c r="J2552" t="s">
        <v>379</v>
      </c>
      <c r="K2552" t="s">
        <v>546</v>
      </c>
      <c r="L2552" s="784">
        <v>0</v>
      </c>
      <c r="M2552" t="s">
        <v>745</v>
      </c>
      <c r="N2552" s="784" t="s">
        <v>575</v>
      </c>
      <c r="O2552" t="s">
        <v>737</v>
      </c>
      <c r="P2552" t="s">
        <v>1887</v>
      </c>
      <c r="R2552" t="s">
        <v>152</v>
      </c>
      <c r="S2552" t="s">
        <v>146</v>
      </c>
      <c r="U2552">
        <v>0</v>
      </c>
      <c r="V2552" t="s">
        <v>544</v>
      </c>
      <c r="W2552" t="s">
        <v>575</v>
      </c>
      <c r="X2552" s="784">
        <v>843425084.07334602</v>
      </c>
    </row>
    <row r="2553" spans="1:24">
      <c r="A2553" t="s">
        <v>358</v>
      </c>
      <c r="B2553" t="s">
        <v>567</v>
      </c>
      <c r="C2553" t="s">
        <v>144</v>
      </c>
      <c r="D2553" t="s">
        <v>130</v>
      </c>
      <c r="E2553" t="s">
        <v>377</v>
      </c>
      <c r="F2553" t="s">
        <v>384</v>
      </c>
      <c r="G2553" t="s">
        <v>51</v>
      </c>
      <c r="H2553" t="s">
        <v>749</v>
      </c>
      <c r="I2553" t="s">
        <v>743</v>
      </c>
      <c r="J2553" t="s">
        <v>379</v>
      </c>
      <c r="K2553" t="s">
        <v>546</v>
      </c>
      <c r="L2553" s="784">
        <v>0</v>
      </c>
      <c r="M2553" t="s">
        <v>745</v>
      </c>
      <c r="N2553" s="784" t="s">
        <v>575</v>
      </c>
      <c r="O2553" t="s">
        <v>737</v>
      </c>
      <c r="P2553" t="s">
        <v>1887</v>
      </c>
      <c r="R2553" t="s">
        <v>152</v>
      </c>
      <c r="S2553" t="s">
        <v>146</v>
      </c>
      <c r="U2553">
        <v>0</v>
      </c>
      <c r="V2553" t="s">
        <v>544</v>
      </c>
      <c r="W2553" t="s">
        <v>546</v>
      </c>
      <c r="X2553" s="784">
        <v>74055620038.853683</v>
      </c>
    </row>
    <row r="2554" spans="1:24">
      <c r="A2554" t="s">
        <v>358</v>
      </c>
      <c r="B2554" t="s">
        <v>568</v>
      </c>
      <c r="C2554" t="s">
        <v>176</v>
      </c>
      <c r="D2554" t="s">
        <v>127</v>
      </c>
      <c r="E2554" t="s">
        <v>377</v>
      </c>
      <c r="F2554" t="s">
        <v>384</v>
      </c>
      <c r="G2554" t="s">
        <v>51</v>
      </c>
      <c r="H2554" t="s">
        <v>749</v>
      </c>
      <c r="I2554" t="s">
        <v>743</v>
      </c>
      <c r="J2554" t="s">
        <v>379</v>
      </c>
      <c r="K2554" t="s">
        <v>546</v>
      </c>
      <c r="L2554" s="784">
        <v>0</v>
      </c>
      <c r="M2554" t="s">
        <v>745</v>
      </c>
      <c r="N2554" s="784" t="s">
        <v>575</v>
      </c>
      <c r="O2554" t="s">
        <v>737</v>
      </c>
      <c r="P2554" t="s">
        <v>1887</v>
      </c>
      <c r="R2554" t="s">
        <v>152</v>
      </c>
      <c r="S2554" t="s">
        <v>146</v>
      </c>
      <c r="U2554">
        <v>0</v>
      </c>
      <c r="V2554" t="s">
        <v>544</v>
      </c>
      <c r="W2554" t="s">
        <v>575</v>
      </c>
      <c r="X2554" s="784">
        <v>2803357765.5888777</v>
      </c>
    </row>
    <row r="2555" spans="1:24">
      <c r="A2555" t="s">
        <v>358</v>
      </c>
      <c r="B2555" t="s">
        <v>569</v>
      </c>
      <c r="C2555" t="s">
        <v>177</v>
      </c>
      <c r="D2555" t="s">
        <v>129</v>
      </c>
      <c r="E2555" t="s">
        <v>377</v>
      </c>
      <c r="F2555" t="s">
        <v>384</v>
      </c>
      <c r="G2555" t="s">
        <v>51</v>
      </c>
      <c r="H2555" t="s">
        <v>749</v>
      </c>
      <c r="I2555" t="s">
        <v>743</v>
      </c>
      <c r="J2555" t="s">
        <v>379</v>
      </c>
      <c r="K2555" t="s">
        <v>546</v>
      </c>
      <c r="L2555" s="784">
        <v>0</v>
      </c>
      <c r="M2555" t="s">
        <v>745</v>
      </c>
      <c r="N2555" s="784" t="s">
        <v>575</v>
      </c>
      <c r="O2555" t="s">
        <v>737</v>
      </c>
      <c r="P2555" t="s">
        <v>1887</v>
      </c>
      <c r="R2555" t="s">
        <v>148</v>
      </c>
      <c r="S2555" t="s">
        <v>145</v>
      </c>
      <c r="U2555">
        <v>2</v>
      </c>
      <c r="V2555" t="s">
        <v>544</v>
      </c>
      <c r="W2555" t="s">
        <v>562</v>
      </c>
      <c r="X2555" s="784">
        <v>337927779.25510043</v>
      </c>
    </row>
    <row r="2556" spans="1:24">
      <c r="A2556" t="s">
        <v>358</v>
      </c>
      <c r="B2556" t="s">
        <v>570</v>
      </c>
      <c r="C2556" t="s">
        <v>178</v>
      </c>
      <c r="D2556" t="s">
        <v>128</v>
      </c>
      <c r="E2556" t="s">
        <v>377</v>
      </c>
      <c r="F2556" t="s">
        <v>384</v>
      </c>
      <c r="G2556" t="s">
        <v>51</v>
      </c>
      <c r="H2556" t="s">
        <v>749</v>
      </c>
      <c r="I2556" t="s">
        <v>743</v>
      </c>
      <c r="J2556" t="s">
        <v>379</v>
      </c>
      <c r="K2556" t="s">
        <v>546</v>
      </c>
      <c r="L2556" s="784">
        <v>0</v>
      </c>
      <c r="M2556" t="s">
        <v>745</v>
      </c>
      <c r="N2556" s="784" t="s">
        <v>575</v>
      </c>
      <c r="O2556" t="s">
        <v>737</v>
      </c>
      <c r="P2556" t="s">
        <v>1887</v>
      </c>
      <c r="R2556" t="s">
        <v>148</v>
      </c>
      <c r="S2556" t="s">
        <v>145</v>
      </c>
      <c r="U2556">
        <v>2</v>
      </c>
      <c r="V2556" t="s">
        <v>544</v>
      </c>
      <c r="W2556" t="s">
        <v>548</v>
      </c>
      <c r="X2556" s="784">
        <v>65979512.47399316</v>
      </c>
    </row>
    <row r="2557" spans="1:24">
      <c r="A2557" t="s">
        <v>358</v>
      </c>
      <c r="B2557" t="s">
        <v>571</v>
      </c>
      <c r="C2557" t="s">
        <v>179</v>
      </c>
      <c r="D2557" t="s">
        <v>129</v>
      </c>
      <c r="E2557" t="s">
        <v>377</v>
      </c>
      <c r="F2557" t="s">
        <v>384</v>
      </c>
      <c r="G2557" t="s">
        <v>51</v>
      </c>
      <c r="H2557" t="s">
        <v>749</v>
      </c>
      <c r="I2557" t="s">
        <v>743</v>
      </c>
      <c r="J2557" t="s">
        <v>379</v>
      </c>
      <c r="K2557" t="s">
        <v>546</v>
      </c>
      <c r="L2557" s="784">
        <v>0</v>
      </c>
      <c r="M2557" t="s">
        <v>745</v>
      </c>
      <c r="N2557" s="784" t="s">
        <v>575</v>
      </c>
      <c r="O2557" t="s">
        <v>737</v>
      </c>
      <c r="P2557" t="s">
        <v>1887</v>
      </c>
      <c r="R2557" t="s">
        <v>150</v>
      </c>
      <c r="S2557" t="s">
        <v>145</v>
      </c>
      <c r="U2557">
        <v>0</v>
      </c>
      <c r="V2557" t="s">
        <v>541</v>
      </c>
      <c r="W2557" t="s">
        <v>542</v>
      </c>
      <c r="X2557" s="784">
        <v>63748362.778827004</v>
      </c>
    </row>
    <row r="2558" spans="1:24">
      <c r="A2558" t="s">
        <v>358</v>
      </c>
      <c r="B2558" t="s">
        <v>572</v>
      </c>
      <c r="C2558" t="s">
        <v>180</v>
      </c>
      <c r="D2558" t="s">
        <v>126</v>
      </c>
      <c r="E2558" t="s">
        <v>377</v>
      </c>
      <c r="F2558" t="s">
        <v>384</v>
      </c>
      <c r="G2558" t="s">
        <v>51</v>
      </c>
      <c r="H2558" t="s">
        <v>749</v>
      </c>
      <c r="I2558" t="s">
        <v>743</v>
      </c>
      <c r="J2558" t="s">
        <v>379</v>
      </c>
      <c r="K2558" t="s">
        <v>546</v>
      </c>
      <c r="L2558" s="784">
        <v>0</v>
      </c>
      <c r="M2558" t="s">
        <v>745</v>
      </c>
      <c r="N2558" s="784" t="s">
        <v>575</v>
      </c>
      <c r="O2558" t="s">
        <v>737</v>
      </c>
      <c r="P2558" t="s">
        <v>1887</v>
      </c>
      <c r="R2558" t="s">
        <v>150</v>
      </c>
      <c r="S2558" t="s">
        <v>145</v>
      </c>
      <c r="U2558">
        <v>0</v>
      </c>
      <c r="V2558" t="s">
        <v>544</v>
      </c>
      <c r="W2558" t="s">
        <v>558</v>
      </c>
      <c r="X2558" s="784">
        <v>313039649.45369786</v>
      </c>
    </row>
    <row r="2559" spans="1:24">
      <c r="A2559" t="s">
        <v>358</v>
      </c>
      <c r="B2559" t="s">
        <v>573</v>
      </c>
      <c r="C2559" t="s">
        <v>181</v>
      </c>
      <c r="D2559" t="s">
        <v>129</v>
      </c>
      <c r="E2559" t="s">
        <v>377</v>
      </c>
      <c r="F2559" t="s">
        <v>384</v>
      </c>
      <c r="G2559" t="s">
        <v>51</v>
      </c>
      <c r="H2559" t="s">
        <v>749</v>
      </c>
      <c r="I2559" t="s">
        <v>743</v>
      </c>
      <c r="J2559" t="s">
        <v>379</v>
      </c>
      <c r="K2559" t="s">
        <v>546</v>
      </c>
      <c r="L2559" s="784">
        <v>0</v>
      </c>
      <c r="M2559" t="s">
        <v>745</v>
      </c>
      <c r="N2559" s="784" t="s">
        <v>575</v>
      </c>
      <c r="O2559" t="s">
        <v>737</v>
      </c>
      <c r="P2559" t="s">
        <v>1887</v>
      </c>
      <c r="R2559" t="s">
        <v>150</v>
      </c>
      <c r="S2559" t="s">
        <v>145</v>
      </c>
      <c r="U2559">
        <v>2</v>
      </c>
      <c r="V2559" t="s">
        <v>544</v>
      </c>
      <c r="W2559" t="s">
        <v>542</v>
      </c>
      <c r="X2559" s="784">
        <v>81361801.477472037</v>
      </c>
    </row>
    <row r="2560" spans="1:24">
      <c r="A2560" t="s">
        <v>358</v>
      </c>
      <c r="B2560" t="s">
        <v>574</v>
      </c>
      <c r="C2560" t="s">
        <v>182</v>
      </c>
      <c r="D2560" t="s">
        <v>129</v>
      </c>
      <c r="E2560" t="s">
        <v>377</v>
      </c>
      <c r="F2560" t="s">
        <v>384</v>
      </c>
      <c r="G2560" t="s">
        <v>51</v>
      </c>
      <c r="H2560" t="s">
        <v>749</v>
      </c>
      <c r="I2560" t="s">
        <v>743</v>
      </c>
      <c r="J2560" t="s">
        <v>379</v>
      </c>
      <c r="K2560" t="s">
        <v>546</v>
      </c>
      <c r="L2560" s="784">
        <v>0</v>
      </c>
      <c r="M2560" t="s">
        <v>745</v>
      </c>
      <c r="N2560" s="784" t="s">
        <v>575</v>
      </c>
      <c r="O2560" t="s">
        <v>737</v>
      </c>
      <c r="P2560" t="s">
        <v>1887</v>
      </c>
      <c r="R2560" t="s">
        <v>148</v>
      </c>
      <c r="S2560" t="s">
        <v>145</v>
      </c>
      <c r="U2560">
        <v>1</v>
      </c>
      <c r="V2560" t="s">
        <v>544</v>
      </c>
      <c r="W2560" t="s">
        <v>542</v>
      </c>
      <c r="X2560" s="784" t="s">
        <v>575</v>
      </c>
    </row>
    <row r="2561" spans="1:24">
      <c r="A2561" t="s">
        <v>358</v>
      </c>
      <c r="B2561" t="s">
        <v>576</v>
      </c>
      <c r="C2561" t="s">
        <v>183</v>
      </c>
      <c r="D2561" t="s">
        <v>129</v>
      </c>
      <c r="E2561" t="s">
        <v>377</v>
      </c>
      <c r="F2561" t="s">
        <v>384</v>
      </c>
      <c r="G2561" t="s">
        <v>51</v>
      </c>
      <c r="H2561" t="s">
        <v>749</v>
      </c>
      <c r="I2561" t="s">
        <v>743</v>
      </c>
      <c r="J2561" t="s">
        <v>379</v>
      </c>
      <c r="K2561" t="s">
        <v>546</v>
      </c>
      <c r="L2561" s="784">
        <v>0</v>
      </c>
      <c r="M2561" t="s">
        <v>745</v>
      </c>
      <c r="N2561" s="784" t="s">
        <v>575</v>
      </c>
      <c r="O2561" t="s">
        <v>737</v>
      </c>
      <c r="P2561" t="s">
        <v>1887</v>
      </c>
      <c r="R2561" t="s">
        <v>148</v>
      </c>
      <c r="S2561" t="s">
        <v>145</v>
      </c>
      <c r="U2561">
        <v>1</v>
      </c>
      <c r="V2561" t="s">
        <v>544</v>
      </c>
      <c r="W2561" t="s">
        <v>542</v>
      </c>
      <c r="X2561" s="784">
        <v>76939306.715636879</v>
      </c>
    </row>
    <row r="2562" spans="1:24">
      <c r="A2562" t="s">
        <v>358</v>
      </c>
      <c r="B2562" t="s">
        <v>577</v>
      </c>
      <c r="C2562" t="s">
        <v>184</v>
      </c>
      <c r="D2562" t="s">
        <v>130</v>
      </c>
      <c r="E2562" t="s">
        <v>377</v>
      </c>
      <c r="F2562" t="s">
        <v>384</v>
      </c>
      <c r="G2562" t="s">
        <v>51</v>
      </c>
      <c r="H2562" t="s">
        <v>749</v>
      </c>
      <c r="I2562" t="s">
        <v>743</v>
      </c>
      <c r="J2562" t="s">
        <v>379</v>
      </c>
      <c r="K2562" t="s">
        <v>546</v>
      </c>
      <c r="L2562" s="784">
        <v>0</v>
      </c>
      <c r="M2562" t="s">
        <v>745</v>
      </c>
      <c r="N2562" s="784" t="s">
        <v>575</v>
      </c>
      <c r="O2562" t="s">
        <v>737</v>
      </c>
      <c r="P2562" t="s">
        <v>1887</v>
      </c>
      <c r="R2562" t="s">
        <v>550</v>
      </c>
      <c r="S2562" t="s">
        <v>146</v>
      </c>
      <c r="U2562">
        <v>0</v>
      </c>
      <c r="V2562" t="s">
        <v>544</v>
      </c>
      <c r="W2562" t="s">
        <v>575</v>
      </c>
      <c r="X2562" s="784">
        <v>13859708717.682571</v>
      </c>
    </row>
    <row r="2563" spans="1:24">
      <c r="A2563" t="s">
        <v>358</v>
      </c>
      <c r="B2563" t="s">
        <v>578</v>
      </c>
      <c r="C2563" t="s">
        <v>185</v>
      </c>
      <c r="D2563" t="s">
        <v>126</v>
      </c>
      <c r="E2563" t="s">
        <v>377</v>
      </c>
      <c r="F2563" t="s">
        <v>384</v>
      </c>
      <c r="G2563" t="s">
        <v>51</v>
      </c>
      <c r="H2563" t="s">
        <v>749</v>
      </c>
      <c r="I2563" t="s">
        <v>743</v>
      </c>
      <c r="J2563" t="s">
        <v>379</v>
      </c>
      <c r="K2563" t="s">
        <v>546</v>
      </c>
      <c r="L2563" s="784">
        <v>0</v>
      </c>
      <c r="M2563" t="s">
        <v>745</v>
      </c>
      <c r="N2563" s="784" t="s">
        <v>575</v>
      </c>
      <c r="O2563" t="s">
        <v>737</v>
      </c>
      <c r="P2563" t="s">
        <v>1887</v>
      </c>
      <c r="R2563" t="s">
        <v>152</v>
      </c>
      <c r="S2563" t="s">
        <v>146</v>
      </c>
      <c r="U2563">
        <v>0</v>
      </c>
      <c r="V2563" t="s">
        <v>544</v>
      </c>
      <c r="W2563" t="s">
        <v>575</v>
      </c>
      <c r="X2563" s="784">
        <v>403567160707.7016</v>
      </c>
    </row>
    <row r="2564" spans="1:24">
      <c r="A2564" t="s">
        <v>358</v>
      </c>
      <c r="B2564" t="s">
        <v>579</v>
      </c>
      <c r="C2564" t="s">
        <v>186</v>
      </c>
      <c r="D2564" t="s">
        <v>130</v>
      </c>
      <c r="E2564" t="s">
        <v>377</v>
      </c>
      <c r="F2564" t="s">
        <v>384</v>
      </c>
      <c r="G2564" t="s">
        <v>51</v>
      </c>
      <c r="H2564" t="s">
        <v>749</v>
      </c>
      <c r="I2564" t="s">
        <v>743</v>
      </c>
      <c r="J2564" t="s">
        <v>379</v>
      </c>
      <c r="K2564" t="s">
        <v>546</v>
      </c>
      <c r="L2564" s="784">
        <v>0</v>
      </c>
      <c r="M2564" t="s">
        <v>745</v>
      </c>
      <c r="N2564" s="784" t="s">
        <v>575</v>
      </c>
      <c r="O2564" t="s">
        <v>737</v>
      </c>
      <c r="P2564" t="s">
        <v>1887</v>
      </c>
      <c r="R2564" t="s">
        <v>152</v>
      </c>
      <c r="S2564" t="s">
        <v>146</v>
      </c>
      <c r="U2564">
        <v>0</v>
      </c>
      <c r="V2564" t="s">
        <v>544</v>
      </c>
      <c r="W2564" t="s">
        <v>575</v>
      </c>
      <c r="X2564" s="784">
        <v>18250225995.972618</v>
      </c>
    </row>
    <row r="2565" spans="1:24">
      <c r="A2565" t="s">
        <v>358</v>
      </c>
      <c r="B2565" t="s">
        <v>580</v>
      </c>
      <c r="C2565" t="s">
        <v>187</v>
      </c>
      <c r="D2565" t="s">
        <v>128</v>
      </c>
      <c r="E2565" t="s">
        <v>377</v>
      </c>
      <c r="F2565" t="s">
        <v>384</v>
      </c>
      <c r="G2565" t="s">
        <v>51</v>
      </c>
      <c r="H2565" t="s">
        <v>749</v>
      </c>
      <c r="I2565" t="s">
        <v>743</v>
      </c>
      <c r="J2565" t="s">
        <v>379</v>
      </c>
      <c r="K2565" t="s">
        <v>546</v>
      </c>
      <c r="L2565" s="784">
        <v>0</v>
      </c>
      <c r="M2565" t="s">
        <v>745</v>
      </c>
      <c r="N2565" s="784" t="s">
        <v>575</v>
      </c>
      <c r="O2565" t="s">
        <v>737</v>
      </c>
      <c r="P2565" t="s">
        <v>1887</v>
      </c>
      <c r="R2565" t="s">
        <v>150</v>
      </c>
      <c r="S2565" t="s">
        <v>145</v>
      </c>
      <c r="U2565">
        <v>0</v>
      </c>
      <c r="V2565" t="s">
        <v>541</v>
      </c>
      <c r="W2565" t="s">
        <v>562</v>
      </c>
      <c r="X2565" s="784">
        <v>5027591.1682657599</v>
      </c>
    </row>
    <row r="2566" spans="1:24">
      <c r="A2566" t="s">
        <v>358</v>
      </c>
      <c r="B2566" t="s">
        <v>581</v>
      </c>
      <c r="C2566" t="s">
        <v>188</v>
      </c>
      <c r="D2566" t="s">
        <v>129</v>
      </c>
      <c r="E2566" t="s">
        <v>377</v>
      </c>
      <c r="F2566" t="s">
        <v>384</v>
      </c>
      <c r="G2566" t="s">
        <v>51</v>
      </c>
      <c r="H2566" t="s">
        <v>749</v>
      </c>
      <c r="I2566" t="s">
        <v>743</v>
      </c>
      <c r="J2566" t="s">
        <v>379</v>
      </c>
      <c r="K2566" t="s">
        <v>546</v>
      </c>
      <c r="L2566" s="784">
        <v>0</v>
      </c>
      <c r="M2566" t="s">
        <v>745</v>
      </c>
      <c r="N2566" s="784" t="s">
        <v>575</v>
      </c>
      <c r="O2566" t="s">
        <v>737</v>
      </c>
      <c r="P2566" t="s">
        <v>1887</v>
      </c>
      <c r="R2566" t="s">
        <v>148</v>
      </c>
      <c r="S2566" t="s">
        <v>145</v>
      </c>
      <c r="U2566">
        <v>3</v>
      </c>
      <c r="V2566" t="s">
        <v>544</v>
      </c>
      <c r="W2566" t="s">
        <v>562</v>
      </c>
      <c r="X2566" s="784">
        <v>234645958.63289919</v>
      </c>
    </row>
    <row r="2567" spans="1:24">
      <c r="A2567" t="s">
        <v>358</v>
      </c>
      <c r="B2567" t="s">
        <v>582</v>
      </c>
      <c r="C2567" t="s">
        <v>189</v>
      </c>
      <c r="D2567" t="s">
        <v>129</v>
      </c>
      <c r="E2567" t="s">
        <v>377</v>
      </c>
      <c r="F2567" t="s">
        <v>384</v>
      </c>
      <c r="G2567" t="s">
        <v>51</v>
      </c>
      <c r="H2567" t="s">
        <v>749</v>
      </c>
      <c r="I2567" t="s">
        <v>743</v>
      </c>
      <c r="J2567" t="s">
        <v>379</v>
      </c>
      <c r="K2567" t="s">
        <v>546</v>
      </c>
      <c r="L2567" s="784">
        <v>0</v>
      </c>
      <c r="M2567" t="s">
        <v>745</v>
      </c>
      <c r="N2567" s="784" t="s">
        <v>575</v>
      </c>
      <c r="O2567" t="s">
        <v>737</v>
      </c>
      <c r="P2567" t="s">
        <v>1887</v>
      </c>
      <c r="R2567" t="s">
        <v>150</v>
      </c>
      <c r="S2567" t="s">
        <v>145</v>
      </c>
      <c r="U2567">
        <v>2</v>
      </c>
      <c r="V2567" t="s">
        <v>544</v>
      </c>
      <c r="W2567" t="s">
        <v>583</v>
      </c>
      <c r="X2567" s="784">
        <v>91590910.247314155</v>
      </c>
    </row>
    <row r="2568" spans="1:24">
      <c r="A2568" t="s">
        <v>358</v>
      </c>
      <c r="B2568" t="s">
        <v>584</v>
      </c>
      <c r="C2568" t="s">
        <v>190</v>
      </c>
      <c r="D2568" t="s">
        <v>126</v>
      </c>
      <c r="E2568" t="s">
        <v>377</v>
      </c>
      <c r="F2568" t="s">
        <v>384</v>
      </c>
      <c r="G2568" t="s">
        <v>51</v>
      </c>
      <c r="H2568" t="s">
        <v>749</v>
      </c>
      <c r="I2568" t="s">
        <v>743</v>
      </c>
      <c r="J2568" t="s">
        <v>379</v>
      </c>
      <c r="K2568" t="s">
        <v>546</v>
      </c>
      <c r="L2568" s="784">
        <v>0</v>
      </c>
      <c r="M2568" t="s">
        <v>745</v>
      </c>
      <c r="N2568" s="784" t="s">
        <v>575</v>
      </c>
      <c r="O2568" t="s">
        <v>737</v>
      </c>
      <c r="P2568" t="s">
        <v>1887</v>
      </c>
      <c r="R2568" t="s">
        <v>322</v>
      </c>
      <c r="S2568" t="s">
        <v>146</v>
      </c>
      <c r="U2568">
        <v>0</v>
      </c>
      <c r="V2568" t="s">
        <v>541</v>
      </c>
      <c r="W2568" t="s">
        <v>546</v>
      </c>
      <c r="X2568" s="784">
        <v>8560012.8840167802</v>
      </c>
    </row>
    <row r="2569" spans="1:24">
      <c r="A2569" t="s">
        <v>358</v>
      </c>
      <c r="B2569" t="s">
        <v>585</v>
      </c>
      <c r="C2569" t="s">
        <v>191</v>
      </c>
      <c r="D2569" t="s">
        <v>130</v>
      </c>
      <c r="E2569" t="s">
        <v>377</v>
      </c>
      <c r="F2569" t="s">
        <v>384</v>
      </c>
      <c r="G2569" t="s">
        <v>51</v>
      </c>
      <c r="H2569" t="s">
        <v>749</v>
      </c>
      <c r="I2569" t="s">
        <v>743</v>
      </c>
      <c r="J2569" t="s">
        <v>379</v>
      </c>
      <c r="K2569" t="s">
        <v>546</v>
      </c>
      <c r="L2569" s="784">
        <v>0</v>
      </c>
      <c r="M2569" t="s">
        <v>745</v>
      </c>
      <c r="N2569" s="784" t="s">
        <v>575</v>
      </c>
      <c r="O2569" t="s">
        <v>737</v>
      </c>
      <c r="P2569" t="s">
        <v>1887</v>
      </c>
      <c r="R2569" t="s">
        <v>152</v>
      </c>
      <c r="S2569" t="s">
        <v>146</v>
      </c>
      <c r="U2569">
        <v>0</v>
      </c>
      <c r="V2569" t="s">
        <v>544</v>
      </c>
      <c r="W2569" t="s">
        <v>546</v>
      </c>
      <c r="X2569" s="784">
        <v>3292372960.3962669</v>
      </c>
    </row>
    <row r="2570" spans="1:24">
      <c r="A2570" t="s">
        <v>358</v>
      </c>
      <c r="B2570" t="s">
        <v>586</v>
      </c>
      <c r="C2570" t="s">
        <v>192</v>
      </c>
      <c r="D2570" t="s">
        <v>129</v>
      </c>
      <c r="E2570" t="s">
        <v>377</v>
      </c>
      <c r="F2570" t="s">
        <v>384</v>
      </c>
      <c r="G2570" t="s">
        <v>51</v>
      </c>
      <c r="H2570" t="s">
        <v>749</v>
      </c>
      <c r="I2570" t="s">
        <v>743</v>
      </c>
      <c r="J2570" t="s">
        <v>379</v>
      </c>
      <c r="K2570" t="s">
        <v>546</v>
      </c>
      <c r="L2570" s="784">
        <v>0</v>
      </c>
      <c r="M2570" t="s">
        <v>745</v>
      </c>
      <c r="N2570" s="784" t="s">
        <v>575</v>
      </c>
      <c r="O2570" t="s">
        <v>737</v>
      </c>
      <c r="P2570" t="s">
        <v>1887</v>
      </c>
      <c r="R2570" t="s">
        <v>150</v>
      </c>
      <c r="S2570" t="s">
        <v>145</v>
      </c>
      <c r="U2570">
        <v>0</v>
      </c>
      <c r="V2570" t="s">
        <v>544</v>
      </c>
      <c r="W2570" t="s">
        <v>562</v>
      </c>
      <c r="X2570" s="784">
        <v>519209981.22981054</v>
      </c>
    </row>
    <row r="2571" spans="1:24">
      <c r="A2571" t="s">
        <v>358</v>
      </c>
      <c r="B2571" t="s">
        <v>587</v>
      </c>
      <c r="C2571" t="s">
        <v>193</v>
      </c>
      <c r="D2571" t="s">
        <v>127</v>
      </c>
      <c r="E2571" t="s">
        <v>377</v>
      </c>
      <c r="F2571" t="s">
        <v>384</v>
      </c>
      <c r="G2571" t="s">
        <v>51</v>
      </c>
      <c r="H2571" t="s">
        <v>749</v>
      </c>
      <c r="I2571" t="s">
        <v>743</v>
      </c>
      <c r="J2571" t="s">
        <v>379</v>
      </c>
      <c r="K2571" t="s">
        <v>546</v>
      </c>
      <c r="L2571" s="784">
        <v>0</v>
      </c>
      <c r="M2571" t="s">
        <v>745</v>
      </c>
      <c r="N2571" s="784" t="s">
        <v>575</v>
      </c>
      <c r="O2571" t="s">
        <v>737</v>
      </c>
      <c r="P2571" t="s">
        <v>1887</v>
      </c>
      <c r="R2571" t="s">
        <v>550</v>
      </c>
      <c r="S2571" t="s">
        <v>146</v>
      </c>
      <c r="U2571">
        <v>0</v>
      </c>
      <c r="V2571" t="s">
        <v>544</v>
      </c>
      <c r="W2571" t="s">
        <v>575</v>
      </c>
      <c r="X2571" s="784">
        <v>3464739907.1604805</v>
      </c>
    </row>
    <row r="2572" spans="1:24">
      <c r="A2572" t="s">
        <v>358</v>
      </c>
      <c r="B2572" t="s">
        <v>588</v>
      </c>
      <c r="C2572" t="s">
        <v>147</v>
      </c>
      <c r="D2572" t="s">
        <v>130</v>
      </c>
      <c r="E2572" t="s">
        <v>377</v>
      </c>
      <c r="F2572" t="s">
        <v>384</v>
      </c>
      <c r="G2572" t="s">
        <v>51</v>
      </c>
      <c r="H2572" t="s">
        <v>749</v>
      </c>
      <c r="I2572" t="s">
        <v>743</v>
      </c>
      <c r="J2572" t="s">
        <v>379</v>
      </c>
      <c r="K2572" t="s">
        <v>546</v>
      </c>
      <c r="L2572" s="784">
        <v>0</v>
      </c>
      <c r="M2572" t="s">
        <v>745</v>
      </c>
      <c r="N2572" s="784" t="s">
        <v>575</v>
      </c>
      <c r="O2572" t="s">
        <v>737</v>
      </c>
      <c r="P2572" t="s">
        <v>1887</v>
      </c>
      <c r="R2572" t="s">
        <v>152</v>
      </c>
      <c r="S2572" t="s">
        <v>146</v>
      </c>
      <c r="U2572">
        <v>0</v>
      </c>
      <c r="V2572" t="s">
        <v>541</v>
      </c>
      <c r="W2572" t="s">
        <v>575</v>
      </c>
      <c r="X2572" s="784">
        <v>9948521252.2569065</v>
      </c>
    </row>
    <row r="2573" spans="1:24">
      <c r="A2573" t="s">
        <v>358</v>
      </c>
      <c r="B2573" t="s">
        <v>589</v>
      </c>
      <c r="C2573" t="s">
        <v>194</v>
      </c>
      <c r="D2573" t="s">
        <v>131</v>
      </c>
      <c r="E2573" t="s">
        <v>377</v>
      </c>
      <c r="F2573" t="s">
        <v>384</v>
      </c>
      <c r="G2573" t="s">
        <v>51</v>
      </c>
      <c r="H2573" t="s">
        <v>749</v>
      </c>
      <c r="I2573" t="s">
        <v>743</v>
      </c>
      <c r="J2573" t="s">
        <v>379</v>
      </c>
      <c r="K2573" t="s">
        <v>546</v>
      </c>
      <c r="L2573" s="784">
        <v>0</v>
      </c>
      <c r="M2573" t="s">
        <v>745</v>
      </c>
      <c r="N2573" s="784" t="s">
        <v>575</v>
      </c>
      <c r="O2573" t="s">
        <v>737</v>
      </c>
      <c r="P2573" t="s">
        <v>1887</v>
      </c>
      <c r="R2573" t="s">
        <v>150</v>
      </c>
      <c r="S2573" t="s">
        <v>145</v>
      </c>
      <c r="U2573">
        <v>1</v>
      </c>
      <c r="V2573" t="s">
        <v>544</v>
      </c>
      <c r="W2573" t="s">
        <v>542</v>
      </c>
      <c r="X2573" s="784">
        <v>33679192.765657313</v>
      </c>
    </row>
    <row r="2574" spans="1:24">
      <c r="A2574" t="s">
        <v>358</v>
      </c>
      <c r="B2574" t="s">
        <v>590</v>
      </c>
      <c r="C2574" t="s">
        <v>195</v>
      </c>
      <c r="D2574" t="s">
        <v>130</v>
      </c>
      <c r="E2574" t="s">
        <v>377</v>
      </c>
      <c r="F2574" t="s">
        <v>384</v>
      </c>
      <c r="G2574" t="s">
        <v>51</v>
      </c>
      <c r="H2574" t="s">
        <v>749</v>
      </c>
      <c r="I2574" t="s">
        <v>743</v>
      </c>
      <c r="J2574" t="s">
        <v>379</v>
      </c>
      <c r="K2574" t="s">
        <v>546</v>
      </c>
      <c r="L2574" s="784">
        <v>0</v>
      </c>
      <c r="M2574" t="s">
        <v>745</v>
      </c>
      <c r="N2574" s="784" t="s">
        <v>575</v>
      </c>
      <c r="O2574" t="s">
        <v>737</v>
      </c>
      <c r="P2574" t="s">
        <v>1887</v>
      </c>
      <c r="R2574" t="s">
        <v>152</v>
      </c>
      <c r="S2574" t="s">
        <v>145</v>
      </c>
      <c r="U2574">
        <v>0</v>
      </c>
      <c r="V2574" t="s">
        <v>541</v>
      </c>
      <c r="W2574" t="s">
        <v>548</v>
      </c>
      <c r="X2574" s="784">
        <v>22784494.365742501</v>
      </c>
    </row>
    <row r="2575" spans="1:24">
      <c r="A2575" t="s">
        <v>358</v>
      </c>
      <c r="B2575" t="s">
        <v>591</v>
      </c>
      <c r="C2575" t="s">
        <v>196</v>
      </c>
      <c r="D2575" t="s">
        <v>130</v>
      </c>
      <c r="E2575" t="s">
        <v>377</v>
      </c>
      <c r="F2575" t="s">
        <v>384</v>
      </c>
      <c r="G2575" t="s">
        <v>51</v>
      </c>
      <c r="H2575" t="s">
        <v>749</v>
      </c>
      <c r="I2575" t="s">
        <v>743</v>
      </c>
      <c r="J2575" t="s">
        <v>379</v>
      </c>
      <c r="K2575" t="s">
        <v>546</v>
      </c>
      <c r="L2575" s="784">
        <v>0</v>
      </c>
      <c r="M2575" t="s">
        <v>745</v>
      </c>
      <c r="N2575" s="784" t="s">
        <v>575</v>
      </c>
      <c r="O2575" t="s">
        <v>737</v>
      </c>
      <c r="P2575" t="s">
        <v>1887</v>
      </c>
      <c r="R2575" t="s">
        <v>152</v>
      </c>
      <c r="S2575" t="s">
        <v>146</v>
      </c>
      <c r="U2575">
        <v>0</v>
      </c>
      <c r="V2575" t="s">
        <v>541</v>
      </c>
      <c r="W2575" t="s">
        <v>575</v>
      </c>
      <c r="X2575" s="784">
        <v>2173208011.4858823</v>
      </c>
    </row>
    <row r="2576" spans="1:24">
      <c r="A2576" t="s">
        <v>358</v>
      </c>
      <c r="B2576" t="s">
        <v>592</v>
      </c>
      <c r="C2576" t="s">
        <v>197</v>
      </c>
      <c r="D2576" t="s">
        <v>130</v>
      </c>
      <c r="E2576" t="s">
        <v>377</v>
      </c>
      <c r="F2576" t="s">
        <v>384</v>
      </c>
      <c r="G2576" t="s">
        <v>51</v>
      </c>
      <c r="H2576" t="s">
        <v>749</v>
      </c>
      <c r="I2576" t="s">
        <v>743</v>
      </c>
      <c r="J2576" t="s">
        <v>379</v>
      </c>
      <c r="K2576" t="s">
        <v>546</v>
      </c>
      <c r="L2576" s="784">
        <v>0</v>
      </c>
      <c r="M2576" t="s">
        <v>745</v>
      </c>
      <c r="N2576" s="784" t="s">
        <v>575</v>
      </c>
      <c r="O2576" t="s">
        <v>737</v>
      </c>
      <c r="P2576" t="s">
        <v>1887</v>
      </c>
      <c r="R2576" t="s">
        <v>152</v>
      </c>
      <c r="S2576" t="s">
        <v>146</v>
      </c>
      <c r="U2576">
        <v>0</v>
      </c>
      <c r="V2576" t="s">
        <v>544</v>
      </c>
      <c r="W2576" t="s">
        <v>546</v>
      </c>
      <c r="X2576" s="784">
        <v>4585736158.8323269</v>
      </c>
    </row>
    <row r="2577" spans="1:24">
      <c r="A2577" t="s">
        <v>358</v>
      </c>
      <c r="B2577" t="s">
        <v>593</v>
      </c>
      <c r="C2577" t="s">
        <v>198</v>
      </c>
      <c r="D2577" t="s">
        <v>131</v>
      </c>
      <c r="E2577" t="s">
        <v>377</v>
      </c>
      <c r="F2577" t="s">
        <v>384</v>
      </c>
      <c r="G2577" t="s">
        <v>51</v>
      </c>
      <c r="H2577" t="s">
        <v>749</v>
      </c>
      <c r="I2577" t="s">
        <v>743</v>
      </c>
      <c r="J2577" t="s">
        <v>379</v>
      </c>
      <c r="K2577" t="s">
        <v>546</v>
      </c>
      <c r="L2577" s="784">
        <v>0</v>
      </c>
      <c r="M2577" t="s">
        <v>745</v>
      </c>
      <c r="N2577" s="784" t="s">
        <v>575</v>
      </c>
      <c r="O2577" t="s">
        <v>737</v>
      </c>
      <c r="P2577" t="s">
        <v>1887</v>
      </c>
      <c r="R2577" t="s">
        <v>150</v>
      </c>
      <c r="S2577" t="s">
        <v>145</v>
      </c>
      <c r="U2577">
        <v>0</v>
      </c>
      <c r="V2577" t="s">
        <v>544</v>
      </c>
      <c r="W2577" t="s">
        <v>546</v>
      </c>
      <c r="X2577" s="784">
        <v>3550291584.8645592</v>
      </c>
    </row>
    <row r="2578" spans="1:24">
      <c r="A2578" t="s">
        <v>358</v>
      </c>
      <c r="B2578" t="s">
        <v>594</v>
      </c>
      <c r="C2578" t="s">
        <v>199</v>
      </c>
      <c r="D2578" t="s">
        <v>130</v>
      </c>
      <c r="E2578" t="s">
        <v>377</v>
      </c>
      <c r="F2578" t="s">
        <v>384</v>
      </c>
      <c r="G2578" t="s">
        <v>51</v>
      </c>
      <c r="H2578" t="s">
        <v>749</v>
      </c>
      <c r="I2578" t="s">
        <v>743</v>
      </c>
      <c r="J2578" t="s">
        <v>379</v>
      </c>
      <c r="K2578" t="s">
        <v>546</v>
      </c>
      <c r="L2578" s="784">
        <v>0</v>
      </c>
      <c r="M2578" t="s">
        <v>745</v>
      </c>
      <c r="N2578" s="784" t="s">
        <v>575</v>
      </c>
      <c r="O2578" t="s">
        <v>737</v>
      </c>
      <c r="P2578" t="s">
        <v>1887</v>
      </c>
      <c r="R2578" t="s">
        <v>150</v>
      </c>
      <c r="S2578" t="s">
        <v>145</v>
      </c>
      <c r="U2578">
        <v>0</v>
      </c>
      <c r="V2578" t="s">
        <v>544</v>
      </c>
      <c r="W2578" t="s">
        <v>546</v>
      </c>
      <c r="X2578" s="784">
        <v>1182840319.0410969</v>
      </c>
    </row>
    <row r="2579" spans="1:24">
      <c r="A2579" t="s">
        <v>358</v>
      </c>
      <c r="B2579" t="s">
        <v>595</v>
      </c>
      <c r="C2579" t="s">
        <v>200</v>
      </c>
      <c r="D2579" t="s">
        <v>130</v>
      </c>
      <c r="E2579" t="s">
        <v>377</v>
      </c>
      <c r="F2579" t="s">
        <v>384</v>
      </c>
      <c r="G2579" t="s">
        <v>51</v>
      </c>
      <c r="H2579" t="s">
        <v>749</v>
      </c>
      <c r="I2579" t="s">
        <v>743</v>
      </c>
      <c r="J2579" t="s">
        <v>379</v>
      </c>
      <c r="K2579" t="s">
        <v>546</v>
      </c>
      <c r="L2579" s="784">
        <v>0</v>
      </c>
      <c r="M2579" t="s">
        <v>745</v>
      </c>
      <c r="N2579" s="784" t="s">
        <v>575</v>
      </c>
      <c r="O2579" t="s">
        <v>737</v>
      </c>
      <c r="P2579" t="s">
        <v>1887</v>
      </c>
      <c r="R2579" t="s">
        <v>152</v>
      </c>
      <c r="S2579" t="s">
        <v>146</v>
      </c>
      <c r="U2579">
        <v>0</v>
      </c>
      <c r="V2579" t="s">
        <v>544</v>
      </c>
      <c r="W2579" t="s">
        <v>575</v>
      </c>
      <c r="X2579" s="784">
        <v>81728347.604567245</v>
      </c>
    </row>
    <row r="2580" spans="1:24">
      <c r="A2580" t="s">
        <v>358</v>
      </c>
      <c r="B2580" t="s">
        <v>596</v>
      </c>
      <c r="C2580" t="s">
        <v>201</v>
      </c>
      <c r="D2580" t="s">
        <v>128</v>
      </c>
      <c r="E2580" t="s">
        <v>377</v>
      </c>
      <c r="F2580" t="s">
        <v>384</v>
      </c>
      <c r="G2580" t="s">
        <v>51</v>
      </c>
      <c r="H2580" t="s">
        <v>749</v>
      </c>
      <c r="I2580" t="s">
        <v>743</v>
      </c>
      <c r="J2580" t="s">
        <v>379</v>
      </c>
      <c r="K2580" t="s">
        <v>546</v>
      </c>
      <c r="L2580" s="784">
        <v>0</v>
      </c>
      <c r="M2580" t="s">
        <v>745</v>
      </c>
      <c r="N2580" s="784" t="s">
        <v>575</v>
      </c>
      <c r="O2580" t="s">
        <v>737</v>
      </c>
      <c r="P2580" t="s">
        <v>1887</v>
      </c>
      <c r="R2580" t="s">
        <v>148</v>
      </c>
      <c r="S2580" t="s">
        <v>145</v>
      </c>
      <c r="U2580">
        <v>2</v>
      </c>
      <c r="V2580" t="s">
        <v>544</v>
      </c>
      <c r="W2580" t="s">
        <v>546</v>
      </c>
      <c r="X2580" s="784">
        <v>12787914.977715338</v>
      </c>
    </row>
    <row r="2581" spans="1:24">
      <c r="A2581" t="s">
        <v>358</v>
      </c>
      <c r="B2581" t="s">
        <v>597</v>
      </c>
      <c r="C2581" t="s">
        <v>202</v>
      </c>
      <c r="D2581" t="s">
        <v>128</v>
      </c>
      <c r="E2581" t="s">
        <v>377</v>
      </c>
      <c r="F2581" t="s">
        <v>384</v>
      </c>
      <c r="G2581" t="s">
        <v>51</v>
      </c>
      <c r="H2581" t="s">
        <v>749</v>
      </c>
      <c r="I2581" t="s">
        <v>743</v>
      </c>
      <c r="J2581" t="s">
        <v>379</v>
      </c>
      <c r="K2581" t="s">
        <v>546</v>
      </c>
      <c r="L2581" s="784">
        <v>0</v>
      </c>
      <c r="M2581" t="s">
        <v>745</v>
      </c>
      <c r="N2581" s="784" t="s">
        <v>575</v>
      </c>
      <c r="O2581" t="s">
        <v>737</v>
      </c>
      <c r="P2581" t="s">
        <v>1887</v>
      </c>
      <c r="R2581" t="s">
        <v>150</v>
      </c>
      <c r="S2581" t="s">
        <v>145</v>
      </c>
      <c r="U2581">
        <v>2</v>
      </c>
      <c r="V2581" t="s">
        <v>544</v>
      </c>
      <c r="W2581" t="s">
        <v>546</v>
      </c>
      <c r="X2581" s="784">
        <v>101271737.65410839</v>
      </c>
    </row>
    <row r="2582" spans="1:24">
      <c r="A2582" t="s">
        <v>358</v>
      </c>
      <c r="B2582" t="s">
        <v>598</v>
      </c>
      <c r="C2582" t="s">
        <v>203</v>
      </c>
      <c r="D2582" t="s">
        <v>128</v>
      </c>
      <c r="E2582" t="s">
        <v>377</v>
      </c>
      <c r="F2582" t="s">
        <v>384</v>
      </c>
      <c r="G2582" t="s">
        <v>51</v>
      </c>
      <c r="H2582" t="s">
        <v>749</v>
      </c>
      <c r="I2582" t="s">
        <v>743</v>
      </c>
      <c r="J2582" t="s">
        <v>379</v>
      </c>
      <c r="K2582" t="s">
        <v>546</v>
      </c>
      <c r="L2582" s="784">
        <v>0</v>
      </c>
      <c r="M2582" t="s">
        <v>745</v>
      </c>
      <c r="N2582" s="784" t="s">
        <v>575</v>
      </c>
      <c r="O2582" t="s">
        <v>737</v>
      </c>
      <c r="P2582" t="s">
        <v>1887</v>
      </c>
      <c r="R2582" t="s">
        <v>148</v>
      </c>
      <c r="S2582" t="s">
        <v>145</v>
      </c>
      <c r="U2582">
        <v>3</v>
      </c>
      <c r="V2582" t="s">
        <v>544</v>
      </c>
      <c r="W2582" t="s">
        <v>542</v>
      </c>
      <c r="X2582" s="784">
        <v>618344226.71759331</v>
      </c>
    </row>
    <row r="2583" spans="1:24">
      <c r="A2583" t="s">
        <v>358</v>
      </c>
      <c r="B2583" t="s">
        <v>599</v>
      </c>
      <c r="C2583" t="s">
        <v>204</v>
      </c>
      <c r="D2583" t="s">
        <v>126</v>
      </c>
      <c r="E2583" t="s">
        <v>377</v>
      </c>
      <c r="F2583" t="s">
        <v>384</v>
      </c>
      <c r="G2583" t="s">
        <v>51</v>
      </c>
      <c r="H2583" t="s">
        <v>749</v>
      </c>
      <c r="I2583" t="s">
        <v>743</v>
      </c>
      <c r="J2583" t="s">
        <v>379</v>
      </c>
      <c r="K2583" t="s">
        <v>546</v>
      </c>
      <c r="L2583" s="784">
        <v>1000000</v>
      </c>
      <c r="M2583" t="s">
        <v>745</v>
      </c>
      <c r="N2583" s="784" t="s">
        <v>575</v>
      </c>
      <c r="O2583" t="s">
        <v>737</v>
      </c>
      <c r="P2583" t="s">
        <v>1887</v>
      </c>
      <c r="R2583" t="s">
        <v>152</v>
      </c>
      <c r="S2583" t="s">
        <v>145</v>
      </c>
      <c r="U2583">
        <v>0</v>
      </c>
      <c r="V2583" t="s">
        <v>541</v>
      </c>
      <c r="W2583" t="s">
        <v>548</v>
      </c>
      <c r="X2583" s="784">
        <v>129483872.95906857</v>
      </c>
    </row>
    <row r="2584" spans="1:24">
      <c r="A2584" t="s">
        <v>358</v>
      </c>
      <c r="B2584" t="s">
        <v>600</v>
      </c>
      <c r="C2584" t="s">
        <v>205</v>
      </c>
      <c r="D2584" t="s">
        <v>129</v>
      </c>
      <c r="E2584" t="s">
        <v>377</v>
      </c>
      <c r="F2584" t="s">
        <v>384</v>
      </c>
      <c r="G2584" t="s">
        <v>51</v>
      </c>
      <c r="H2584" t="s">
        <v>749</v>
      </c>
      <c r="I2584" t="s">
        <v>743</v>
      </c>
      <c r="J2584" t="s">
        <v>379</v>
      </c>
      <c r="K2584" t="s">
        <v>546</v>
      </c>
      <c r="L2584" s="784">
        <v>0</v>
      </c>
      <c r="M2584" t="s">
        <v>745</v>
      </c>
      <c r="N2584" s="784" t="s">
        <v>575</v>
      </c>
      <c r="O2584" t="s">
        <v>737</v>
      </c>
      <c r="P2584" t="s">
        <v>1887</v>
      </c>
      <c r="R2584" t="s">
        <v>152</v>
      </c>
      <c r="S2584" t="s">
        <v>146</v>
      </c>
      <c r="U2584">
        <v>0</v>
      </c>
      <c r="V2584" t="s">
        <v>544</v>
      </c>
      <c r="W2584" t="s">
        <v>546</v>
      </c>
      <c r="X2584" s="784">
        <v>271184658.35014349</v>
      </c>
    </row>
    <row r="2585" spans="1:24">
      <c r="A2585" t="s">
        <v>358</v>
      </c>
      <c r="B2585" t="s">
        <v>601</v>
      </c>
      <c r="C2585" t="s">
        <v>206</v>
      </c>
      <c r="D2585" t="s">
        <v>129</v>
      </c>
      <c r="E2585" t="s">
        <v>377</v>
      </c>
      <c r="F2585" t="s">
        <v>384</v>
      </c>
      <c r="G2585" t="s">
        <v>51</v>
      </c>
      <c r="H2585" t="s">
        <v>749</v>
      </c>
      <c r="I2585" t="s">
        <v>743</v>
      </c>
      <c r="J2585" t="s">
        <v>379</v>
      </c>
      <c r="K2585" t="s">
        <v>546</v>
      </c>
      <c r="L2585" s="784">
        <v>0</v>
      </c>
      <c r="M2585" t="s">
        <v>745</v>
      </c>
      <c r="N2585" s="784" t="s">
        <v>575</v>
      </c>
      <c r="O2585" t="s">
        <v>737</v>
      </c>
      <c r="P2585" t="s">
        <v>1887</v>
      </c>
      <c r="R2585" t="s">
        <v>148</v>
      </c>
      <c r="S2585" t="s">
        <v>145</v>
      </c>
      <c r="U2585">
        <v>0</v>
      </c>
      <c r="V2585" t="s">
        <v>544</v>
      </c>
      <c r="W2585" t="s">
        <v>542</v>
      </c>
      <c r="X2585" s="784">
        <v>15455265.086884515</v>
      </c>
    </row>
    <row r="2586" spans="1:24">
      <c r="A2586" t="s">
        <v>358</v>
      </c>
      <c r="B2586" t="s">
        <v>602</v>
      </c>
      <c r="C2586" t="s">
        <v>207</v>
      </c>
      <c r="D2586" t="s">
        <v>127</v>
      </c>
      <c r="E2586" t="s">
        <v>377</v>
      </c>
      <c r="F2586" t="s">
        <v>384</v>
      </c>
      <c r="G2586" t="s">
        <v>51</v>
      </c>
      <c r="H2586" t="s">
        <v>749</v>
      </c>
      <c r="I2586" t="s">
        <v>743</v>
      </c>
      <c r="J2586" t="s">
        <v>379</v>
      </c>
      <c r="K2586" t="s">
        <v>546</v>
      </c>
      <c r="L2586" s="784">
        <v>0</v>
      </c>
      <c r="M2586" t="s">
        <v>745</v>
      </c>
      <c r="N2586" s="784" t="s">
        <v>575</v>
      </c>
      <c r="O2586" t="s">
        <v>737</v>
      </c>
      <c r="P2586" t="s">
        <v>1887</v>
      </c>
      <c r="R2586" t="s">
        <v>152</v>
      </c>
      <c r="S2586" t="s">
        <v>146</v>
      </c>
      <c r="U2586">
        <v>0</v>
      </c>
      <c r="V2586" t="s">
        <v>544</v>
      </c>
      <c r="W2586" t="s">
        <v>546</v>
      </c>
      <c r="X2586" s="784">
        <v>494021502.525527</v>
      </c>
    </row>
    <row r="2587" spans="1:24">
      <c r="A2587" t="s">
        <v>358</v>
      </c>
      <c r="B2587" t="s">
        <v>603</v>
      </c>
      <c r="C2587" t="s">
        <v>208</v>
      </c>
      <c r="D2587" t="s">
        <v>129</v>
      </c>
      <c r="E2587" t="s">
        <v>377</v>
      </c>
      <c r="F2587" t="s">
        <v>384</v>
      </c>
      <c r="G2587" t="s">
        <v>51</v>
      </c>
      <c r="H2587" t="s">
        <v>749</v>
      </c>
      <c r="I2587" t="s">
        <v>743</v>
      </c>
      <c r="J2587" t="s">
        <v>379</v>
      </c>
      <c r="K2587" t="s">
        <v>546</v>
      </c>
      <c r="L2587" s="784">
        <v>0</v>
      </c>
      <c r="M2587" t="s">
        <v>745</v>
      </c>
      <c r="N2587" s="784" t="s">
        <v>575</v>
      </c>
      <c r="O2587" t="s">
        <v>737</v>
      </c>
      <c r="P2587" t="s">
        <v>1887</v>
      </c>
      <c r="R2587" t="s">
        <v>150</v>
      </c>
      <c r="S2587" t="s">
        <v>145</v>
      </c>
      <c r="U2587">
        <v>0</v>
      </c>
      <c r="V2587" t="s">
        <v>544</v>
      </c>
      <c r="W2587" t="s">
        <v>542</v>
      </c>
      <c r="X2587" s="784">
        <v>902005621.73836684</v>
      </c>
    </row>
    <row r="2588" spans="1:24">
      <c r="A2588" t="s">
        <v>358</v>
      </c>
      <c r="B2588" t="s">
        <v>604</v>
      </c>
      <c r="C2588" t="s">
        <v>209</v>
      </c>
      <c r="D2588" t="s">
        <v>130</v>
      </c>
      <c r="E2588" t="s">
        <v>377</v>
      </c>
      <c r="F2588" t="s">
        <v>384</v>
      </c>
      <c r="G2588" t="s">
        <v>51</v>
      </c>
      <c r="H2588" t="s">
        <v>749</v>
      </c>
      <c r="I2588" t="s">
        <v>743</v>
      </c>
      <c r="J2588" t="s">
        <v>379</v>
      </c>
      <c r="K2588" t="s">
        <v>546</v>
      </c>
      <c r="L2588" s="784">
        <v>0</v>
      </c>
      <c r="M2588" t="s">
        <v>745</v>
      </c>
      <c r="N2588" s="784" t="s">
        <v>575</v>
      </c>
      <c r="O2588" t="s">
        <v>737</v>
      </c>
      <c r="P2588" t="s">
        <v>1887</v>
      </c>
      <c r="R2588" t="s">
        <v>152</v>
      </c>
      <c r="S2588" t="s">
        <v>145</v>
      </c>
      <c r="U2588">
        <v>0</v>
      </c>
      <c r="V2588" t="s">
        <v>541</v>
      </c>
      <c r="W2588" t="s">
        <v>583</v>
      </c>
      <c r="X2588" s="784">
        <v>20201670.142996579</v>
      </c>
    </row>
    <row r="2589" spans="1:24">
      <c r="A2589" t="s">
        <v>358</v>
      </c>
      <c r="B2589" t="s">
        <v>605</v>
      </c>
      <c r="C2589" t="s">
        <v>210</v>
      </c>
      <c r="D2589" t="s">
        <v>130</v>
      </c>
      <c r="E2589" t="s">
        <v>377</v>
      </c>
      <c r="F2589" t="s">
        <v>384</v>
      </c>
      <c r="G2589" t="s">
        <v>51</v>
      </c>
      <c r="H2589" t="s">
        <v>749</v>
      </c>
      <c r="I2589" t="s">
        <v>743</v>
      </c>
      <c r="J2589" t="s">
        <v>379</v>
      </c>
      <c r="K2589" t="s">
        <v>546</v>
      </c>
      <c r="L2589" s="784">
        <v>0</v>
      </c>
      <c r="M2589" t="s">
        <v>745</v>
      </c>
      <c r="N2589" s="784" t="s">
        <v>575</v>
      </c>
      <c r="O2589" t="s">
        <v>737</v>
      </c>
      <c r="P2589" t="s">
        <v>1887</v>
      </c>
      <c r="R2589" t="s">
        <v>152</v>
      </c>
      <c r="S2589" t="s">
        <v>146</v>
      </c>
      <c r="U2589">
        <v>0</v>
      </c>
      <c r="V2589" t="s">
        <v>544</v>
      </c>
      <c r="W2589" t="s">
        <v>575</v>
      </c>
      <c r="X2589" s="784">
        <v>1612434649.6948864</v>
      </c>
    </row>
    <row r="2590" spans="1:24">
      <c r="A2590" t="s">
        <v>358</v>
      </c>
      <c r="B2590" t="s">
        <v>606</v>
      </c>
      <c r="C2590" t="s">
        <v>211</v>
      </c>
      <c r="D2590" t="s">
        <v>129</v>
      </c>
      <c r="E2590" t="s">
        <v>377</v>
      </c>
      <c r="F2590" t="s">
        <v>384</v>
      </c>
      <c r="G2590" t="s">
        <v>51</v>
      </c>
      <c r="H2590" t="s">
        <v>749</v>
      </c>
      <c r="I2590" t="s">
        <v>743</v>
      </c>
      <c r="J2590" t="s">
        <v>379</v>
      </c>
      <c r="K2590" t="s">
        <v>546</v>
      </c>
      <c r="L2590" s="784">
        <v>0</v>
      </c>
      <c r="M2590" t="s">
        <v>745</v>
      </c>
      <c r="N2590" s="784" t="s">
        <v>575</v>
      </c>
      <c r="O2590" t="s">
        <v>737</v>
      </c>
      <c r="P2590" t="s">
        <v>1887</v>
      </c>
      <c r="R2590" t="s">
        <v>148</v>
      </c>
      <c r="S2590" t="s">
        <v>145</v>
      </c>
      <c r="U2590">
        <v>0</v>
      </c>
      <c r="V2590" t="s">
        <v>544</v>
      </c>
      <c r="W2590" t="s">
        <v>562</v>
      </c>
      <c r="X2590" s="784">
        <v>78203134.118229344</v>
      </c>
    </row>
    <row r="2591" spans="1:24">
      <c r="A2591" t="s">
        <v>358</v>
      </c>
      <c r="B2591" t="s">
        <v>607</v>
      </c>
      <c r="C2591" t="s">
        <v>212</v>
      </c>
      <c r="D2591" t="s">
        <v>129</v>
      </c>
      <c r="E2591" t="s">
        <v>377</v>
      </c>
      <c r="F2591" t="s">
        <v>384</v>
      </c>
      <c r="G2591" t="s">
        <v>51</v>
      </c>
      <c r="H2591" t="s">
        <v>749</v>
      </c>
      <c r="I2591" t="s">
        <v>743</v>
      </c>
      <c r="J2591" t="s">
        <v>379</v>
      </c>
      <c r="K2591" t="s">
        <v>546</v>
      </c>
      <c r="L2591" s="784">
        <v>0</v>
      </c>
      <c r="M2591" t="s">
        <v>745</v>
      </c>
      <c r="N2591" s="784" t="s">
        <v>575</v>
      </c>
      <c r="O2591" t="s">
        <v>737</v>
      </c>
      <c r="P2591" t="s">
        <v>1887</v>
      </c>
      <c r="R2591" t="s">
        <v>148</v>
      </c>
      <c r="S2591" t="s">
        <v>145</v>
      </c>
      <c r="U2591">
        <v>2</v>
      </c>
      <c r="V2591" t="s">
        <v>541</v>
      </c>
      <c r="W2591" t="s">
        <v>542</v>
      </c>
      <c r="X2591" s="784">
        <v>9151637.7411015611</v>
      </c>
    </row>
    <row r="2592" spans="1:24">
      <c r="A2592" t="s">
        <v>358</v>
      </c>
      <c r="B2592" t="s">
        <v>608</v>
      </c>
      <c r="C2592" t="s">
        <v>213</v>
      </c>
      <c r="D2592" t="s">
        <v>130</v>
      </c>
      <c r="E2592" t="s">
        <v>377</v>
      </c>
      <c r="F2592" t="s">
        <v>384</v>
      </c>
      <c r="G2592" t="s">
        <v>51</v>
      </c>
      <c r="H2592" t="s">
        <v>749</v>
      </c>
      <c r="I2592" t="s">
        <v>743</v>
      </c>
      <c r="J2592" t="s">
        <v>379</v>
      </c>
      <c r="K2592" t="s">
        <v>546</v>
      </c>
      <c r="L2592" s="784">
        <v>0</v>
      </c>
      <c r="M2592" t="s">
        <v>745</v>
      </c>
      <c r="N2592" s="784" t="s">
        <v>575</v>
      </c>
      <c r="O2592" t="s">
        <v>737</v>
      </c>
      <c r="P2592" t="s">
        <v>1887</v>
      </c>
      <c r="R2592" t="s">
        <v>152</v>
      </c>
      <c r="S2592" t="s">
        <v>145</v>
      </c>
      <c r="U2592">
        <v>0</v>
      </c>
      <c r="V2592" t="s">
        <v>541</v>
      </c>
      <c r="W2592" t="s">
        <v>562</v>
      </c>
      <c r="X2592" s="784">
        <v>142455920.02856269</v>
      </c>
    </row>
    <row r="2593" spans="1:24">
      <c r="A2593" t="s">
        <v>358</v>
      </c>
      <c r="B2593" t="s">
        <v>609</v>
      </c>
      <c r="C2593" t="s">
        <v>214</v>
      </c>
      <c r="D2593" t="s">
        <v>130</v>
      </c>
      <c r="E2593" t="s">
        <v>377</v>
      </c>
      <c r="F2593" t="s">
        <v>384</v>
      </c>
      <c r="G2593" t="s">
        <v>51</v>
      </c>
      <c r="H2593" t="s">
        <v>749</v>
      </c>
      <c r="I2593" t="s">
        <v>743</v>
      </c>
      <c r="J2593" t="s">
        <v>379</v>
      </c>
      <c r="K2593" t="s">
        <v>546</v>
      </c>
      <c r="L2593" s="784">
        <v>0</v>
      </c>
      <c r="M2593" t="s">
        <v>745</v>
      </c>
      <c r="N2593" s="784" t="s">
        <v>575</v>
      </c>
      <c r="O2593" t="s">
        <v>737</v>
      </c>
      <c r="P2593" t="s">
        <v>1887</v>
      </c>
      <c r="R2593" t="s">
        <v>150</v>
      </c>
      <c r="S2593" t="s">
        <v>145</v>
      </c>
      <c r="U2593">
        <v>1</v>
      </c>
      <c r="V2593" t="s">
        <v>541</v>
      </c>
      <c r="W2593" t="s">
        <v>542</v>
      </c>
      <c r="X2593" s="784">
        <v>85611818.171245083</v>
      </c>
    </row>
    <row r="2594" spans="1:24">
      <c r="A2594" t="s">
        <v>358</v>
      </c>
      <c r="B2594" t="s">
        <v>610</v>
      </c>
      <c r="C2594" t="s">
        <v>215</v>
      </c>
      <c r="D2594" t="s">
        <v>130</v>
      </c>
      <c r="E2594" t="s">
        <v>377</v>
      </c>
      <c r="F2594" t="s">
        <v>384</v>
      </c>
      <c r="G2594" t="s">
        <v>51</v>
      </c>
      <c r="H2594" t="s">
        <v>749</v>
      </c>
      <c r="I2594" t="s">
        <v>743</v>
      </c>
      <c r="J2594" t="s">
        <v>379</v>
      </c>
      <c r="K2594" t="s">
        <v>546</v>
      </c>
      <c r="L2594" s="784">
        <v>0</v>
      </c>
      <c r="M2594" t="s">
        <v>745</v>
      </c>
      <c r="N2594" s="784" t="s">
        <v>575</v>
      </c>
      <c r="O2594" t="s">
        <v>737</v>
      </c>
      <c r="P2594" t="s">
        <v>1887</v>
      </c>
      <c r="R2594" t="s">
        <v>150</v>
      </c>
      <c r="S2594" t="s">
        <v>145</v>
      </c>
      <c r="U2594">
        <v>0</v>
      </c>
      <c r="V2594" t="s">
        <v>544</v>
      </c>
      <c r="W2594" t="s">
        <v>558</v>
      </c>
      <c r="X2594" s="784">
        <v>680289736.30082119</v>
      </c>
    </row>
    <row r="2595" spans="1:24">
      <c r="A2595" t="s">
        <v>358</v>
      </c>
      <c r="B2595" t="s">
        <v>611</v>
      </c>
      <c r="C2595" t="s">
        <v>216</v>
      </c>
      <c r="D2595" t="s">
        <v>132</v>
      </c>
      <c r="E2595" t="s">
        <v>377</v>
      </c>
      <c r="F2595" t="s">
        <v>384</v>
      </c>
      <c r="G2595" t="s">
        <v>51</v>
      </c>
      <c r="H2595" t="s">
        <v>749</v>
      </c>
      <c r="I2595" t="s">
        <v>743</v>
      </c>
      <c r="J2595" t="s">
        <v>379</v>
      </c>
      <c r="K2595" t="s">
        <v>546</v>
      </c>
      <c r="L2595" s="784">
        <v>0</v>
      </c>
      <c r="M2595" t="s">
        <v>745</v>
      </c>
      <c r="N2595" s="784" t="s">
        <v>575</v>
      </c>
      <c r="O2595" t="s">
        <v>737</v>
      </c>
      <c r="P2595" t="s">
        <v>1887</v>
      </c>
      <c r="R2595" t="s">
        <v>150</v>
      </c>
      <c r="S2595" t="s">
        <v>145</v>
      </c>
      <c r="U2595">
        <v>0</v>
      </c>
      <c r="V2595" t="s">
        <v>544</v>
      </c>
      <c r="W2595" t="s">
        <v>546</v>
      </c>
      <c r="X2595" s="784">
        <v>26554332750.47023</v>
      </c>
    </row>
    <row r="2596" spans="1:24">
      <c r="A2596" t="s">
        <v>358</v>
      </c>
      <c r="B2596" t="s">
        <v>612</v>
      </c>
      <c r="C2596" t="s">
        <v>217</v>
      </c>
      <c r="D2596" t="s">
        <v>126</v>
      </c>
      <c r="E2596" t="s">
        <v>377</v>
      </c>
      <c r="F2596" t="s">
        <v>384</v>
      </c>
      <c r="G2596" t="s">
        <v>51</v>
      </c>
      <c r="H2596" t="s">
        <v>749</v>
      </c>
      <c r="I2596" t="s">
        <v>743</v>
      </c>
      <c r="J2596" t="s">
        <v>379</v>
      </c>
      <c r="K2596" t="s">
        <v>546</v>
      </c>
      <c r="L2596" s="784">
        <v>3230725</v>
      </c>
      <c r="M2596" t="s">
        <v>745</v>
      </c>
      <c r="N2596" s="784" t="s">
        <v>575</v>
      </c>
      <c r="O2596" t="s">
        <v>737</v>
      </c>
      <c r="P2596" t="s">
        <v>1887</v>
      </c>
      <c r="R2596" t="s">
        <v>150</v>
      </c>
      <c r="S2596" t="s">
        <v>145</v>
      </c>
      <c r="U2596">
        <v>0</v>
      </c>
      <c r="V2596" t="s">
        <v>544</v>
      </c>
      <c r="W2596" t="s">
        <v>546</v>
      </c>
      <c r="X2596" s="784">
        <v>14745961064.890842</v>
      </c>
    </row>
    <row r="2597" spans="1:24">
      <c r="A2597" t="s">
        <v>358</v>
      </c>
      <c r="B2597" t="s">
        <v>613</v>
      </c>
      <c r="C2597" t="s">
        <v>149</v>
      </c>
      <c r="D2597" t="s">
        <v>131</v>
      </c>
      <c r="E2597" t="s">
        <v>377</v>
      </c>
      <c r="F2597" t="s">
        <v>384</v>
      </c>
      <c r="G2597" t="s">
        <v>51</v>
      </c>
      <c r="H2597" t="s">
        <v>749</v>
      </c>
      <c r="I2597" t="s">
        <v>743</v>
      </c>
      <c r="J2597" t="s">
        <v>379</v>
      </c>
      <c r="K2597" t="s">
        <v>546</v>
      </c>
      <c r="L2597" s="784">
        <v>0</v>
      </c>
      <c r="M2597" t="s">
        <v>745</v>
      </c>
      <c r="N2597" s="784" t="s">
        <v>575</v>
      </c>
      <c r="O2597" t="s">
        <v>737</v>
      </c>
      <c r="P2597" t="s">
        <v>1887</v>
      </c>
      <c r="R2597" t="s">
        <v>150</v>
      </c>
      <c r="S2597" t="s">
        <v>146</v>
      </c>
      <c r="U2597">
        <v>0</v>
      </c>
      <c r="V2597" t="s">
        <v>544</v>
      </c>
      <c r="W2597" t="s">
        <v>546</v>
      </c>
      <c r="X2597" s="784">
        <v>18194076299.786381</v>
      </c>
    </row>
    <row r="2598" spans="1:24">
      <c r="A2598" t="s">
        <v>358</v>
      </c>
      <c r="B2598" t="s">
        <v>614</v>
      </c>
      <c r="C2598" t="s">
        <v>218</v>
      </c>
      <c r="D2598" t="s">
        <v>131</v>
      </c>
      <c r="E2598" t="s">
        <v>377</v>
      </c>
      <c r="F2598" t="s">
        <v>384</v>
      </c>
      <c r="G2598" t="s">
        <v>51</v>
      </c>
      <c r="H2598" t="s">
        <v>749</v>
      </c>
      <c r="I2598" t="s">
        <v>743</v>
      </c>
      <c r="J2598" t="s">
        <v>379</v>
      </c>
      <c r="K2598" t="s">
        <v>546</v>
      </c>
      <c r="L2598" s="784">
        <v>0</v>
      </c>
      <c r="M2598" t="s">
        <v>745</v>
      </c>
      <c r="N2598" s="784" t="s">
        <v>575</v>
      </c>
      <c r="O2598" t="s">
        <v>737</v>
      </c>
      <c r="P2598" t="s">
        <v>1887</v>
      </c>
      <c r="R2598" t="s">
        <v>152</v>
      </c>
      <c r="S2598" t="s">
        <v>146</v>
      </c>
      <c r="U2598">
        <v>0</v>
      </c>
      <c r="V2598" t="s">
        <v>544</v>
      </c>
      <c r="W2598" t="s">
        <v>546</v>
      </c>
      <c r="X2598" s="784">
        <v>4428819387.769825</v>
      </c>
    </row>
    <row r="2599" spans="1:24">
      <c r="A2599" t="s">
        <v>358</v>
      </c>
      <c r="B2599" t="s">
        <v>615</v>
      </c>
      <c r="C2599" t="s">
        <v>219</v>
      </c>
      <c r="D2599" t="s">
        <v>130</v>
      </c>
      <c r="E2599" t="s">
        <v>377</v>
      </c>
      <c r="F2599" t="s">
        <v>384</v>
      </c>
      <c r="G2599" t="s">
        <v>51</v>
      </c>
      <c r="H2599" t="s">
        <v>749</v>
      </c>
      <c r="I2599" t="s">
        <v>743</v>
      </c>
      <c r="J2599" t="s">
        <v>379</v>
      </c>
      <c r="K2599" t="s">
        <v>546</v>
      </c>
      <c r="L2599" s="784">
        <v>0</v>
      </c>
      <c r="M2599" t="s">
        <v>745</v>
      </c>
      <c r="N2599" s="784" t="s">
        <v>575</v>
      </c>
      <c r="O2599" t="s">
        <v>737</v>
      </c>
      <c r="P2599" t="s">
        <v>1887</v>
      </c>
      <c r="R2599" t="s">
        <v>152</v>
      </c>
      <c r="S2599" t="s">
        <v>146</v>
      </c>
      <c r="U2599">
        <v>0</v>
      </c>
      <c r="V2599" t="s">
        <v>541</v>
      </c>
      <c r="W2599" t="s">
        <v>575</v>
      </c>
      <c r="X2599" s="784">
        <v>611739560.62679195</v>
      </c>
    </row>
    <row r="2600" spans="1:24">
      <c r="A2600" t="s">
        <v>358</v>
      </c>
      <c r="B2600" t="s">
        <v>616</v>
      </c>
      <c r="C2600" t="s">
        <v>220</v>
      </c>
      <c r="D2600" t="s">
        <v>131</v>
      </c>
      <c r="E2600" t="s">
        <v>377</v>
      </c>
      <c r="F2600" t="s">
        <v>384</v>
      </c>
      <c r="G2600" t="s">
        <v>51</v>
      </c>
      <c r="H2600" t="s">
        <v>749</v>
      </c>
      <c r="I2600" t="s">
        <v>743</v>
      </c>
      <c r="J2600" t="s">
        <v>379</v>
      </c>
      <c r="K2600" t="s">
        <v>546</v>
      </c>
      <c r="L2600" s="784">
        <v>0</v>
      </c>
      <c r="M2600" t="s">
        <v>745</v>
      </c>
      <c r="N2600" s="784" t="s">
        <v>575</v>
      </c>
      <c r="O2600" t="s">
        <v>737</v>
      </c>
      <c r="P2600" t="s">
        <v>1887</v>
      </c>
      <c r="R2600" t="s">
        <v>152</v>
      </c>
      <c r="S2600" t="s">
        <v>146</v>
      </c>
      <c r="U2600">
        <v>0</v>
      </c>
      <c r="V2600" t="s">
        <v>544</v>
      </c>
      <c r="W2600" t="s">
        <v>546</v>
      </c>
      <c r="X2600" s="784">
        <v>1617913383.0481031</v>
      </c>
    </row>
    <row r="2601" spans="1:24">
      <c r="A2601" t="s">
        <v>358</v>
      </c>
      <c r="B2601" t="s">
        <v>617</v>
      </c>
      <c r="C2601" t="s">
        <v>221</v>
      </c>
      <c r="D2601" t="s">
        <v>127</v>
      </c>
      <c r="E2601" t="s">
        <v>377</v>
      </c>
      <c r="F2601" t="s">
        <v>384</v>
      </c>
      <c r="G2601" t="s">
        <v>51</v>
      </c>
      <c r="H2601" t="s">
        <v>749</v>
      </c>
      <c r="I2601" t="s">
        <v>743</v>
      </c>
      <c r="J2601" t="s">
        <v>379</v>
      </c>
      <c r="K2601" t="s">
        <v>546</v>
      </c>
      <c r="L2601" s="784">
        <v>0</v>
      </c>
      <c r="M2601" t="s">
        <v>745</v>
      </c>
      <c r="N2601" s="784" t="s">
        <v>575</v>
      </c>
      <c r="O2601" t="s">
        <v>737</v>
      </c>
      <c r="P2601" t="s">
        <v>1887</v>
      </c>
      <c r="R2601" t="s">
        <v>152</v>
      </c>
      <c r="S2601" t="s">
        <v>146</v>
      </c>
      <c r="U2601">
        <v>0</v>
      </c>
      <c r="V2601" t="s">
        <v>544</v>
      </c>
      <c r="W2601" t="s">
        <v>575</v>
      </c>
      <c r="X2601" s="784">
        <v>3074419112.4562683</v>
      </c>
    </row>
    <row r="2602" spans="1:24">
      <c r="A2602" t="s">
        <v>358</v>
      </c>
      <c r="B2602" t="s">
        <v>618</v>
      </c>
      <c r="C2602" t="s">
        <v>222</v>
      </c>
      <c r="D2602" t="s">
        <v>128</v>
      </c>
      <c r="E2602" t="s">
        <v>377</v>
      </c>
      <c r="F2602" t="s">
        <v>384</v>
      </c>
      <c r="G2602" t="s">
        <v>51</v>
      </c>
      <c r="H2602" t="s">
        <v>749</v>
      </c>
      <c r="I2602" t="s">
        <v>743</v>
      </c>
      <c r="J2602" t="s">
        <v>379</v>
      </c>
      <c r="K2602" t="s">
        <v>546</v>
      </c>
      <c r="L2602" s="784">
        <v>0</v>
      </c>
      <c r="M2602" t="s">
        <v>745</v>
      </c>
      <c r="N2602" s="784" t="s">
        <v>575</v>
      </c>
      <c r="O2602" t="s">
        <v>737</v>
      </c>
      <c r="P2602" t="s">
        <v>1887</v>
      </c>
      <c r="R2602" t="s">
        <v>150</v>
      </c>
      <c r="S2602" t="s">
        <v>145</v>
      </c>
      <c r="U2602">
        <v>0</v>
      </c>
      <c r="V2602" t="s">
        <v>544</v>
      </c>
      <c r="W2602" t="s">
        <v>542</v>
      </c>
      <c r="X2602" s="784">
        <v>1914014279.8929913</v>
      </c>
    </row>
    <row r="2603" spans="1:24">
      <c r="A2603" t="s">
        <v>358</v>
      </c>
      <c r="B2603" t="s">
        <v>619</v>
      </c>
      <c r="C2603" t="s">
        <v>223</v>
      </c>
      <c r="D2603" t="s">
        <v>126</v>
      </c>
      <c r="E2603" t="s">
        <v>377</v>
      </c>
      <c r="F2603" t="s">
        <v>384</v>
      </c>
      <c r="G2603" t="s">
        <v>51</v>
      </c>
      <c r="H2603" t="s">
        <v>749</v>
      </c>
      <c r="I2603" t="s">
        <v>743</v>
      </c>
      <c r="J2603" t="s">
        <v>379</v>
      </c>
      <c r="K2603" t="s">
        <v>546</v>
      </c>
      <c r="L2603" s="784">
        <v>4750</v>
      </c>
      <c r="M2603" t="s">
        <v>745</v>
      </c>
      <c r="N2603" s="784" t="s">
        <v>575</v>
      </c>
      <c r="O2603" t="s">
        <v>737</v>
      </c>
      <c r="P2603" t="s">
        <v>1887</v>
      </c>
      <c r="R2603" t="s">
        <v>150</v>
      </c>
      <c r="S2603" t="s">
        <v>145</v>
      </c>
      <c r="U2603">
        <v>0</v>
      </c>
      <c r="V2603" t="s">
        <v>541</v>
      </c>
      <c r="W2603" t="s">
        <v>542</v>
      </c>
      <c r="X2603" s="784">
        <v>17422005.762907442</v>
      </c>
    </row>
    <row r="2604" spans="1:24">
      <c r="A2604" t="s">
        <v>358</v>
      </c>
      <c r="B2604" t="s">
        <v>620</v>
      </c>
      <c r="C2604" t="s">
        <v>224</v>
      </c>
      <c r="D2604" t="s">
        <v>126</v>
      </c>
      <c r="E2604" t="s">
        <v>377</v>
      </c>
      <c r="F2604" t="s">
        <v>384</v>
      </c>
      <c r="G2604" t="s">
        <v>51</v>
      </c>
      <c r="H2604" t="s">
        <v>749</v>
      </c>
      <c r="I2604" t="s">
        <v>743</v>
      </c>
      <c r="J2604" t="s">
        <v>379</v>
      </c>
      <c r="K2604" t="s">
        <v>546</v>
      </c>
      <c r="L2604" s="784">
        <v>0</v>
      </c>
      <c r="M2604" t="s">
        <v>745</v>
      </c>
      <c r="N2604" s="784" t="s">
        <v>575</v>
      </c>
      <c r="O2604" t="s">
        <v>737</v>
      </c>
      <c r="P2604" t="s">
        <v>1887</v>
      </c>
      <c r="R2604" t="s">
        <v>148</v>
      </c>
      <c r="S2604" t="s">
        <v>145</v>
      </c>
      <c r="U2604">
        <v>0</v>
      </c>
      <c r="V2604" t="s">
        <v>544</v>
      </c>
      <c r="W2604" t="s">
        <v>546</v>
      </c>
      <c r="X2604" s="784" t="s">
        <v>575</v>
      </c>
    </row>
    <row r="2605" spans="1:24">
      <c r="A2605" t="s">
        <v>358</v>
      </c>
      <c r="B2605" t="s">
        <v>621</v>
      </c>
      <c r="C2605" t="s">
        <v>225</v>
      </c>
      <c r="D2605" t="s">
        <v>127</v>
      </c>
      <c r="E2605" t="s">
        <v>377</v>
      </c>
      <c r="F2605" t="s">
        <v>384</v>
      </c>
      <c r="G2605" t="s">
        <v>51</v>
      </c>
      <c r="H2605" t="s">
        <v>749</v>
      </c>
      <c r="I2605" t="s">
        <v>743</v>
      </c>
      <c r="J2605" t="s">
        <v>379</v>
      </c>
      <c r="K2605" t="s">
        <v>546</v>
      </c>
      <c r="L2605" s="784">
        <v>0</v>
      </c>
      <c r="M2605" t="s">
        <v>745</v>
      </c>
      <c r="N2605" s="784" t="s">
        <v>575</v>
      </c>
      <c r="O2605" t="s">
        <v>737</v>
      </c>
      <c r="P2605" t="s">
        <v>1887</v>
      </c>
      <c r="R2605" t="s">
        <v>152</v>
      </c>
      <c r="S2605" t="s">
        <v>145</v>
      </c>
      <c r="U2605">
        <v>0</v>
      </c>
      <c r="V2605" t="s">
        <v>544</v>
      </c>
      <c r="W2605" t="s">
        <v>548</v>
      </c>
      <c r="X2605" s="784" t="s">
        <v>575</v>
      </c>
    </row>
    <row r="2606" spans="1:24">
      <c r="A2606" t="s">
        <v>358</v>
      </c>
      <c r="B2606" t="s">
        <v>622</v>
      </c>
      <c r="C2606" t="s">
        <v>226</v>
      </c>
      <c r="D2606" t="s">
        <v>127</v>
      </c>
      <c r="E2606" t="s">
        <v>377</v>
      </c>
      <c r="F2606" t="s">
        <v>384</v>
      </c>
      <c r="G2606" t="s">
        <v>51</v>
      </c>
      <c r="H2606" t="s">
        <v>749</v>
      </c>
      <c r="I2606" t="s">
        <v>743</v>
      </c>
      <c r="J2606" t="s">
        <v>379</v>
      </c>
      <c r="K2606" t="s">
        <v>546</v>
      </c>
      <c r="L2606" s="784">
        <v>0</v>
      </c>
      <c r="M2606" t="s">
        <v>745</v>
      </c>
      <c r="N2606" s="784" t="s">
        <v>575</v>
      </c>
      <c r="O2606" t="s">
        <v>737</v>
      </c>
      <c r="P2606" t="s">
        <v>1887</v>
      </c>
      <c r="R2606" t="s">
        <v>150</v>
      </c>
      <c r="S2606" t="s">
        <v>145</v>
      </c>
      <c r="U2606">
        <v>2</v>
      </c>
      <c r="V2606" t="s">
        <v>544</v>
      </c>
      <c r="W2606" t="s">
        <v>562</v>
      </c>
      <c r="X2606" s="784">
        <v>231506834.84347546</v>
      </c>
    </row>
    <row r="2607" spans="1:24">
      <c r="A2607" t="s">
        <v>358</v>
      </c>
      <c r="B2607" t="s">
        <v>623</v>
      </c>
      <c r="C2607" t="s">
        <v>227</v>
      </c>
      <c r="D2607" t="s">
        <v>126</v>
      </c>
      <c r="E2607" t="s">
        <v>377</v>
      </c>
      <c r="F2607" t="s">
        <v>384</v>
      </c>
      <c r="G2607" t="s">
        <v>51</v>
      </c>
      <c r="H2607" t="s">
        <v>749</v>
      </c>
      <c r="I2607" t="s">
        <v>743</v>
      </c>
      <c r="J2607" t="s">
        <v>379</v>
      </c>
      <c r="K2607" t="s">
        <v>546</v>
      </c>
      <c r="L2607" s="784">
        <v>0</v>
      </c>
      <c r="M2607" t="s">
        <v>745</v>
      </c>
      <c r="N2607" s="784" t="s">
        <v>575</v>
      </c>
      <c r="O2607" t="s">
        <v>737</v>
      </c>
      <c r="P2607" t="s">
        <v>1887</v>
      </c>
      <c r="R2607" t="s">
        <v>150</v>
      </c>
      <c r="S2607" t="s">
        <v>145</v>
      </c>
      <c r="U2607">
        <v>0</v>
      </c>
      <c r="V2607" t="s">
        <v>544</v>
      </c>
      <c r="W2607" t="s">
        <v>542</v>
      </c>
      <c r="X2607" s="784">
        <v>156059428.62944782</v>
      </c>
    </row>
    <row r="2608" spans="1:24">
      <c r="A2608" t="s">
        <v>358</v>
      </c>
      <c r="B2608" t="s">
        <v>624</v>
      </c>
      <c r="C2608" t="s">
        <v>228</v>
      </c>
      <c r="D2608" t="s">
        <v>131</v>
      </c>
      <c r="E2608" t="s">
        <v>377</v>
      </c>
      <c r="F2608" t="s">
        <v>384</v>
      </c>
      <c r="G2608" t="s">
        <v>51</v>
      </c>
      <c r="H2608" t="s">
        <v>749</v>
      </c>
      <c r="I2608" t="s">
        <v>743</v>
      </c>
      <c r="J2608" t="s">
        <v>379</v>
      </c>
      <c r="K2608" t="s">
        <v>546</v>
      </c>
      <c r="L2608" s="784">
        <v>0</v>
      </c>
      <c r="M2608" t="s">
        <v>745</v>
      </c>
      <c r="N2608" s="784" t="s">
        <v>575</v>
      </c>
      <c r="O2608" t="s">
        <v>737</v>
      </c>
      <c r="P2608" t="s">
        <v>1887</v>
      </c>
      <c r="R2608" t="s">
        <v>152</v>
      </c>
      <c r="S2608" t="s">
        <v>146</v>
      </c>
      <c r="U2608">
        <v>0</v>
      </c>
      <c r="V2608" t="s">
        <v>544</v>
      </c>
      <c r="W2608" t="s">
        <v>546</v>
      </c>
      <c r="X2608" s="784">
        <v>2355391507.1635861</v>
      </c>
    </row>
    <row r="2609" spans="1:24">
      <c r="A2609" t="s">
        <v>358</v>
      </c>
      <c r="B2609" t="s">
        <v>625</v>
      </c>
      <c r="C2609" t="s">
        <v>229</v>
      </c>
      <c r="D2609" t="s">
        <v>128</v>
      </c>
      <c r="E2609" t="s">
        <v>377</v>
      </c>
      <c r="F2609" t="s">
        <v>384</v>
      </c>
      <c r="G2609" t="s">
        <v>51</v>
      </c>
      <c r="H2609" t="s">
        <v>749</v>
      </c>
      <c r="I2609" t="s">
        <v>743</v>
      </c>
      <c r="J2609" t="s">
        <v>379</v>
      </c>
      <c r="K2609" t="s">
        <v>546</v>
      </c>
      <c r="L2609" s="784">
        <v>0</v>
      </c>
      <c r="M2609" t="s">
        <v>745</v>
      </c>
      <c r="N2609" s="784" t="s">
        <v>575</v>
      </c>
      <c r="O2609" t="s">
        <v>737</v>
      </c>
      <c r="P2609" t="s">
        <v>1887</v>
      </c>
      <c r="R2609" t="s">
        <v>150</v>
      </c>
      <c r="S2609" t="s">
        <v>145</v>
      </c>
      <c r="U2609">
        <v>0</v>
      </c>
      <c r="V2609" t="s">
        <v>544</v>
      </c>
      <c r="W2609" t="s">
        <v>562</v>
      </c>
      <c r="X2609" s="784">
        <v>152760919.7684873</v>
      </c>
    </row>
    <row r="2610" spans="1:24">
      <c r="A2610" t="s">
        <v>358</v>
      </c>
      <c r="B2610" t="s">
        <v>626</v>
      </c>
      <c r="C2610" t="s">
        <v>230</v>
      </c>
      <c r="D2610" t="s">
        <v>129</v>
      </c>
      <c r="E2610" t="s">
        <v>377</v>
      </c>
      <c r="F2610" t="s">
        <v>384</v>
      </c>
      <c r="G2610" t="s">
        <v>51</v>
      </c>
      <c r="H2610" t="s">
        <v>749</v>
      </c>
      <c r="I2610" t="s">
        <v>743</v>
      </c>
      <c r="J2610" t="s">
        <v>379</v>
      </c>
      <c r="K2610" t="s">
        <v>546</v>
      </c>
      <c r="L2610" s="784">
        <v>0</v>
      </c>
      <c r="M2610" t="s">
        <v>745</v>
      </c>
      <c r="N2610" s="784" t="s">
        <v>575</v>
      </c>
      <c r="O2610" t="s">
        <v>737</v>
      </c>
      <c r="P2610" t="s">
        <v>1887</v>
      </c>
      <c r="R2610" t="s">
        <v>148</v>
      </c>
      <c r="S2610" t="s">
        <v>145</v>
      </c>
      <c r="U2610">
        <v>0</v>
      </c>
      <c r="V2610" t="s">
        <v>544</v>
      </c>
      <c r="W2610" t="s">
        <v>542</v>
      </c>
      <c r="X2610" s="784">
        <v>55072006.864440605</v>
      </c>
    </row>
    <row r="2611" spans="1:24">
      <c r="A2611" t="s">
        <v>358</v>
      </c>
      <c r="B2611" t="s">
        <v>627</v>
      </c>
      <c r="C2611" t="s">
        <v>231</v>
      </c>
      <c r="D2611" t="s">
        <v>131</v>
      </c>
      <c r="E2611" t="s">
        <v>377</v>
      </c>
      <c r="F2611" t="s">
        <v>384</v>
      </c>
      <c r="G2611" t="s">
        <v>51</v>
      </c>
      <c r="H2611" t="s">
        <v>749</v>
      </c>
      <c r="I2611" t="s">
        <v>743</v>
      </c>
      <c r="J2611" t="s">
        <v>379</v>
      </c>
      <c r="K2611" t="s">
        <v>546</v>
      </c>
      <c r="L2611" s="784">
        <v>0</v>
      </c>
      <c r="M2611" t="s">
        <v>745</v>
      </c>
      <c r="N2611" s="784" t="s">
        <v>575</v>
      </c>
      <c r="O2611" t="s">
        <v>737</v>
      </c>
      <c r="P2611" t="s">
        <v>1887</v>
      </c>
      <c r="R2611" t="s">
        <v>152</v>
      </c>
      <c r="S2611" t="s">
        <v>146</v>
      </c>
      <c r="U2611">
        <v>0</v>
      </c>
      <c r="V2611" t="s">
        <v>544</v>
      </c>
      <c r="W2611" t="s">
        <v>546</v>
      </c>
      <c r="X2611" s="784" t="s">
        <v>575</v>
      </c>
    </row>
    <row r="2612" spans="1:24">
      <c r="A2612" t="s">
        <v>358</v>
      </c>
      <c r="B2612" t="s">
        <v>628</v>
      </c>
      <c r="C2612" t="s">
        <v>232</v>
      </c>
      <c r="D2612" t="s">
        <v>128</v>
      </c>
      <c r="E2612" t="s">
        <v>377</v>
      </c>
      <c r="F2612" t="s">
        <v>384</v>
      </c>
      <c r="G2612" t="s">
        <v>51</v>
      </c>
      <c r="H2612" t="s">
        <v>749</v>
      </c>
      <c r="I2612" t="s">
        <v>743</v>
      </c>
      <c r="J2612" t="s">
        <v>379</v>
      </c>
      <c r="K2612" t="s">
        <v>546</v>
      </c>
      <c r="L2612" s="784">
        <v>0</v>
      </c>
      <c r="M2612" t="s">
        <v>745</v>
      </c>
      <c r="N2612" s="784" t="s">
        <v>575</v>
      </c>
      <c r="O2612" t="s">
        <v>737</v>
      </c>
      <c r="P2612" t="s">
        <v>1887</v>
      </c>
      <c r="R2612" t="s">
        <v>148</v>
      </c>
      <c r="S2612" t="s">
        <v>145</v>
      </c>
      <c r="U2612">
        <v>2</v>
      </c>
      <c r="V2612" t="s">
        <v>544</v>
      </c>
      <c r="W2612" t="s">
        <v>562</v>
      </c>
      <c r="X2612" s="784">
        <v>206914157.05429548</v>
      </c>
    </row>
    <row r="2613" spans="1:24">
      <c r="A2613" t="s">
        <v>358</v>
      </c>
      <c r="B2613" t="s">
        <v>629</v>
      </c>
      <c r="C2613" t="s">
        <v>233</v>
      </c>
      <c r="D2613" t="s">
        <v>128</v>
      </c>
      <c r="E2613" t="s">
        <v>377</v>
      </c>
      <c r="F2613" t="s">
        <v>384</v>
      </c>
      <c r="G2613" t="s">
        <v>51</v>
      </c>
      <c r="H2613" t="s">
        <v>749</v>
      </c>
      <c r="I2613" t="s">
        <v>743</v>
      </c>
      <c r="J2613" t="s">
        <v>379</v>
      </c>
      <c r="K2613" t="s">
        <v>546</v>
      </c>
      <c r="L2613" s="784">
        <v>0</v>
      </c>
      <c r="M2613" t="s">
        <v>745</v>
      </c>
      <c r="N2613" s="784" t="s">
        <v>575</v>
      </c>
      <c r="O2613" t="s">
        <v>737</v>
      </c>
      <c r="P2613" t="s">
        <v>1887</v>
      </c>
      <c r="R2613" t="s">
        <v>148</v>
      </c>
      <c r="S2613" t="s">
        <v>145</v>
      </c>
      <c r="U2613">
        <v>2</v>
      </c>
      <c r="V2613" t="s">
        <v>544</v>
      </c>
      <c r="W2613" t="s">
        <v>542</v>
      </c>
      <c r="X2613" s="784">
        <v>185999915.02066413</v>
      </c>
    </row>
    <row r="2614" spans="1:24">
      <c r="A2614" t="s">
        <v>358</v>
      </c>
      <c r="B2614" t="s">
        <v>630</v>
      </c>
      <c r="C2614" t="s">
        <v>234</v>
      </c>
      <c r="D2614" t="s">
        <v>126</v>
      </c>
      <c r="E2614" t="s">
        <v>377</v>
      </c>
      <c r="F2614" t="s">
        <v>384</v>
      </c>
      <c r="G2614" t="s">
        <v>51</v>
      </c>
      <c r="H2614" t="s">
        <v>749</v>
      </c>
      <c r="I2614" t="s">
        <v>743</v>
      </c>
      <c r="J2614" t="s">
        <v>379</v>
      </c>
      <c r="K2614" t="s">
        <v>546</v>
      </c>
      <c r="L2614" s="784">
        <v>0</v>
      </c>
      <c r="M2614" t="s">
        <v>745</v>
      </c>
      <c r="N2614" s="784" t="s">
        <v>575</v>
      </c>
      <c r="O2614" t="s">
        <v>737</v>
      </c>
      <c r="P2614" t="s">
        <v>1887</v>
      </c>
      <c r="R2614" t="s">
        <v>152</v>
      </c>
      <c r="S2614" t="s">
        <v>146</v>
      </c>
      <c r="U2614">
        <v>0</v>
      </c>
      <c r="V2614" t="s">
        <v>544</v>
      </c>
      <c r="W2614" t="s">
        <v>575</v>
      </c>
      <c r="X2614" s="784">
        <v>6893755763.2501726</v>
      </c>
    </row>
    <row r="2615" spans="1:24">
      <c r="A2615" t="s">
        <v>358</v>
      </c>
      <c r="B2615" t="s">
        <v>631</v>
      </c>
      <c r="C2615" t="s">
        <v>235</v>
      </c>
      <c r="D2615" t="s">
        <v>132</v>
      </c>
      <c r="E2615" t="s">
        <v>377</v>
      </c>
      <c r="F2615" t="s">
        <v>384</v>
      </c>
      <c r="G2615" t="s">
        <v>51</v>
      </c>
      <c r="H2615" t="s">
        <v>749</v>
      </c>
      <c r="I2615" t="s">
        <v>743</v>
      </c>
      <c r="J2615" t="s">
        <v>379</v>
      </c>
      <c r="K2615" t="s">
        <v>546</v>
      </c>
      <c r="L2615" s="784">
        <v>0</v>
      </c>
      <c r="M2615" t="s">
        <v>745</v>
      </c>
      <c r="N2615" s="784" t="s">
        <v>575</v>
      </c>
      <c r="O2615" t="s">
        <v>737</v>
      </c>
      <c r="P2615" t="s">
        <v>1887</v>
      </c>
      <c r="R2615" t="s">
        <v>152</v>
      </c>
      <c r="S2615" t="s">
        <v>145</v>
      </c>
      <c r="U2615">
        <v>0</v>
      </c>
      <c r="V2615" t="s">
        <v>541</v>
      </c>
      <c r="W2615" t="s">
        <v>542</v>
      </c>
      <c r="X2615" s="784">
        <v>354560231.58276606</v>
      </c>
    </row>
    <row r="2616" spans="1:24">
      <c r="A2616" t="s">
        <v>358</v>
      </c>
      <c r="B2616" t="s">
        <v>632</v>
      </c>
      <c r="C2616" t="s">
        <v>236</v>
      </c>
      <c r="D2616" t="s">
        <v>129</v>
      </c>
      <c r="E2616" t="s">
        <v>377</v>
      </c>
      <c r="F2616" t="s">
        <v>384</v>
      </c>
      <c r="G2616" t="s">
        <v>51</v>
      </c>
      <c r="H2616" t="s">
        <v>749</v>
      </c>
      <c r="I2616" t="s">
        <v>743</v>
      </c>
      <c r="J2616" t="s">
        <v>379</v>
      </c>
      <c r="K2616" t="s">
        <v>546</v>
      </c>
      <c r="L2616" s="784">
        <v>0</v>
      </c>
      <c r="M2616" t="s">
        <v>745</v>
      </c>
      <c r="N2616" s="784" t="s">
        <v>575</v>
      </c>
      <c r="O2616" t="s">
        <v>737</v>
      </c>
      <c r="P2616" t="s">
        <v>1887</v>
      </c>
      <c r="R2616" t="s">
        <v>148</v>
      </c>
      <c r="S2616" t="s">
        <v>145</v>
      </c>
      <c r="U2616">
        <v>1</v>
      </c>
      <c r="V2616" t="s">
        <v>544</v>
      </c>
      <c r="W2616" t="s">
        <v>562</v>
      </c>
      <c r="X2616" s="784">
        <v>188169167.56540567</v>
      </c>
    </row>
    <row r="2617" spans="1:24">
      <c r="A2617" t="s">
        <v>358</v>
      </c>
      <c r="B2617" t="s">
        <v>633</v>
      </c>
      <c r="C2617" t="s">
        <v>237</v>
      </c>
      <c r="D2617" t="s">
        <v>126</v>
      </c>
      <c r="E2617" t="s">
        <v>377</v>
      </c>
      <c r="F2617" t="s">
        <v>384</v>
      </c>
      <c r="G2617" t="s">
        <v>51</v>
      </c>
      <c r="H2617" t="s">
        <v>749</v>
      </c>
      <c r="I2617" t="s">
        <v>743</v>
      </c>
      <c r="J2617" t="s">
        <v>379</v>
      </c>
      <c r="K2617" t="s">
        <v>546</v>
      </c>
      <c r="L2617" s="784">
        <v>0</v>
      </c>
      <c r="M2617" t="s">
        <v>745</v>
      </c>
      <c r="N2617" s="784" t="s">
        <v>575</v>
      </c>
      <c r="O2617" t="s">
        <v>737</v>
      </c>
      <c r="P2617" t="s">
        <v>1887</v>
      </c>
      <c r="R2617" t="s">
        <v>152</v>
      </c>
      <c r="S2617" t="s">
        <v>145</v>
      </c>
      <c r="U2617">
        <v>0</v>
      </c>
      <c r="V2617" t="s">
        <v>541</v>
      </c>
      <c r="W2617" t="s">
        <v>575</v>
      </c>
      <c r="X2617" s="784">
        <v>16312106.556340856</v>
      </c>
    </row>
    <row r="2618" spans="1:24">
      <c r="A2618" t="s">
        <v>358</v>
      </c>
      <c r="B2618" t="s">
        <v>634</v>
      </c>
      <c r="C2618" t="s">
        <v>238</v>
      </c>
      <c r="D2618" t="s">
        <v>129</v>
      </c>
      <c r="E2618" t="s">
        <v>377</v>
      </c>
      <c r="F2618" t="s">
        <v>384</v>
      </c>
      <c r="G2618" t="s">
        <v>51</v>
      </c>
      <c r="H2618" t="s">
        <v>749</v>
      </c>
      <c r="I2618" t="s">
        <v>743</v>
      </c>
      <c r="J2618" t="s">
        <v>379</v>
      </c>
      <c r="K2618" t="s">
        <v>546</v>
      </c>
      <c r="L2618" s="784">
        <v>0</v>
      </c>
      <c r="M2618" t="s">
        <v>745</v>
      </c>
      <c r="N2618" s="784" t="s">
        <v>575</v>
      </c>
      <c r="O2618" t="s">
        <v>737</v>
      </c>
      <c r="P2618" t="s">
        <v>1887</v>
      </c>
      <c r="R2618" t="s">
        <v>150</v>
      </c>
      <c r="S2618" t="s">
        <v>145</v>
      </c>
      <c r="U2618">
        <v>2</v>
      </c>
      <c r="V2618" t="s">
        <v>544</v>
      </c>
      <c r="W2618" t="s">
        <v>542</v>
      </c>
      <c r="X2618" s="784">
        <v>86083833.534053758</v>
      </c>
    </row>
    <row r="2619" spans="1:24">
      <c r="A2619" t="s">
        <v>358</v>
      </c>
      <c r="B2619" t="s">
        <v>635</v>
      </c>
      <c r="C2619" t="s">
        <v>239</v>
      </c>
      <c r="D2619" t="s">
        <v>128</v>
      </c>
      <c r="E2619" t="s">
        <v>377</v>
      </c>
      <c r="F2619" t="s">
        <v>384</v>
      </c>
      <c r="G2619" t="s">
        <v>51</v>
      </c>
      <c r="H2619" t="s">
        <v>749</v>
      </c>
      <c r="I2619" t="s">
        <v>743</v>
      </c>
      <c r="J2619" t="s">
        <v>379</v>
      </c>
      <c r="K2619" t="s">
        <v>546</v>
      </c>
      <c r="L2619" s="784">
        <v>0</v>
      </c>
      <c r="M2619" t="s">
        <v>745</v>
      </c>
      <c r="N2619" s="784" t="s">
        <v>575</v>
      </c>
      <c r="O2619" t="s">
        <v>737</v>
      </c>
      <c r="P2619" t="s">
        <v>1887</v>
      </c>
      <c r="R2619" t="s">
        <v>152</v>
      </c>
      <c r="S2619" t="s">
        <v>146</v>
      </c>
      <c r="U2619">
        <v>0</v>
      </c>
      <c r="V2619" t="s">
        <v>541</v>
      </c>
      <c r="W2619" t="s">
        <v>546</v>
      </c>
      <c r="X2619" s="784">
        <v>357220835.93762809</v>
      </c>
    </row>
    <row r="2620" spans="1:24">
      <c r="A2620" t="s">
        <v>358</v>
      </c>
      <c r="B2620" t="s">
        <v>636</v>
      </c>
      <c r="C2620" t="s">
        <v>240</v>
      </c>
      <c r="D2620" t="s">
        <v>130</v>
      </c>
      <c r="E2620" t="s">
        <v>377</v>
      </c>
      <c r="F2620" t="s">
        <v>384</v>
      </c>
      <c r="G2620" t="s">
        <v>51</v>
      </c>
      <c r="H2620" t="s">
        <v>749</v>
      </c>
      <c r="I2620" t="s">
        <v>743</v>
      </c>
      <c r="J2620" t="s">
        <v>379</v>
      </c>
      <c r="K2620" t="s">
        <v>546</v>
      </c>
      <c r="L2620" s="784">
        <v>0</v>
      </c>
      <c r="M2620" t="s">
        <v>745</v>
      </c>
      <c r="N2620" s="784" t="s">
        <v>575</v>
      </c>
      <c r="O2620" t="s">
        <v>737</v>
      </c>
      <c r="P2620" t="s">
        <v>1887</v>
      </c>
      <c r="R2620" t="s">
        <v>152</v>
      </c>
      <c r="S2620" t="s">
        <v>146</v>
      </c>
      <c r="U2620">
        <v>0</v>
      </c>
      <c r="V2620" t="s">
        <v>544</v>
      </c>
      <c r="W2620" t="s">
        <v>575</v>
      </c>
      <c r="X2620" s="784">
        <v>32831598153.796387</v>
      </c>
    </row>
    <row r="2621" spans="1:24">
      <c r="A2621" t="s">
        <v>358</v>
      </c>
      <c r="B2621" t="s">
        <v>637</v>
      </c>
      <c r="C2621" t="s">
        <v>241</v>
      </c>
      <c r="D2621" t="s">
        <v>126</v>
      </c>
      <c r="E2621" t="s">
        <v>377</v>
      </c>
      <c r="F2621" t="s">
        <v>384</v>
      </c>
      <c r="G2621" t="s">
        <v>51</v>
      </c>
      <c r="H2621" t="s">
        <v>749</v>
      </c>
      <c r="I2621" t="s">
        <v>743</v>
      </c>
      <c r="J2621" t="s">
        <v>379</v>
      </c>
      <c r="K2621" t="s">
        <v>546</v>
      </c>
      <c r="L2621" s="784">
        <v>0</v>
      </c>
      <c r="M2621" t="s">
        <v>745</v>
      </c>
      <c r="N2621" s="784" t="s">
        <v>575</v>
      </c>
      <c r="O2621" t="s">
        <v>737</v>
      </c>
      <c r="P2621" t="s">
        <v>1887</v>
      </c>
      <c r="R2621" t="s">
        <v>150</v>
      </c>
      <c r="S2621" t="s">
        <v>145</v>
      </c>
      <c r="U2621">
        <v>0</v>
      </c>
      <c r="V2621" t="s">
        <v>541</v>
      </c>
      <c r="W2621" t="s">
        <v>542</v>
      </c>
      <c r="X2621" s="784">
        <v>12329056.093798399</v>
      </c>
    </row>
    <row r="2622" spans="1:24">
      <c r="A2622" t="s">
        <v>358</v>
      </c>
      <c r="B2622" t="s">
        <v>638</v>
      </c>
      <c r="C2622" t="s">
        <v>242</v>
      </c>
      <c r="D2622" t="s">
        <v>127</v>
      </c>
      <c r="E2622" t="s">
        <v>377</v>
      </c>
      <c r="F2622" t="s">
        <v>384</v>
      </c>
      <c r="G2622" t="s">
        <v>51</v>
      </c>
      <c r="H2622" t="s">
        <v>749</v>
      </c>
      <c r="I2622" t="s">
        <v>743</v>
      </c>
      <c r="J2622" t="s">
        <v>379</v>
      </c>
      <c r="K2622" t="s">
        <v>546</v>
      </c>
      <c r="L2622" s="784">
        <v>0</v>
      </c>
      <c r="M2622" t="s">
        <v>745</v>
      </c>
      <c r="N2622" s="784" t="s">
        <v>575</v>
      </c>
      <c r="O2622" t="s">
        <v>737</v>
      </c>
      <c r="P2622" t="s">
        <v>1887</v>
      </c>
      <c r="R2622" t="s">
        <v>152</v>
      </c>
      <c r="S2622" t="s">
        <v>145</v>
      </c>
      <c r="U2622">
        <v>0</v>
      </c>
      <c r="V2622" t="s">
        <v>544</v>
      </c>
      <c r="W2622" t="s">
        <v>558</v>
      </c>
      <c r="X2622" s="784">
        <v>426639742.85328001</v>
      </c>
    </row>
    <row r="2623" spans="1:24">
      <c r="A2623" t="s">
        <v>358</v>
      </c>
      <c r="B2623" t="s">
        <v>639</v>
      </c>
      <c r="C2623" t="s">
        <v>243</v>
      </c>
      <c r="D2623" t="s">
        <v>126</v>
      </c>
      <c r="E2623" t="s">
        <v>377</v>
      </c>
      <c r="F2623" t="s">
        <v>384</v>
      </c>
      <c r="G2623" t="s">
        <v>51</v>
      </c>
      <c r="H2623" t="s">
        <v>749</v>
      </c>
      <c r="I2623" t="s">
        <v>743</v>
      </c>
      <c r="J2623" t="s">
        <v>379</v>
      </c>
      <c r="K2623" t="s">
        <v>546</v>
      </c>
      <c r="L2623" s="784">
        <v>0</v>
      </c>
      <c r="M2623" t="s">
        <v>745</v>
      </c>
      <c r="N2623" s="784" t="s">
        <v>575</v>
      </c>
      <c r="O2623" t="s">
        <v>737</v>
      </c>
      <c r="P2623" t="s">
        <v>1887</v>
      </c>
      <c r="R2623" t="s">
        <v>150</v>
      </c>
      <c r="S2623" t="s">
        <v>145</v>
      </c>
      <c r="U2623">
        <v>0</v>
      </c>
      <c r="V2623" t="s">
        <v>544</v>
      </c>
      <c r="W2623" t="s">
        <v>548</v>
      </c>
      <c r="X2623" s="784">
        <v>288519671.85870522</v>
      </c>
    </row>
    <row r="2624" spans="1:24">
      <c r="A2624" t="s">
        <v>358</v>
      </c>
      <c r="B2624" t="s">
        <v>640</v>
      </c>
      <c r="C2624" t="s">
        <v>244</v>
      </c>
      <c r="D2624" t="s">
        <v>127</v>
      </c>
      <c r="E2624" t="s">
        <v>377</v>
      </c>
      <c r="F2624" t="s">
        <v>384</v>
      </c>
      <c r="G2624" t="s">
        <v>51</v>
      </c>
      <c r="H2624" t="s">
        <v>749</v>
      </c>
      <c r="I2624" t="s">
        <v>743</v>
      </c>
      <c r="J2624" t="s">
        <v>379</v>
      </c>
      <c r="K2624" t="s">
        <v>546</v>
      </c>
      <c r="L2624" s="784">
        <v>0</v>
      </c>
      <c r="M2624" t="s">
        <v>745</v>
      </c>
      <c r="N2624" s="784" t="s">
        <v>575</v>
      </c>
      <c r="O2624" t="s">
        <v>737</v>
      </c>
      <c r="P2624" t="s">
        <v>1887</v>
      </c>
      <c r="R2624" t="s">
        <v>152</v>
      </c>
      <c r="S2624" t="s">
        <v>146</v>
      </c>
      <c r="U2624">
        <v>0</v>
      </c>
      <c r="V2624" t="s">
        <v>544</v>
      </c>
      <c r="W2624" t="s">
        <v>546</v>
      </c>
      <c r="X2624" s="784">
        <v>275606560.78491527</v>
      </c>
    </row>
    <row r="2625" spans="1:24">
      <c r="A2625" t="s">
        <v>358</v>
      </c>
      <c r="B2625" t="s">
        <v>641</v>
      </c>
      <c r="C2625" t="s">
        <v>245</v>
      </c>
      <c r="D2625" t="s">
        <v>131</v>
      </c>
      <c r="E2625" t="s">
        <v>377</v>
      </c>
      <c r="F2625" t="s">
        <v>384</v>
      </c>
      <c r="G2625" t="s">
        <v>51</v>
      </c>
      <c r="H2625" t="s">
        <v>749</v>
      </c>
      <c r="I2625" t="s">
        <v>743</v>
      </c>
      <c r="J2625" t="s">
        <v>379</v>
      </c>
      <c r="K2625" t="s">
        <v>546</v>
      </c>
      <c r="L2625" s="784">
        <v>0</v>
      </c>
      <c r="M2625" t="s">
        <v>745</v>
      </c>
      <c r="N2625" s="784" t="s">
        <v>575</v>
      </c>
      <c r="O2625" t="s">
        <v>737</v>
      </c>
      <c r="P2625" t="s">
        <v>1887</v>
      </c>
      <c r="R2625" t="s">
        <v>150</v>
      </c>
      <c r="S2625" t="s">
        <v>145</v>
      </c>
      <c r="U2625">
        <v>0</v>
      </c>
      <c r="V2625" t="s">
        <v>544</v>
      </c>
      <c r="W2625" t="s">
        <v>546</v>
      </c>
      <c r="X2625" s="784">
        <v>2530937679.3725696</v>
      </c>
    </row>
    <row r="2626" spans="1:24">
      <c r="A2626" t="s">
        <v>358</v>
      </c>
      <c r="B2626" t="s">
        <v>642</v>
      </c>
      <c r="C2626" t="s">
        <v>246</v>
      </c>
      <c r="D2626" t="s">
        <v>128</v>
      </c>
      <c r="E2626" t="s">
        <v>377</v>
      </c>
      <c r="F2626" t="s">
        <v>384</v>
      </c>
      <c r="G2626" t="s">
        <v>51</v>
      </c>
      <c r="H2626" t="s">
        <v>749</v>
      </c>
      <c r="I2626" t="s">
        <v>743</v>
      </c>
      <c r="J2626" t="s">
        <v>379</v>
      </c>
      <c r="K2626" t="s">
        <v>546</v>
      </c>
      <c r="L2626" s="784">
        <v>0</v>
      </c>
      <c r="M2626" t="s">
        <v>745</v>
      </c>
      <c r="N2626" s="784" t="s">
        <v>575</v>
      </c>
      <c r="O2626" t="s">
        <v>737</v>
      </c>
      <c r="P2626" t="s">
        <v>1887</v>
      </c>
      <c r="R2626" t="s">
        <v>148</v>
      </c>
      <c r="S2626" t="s">
        <v>145</v>
      </c>
      <c r="U2626">
        <v>0</v>
      </c>
      <c r="V2626" t="s">
        <v>544</v>
      </c>
      <c r="W2626" t="s">
        <v>583</v>
      </c>
      <c r="X2626" s="784">
        <v>251432156.86255455</v>
      </c>
    </row>
    <row r="2627" spans="1:24">
      <c r="A2627" t="s">
        <v>358</v>
      </c>
      <c r="B2627" t="s">
        <v>643</v>
      </c>
      <c r="C2627" t="s">
        <v>247</v>
      </c>
      <c r="D2627" t="s">
        <v>126</v>
      </c>
      <c r="E2627" t="s">
        <v>377</v>
      </c>
      <c r="F2627" t="s">
        <v>384</v>
      </c>
      <c r="G2627" t="s">
        <v>51</v>
      </c>
      <c r="H2627" t="s">
        <v>749</v>
      </c>
      <c r="I2627" t="s">
        <v>743</v>
      </c>
      <c r="J2627" t="s">
        <v>379</v>
      </c>
      <c r="K2627" t="s">
        <v>546</v>
      </c>
      <c r="L2627" s="784">
        <v>0</v>
      </c>
      <c r="M2627" t="s">
        <v>745</v>
      </c>
      <c r="N2627" s="784" t="s">
        <v>575</v>
      </c>
      <c r="O2627" t="s">
        <v>737</v>
      </c>
      <c r="P2627" t="s">
        <v>1887</v>
      </c>
      <c r="R2627" t="s">
        <v>150</v>
      </c>
      <c r="S2627" t="s">
        <v>145</v>
      </c>
      <c r="U2627">
        <v>0</v>
      </c>
      <c r="V2627" t="s">
        <v>544</v>
      </c>
      <c r="W2627" t="s">
        <v>558</v>
      </c>
      <c r="X2627" s="784">
        <v>471534500.60109437</v>
      </c>
    </row>
    <row r="2628" spans="1:24">
      <c r="A2628" t="s">
        <v>358</v>
      </c>
      <c r="B2628" t="s">
        <v>644</v>
      </c>
      <c r="C2628" t="s">
        <v>248</v>
      </c>
      <c r="D2628" t="s">
        <v>128</v>
      </c>
      <c r="E2628" t="s">
        <v>377</v>
      </c>
      <c r="F2628" t="s">
        <v>384</v>
      </c>
      <c r="G2628" t="s">
        <v>51</v>
      </c>
      <c r="H2628" t="s">
        <v>749</v>
      </c>
      <c r="I2628" t="s">
        <v>743</v>
      </c>
      <c r="J2628" t="s">
        <v>379</v>
      </c>
      <c r="K2628" t="s">
        <v>546</v>
      </c>
      <c r="L2628" s="784">
        <v>0</v>
      </c>
      <c r="M2628" t="s">
        <v>745</v>
      </c>
      <c r="N2628" s="784" t="s">
        <v>575</v>
      </c>
      <c r="O2628" t="s">
        <v>737</v>
      </c>
      <c r="P2628" t="s">
        <v>1887</v>
      </c>
      <c r="R2628" t="s">
        <v>152</v>
      </c>
      <c r="S2628" t="s">
        <v>146</v>
      </c>
      <c r="U2628">
        <v>0</v>
      </c>
      <c r="V2628" t="s">
        <v>544</v>
      </c>
      <c r="W2628" t="s">
        <v>575</v>
      </c>
      <c r="X2628" s="784">
        <v>531677611.80447447</v>
      </c>
    </row>
    <row r="2629" spans="1:24">
      <c r="A2629" t="s">
        <v>358</v>
      </c>
      <c r="B2629" t="s">
        <v>645</v>
      </c>
      <c r="C2629" t="s">
        <v>249</v>
      </c>
      <c r="D2629" t="s">
        <v>126</v>
      </c>
      <c r="E2629" t="s">
        <v>377</v>
      </c>
      <c r="F2629" t="s">
        <v>384</v>
      </c>
      <c r="G2629" t="s">
        <v>51</v>
      </c>
      <c r="H2629" t="s">
        <v>749</v>
      </c>
      <c r="I2629" t="s">
        <v>743</v>
      </c>
      <c r="J2629" t="s">
        <v>379</v>
      </c>
      <c r="K2629" t="s">
        <v>546</v>
      </c>
      <c r="L2629" s="784">
        <v>0</v>
      </c>
      <c r="M2629" t="s">
        <v>745</v>
      </c>
      <c r="N2629" s="784" t="s">
        <v>575</v>
      </c>
      <c r="O2629" t="s">
        <v>737</v>
      </c>
      <c r="P2629" t="s">
        <v>1887</v>
      </c>
      <c r="R2629" t="s">
        <v>550</v>
      </c>
      <c r="S2629" t="s">
        <v>146</v>
      </c>
      <c r="U2629">
        <v>0</v>
      </c>
      <c r="V2629" t="s">
        <v>541</v>
      </c>
      <c r="W2629" t="s">
        <v>575</v>
      </c>
      <c r="X2629" s="784">
        <v>8528751.6418357007</v>
      </c>
    </row>
    <row r="2630" spans="1:24">
      <c r="A2630" t="s">
        <v>358</v>
      </c>
      <c r="B2630" t="s">
        <v>646</v>
      </c>
      <c r="C2630" t="s">
        <v>250</v>
      </c>
      <c r="D2630" t="s">
        <v>132</v>
      </c>
      <c r="E2630" t="s">
        <v>377</v>
      </c>
      <c r="F2630" t="s">
        <v>384</v>
      </c>
      <c r="G2630" t="s">
        <v>51</v>
      </c>
      <c r="H2630" t="s">
        <v>749</v>
      </c>
      <c r="I2630" t="s">
        <v>743</v>
      </c>
      <c r="J2630" t="s">
        <v>379</v>
      </c>
      <c r="K2630" t="s">
        <v>546</v>
      </c>
      <c r="L2630" s="784">
        <v>729927</v>
      </c>
      <c r="M2630" t="s">
        <v>745</v>
      </c>
      <c r="N2630" s="784" t="s">
        <v>575</v>
      </c>
      <c r="O2630" t="s">
        <v>737</v>
      </c>
      <c r="P2630" t="s">
        <v>1887</v>
      </c>
      <c r="R2630" t="s">
        <v>150</v>
      </c>
      <c r="S2630" t="s">
        <v>145</v>
      </c>
      <c r="U2630">
        <v>0</v>
      </c>
      <c r="V2630" t="s">
        <v>544</v>
      </c>
      <c r="W2630" t="s">
        <v>558</v>
      </c>
      <c r="X2630" s="784">
        <v>407084543.19089872</v>
      </c>
    </row>
    <row r="2631" spans="1:24">
      <c r="A2631" t="s">
        <v>358</v>
      </c>
      <c r="B2631" t="s">
        <v>647</v>
      </c>
      <c r="C2631" t="s">
        <v>251</v>
      </c>
      <c r="D2631" t="s">
        <v>130</v>
      </c>
      <c r="E2631" t="s">
        <v>377</v>
      </c>
      <c r="F2631" t="s">
        <v>384</v>
      </c>
      <c r="G2631" t="s">
        <v>51</v>
      </c>
      <c r="H2631" t="s">
        <v>749</v>
      </c>
      <c r="I2631" t="s">
        <v>743</v>
      </c>
      <c r="J2631" t="s">
        <v>379</v>
      </c>
      <c r="K2631" t="s">
        <v>546</v>
      </c>
      <c r="L2631" s="784">
        <v>0</v>
      </c>
      <c r="M2631" t="s">
        <v>745</v>
      </c>
      <c r="N2631" s="784" t="s">
        <v>575</v>
      </c>
      <c r="O2631" t="s">
        <v>737</v>
      </c>
      <c r="P2631" t="s">
        <v>1887</v>
      </c>
      <c r="R2631" t="s">
        <v>150</v>
      </c>
      <c r="S2631" t="s">
        <v>145</v>
      </c>
      <c r="U2631">
        <v>0</v>
      </c>
      <c r="V2631" t="s">
        <v>544</v>
      </c>
      <c r="W2631" t="s">
        <v>562</v>
      </c>
      <c r="X2631" s="784">
        <v>671998341.93592453</v>
      </c>
    </row>
    <row r="2632" spans="1:24">
      <c r="A2632" t="s">
        <v>358</v>
      </c>
      <c r="B2632" t="s">
        <v>648</v>
      </c>
      <c r="C2632" t="s">
        <v>252</v>
      </c>
      <c r="D2632" t="s">
        <v>129</v>
      </c>
      <c r="E2632" t="s">
        <v>377</v>
      </c>
      <c r="F2632" t="s">
        <v>384</v>
      </c>
      <c r="G2632" t="s">
        <v>51</v>
      </c>
      <c r="H2632" t="s">
        <v>749</v>
      </c>
      <c r="I2632" t="s">
        <v>743</v>
      </c>
      <c r="J2632" t="s">
        <v>379</v>
      </c>
      <c r="K2632" t="s">
        <v>546</v>
      </c>
      <c r="L2632" s="784">
        <v>0</v>
      </c>
      <c r="M2632" t="s">
        <v>745</v>
      </c>
      <c r="N2632" s="784" t="s">
        <v>575</v>
      </c>
      <c r="O2632" t="s">
        <v>737</v>
      </c>
      <c r="P2632" t="s">
        <v>1887</v>
      </c>
      <c r="R2632" t="s">
        <v>148</v>
      </c>
      <c r="S2632" t="s">
        <v>145</v>
      </c>
      <c r="U2632">
        <v>1</v>
      </c>
      <c r="V2632" t="s">
        <v>544</v>
      </c>
      <c r="W2632" t="s">
        <v>562</v>
      </c>
      <c r="X2632" s="784">
        <v>226203289.67158964</v>
      </c>
    </row>
    <row r="2633" spans="1:24">
      <c r="A2633" t="s">
        <v>358</v>
      </c>
      <c r="B2633" t="s">
        <v>649</v>
      </c>
      <c r="C2633" t="s">
        <v>253</v>
      </c>
      <c r="D2633" t="s">
        <v>129</v>
      </c>
      <c r="E2633" t="s">
        <v>377</v>
      </c>
      <c r="F2633" t="s">
        <v>384</v>
      </c>
      <c r="G2633" t="s">
        <v>51</v>
      </c>
      <c r="H2633" t="s">
        <v>749</v>
      </c>
      <c r="I2633" t="s">
        <v>743</v>
      </c>
      <c r="J2633" t="s">
        <v>379</v>
      </c>
      <c r="K2633" t="s">
        <v>546</v>
      </c>
      <c r="L2633" s="784">
        <v>0</v>
      </c>
      <c r="M2633" t="s">
        <v>745</v>
      </c>
      <c r="N2633" s="784" t="s">
        <v>575</v>
      </c>
      <c r="O2633" t="s">
        <v>737</v>
      </c>
      <c r="P2633" t="s">
        <v>1887</v>
      </c>
      <c r="R2633" t="s">
        <v>150</v>
      </c>
      <c r="S2633" t="s">
        <v>145</v>
      </c>
      <c r="U2633">
        <v>3</v>
      </c>
      <c r="V2633" t="s">
        <v>544</v>
      </c>
      <c r="W2633" t="s">
        <v>548</v>
      </c>
      <c r="X2633" s="784">
        <v>2438881113.1244688</v>
      </c>
    </row>
    <row r="2634" spans="1:24">
      <c r="A2634" t="s">
        <v>358</v>
      </c>
      <c r="B2634" t="s">
        <v>650</v>
      </c>
      <c r="C2634" t="s">
        <v>254</v>
      </c>
      <c r="D2634" t="s">
        <v>127</v>
      </c>
      <c r="E2634" t="s">
        <v>377</v>
      </c>
      <c r="F2634" t="s">
        <v>384</v>
      </c>
      <c r="G2634" t="s">
        <v>51</v>
      </c>
      <c r="H2634" t="s">
        <v>749</v>
      </c>
      <c r="I2634" t="s">
        <v>743</v>
      </c>
      <c r="J2634" t="s">
        <v>379</v>
      </c>
      <c r="K2634" t="s">
        <v>546</v>
      </c>
      <c r="L2634" s="784">
        <v>0</v>
      </c>
      <c r="M2634" t="s">
        <v>745</v>
      </c>
      <c r="N2634" s="784" t="s">
        <v>575</v>
      </c>
      <c r="O2634" t="s">
        <v>737</v>
      </c>
      <c r="P2634" t="s">
        <v>1887</v>
      </c>
      <c r="R2634" t="s">
        <v>152</v>
      </c>
      <c r="S2634" t="s">
        <v>146</v>
      </c>
      <c r="U2634">
        <v>0</v>
      </c>
      <c r="V2634" t="s">
        <v>544</v>
      </c>
      <c r="W2634" t="s">
        <v>575</v>
      </c>
      <c r="X2634" s="784">
        <v>476517795.73174149</v>
      </c>
    </row>
    <row r="2635" spans="1:24">
      <c r="A2635" t="s">
        <v>358</v>
      </c>
      <c r="B2635" t="s">
        <v>651</v>
      </c>
      <c r="C2635" t="s">
        <v>255</v>
      </c>
      <c r="D2635" t="s">
        <v>132</v>
      </c>
      <c r="E2635" t="s">
        <v>377</v>
      </c>
      <c r="F2635" t="s">
        <v>384</v>
      </c>
      <c r="G2635" t="s">
        <v>51</v>
      </c>
      <c r="H2635" t="s">
        <v>749</v>
      </c>
      <c r="I2635" t="s">
        <v>743</v>
      </c>
      <c r="J2635" t="s">
        <v>379</v>
      </c>
      <c r="K2635" t="s">
        <v>546</v>
      </c>
      <c r="L2635" s="784">
        <v>0</v>
      </c>
      <c r="M2635" t="s">
        <v>745</v>
      </c>
      <c r="N2635" s="784" t="s">
        <v>575</v>
      </c>
      <c r="O2635" t="s">
        <v>737</v>
      </c>
      <c r="P2635" t="s">
        <v>1887</v>
      </c>
      <c r="R2635" t="s">
        <v>150</v>
      </c>
      <c r="S2635" t="s">
        <v>145</v>
      </c>
      <c r="U2635">
        <v>0</v>
      </c>
      <c r="V2635" t="s">
        <v>544</v>
      </c>
      <c r="W2635" t="s">
        <v>548</v>
      </c>
      <c r="X2635" s="784">
        <v>3233351297.7679496</v>
      </c>
    </row>
    <row r="2636" spans="1:24">
      <c r="A2636" t="s">
        <v>358</v>
      </c>
      <c r="B2636" t="s">
        <v>652</v>
      </c>
      <c r="C2636" t="s">
        <v>256</v>
      </c>
      <c r="D2636" t="s">
        <v>130</v>
      </c>
      <c r="E2636" t="s">
        <v>377</v>
      </c>
      <c r="F2636" t="s">
        <v>384</v>
      </c>
      <c r="G2636" t="s">
        <v>51</v>
      </c>
      <c r="H2636" t="s">
        <v>749</v>
      </c>
      <c r="I2636" t="s">
        <v>743</v>
      </c>
      <c r="J2636" t="s">
        <v>379</v>
      </c>
      <c r="K2636" t="s">
        <v>546</v>
      </c>
      <c r="L2636" s="784">
        <v>0</v>
      </c>
      <c r="M2636" t="s">
        <v>745</v>
      </c>
      <c r="N2636" s="784" t="s">
        <v>575</v>
      </c>
      <c r="O2636" t="s">
        <v>737</v>
      </c>
      <c r="P2636" t="s">
        <v>1887</v>
      </c>
      <c r="R2636" t="s">
        <v>550</v>
      </c>
      <c r="S2636" t="s">
        <v>146</v>
      </c>
      <c r="U2636">
        <v>0</v>
      </c>
      <c r="V2636" t="s">
        <v>541</v>
      </c>
      <c r="W2636" t="s">
        <v>575</v>
      </c>
      <c r="X2636" s="784">
        <v>18180646.808608256</v>
      </c>
    </row>
    <row r="2637" spans="1:24">
      <c r="A2637" t="s">
        <v>358</v>
      </c>
      <c r="B2637" t="s">
        <v>653</v>
      </c>
      <c r="C2637" t="s">
        <v>257</v>
      </c>
      <c r="D2637" t="s">
        <v>130</v>
      </c>
      <c r="E2637" t="s">
        <v>377</v>
      </c>
      <c r="F2637" t="s">
        <v>384</v>
      </c>
      <c r="G2637" t="s">
        <v>51</v>
      </c>
      <c r="H2637" t="s">
        <v>749</v>
      </c>
      <c r="I2637" t="s">
        <v>743</v>
      </c>
      <c r="J2637" t="s">
        <v>379</v>
      </c>
      <c r="K2637" t="s">
        <v>546</v>
      </c>
      <c r="L2637" s="784">
        <v>0</v>
      </c>
      <c r="M2637" t="s">
        <v>745</v>
      </c>
      <c r="N2637" s="784" t="s">
        <v>575</v>
      </c>
      <c r="O2637" t="s">
        <v>737</v>
      </c>
      <c r="P2637" t="s">
        <v>1887</v>
      </c>
      <c r="R2637" t="s">
        <v>152</v>
      </c>
      <c r="S2637" t="s">
        <v>146</v>
      </c>
      <c r="U2637">
        <v>0</v>
      </c>
      <c r="V2637" t="s">
        <v>544</v>
      </c>
      <c r="W2637" t="s">
        <v>546</v>
      </c>
      <c r="X2637" s="784">
        <v>3020530707.3485303</v>
      </c>
    </row>
    <row r="2638" spans="1:24">
      <c r="A2638" t="s">
        <v>358</v>
      </c>
      <c r="B2638" t="s">
        <v>654</v>
      </c>
      <c r="C2638" t="s">
        <v>258</v>
      </c>
      <c r="D2638" t="s">
        <v>126</v>
      </c>
      <c r="E2638" t="s">
        <v>377</v>
      </c>
      <c r="F2638" t="s">
        <v>384</v>
      </c>
      <c r="G2638" t="s">
        <v>51</v>
      </c>
      <c r="H2638" t="s">
        <v>749</v>
      </c>
      <c r="I2638" t="s">
        <v>743</v>
      </c>
      <c r="J2638" t="s">
        <v>379</v>
      </c>
      <c r="K2638" t="s">
        <v>546</v>
      </c>
      <c r="L2638" s="784">
        <v>2112690</v>
      </c>
      <c r="M2638" t="s">
        <v>745</v>
      </c>
      <c r="N2638" s="784" t="s">
        <v>575</v>
      </c>
      <c r="O2638" t="s">
        <v>737</v>
      </c>
      <c r="P2638" t="s">
        <v>1887</v>
      </c>
      <c r="R2638" t="s">
        <v>150</v>
      </c>
      <c r="S2638" t="s">
        <v>145</v>
      </c>
      <c r="U2638">
        <v>1</v>
      </c>
      <c r="V2638" t="s">
        <v>541</v>
      </c>
      <c r="W2638" t="s">
        <v>542</v>
      </c>
      <c r="X2638" s="784">
        <v>384406316.46074712</v>
      </c>
    </row>
    <row r="2639" spans="1:24">
      <c r="A2639" t="s">
        <v>358</v>
      </c>
      <c r="B2639" t="s">
        <v>655</v>
      </c>
      <c r="C2639" t="s">
        <v>259</v>
      </c>
      <c r="D2639" t="s">
        <v>130</v>
      </c>
      <c r="E2639" t="s">
        <v>377</v>
      </c>
      <c r="F2639" t="s">
        <v>384</v>
      </c>
      <c r="G2639" t="s">
        <v>51</v>
      </c>
      <c r="H2639" t="s">
        <v>749</v>
      </c>
      <c r="I2639" t="s">
        <v>743</v>
      </c>
      <c r="J2639" t="s">
        <v>379</v>
      </c>
      <c r="K2639" t="s">
        <v>546</v>
      </c>
      <c r="L2639" s="784">
        <v>0</v>
      </c>
      <c r="M2639" t="s">
        <v>745</v>
      </c>
      <c r="N2639" s="784" t="s">
        <v>575</v>
      </c>
      <c r="O2639" t="s">
        <v>737</v>
      </c>
      <c r="P2639" t="s">
        <v>1887</v>
      </c>
      <c r="R2639" t="s">
        <v>152</v>
      </c>
      <c r="S2639" t="s">
        <v>146</v>
      </c>
      <c r="U2639">
        <v>0</v>
      </c>
      <c r="V2639" t="s">
        <v>544</v>
      </c>
      <c r="W2639" t="s">
        <v>575</v>
      </c>
      <c r="X2639" s="784">
        <v>1218747108.9554784</v>
      </c>
    </row>
    <row r="2640" spans="1:24">
      <c r="A2640" t="s">
        <v>358</v>
      </c>
      <c r="B2640" t="s">
        <v>656</v>
      </c>
      <c r="C2640" t="s">
        <v>260</v>
      </c>
      <c r="D2640" t="s">
        <v>130</v>
      </c>
      <c r="E2640" t="s">
        <v>377</v>
      </c>
      <c r="F2640" t="s">
        <v>384</v>
      </c>
      <c r="G2640" t="s">
        <v>51</v>
      </c>
      <c r="H2640" t="s">
        <v>749</v>
      </c>
      <c r="I2640" t="s">
        <v>743</v>
      </c>
      <c r="J2640" t="s">
        <v>379</v>
      </c>
      <c r="K2640" t="s">
        <v>546</v>
      </c>
      <c r="L2640" s="784">
        <v>0</v>
      </c>
      <c r="M2640" t="s">
        <v>745</v>
      </c>
      <c r="N2640" s="784" t="s">
        <v>575</v>
      </c>
      <c r="O2640" t="s">
        <v>737</v>
      </c>
      <c r="P2640" t="s">
        <v>1887</v>
      </c>
      <c r="R2640" t="s">
        <v>152</v>
      </c>
      <c r="S2640" t="s">
        <v>146</v>
      </c>
      <c r="U2640">
        <v>0</v>
      </c>
      <c r="V2640" t="s">
        <v>544</v>
      </c>
      <c r="W2640" t="s">
        <v>575</v>
      </c>
      <c r="X2640" s="784">
        <v>7392665952.5895758</v>
      </c>
    </row>
    <row r="2641" spans="1:24">
      <c r="A2641" t="s">
        <v>358</v>
      </c>
      <c r="B2641" t="s">
        <v>657</v>
      </c>
      <c r="C2641" t="s">
        <v>261</v>
      </c>
      <c r="D2641" t="s">
        <v>126</v>
      </c>
      <c r="E2641" t="s">
        <v>377</v>
      </c>
      <c r="F2641" t="s">
        <v>384</v>
      </c>
      <c r="G2641" t="s">
        <v>51</v>
      </c>
      <c r="H2641" t="s">
        <v>749</v>
      </c>
      <c r="I2641" t="s">
        <v>743</v>
      </c>
      <c r="J2641" t="s">
        <v>379</v>
      </c>
      <c r="K2641" t="s">
        <v>546</v>
      </c>
      <c r="L2641" s="784">
        <v>0</v>
      </c>
      <c r="M2641" t="s">
        <v>745</v>
      </c>
      <c r="N2641" s="784" t="s">
        <v>575</v>
      </c>
      <c r="O2641" t="s">
        <v>737</v>
      </c>
      <c r="P2641" t="s">
        <v>1887</v>
      </c>
      <c r="R2641" t="s">
        <v>150</v>
      </c>
      <c r="S2641" t="s">
        <v>145</v>
      </c>
      <c r="U2641">
        <v>0</v>
      </c>
      <c r="V2641" t="s">
        <v>544</v>
      </c>
      <c r="W2641" t="s">
        <v>546</v>
      </c>
      <c r="X2641" s="784">
        <v>4754985988.6004429</v>
      </c>
    </row>
    <row r="2642" spans="1:24">
      <c r="A2642" t="s">
        <v>358</v>
      </c>
      <c r="B2642" t="s">
        <v>658</v>
      </c>
      <c r="C2642" t="s">
        <v>262</v>
      </c>
      <c r="D2642" t="s">
        <v>127</v>
      </c>
      <c r="E2642" t="s">
        <v>377</v>
      </c>
      <c r="F2642" t="s">
        <v>384</v>
      </c>
      <c r="G2642" t="s">
        <v>51</v>
      </c>
      <c r="H2642" t="s">
        <v>749</v>
      </c>
      <c r="I2642" t="s">
        <v>743</v>
      </c>
      <c r="J2642" t="s">
        <v>379</v>
      </c>
      <c r="K2642" t="s">
        <v>546</v>
      </c>
      <c r="L2642" s="784">
        <v>0</v>
      </c>
      <c r="M2642" t="s">
        <v>745</v>
      </c>
      <c r="N2642" s="784" t="s">
        <v>575</v>
      </c>
      <c r="O2642" t="s">
        <v>737</v>
      </c>
      <c r="P2642" t="s">
        <v>1887</v>
      </c>
      <c r="R2642" t="s">
        <v>550</v>
      </c>
      <c r="S2642" t="s">
        <v>146</v>
      </c>
      <c r="U2642">
        <v>0</v>
      </c>
      <c r="V2642" t="s">
        <v>544</v>
      </c>
      <c r="W2642" t="s">
        <v>575</v>
      </c>
      <c r="X2642" s="784">
        <v>26422210443.037273</v>
      </c>
    </row>
    <row r="2643" spans="1:24">
      <c r="A2643" t="s">
        <v>358</v>
      </c>
      <c r="B2643" t="s">
        <v>659</v>
      </c>
      <c r="C2643" t="s">
        <v>151</v>
      </c>
      <c r="D2643" t="s">
        <v>127</v>
      </c>
      <c r="E2643" t="s">
        <v>377</v>
      </c>
      <c r="F2643" t="s">
        <v>384</v>
      </c>
      <c r="G2643" t="s">
        <v>51</v>
      </c>
      <c r="H2643" t="s">
        <v>749</v>
      </c>
      <c r="I2643" t="s">
        <v>743</v>
      </c>
      <c r="J2643" t="s">
        <v>379</v>
      </c>
      <c r="K2643" t="s">
        <v>546</v>
      </c>
      <c r="L2643" s="784">
        <v>0</v>
      </c>
      <c r="M2643" t="s">
        <v>745</v>
      </c>
      <c r="N2643" s="784" t="s">
        <v>575</v>
      </c>
      <c r="O2643" t="s">
        <v>737</v>
      </c>
      <c r="P2643" t="s">
        <v>1887</v>
      </c>
      <c r="R2643" t="s">
        <v>152</v>
      </c>
      <c r="S2643" t="s">
        <v>146</v>
      </c>
      <c r="U2643">
        <v>0</v>
      </c>
      <c r="V2643" t="s">
        <v>544</v>
      </c>
      <c r="W2643" t="s">
        <v>575</v>
      </c>
      <c r="X2643" s="784">
        <v>10696495313.15033</v>
      </c>
    </row>
    <row r="2644" spans="1:24">
      <c r="A2644" t="s">
        <v>358</v>
      </c>
      <c r="B2644" t="s">
        <v>660</v>
      </c>
      <c r="C2644" t="s">
        <v>263</v>
      </c>
      <c r="D2644" t="s">
        <v>127</v>
      </c>
      <c r="E2644" t="s">
        <v>377</v>
      </c>
      <c r="F2644" t="s">
        <v>384</v>
      </c>
      <c r="G2644" t="s">
        <v>51</v>
      </c>
      <c r="H2644" t="s">
        <v>749</v>
      </c>
      <c r="I2644" t="s">
        <v>743</v>
      </c>
      <c r="J2644" t="s">
        <v>379</v>
      </c>
      <c r="K2644" t="s">
        <v>546</v>
      </c>
      <c r="L2644" s="784">
        <v>0</v>
      </c>
      <c r="M2644" t="s">
        <v>745</v>
      </c>
      <c r="N2644" s="784" t="s">
        <v>575</v>
      </c>
      <c r="O2644" t="s">
        <v>737</v>
      </c>
      <c r="P2644" t="s">
        <v>1887</v>
      </c>
      <c r="R2644" t="s">
        <v>152</v>
      </c>
      <c r="S2644" t="s">
        <v>146</v>
      </c>
      <c r="U2644">
        <v>0</v>
      </c>
      <c r="V2644" t="s">
        <v>544</v>
      </c>
      <c r="W2644" t="s">
        <v>575</v>
      </c>
      <c r="X2644" s="784">
        <v>52769713433.240509</v>
      </c>
    </row>
    <row r="2645" spans="1:24">
      <c r="A2645" t="s">
        <v>358</v>
      </c>
      <c r="B2645" t="s">
        <v>661</v>
      </c>
      <c r="C2645" t="s">
        <v>264</v>
      </c>
      <c r="D2645" t="s">
        <v>128</v>
      </c>
      <c r="E2645" t="s">
        <v>377</v>
      </c>
      <c r="F2645" t="s">
        <v>384</v>
      </c>
      <c r="G2645" t="s">
        <v>51</v>
      </c>
      <c r="H2645" t="s">
        <v>749</v>
      </c>
      <c r="I2645" t="s">
        <v>743</v>
      </c>
      <c r="J2645" t="s">
        <v>379</v>
      </c>
      <c r="K2645" t="s">
        <v>546</v>
      </c>
      <c r="L2645" s="784">
        <v>0</v>
      </c>
      <c r="M2645" t="s">
        <v>745</v>
      </c>
      <c r="N2645" s="784" t="s">
        <v>575</v>
      </c>
      <c r="O2645" t="s">
        <v>737</v>
      </c>
      <c r="P2645" t="s">
        <v>1887</v>
      </c>
      <c r="R2645" t="s">
        <v>148</v>
      </c>
      <c r="S2645" t="s">
        <v>145</v>
      </c>
      <c r="U2645">
        <v>0</v>
      </c>
      <c r="V2645" t="s">
        <v>544</v>
      </c>
      <c r="W2645" t="s">
        <v>562</v>
      </c>
      <c r="X2645" s="784">
        <v>225799814.51943746</v>
      </c>
    </row>
    <row r="2646" spans="1:24">
      <c r="A2646" t="s">
        <v>358</v>
      </c>
      <c r="B2646" t="s">
        <v>662</v>
      </c>
      <c r="C2646" t="s">
        <v>265</v>
      </c>
      <c r="D2646" t="s">
        <v>126</v>
      </c>
      <c r="E2646" t="s">
        <v>377</v>
      </c>
      <c r="F2646" t="s">
        <v>384</v>
      </c>
      <c r="G2646" t="s">
        <v>51</v>
      </c>
      <c r="H2646" t="s">
        <v>749</v>
      </c>
      <c r="I2646" t="s">
        <v>743</v>
      </c>
      <c r="J2646" t="s">
        <v>379</v>
      </c>
      <c r="K2646" t="s">
        <v>546</v>
      </c>
      <c r="L2646" s="784">
        <v>25462</v>
      </c>
      <c r="M2646" t="s">
        <v>745</v>
      </c>
      <c r="N2646" s="784" t="s">
        <v>575</v>
      </c>
      <c r="O2646" t="s">
        <v>737</v>
      </c>
      <c r="P2646" t="s">
        <v>1887</v>
      </c>
      <c r="R2646" t="s">
        <v>150</v>
      </c>
      <c r="S2646" t="s">
        <v>145</v>
      </c>
      <c r="U2646">
        <v>0</v>
      </c>
      <c r="V2646" t="s">
        <v>541</v>
      </c>
      <c r="W2646" t="s">
        <v>542</v>
      </c>
      <c r="X2646" s="784">
        <v>32192988.027009469</v>
      </c>
    </row>
    <row r="2647" spans="1:24">
      <c r="A2647" t="s">
        <v>358</v>
      </c>
      <c r="B2647" t="s">
        <v>663</v>
      </c>
      <c r="C2647" t="s">
        <v>266</v>
      </c>
      <c r="D2647" t="s">
        <v>129</v>
      </c>
      <c r="E2647" t="s">
        <v>377</v>
      </c>
      <c r="F2647" t="s">
        <v>384</v>
      </c>
      <c r="G2647" t="s">
        <v>51</v>
      </c>
      <c r="H2647" t="s">
        <v>749</v>
      </c>
      <c r="I2647" t="s">
        <v>743</v>
      </c>
      <c r="J2647" t="s">
        <v>379</v>
      </c>
      <c r="K2647" t="s">
        <v>546</v>
      </c>
      <c r="L2647" s="784">
        <v>0</v>
      </c>
      <c r="M2647" t="s">
        <v>745</v>
      </c>
      <c r="N2647" s="784" t="s">
        <v>575</v>
      </c>
      <c r="O2647" t="s">
        <v>737</v>
      </c>
      <c r="P2647" t="s">
        <v>1887</v>
      </c>
      <c r="R2647" t="s">
        <v>150</v>
      </c>
      <c r="S2647" t="s">
        <v>145</v>
      </c>
      <c r="U2647">
        <v>0</v>
      </c>
      <c r="V2647" t="s">
        <v>541</v>
      </c>
      <c r="W2647" t="s">
        <v>583</v>
      </c>
      <c r="X2647" s="784">
        <v>11633535.136477679</v>
      </c>
    </row>
    <row r="2648" spans="1:24">
      <c r="A2648" t="s">
        <v>358</v>
      </c>
      <c r="B2648" t="s">
        <v>664</v>
      </c>
      <c r="C2648" t="s">
        <v>267</v>
      </c>
      <c r="D2648" t="s">
        <v>129</v>
      </c>
      <c r="E2648" t="s">
        <v>377</v>
      </c>
      <c r="F2648" t="s">
        <v>384</v>
      </c>
      <c r="G2648" t="s">
        <v>51</v>
      </c>
      <c r="H2648" t="s">
        <v>749</v>
      </c>
      <c r="I2648" t="s">
        <v>743</v>
      </c>
      <c r="J2648" t="s">
        <v>379</v>
      </c>
      <c r="K2648" t="s">
        <v>546</v>
      </c>
      <c r="L2648" s="784">
        <v>0</v>
      </c>
      <c r="M2648" t="s">
        <v>745</v>
      </c>
      <c r="N2648" s="784" t="s">
        <v>575</v>
      </c>
      <c r="O2648" t="s">
        <v>737</v>
      </c>
      <c r="P2648" t="s">
        <v>1887</v>
      </c>
      <c r="R2648" t="s">
        <v>150</v>
      </c>
      <c r="S2648" t="s">
        <v>145</v>
      </c>
      <c r="U2648">
        <v>2</v>
      </c>
      <c r="V2648" t="s">
        <v>544</v>
      </c>
      <c r="W2648" t="s">
        <v>562</v>
      </c>
      <c r="X2648" s="784">
        <v>222008693.93354639</v>
      </c>
    </row>
    <row r="2649" spans="1:24">
      <c r="A2649" t="s">
        <v>358</v>
      </c>
      <c r="B2649" t="s">
        <v>665</v>
      </c>
      <c r="C2649" t="s">
        <v>153</v>
      </c>
      <c r="D2649" t="s">
        <v>127</v>
      </c>
      <c r="E2649" t="s">
        <v>377</v>
      </c>
      <c r="F2649" t="s">
        <v>384</v>
      </c>
      <c r="G2649" t="s">
        <v>51</v>
      </c>
      <c r="H2649" t="s">
        <v>749</v>
      </c>
      <c r="I2649" t="s">
        <v>743</v>
      </c>
      <c r="J2649" t="s">
        <v>379</v>
      </c>
      <c r="K2649" t="s">
        <v>546</v>
      </c>
      <c r="L2649" s="784">
        <v>0</v>
      </c>
      <c r="M2649" t="s">
        <v>745</v>
      </c>
      <c r="N2649" s="784" t="s">
        <v>575</v>
      </c>
      <c r="O2649" t="s">
        <v>737</v>
      </c>
      <c r="P2649" t="s">
        <v>1887</v>
      </c>
      <c r="R2649" t="s">
        <v>152</v>
      </c>
      <c r="S2649" t="s">
        <v>146</v>
      </c>
      <c r="U2649">
        <v>0</v>
      </c>
      <c r="V2649" t="s">
        <v>544</v>
      </c>
      <c r="W2649" t="s">
        <v>575</v>
      </c>
      <c r="X2649" s="784">
        <v>2564993795.1894679</v>
      </c>
    </row>
    <row r="2650" spans="1:24">
      <c r="A2650" t="s">
        <v>358</v>
      </c>
      <c r="B2650" t="s">
        <v>666</v>
      </c>
      <c r="C2650" t="s">
        <v>268</v>
      </c>
      <c r="D2650" t="s">
        <v>128</v>
      </c>
      <c r="E2650" t="s">
        <v>377</v>
      </c>
      <c r="F2650" t="s">
        <v>384</v>
      </c>
      <c r="G2650" t="s">
        <v>51</v>
      </c>
      <c r="H2650" t="s">
        <v>749</v>
      </c>
      <c r="I2650" t="s">
        <v>743</v>
      </c>
      <c r="J2650" t="s">
        <v>379</v>
      </c>
      <c r="K2650" t="s">
        <v>546</v>
      </c>
      <c r="L2650" s="784">
        <v>0</v>
      </c>
      <c r="M2650" t="s">
        <v>745</v>
      </c>
      <c r="N2650" s="784" t="s">
        <v>575</v>
      </c>
      <c r="O2650" t="s">
        <v>737</v>
      </c>
      <c r="P2650" t="s">
        <v>1887</v>
      </c>
      <c r="R2650" t="s">
        <v>550</v>
      </c>
      <c r="S2650" t="s">
        <v>146</v>
      </c>
      <c r="U2650">
        <v>0</v>
      </c>
      <c r="V2650" t="s">
        <v>541</v>
      </c>
      <c r="W2650" t="s">
        <v>546</v>
      </c>
      <c r="X2650" s="784">
        <v>60237542.945069775</v>
      </c>
    </row>
    <row r="2651" spans="1:24">
      <c r="A2651" t="s">
        <v>358</v>
      </c>
      <c r="B2651" t="s">
        <v>667</v>
      </c>
      <c r="C2651" t="s">
        <v>269</v>
      </c>
      <c r="D2651" t="s">
        <v>129</v>
      </c>
      <c r="E2651" t="s">
        <v>377</v>
      </c>
      <c r="F2651" t="s">
        <v>384</v>
      </c>
      <c r="G2651" t="s">
        <v>51</v>
      </c>
      <c r="H2651" t="s">
        <v>749</v>
      </c>
      <c r="I2651" t="s">
        <v>743</v>
      </c>
      <c r="J2651" t="s">
        <v>379</v>
      </c>
      <c r="K2651" t="s">
        <v>546</v>
      </c>
      <c r="L2651" s="784">
        <v>0</v>
      </c>
      <c r="M2651" t="s">
        <v>745</v>
      </c>
      <c r="N2651" s="784" t="s">
        <v>575</v>
      </c>
      <c r="O2651" t="s">
        <v>737</v>
      </c>
      <c r="P2651" t="s">
        <v>1887</v>
      </c>
      <c r="R2651" t="s">
        <v>148</v>
      </c>
      <c r="S2651" t="s">
        <v>145</v>
      </c>
      <c r="U2651">
        <v>0</v>
      </c>
      <c r="V2651" t="s">
        <v>544</v>
      </c>
      <c r="W2651" t="s">
        <v>542</v>
      </c>
      <c r="X2651" s="784">
        <v>63738640.538260505</v>
      </c>
    </row>
    <row r="2652" spans="1:24">
      <c r="A2652" t="s">
        <v>358</v>
      </c>
      <c r="B2652" t="s">
        <v>668</v>
      </c>
      <c r="C2652" t="s">
        <v>270</v>
      </c>
      <c r="D2652" t="s">
        <v>126</v>
      </c>
      <c r="E2652" t="s">
        <v>377</v>
      </c>
      <c r="F2652" t="s">
        <v>384</v>
      </c>
      <c r="G2652" t="s">
        <v>51</v>
      </c>
      <c r="H2652" t="s">
        <v>749</v>
      </c>
      <c r="I2652" t="s">
        <v>743</v>
      </c>
      <c r="J2652" t="s">
        <v>379</v>
      </c>
      <c r="K2652" t="s">
        <v>546</v>
      </c>
      <c r="L2652" s="784">
        <v>107682</v>
      </c>
      <c r="M2652" t="s">
        <v>745</v>
      </c>
      <c r="N2652" s="784" t="s">
        <v>575</v>
      </c>
      <c r="O2652" t="s">
        <v>737</v>
      </c>
      <c r="P2652" t="s">
        <v>1887</v>
      </c>
      <c r="R2652" t="s">
        <v>150</v>
      </c>
      <c r="S2652" t="s">
        <v>145</v>
      </c>
      <c r="U2652">
        <v>0</v>
      </c>
      <c r="V2652" t="s">
        <v>541</v>
      </c>
      <c r="W2652" t="s">
        <v>562</v>
      </c>
      <c r="X2652" s="784">
        <v>49012774.055630356</v>
      </c>
    </row>
    <row r="2653" spans="1:24">
      <c r="A2653" t="s">
        <v>358</v>
      </c>
      <c r="B2653" t="s">
        <v>669</v>
      </c>
      <c r="C2653" t="s">
        <v>271</v>
      </c>
      <c r="D2653" t="s">
        <v>128</v>
      </c>
      <c r="E2653" t="s">
        <v>377</v>
      </c>
      <c r="F2653" t="s">
        <v>384</v>
      </c>
      <c r="G2653" t="s">
        <v>51</v>
      </c>
      <c r="H2653" t="s">
        <v>749</v>
      </c>
      <c r="I2653" t="s">
        <v>743</v>
      </c>
      <c r="J2653" t="s">
        <v>379</v>
      </c>
      <c r="K2653" t="s">
        <v>546</v>
      </c>
      <c r="L2653" s="784">
        <v>0</v>
      </c>
      <c r="M2653" t="s">
        <v>745</v>
      </c>
      <c r="N2653" s="784" t="s">
        <v>575</v>
      </c>
      <c r="O2653" t="s">
        <v>737</v>
      </c>
      <c r="P2653" t="s">
        <v>1887</v>
      </c>
      <c r="R2653" t="s">
        <v>148</v>
      </c>
      <c r="S2653" t="s">
        <v>145</v>
      </c>
      <c r="U2653">
        <v>1</v>
      </c>
      <c r="V2653" t="s">
        <v>544</v>
      </c>
      <c r="W2653" t="s">
        <v>583</v>
      </c>
      <c r="X2653" s="784" t="s">
        <v>575</v>
      </c>
    </row>
    <row r="2654" spans="1:24">
      <c r="A2654" t="s">
        <v>358</v>
      </c>
      <c r="B2654" t="s">
        <v>670</v>
      </c>
      <c r="C2654" t="s">
        <v>272</v>
      </c>
      <c r="D2654" t="s">
        <v>128</v>
      </c>
      <c r="E2654" t="s">
        <v>377</v>
      </c>
      <c r="F2654" t="s">
        <v>384</v>
      </c>
      <c r="G2654" t="s">
        <v>51</v>
      </c>
      <c r="H2654" t="s">
        <v>749</v>
      </c>
      <c r="I2654" t="s">
        <v>743</v>
      </c>
      <c r="J2654" t="s">
        <v>379</v>
      </c>
      <c r="K2654" t="s">
        <v>546</v>
      </c>
      <c r="L2654" s="784">
        <v>0</v>
      </c>
      <c r="M2654" t="s">
        <v>745</v>
      </c>
      <c r="N2654" s="784" t="s">
        <v>575</v>
      </c>
      <c r="O2654" t="s">
        <v>737</v>
      </c>
      <c r="P2654" t="s">
        <v>1887</v>
      </c>
      <c r="R2654" t="s">
        <v>152</v>
      </c>
      <c r="S2654" t="s">
        <v>146</v>
      </c>
      <c r="U2654">
        <v>0</v>
      </c>
      <c r="V2654" t="s">
        <v>544</v>
      </c>
      <c r="W2654" t="s">
        <v>546</v>
      </c>
      <c r="X2654" s="784">
        <v>16429121142.784708</v>
      </c>
    </row>
    <row r="2655" spans="1:24">
      <c r="A2655" t="s">
        <v>358</v>
      </c>
      <c r="B2655" t="s">
        <v>671</v>
      </c>
      <c r="C2655" t="s">
        <v>273</v>
      </c>
      <c r="D2655" t="s">
        <v>128</v>
      </c>
      <c r="E2655" t="s">
        <v>377</v>
      </c>
      <c r="F2655" t="s">
        <v>384</v>
      </c>
      <c r="G2655" t="s">
        <v>51</v>
      </c>
      <c r="H2655" t="s">
        <v>749</v>
      </c>
      <c r="I2655" t="s">
        <v>743</v>
      </c>
      <c r="J2655" t="s">
        <v>379</v>
      </c>
      <c r="K2655" t="s">
        <v>546</v>
      </c>
      <c r="L2655" s="784">
        <v>0</v>
      </c>
      <c r="M2655" t="s">
        <v>745</v>
      </c>
      <c r="N2655" s="784" t="s">
        <v>575</v>
      </c>
      <c r="O2655" t="s">
        <v>737</v>
      </c>
      <c r="P2655" t="s">
        <v>1887</v>
      </c>
      <c r="R2655" t="s">
        <v>148</v>
      </c>
      <c r="S2655" t="s">
        <v>145</v>
      </c>
      <c r="U2655">
        <v>1</v>
      </c>
      <c r="V2655" t="s">
        <v>544</v>
      </c>
      <c r="W2655" t="s">
        <v>542</v>
      </c>
      <c r="X2655" s="784">
        <v>31684581.76217727</v>
      </c>
    </row>
    <row r="2656" spans="1:24">
      <c r="A2656" t="s">
        <v>358</v>
      </c>
      <c r="B2656" t="s">
        <v>672</v>
      </c>
      <c r="C2656" t="s">
        <v>274</v>
      </c>
      <c r="D2656" t="s">
        <v>132</v>
      </c>
      <c r="E2656" t="s">
        <v>377</v>
      </c>
      <c r="F2656" t="s">
        <v>384</v>
      </c>
      <c r="G2656" t="s">
        <v>51</v>
      </c>
      <c r="H2656" t="s">
        <v>749</v>
      </c>
      <c r="I2656" t="s">
        <v>743</v>
      </c>
      <c r="J2656" t="s">
        <v>379</v>
      </c>
      <c r="K2656" t="s">
        <v>546</v>
      </c>
      <c r="L2656" s="784">
        <v>0</v>
      </c>
      <c r="M2656" t="s">
        <v>745</v>
      </c>
      <c r="N2656" s="784" t="s">
        <v>575</v>
      </c>
      <c r="O2656" t="s">
        <v>737</v>
      </c>
      <c r="P2656" t="s">
        <v>1887</v>
      </c>
      <c r="R2656" t="s">
        <v>150</v>
      </c>
      <c r="S2656" t="s">
        <v>145</v>
      </c>
      <c r="U2656">
        <v>0</v>
      </c>
      <c r="V2656" t="s">
        <v>544</v>
      </c>
      <c r="W2656" t="s">
        <v>546</v>
      </c>
      <c r="X2656" s="784">
        <v>1373621563.5182886</v>
      </c>
    </row>
    <row r="2657" spans="1:24">
      <c r="A2657" t="s">
        <v>358</v>
      </c>
      <c r="B2657" t="s">
        <v>673</v>
      </c>
      <c r="C2657" t="s">
        <v>275</v>
      </c>
      <c r="D2657" t="s">
        <v>130</v>
      </c>
      <c r="E2657" t="s">
        <v>377</v>
      </c>
      <c r="F2657" t="s">
        <v>384</v>
      </c>
      <c r="G2657" t="s">
        <v>51</v>
      </c>
      <c r="H2657" t="s">
        <v>749</v>
      </c>
      <c r="I2657" t="s">
        <v>743</v>
      </c>
      <c r="J2657" t="s">
        <v>379</v>
      </c>
      <c r="K2657" t="s">
        <v>546</v>
      </c>
      <c r="L2657" s="784">
        <v>0</v>
      </c>
      <c r="M2657" t="s">
        <v>745</v>
      </c>
      <c r="N2657" s="784" t="s">
        <v>575</v>
      </c>
      <c r="O2657" t="s">
        <v>737</v>
      </c>
      <c r="P2657" t="s">
        <v>1887</v>
      </c>
      <c r="R2657" t="s">
        <v>550</v>
      </c>
      <c r="S2657" t="s">
        <v>146</v>
      </c>
      <c r="U2657">
        <v>0</v>
      </c>
      <c r="V2657" t="s">
        <v>541</v>
      </c>
      <c r="W2657" t="s">
        <v>575</v>
      </c>
      <c r="X2657" s="784">
        <v>24214370.889062837</v>
      </c>
    </row>
    <row r="2658" spans="1:24">
      <c r="A2658" t="s">
        <v>358</v>
      </c>
      <c r="B2658" t="s">
        <v>674</v>
      </c>
      <c r="C2658" t="s">
        <v>154</v>
      </c>
      <c r="D2658" t="s">
        <v>130</v>
      </c>
      <c r="E2658" t="s">
        <v>377</v>
      </c>
      <c r="F2658" t="s">
        <v>384</v>
      </c>
      <c r="G2658" t="s">
        <v>51</v>
      </c>
      <c r="H2658" t="s">
        <v>749</v>
      </c>
      <c r="I2658" t="s">
        <v>743</v>
      </c>
      <c r="J2658" t="s">
        <v>379</v>
      </c>
      <c r="K2658" t="s">
        <v>546</v>
      </c>
      <c r="L2658" s="784">
        <v>0</v>
      </c>
      <c r="M2658" t="s">
        <v>745</v>
      </c>
      <c r="N2658" s="784" t="s">
        <v>575</v>
      </c>
      <c r="O2658" t="s">
        <v>737</v>
      </c>
      <c r="P2658" t="s">
        <v>1887</v>
      </c>
      <c r="R2658" t="s">
        <v>152</v>
      </c>
      <c r="S2658" t="s">
        <v>145</v>
      </c>
      <c r="U2658">
        <v>0</v>
      </c>
      <c r="V2658" t="s">
        <v>541</v>
      </c>
      <c r="W2658" t="s">
        <v>548</v>
      </c>
      <c r="X2658" s="784">
        <v>39941279.609447442</v>
      </c>
    </row>
    <row r="2659" spans="1:24">
      <c r="A2659" t="s">
        <v>358</v>
      </c>
      <c r="B2659" t="s">
        <v>675</v>
      </c>
      <c r="C2659" t="s">
        <v>155</v>
      </c>
      <c r="D2659" t="s">
        <v>130</v>
      </c>
      <c r="E2659" t="s">
        <v>377</v>
      </c>
      <c r="F2659" t="s">
        <v>384</v>
      </c>
      <c r="G2659" t="s">
        <v>51</v>
      </c>
      <c r="H2659" t="s">
        <v>749</v>
      </c>
      <c r="I2659" t="s">
        <v>743</v>
      </c>
      <c r="J2659" t="s">
        <v>379</v>
      </c>
      <c r="K2659" t="s">
        <v>546</v>
      </c>
      <c r="L2659" s="784">
        <v>0</v>
      </c>
      <c r="M2659" t="s">
        <v>745</v>
      </c>
      <c r="N2659" s="784" t="s">
        <v>575</v>
      </c>
      <c r="O2659" t="s">
        <v>737</v>
      </c>
      <c r="P2659" t="s">
        <v>1887</v>
      </c>
      <c r="R2659" t="s">
        <v>152</v>
      </c>
      <c r="S2659" t="s">
        <v>145</v>
      </c>
      <c r="U2659">
        <v>0</v>
      </c>
      <c r="V2659" t="s">
        <v>541</v>
      </c>
      <c r="W2659" t="s">
        <v>542</v>
      </c>
      <c r="X2659" s="784">
        <v>24761675.260059897</v>
      </c>
    </row>
    <row r="2660" spans="1:24">
      <c r="A2660" t="s">
        <v>358</v>
      </c>
      <c r="B2660" t="s">
        <v>676</v>
      </c>
      <c r="C2660" t="s">
        <v>276</v>
      </c>
      <c r="D2660" t="s">
        <v>131</v>
      </c>
      <c r="E2660" t="s">
        <v>377</v>
      </c>
      <c r="F2660" t="s">
        <v>384</v>
      </c>
      <c r="G2660" t="s">
        <v>51</v>
      </c>
      <c r="H2660" t="s">
        <v>749</v>
      </c>
      <c r="I2660" t="s">
        <v>743</v>
      </c>
      <c r="J2660" t="s">
        <v>379</v>
      </c>
      <c r="K2660" t="s">
        <v>546</v>
      </c>
      <c r="L2660" s="784">
        <v>0</v>
      </c>
      <c r="M2660" t="s">
        <v>745</v>
      </c>
      <c r="N2660" s="784" t="s">
        <v>575</v>
      </c>
      <c r="O2660" t="s">
        <v>737</v>
      </c>
      <c r="P2660" t="s">
        <v>1887</v>
      </c>
      <c r="R2660" t="s">
        <v>150</v>
      </c>
      <c r="S2660" t="s">
        <v>145</v>
      </c>
      <c r="U2660">
        <v>0</v>
      </c>
      <c r="V2660" t="s">
        <v>544</v>
      </c>
      <c r="W2660" t="s">
        <v>546</v>
      </c>
      <c r="X2660" s="784" t="s">
        <v>575</v>
      </c>
    </row>
    <row r="2661" spans="1:24">
      <c r="A2661" t="s">
        <v>358</v>
      </c>
      <c r="B2661" t="s">
        <v>677</v>
      </c>
      <c r="C2661" t="s">
        <v>277</v>
      </c>
      <c r="D2661" t="s">
        <v>131</v>
      </c>
      <c r="E2661" t="s">
        <v>377</v>
      </c>
      <c r="F2661" t="s">
        <v>384</v>
      </c>
      <c r="G2661" t="s">
        <v>51</v>
      </c>
      <c r="H2661" t="s">
        <v>749</v>
      </c>
      <c r="I2661" t="s">
        <v>743</v>
      </c>
      <c r="J2661" t="s">
        <v>379</v>
      </c>
      <c r="K2661" t="s">
        <v>546</v>
      </c>
      <c r="L2661" s="784">
        <v>0</v>
      </c>
      <c r="M2661" t="s">
        <v>745</v>
      </c>
      <c r="N2661" s="784" t="s">
        <v>575</v>
      </c>
      <c r="O2661" t="s">
        <v>737</v>
      </c>
      <c r="P2661" t="s">
        <v>1887</v>
      </c>
      <c r="R2661" t="s">
        <v>148</v>
      </c>
      <c r="S2661" t="s">
        <v>145</v>
      </c>
      <c r="U2661">
        <v>1</v>
      </c>
      <c r="V2661" t="s">
        <v>544</v>
      </c>
      <c r="W2661" t="s">
        <v>546</v>
      </c>
      <c r="X2661" s="784">
        <v>577156172.71229994</v>
      </c>
    </row>
    <row r="2662" spans="1:24">
      <c r="A2662" t="s">
        <v>358</v>
      </c>
      <c r="B2662" t="s">
        <v>678</v>
      </c>
      <c r="C2662" t="s">
        <v>278</v>
      </c>
      <c r="D2662" t="s">
        <v>126</v>
      </c>
      <c r="E2662" t="s">
        <v>377</v>
      </c>
      <c r="F2662" t="s">
        <v>384</v>
      </c>
      <c r="G2662" t="s">
        <v>51</v>
      </c>
      <c r="H2662" t="s">
        <v>749</v>
      </c>
      <c r="I2662" t="s">
        <v>743</v>
      </c>
      <c r="J2662" t="s">
        <v>379</v>
      </c>
      <c r="K2662" t="s">
        <v>546</v>
      </c>
      <c r="L2662" s="784">
        <v>0</v>
      </c>
      <c r="M2662" t="s">
        <v>745</v>
      </c>
      <c r="N2662" s="784" t="s">
        <v>575</v>
      </c>
      <c r="O2662" t="s">
        <v>737</v>
      </c>
      <c r="P2662" t="s">
        <v>1887</v>
      </c>
      <c r="R2662" t="s">
        <v>152</v>
      </c>
      <c r="S2662" t="s">
        <v>146</v>
      </c>
      <c r="U2662">
        <v>0</v>
      </c>
      <c r="V2662" t="s">
        <v>541</v>
      </c>
      <c r="W2662" t="s">
        <v>575</v>
      </c>
      <c r="X2662" s="784">
        <v>180052034.19851837</v>
      </c>
    </row>
    <row r="2663" spans="1:24">
      <c r="A2663" t="s">
        <v>358</v>
      </c>
      <c r="B2663" t="s">
        <v>679</v>
      </c>
      <c r="C2663" t="s">
        <v>279</v>
      </c>
      <c r="D2663" t="s">
        <v>131</v>
      </c>
      <c r="E2663" t="s">
        <v>377</v>
      </c>
      <c r="F2663" t="s">
        <v>384</v>
      </c>
      <c r="G2663" t="s">
        <v>51</v>
      </c>
      <c r="H2663" t="s">
        <v>749</v>
      </c>
      <c r="I2663" t="s">
        <v>743</v>
      </c>
      <c r="J2663" t="s">
        <v>379</v>
      </c>
      <c r="K2663" t="s">
        <v>546</v>
      </c>
      <c r="L2663" s="784">
        <v>0</v>
      </c>
      <c r="M2663" t="s">
        <v>745</v>
      </c>
      <c r="N2663" s="784" t="s">
        <v>575</v>
      </c>
      <c r="O2663" t="s">
        <v>737</v>
      </c>
      <c r="P2663" t="s">
        <v>1887</v>
      </c>
      <c r="R2663" t="s">
        <v>148</v>
      </c>
      <c r="S2663" t="s">
        <v>145</v>
      </c>
      <c r="U2663">
        <v>1</v>
      </c>
      <c r="V2663" t="s">
        <v>544</v>
      </c>
      <c r="W2663" t="s">
        <v>546</v>
      </c>
      <c r="X2663" s="784" t="s">
        <v>575</v>
      </c>
    </row>
    <row r="2664" spans="1:24">
      <c r="A2664" t="s">
        <v>358</v>
      </c>
      <c r="B2664" t="s">
        <v>680</v>
      </c>
      <c r="C2664" t="s">
        <v>280</v>
      </c>
      <c r="D2664" t="s">
        <v>127</v>
      </c>
      <c r="E2664" t="s">
        <v>377</v>
      </c>
      <c r="F2664" t="s">
        <v>384</v>
      </c>
      <c r="G2664" t="s">
        <v>51</v>
      </c>
      <c r="H2664" t="s">
        <v>749</v>
      </c>
      <c r="I2664" t="s">
        <v>743</v>
      </c>
      <c r="J2664" t="s">
        <v>379</v>
      </c>
      <c r="K2664" t="s">
        <v>546</v>
      </c>
      <c r="L2664" s="784">
        <v>0</v>
      </c>
      <c r="M2664" t="s">
        <v>745</v>
      </c>
      <c r="N2664" s="784" t="s">
        <v>575</v>
      </c>
      <c r="O2664" t="s">
        <v>737</v>
      </c>
      <c r="P2664" t="s">
        <v>1887</v>
      </c>
      <c r="R2664" t="s">
        <v>150</v>
      </c>
      <c r="S2664" t="s">
        <v>145</v>
      </c>
      <c r="U2664">
        <v>0</v>
      </c>
      <c r="V2664" t="s">
        <v>544</v>
      </c>
      <c r="W2664" t="s">
        <v>542</v>
      </c>
      <c r="X2664" s="784">
        <v>147296124.32232863</v>
      </c>
    </row>
    <row r="2665" spans="1:24">
      <c r="A2665" t="s">
        <v>358</v>
      </c>
      <c r="B2665" t="s">
        <v>681</v>
      </c>
      <c r="C2665" t="s">
        <v>156</v>
      </c>
      <c r="D2665" t="s">
        <v>128</v>
      </c>
      <c r="E2665" t="s">
        <v>377</v>
      </c>
      <c r="F2665" t="s">
        <v>384</v>
      </c>
      <c r="G2665" t="s">
        <v>51</v>
      </c>
      <c r="H2665" t="s">
        <v>749</v>
      </c>
      <c r="I2665" t="s">
        <v>743</v>
      </c>
      <c r="J2665" t="s">
        <v>379</v>
      </c>
      <c r="K2665" t="s">
        <v>546</v>
      </c>
      <c r="L2665" s="784">
        <v>0</v>
      </c>
      <c r="M2665" t="s">
        <v>745</v>
      </c>
      <c r="N2665" s="784" t="s">
        <v>575</v>
      </c>
      <c r="O2665" t="s">
        <v>737</v>
      </c>
      <c r="P2665" t="s">
        <v>1887</v>
      </c>
      <c r="R2665" t="s">
        <v>150</v>
      </c>
      <c r="S2665" t="s">
        <v>145</v>
      </c>
      <c r="U2665">
        <v>0</v>
      </c>
      <c r="V2665" t="s">
        <v>544</v>
      </c>
      <c r="W2665" t="s">
        <v>548</v>
      </c>
      <c r="X2665" s="784">
        <v>890576536.83065879</v>
      </c>
    </row>
    <row r="2666" spans="1:24">
      <c r="A2666" t="s">
        <v>358</v>
      </c>
      <c r="B2666" t="s">
        <v>682</v>
      </c>
      <c r="C2666" t="s">
        <v>157</v>
      </c>
      <c r="D2666" t="s">
        <v>126</v>
      </c>
      <c r="E2666" t="s">
        <v>377</v>
      </c>
      <c r="F2666" t="s">
        <v>384</v>
      </c>
      <c r="G2666" t="s">
        <v>51</v>
      </c>
      <c r="H2666" t="s">
        <v>749</v>
      </c>
      <c r="I2666" t="s">
        <v>743</v>
      </c>
      <c r="J2666" t="s">
        <v>379</v>
      </c>
      <c r="K2666" t="s">
        <v>546</v>
      </c>
      <c r="L2666" s="784">
        <v>0</v>
      </c>
      <c r="M2666" t="s">
        <v>745</v>
      </c>
      <c r="N2666" s="784" t="s">
        <v>575</v>
      </c>
      <c r="O2666" t="s">
        <v>737</v>
      </c>
      <c r="P2666" t="s">
        <v>1887</v>
      </c>
      <c r="R2666" t="s">
        <v>152</v>
      </c>
      <c r="S2666" t="s">
        <v>146</v>
      </c>
      <c r="U2666">
        <v>0</v>
      </c>
      <c r="V2666" t="s">
        <v>544</v>
      </c>
      <c r="W2666" t="s">
        <v>575</v>
      </c>
      <c r="X2666" s="784">
        <v>14611129792.346064</v>
      </c>
    </row>
    <row r="2667" spans="1:24">
      <c r="A2667" t="s">
        <v>358</v>
      </c>
      <c r="B2667" t="s">
        <v>683</v>
      </c>
      <c r="C2667" t="s">
        <v>281</v>
      </c>
      <c r="D2667" t="s">
        <v>126</v>
      </c>
      <c r="E2667" t="s">
        <v>377</v>
      </c>
      <c r="F2667" t="s">
        <v>384</v>
      </c>
      <c r="G2667" t="s">
        <v>51</v>
      </c>
      <c r="H2667" t="s">
        <v>749</v>
      </c>
      <c r="I2667" t="s">
        <v>743</v>
      </c>
      <c r="J2667" t="s">
        <v>379</v>
      </c>
      <c r="K2667" t="s">
        <v>546</v>
      </c>
      <c r="L2667" s="784">
        <v>0</v>
      </c>
      <c r="M2667" t="s">
        <v>745</v>
      </c>
      <c r="N2667" s="784" t="s">
        <v>575</v>
      </c>
      <c r="O2667" t="s">
        <v>737</v>
      </c>
      <c r="P2667" t="s">
        <v>1887</v>
      </c>
      <c r="R2667" t="s">
        <v>150</v>
      </c>
      <c r="S2667" t="s">
        <v>145</v>
      </c>
      <c r="U2667">
        <v>0</v>
      </c>
      <c r="V2667" t="s">
        <v>541</v>
      </c>
      <c r="W2667" t="s">
        <v>558</v>
      </c>
      <c r="X2667" s="784">
        <v>72046877.233008593</v>
      </c>
    </row>
    <row r="2668" spans="1:24">
      <c r="A2668" t="s">
        <v>358</v>
      </c>
      <c r="B2668" t="s">
        <v>684</v>
      </c>
      <c r="C2668" t="s">
        <v>282</v>
      </c>
      <c r="D2668" t="s">
        <v>129</v>
      </c>
      <c r="E2668" t="s">
        <v>377</v>
      </c>
      <c r="F2668" t="s">
        <v>384</v>
      </c>
      <c r="G2668" t="s">
        <v>51</v>
      </c>
      <c r="H2668" t="s">
        <v>749</v>
      </c>
      <c r="I2668" t="s">
        <v>743</v>
      </c>
      <c r="J2668" t="s">
        <v>379</v>
      </c>
      <c r="K2668" t="s">
        <v>546</v>
      </c>
      <c r="L2668" s="784">
        <v>0</v>
      </c>
      <c r="M2668" t="s">
        <v>745</v>
      </c>
      <c r="N2668" s="784" t="s">
        <v>575</v>
      </c>
      <c r="O2668" t="s">
        <v>737</v>
      </c>
      <c r="P2668" t="s">
        <v>1887</v>
      </c>
      <c r="R2668" t="s">
        <v>148</v>
      </c>
      <c r="S2668" t="s">
        <v>145</v>
      </c>
      <c r="U2668">
        <v>0</v>
      </c>
      <c r="V2668" t="s">
        <v>544</v>
      </c>
      <c r="W2668" t="s">
        <v>542</v>
      </c>
      <c r="X2668" s="784">
        <v>56248139.267255567</v>
      </c>
    </row>
    <row r="2669" spans="1:24">
      <c r="A2669" t="s">
        <v>358</v>
      </c>
      <c r="B2669" t="s">
        <v>685</v>
      </c>
      <c r="C2669" t="s">
        <v>283</v>
      </c>
      <c r="D2669" t="s">
        <v>126</v>
      </c>
      <c r="E2669" t="s">
        <v>377</v>
      </c>
      <c r="F2669" t="s">
        <v>384</v>
      </c>
      <c r="G2669" t="s">
        <v>51</v>
      </c>
      <c r="H2669" t="s">
        <v>749</v>
      </c>
      <c r="I2669" t="s">
        <v>743</v>
      </c>
      <c r="J2669" t="s">
        <v>379</v>
      </c>
      <c r="K2669" t="s">
        <v>546</v>
      </c>
      <c r="L2669" s="784">
        <v>23028</v>
      </c>
      <c r="M2669" t="s">
        <v>745</v>
      </c>
      <c r="N2669" s="784" t="s">
        <v>575</v>
      </c>
      <c r="O2669" t="s">
        <v>737</v>
      </c>
      <c r="P2669" t="s">
        <v>1887</v>
      </c>
      <c r="R2669" t="s">
        <v>152</v>
      </c>
      <c r="S2669" t="s">
        <v>145</v>
      </c>
      <c r="U2669">
        <v>0</v>
      </c>
      <c r="V2669" t="s">
        <v>541</v>
      </c>
      <c r="W2669" t="s">
        <v>542</v>
      </c>
      <c r="X2669" s="784">
        <v>15464031.712942109</v>
      </c>
    </row>
    <row r="2670" spans="1:24">
      <c r="A2670" t="s">
        <v>358</v>
      </c>
      <c r="B2670" t="s">
        <v>686</v>
      </c>
      <c r="C2670" t="s">
        <v>284</v>
      </c>
      <c r="D2670" t="s">
        <v>130</v>
      </c>
      <c r="E2670" t="s">
        <v>377</v>
      </c>
      <c r="F2670" t="s">
        <v>384</v>
      </c>
      <c r="G2670" t="s">
        <v>51</v>
      </c>
      <c r="H2670" t="s">
        <v>749</v>
      </c>
      <c r="I2670" t="s">
        <v>743</v>
      </c>
      <c r="J2670" t="s">
        <v>379</v>
      </c>
      <c r="K2670" t="s">
        <v>546</v>
      </c>
      <c r="L2670" s="784">
        <v>0</v>
      </c>
      <c r="M2670" t="s">
        <v>745</v>
      </c>
      <c r="N2670" s="784" t="s">
        <v>575</v>
      </c>
      <c r="O2670" t="s">
        <v>737</v>
      </c>
      <c r="P2670" t="s">
        <v>1887</v>
      </c>
      <c r="R2670" t="s">
        <v>550</v>
      </c>
      <c r="S2670" t="s">
        <v>146</v>
      </c>
      <c r="U2670">
        <v>0</v>
      </c>
      <c r="V2670" t="s">
        <v>541</v>
      </c>
      <c r="W2670" t="s">
        <v>546</v>
      </c>
      <c r="X2670" s="784">
        <v>769564399.33249676</v>
      </c>
    </row>
    <row r="2671" spans="1:24">
      <c r="A2671" t="s">
        <v>358</v>
      </c>
      <c r="B2671" t="s">
        <v>687</v>
      </c>
      <c r="C2671" t="s">
        <v>285</v>
      </c>
      <c r="D2671" t="s">
        <v>131</v>
      </c>
      <c r="E2671" t="s">
        <v>377</v>
      </c>
      <c r="F2671" t="s">
        <v>384</v>
      </c>
      <c r="G2671" t="s">
        <v>51</v>
      </c>
      <c r="H2671" t="s">
        <v>749</v>
      </c>
      <c r="I2671" t="s">
        <v>743</v>
      </c>
      <c r="J2671" t="s">
        <v>379</v>
      </c>
      <c r="K2671" t="s">
        <v>546</v>
      </c>
      <c r="L2671" s="784">
        <v>0</v>
      </c>
      <c r="M2671" t="s">
        <v>745</v>
      </c>
      <c r="N2671" s="784" t="s">
        <v>575</v>
      </c>
      <c r="O2671" t="s">
        <v>737</v>
      </c>
      <c r="P2671" t="s">
        <v>1887</v>
      </c>
      <c r="R2671" t="s">
        <v>150</v>
      </c>
      <c r="S2671" t="s">
        <v>145</v>
      </c>
      <c r="U2671">
        <v>0</v>
      </c>
      <c r="V2671" t="s">
        <v>544</v>
      </c>
      <c r="W2671" t="s">
        <v>546</v>
      </c>
      <c r="X2671" s="784">
        <v>1668954539.7630196</v>
      </c>
    </row>
    <row r="2672" spans="1:24">
      <c r="A2672" t="s">
        <v>358</v>
      </c>
      <c r="B2672" t="s">
        <v>688</v>
      </c>
      <c r="C2672" t="s">
        <v>286</v>
      </c>
      <c r="D2672" t="s">
        <v>127</v>
      </c>
      <c r="E2672" t="s">
        <v>377</v>
      </c>
      <c r="F2672" t="s">
        <v>384</v>
      </c>
      <c r="G2672" t="s">
        <v>51</v>
      </c>
      <c r="H2672" t="s">
        <v>749</v>
      </c>
      <c r="I2672" t="s">
        <v>743</v>
      </c>
      <c r="J2672" t="s">
        <v>379</v>
      </c>
      <c r="K2672" t="s">
        <v>546</v>
      </c>
      <c r="L2672" s="784">
        <v>0</v>
      </c>
      <c r="M2672" t="s">
        <v>745</v>
      </c>
      <c r="N2672" s="784" t="s">
        <v>575</v>
      </c>
      <c r="O2672" t="s">
        <v>737</v>
      </c>
      <c r="P2672" t="s">
        <v>1887</v>
      </c>
      <c r="R2672" t="s">
        <v>152</v>
      </c>
      <c r="S2672" t="s">
        <v>146</v>
      </c>
      <c r="U2672">
        <v>0</v>
      </c>
      <c r="V2672" t="s">
        <v>544</v>
      </c>
      <c r="W2672" t="s">
        <v>575</v>
      </c>
      <c r="X2672" s="784">
        <v>24840920016.18832</v>
      </c>
    </row>
    <row r="2673" spans="1:24">
      <c r="A2673" t="s">
        <v>358</v>
      </c>
      <c r="B2673" t="s">
        <v>689</v>
      </c>
      <c r="C2673" t="s">
        <v>287</v>
      </c>
      <c r="D2673" t="s">
        <v>127</v>
      </c>
      <c r="E2673" t="s">
        <v>377</v>
      </c>
      <c r="F2673" t="s">
        <v>384</v>
      </c>
      <c r="G2673" t="s">
        <v>51</v>
      </c>
      <c r="H2673" t="s">
        <v>749</v>
      </c>
      <c r="I2673" t="s">
        <v>743</v>
      </c>
      <c r="J2673" t="s">
        <v>379</v>
      </c>
      <c r="K2673" t="s">
        <v>546</v>
      </c>
      <c r="L2673" s="784">
        <v>0</v>
      </c>
      <c r="M2673" t="s">
        <v>745</v>
      </c>
      <c r="N2673" s="784" t="s">
        <v>575</v>
      </c>
      <c r="O2673" t="s">
        <v>737</v>
      </c>
      <c r="P2673" t="s">
        <v>1887</v>
      </c>
      <c r="R2673" t="s">
        <v>152</v>
      </c>
      <c r="S2673" t="s">
        <v>146</v>
      </c>
      <c r="U2673">
        <v>0</v>
      </c>
      <c r="V2673" t="s">
        <v>544</v>
      </c>
      <c r="W2673" t="s">
        <v>546</v>
      </c>
      <c r="X2673" s="784">
        <v>487888462.83720118</v>
      </c>
    </row>
    <row r="2674" spans="1:24">
      <c r="A2674" t="s">
        <v>358</v>
      </c>
      <c r="B2674" t="s">
        <v>690</v>
      </c>
      <c r="C2674" t="s">
        <v>288</v>
      </c>
      <c r="D2674" t="s">
        <v>126</v>
      </c>
      <c r="E2674" t="s">
        <v>377</v>
      </c>
      <c r="F2674" t="s">
        <v>384</v>
      </c>
      <c r="G2674" t="s">
        <v>51</v>
      </c>
      <c r="H2674" t="s">
        <v>749</v>
      </c>
      <c r="I2674" t="s">
        <v>743</v>
      </c>
      <c r="J2674" t="s">
        <v>379</v>
      </c>
      <c r="K2674" t="s">
        <v>546</v>
      </c>
      <c r="L2674" s="784">
        <v>0</v>
      </c>
      <c r="M2674" t="s">
        <v>745</v>
      </c>
      <c r="N2674" s="784" t="s">
        <v>575</v>
      </c>
      <c r="O2674" t="s">
        <v>737</v>
      </c>
      <c r="P2674" t="s">
        <v>1887</v>
      </c>
      <c r="R2674" t="s">
        <v>152</v>
      </c>
      <c r="S2674" t="s">
        <v>145</v>
      </c>
      <c r="U2674">
        <v>0</v>
      </c>
      <c r="V2674" t="s">
        <v>541</v>
      </c>
      <c r="W2674" t="s">
        <v>548</v>
      </c>
      <c r="X2674" s="784">
        <v>6365061.1736073596</v>
      </c>
    </row>
    <row r="2675" spans="1:24">
      <c r="A2675" t="s">
        <v>358</v>
      </c>
      <c r="B2675" t="s">
        <v>691</v>
      </c>
      <c r="C2675" t="s">
        <v>289</v>
      </c>
      <c r="D2675" t="s">
        <v>128</v>
      </c>
      <c r="E2675" t="s">
        <v>377</v>
      </c>
      <c r="F2675" t="s">
        <v>384</v>
      </c>
      <c r="G2675" t="s">
        <v>51</v>
      </c>
      <c r="H2675" t="s">
        <v>749</v>
      </c>
      <c r="I2675" t="s">
        <v>743</v>
      </c>
      <c r="J2675" t="s">
        <v>379</v>
      </c>
      <c r="K2675" t="s">
        <v>546</v>
      </c>
      <c r="L2675" s="784">
        <v>0</v>
      </c>
      <c r="M2675" t="s">
        <v>745</v>
      </c>
      <c r="N2675" s="784" t="s">
        <v>575</v>
      </c>
      <c r="O2675" t="s">
        <v>737</v>
      </c>
      <c r="P2675" t="s">
        <v>1887</v>
      </c>
      <c r="R2675" t="s">
        <v>148</v>
      </c>
      <c r="S2675" t="s">
        <v>145</v>
      </c>
      <c r="U2675">
        <v>2</v>
      </c>
      <c r="V2675" t="s">
        <v>544</v>
      </c>
      <c r="W2675" t="s">
        <v>558</v>
      </c>
      <c r="X2675" s="784">
        <v>291799092.90196139</v>
      </c>
    </row>
    <row r="2676" spans="1:24">
      <c r="A2676" t="s">
        <v>358</v>
      </c>
      <c r="B2676" t="s">
        <v>692</v>
      </c>
      <c r="C2676" t="s">
        <v>290</v>
      </c>
      <c r="D2676" t="s">
        <v>127</v>
      </c>
      <c r="E2676" t="s">
        <v>377</v>
      </c>
      <c r="F2676" t="s">
        <v>384</v>
      </c>
      <c r="G2676" t="s">
        <v>51</v>
      </c>
      <c r="H2676" t="s">
        <v>749</v>
      </c>
      <c r="I2676" t="s">
        <v>743</v>
      </c>
      <c r="J2676" t="s">
        <v>379</v>
      </c>
      <c r="K2676" t="s">
        <v>546</v>
      </c>
      <c r="L2676" s="784">
        <v>0</v>
      </c>
      <c r="M2676" t="s">
        <v>745</v>
      </c>
      <c r="N2676" s="784" t="s">
        <v>575</v>
      </c>
      <c r="O2676" t="s">
        <v>737</v>
      </c>
      <c r="P2676" t="s">
        <v>1887</v>
      </c>
      <c r="R2676" t="s">
        <v>150</v>
      </c>
      <c r="S2676" t="s">
        <v>145</v>
      </c>
      <c r="U2676">
        <v>0</v>
      </c>
      <c r="V2676" t="s">
        <v>544</v>
      </c>
      <c r="W2676" t="s">
        <v>546</v>
      </c>
      <c r="X2676" s="784">
        <v>4844815340.2135534</v>
      </c>
    </row>
    <row r="2677" spans="1:24">
      <c r="A2677" t="s">
        <v>358</v>
      </c>
      <c r="B2677" t="s">
        <v>693</v>
      </c>
      <c r="C2677" t="s">
        <v>291</v>
      </c>
      <c r="D2677" t="s">
        <v>130</v>
      </c>
      <c r="E2677" t="s">
        <v>377</v>
      </c>
      <c r="F2677" t="s">
        <v>384</v>
      </c>
      <c r="G2677" t="s">
        <v>51</v>
      </c>
      <c r="H2677" t="s">
        <v>749</v>
      </c>
      <c r="I2677" t="s">
        <v>743</v>
      </c>
      <c r="J2677" t="s">
        <v>379</v>
      </c>
      <c r="K2677" t="s">
        <v>546</v>
      </c>
      <c r="L2677" s="784">
        <v>0</v>
      </c>
      <c r="M2677" t="s">
        <v>745</v>
      </c>
      <c r="N2677" s="784" t="s">
        <v>575</v>
      </c>
      <c r="O2677" t="s">
        <v>737</v>
      </c>
      <c r="P2677" t="s">
        <v>1887</v>
      </c>
      <c r="R2677" t="s">
        <v>550</v>
      </c>
      <c r="S2677" t="s">
        <v>146</v>
      </c>
      <c r="U2677">
        <v>0</v>
      </c>
      <c r="V2677" t="s">
        <v>544</v>
      </c>
      <c r="W2677" t="s">
        <v>575</v>
      </c>
      <c r="X2677" s="784">
        <v>4001891446.6871672</v>
      </c>
    </row>
    <row r="2678" spans="1:24">
      <c r="A2678" t="s">
        <v>358</v>
      </c>
      <c r="B2678" t="s">
        <v>694</v>
      </c>
      <c r="C2678" t="s">
        <v>292</v>
      </c>
      <c r="D2678" t="s">
        <v>127</v>
      </c>
      <c r="E2678" t="s">
        <v>377</v>
      </c>
      <c r="F2678" t="s">
        <v>384</v>
      </c>
      <c r="G2678" t="s">
        <v>51</v>
      </c>
      <c r="H2678" t="s">
        <v>749</v>
      </c>
      <c r="I2678" t="s">
        <v>743</v>
      </c>
      <c r="J2678" t="s">
        <v>379</v>
      </c>
      <c r="K2678" t="s">
        <v>546</v>
      </c>
      <c r="L2678" s="784">
        <v>0</v>
      </c>
      <c r="M2678" t="s">
        <v>745</v>
      </c>
      <c r="N2678" s="784" t="s">
        <v>575</v>
      </c>
      <c r="O2678" t="s">
        <v>737</v>
      </c>
      <c r="P2678" t="s">
        <v>1887</v>
      </c>
      <c r="R2678" t="s">
        <v>150</v>
      </c>
      <c r="S2678" t="s">
        <v>145</v>
      </c>
      <c r="U2678">
        <v>0</v>
      </c>
      <c r="V2678" t="s">
        <v>544</v>
      </c>
      <c r="W2678" t="s">
        <v>558</v>
      </c>
      <c r="X2678" s="784">
        <v>1019800630.5853213</v>
      </c>
    </row>
    <row r="2679" spans="1:24">
      <c r="A2679" t="s">
        <v>358</v>
      </c>
      <c r="B2679" t="s">
        <v>695</v>
      </c>
      <c r="C2679" t="s">
        <v>293</v>
      </c>
      <c r="D2679" t="s">
        <v>126</v>
      </c>
      <c r="E2679" t="s">
        <v>377</v>
      </c>
      <c r="F2679" t="s">
        <v>384</v>
      </c>
      <c r="G2679" t="s">
        <v>51</v>
      </c>
      <c r="H2679" t="s">
        <v>749</v>
      </c>
      <c r="I2679" t="s">
        <v>743</v>
      </c>
      <c r="J2679" t="s">
        <v>379</v>
      </c>
      <c r="K2679" t="s">
        <v>546</v>
      </c>
      <c r="L2679" s="784">
        <v>42755</v>
      </c>
      <c r="M2679" t="s">
        <v>745</v>
      </c>
      <c r="N2679" s="784" t="s">
        <v>575</v>
      </c>
      <c r="O2679" t="s">
        <v>737</v>
      </c>
      <c r="P2679" t="s">
        <v>1887</v>
      </c>
      <c r="R2679" t="s">
        <v>150</v>
      </c>
      <c r="S2679" t="s">
        <v>145</v>
      </c>
      <c r="U2679">
        <v>0</v>
      </c>
      <c r="V2679" t="s">
        <v>541</v>
      </c>
      <c r="W2679" t="s">
        <v>562</v>
      </c>
      <c r="X2679" s="784">
        <v>19578671.310841195</v>
      </c>
    </row>
    <row r="2680" spans="1:24">
      <c r="A2680" t="s">
        <v>358</v>
      </c>
      <c r="B2680" t="s">
        <v>696</v>
      </c>
      <c r="C2680" t="s">
        <v>294</v>
      </c>
      <c r="D2680" t="s">
        <v>130</v>
      </c>
      <c r="E2680" t="s">
        <v>377</v>
      </c>
      <c r="F2680" t="s">
        <v>384</v>
      </c>
      <c r="G2680" t="s">
        <v>51</v>
      </c>
      <c r="H2680" t="s">
        <v>749</v>
      </c>
      <c r="I2680" t="s">
        <v>743</v>
      </c>
      <c r="J2680" t="s">
        <v>379</v>
      </c>
      <c r="K2680" t="s">
        <v>546</v>
      </c>
      <c r="L2680" s="784">
        <v>0</v>
      </c>
      <c r="M2680" t="s">
        <v>745</v>
      </c>
      <c r="N2680" s="784" t="s">
        <v>575</v>
      </c>
      <c r="O2680" t="s">
        <v>737</v>
      </c>
      <c r="P2680" t="s">
        <v>1887</v>
      </c>
      <c r="R2680" t="s">
        <v>322</v>
      </c>
      <c r="S2680" t="s">
        <v>146</v>
      </c>
      <c r="U2680">
        <v>0</v>
      </c>
      <c r="V2680" t="s">
        <v>544</v>
      </c>
      <c r="W2680" t="s">
        <v>546</v>
      </c>
      <c r="X2680" s="784">
        <v>3551452001.0684834</v>
      </c>
    </row>
    <row r="2681" spans="1:24">
      <c r="A2681" t="s">
        <v>358</v>
      </c>
      <c r="B2681" t="s">
        <v>697</v>
      </c>
      <c r="C2681" t="s">
        <v>295</v>
      </c>
      <c r="D2681" t="s">
        <v>126</v>
      </c>
      <c r="E2681" t="s">
        <v>377</v>
      </c>
      <c r="F2681" t="s">
        <v>384</v>
      </c>
      <c r="G2681" t="s">
        <v>51</v>
      </c>
      <c r="H2681" t="s">
        <v>749</v>
      </c>
      <c r="I2681" t="s">
        <v>743</v>
      </c>
      <c r="J2681" t="s">
        <v>379</v>
      </c>
      <c r="K2681" t="s">
        <v>546</v>
      </c>
      <c r="L2681" s="784">
        <v>0</v>
      </c>
      <c r="M2681" t="s">
        <v>745</v>
      </c>
      <c r="N2681" s="784" t="s">
        <v>575</v>
      </c>
      <c r="O2681" t="s">
        <v>737</v>
      </c>
      <c r="P2681" t="s">
        <v>1887</v>
      </c>
      <c r="R2681" t="s">
        <v>150</v>
      </c>
      <c r="S2681" t="s">
        <v>145</v>
      </c>
      <c r="U2681">
        <v>0</v>
      </c>
      <c r="V2681" t="s">
        <v>544</v>
      </c>
      <c r="W2681" t="s">
        <v>546</v>
      </c>
      <c r="X2681" s="784">
        <v>6603048821.7575006</v>
      </c>
    </row>
    <row r="2682" spans="1:24">
      <c r="A2682" t="s">
        <v>358</v>
      </c>
      <c r="B2682" t="s">
        <v>698</v>
      </c>
      <c r="C2682" t="s">
        <v>296</v>
      </c>
      <c r="D2682" t="s">
        <v>131</v>
      </c>
      <c r="E2682" t="s">
        <v>377</v>
      </c>
      <c r="F2682" t="s">
        <v>384</v>
      </c>
      <c r="G2682" t="s">
        <v>51</v>
      </c>
      <c r="H2682" t="s">
        <v>749</v>
      </c>
      <c r="I2682" t="s">
        <v>743</v>
      </c>
      <c r="J2682" t="s">
        <v>379</v>
      </c>
      <c r="K2682" t="s">
        <v>546</v>
      </c>
      <c r="L2682" s="784">
        <v>0</v>
      </c>
      <c r="M2682" t="s">
        <v>745</v>
      </c>
      <c r="N2682" s="784" t="s">
        <v>575</v>
      </c>
      <c r="O2682" t="s">
        <v>737</v>
      </c>
      <c r="P2682" t="s">
        <v>1887</v>
      </c>
      <c r="R2682" t="s">
        <v>148</v>
      </c>
      <c r="S2682" t="s">
        <v>145</v>
      </c>
      <c r="U2682">
        <v>1</v>
      </c>
      <c r="V2682" t="s">
        <v>544</v>
      </c>
      <c r="W2682" t="s">
        <v>548</v>
      </c>
      <c r="X2682" s="784" t="s">
        <v>575</v>
      </c>
    </row>
    <row r="2683" spans="1:24">
      <c r="A2683" t="s">
        <v>358</v>
      </c>
      <c r="B2683" t="s">
        <v>699</v>
      </c>
      <c r="C2683" t="s">
        <v>297</v>
      </c>
      <c r="D2683" t="s">
        <v>128</v>
      </c>
      <c r="E2683" t="s">
        <v>377</v>
      </c>
      <c r="F2683" t="s">
        <v>384</v>
      </c>
      <c r="G2683" t="s">
        <v>51</v>
      </c>
      <c r="H2683" t="s">
        <v>749</v>
      </c>
      <c r="I2683" t="s">
        <v>743</v>
      </c>
      <c r="J2683" t="s">
        <v>379</v>
      </c>
      <c r="K2683" t="s">
        <v>546</v>
      </c>
      <c r="L2683" s="784">
        <v>0</v>
      </c>
      <c r="M2683" t="s">
        <v>745</v>
      </c>
      <c r="N2683" s="784" t="s">
        <v>575</v>
      </c>
      <c r="O2683" t="s">
        <v>737</v>
      </c>
      <c r="P2683" t="s">
        <v>1887</v>
      </c>
      <c r="R2683" t="s">
        <v>150</v>
      </c>
      <c r="S2683" t="s">
        <v>145</v>
      </c>
      <c r="U2683">
        <v>0</v>
      </c>
      <c r="V2683" t="s">
        <v>544</v>
      </c>
      <c r="W2683" t="s">
        <v>542</v>
      </c>
      <c r="X2683" s="784">
        <v>515352723.9821828</v>
      </c>
    </row>
    <row r="2684" spans="1:24">
      <c r="A2684" t="s">
        <v>358</v>
      </c>
      <c r="B2684" t="s">
        <v>700</v>
      </c>
      <c r="C2684" t="s">
        <v>298</v>
      </c>
      <c r="D2684" t="s">
        <v>128</v>
      </c>
      <c r="E2684" t="s">
        <v>377</v>
      </c>
      <c r="F2684" t="s">
        <v>384</v>
      </c>
      <c r="G2684" t="s">
        <v>51</v>
      </c>
      <c r="H2684" t="s">
        <v>749</v>
      </c>
      <c r="I2684" t="s">
        <v>743</v>
      </c>
      <c r="J2684" t="s">
        <v>379</v>
      </c>
      <c r="K2684" t="s">
        <v>546</v>
      </c>
      <c r="L2684" s="784">
        <v>0</v>
      </c>
      <c r="M2684" t="s">
        <v>745</v>
      </c>
      <c r="N2684" s="784" t="s">
        <v>575</v>
      </c>
      <c r="O2684" t="s">
        <v>737</v>
      </c>
      <c r="P2684" t="s">
        <v>1887</v>
      </c>
      <c r="R2684" t="s">
        <v>150</v>
      </c>
      <c r="S2684" t="s">
        <v>145</v>
      </c>
      <c r="U2684">
        <v>0</v>
      </c>
      <c r="V2684" t="s">
        <v>544</v>
      </c>
      <c r="W2684" t="s">
        <v>546</v>
      </c>
      <c r="X2684" s="784">
        <v>566711742.22428358</v>
      </c>
    </row>
    <row r="2685" spans="1:24">
      <c r="A2685" t="s">
        <v>358</v>
      </c>
      <c r="B2685" t="s">
        <v>540</v>
      </c>
      <c r="C2685" t="s">
        <v>160</v>
      </c>
      <c r="D2685" t="s">
        <v>132</v>
      </c>
      <c r="E2685" t="s">
        <v>377</v>
      </c>
      <c r="F2685" t="s">
        <v>384</v>
      </c>
      <c r="G2685" t="s">
        <v>69</v>
      </c>
      <c r="H2685" t="s">
        <v>749</v>
      </c>
      <c r="I2685">
        <v>2021</v>
      </c>
      <c r="J2685" t="s">
        <v>379</v>
      </c>
      <c r="K2685" t="s">
        <v>546</v>
      </c>
      <c r="L2685" s="784">
        <v>0</v>
      </c>
      <c r="M2685" t="s">
        <v>745</v>
      </c>
      <c r="N2685" s="784" t="s">
        <v>575</v>
      </c>
      <c r="O2685" t="s">
        <v>737</v>
      </c>
      <c r="P2685" t="s">
        <v>1887</v>
      </c>
      <c r="R2685" t="s">
        <v>148</v>
      </c>
      <c r="S2685" t="s">
        <v>145</v>
      </c>
      <c r="U2685">
        <v>1</v>
      </c>
      <c r="V2685" t="s">
        <v>544</v>
      </c>
      <c r="W2685" t="s">
        <v>542</v>
      </c>
      <c r="X2685" s="784">
        <v>95829480.719269618</v>
      </c>
    </row>
    <row r="2686" spans="1:24">
      <c r="A2686" t="s">
        <v>358</v>
      </c>
      <c r="B2686" t="s">
        <v>543</v>
      </c>
      <c r="C2686" t="s">
        <v>161</v>
      </c>
      <c r="D2686" t="s">
        <v>127</v>
      </c>
      <c r="E2686" t="s">
        <v>377</v>
      </c>
      <c r="F2686" t="s">
        <v>384</v>
      </c>
      <c r="G2686" t="s">
        <v>69</v>
      </c>
      <c r="H2686" t="s">
        <v>749</v>
      </c>
      <c r="I2686">
        <v>2021</v>
      </c>
      <c r="J2686" t="s">
        <v>379</v>
      </c>
      <c r="K2686" t="s">
        <v>546</v>
      </c>
      <c r="L2686" s="784">
        <v>0</v>
      </c>
      <c r="M2686" t="s">
        <v>745</v>
      </c>
      <c r="N2686" s="784" t="s">
        <v>575</v>
      </c>
      <c r="O2686" t="s">
        <v>737</v>
      </c>
      <c r="P2686" t="s">
        <v>1887</v>
      </c>
      <c r="R2686" t="s">
        <v>152</v>
      </c>
      <c r="S2686" t="s">
        <v>146</v>
      </c>
      <c r="U2686">
        <v>0</v>
      </c>
      <c r="V2686" t="s">
        <v>544</v>
      </c>
      <c r="W2686" t="s">
        <v>575</v>
      </c>
      <c r="X2686" s="784">
        <v>427904035.52443534</v>
      </c>
    </row>
    <row r="2687" spans="1:24">
      <c r="A2687" t="s">
        <v>358</v>
      </c>
      <c r="B2687" t="s">
        <v>545</v>
      </c>
      <c r="C2687" t="s">
        <v>143</v>
      </c>
      <c r="D2687" t="s">
        <v>131</v>
      </c>
      <c r="E2687" t="s">
        <v>377</v>
      </c>
      <c r="F2687" t="s">
        <v>384</v>
      </c>
      <c r="G2687" t="s">
        <v>69</v>
      </c>
      <c r="H2687" t="s">
        <v>749</v>
      </c>
      <c r="I2687">
        <v>2021</v>
      </c>
      <c r="J2687" t="s">
        <v>379</v>
      </c>
      <c r="K2687" t="s">
        <v>546</v>
      </c>
      <c r="L2687" s="784">
        <v>0</v>
      </c>
      <c r="M2687" t="s">
        <v>745</v>
      </c>
      <c r="N2687" s="784" t="s">
        <v>575</v>
      </c>
      <c r="O2687" t="s">
        <v>737</v>
      </c>
      <c r="P2687" t="s">
        <v>1887</v>
      </c>
      <c r="R2687" t="s">
        <v>150</v>
      </c>
      <c r="S2687" t="s">
        <v>145</v>
      </c>
      <c r="U2687">
        <v>0</v>
      </c>
      <c r="V2687" t="s">
        <v>544</v>
      </c>
      <c r="W2687" t="s">
        <v>546</v>
      </c>
      <c r="X2687" s="784">
        <v>7113361022.7267885</v>
      </c>
    </row>
    <row r="2688" spans="1:24">
      <c r="A2688" t="s">
        <v>358</v>
      </c>
      <c r="B2688" t="s">
        <v>547</v>
      </c>
      <c r="C2688" t="s">
        <v>162</v>
      </c>
      <c r="D2688" t="s">
        <v>128</v>
      </c>
      <c r="E2688" t="s">
        <v>377</v>
      </c>
      <c r="F2688" t="s">
        <v>384</v>
      </c>
      <c r="G2688" t="s">
        <v>69</v>
      </c>
      <c r="H2688" t="s">
        <v>749</v>
      </c>
      <c r="I2688">
        <v>2021</v>
      </c>
      <c r="J2688" t="s">
        <v>379</v>
      </c>
      <c r="K2688" t="s">
        <v>546</v>
      </c>
      <c r="L2688" s="784">
        <v>0</v>
      </c>
      <c r="M2688" t="s">
        <v>745</v>
      </c>
      <c r="N2688" s="784" t="s">
        <v>575</v>
      </c>
      <c r="O2688" t="s">
        <v>737</v>
      </c>
      <c r="P2688" t="s">
        <v>1887</v>
      </c>
      <c r="R2688" t="s">
        <v>150</v>
      </c>
      <c r="S2688" t="s">
        <v>145</v>
      </c>
      <c r="U2688">
        <v>0</v>
      </c>
      <c r="V2688" t="s">
        <v>544</v>
      </c>
      <c r="W2688" t="s">
        <v>548</v>
      </c>
      <c r="X2688" s="784">
        <v>1131865946.5875781</v>
      </c>
    </row>
    <row r="2689" spans="1:24">
      <c r="A2689" t="s">
        <v>358</v>
      </c>
      <c r="B2689" t="s">
        <v>549</v>
      </c>
      <c r="C2689" t="s">
        <v>163</v>
      </c>
      <c r="D2689" t="s">
        <v>130</v>
      </c>
      <c r="E2689" t="s">
        <v>377</v>
      </c>
      <c r="F2689" t="s">
        <v>384</v>
      </c>
      <c r="G2689" t="s">
        <v>69</v>
      </c>
      <c r="H2689" t="s">
        <v>749</v>
      </c>
      <c r="I2689">
        <v>2021</v>
      </c>
      <c r="J2689" t="s">
        <v>379</v>
      </c>
      <c r="K2689" t="s">
        <v>546</v>
      </c>
      <c r="L2689" s="784">
        <v>0</v>
      </c>
      <c r="M2689" t="s">
        <v>745</v>
      </c>
      <c r="N2689" s="784" t="s">
        <v>575</v>
      </c>
      <c r="O2689" t="s">
        <v>737</v>
      </c>
      <c r="P2689" t="s">
        <v>1887</v>
      </c>
      <c r="R2689" t="s">
        <v>550</v>
      </c>
      <c r="S2689" t="s">
        <v>146</v>
      </c>
      <c r="U2689">
        <v>0</v>
      </c>
      <c r="V2689" t="s">
        <v>541</v>
      </c>
      <c r="W2689" t="s">
        <v>575</v>
      </c>
      <c r="X2689" s="784">
        <v>46777779.823447868</v>
      </c>
    </row>
    <row r="2690" spans="1:24">
      <c r="A2690" t="s">
        <v>358</v>
      </c>
      <c r="B2690" t="s">
        <v>551</v>
      </c>
      <c r="C2690" t="s">
        <v>164</v>
      </c>
      <c r="D2690" t="s">
        <v>130</v>
      </c>
      <c r="E2690" t="s">
        <v>377</v>
      </c>
      <c r="F2690" t="s">
        <v>384</v>
      </c>
      <c r="G2690" t="s">
        <v>69</v>
      </c>
      <c r="H2690" t="s">
        <v>749</v>
      </c>
      <c r="I2690">
        <v>2021</v>
      </c>
      <c r="J2690" t="s">
        <v>379</v>
      </c>
      <c r="K2690" t="s">
        <v>546</v>
      </c>
      <c r="L2690" s="784">
        <v>0</v>
      </c>
      <c r="M2690" t="s">
        <v>745</v>
      </c>
      <c r="N2690" s="784" t="s">
        <v>575</v>
      </c>
      <c r="O2690" t="s">
        <v>737</v>
      </c>
      <c r="P2690" t="s">
        <v>1887</v>
      </c>
      <c r="R2690" t="s">
        <v>152</v>
      </c>
      <c r="S2690" t="s">
        <v>146</v>
      </c>
      <c r="U2690">
        <v>0</v>
      </c>
      <c r="V2690" t="s">
        <v>544</v>
      </c>
      <c r="W2690" t="s">
        <v>575</v>
      </c>
      <c r="X2690" s="784">
        <v>30725305777.596794</v>
      </c>
    </row>
    <row r="2691" spans="1:24">
      <c r="A2691" t="s">
        <v>358</v>
      </c>
      <c r="B2691" t="s">
        <v>553</v>
      </c>
      <c r="C2691" t="s">
        <v>165</v>
      </c>
      <c r="D2691" t="s">
        <v>127</v>
      </c>
      <c r="E2691" t="s">
        <v>377</v>
      </c>
      <c r="F2691" t="s">
        <v>384</v>
      </c>
      <c r="G2691" t="s">
        <v>69</v>
      </c>
      <c r="H2691" t="s">
        <v>749</v>
      </c>
      <c r="I2691">
        <v>2021</v>
      </c>
      <c r="J2691" t="s">
        <v>379</v>
      </c>
      <c r="K2691" t="s">
        <v>546</v>
      </c>
      <c r="L2691" s="784">
        <v>0</v>
      </c>
      <c r="M2691" t="s">
        <v>745</v>
      </c>
      <c r="N2691" s="784" t="s">
        <v>575</v>
      </c>
      <c r="O2691" t="s">
        <v>737</v>
      </c>
      <c r="P2691" t="s">
        <v>1887</v>
      </c>
      <c r="R2691" t="s">
        <v>152</v>
      </c>
      <c r="S2691" t="s">
        <v>146</v>
      </c>
      <c r="U2691">
        <v>0</v>
      </c>
      <c r="V2691" t="s">
        <v>544</v>
      </c>
      <c r="W2691" t="s">
        <v>575</v>
      </c>
      <c r="X2691" s="784">
        <v>153815827.8380394</v>
      </c>
    </row>
    <row r="2692" spans="1:24">
      <c r="A2692" t="s">
        <v>358</v>
      </c>
      <c r="B2692" t="s">
        <v>554</v>
      </c>
      <c r="C2692" t="s">
        <v>166</v>
      </c>
      <c r="D2692" t="s">
        <v>127</v>
      </c>
      <c r="E2692" t="s">
        <v>377</v>
      </c>
      <c r="F2692" t="s">
        <v>384</v>
      </c>
      <c r="G2692" t="s">
        <v>69</v>
      </c>
      <c r="H2692" t="s">
        <v>749</v>
      </c>
      <c r="I2692">
        <v>2021</v>
      </c>
      <c r="J2692" t="s">
        <v>379</v>
      </c>
      <c r="K2692" t="s">
        <v>546</v>
      </c>
      <c r="L2692" s="784">
        <v>0</v>
      </c>
      <c r="M2692" t="s">
        <v>745</v>
      </c>
      <c r="N2692" s="784" t="s">
        <v>575</v>
      </c>
      <c r="O2692" t="s">
        <v>737</v>
      </c>
      <c r="P2692" t="s">
        <v>1887</v>
      </c>
      <c r="R2692" t="s">
        <v>152</v>
      </c>
      <c r="S2692" t="s">
        <v>146</v>
      </c>
      <c r="U2692">
        <v>0</v>
      </c>
      <c r="V2692" t="s">
        <v>544</v>
      </c>
      <c r="W2692" t="s">
        <v>546</v>
      </c>
      <c r="X2692" s="784">
        <v>437525105.31216973</v>
      </c>
    </row>
    <row r="2693" spans="1:24">
      <c r="A2693" t="s">
        <v>358</v>
      </c>
      <c r="B2693" t="s">
        <v>555</v>
      </c>
      <c r="C2693" t="s">
        <v>556</v>
      </c>
      <c r="D2693" t="s">
        <v>130</v>
      </c>
      <c r="E2693" t="s">
        <v>377</v>
      </c>
      <c r="F2693" t="s">
        <v>384</v>
      </c>
      <c r="G2693" t="s">
        <v>69</v>
      </c>
      <c r="H2693" t="s">
        <v>749</v>
      </c>
      <c r="I2693">
        <v>2021</v>
      </c>
      <c r="J2693" t="s">
        <v>379</v>
      </c>
      <c r="K2693" t="s">
        <v>546</v>
      </c>
      <c r="L2693" s="784">
        <v>0</v>
      </c>
      <c r="M2693" t="s">
        <v>745</v>
      </c>
      <c r="N2693" s="784" t="s">
        <v>575</v>
      </c>
      <c r="O2693" t="s">
        <v>737</v>
      </c>
      <c r="P2693" t="s">
        <v>1887</v>
      </c>
      <c r="R2693" t="s">
        <v>550</v>
      </c>
      <c r="S2693" t="s">
        <v>146</v>
      </c>
      <c r="U2693">
        <v>0</v>
      </c>
      <c r="V2693" t="s">
        <v>541</v>
      </c>
      <c r="W2693" t="s">
        <v>575</v>
      </c>
      <c r="X2693" s="784">
        <v>149463302.00602186</v>
      </c>
    </row>
    <row r="2694" spans="1:24">
      <c r="A2694" t="s">
        <v>358</v>
      </c>
      <c r="B2694" t="s">
        <v>557</v>
      </c>
      <c r="C2694" t="s">
        <v>167</v>
      </c>
      <c r="D2694" t="s">
        <v>132</v>
      </c>
      <c r="E2694" t="s">
        <v>377</v>
      </c>
      <c r="F2694" t="s">
        <v>384</v>
      </c>
      <c r="G2694" t="s">
        <v>69</v>
      </c>
      <c r="H2694" t="s">
        <v>749</v>
      </c>
      <c r="I2694">
        <v>2021</v>
      </c>
      <c r="J2694" t="s">
        <v>379</v>
      </c>
      <c r="K2694" t="s">
        <v>546</v>
      </c>
      <c r="L2694" s="784">
        <v>0</v>
      </c>
      <c r="M2694" t="s">
        <v>745</v>
      </c>
      <c r="N2694" s="784" t="s">
        <v>575</v>
      </c>
      <c r="O2694" t="s">
        <v>737</v>
      </c>
      <c r="P2694" t="s">
        <v>1887</v>
      </c>
      <c r="R2694" t="s">
        <v>150</v>
      </c>
      <c r="S2694" t="s">
        <v>145</v>
      </c>
      <c r="U2694">
        <v>0</v>
      </c>
      <c r="V2694" t="s">
        <v>544</v>
      </c>
      <c r="W2694" t="s">
        <v>558</v>
      </c>
      <c r="X2694" s="784">
        <v>1148322593.9600098</v>
      </c>
    </row>
    <row r="2695" spans="1:24">
      <c r="A2695" t="s">
        <v>358</v>
      </c>
      <c r="B2695" t="s">
        <v>559</v>
      </c>
      <c r="C2695" t="s">
        <v>168</v>
      </c>
      <c r="D2695" t="s">
        <v>127</v>
      </c>
      <c r="E2695" t="s">
        <v>377</v>
      </c>
      <c r="F2695" t="s">
        <v>384</v>
      </c>
      <c r="G2695" t="s">
        <v>69</v>
      </c>
      <c r="H2695" t="s">
        <v>749</v>
      </c>
      <c r="I2695">
        <v>2021</v>
      </c>
      <c r="J2695" t="s">
        <v>379</v>
      </c>
      <c r="K2695" t="s">
        <v>546</v>
      </c>
      <c r="L2695" s="784">
        <v>0</v>
      </c>
      <c r="M2695" t="s">
        <v>745</v>
      </c>
      <c r="N2695" s="784" t="s">
        <v>575</v>
      </c>
      <c r="O2695" t="s">
        <v>737</v>
      </c>
      <c r="P2695" t="s">
        <v>1887</v>
      </c>
      <c r="R2695" t="s">
        <v>152</v>
      </c>
      <c r="S2695" t="s">
        <v>146</v>
      </c>
      <c r="U2695">
        <v>0</v>
      </c>
      <c r="V2695" t="s">
        <v>544</v>
      </c>
      <c r="W2695" t="s">
        <v>575</v>
      </c>
      <c r="X2695" s="784">
        <v>2371102058.1093163</v>
      </c>
    </row>
    <row r="2696" spans="1:24">
      <c r="A2696" t="s">
        <v>358</v>
      </c>
      <c r="B2696" t="s">
        <v>560</v>
      </c>
      <c r="C2696" t="s">
        <v>169</v>
      </c>
      <c r="D2696" t="s">
        <v>130</v>
      </c>
      <c r="E2696" t="s">
        <v>377</v>
      </c>
      <c r="F2696" t="s">
        <v>384</v>
      </c>
      <c r="G2696" t="s">
        <v>69</v>
      </c>
      <c r="H2696" t="s">
        <v>749</v>
      </c>
      <c r="I2696">
        <v>2021</v>
      </c>
      <c r="J2696" t="s">
        <v>379</v>
      </c>
      <c r="K2696" t="s">
        <v>546</v>
      </c>
      <c r="L2696" s="784">
        <v>0</v>
      </c>
      <c r="M2696" t="s">
        <v>745</v>
      </c>
      <c r="N2696" s="784" t="s">
        <v>575</v>
      </c>
      <c r="O2696" t="s">
        <v>737</v>
      </c>
      <c r="P2696" t="s">
        <v>1887</v>
      </c>
      <c r="R2696" t="s">
        <v>150</v>
      </c>
      <c r="S2696" t="s">
        <v>146</v>
      </c>
      <c r="U2696">
        <v>0</v>
      </c>
      <c r="V2696" t="s">
        <v>541</v>
      </c>
      <c r="W2696" t="s">
        <v>546</v>
      </c>
      <c r="X2696" s="784">
        <v>75151620.005215243</v>
      </c>
    </row>
    <row r="2697" spans="1:24">
      <c r="A2697" t="s">
        <v>358</v>
      </c>
      <c r="B2697" t="s">
        <v>561</v>
      </c>
      <c r="C2697" t="s">
        <v>170</v>
      </c>
      <c r="D2697" t="s">
        <v>129</v>
      </c>
      <c r="E2697" t="s">
        <v>377</v>
      </c>
      <c r="F2697" t="s">
        <v>384</v>
      </c>
      <c r="G2697" t="s">
        <v>69</v>
      </c>
      <c r="H2697" t="s">
        <v>749</v>
      </c>
      <c r="I2697">
        <v>2021</v>
      </c>
      <c r="J2697" t="s">
        <v>379</v>
      </c>
      <c r="K2697" t="s">
        <v>546</v>
      </c>
      <c r="L2697" s="784">
        <v>0</v>
      </c>
      <c r="M2697" t="s">
        <v>745</v>
      </c>
      <c r="N2697" s="784" t="s">
        <v>575</v>
      </c>
      <c r="O2697" t="s">
        <v>737</v>
      </c>
      <c r="P2697" t="s">
        <v>1887</v>
      </c>
      <c r="R2697" t="s">
        <v>150</v>
      </c>
      <c r="S2697" t="s">
        <v>145</v>
      </c>
      <c r="U2697">
        <v>0</v>
      </c>
      <c r="V2697" t="s">
        <v>544</v>
      </c>
      <c r="W2697" t="s">
        <v>562</v>
      </c>
      <c r="X2697" s="784">
        <v>69958487.197715744</v>
      </c>
    </row>
    <row r="2698" spans="1:24">
      <c r="A2698" t="s">
        <v>358</v>
      </c>
      <c r="B2698" t="s">
        <v>563</v>
      </c>
      <c r="C2698" t="s">
        <v>171</v>
      </c>
      <c r="D2698" t="s">
        <v>132</v>
      </c>
      <c r="E2698" t="s">
        <v>377</v>
      </c>
      <c r="F2698" t="s">
        <v>384</v>
      </c>
      <c r="G2698" t="s">
        <v>69</v>
      </c>
      <c r="H2698" t="s">
        <v>749</v>
      </c>
      <c r="I2698">
        <v>2021</v>
      </c>
      <c r="J2698" t="s">
        <v>379</v>
      </c>
      <c r="K2698" t="s">
        <v>546</v>
      </c>
      <c r="L2698" s="784">
        <v>0</v>
      </c>
      <c r="M2698" t="s">
        <v>745</v>
      </c>
      <c r="N2698" s="784" t="s">
        <v>575</v>
      </c>
      <c r="O2698" t="s">
        <v>737</v>
      </c>
      <c r="P2698" t="s">
        <v>1887</v>
      </c>
      <c r="R2698" t="s">
        <v>150</v>
      </c>
      <c r="S2698" t="s">
        <v>145</v>
      </c>
      <c r="U2698">
        <v>0</v>
      </c>
      <c r="V2698" t="s">
        <v>544</v>
      </c>
      <c r="W2698" t="s">
        <v>548</v>
      </c>
      <c r="X2698" s="784">
        <v>61654608.560629159</v>
      </c>
    </row>
    <row r="2699" spans="1:24">
      <c r="A2699" t="s">
        <v>358</v>
      </c>
      <c r="B2699" t="s">
        <v>564</v>
      </c>
      <c r="C2699" t="s">
        <v>172</v>
      </c>
      <c r="D2699" t="s">
        <v>130</v>
      </c>
      <c r="E2699" t="s">
        <v>377</v>
      </c>
      <c r="F2699" t="s">
        <v>384</v>
      </c>
      <c r="G2699" t="s">
        <v>69</v>
      </c>
      <c r="H2699" t="s">
        <v>749</v>
      </c>
      <c r="I2699">
        <v>2021</v>
      </c>
      <c r="J2699" t="s">
        <v>379</v>
      </c>
      <c r="K2699" t="s">
        <v>546</v>
      </c>
      <c r="L2699" s="784">
        <v>0</v>
      </c>
      <c r="M2699" t="s">
        <v>745</v>
      </c>
      <c r="N2699" s="784" t="s">
        <v>575</v>
      </c>
      <c r="O2699" t="s">
        <v>737</v>
      </c>
      <c r="P2699" t="s">
        <v>1887</v>
      </c>
      <c r="R2699" t="s">
        <v>150</v>
      </c>
      <c r="S2699" t="s">
        <v>145</v>
      </c>
      <c r="U2699">
        <v>0</v>
      </c>
      <c r="V2699" t="s">
        <v>544</v>
      </c>
      <c r="W2699" t="s">
        <v>546</v>
      </c>
      <c r="X2699" s="784">
        <v>1806638707.7615163</v>
      </c>
    </row>
    <row r="2700" spans="1:24">
      <c r="A2700" t="s">
        <v>358</v>
      </c>
      <c r="B2700" t="s">
        <v>565</v>
      </c>
      <c r="C2700" t="s">
        <v>174</v>
      </c>
      <c r="D2700" t="s">
        <v>127</v>
      </c>
      <c r="E2700" t="s">
        <v>377</v>
      </c>
      <c r="F2700" t="s">
        <v>384</v>
      </c>
      <c r="G2700" t="s">
        <v>69</v>
      </c>
      <c r="H2700" t="s">
        <v>749</v>
      </c>
      <c r="I2700">
        <v>2021</v>
      </c>
      <c r="J2700" t="s">
        <v>379</v>
      </c>
      <c r="K2700" t="s">
        <v>546</v>
      </c>
      <c r="L2700" s="784">
        <v>0</v>
      </c>
      <c r="M2700" t="s">
        <v>745</v>
      </c>
      <c r="N2700" s="784" t="s">
        <v>575</v>
      </c>
      <c r="O2700" t="s">
        <v>737</v>
      </c>
      <c r="P2700" t="s">
        <v>1887</v>
      </c>
      <c r="R2700" t="s">
        <v>152</v>
      </c>
      <c r="S2700" t="s">
        <v>146</v>
      </c>
      <c r="U2700">
        <v>0</v>
      </c>
      <c r="V2700" t="s">
        <v>544</v>
      </c>
      <c r="W2700" t="s">
        <v>546</v>
      </c>
      <c r="X2700" s="784">
        <v>1252696525.0627904</v>
      </c>
    </row>
    <row r="2701" spans="1:24">
      <c r="A2701" t="s">
        <v>358</v>
      </c>
      <c r="B2701" t="s">
        <v>566</v>
      </c>
      <c r="C2701" t="s">
        <v>175</v>
      </c>
      <c r="D2701" t="s">
        <v>128</v>
      </c>
      <c r="E2701" t="s">
        <v>377</v>
      </c>
      <c r="F2701" t="s">
        <v>384</v>
      </c>
      <c r="G2701" t="s">
        <v>69</v>
      </c>
      <c r="H2701" t="s">
        <v>749</v>
      </c>
      <c r="I2701">
        <v>2021</v>
      </c>
      <c r="J2701" t="s">
        <v>379</v>
      </c>
      <c r="K2701" t="s">
        <v>546</v>
      </c>
      <c r="L2701" s="784">
        <v>0</v>
      </c>
      <c r="M2701" t="s">
        <v>745</v>
      </c>
      <c r="N2701" s="784" t="s">
        <v>575</v>
      </c>
      <c r="O2701" t="s">
        <v>737</v>
      </c>
      <c r="P2701" t="s">
        <v>1887</v>
      </c>
      <c r="R2701" t="s">
        <v>152</v>
      </c>
      <c r="S2701" t="s">
        <v>146</v>
      </c>
      <c r="U2701">
        <v>0</v>
      </c>
      <c r="V2701" t="s">
        <v>544</v>
      </c>
      <c r="W2701" t="s">
        <v>575</v>
      </c>
      <c r="X2701" s="784">
        <v>843425084.07334602</v>
      </c>
    </row>
    <row r="2702" spans="1:24">
      <c r="A2702" t="s">
        <v>358</v>
      </c>
      <c r="B2702" t="s">
        <v>567</v>
      </c>
      <c r="C2702" t="s">
        <v>144</v>
      </c>
      <c r="D2702" t="s">
        <v>130</v>
      </c>
      <c r="E2702" t="s">
        <v>377</v>
      </c>
      <c r="F2702" t="s">
        <v>384</v>
      </c>
      <c r="G2702" t="s">
        <v>69</v>
      </c>
      <c r="H2702" t="s">
        <v>749</v>
      </c>
      <c r="I2702">
        <v>2021</v>
      </c>
      <c r="J2702" t="s">
        <v>379</v>
      </c>
      <c r="K2702" t="s">
        <v>546</v>
      </c>
      <c r="L2702" s="784">
        <v>0</v>
      </c>
      <c r="M2702" t="s">
        <v>745</v>
      </c>
      <c r="N2702" s="784" t="s">
        <v>575</v>
      </c>
      <c r="O2702" t="s">
        <v>737</v>
      </c>
      <c r="P2702" t="s">
        <v>1887</v>
      </c>
      <c r="R2702" t="s">
        <v>152</v>
      </c>
      <c r="S2702" t="s">
        <v>146</v>
      </c>
      <c r="U2702">
        <v>0</v>
      </c>
      <c r="V2702" t="s">
        <v>544</v>
      </c>
      <c r="W2702" t="s">
        <v>546</v>
      </c>
      <c r="X2702" s="784">
        <v>74055620038.853683</v>
      </c>
    </row>
    <row r="2703" spans="1:24">
      <c r="A2703" t="s">
        <v>358</v>
      </c>
      <c r="B2703" t="s">
        <v>568</v>
      </c>
      <c r="C2703" t="s">
        <v>176</v>
      </c>
      <c r="D2703" t="s">
        <v>127</v>
      </c>
      <c r="E2703" t="s">
        <v>377</v>
      </c>
      <c r="F2703" t="s">
        <v>384</v>
      </c>
      <c r="G2703" t="s">
        <v>69</v>
      </c>
      <c r="H2703" t="s">
        <v>749</v>
      </c>
      <c r="I2703">
        <v>2021</v>
      </c>
      <c r="J2703" t="s">
        <v>379</v>
      </c>
      <c r="K2703" t="s">
        <v>546</v>
      </c>
      <c r="L2703" s="784">
        <v>0</v>
      </c>
      <c r="M2703" t="s">
        <v>745</v>
      </c>
      <c r="N2703" s="784" t="s">
        <v>575</v>
      </c>
      <c r="O2703" t="s">
        <v>737</v>
      </c>
      <c r="P2703" t="s">
        <v>1887</v>
      </c>
      <c r="R2703" t="s">
        <v>152</v>
      </c>
      <c r="S2703" t="s">
        <v>146</v>
      </c>
      <c r="U2703">
        <v>0</v>
      </c>
      <c r="V2703" t="s">
        <v>544</v>
      </c>
      <c r="W2703" t="s">
        <v>575</v>
      </c>
      <c r="X2703" s="784">
        <v>2803357765.5888777</v>
      </c>
    </row>
    <row r="2704" spans="1:24">
      <c r="A2704" t="s">
        <v>358</v>
      </c>
      <c r="B2704" t="s">
        <v>569</v>
      </c>
      <c r="C2704" t="s">
        <v>177</v>
      </c>
      <c r="D2704" t="s">
        <v>129</v>
      </c>
      <c r="E2704" t="s">
        <v>377</v>
      </c>
      <c r="F2704" t="s">
        <v>384</v>
      </c>
      <c r="G2704" t="s">
        <v>69</v>
      </c>
      <c r="H2704" t="s">
        <v>749</v>
      </c>
      <c r="I2704">
        <v>2021</v>
      </c>
      <c r="J2704" t="s">
        <v>379</v>
      </c>
      <c r="K2704" t="s">
        <v>546</v>
      </c>
      <c r="L2704" s="784">
        <v>0</v>
      </c>
      <c r="M2704" t="s">
        <v>745</v>
      </c>
      <c r="N2704" s="784" t="s">
        <v>575</v>
      </c>
      <c r="O2704" t="s">
        <v>737</v>
      </c>
      <c r="P2704" t="s">
        <v>1887</v>
      </c>
      <c r="R2704" t="s">
        <v>148</v>
      </c>
      <c r="S2704" t="s">
        <v>145</v>
      </c>
      <c r="U2704">
        <v>2</v>
      </c>
      <c r="V2704" t="s">
        <v>544</v>
      </c>
      <c r="W2704" t="s">
        <v>562</v>
      </c>
      <c r="X2704" s="784">
        <v>337927779.25510043</v>
      </c>
    </row>
    <row r="2705" spans="1:24">
      <c r="A2705" t="s">
        <v>358</v>
      </c>
      <c r="B2705" t="s">
        <v>570</v>
      </c>
      <c r="C2705" t="s">
        <v>178</v>
      </c>
      <c r="D2705" t="s">
        <v>128</v>
      </c>
      <c r="E2705" t="s">
        <v>377</v>
      </c>
      <c r="F2705" t="s">
        <v>384</v>
      </c>
      <c r="G2705" t="s">
        <v>69</v>
      </c>
      <c r="H2705" t="s">
        <v>749</v>
      </c>
      <c r="I2705">
        <v>2021</v>
      </c>
      <c r="J2705" t="s">
        <v>379</v>
      </c>
      <c r="K2705" t="s">
        <v>546</v>
      </c>
      <c r="L2705" s="784">
        <v>0</v>
      </c>
      <c r="M2705" t="s">
        <v>745</v>
      </c>
      <c r="N2705" s="784" t="s">
        <v>575</v>
      </c>
      <c r="O2705" t="s">
        <v>737</v>
      </c>
      <c r="P2705" t="s">
        <v>1887</v>
      </c>
      <c r="R2705" t="s">
        <v>148</v>
      </c>
      <c r="S2705" t="s">
        <v>145</v>
      </c>
      <c r="U2705">
        <v>2</v>
      </c>
      <c r="V2705" t="s">
        <v>544</v>
      </c>
      <c r="W2705" t="s">
        <v>548</v>
      </c>
      <c r="X2705" s="784">
        <v>65979512.47399316</v>
      </c>
    </row>
    <row r="2706" spans="1:24">
      <c r="A2706" t="s">
        <v>358</v>
      </c>
      <c r="B2706" t="s">
        <v>571</v>
      </c>
      <c r="C2706" t="s">
        <v>179</v>
      </c>
      <c r="D2706" t="s">
        <v>129</v>
      </c>
      <c r="E2706" t="s">
        <v>377</v>
      </c>
      <c r="F2706" t="s">
        <v>384</v>
      </c>
      <c r="G2706" t="s">
        <v>69</v>
      </c>
      <c r="H2706" t="s">
        <v>749</v>
      </c>
      <c r="I2706">
        <v>2021</v>
      </c>
      <c r="J2706" t="s">
        <v>379</v>
      </c>
      <c r="K2706" t="s">
        <v>546</v>
      </c>
      <c r="L2706" s="784">
        <v>0</v>
      </c>
      <c r="M2706" t="s">
        <v>745</v>
      </c>
      <c r="N2706" s="784" t="s">
        <v>575</v>
      </c>
      <c r="O2706" t="s">
        <v>737</v>
      </c>
      <c r="P2706" t="s">
        <v>1887</v>
      </c>
      <c r="R2706" t="s">
        <v>150</v>
      </c>
      <c r="S2706" t="s">
        <v>145</v>
      </c>
      <c r="U2706">
        <v>0</v>
      </c>
      <c r="V2706" t="s">
        <v>541</v>
      </c>
      <c r="W2706" t="s">
        <v>542</v>
      </c>
      <c r="X2706" s="784">
        <v>63748362.778827004</v>
      </c>
    </row>
    <row r="2707" spans="1:24">
      <c r="A2707" t="s">
        <v>358</v>
      </c>
      <c r="B2707" t="s">
        <v>572</v>
      </c>
      <c r="C2707" t="s">
        <v>180</v>
      </c>
      <c r="D2707" t="s">
        <v>126</v>
      </c>
      <c r="E2707" t="s">
        <v>377</v>
      </c>
      <c r="F2707" t="s">
        <v>384</v>
      </c>
      <c r="G2707" t="s">
        <v>69</v>
      </c>
      <c r="H2707" t="s">
        <v>749</v>
      </c>
      <c r="I2707">
        <v>2021</v>
      </c>
      <c r="J2707" t="s">
        <v>379</v>
      </c>
      <c r="K2707" t="s">
        <v>546</v>
      </c>
      <c r="L2707" s="784">
        <v>0</v>
      </c>
      <c r="M2707" t="s">
        <v>745</v>
      </c>
      <c r="N2707" s="784" t="s">
        <v>575</v>
      </c>
      <c r="O2707" t="s">
        <v>737</v>
      </c>
      <c r="P2707" t="s">
        <v>1887</v>
      </c>
      <c r="R2707" t="s">
        <v>150</v>
      </c>
      <c r="S2707" t="s">
        <v>145</v>
      </c>
      <c r="U2707">
        <v>0</v>
      </c>
      <c r="V2707" t="s">
        <v>544</v>
      </c>
      <c r="W2707" t="s">
        <v>558</v>
      </c>
      <c r="X2707" s="784">
        <v>313039649.45369786</v>
      </c>
    </row>
    <row r="2708" spans="1:24">
      <c r="A2708" t="s">
        <v>358</v>
      </c>
      <c r="B2708" t="s">
        <v>573</v>
      </c>
      <c r="C2708" t="s">
        <v>181</v>
      </c>
      <c r="D2708" t="s">
        <v>129</v>
      </c>
      <c r="E2708" t="s">
        <v>377</v>
      </c>
      <c r="F2708" t="s">
        <v>384</v>
      </c>
      <c r="G2708" t="s">
        <v>69</v>
      </c>
      <c r="H2708" t="s">
        <v>749</v>
      </c>
      <c r="I2708">
        <v>2021</v>
      </c>
      <c r="J2708" t="s">
        <v>379</v>
      </c>
      <c r="K2708" t="s">
        <v>546</v>
      </c>
      <c r="L2708" s="784">
        <v>0</v>
      </c>
      <c r="M2708" t="s">
        <v>745</v>
      </c>
      <c r="N2708" s="784" t="s">
        <v>575</v>
      </c>
      <c r="O2708" t="s">
        <v>737</v>
      </c>
      <c r="P2708" t="s">
        <v>1887</v>
      </c>
      <c r="R2708" t="s">
        <v>150</v>
      </c>
      <c r="S2708" t="s">
        <v>145</v>
      </c>
      <c r="U2708">
        <v>2</v>
      </c>
      <c r="V2708" t="s">
        <v>544</v>
      </c>
      <c r="W2708" t="s">
        <v>542</v>
      </c>
      <c r="X2708" s="784">
        <v>81361801.477472037</v>
      </c>
    </row>
    <row r="2709" spans="1:24">
      <c r="A2709" t="s">
        <v>358</v>
      </c>
      <c r="B2709" t="s">
        <v>574</v>
      </c>
      <c r="C2709" t="s">
        <v>182</v>
      </c>
      <c r="D2709" t="s">
        <v>129</v>
      </c>
      <c r="E2709" t="s">
        <v>377</v>
      </c>
      <c r="F2709" t="s">
        <v>384</v>
      </c>
      <c r="G2709" t="s">
        <v>69</v>
      </c>
      <c r="H2709" t="s">
        <v>749</v>
      </c>
      <c r="I2709">
        <v>2021</v>
      </c>
      <c r="J2709" t="s">
        <v>379</v>
      </c>
      <c r="K2709" t="s">
        <v>546</v>
      </c>
      <c r="L2709" s="784">
        <v>0</v>
      </c>
      <c r="M2709" t="s">
        <v>745</v>
      </c>
      <c r="N2709" s="784" t="s">
        <v>575</v>
      </c>
      <c r="O2709" t="s">
        <v>737</v>
      </c>
      <c r="P2709" t="s">
        <v>1887</v>
      </c>
      <c r="R2709" t="s">
        <v>148</v>
      </c>
      <c r="S2709" t="s">
        <v>145</v>
      </c>
      <c r="U2709">
        <v>1</v>
      </c>
      <c r="V2709" t="s">
        <v>544</v>
      </c>
      <c r="W2709" t="s">
        <v>542</v>
      </c>
      <c r="X2709" s="784" t="s">
        <v>575</v>
      </c>
    </row>
    <row r="2710" spans="1:24">
      <c r="A2710" t="s">
        <v>358</v>
      </c>
      <c r="B2710" t="s">
        <v>576</v>
      </c>
      <c r="C2710" t="s">
        <v>183</v>
      </c>
      <c r="D2710" t="s">
        <v>129</v>
      </c>
      <c r="E2710" t="s">
        <v>377</v>
      </c>
      <c r="F2710" t="s">
        <v>384</v>
      </c>
      <c r="G2710" t="s">
        <v>69</v>
      </c>
      <c r="H2710" t="s">
        <v>749</v>
      </c>
      <c r="I2710">
        <v>2021</v>
      </c>
      <c r="J2710" t="s">
        <v>379</v>
      </c>
      <c r="K2710" t="s">
        <v>546</v>
      </c>
      <c r="L2710" s="784">
        <v>0</v>
      </c>
      <c r="M2710" t="s">
        <v>745</v>
      </c>
      <c r="N2710" s="784" t="s">
        <v>575</v>
      </c>
      <c r="O2710" t="s">
        <v>737</v>
      </c>
      <c r="P2710" t="s">
        <v>1887</v>
      </c>
      <c r="R2710" t="s">
        <v>148</v>
      </c>
      <c r="S2710" t="s">
        <v>145</v>
      </c>
      <c r="U2710">
        <v>1</v>
      </c>
      <c r="V2710" t="s">
        <v>544</v>
      </c>
      <c r="W2710" t="s">
        <v>542</v>
      </c>
      <c r="X2710" s="784">
        <v>76939306.715636879</v>
      </c>
    </row>
    <row r="2711" spans="1:24">
      <c r="A2711" t="s">
        <v>358</v>
      </c>
      <c r="B2711" t="s">
        <v>577</v>
      </c>
      <c r="C2711" t="s">
        <v>184</v>
      </c>
      <c r="D2711" t="s">
        <v>130</v>
      </c>
      <c r="E2711" t="s">
        <v>377</v>
      </c>
      <c r="F2711" t="s">
        <v>384</v>
      </c>
      <c r="G2711" t="s">
        <v>69</v>
      </c>
      <c r="H2711" t="s">
        <v>749</v>
      </c>
      <c r="I2711">
        <v>2021</v>
      </c>
      <c r="J2711" t="s">
        <v>379</v>
      </c>
      <c r="K2711" t="s">
        <v>546</v>
      </c>
      <c r="L2711" s="784">
        <v>0</v>
      </c>
      <c r="M2711" t="s">
        <v>745</v>
      </c>
      <c r="N2711" s="784" t="s">
        <v>575</v>
      </c>
      <c r="O2711" t="s">
        <v>737</v>
      </c>
      <c r="P2711" t="s">
        <v>1887</v>
      </c>
      <c r="R2711" t="s">
        <v>550</v>
      </c>
      <c r="S2711" t="s">
        <v>146</v>
      </c>
      <c r="U2711">
        <v>0</v>
      </c>
      <c r="V2711" t="s">
        <v>544</v>
      </c>
      <c r="W2711" t="s">
        <v>575</v>
      </c>
      <c r="X2711" s="784">
        <v>13859708717.682571</v>
      </c>
    </row>
    <row r="2712" spans="1:24">
      <c r="A2712" t="s">
        <v>358</v>
      </c>
      <c r="B2712" t="s">
        <v>578</v>
      </c>
      <c r="C2712" t="s">
        <v>185</v>
      </c>
      <c r="D2712" t="s">
        <v>126</v>
      </c>
      <c r="E2712" t="s">
        <v>377</v>
      </c>
      <c r="F2712" t="s">
        <v>384</v>
      </c>
      <c r="G2712" t="s">
        <v>69</v>
      </c>
      <c r="H2712" t="s">
        <v>749</v>
      </c>
      <c r="I2712">
        <v>2021</v>
      </c>
      <c r="J2712" t="s">
        <v>379</v>
      </c>
      <c r="K2712" t="s">
        <v>546</v>
      </c>
      <c r="L2712" s="784">
        <v>0</v>
      </c>
      <c r="M2712" t="s">
        <v>745</v>
      </c>
      <c r="N2712" s="784" t="s">
        <v>575</v>
      </c>
      <c r="O2712" t="s">
        <v>737</v>
      </c>
      <c r="P2712" t="s">
        <v>1887</v>
      </c>
      <c r="R2712" t="s">
        <v>152</v>
      </c>
      <c r="S2712" t="s">
        <v>146</v>
      </c>
      <c r="U2712">
        <v>0</v>
      </c>
      <c r="V2712" t="s">
        <v>544</v>
      </c>
      <c r="W2712" t="s">
        <v>575</v>
      </c>
      <c r="X2712" s="784">
        <v>403567160707.7016</v>
      </c>
    </row>
    <row r="2713" spans="1:24">
      <c r="A2713" t="s">
        <v>358</v>
      </c>
      <c r="B2713" t="s">
        <v>579</v>
      </c>
      <c r="C2713" t="s">
        <v>186</v>
      </c>
      <c r="D2713" t="s">
        <v>130</v>
      </c>
      <c r="E2713" t="s">
        <v>377</v>
      </c>
      <c r="F2713" t="s">
        <v>384</v>
      </c>
      <c r="G2713" t="s">
        <v>69</v>
      </c>
      <c r="H2713" t="s">
        <v>749</v>
      </c>
      <c r="I2713">
        <v>2021</v>
      </c>
      <c r="J2713" t="s">
        <v>379</v>
      </c>
      <c r="K2713" t="s">
        <v>546</v>
      </c>
      <c r="L2713" s="784">
        <v>0</v>
      </c>
      <c r="M2713" t="s">
        <v>745</v>
      </c>
      <c r="N2713" s="784" t="s">
        <v>575</v>
      </c>
      <c r="O2713" t="s">
        <v>737</v>
      </c>
      <c r="P2713" t="s">
        <v>1887</v>
      </c>
      <c r="R2713" t="s">
        <v>152</v>
      </c>
      <c r="S2713" t="s">
        <v>146</v>
      </c>
      <c r="U2713">
        <v>0</v>
      </c>
      <c r="V2713" t="s">
        <v>544</v>
      </c>
      <c r="W2713" t="s">
        <v>575</v>
      </c>
      <c r="X2713" s="784">
        <v>18250225995.972618</v>
      </c>
    </row>
    <row r="2714" spans="1:24">
      <c r="A2714" t="s">
        <v>358</v>
      </c>
      <c r="B2714" t="s">
        <v>580</v>
      </c>
      <c r="C2714" t="s">
        <v>187</v>
      </c>
      <c r="D2714" t="s">
        <v>128</v>
      </c>
      <c r="E2714" t="s">
        <v>377</v>
      </c>
      <c r="F2714" t="s">
        <v>384</v>
      </c>
      <c r="G2714" t="s">
        <v>69</v>
      </c>
      <c r="H2714" t="s">
        <v>749</v>
      </c>
      <c r="I2714">
        <v>2021</v>
      </c>
      <c r="J2714" t="s">
        <v>379</v>
      </c>
      <c r="K2714" t="s">
        <v>546</v>
      </c>
      <c r="L2714" s="784">
        <v>0</v>
      </c>
      <c r="M2714" t="s">
        <v>745</v>
      </c>
      <c r="N2714" s="784" t="s">
        <v>575</v>
      </c>
      <c r="O2714" t="s">
        <v>737</v>
      </c>
      <c r="P2714" t="s">
        <v>1887</v>
      </c>
      <c r="R2714" t="s">
        <v>150</v>
      </c>
      <c r="S2714" t="s">
        <v>145</v>
      </c>
      <c r="U2714">
        <v>0</v>
      </c>
      <c r="V2714" t="s">
        <v>541</v>
      </c>
      <c r="W2714" t="s">
        <v>562</v>
      </c>
      <c r="X2714" s="784">
        <v>5027591.1682657599</v>
      </c>
    </row>
    <row r="2715" spans="1:24">
      <c r="A2715" t="s">
        <v>358</v>
      </c>
      <c r="B2715" t="s">
        <v>581</v>
      </c>
      <c r="C2715" t="s">
        <v>188</v>
      </c>
      <c r="D2715" t="s">
        <v>129</v>
      </c>
      <c r="E2715" t="s">
        <v>377</v>
      </c>
      <c r="F2715" t="s">
        <v>384</v>
      </c>
      <c r="G2715" t="s">
        <v>69</v>
      </c>
      <c r="H2715" t="s">
        <v>749</v>
      </c>
      <c r="I2715">
        <v>2021</v>
      </c>
      <c r="J2715" t="s">
        <v>379</v>
      </c>
      <c r="K2715" t="s">
        <v>546</v>
      </c>
      <c r="L2715" s="784">
        <v>0</v>
      </c>
      <c r="M2715" t="s">
        <v>745</v>
      </c>
      <c r="N2715" s="784" t="s">
        <v>575</v>
      </c>
      <c r="O2715" t="s">
        <v>737</v>
      </c>
      <c r="P2715" t="s">
        <v>1887</v>
      </c>
      <c r="R2715" t="s">
        <v>148</v>
      </c>
      <c r="S2715" t="s">
        <v>145</v>
      </c>
      <c r="U2715">
        <v>3</v>
      </c>
      <c r="V2715" t="s">
        <v>544</v>
      </c>
      <c r="W2715" t="s">
        <v>562</v>
      </c>
      <c r="X2715" s="784">
        <v>234645958.63289919</v>
      </c>
    </row>
    <row r="2716" spans="1:24">
      <c r="A2716" t="s">
        <v>358</v>
      </c>
      <c r="B2716" t="s">
        <v>582</v>
      </c>
      <c r="C2716" t="s">
        <v>189</v>
      </c>
      <c r="D2716" t="s">
        <v>129</v>
      </c>
      <c r="E2716" t="s">
        <v>377</v>
      </c>
      <c r="F2716" t="s">
        <v>384</v>
      </c>
      <c r="G2716" t="s">
        <v>69</v>
      </c>
      <c r="H2716" t="s">
        <v>749</v>
      </c>
      <c r="I2716">
        <v>2021</v>
      </c>
      <c r="J2716" t="s">
        <v>379</v>
      </c>
      <c r="K2716" t="s">
        <v>546</v>
      </c>
      <c r="L2716" s="784">
        <v>0</v>
      </c>
      <c r="M2716" t="s">
        <v>745</v>
      </c>
      <c r="N2716" s="784" t="s">
        <v>575</v>
      </c>
      <c r="O2716" t="s">
        <v>737</v>
      </c>
      <c r="P2716" t="s">
        <v>1887</v>
      </c>
      <c r="R2716" t="s">
        <v>150</v>
      </c>
      <c r="S2716" t="s">
        <v>145</v>
      </c>
      <c r="U2716">
        <v>2</v>
      </c>
      <c r="V2716" t="s">
        <v>544</v>
      </c>
      <c r="W2716" t="s">
        <v>583</v>
      </c>
      <c r="X2716" s="784">
        <v>91590910.247314155</v>
      </c>
    </row>
    <row r="2717" spans="1:24">
      <c r="A2717" t="s">
        <v>358</v>
      </c>
      <c r="B2717" t="s">
        <v>584</v>
      </c>
      <c r="C2717" t="s">
        <v>190</v>
      </c>
      <c r="D2717" t="s">
        <v>126</v>
      </c>
      <c r="E2717" t="s">
        <v>377</v>
      </c>
      <c r="F2717" t="s">
        <v>384</v>
      </c>
      <c r="G2717" t="s">
        <v>69</v>
      </c>
      <c r="H2717" t="s">
        <v>749</v>
      </c>
      <c r="I2717">
        <v>2021</v>
      </c>
      <c r="J2717" t="s">
        <v>379</v>
      </c>
      <c r="K2717" t="s">
        <v>546</v>
      </c>
      <c r="L2717" s="784">
        <v>0</v>
      </c>
      <c r="M2717" t="s">
        <v>745</v>
      </c>
      <c r="N2717" s="784" t="s">
        <v>575</v>
      </c>
      <c r="O2717" t="s">
        <v>737</v>
      </c>
      <c r="P2717" t="s">
        <v>1887</v>
      </c>
      <c r="R2717" t="s">
        <v>322</v>
      </c>
      <c r="S2717" t="s">
        <v>146</v>
      </c>
      <c r="U2717">
        <v>0</v>
      </c>
      <c r="V2717" t="s">
        <v>541</v>
      </c>
      <c r="W2717" t="s">
        <v>546</v>
      </c>
      <c r="X2717" s="784">
        <v>8560012.8840167802</v>
      </c>
    </row>
    <row r="2718" spans="1:24">
      <c r="A2718" t="s">
        <v>358</v>
      </c>
      <c r="B2718" t="s">
        <v>585</v>
      </c>
      <c r="C2718" t="s">
        <v>191</v>
      </c>
      <c r="D2718" t="s">
        <v>130</v>
      </c>
      <c r="E2718" t="s">
        <v>377</v>
      </c>
      <c r="F2718" t="s">
        <v>384</v>
      </c>
      <c r="G2718" t="s">
        <v>69</v>
      </c>
      <c r="H2718" t="s">
        <v>749</v>
      </c>
      <c r="I2718">
        <v>2021</v>
      </c>
      <c r="J2718" t="s">
        <v>379</v>
      </c>
      <c r="K2718" t="s">
        <v>546</v>
      </c>
      <c r="L2718" s="784">
        <v>0</v>
      </c>
      <c r="M2718" t="s">
        <v>745</v>
      </c>
      <c r="N2718" s="784" t="s">
        <v>575</v>
      </c>
      <c r="O2718" t="s">
        <v>737</v>
      </c>
      <c r="P2718" t="s">
        <v>1887</v>
      </c>
      <c r="R2718" t="s">
        <v>152</v>
      </c>
      <c r="S2718" t="s">
        <v>146</v>
      </c>
      <c r="U2718">
        <v>0</v>
      </c>
      <c r="V2718" t="s">
        <v>544</v>
      </c>
      <c r="W2718" t="s">
        <v>546</v>
      </c>
      <c r="X2718" s="784">
        <v>3292372960.3962669</v>
      </c>
    </row>
    <row r="2719" spans="1:24">
      <c r="A2719" t="s">
        <v>358</v>
      </c>
      <c r="B2719" t="s">
        <v>586</v>
      </c>
      <c r="C2719" t="s">
        <v>192</v>
      </c>
      <c r="D2719" t="s">
        <v>129</v>
      </c>
      <c r="E2719" t="s">
        <v>377</v>
      </c>
      <c r="F2719" t="s">
        <v>384</v>
      </c>
      <c r="G2719" t="s">
        <v>69</v>
      </c>
      <c r="H2719" t="s">
        <v>749</v>
      </c>
      <c r="I2719">
        <v>2021</v>
      </c>
      <c r="J2719" t="s">
        <v>379</v>
      </c>
      <c r="K2719" t="s">
        <v>546</v>
      </c>
      <c r="L2719" s="784">
        <v>0</v>
      </c>
      <c r="M2719" t="s">
        <v>745</v>
      </c>
      <c r="N2719" s="784" t="s">
        <v>575</v>
      </c>
      <c r="O2719" t="s">
        <v>737</v>
      </c>
      <c r="P2719" t="s">
        <v>1887</v>
      </c>
      <c r="R2719" t="s">
        <v>150</v>
      </c>
      <c r="S2719" t="s">
        <v>145</v>
      </c>
      <c r="U2719">
        <v>0</v>
      </c>
      <c r="V2719" t="s">
        <v>544</v>
      </c>
      <c r="W2719" t="s">
        <v>562</v>
      </c>
      <c r="X2719" s="784">
        <v>519209981.22981054</v>
      </c>
    </row>
    <row r="2720" spans="1:24">
      <c r="A2720" t="s">
        <v>358</v>
      </c>
      <c r="B2720" t="s">
        <v>587</v>
      </c>
      <c r="C2720" t="s">
        <v>193</v>
      </c>
      <c r="D2720" t="s">
        <v>127</v>
      </c>
      <c r="E2720" t="s">
        <v>377</v>
      </c>
      <c r="F2720" t="s">
        <v>384</v>
      </c>
      <c r="G2720" t="s">
        <v>69</v>
      </c>
      <c r="H2720" t="s">
        <v>749</v>
      </c>
      <c r="I2720">
        <v>2021</v>
      </c>
      <c r="J2720" t="s">
        <v>379</v>
      </c>
      <c r="K2720" t="s">
        <v>546</v>
      </c>
      <c r="L2720" s="784">
        <v>0</v>
      </c>
      <c r="M2720" t="s">
        <v>745</v>
      </c>
      <c r="N2720" s="784" t="s">
        <v>575</v>
      </c>
      <c r="O2720" t="s">
        <v>737</v>
      </c>
      <c r="P2720" t="s">
        <v>1887</v>
      </c>
      <c r="R2720" t="s">
        <v>550</v>
      </c>
      <c r="S2720" t="s">
        <v>146</v>
      </c>
      <c r="U2720">
        <v>0</v>
      </c>
      <c r="V2720" t="s">
        <v>544</v>
      </c>
      <c r="W2720" t="s">
        <v>575</v>
      </c>
      <c r="X2720" s="784">
        <v>3464739907.1604805</v>
      </c>
    </row>
    <row r="2721" spans="1:24">
      <c r="A2721" t="s">
        <v>358</v>
      </c>
      <c r="B2721" t="s">
        <v>588</v>
      </c>
      <c r="C2721" t="s">
        <v>147</v>
      </c>
      <c r="D2721" t="s">
        <v>130</v>
      </c>
      <c r="E2721" t="s">
        <v>377</v>
      </c>
      <c r="F2721" t="s">
        <v>384</v>
      </c>
      <c r="G2721" t="s">
        <v>69</v>
      </c>
      <c r="H2721" t="s">
        <v>749</v>
      </c>
      <c r="I2721">
        <v>2021</v>
      </c>
      <c r="J2721" t="s">
        <v>379</v>
      </c>
      <c r="K2721" t="s">
        <v>546</v>
      </c>
      <c r="L2721" s="784">
        <v>0</v>
      </c>
      <c r="M2721" t="s">
        <v>745</v>
      </c>
      <c r="N2721" s="784" t="s">
        <v>575</v>
      </c>
      <c r="O2721" t="s">
        <v>737</v>
      </c>
      <c r="P2721" t="s">
        <v>1887</v>
      </c>
      <c r="R2721" t="s">
        <v>152</v>
      </c>
      <c r="S2721" t="s">
        <v>146</v>
      </c>
      <c r="U2721">
        <v>0</v>
      </c>
      <c r="V2721" t="s">
        <v>541</v>
      </c>
      <c r="W2721" t="s">
        <v>575</v>
      </c>
      <c r="X2721" s="784">
        <v>9948521252.2569065</v>
      </c>
    </row>
    <row r="2722" spans="1:24">
      <c r="A2722" t="s">
        <v>358</v>
      </c>
      <c r="B2722" t="s">
        <v>589</v>
      </c>
      <c r="C2722" t="s">
        <v>194</v>
      </c>
      <c r="D2722" t="s">
        <v>131</v>
      </c>
      <c r="E2722" t="s">
        <v>377</v>
      </c>
      <c r="F2722" t="s">
        <v>384</v>
      </c>
      <c r="G2722" t="s">
        <v>69</v>
      </c>
      <c r="H2722" t="s">
        <v>749</v>
      </c>
      <c r="I2722">
        <v>2021</v>
      </c>
      <c r="J2722" t="s">
        <v>379</v>
      </c>
      <c r="K2722" t="s">
        <v>546</v>
      </c>
      <c r="L2722" s="784">
        <v>0</v>
      </c>
      <c r="M2722" t="s">
        <v>745</v>
      </c>
      <c r="N2722" s="784" t="s">
        <v>575</v>
      </c>
      <c r="O2722" t="s">
        <v>737</v>
      </c>
      <c r="P2722" t="s">
        <v>1887</v>
      </c>
      <c r="R2722" t="s">
        <v>150</v>
      </c>
      <c r="S2722" t="s">
        <v>145</v>
      </c>
      <c r="U2722">
        <v>1</v>
      </c>
      <c r="V2722" t="s">
        <v>544</v>
      </c>
      <c r="W2722" t="s">
        <v>542</v>
      </c>
      <c r="X2722" s="784">
        <v>33679192.765657313</v>
      </c>
    </row>
    <row r="2723" spans="1:24">
      <c r="A2723" t="s">
        <v>358</v>
      </c>
      <c r="B2723" t="s">
        <v>590</v>
      </c>
      <c r="C2723" t="s">
        <v>195</v>
      </c>
      <c r="D2723" t="s">
        <v>130</v>
      </c>
      <c r="E2723" t="s">
        <v>377</v>
      </c>
      <c r="F2723" t="s">
        <v>384</v>
      </c>
      <c r="G2723" t="s">
        <v>69</v>
      </c>
      <c r="H2723" t="s">
        <v>749</v>
      </c>
      <c r="I2723">
        <v>2021</v>
      </c>
      <c r="J2723" t="s">
        <v>379</v>
      </c>
      <c r="K2723" t="s">
        <v>546</v>
      </c>
      <c r="L2723" s="784">
        <v>0</v>
      </c>
      <c r="M2723" t="s">
        <v>745</v>
      </c>
      <c r="N2723" s="784" t="s">
        <v>575</v>
      </c>
      <c r="O2723" t="s">
        <v>737</v>
      </c>
      <c r="P2723" t="s">
        <v>1887</v>
      </c>
      <c r="R2723" t="s">
        <v>152</v>
      </c>
      <c r="S2723" t="s">
        <v>145</v>
      </c>
      <c r="U2723">
        <v>0</v>
      </c>
      <c r="V2723" t="s">
        <v>541</v>
      </c>
      <c r="W2723" t="s">
        <v>548</v>
      </c>
      <c r="X2723" s="784">
        <v>22784494.365742501</v>
      </c>
    </row>
    <row r="2724" spans="1:24">
      <c r="A2724" t="s">
        <v>358</v>
      </c>
      <c r="B2724" t="s">
        <v>591</v>
      </c>
      <c r="C2724" t="s">
        <v>196</v>
      </c>
      <c r="D2724" t="s">
        <v>130</v>
      </c>
      <c r="E2724" t="s">
        <v>377</v>
      </c>
      <c r="F2724" t="s">
        <v>384</v>
      </c>
      <c r="G2724" t="s">
        <v>69</v>
      </c>
      <c r="H2724" t="s">
        <v>749</v>
      </c>
      <c r="I2724">
        <v>2021</v>
      </c>
      <c r="J2724" t="s">
        <v>379</v>
      </c>
      <c r="K2724" t="s">
        <v>546</v>
      </c>
      <c r="L2724" s="784">
        <v>0</v>
      </c>
      <c r="M2724" t="s">
        <v>745</v>
      </c>
      <c r="N2724" s="784" t="s">
        <v>575</v>
      </c>
      <c r="O2724" t="s">
        <v>737</v>
      </c>
      <c r="P2724" t="s">
        <v>1887</v>
      </c>
      <c r="R2724" t="s">
        <v>152</v>
      </c>
      <c r="S2724" t="s">
        <v>146</v>
      </c>
      <c r="U2724">
        <v>0</v>
      </c>
      <c r="V2724" t="s">
        <v>541</v>
      </c>
      <c r="W2724" t="s">
        <v>575</v>
      </c>
      <c r="X2724" s="784">
        <v>2173208011.4858823</v>
      </c>
    </row>
    <row r="2725" spans="1:24">
      <c r="A2725" t="s">
        <v>358</v>
      </c>
      <c r="B2725" t="s">
        <v>592</v>
      </c>
      <c r="C2725" t="s">
        <v>197</v>
      </c>
      <c r="D2725" t="s">
        <v>130</v>
      </c>
      <c r="E2725" t="s">
        <v>377</v>
      </c>
      <c r="F2725" t="s">
        <v>384</v>
      </c>
      <c r="G2725" t="s">
        <v>69</v>
      </c>
      <c r="H2725" t="s">
        <v>749</v>
      </c>
      <c r="I2725">
        <v>2021</v>
      </c>
      <c r="J2725" t="s">
        <v>379</v>
      </c>
      <c r="K2725" t="s">
        <v>546</v>
      </c>
      <c r="L2725" s="784">
        <v>0</v>
      </c>
      <c r="M2725" t="s">
        <v>745</v>
      </c>
      <c r="N2725" s="784" t="s">
        <v>575</v>
      </c>
      <c r="O2725" t="s">
        <v>737</v>
      </c>
      <c r="P2725" t="s">
        <v>1887</v>
      </c>
      <c r="R2725" t="s">
        <v>152</v>
      </c>
      <c r="S2725" t="s">
        <v>146</v>
      </c>
      <c r="U2725">
        <v>0</v>
      </c>
      <c r="V2725" t="s">
        <v>544</v>
      </c>
      <c r="W2725" t="s">
        <v>546</v>
      </c>
      <c r="X2725" s="784">
        <v>4585736158.8323269</v>
      </c>
    </row>
    <row r="2726" spans="1:24">
      <c r="A2726" t="s">
        <v>358</v>
      </c>
      <c r="B2726" t="s">
        <v>593</v>
      </c>
      <c r="C2726" t="s">
        <v>198</v>
      </c>
      <c r="D2726" t="s">
        <v>131</v>
      </c>
      <c r="E2726" t="s">
        <v>377</v>
      </c>
      <c r="F2726" t="s">
        <v>384</v>
      </c>
      <c r="G2726" t="s">
        <v>69</v>
      </c>
      <c r="H2726" t="s">
        <v>749</v>
      </c>
      <c r="I2726">
        <v>2021</v>
      </c>
      <c r="J2726" t="s">
        <v>379</v>
      </c>
      <c r="K2726" t="s">
        <v>546</v>
      </c>
      <c r="L2726" s="784">
        <v>0</v>
      </c>
      <c r="M2726" t="s">
        <v>745</v>
      </c>
      <c r="N2726" s="784" t="s">
        <v>575</v>
      </c>
      <c r="O2726" t="s">
        <v>737</v>
      </c>
      <c r="P2726" t="s">
        <v>1887</v>
      </c>
      <c r="R2726" t="s">
        <v>150</v>
      </c>
      <c r="S2726" t="s">
        <v>145</v>
      </c>
      <c r="U2726">
        <v>0</v>
      </c>
      <c r="V2726" t="s">
        <v>544</v>
      </c>
      <c r="W2726" t="s">
        <v>546</v>
      </c>
      <c r="X2726" s="784">
        <v>3550291584.8645592</v>
      </c>
    </row>
    <row r="2727" spans="1:24">
      <c r="A2727" t="s">
        <v>358</v>
      </c>
      <c r="B2727" t="s">
        <v>594</v>
      </c>
      <c r="C2727" t="s">
        <v>199</v>
      </c>
      <c r="D2727" t="s">
        <v>130</v>
      </c>
      <c r="E2727" t="s">
        <v>377</v>
      </c>
      <c r="F2727" t="s">
        <v>384</v>
      </c>
      <c r="G2727" t="s">
        <v>69</v>
      </c>
      <c r="H2727" t="s">
        <v>749</v>
      </c>
      <c r="I2727">
        <v>2021</v>
      </c>
      <c r="J2727" t="s">
        <v>379</v>
      </c>
      <c r="K2727" t="s">
        <v>546</v>
      </c>
      <c r="L2727" s="784">
        <v>0</v>
      </c>
      <c r="M2727" t="s">
        <v>745</v>
      </c>
      <c r="N2727" s="784" t="s">
        <v>575</v>
      </c>
      <c r="O2727" t="s">
        <v>737</v>
      </c>
      <c r="P2727" t="s">
        <v>1887</v>
      </c>
      <c r="R2727" t="s">
        <v>150</v>
      </c>
      <c r="S2727" t="s">
        <v>145</v>
      </c>
      <c r="U2727">
        <v>0</v>
      </c>
      <c r="V2727" t="s">
        <v>544</v>
      </c>
      <c r="W2727" t="s">
        <v>546</v>
      </c>
      <c r="X2727" s="784">
        <v>1182840319.0410969</v>
      </c>
    </row>
    <row r="2728" spans="1:24">
      <c r="A2728" t="s">
        <v>358</v>
      </c>
      <c r="B2728" t="s">
        <v>595</v>
      </c>
      <c r="C2728" t="s">
        <v>200</v>
      </c>
      <c r="D2728" t="s">
        <v>130</v>
      </c>
      <c r="E2728" t="s">
        <v>377</v>
      </c>
      <c r="F2728" t="s">
        <v>384</v>
      </c>
      <c r="G2728" t="s">
        <v>69</v>
      </c>
      <c r="H2728" t="s">
        <v>749</v>
      </c>
      <c r="I2728">
        <v>2021</v>
      </c>
      <c r="J2728" t="s">
        <v>379</v>
      </c>
      <c r="K2728" t="s">
        <v>546</v>
      </c>
      <c r="L2728" s="784">
        <v>0</v>
      </c>
      <c r="M2728" t="s">
        <v>745</v>
      </c>
      <c r="N2728" s="784" t="s">
        <v>575</v>
      </c>
      <c r="O2728" t="s">
        <v>737</v>
      </c>
      <c r="P2728" t="s">
        <v>1887</v>
      </c>
      <c r="R2728" t="s">
        <v>152</v>
      </c>
      <c r="S2728" t="s">
        <v>146</v>
      </c>
      <c r="U2728">
        <v>0</v>
      </c>
      <c r="V2728" t="s">
        <v>544</v>
      </c>
      <c r="W2728" t="s">
        <v>575</v>
      </c>
      <c r="X2728" s="784">
        <v>81728347.604567245</v>
      </c>
    </row>
    <row r="2729" spans="1:24">
      <c r="A2729" t="s">
        <v>358</v>
      </c>
      <c r="B2729" t="s">
        <v>596</v>
      </c>
      <c r="C2729" t="s">
        <v>201</v>
      </c>
      <c r="D2729" t="s">
        <v>128</v>
      </c>
      <c r="E2729" t="s">
        <v>377</v>
      </c>
      <c r="F2729" t="s">
        <v>384</v>
      </c>
      <c r="G2729" t="s">
        <v>69</v>
      </c>
      <c r="H2729" t="s">
        <v>749</v>
      </c>
      <c r="I2729">
        <v>2021</v>
      </c>
      <c r="J2729" t="s">
        <v>379</v>
      </c>
      <c r="K2729" t="s">
        <v>546</v>
      </c>
      <c r="L2729" s="784">
        <v>0</v>
      </c>
      <c r="M2729" t="s">
        <v>745</v>
      </c>
      <c r="N2729" s="784" t="s">
        <v>575</v>
      </c>
      <c r="O2729" t="s">
        <v>737</v>
      </c>
      <c r="P2729" t="s">
        <v>1887</v>
      </c>
      <c r="R2729" t="s">
        <v>148</v>
      </c>
      <c r="S2729" t="s">
        <v>145</v>
      </c>
      <c r="U2729">
        <v>2</v>
      </c>
      <c r="V2729" t="s">
        <v>544</v>
      </c>
      <c r="W2729" t="s">
        <v>546</v>
      </c>
      <c r="X2729" s="784">
        <v>12787914.977715338</v>
      </c>
    </row>
    <row r="2730" spans="1:24">
      <c r="A2730" t="s">
        <v>358</v>
      </c>
      <c r="B2730" t="s">
        <v>597</v>
      </c>
      <c r="C2730" t="s">
        <v>202</v>
      </c>
      <c r="D2730" t="s">
        <v>128</v>
      </c>
      <c r="E2730" t="s">
        <v>377</v>
      </c>
      <c r="F2730" t="s">
        <v>384</v>
      </c>
      <c r="G2730" t="s">
        <v>69</v>
      </c>
      <c r="H2730" t="s">
        <v>749</v>
      </c>
      <c r="I2730">
        <v>2021</v>
      </c>
      <c r="J2730" t="s">
        <v>379</v>
      </c>
      <c r="K2730" t="s">
        <v>546</v>
      </c>
      <c r="L2730" s="784">
        <v>0</v>
      </c>
      <c r="M2730" t="s">
        <v>745</v>
      </c>
      <c r="N2730" s="784" t="s">
        <v>575</v>
      </c>
      <c r="O2730" t="s">
        <v>737</v>
      </c>
      <c r="P2730" t="s">
        <v>1887</v>
      </c>
      <c r="R2730" t="s">
        <v>150</v>
      </c>
      <c r="S2730" t="s">
        <v>145</v>
      </c>
      <c r="U2730">
        <v>2</v>
      </c>
      <c r="V2730" t="s">
        <v>544</v>
      </c>
      <c r="W2730" t="s">
        <v>546</v>
      </c>
      <c r="X2730" s="784">
        <v>101271737.65410839</v>
      </c>
    </row>
    <row r="2731" spans="1:24">
      <c r="A2731" t="s">
        <v>358</v>
      </c>
      <c r="B2731" t="s">
        <v>598</v>
      </c>
      <c r="C2731" t="s">
        <v>203</v>
      </c>
      <c r="D2731" t="s">
        <v>128</v>
      </c>
      <c r="E2731" t="s">
        <v>377</v>
      </c>
      <c r="F2731" t="s">
        <v>384</v>
      </c>
      <c r="G2731" t="s">
        <v>69</v>
      </c>
      <c r="H2731" t="s">
        <v>749</v>
      </c>
      <c r="I2731">
        <v>2021</v>
      </c>
      <c r="J2731" t="s">
        <v>379</v>
      </c>
      <c r="K2731" t="s">
        <v>546</v>
      </c>
      <c r="L2731" s="784">
        <v>0</v>
      </c>
      <c r="M2731" t="s">
        <v>745</v>
      </c>
      <c r="N2731" s="784" t="s">
        <v>575</v>
      </c>
      <c r="O2731" t="s">
        <v>737</v>
      </c>
      <c r="P2731" t="s">
        <v>1887</v>
      </c>
      <c r="R2731" t="s">
        <v>148</v>
      </c>
      <c r="S2731" t="s">
        <v>145</v>
      </c>
      <c r="U2731">
        <v>3</v>
      </c>
      <c r="V2731" t="s">
        <v>544</v>
      </c>
      <c r="W2731" t="s">
        <v>542</v>
      </c>
      <c r="X2731" s="784">
        <v>618344226.71759331</v>
      </c>
    </row>
    <row r="2732" spans="1:24">
      <c r="A2732" t="s">
        <v>358</v>
      </c>
      <c r="B2732" t="s">
        <v>599</v>
      </c>
      <c r="C2732" t="s">
        <v>204</v>
      </c>
      <c r="D2732" t="s">
        <v>126</v>
      </c>
      <c r="E2732" t="s">
        <v>377</v>
      </c>
      <c r="F2732" t="s">
        <v>384</v>
      </c>
      <c r="G2732" t="s">
        <v>69</v>
      </c>
      <c r="H2732" t="s">
        <v>749</v>
      </c>
      <c r="I2732">
        <v>2021</v>
      </c>
      <c r="J2732" t="s">
        <v>379</v>
      </c>
      <c r="K2732" t="s">
        <v>546</v>
      </c>
      <c r="L2732" s="784">
        <v>0</v>
      </c>
      <c r="M2732" t="s">
        <v>745</v>
      </c>
      <c r="N2732" s="784" t="s">
        <v>575</v>
      </c>
      <c r="O2732" t="s">
        <v>737</v>
      </c>
      <c r="P2732" t="s">
        <v>1887</v>
      </c>
      <c r="R2732" t="s">
        <v>152</v>
      </c>
      <c r="S2732" t="s">
        <v>145</v>
      </c>
      <c r="U2732">
        <v>0</v>
      </c>
      <c r="V2732" t="s">
        <v>541</v>
      </c>
      <c r="W2732" t="s">
        <v>548</v>
      </c>
      <c r="X2732" s="784">
        <v>129483872.95906857</v>
      </c>
    </row>
    <row r="2733" spans="1:24">
      <c r="A2733" t="s">
        <v>358</v>
      </c>
      <c r="B2733" t="s">
        <v>600</v>
      </c>
      <c r="C2733" t="s">
        <v>205</v>
      </c>
      <c r="D2733" t="s">
        <v>129</v>
      </c>
      <c r="E2733" t="s">
        <v>377</v>
      </c>
      <c r="F2733" t="s">
        <v>384</v>
      </c>
      <c r="G2733" t="s">
        <v>69</v>
      </c>
      <c r="H2733" t="s">
        <v>749</v>
      </c>
      <c r="I2733">
        <v>2021</v>
      </c>
      <c r="J2733" t="s">
        <v>379</v>
      </c>
      <c r="K2733" t="s">
        <v>546</v>
      </c>
      <c r="L2733" s="784">
        <v>0</v>
      </c>
      <c r="M2733" t="s">
        <v>745</v>
      </c>
      <c r="N2733" s="784" t="s">
        <v>575</v>
      </c>
      <c r="O2733" t="s">
        <v>737</v>
      </c>
      <c r="P2733" t="s">
        <v>1887</v>
      </c>
      <c r="R2733" t="s">
        <v>152</v>
      </c>
      <c r="S2733" t="s">
        <v>146</v>
      </c>
      <c r="U2733">
        <v>0</v>
      </c>
      <c r="V2733" t="s">
        <v>544</v>
      </c>
      <c r="W2733" t="s">
        <v>546</v>
      </c>
      <c r="X2733" s="784">
        <v>271184658.35014349</v>
      </c>
    </row>
    <row r="2734" spans="1:24">
      <c r="A2734" t="s">
        <v>358</v>
      </c>
      <c r="B2734" t="s">
        <v>601</v>
      </c>
      <c r="C2734" t="s">
        <v>206</v>
      </c>
      <c r="D2734" t="s">
        <v>129</v>
      </c>
      <c r="E2734" t="s">
        <v>377</v>
      </c>
      <c r="F2734" t="s">
        <v>384</v>
      </c>
      <c r="G2734" t="s">
        <v>69</v>
      </c>
      <c r="H2734" t="s">
        <v>749</v>
      </c>
      <c r="I2734">
        <v>2021</v>
      </c>
      <c r="J2734" t="s">
        <v>379</v>
      </c>
      <c r="K2734" t="s">
        <v>546</v>
      </c>
      <c r="L2734" s="784">
        <v>0</v>
      </c>
      <c r="M2734" t="s">
        <v>745</v>
      </c>
      <c r="N2734" s="784" t="s">
        <v>575</v>
      </c>
      <c r="O2734" t="s">
        <v>737</v>
      </c>
      <c r="P2734" t="s">
        <v>1887</v>
      </c>
      <c r="R2734" t="s">
        <v>148</v>
      </c>
      <c r="S2734" t="s">
        <v>145</v>
      </c>
      <c r="U2734">
        <v>0</v>
      </c>
      <c r="V2734" t="s">
        <v>544</v>
      </c>
      <c r="W2734" t="s">
        <v>542</v>
      </c>
      <c r="X2734" s="784">
        <v>15455265.086884515</v>
      </c>
    </row>
    <row r="2735" spans="1:24">
      <c r="A2735" t="s">
        <v>358</v>
      </c>
      <c r="B2735" t="s">
        <v>602</v>
      </c>
      <c r="C2735" t="s">
        <v>207</v>
      </c>
      <c r="D2735" t="s">
        <v>127</v>
      </c>
      <c r="E2735" t="s">
        <v>377</v>
      </c>
      <c r="F2735" t="s">
        <v>384</v>
      </c>
      <c r="G2735" t="s">
        <v>69</v>
      </c>
      <c r="H2735" t="s">
        <v>749</v>
      </c>
      <c r="I2735">
        <v>2021</v>
      </c>
      <c r="J2735" t="s">
        <v>379</v>
      </c>
      <c r="K2735" t="s">
        <v>546</v>
      </c>
      <c r="L2735" s="784">
        <v>0</v>
      </c>
      <c r="M2735" t="s">
        <v>745</v>
      </c>
      <c r="N2735" s="784" t="s">
        <v>575</v>
      </c>
      <c r="O2735" t="s">
        <v>737</v>
      </c>
      <c r="P2735" t="s">
        <v>1887</v>
      </c>
      <c r="R2735" t="s">
        <v>152</v>
      </c>
      <c r="S2735" t="s">
        <v>146</v>
      </c>
      <c r="U2735">
        <v>0</v>
      </c>
      <c r="V2735" t="s">
        <v>544</v>
      </c>
      <c r="W2735" t="s">
        <v>546</v>
      </c>
      <c r="X2735" s="784">
        <v>494021502.525527</v>
      </c>
    </row>
    <row r="2736" spans="1:24">
      <c r="A2736" t="s">
        <v>358</v>
      </c>
      <c r="B2736" t="s">
        <v>603</v>
      </c>
      <c r="C2736" t="s">
        <v>208</v>
      </c>
      <c r="D2736" t="s">
        <v>129</v>
      </c>
      <c r="E2736" t="s">
        <v>377</v>
      </c>
      <c r="F2736" t="s">
        <v>384</v>
      </c>
      <c r="G2736" t="s">
        <v>69</v>
      </c>
      <c r="H2736" t="s">
        <v>749</v>
      </c>
      <c r="I2736">
        <v>2021</v>
      </c>
      <c r="J2736" t="s">
        <v>379</v>
      </c>
      <c r="K2736" t="s">
        <v>546</v>
      </c>
      <c r="L2736" s="784">
        <v>0</v>
      </c>
      <c r="M2736" t="s">
        <v>745</v>
      </c>
      <c r="N2736" s="784" t="s">
        <v>575</v>
      </c>
      <c r="O2736" t="s">
        <v>737</v>
      </c>
      <c r="P2736" t="s">
        <v>1887</v>
      </c>
      <c r="R2736" t="s">
        <v>150</v>
      </c>
      <c r="S2736" t="s">
        <v>145</v>
      </c>
      <c r="U2736">
        <v>0</v>
      </c>
      <c r="V2736" t="s">
        <v>544</v>
      </c>
      <c r="W2736" t="s">
        <v>542</v>
      </c>
      <c r="X2736" s="784">
        <v>902005621.73836684</v>
      </c>
    </row>
    <row r="2737" spans="1:24">
      <c r="A2737" t="s">
        <v>358</v>
      </c>
      <c r="B2737" t="s">
        <v>604</v>
      </c>
      <c r="C2737" t="s">
        <v>209</v>
      </c>
      <c r="D2737" t="s">
        <v>130</v>
      </c>
      <c r="E2737" t="s">
        <v>377</v>
      </c>
      <c r="F2737" t="s">
        <v>384</v>
      </c>
      <c r="G2737" t="s">
        <v>69</v>
      </c>
      <c r="H2737" t="s">
        <v>749</v>
      </c>
      <c r="I2737">
        <v>2021</v>
      </c>
      <c r="J2737" t="s">
        <v>379</v>
      </c>
      <c r="K2737" t="s">
        <v>546</v>
      </c>
      <c r="L2737" s="784">
        <v>0</v>
      </c>
      <c r="M2737" t="s">
        <v>745</v>
      </c>
      <c r="N2737" s="784" t="s">
        <v>575</v>
      </c>
      <c r="O2737" t="s">
        <v>737</v>
      </c>
      <c r="P2737" t="s">
        <v>1887</v>
      </c>
      <c r="R2737" t="s">
        <v>152</v>
      </c>
      <c r="S2737" t="s">
        <v>145</v>
      </c>
      <c r="U2737">
        <v>0</v>
      </c>
      <c r="V2737" t="s">
        <v>541</v>
      </c>
      <c r="W2737" t="s">
        <v>583</v>
      </c>
      <c r="X2737" s="784">
        <v>20201670.142996579</v>
      </c>
    </row>
    <row r="2738" spans="1:24">
      <c r="A2738" t="s">
        <v>358</v>
      </c>
      <c r="B2738" t="s">
        <v>605</v>
      </c>
      <c r="C2738" t="s">
        <v>210</v>
      </c>
      <c r="D2738" t="s">
        <v>130</v>
      </c>
      <c r="E2738" t="s">
        <v>377</v>
      </c>
      <c r="F2738" t="s">
        <v>384</v>
      </c>
      <c r="G2738" t="s">
        <v>69</v>
      </c>
      <c r="H2738" t="s">
        <v>749</v>
      </c>
      <c r="I2738">
        <v>2021</v>
      </c>
      <c r="J2738" t="s">
        <v>379</v>
      </c>
      <c r="K2738" t="s">
        <v>546</v>
      </c>
      <c r="L2738" s="784">
        <v>0</v>
      </c>
      <c r="M2738" t="s">
        <v>745</v>
      </c>
      <c r="N2738" s="784" t="s">
        <v>575</v>
      </c>
      <c r="O2738" t="s">
        <v>737</v>
      </c>
      <c r="P2738" t="s">
        <v>1887</v>
      </c>
      <c r="R2738" t="s">
        <v>152</v>
      </c>
      <c r="S2738" t="s">
        <v>146</v>
      </c>
      <c r="U2738">
        <v>0</v>
      </c>
      <c r="V2738" t="s">
        <v>544</v>
      </c>
      <c r="W2738" t="s">
        <v>575</v>
      </c>
      <c r="X2738" s="784">
        <v>1612434649.6948864</v>
      </c>
    </row>
    <row r="2739" spans="1:24">
      <c r="A2739" t="s">
        <v>358</v>
      </c>
      <c r="B2739" t="s">
        <v>606</v>
      </c>
      <c r="C2739" t="s">
        <v>211</v>
      </c>
      <c r="D2739" t="s">
        <v>129</v>
      </c>
      <c r="E2739" t="s">
        <v>377</v>
      </c>
      <c r="F2739" t="s">
        <v>384</v>
      </c>
      <c r="G2739" t="s">
        <v>69</v>
      </c>
      <c r="H2739" t="s">
        <v>749</v>
      </c>
      <c r="I2739">
        <v>2021</v>
      </c>
      <c r="J2739" t="s">
        <v>379</v>
      </c>
      <c r="K2739" t="s">
        <v>546</v>
      </c>
      <c r="L2739" s="784">
        <v>0</v>
      </c>
      <c r="M2739" t="s">
        <v>745</v>
      </c>
      <c r="N2739" s="784" t="s">
        <v>575</v>
      </c>
      <c r="O2739" t="s">
        <v>737</v>
      </c>
      <c r="P2739" t="s">
        <v>1887</v>
      </c>
      <c r="R2739" t="s">
        <v>148</v>
      </c>
      <c r="S2739" t="s">
        <v>145</v>
      </c>
      <c r="U2739">
        <v>0</v>
      </c>
      <c r="V2739" t="s">
        <v>544</v>
      </c>
      <c r="W2739" t="s">
        <v>562</v>
      </c>
      <c r="X2739" s="784">
        <v>78203134.118229344</v>
      </c>
    </row>
    <row r="2740" spans="1:24">
      <c r="A2740" t="s">
        <v>358</v>
      </c>
      <c r="B2740" t="s">
        <v>607</v>
      </c>
      <c r="C2740" t="s">
        <v>212</v>
      </c>
      <c r="D2740" t="s">
        <v>129</v>
      </c>
      <c r="E2740" t="s">
        <v>377</v>
      </c>
      <c r="F2740" t="s">
        <v>384</v>
      </c>
      <c r="G2740" t="s">
        <v>69</v>
      </c>
      <c r="H2740" t="s">
        <v>749</v>
      </c>
      <c r="I2740">
        <v>2021</v>
      </c>
      <c r="J2740" t="s">
        <v>379</v>
      </c>
      <c r="K2740" t="s">
        <v>546</v>
      </c>
      <c r="L2740" s="784">
        <v>0</v>
      </c>
      <c r="M2740" t="s">
        <v>745</v>
      </c>
      <c r="N2740" s="784" t="s">
        <v>575</v>
      </c>
      <c r="O2740" t="s">
        <v>737</v>
      </c>
      <c r="P2740" t="s">
        <v>1887</v>
      </c>
      <c r="R2740" t="s">
        <v>148</v>
      </c>
      <c r="S2740" t="s">
        <v>145</v>
      </c>
      <c r="U2740">
        <v>2</v>
      </c>
      <c r="V2740" t="s">
        <v>541</v>
      </c>
      <c r="W2740" t="s">
        <v>542</v>
      </c>
      <c r="X2740" s="784">
        <v>9151637.7411015611</v>
      </c>
    </row>
    <row r="2741" spans="1:24">
      <c r="A2741" t="s">
        <v>358</v>
      </c>
      <c r="B2741" t="s">
        <v>608</v>
      </c>
      <c r="C2741" t="s">
        <v>213</v>
      </c>
      <c r="D2741" t="s">
        <v>130</v>
      </c>
      <c r="E2741" t="s">
        <v>377</v>
      </c>
      <c r="F2741" t="s">
        <v>384</v>
      </c>
      <c r="G2741" t="s">
        <v>69</v>
      </c>
      <c r="H2741" t="s">
        <v>749</v>
      </c>
      <c r="I2741">
        <v>2021</v>
      </c>
      <c r="J2741" t="s">
        <v>379</v>
      </c>
      <c r="K2741" t="s">
        <v>546</v>
      </c>
      <c r="L2741" s="784">
        <v>0</v>
      </c>
      <c r="M2741" t="s">
        <v>745</v>
      </c>
      <c r="N2741" s="784" t="s">
        <v>575</v>
      </c>
      <c r="O2741" t="s">
        <v>737</v>
      </c>
      <c r="P2741" t="s">
        <v>1887</v>
      </c>
      <c r="R2741" t="s">
        <v>152</v>
      </c>
      <c r="S2741" t="s">
        <v>145</v>
      </c>
      <c r="U2741">
        <v>0</v>
      </c>
      <c r="V2741" t="s">
        <v>541</v>
      </c>
      <c r="W2741" t="s">
        <v>562</v>
      </c>
      <c r="X2741" s="784">
        <v>142455920.02856269</v>
      </c>
    </row>
    <row r="2742" spans="1:24">
      <c r="A2742" t="s">
        <v>358</v>
      </c>
      <c r="B2742" t="s">
        <v>609</v>
      </c>
      <c r="C2742" t="s">
        <v>214</v>
      </c>
      <c r="D2742" t="s">
        <v>130</v>
      </c>
      <c r="E2742" t="s">
        <v>377</v>
      </c>
      <c r="F2742" t="s">
        <v>384</v>
      </c>
      <c r="G2742" t="s">
        <v>69</v>
      </c>
      <c r="H2742" t="s">
        <v>749</v>
      </c>
      <c r="I2742">
        <v>2021</v>
      </c>
      <c r="J2742" t="s">
        <v>379</v>
      </c>
      <c r="K2742" t="s">
        <v>546</v>
      </c>
      <c r="L2742" s="784">
        <v>49489.62</v>
      </c>
      <c r="M2742" t="s">
        <v>745</v>
      </c>
      <c r="N2742" s="784" t="s">
        <v>575</v>
      </c>
      <c r="O2742" t="s">
        <v>737</v>
      </c>
      <c r="P2742" t="s">
        <v>1887</v>
      </c>
      <c r="R2742" t="s">
        <v>150</v>
      </c>
      <c r="S2742" t="s">
        <v>145</v>
      </c>
      <c r="U2742">
        <v>1</v>
      </c>
      <c r="V2742" t="s">
        <v>541</v>
      </c>
      <c r="W2742" t="s">
        <v>542</v>
      </c>
      <c r="X2742" s="784">
        <v>85611818.171245083</v>
      </c>
    </row>
    <row r="2743" spans="1:24">
      <c r="A2743" t="s">
        <v>358</v>
      </c>
      <c r="B2743" t="s">
        <v>610</v>
      </c>
      <c r="C2743" t="s">
        <v>215</v>
      </c>
      <c r="D2743" t="s">
        <v>130</v>
      </c>
      <c r="E2743" t="s">
        <v>377</v>
      </c>
      <c r="F2743" t="s">
        <v>384</v>
      </c>
      <c r="G2743" t="s">
        <v>69</v>
      </c>
      <c r="H2743" t="s">
        <v>749</v>
      </c>
      <c r="I2743">
        <v>2021</v>
      </c>
      <c r="J2743" t="s">
        <v>379</v>
      </c>
      <c r="K2743" t="s">
        <v>546</v>
      </c>
      <c r="L2743" s="784">
        <v>0</v>
      </c>
      <c r="M2743" t="s">
        <v>745</v>
      </c>
      <c r="N2743" s="784" t="s">
        <v>575</v>
      </c>
      <c r="O2743" t="s">
        <v>737</v>
      </c>
      <c r="P2743" t="s">
        <v>1887</v>
      </c>
      <c r="R2743" t="s">
        <v>150</v>
      </c>
      <c r="S2743" t="s">
        <v>145</v>
      </c>
      <c r="U2743">
        <v>0</v>
      </c>
      <c r="V2743" t="s">
        <v>544</v>
      </c>
      <c r="W2743" t="s">
        <v>558</v>
      </c>
      <c r="X2743" s="784">
        <v>680289736.30082119</v>
      </c>
    </row>
    <row r="2744" spans="1:24">
      <c r="A2744" t="s">
        <v>358</v>
      </c>
      <c r="B2744" t="s">
        <v>611</v>
      </c>
      <c r="C2744" t="s">
        <v>216</v>
      </c>
      <c r="D2744" t="s">
        <v>132</v>
      </c>
      <c r="E2744" t="s">
        <v>377</v>
      </c>
      <c r="F2744" t="s">
        <v>384</v>
      </c>
      <c r="G2744" t="s">
        <v>69</v>
      </c>
      <c r="H2744" t="s">
        <v>749</v>
      </c>
      <c r="I2744">
        <v>2021</v>
      </c>
      <c r="J2744" t="s">
        <v>379</v>
      </c>
      <c r="K2744" t="s">
        <v>546</v>
      </c>
      <c r="L2744" s="784">
        <v>0</v>
      </c>
      <c r="M2744" t="s">
        <v>745</v>
      </c>
      <c r="N2744" s="784" t="s">
        <v>575</v>
      </c>
      <c r="O2744" t="s">
        <v>737</v>
      </c>
      <c r="P2744" t="s">
        <v>1887</v>
      </c>
      <c r="R2744" t="s">
        <v>150</v>
      </c>
      <c r="S2744" t="s">
        <v>145</v>
      </c>
      <c r="U2744">
        <v>0</v>
      </c>
      <c r="V2744" t="s">
        <v>544</v>
      </c>
      <c r="W2744" t="s">
        <v>546</v>
      </c>
      <c r="X2744" s="784">
        <v>26554332750.47023</v>
      </c>
    </row>
    <row r="2745" spans="1:24">
      <c r="A2745" t="s">
        <v>358</v>
      </c>
      <c r="B2745" t="s">
        <v>612</v>
      </c>
      <c r="C2745" t="s">
        <v>217</v>
      </c>
      <c r="D2745" t="s">
        <v>126</v>
      </c>
      <c r="E2745" t="s">
        <v>377</v>
      </c>
      <c r="F2745" t="s">
        <v>384</v>
      </c>
      <c r="G2745" t="s">
        <v>69</v>
      </c>
      <c r="H2745" t="s">
        <v>749</v>
      </c>
      <c r="I2745">
        <v>2021</v>
      </c>
      <c r="J2745" t="s">
        <v>379</v>
      </c>
      <c r="K2745" t="s">
        <v>546</v>
      </c>
      <c r="L2745" s="784">
        <v>0</v>
      </c>
      <c r="M2745" t="s">
        <v>745</v>
      </c>
      <c r="N2745" s="784" t="s">
        <v>575</v>
      </c>
      <c r="O2745" t="s">
        <v>737</v>
      </c>
      <c r="P2745" t="s">
        <v>1887</v>
      </c>
      <c r="R2745" t="s">
        <v>150</v>
      </c>
      <c r="S2745" t="s">
        <v>145</v>
      </c>
      <c r="U2745">
        <v>0</v>
      </c>
      <c r="V2745" t="s">
        <v>544</v>
      </c>
      <c r="W2745" t="s">
        <v>546</v>
      </c>
      <c r="X2745" s="784">
        <v>14745961064.890842</v>
      </c>
    </row>
    <row r="2746" spans="1:24">
      <c r="A2746" t="s">
        <v>358</v>
      </c>
      <c r="B2746" t="s">
        <v>613</v>
      </c>
      <c r="C2746" t="s">
        <v>149</v>
      </c>
      <c r="D2746" t="s">
        <v>131</v>
      </c>
      <c r="E2746" t="s">
        <v>377</v>
      </c>
      <c r="F2746" t="s">
        <v>384</v>
      </c>
      <c r="G2746" t="s">
        <v>69</v>
      </c>
      <c r="H2746" t="s">
        <v>749</v>
      </c>
      <c r="I2746">
        <v>2021</v>
      </c>
      <c r="J2746" t="s">
        <v>379</v>
      </c>
      <c r="K2746" t="s">
        <v>546</v>
      </c>
      <c r="L2746" s="784">
        <v>0</v>
      </c>
      <c r="M2746" t="s">
        <v>745</v>
      </c>
      <c r="N2746" s="784" t="s">
        <v>575</v>
      </c>
      <c r="O2746" t="s">
        <v>737</v>
      </c>
      <c r="P2746" t="s">
        <v>1887</v>
      </c>
      <c r="R2746" t="s">
        <v>150</v>
      </c>
      <c r="S2746" t="s">
        <v>146</v>
      </c>
      <c r="U2746">
        <v>0</v>
      </c>
      <c r="V2746" t="s">
        <v>544</v>
      </c>
      <c r="W2746" t="s">
        <v>546</v>
      </c>
      <c r="X2746" s="784">
        <v>18194076299.786381</v>
      </c>
    </row>
    <row r="2747" spans="1:24">
      <c r="A2747" t="s">
        <v>358</v>
      </c>
      <c r="B2747" t="s">
        <v>614</v>
      </c>
      <c r="C2747" t="s">
        <v>218</v>
      </c>
      <c r="D2747" t="s">
        <v>131</v>
      </c>
      <c r="E2747" t="s">
        <v>377</v>
      </c>
      <c r="F2747" t="s">
        <v>384</v>
      </c>
      <c r="G2747" t="s">
        <v>69</v>
      </c>
      <c r="H2747" t="s">
        <v>749</v>
      </c>
      <c r="I2747">
        <v>2021</v>
      </c>
      <c r="J2747" t="s">
        <v>379</v>
      </c>
      <c r="K2747" t="s">
        <v>546</v>
      </c>
      <c r="L2747" s="784">
        <v>0</v>
      </c>
      <c r="M2747" t="s">
        <v>745</v>
      </c>
      <c r="N2747" s="784" t="s">
        <v>575</v>
      </c>
      <c r="O2747" t="s">
        <v>737</v>
      </c>
      <c r="P2747" t="s">
        <v>1887</v>
      </c>
      <c r="R2747" t="s">
        <v>152</v>
      </c>
      <c r="S2747" t="s">
        <v>146</v>
      </c>
      <c r="U2747">
        <v>0</v>
      </c>
      <c r="V2747" t="s">
        <v>544</v>
      </c>
      <c r="W2747" t="s">
        <v>546</v>
      </c>
      <c r="X2747" s="784">
        <v>4428819387.769825</v>
      </c>
    </row>
    <row r="2748" spans="1:24">
      <c r="A2748" t="s">
        <v>358</v>
      </c>
      <c r="B2748" t="s">
        <v>615</v>
      </c>
      <c r="C2748" t="s">
        <v>219</v>
      </c>
      <c r="D2748" t="s">
        <v>130</v>
      </c>
      <c r="E2748" t="s">
        <v>377</v>
      </c>
      <c r="F2748" t="s">
        <v>384</v>
      </c>
      <c r="G2748" t="s">
        <v>69</v>
      </c>
      <c r="H2748" t="s">
        <v>749</v>
      </c>
      <c r="I2748">
        <v>2021</v>
      </c>
      <c r="J2748" t="s">
        <v>379</v>
      </c>
      <c r="K2748" t="s">
        <v>546</v>
      </c>
      <c r="L2748" s="784">
        <v>0</v>
      </c>
      <c r="M2748" t="s">
        <v>745</v>
      </c>
      <c r="N2748" s="784" t="s">
        <v>575</v>
      </c>
      <c r="O2748" t="s">
        <v>737</v>
      </c>
      <c r="P2748" t="s">
        <v>1887</v>
      </c>
      <c r="R2748" t="s">
        <v>152</v>
      </c>
      <c r="S2748" t="s">
        <v>146</v>
      </c>
      <c r="U2748">
        <v>0</v>
      </c>
      <c r="V2748" t="s">
        <v>541</v>
      </c>
      <c r="W2748" t="s">
        <v>575</v>
      </c>
      <c r="X2748" s="784">
        <v>611739560.62679195</v>
      </c>
    </row>
    <row r="2749" spans="1:24">
      <c r="A2749" t="s">
        <v>358</v>
      </c>
      <c r="B2749" t="s">
        <v>616</v>
      </c>
      <c r="C2749" t="s">
        <v>220</v>
      </c>
      <c r="D2749" t="s">
        <v>131</v>
      </c>
      <c r="E2749" t="s">
        <v>377</v>
      </c>
      <c r="F2749" t="s">
        <v>384</v>
      </c>
      <c r="G2749" t="s">
        <v>69</v>
      </c>
      <c r="H2749" t="s">
        <v>749</v>
      </c>
      <c r="I2749">
        <v>2021</v>
      </c>
      <c r="J2749" t="s">
        <v>379</v>
      </c>
      <c r="K2749" t="s">
        <v>546</v>
      </c>
      <c r="L2749" s="784">
        <v>0</v>
      </c>
      <c r="M2749" t="s">
        <v>745</v>
      </c>
      <c r="N2749" s="784" t="s">
        <v>575</v>
      </c>
      <c r="O2749" t="s">
        <v>737</v>
      </c>
      <c r="P2749" t="s">
        <v>1887</v>
      </c>
      <c r="R2749" t="s">
        <v>152</v>
      </c>
      <c r="S2749" t="s">
        <v>146</v>
      </c>
      <c r="U2749">
        <v>0</v>
      </c>
      <c r="V2749" t="s">
        <v>544</v>
      </c>
      <c r="W2749" t="s">
        <v>546</v>
      </c>
      <c r="X2749" s="784">
        <v>1617913383.0481031</v>
      </c>
    </row>
    <row r="2750" spans="1:24">
      <c r="A2750" t="s">
        <v>358</v>
      </c>
      <c r="B2750" t="s">
        <v>617</v>
      </c>
      <c r="C2750" t="s">
        <v>221</v>
      </c>
      <c r="D2750" t="s">
        <v>127</v>
      </c>
      <c r="E2750" t="s">
        <v>377</v>
      </c>
      <c r="F2750" t="s">
        <v>384</v>
      </c>
      <c r="G2750" t="s">
        <v>69</v>
      </c>
      <c r="H2750" t="s">
        <v>749</v>
      </c>
      <c r="I2750">
        <v>2021</v>
      </c>
      <c r="J2750" t="s">
        <v>379</v>
      </c>
      <c r="K2750" t="s">
        <v>546</v>
      </c>
      <c r="L2750" s="784">
        <v>0</v>
      </c>
      <c r="M2750" t="s">
        <v>745</v>
      </c>
      <c r="N2750" s="784" t="s">
        <v>575</v>
      </c>
      <c r="O2750" t="s">
        <v>737</v>
      </c>
      <c r="P2750" t="s">
        <v>1887</v>
      </c>
      <c r="R2750" t="s">
        <v>152</v>
      </c>
      <c r="S2750" t="s">
        <v>146</v>
      </c>
      <c r="U2750">
        <v>0</v>
      </c>
      <c r="V2750" t="s">
        <v>544</v>
      </c>
      <c r="W2750" t="s">
        <v>575</v>
      </c>
      <c r="X2750" s="784">
        <v>3074419112.4562683</v>
      </c>
    </row>
    <row r="2751" spans="1:24">
      <c r="A2751" t="s">
        <v>358</v>
      </c>
      <c r="B2751" t="s">
        <v>618</v>
      </c>
      <c r="C2751" t="s">
        <v>222</v>
      </c>
      <c r="D2751" t="s">
        <v>128</v>
      </c>
      <c r="E2751" t="s">
        <v>377</v>
      </c>
      <c r="F2751" t="s">
        <v>384</v>
      </c>
      <c r="G2751" t="s">
        <v>69</v>
      </c>
      <c r="H2751" t="s">
        <v>749</v>
      </c>
      <c r="I2751">
        <v>2021</v>
      </c>
      <c r="J2751" t="s">
        <v>379</v>
      </c>
      <c r="K2751" t="s">
        <v>546</v>
      </c>
      <c r="L2751" s="784">
        <v>0</v>
      </c>
      <c r="M2751" t="s">
        <v>745</v>
      </c>
      <c r="N2751" s="784" t="s">
        <v>575</v>
      </c>
      <c r="O2751" t="s">
        <v>737</v>
      </c>
      <c r="P2751" t="s">
        <v>1887</v>
      </c>
      <c r="R2751" t="s">
        <v>150</v>
      </c>
      <c r="S2751" t="s">
        <v>145</v>
      </c>
      <c r="U2751">
        <v>0</v>
      </c>
      <c r="V2751" t="s">
        <v>544</v>
      </c>
      <c r="W2751" t="s">
        <v>542</v>
      </c>
      <c r="X2751" s="784">
        <v>1914014279.8929913</v>
      </c>
    </row>
    <row r="2752" spans="1:24">
      <c r="A2752" t="s">
        <v>358</v>
      </c>
      <c r="B2752" t="s">
        <v>619</v>
      </c>
      <c r="C2752" t="s">
        <v>223</v>
      </c>
      <c r="D2752" t="s">
        <v>126</v>
      </c>
      <c r="E2752" t="s">
        <v>377</v>
      </c>
      <c r="F2752" t="s">
        <v>384</v>
      </c>
      <c r="G2752" t="s">
        <v>69</v>
      </c>
      <c r="H2752" t="s">
        <v>749</v>
      </c>
      <c r="I2752">
        <v>2021</v>
      </c>
      <c r="J2752" t="s">
        <v>379</v>
      </c>
      <c r="K2752" t="s">
        <v>546</v>
      </c>
      <c r="L2752" s="784">
        <v>0</v>
      </c>
      <c r="M2752" t="s">
        <v>745</v>
      </c>
      <c r="N2752" s="784" t="s">
        <v>575</v>
      </c>
      <c r="O2752" t="s">
        <v>737</v>
      </c>
      <c r="P2752" t="s">
        <v>1887</v>
      </c>
      <c r="R2752" t="s">
        <v>150</v>
      </c>
      <c r="S2752" t="s">
        <v>145</v>
      </c>
      <c r="U2752">
        <v>0</v>
      </c>
      <c r="V2752" t="s">
        <v>541</v>
      </c>
      <c r="W2752" t="s">
        <v>542</v>
      </c>
      <c r="X2752" s="784">
        <v>17422005.762907442</v>
      </c>
    </row>
    <row r="2753" spans="1:24">
      <c r="A2753" t="s">
        <v>358</v>
      </c>
      <c r="B2753" t="s">
        <v>620</v>
      </c>
      <c r="C2753" t="s">
        <v>224</v>
      </c>
      <c r="D2753" t="s">
        <v>126</v>
      </c>
      <c r="E2753" t="s">
        <v>377</v>
      </c>
      <c r="F2753" t="s">
        <v>384</v>
      </c>
      <c r="G2753" t="s">
        <v>69</v>
      </c>
      <c r="H2753" t="s">
        <v>749</v>
      </c>
      <c r="I2753">
        <v>2021</v>
      </c>
      <c r="J2753" t="s">
        <v>379</v>
      </c>
      <c r="K2753" t="s">
        <v>546</v>
      </c>
      <c r="L2753" s="784">
        <v>0</v>
      </c>
      <c r="M2753" t="s">
        <v>745</v>
      </c>
      <c r="N2753" s="784" t="s">
        <v>575</v>
      </c>
      <c r="O2753" t="s">
        <v>737</v>
      </c>
      <c r="P2753" t="s">
        <v>1887</v>
      </c>
      <c r="R2753" t="s">
        <v>148</v>
      </c>
      <c r="S2753" t="s">
        <v>145</v>
      </c>
      <c r="U2753">
        <v>0</v>
      </c>
      <c r="V2753" t="s">
        <v>544</v>
      </c>
      <c r="W2753" t="s">
        <v>546</v>
      </c>
      <c r="X2753" s="784" t="s">
        <v>575</v>
      </c>
    </row>
    <row r="2754" spans="1:24">
      <c r="A2754" t="s">
        <v>358</v>
      </c>
      <c r="B2754" t="s">
        <v>621</v>
      </c>
      <c r="C2754" t="s">
        <v>225</v>
      </c>
      <c r="D2754" t="s">
        <v>127</v>
      </c>
      <c r="E2754" t="s">
        <v>377</v>
      </c>
      <c r="F2754" t="s">
        <v>384</v>
      </c>
      <c r="G2754" t="s">
        <v>69</v>
      </c>
      <c r="H2754" t="s">
        <v>749</v>
      </c>
      <c r="I2754">
        <v>2021</v>
      </c>
      <c r="J2754" t="s">
        <v>379</v>
      </c>
      <c r="K2754" t="s">
        <v>546</v>
      </c>
      <c r="L2754" s="784">
        <v>0</v>
      </c>
      <c r="M2754" t="s">
        <v>745</v>
      </c>
      <c r="N2754" s="784" t="s">
        <v>575</v>
      </c>
      <c r="O2754" t="s">
        <v>737</v>
      </c>
      <c r="P2754" t="s">
        <v>1887</v>
      </c>
      <c r="R2754" t="s">
        <v>152</v>
      </c>
      <c r="S2754" t="s">
        <v>145</v>
      </c>
      <c r="U2754">
        <v>0</v>
      </c>
      <c r="V2754" t="s">
        <v>544</v>
      </c>
      <c r="W2754" t="s">
        <v>548</v>
      </c>
      <c r="X2754" s="784" t="s">
        <v>575</v>
      </c>
    </row>
    <row r="2755" spans="1:24">
      <c r="A2755" t="s">
        <v>358</v>
      </c>
      <c r="B2755" t="s">
        <v>622</v>
      </c>
      <c r="C2755" t="s">
        <v>226</v>
      </c>
      <c r="D2755" t="s">
        <v>127</v>
      </c>
      <c r="E2755" t="s">
        <v>377</v>
      </c>
      <c r="F2755" t="s">
        <v>384</v>
      </c>
      <c r="G2755" t="s">
        <v>69</v>
      </c>
      <c r="H2755" t="s">
        <v>749</v>
      </c>
      <c r="I2755">
        <v>2021</v>
      </c>
      <c r="J2755" t="s">
        <v>379</v>
      </c>
      <c r="K2755" t="s">
        <v>546</v>
      </c>
      <c r="L2755" s="784">
        <v>0</v>
      </c>
      <c r="M2755" t="s">
        <v>745</v>
      </c>
      <c r="N2755" s="784" t="s">
        <v>575</v>
      </c>
      <c r="O2755" t="s">
        <v>737</v>
      </c>
      <c r="P2755" t="s">
        <v>1887</v>
      </c>
      <c r="R2755" t="s">
        <v>150</v>
      </c>
      <c r="S2755" t="s">
        <v>145</v>
      </c>
      <c r="U2755">
        <v>2</v>
      </c>
      <c r="V2755" t="s">
        <v>544</v>
      </c>
      <c r="W2755" t="s">
        <v>562</v>
      </c>
      <c r="X2755" s="784">
        <v>231506834.84347546</v>
      </c>
    </row>
    <row r="2756" spans="1:24">
      <c r="A2756" t="s">
        <v>358</v>
      </c>
      <c r="B2756" t="s">
        <v>623</v>
      </c>
      <c r="C2756" t="s">
        <v>227</v>
      </c>
      <c r="D2756" t="s">
        <v>126</v>
      </c>
      <c r="E2756" t="s">
        <v>377</v>
      </c>
      <c r="F2756" t="s">
        <v>384</v>
      </c>
      <c r="G2756" t="s">
        <v>69</v>
      </c>
      <c r="H2756" t="s">
        <v>749</v>
      </c>
      <c r="I2756">
        <v>2021</v>
      </c>
      <c r="J2756" t="s">
        <v>379</v>
      </c>
      <c r="K2756" t="s">
        <v>546</v>
      </c>
      <c r="L2756" s="784">
        <v>0</v>
      </c>
      <c r="M2756" t="s">
        <v>745</v>
      </c>
      <c r="N2756" s="784" t="s">
        <v>575</v>
      </c>
      <c r="O2756" t="s">
        <v>737</v>
      </c>
      <c r="P2756" t="s">
        <v>1887</v>
      </c>
      <c r="R2756" t="s">
        <v>150</v>
      </c>
      <c r="S2756" t="s">
        <v>145</v>
      </c>
      <c r="U2756">
        <v>0</v>
      </c>
      <c r="V2756" t="s">
        <v>544</v>
      </c>
      <c r="W2756" t="s">
        <v>542</v>
      </c>
      <c r="X2756" s="784">
        <v>156059428.62944782</v>
      </c>
    </row>
    <row r="2757" spans="1:24">
      <c r="A2757" t="s">
        <v>358</v>
      </c>
      <c r="B2757" t="s">
        <v>624</v>
      </c>
      <c r="C2757" t="s">
        <v>228</v>
      </c>
      <c r="D2757" t="s">
        <v>131</v>
      </c>
      <c r="E2757" t="s">
        <v>377</v>
      </c>
      <c r="F2757" t="s">
        <v>384</v>
      </c>
      <c r="G2757" t="s">
        <v>69</v>
      </c>
      <c r="H2757" t="s">
        <v>749</v>
      </c>
      <c r="I2757">
        <v>2021</v>
      </c>
      <c r="J2757" t="s">
        <v>379</v>
      </c>
      <c r="K2757" t="s">
        <v>546</v>
      </c>
      <c r="L2757" s="784">
        <v>394444</v>
      </c>
      <c r="M2757" t="s">
        <v>745</v>
      </c>
      <c r="N2757" s="784" t="s">
        <v>575</v>
      </c>
      <c r="O2757" t="s">
        <v>737</v>
      </c>
      <c r="P2757" t="s">
        <v>1887</v>
      </c>
      <c r="R2757" t="s">
        <v>152</v>
      </c>
      <c r="S2757" t="s">
        <v>146</v>
      </c>
      <c r="U2757">
        <v>0</v>
      </c>
      <c r="V2757" t="s">
        <v>544</v>
      </c>
      <c r="W2757" t="s">
        <v>546</v>
      </c>
      <c r="X2757" s="784">
        <v>2355391507.1635861</v>
      </c>
    </row>
    <row r="2758" spans="1:24">
      <c r="A2758" t="s">
        <v>358</v>
      </c>
      <c r="B2758" t="s">
        <v>625</v>
      </c>
      <c r="C2758" t="s">
        <v>229</v>
      </c>
      <c r="D2758" t="s">
        <v>128</v>
      </c>
      <c r="E2758" t="s">
        <v>377</v>
      </c>
      <c r="F2758" t="s">
        <v>384</v>
      </c>
      <c r="G2758" t="s">
        <v>69</v>
      </c>
      <c r="H2758" t="s">
        <v>749</v>
      </c>
      <c r="I2758">
        <v>2021</v>
      </c>
      <c r="J2758" t="s">
        <v>379</v>
      </c>
      <c r="K2758" t="s">
        <v>546</v>
      </c>
      <c r="L2758" s="784">
        <v>0</v>
      </c>
      <c r="M2758" t="s">
        <v>745</v>
      </c>
      <c r="N2758" s="784" t="s">
        <v>575</v>
      </c>
      <c r="O2758" t="s">
        <v>737</v>
      </c>
      <c r="P2758" t="s">
        <v>1887</v>
      </c>
      <c r="R2758" t="s">
        <v>150</v>
      </c>
      <c r="S2758" t="s">
        <v>145</v>
      </c>
      <c r="U2758">
        <v>0</v>
      </c>
      <c r="V2758" t="s">
        <v>544</v>
      </c>
      <c r="W2758" t="s">
        <v>562</v>
      </c>
      <c r="X2758" s="784">
        <v>152760919.7684873</v>
      </c>
    </row>
    <row r="2759" spans="1:24">
      <c r="A2759" t="s">
        <v>358</v>
      </c>
      <c r="B2759" t="s">
        <v>626</v>
      </c>
      <c r="C2759" t="s">
        <v>230</v>
      </c>
      <c r="D2759" t="s">
        <v>129</v>
      </c>
      <c r="E2759" t="s">
        <v>377</v>
      </c>
      <c r="F2759" t="s">
        <v>384</v>
      </c>
      <c r="G2759" t="s">
        <v>69</v>
      </c>
      <c r="H2759" t="s">
        <v>749</v>
      </c>
      <c r="I2759">
        <v>2021</v>
      </c>
      <c r="J2759" t="s">
        <v>379</v>
      </c>
      <c r="K2759" t="s">
        <v>546</v>
      </c>
      <c r="L2759" s="784">
        <v>0</v>
      </c>
      <c r="M2759" t="s">
        <v>745</v>
      </c>
      <c r="N2759" s="784" t="s">
        <v>575</v>
      </c>
      <c r="O2759" t="s">
        <v>737</v>
      </c>
      <c r="P2759" t="s">
        <v>1887</v>
      </c>
      <c r="R2759" t="s">
        <v>148</v>
      </c>
      <c r="S2759" t="s">
        <v>145</v>
      </c>
      <c r="U2759">
        <v>0</v>
      </c>
      <c r="V2759" t="s">
        <v>544</v>
      </c>
      <c r="W2759" t="s">
        <v>542</v>
      </c>
      <c r="X2759" s="784">
        <v>55072006.864440605</v>
      </c>
    </row>
    <row r="2760" spans="1:24">
      <c r="A2760" t="s">
        <v>358</v>
      </c>
      <c r="B2760" t="s">
        <v>627</v>
      </c>
      <c r="C2760" t="s">
        <v>231</v>
      </c>
      <c r="D2760" t="s">
        <v>131</v>
      </c>
      <c r="E2760" t="s">
        <v>377</v>
      </c>
      <c r="F2760" t="s">
        <v>384</v>
      </c>
      <c r="G2760" t="s">
        <v>69</v>
      </c>
      <c r="H2760" t="s">
        <v>749</v>
      </c>
      <c r="I2760">
        <v>2021</v>
      </c>
      <c r="J2760" t="s">
        <v>379</v>
      </c>
      <c r="K2760" t="s">
        <v>546</v>
      </c>
      <c r="L2760" s="784">
        <v>0</v>
      </c>
      <c r="M2760" t="s">
        <v>745</v>
      </c>
      <c r="N2760" s="784" t="s">
        <v>575</v>
      </c>
      <c r="O2760" t="s">
        <v>737</v>
      </c>
      <c r="P2760" t="s">
        <v>1887</v>
      </c>
      <c r="R2760" t="s">
        <v>152</v>
      </c>
      <c r="S2760" t="s">
        <v>146</v>
      </c>
      <c r="U2760">
        <v>0</v>
      </c>
      <c r="V2760" t="s">
        <v>544</v>
      </c>
      <c r="W2760" t="s">
        <v>546</v>
      </c>
      <c r="X2760" s="784" t="s">
        <v>575</v>
      </c>
    </row>
    <row r="2761" spans="1:24">
      <c r="A2761" t="s">
        <v>358</v>
      </c>
      <c r="B2761" t="s">
        <v>628</v>
      </c>
      <c r="C2761" t="s">
        <v>232</v>
      </c>
      <c r="D2761" t="s">
        <v>128</v>
      </c>
      <c r="E2761" t="s">
        <v>377</v>
      </c>
      <c r="F2761" t="s">
        <v>384</v>
      </c>
      <c r="G2761" t="s">
        <v>69</v>
      </c>
      <c r="H2761" t="s">
        <v>749</v>
      </c>
      <c r="I2761">
        <v>2021</v>
      </c>
      <c r="J2761" t="s">
        <v>379</v>
      </c>
      <c r="K2761" t="s">
        <v>546</v>
      </c>
      <c r="L2761" s="784">
        <v>0</v>
      </c>
      <c r="M2761" t="s">
        <v>745</v>
      </c>
      <c r="N2761" s="784" t="s">
        <v>575</v>
      </c>
      <c r="O2761" t="s">
        <v>737</v>
      </c>
      <c r="P2761" t="s">
        <v>1887</v>
      </c>
      <c r="R2761" t="s">
        <v>148</v>
      </c>
      <c r="S2761" t="s">
        <v>145</v>
      </c>
      <c r="U2761">
        <v>2</v>
      </c>
      <c r="V2761" t="s">
        <v>544</v>
      </c>
      <c r="W2761" t="s">
        <v>562</v>
      </c>
      <c r="X2761" s="784">
        <v>206914157.05429548</v>
      </c>
    </row>
    <row r="2762" spans="1:24">
      <c r="A2762" t="s">
        <v>358</v>
      </c>
      <c r="B2762" t="s">
        <v>629</v>
      </c>
      <c r="C2762" t="s">
        <v>233</v>
      </c>
      <c r="D2762" t="s">
        <v>128</v>
      </c>
      <c r="E2762" t="s">
        <v>377</v>
      </c>
      <c r="F2762" t="s">
        <v>384</v>
      </c>
      <c r="G2762" t="s">
        <v>69</v>
      </c>
      <c r="H2762" t="s">
        <v>749</v>
      </c>
      <c r="I2762">
        <v>2021</v>
      </c>
      <c r="J2762" t="s">
        <v>379</v>
      </c>
      <c r="K2762" t="s">
        <v>546</v>
      </c>
      <c r="L2762" s="784">
        <v>0</v>
      </c>
      <c r="M2762" t="s">
        <v>745</v>
      </c>
      <c r="N2762" s="784" t="s">
        <v>575</v>
      </c>
      <c r="O2762" t="s">
        <v>737</v>
      </c>
      <c r="P2762" t="s">
        <v>1887</v>
      </c>
      <c r="R2762" t="s">
        <v>148</v>
      </c>
      <c r="S2762" t="s">
        <v>145</v>
      </c>
      <c r="U2762">
        <v>2</v>
      </c>
      <c r="V2762" t="s">
        <v>544</v>
      </c>
      <c r="W2762" t="s">
        <v>542</v>
      </c>
      <c r="X2762" s="784">
        <v>185999915.02066413</v>
      </c>
    </row>
    <row r="2763" spans="1:24">
      <c r="A2763" t="s">
        <v>358</v>
      </c>
      <c r="B2763" t="s">
        <v>630</v>
      </c>
      <c r="C2763" t="s">
        <v>234</v>
      </c>
      <c r="D2763" t="s">
        <v>126</v>
      </c>
      <c r="E2763" t="s">
        <v>377</v>
      </c>
      <c r="F2763" t="s">
        <v>384</v>
      </c>
      <c r="G2763" t="s">
        <v>69</v>
      </c>
      <c r="H2763" t="s">
        <v>749</v>
      </c>
      <c r="I2763">
        <v>2021</v>
      </c>
      <c r="J2763" t="s">
        <v>379</v>
      </c>
      <c r="K2763" t="s">
        <v>546</v>
      </c>
      <c r="L2763" s="784">
        <v>0</v>
      </c>
      <c r="M2763" t="s">
        <v>745</v>
      </c>
      <c r="N2763" s="784" t="s">
        <v>575</v>
      </c>
      <c r="O2763" t="s">
        <v>737</v>
      </c>
      <c r="P2763" t="s">
        <v>1887</v>
      </c>
      <c r="R2763" t="s">
        <v>152</v>
      </c>
      <c r="S2763" t="s">
        <v>146</v>
      </c>
      <c r="U2763">
        <v>0</v>
      </c>
      <c r="V2763" t="s">
        <v>544</v>
      </c>
      <c r="W2763" t="s">
        <v>575</v>
      </c>
      <c r="X2763" s="784">
        <v>6893755763.2501726</v>
      </c>
    </row>
    <row r="2764" spans="1:24">
      <c r="A2764" t="s">
        <v>358</v>
      </c>
      <c r="B2764" t="s">
        <v>631</v>
      </c>
      <c r="C2764" t="s">
        <v>235</v>
      </c>
      <c r="D2764" t="s">
        <v>132</v>
      </c>
      <c r="E2764" t="s">
        <v>377</v>
      </c>
      <c r="F2764" t="s">
        <v>384</v>
      </c>
      <c r="G2764" t="s">
        <v>69</v>
      </c>
      <c r="H2764" t="s">
        <v>749</v>
      </c>
      <c r="I2764">
        <v>2021</v>
      </c>
      <c r="J2764" t="s">
        <v>379</v>
      </c>
      <c r="K2764" t="s">
        <v>546</v>
      </c>
      <c r="L2764" s="784">
        <v>0</v>
      </c>
      <c r="M2764" t="s">
        <v>745</v>
      </c>
      <c r="N2764" s="784" t="s">
        <v>575</v>
      </c>
      <c r="O2764" t="s">
        <v>737</v>
      </c>
      <c r="P2764" t="s">
        <v>1887</v>
      </c>
      <c r="R2764" t="s">
        <v>152</v>
      </c>
      <c r="S2764" t="s">
        <v>145</v>
      </c>
      <c r="U2764">
        <v>0</v>
      </c>
      <c r="V2764" t="s">
        <v>541</v>
      </c>
      <c r="W2764" t="s">
        <v>542</v>
      </c>
      <c r="X2764" s="784">
        <v>354560231.58276606</v>
      </c>
    </row>
    <row r="2765" spans="1:24">
      <c r="A2765" t="s">
        <v>358</v>
      </c>
      <c r="B2765" t="s">
        <v>632</v>
      </c>
      <c r="C2765" t="s">
        <v>236</v>
      </c>
      <c r="D2765" t="s">
        <v>129</v>
      </c>
      <c r="E2765" t="s">
        <v>377</v>
      </c>
      <c r="F2765" t="s">
        <v>384</v>
      </c>
      <c r="G2765" t="s">
        <v>69</v>
      </c>
      <c r="H2765" t="s">
        <v>749</v>
      </c>
      <c r="I2765">
        <v>2021</v>
      </c>
      <c r="J2765" t="s">
        <v>379</v>
      </c>
      <c r="K2765" t="s">
        <v>546</v>
      </c>
      <c r="L2765" s="784">
        <v>0</v>
      </c>
      <c r="M2765" t="s">
        <v>745</v>
      </c>
      <c r="N2765" s="784" t="s">
        <v>575</v>
      </c>
      <c r="O2765" t="s">
        <v>737</v>
      </c>
      <c r="P2765" t="s">
        <v>1887</v>
      </c>
      <c r="R2765" t="s">
        <v>148</v>
      </c>
      <c r="S2765" t="s">
        <v>145</v>
      </c>
      <c r="U2765">
        <v>1</v>
      </c>
      <c r="V2765" t="s">
        <v>544</v>
      </c>
      <c r="W2765" t="s">
        <v>562</v>
      </c>
      <c r="X2765" s="784">
        <v>188169167.56540567</v>
      </c>
    </row>
    <row r="2766" spans="1:24">
      <c r="A2766" t="s">
        <v>358</v>
      </c>
      <c r="B2766" t="s">
        <v>633</v>
      </c>
      <c r="C2766" t="s">
        <v>237</v>
      </c>
      <c r="D2766" t="s">
        <v>126</v>
      </c>
      <c r="E2766" t="s">
        <v>377</v>
      </c>
      <c r="F2766" t="s">
        <v>384</v>
      </c>
      <c r="G2766" t="s">
        <v>69</v>
      </c>
      <c r="H2766" t="s">
        <v>749</v>
      </c>
      <c r="I2766">
        <v>2021</v>
      </c>
      <c r="J2766" t="s">
        <v>379</v>
      </c>
      <c r="K2766" t="s">
        <v>546</v>
      </c>
      <c r="L2766" s="784">
        <v>0</v>
      </c>
      <c r="M2766" t="s">
        <v>745</v>
      </c>
      <c r="N2766" s="784" t="s">
        <v>575</v>
      </c>
      <c r="O2766" t="s">
        <v>737</v>
      </c>
      <c r="P2766" t="s">
        <v>1887</v>
      </c>
      <c r="R2766" t="s">
        <v>152</v>
      </c>
      <c r="S2766" t="s">
        <v>145</v>
      </c>
      <c r="U2766">
        <v>0</v>
      </c>
      <c r="V2766" t="s">
        <v>541</v>
      </c>
      <c r="W2766" t="s">
        <v>575</v>
      </c>
      <c r="X2766" s="784">
        <v>16312106.556340856</v>
      </c>
    </row>
    <row r="2767" spans="1:24">
      <c r="A2767" t="s">
        <v>358</v>
      </c>
      <c r="B2767" t="s">
        <v>634</v>
      </c>
      <c r="C2767" t="s">
        <v>238</v>
      </c>
      <c r="D2767" t="s">
        <v>129</v>
      </c>
      <c r="E2767" t="s">
        <v>377</v>
      </c>
      <c r="F2767" t="s">
        <v>384</v>
      </c>
      <c r="G2767" t="s">
        <v>69</v>
      </c>
      <c r="H2767" t="s">
        <v>749</v>
      </c>
      <c r="I2767">
        <v>2021</v>
      </c>
      <c r="J2767" t="s">
        <v>379</v>
      </c>
      <c r="K2767" t="s">
        <v>546</v>
      </c>
      <c r="L2767" s="784">
        <v>0</v>
      </c>
      <c r="M2767" t="s">
        <v>745</v>
      </c>
      <c r="N2767" s="784" t="s">
        <v>575</v>
      </c>
      <c r="O2767" t="s">
        <v>737</v>
      </c>
      <c r="P2767" t="s">
        <v>1887</v>
      </c>
      <c r="R2767" t="s">
        <v>150</v>
      </c>
      <c r="S2767" t="s">
        <v>145</v>
      </c>
      <c r="U2767">
        <v>2</v>
      </c>
      <c r="V2767" t="s">
        <v>544</v>
      </c>
      <c r="W2767" t="s">
        <v>542</v>
      </c>
      <c r="X2767" s="784">
        <v>86083833.534053758</v>
      </c>
    </row>
    <row r="2768" spans="1:24">
      <c r="A2768" t="s">
        <v>358</v>
      </c>
      <c r="B2768" t="s">
        <v>635</v>
      </c>
      <c r="C2768" t="s">
        <v>239</v>
      </c>
      <c r="D2768" t="s">
        <v>128</v>
      </c>
      <c r="E2768" t="s">
        <v>377</v>
      </c>
      <c r="F2768" t="s">
        <v>384</v>
      </c>
      <c r="G2768" t="s">
        <v>69</v>
      </c>
      <c r="H2768" t="s">
        <v>749</v>
      </c>
      <c r="I2768">
        <v>2021</v>
      </c>
      <c r="J2768" t="s">
        <v>379</v>
      </c>
      <c r="K2768" t="s">
        <v>546</v>
      </c>
      <c r="L2768" s="784">
        <v>0</v>
      </c>
      <c r="M2768" t="s">
        <v>745</v>
      </c>
      <c r="N2768" s="784" t="s">
        <v>575</v>
      </c>
      <c r="O2768" t="s">
        <v>737</v>
      </c>
      <c r="P2768" t="s">
        <v>1887</v>
      </c>
      <c r="R2768" t="s">
        <v>152</v>
      </c>
      <c r="S2768" t="s">
        <v>146</v>
      </c>
      <c r="U2768">
        <v>0</v>
      </c>
      <c r="V2768" t="s">
        <v>541</v>
      </c>
      <c r="W2768" t="s">
        <v>546</v>
      </c>
      <c r="X2768" s="784">
        <v>357220835.93762809</v>
      </c>
    </row>
    <row r="2769" spans="1:24">
      <c r="A2769" t="s">
        <v>358</v>
      </c>
      <c r="B2769" t="s">
        <v>636</v>
      </c>
      <c r="C2769" t="s">
        <v>240</v>
      </c>
      <c r="D2769" t="s">
        <v>130</v>
      </c>
      <c r="E2769" t="s">
        <v>377</v>
      </c>
      <c r="F2769" t="s">
        <v>384</v>
      </c>
      <c r="G2769" t="s">
        <v>69</v>
      </c>
      <c r="H2769" t="s">
        <v>749</v>
      </c>
      <c r="I2769">
        <v>2021</v>
      </c>
      <c r="J2769" t="s">
        <v>379</v>
      </c>
      <c r="K2769" t="s">
        <v>546</v>
      </c>
      <c r="L2769" s="784">
        <v>0</v>
      </c>
      <c r="M2769" t="s">
        <v>745</v>
      </c>
      <c r="N2769" s="784" t="s">
        <v>575</v>
      </c>
      <c r="O2769" t="s">
        <v>737</v>
      </c>
      <c r="P2769" t="s">
        <v>1887</v>
      </c>
      <c r="R2769" t="s">
        <v>152</v>
      </c>
      <c r="S2769" t="s">
        <v>146</v>
      </c>
      <c r="U2769">
        <v>0</v>
      </c>
      <c r="V2769" t="s">
        <v>544</v>
      </c>
      <c r="W2769" t="s">
        <v>575</v>
      </c>
      <c r="X2769" s="784">
        <v>32831598153.796387</v>
      </c>
    </row>
    <row r="2770" spans="1:24">
      <c r="A2770" t="s">
        <v>358</v>
      </c>
      <c r="B2770" t="s">
        <v>637</v>
      </c>
      <c r="C2770" t="s">
        <v>241</v>
      </c>
      <c r="D2770" t="s">
        <v>126</v>
      </c>
      <c r="E2770" t="s">
        <v>377</v>
      </c>
      <c r="F2770" t="s">
        <v>384</v>
      </c>
      <c r="G2770" t="s">
        <v>69</v>
      </c>
      <c r="H2770" t="s">
        <v>749</v>
      </c>
      <c r="I2770">
        <v>2021</v>
      </c>
      <c r="J2770" t="s">
        <v>379</v>
      </c>
      <c r="K2770" t="s">
        <v>546</v>
      </c>
      <c r="L2770" s="784">
        <v>0</v>
      </c>
      <c r="M2770" t="s">
        <v>745</v>
      </c>
      <c r="N2770" s="784" t="s">
        <v>575</v>
      </c>
      <c r="O2770" t="s">
        <v>737</v>
      </c>
      <c r="P2770" t="s">
        <v>1887</v>
      </c>
      <c r="R2770" t="s">
        <v>150</v>
      </c>
      <c r="S2770" t="s">
        <v>145</v>
      </c>
      <c r="U2770">
        <v>0</v>
      </c>
      <c r="V2770" t="s">
        <v>541</v>
      </c>
      <c r="W2770" t="s">
        <v>542</v>
      </c>
      <c r="X2770" s="784">
        <v>12329056.093798399</v>
      </c>
    </row>
    <row r="2771" spans="1:24">
      <c r="A2771" t="s">
        <v>358</v>
      </c>
      <c r="B2771" t="s">
        <v>638</v>
      </c>
      <c r="C2771" t="s">
        <v>242</v>
      </c>
      <c r="D2771" t="s">
        <v>127</v>
      </c>
      <c r="E2771" t="s">
        <v>377</v>
      </c>
      <c r="F2771" t="s">
        <v>384</v>
      </c>
      <c r="G2771" t="s">
        <v>69</v>
      </c>
      <c r="H2771" t="s">
        <v>749</v>
      </c>
      <c r="I2771">
        <v>2021</v>
      </c>
      <c r="J2771" t="s">
        <v>379</v>
      </c>
      <c r="K2771" t="s">
        <v>546</v>
      </c>
      <c r="L2771" s="784">
        <v>0</v>
      </c>
      <c r="M2771" t="s">
        <v>745</v>
      </c>
      <c r="N2771" s="784" t="s">
        <v>575</v>
      </c>
      <c r="O2771" t="s">
        <v>737</v>
      </c>
      <c r="P2771" t="s">
        <v>1887</v>
      </c>
      <c r="R2771" t="s">
        <v>152</v>
      </c>
      <c r="S2771" t="s">
        <v>145</v>
      </c>
      <c r="U2771">
        <v>0</v>
      </c>
      <c r="V2771" t="s">
        <v>544</v>
      </c>
      <c r="W2771" t="s">
        <v>558</v>
      </c>
      <c r="X2771" s="784">
        <v>426639742.85328001</v>
      </c>
    </row>
    <row r="2772" spans="1:24">
      <c r="A2772" t="s">
        <v>358</v>
      </c>
      <c r="B2772" t="s">
        <v>639</v>
      </c>
      <c r="C2772" t="s">
        <v>243</v>
      </c>
      <c r="D2772" t="s">
        <v>126</v>
      </c>
      <c r="E2772" t="s">
        <v>377</v>
      </c>
      <c r="F2772" t="s">
        <v>384</v>
      </c>
      <c r="G2772" t="s">
        <v>69</v>
      </c>
      <c r="H2772" t="s">
        <v>749</v>
      </c>
      <c r="I2772">
        <v>2021</v>
      </c>
      <c r="J2772" t="s">
        <v>379</v>
      </c>
      <c r="K2772" t="s">
        <v>546</v>
      </c>
      <c r="L2772" s="784">
        <v>0</v>
      </c>
      <c r="M2772" t="s">
        <v>745</v>
      </c>
      <c r="N2772" s="784" t="s">
        <v>575</v>
      </c>
      <c r="O2772" t="s">
        <v>737</v>
      </c>
      <c r="P2772" t="s">
        <v>1887</v>
      </c>
      <c r="R2772" t="s">
        <v>150</v>
      </c>
      <c r="S2772" t="s">
        <v>145</v>
      </c>
      <c r="U2772">
        <v>0</v>
      </c>
      <c r="V2772" t="s">
        <v>544</v>
      </c>
      <c r="W2772" t="s">
        <v>548</v>
      </c>
      <c r="X2772" s="784">
        <v>288519671.85870522</v>
      </c>
    </row>
    <row r="2773" spans="1:24">
      <c r="A2773" t="s">
        <v>358</v>
      </c>
      <c r="B2773" t="s">
        <v>640</v>
      </c>
      <c r="C2773" t="s">
        <v>244</v>
      </c>
      <c r="D2773" t="s">
        <v>127</v>
      </c>
      <c r="E2773" t="s">
        <v>377</v>
      </c>
      <c r="F2773" t="s">
        <v>384</v>
      </c>
      <c r="G2773" t="s">
        <v>69</v>
      </c>
      <c r="H2773" t="s">
        <v>749</v>
      </c>
      <c r="I2773">
        <v>2021</v>
      </c>
      <c r="J2773" t="s">
        <v>379</v>
      </c>
      <c r="K2773" t="s">
        <v>546</v>
      </c>
      <c r="L2773" s="784">
        <v>0</v>
      </c>
      <c r="M2773" t="s">
        <v>745</v>
      </c>
      <c r="N2773" s="784" t="s">
        <v>575</v>
      </c>
      <c r="O2773" t="s">
        <v>737</v>
      </c>
      <c r="P2773" t="s">
        <v>1887</v>
      </c>
      <c r="R2773" t="s">
        <v>152</v>
      </c>
      <c r="S2773" t="s">
        <v>146</v>
      </c>
      <c r="U2773">
        <v>0</v>
      </c>
      <c r="V2773" t="s">
        <v>544</v>
      </c>
      <c r="W2773" t="s">
        <v>546</v>
      </c>
      <c r="X2773" s="784">
        <v>275606560.78491527</v>
      </c>
    </row>
    <row r="2774" spans="1:24">
      <c r="A2774" t="s">
        <v>358</v>
      </c>
      <c r="B2774" t="s">
        <v>641</v>
      </c>
      <c r="C2774" t="s">
        <v>245</v>
      </c>
      <c r="D2774" t="s">
        <v>131</v>
      </c>
      <c r="E2774" t="s">
        <v>377</v>
      </c>
      <c r="F2774" t="s">
        <v>384</v>
      </c>
      <c r="G2774" t="s">
        <v>69</v>
      </c>
      <c r="H2774" t="s">
        <v>749</v>
      </c>
      <c r="I2774">
        <v>2021</v>
      </c>
      <c r="J2774" t="s">
        <v>379</v>
      </c>
      <c r="K2774" t="s">
        <v>546</v>
      </c>
      <c r="L2774" s="784">
        <v>0</v>
      </c>
      <c r="M2774" t="s">
        <v>745</v>
      </c>
      <c r="N2774" s="784" t="s">
        <v>575</v>
      </c>
      <c r="O2774" t="s">
        <v>737</v>
      </c>
      <c r="P2774" t="s">
        <v>1887</v>
      </c>
      <c r="R2774" t="s">
        <v>150</v>
      </c>
      <c r="S2774" t="s">
        <v>145</v>
      </c>
      <c r="U2774">
        <v>0</v>
      </c>
      <c r="V2774" t="s">
        <v>544</v>
      </c>
      <c r="W2774" t="s">
        <v>546</v>
      </c>
      <c r="X2774" s="784">
        <v>2530937679.3725696</v>
      </c>
    </row>
    <row r="2775" spans="1:24">
      <c r="A2775" t="s">
        <v>358</v>
      </c>
      <c r="B2775" t="s">
        <v>642</v>
      </c>
      <c r="C2775" t="s">
        <v>246</v>
      </c>
      <c r="D2775" t="s">
        <v>128</v>
      </c>
      <c r="E2775" t="s">
        <v>377</v>
      </c>
      <c r="F2775" t="s">
        <v>384</v>
      </c>
      <c r="G2775" t="s">
        <v>69</v>
      </c>
      <c r="H2775" t="s">
        <v>749</v>
      </c>
      <c r="I2775">
        <v>2021</v>
      </c>
      <c r="J2775" t="s">
        <v>379</v>
      </c>
      <c r="K2775" t="s">
        <v>546</v>
      </c>
      <c r="L2775" s="784">
        <v>0</v>
      </c>
      <c r="M2775" t="s">
        <v>745</v>
      </c>
      <c r="N2775" s="784" t="s">
        <v>575</v>
      </c>
      <c r="O2775" t="s">
        <v>737</v>
      </c>
      <c r="P2775" t="s">
        <v>1887</v>
      </c>
      <c r="R2775" t="s">
        <v>148</v>
      </c>
      <c r="S2775" t="s">
        <v>145</v>
      </c>
      <c r="U2775">
        <v>0</v>
      </c>
      <c r="V2775" t="s">
        <v>544</v>
      </c>
      <c r="W2775" t="s">
        <v>583</v>
      </c>
      <c r="X2775" s="784">
        <v>251432156.86255455</v>
      </c>
    </row>
    <row r="2776" spans="1:24">
      <c r="A2776" t="s">
        <v>358</v>
      </c>
      <c r="B2776" t="s">
        <v>643</v>
      </c>
      <c r="C2776" t="s">
        <v>247</v>
      </c>
      <c r="D2776" t="s">
        <v>126</v>
      </c>
      <c r="E2776" t="s">
        <v>377</v>
      </c>
      <c r="F2776" t="s">
        <v>384</v>
      </c>
      <c r="G2776" t="s">
        <v>69</v>
      </c>
      <c r="H2776" t="s">
        <v>749</v>
      </c>
      <c r="I2776">
        <v>2021</v>
      </c>
      <c r="J2776" t="s">
        <v>379</v>
      </c>
      <c r="K2776" t="s">
        <v>546</v>
      </c>
      <c r="L2776" s="784">
        <v>0</v>
      </c>
      <c r="M2776" t="s">
        <v>745</v>
      </c>
      <c r="N2776" s="784" t="s">
        <v>575</v>
      </c>
      <c r="O2776" t="s">
        <v>737</v>
      </c>
      <c r="P2776" t="s">
        <v>1887</v>
      </c>
      <c r="R2776" t="s">
        <v>150</v>
      </c>
      <c r="S2776" t="s">
        <v>145</v>
      </c>
      <c r="U2776">
        <v>0</v>
      </c>
      <c r="V2776" t="s">
        <v>544</v>
      </c>
      <c r="W2776" t="s">
        <v>558</v>
      </c>
      <c r="X2776" s="784">
        <v>471534500.60109437</v>
      </c>
    </row>
    <row r="2777" spans="1:24">
      <c r="A2777" t="s">
        <v>358</v>
      </c>
      <c r="B2777" t="s">
        <v>644</v>
      </c>
      <c r="C2777" t="s">
        <v>248</v>
      </c>
      <c r="D2777" t="s">
        <v>128</v>
      </c>
      <c r="E2777" t="s">
        <v>377</v>
      </c>
      <c r="F2777" t="s">
        <v>384</v>
      </c>
      <c r="G2777" t="s">
        <v>69</v>
      </c>
      <c r="H2777" t="s">
        <v>749</v>
      </c>
      <c r="I2777">
        <v>2021</v>
      </c>
      <c r="J2777" t="s">
        <v>379</v>
      </c>
      <c r="K2777" t="s">
        <v>546</v>
      </c>
      <c r="L2777" s="784">
        <v>0</v>
      </c>
      <c r="M2777" t="s">
        <v>745</v>
      </c>
      <c r="N2777" s="784" t="s">
        <v>575</v>
      </c>
      <c r="O2777" t="s">
        <v>737</v>
      </c>
      <c r="P2777" t="s">
        <v>1887</v>
      </c>
      <c r="R2777" t="s">
        <v>152</v>
      </c>
      <c r="S2777" t="s">
        <v>146</v>
      </c>
      <c r="U2777">
        <v>0</v>
      </c>
      <c r="V2777" t="s">
        <v>544</v>
      </c>
      <c r="W2777" t="s">
        <v>575</v>
      </c>
      <c r="X2777" s="784">
        <v>531677611.80447447</v>
      </c>
    </row>
    <row r="2778" spans="1:24">
      <c r="A2778" t="s">
        <v>358</v>
      </c>
      <c r="B2778" t="s">
        <v>645</v>
      </c>
      <c r="C2778" t="s">
        <v>249</v>
      </c>
      <c r="D2778" t="s">
        <v>126</v>
      </c>
      <c r="E2778" t="s">
        <v>377</v>
      </c>
      <c r="F2778" t="s">
        <v>384</v>
      </c>
      <c r="G2778" t="s">
        <v>69</v>
      </c>
      <c r="H2778" t="s">
        <v>749</v>
      </c>
      <c r="I2778">
        <v>2021</v>
      </c>
      <c r="J2778" t="s">
        <v>379</v>
      </c>
      <c r="K2778" t="s">
        <v>546</v>
      </c>
      <c r="L2778" s="784">
        <v>0</v>
      </c>
      <c r="M2778" t="s">
        <v>745</v>
      </c>
      <c r="N2778" s="784" t="s">
        <v>575</v>
      </c>
      <c r="O2778" t="s">
        <v>737</v>
      </c>
      <c r="P2778" t="s">
        <v>1887</v>
      </c>
      <c r="R2778" t="s">
        <v>550</v>
      </c>
      <c r="S2778" t="s">
        <v>146</v>
      </c>
      <c r="U2778">
        <v>0</v>
      </c>
      <c r="V2778" t="s">
        <v>541</v>
      </c>
      <c r="W2778" t="s">
        <v>575</v>
      </c>
      <c r="X2778" s="784">
        <v>8528751.6418357007</v>
      </c>
    </row>
    <row r="2779" spans="1:24">
      <c r="A2779" t="s">
        <v>358</v>
      </c>
      <c r="B2779" t="s">
        <v>646</v>
      </c>
      <c r="C2779" t="s">
        <v>250</v>
      </c>
      <c r="D2779" t="s">
        <v>132</v>
      </c>
      <c r="E2779" t="s">
        <v>377</v>
      </c>
      <c r="F2779" t="s">
        <v>384</v>
      </c>
      <c r="G2779" t="s">
        <v>69</v>
      </c>
      <c r="H2779" t="s">
        <v>749</v>
      </c>
      <c r="I2779">
        <v>2021</v>
      </c>
      <c r="J2779" t="s">
        <v>379</v>
      </c>
      <c r="K2779" t="s">
        <v>546</v>
      </c>
      <c r="L2779" s="784">
        <v>0</v>
      </c>
      <c r="M2779" t="s">
        <v>745</v>
      </c>
      <c r="N2779" s="784" t="s">
        <v>575</v>
      </c>
      <c r="O2779" t="s">
        <v>737</v>
      </c>
      <c r="P2779" t="s">
        <v>1887</v>
      </c>
      <c r="R2779" t="s">
        <v>150</v>
      </c>
      <c r="S2779" t="s">
        <v>145</v>
      </c>
      <c r="U2779">
        <v>0</v>
      </c>
      <c r="V2779" t="s">
        <v>544</v>
      </c>
      <c r="W2779" t="s">
        <v>558</v>
      </c>
      <c r="X2779" s="784">
        <v>407084543.19089872</v>
      </c>
    </row>
    <row r="2780" spans="1:24">
      <c r="A2780" t="s">
        <v>358</v>
      </c>
      <c r="B2780" t="s">
        <v>647</v>
      </c>
      <c r="C2780" t="s">
        <v>251</v>
      </c>
      <c r="D2780" t="s">
        <v>130</v>
      </c>
      <c r="E2780" t="s">
        <v>377</v>
      </c>
      <c r="F2780" t="s">
        <v>384</v>
      </c>
      <c r="G2780" t="s">
        <v>69</v>
      </c>
      <c r="H2780" t="s">
        <v>749</v>
      </c>
      <c r="I2780">
        <v>2021</v>
      </c>
      <c r="J2780" t="s">
        <v>379</v>
      </c>
      <c r="K2780" t="s">
        <v>546</v>
      </c>
      <c r="L2780" s="784">
        <v>0</v>
      </c>
      <c r="M2780" t="s">
        <v>745</v>
      </c>
      <c r="N2780" s="784" t="s">
        <v>575</v>
      </c>
      <c r="O2780" t="s">
        <v>737</v>
      </c>
      <c r="P2780" t="s">
        <v>1887</v>
      </c>
      <c r="R2780" t="s">
        <v>150</v>
      </c>
      <c r="S2780" t="s">
        <v>145</v>
      </c>
      <c r="U2780">
        <v>0</v>
      </c>
      <c r="V2780" t="s">
        <v>544</v>
      </c>
      <c r="W2780" t="s">
        <v>562</v>
      </c>
      <c r="X2780" s="784">
        <v>671998341.93592453</v>
      </c>
    </row>
    <row r="2781" spans="1:24">
      <c r="A2781" t="s">
        <v>358</v>
      </c>
      <c r="B2781" t="s">
        <v>648</v>
      </c>
      <c r="C2781" t="s">
        <v>252</v>
      </c>
      <c r="D2781" t="s">
        <v>129</v>
      </c>
      <c r="E2781" t="s">
        <v>377</v>
      </c>
      <c r="F2781" t="s">
        <v>384</v>
      </c>
      <c r="G2781" t="s">
        <v>69</v>
      </c>
      <c r="H2781" t="s">
        <v>749</v>
      </c>
      <c r="I2781">
        <v>2021</v>
      </c>
      <c r="J2781" t="s">
        <v>379</v>
      </c>
      <c r="K2781" t="s">
        <v>546</v>
      </c>
      <c r="L2781" s="784">
        <v>0</v>
      </c>
      <c r="M2781" t="s">
        <v>745</v>
      </c>
      <c r="N2781" s="784" t="s">
        <v>575</v>
      </c>
      <c r="O2781" t="s">
        <v>737</v>
      </c>
      <c r="P2781" t="s">
        <v>1887</v>
      </c>
      <c r="R2781" t="s">
        <v>148</v>
      </c>
      <c r="S2781" t="s">
        <v>145</v>
      </c>
      <c r="U2781">
        <v>1</v>
      </c>
      <c r="V2781" t="s">
        <v>544</v>
      </c>
      <c r="W2781" t="s">
        <v>562</v>
      </c>
      <c r="X2781" s="784">
        <v>226203289.67158964</v>
      </c>
    </row>
    <row r="2782" spans="1:24">
      <c r="A2782" t="s">
        <v>358</v>
      </c>
      <c r="B2782" t="s">
        <v>649</v>
      </c>
      <c r="C2782" t="s">
        <v>253</v>
      </c>
      <c r="D2782" t="s">
        <v>129</v>
      </c>
      <c r="E2782" t="s">
        <v>377</v>
      </c>
      <c r="F2782" t="s">
        <v>384</v>
      </c>
      <c r="G2782" t="s">
        <v>69</v>
      </c>
      <c r="H2782" t="s">
        <v>749</v>
      </c>
      <c r="I2782">
        <v>2021</v>
      </c>
      <c r="J2782" t="s">
        <v>379</v>
      </c>
      <c r="K2782" t="s">
        <v>546</v>
      </c>
      <c r="L2782" s="784">
        <v>0</v>
      </c>
      <c r="M2782" t="s">
        <v>745</v>
      </c>
      <c r="N2782" s="784" t="s">
        <v>575</v>
      </c>
      <c r="O2782" t="s">
        <v>737</v>
      </c>
      <c r="P2782" t="s">
        <v>1887</v>
      </c>
      <c r="R2782" t="s">
        <v>150</v>
      </c>
      <c r="S2782" t="s">
        <v>145</v>
      </c>
      <c r="U2782">
        <v>3</v>
      </c>
      <c r="V2782" t="s">
        <v>544</v>
      </c>
      <c r="W2782" t="s">
        <v>548</v>
      </c>
      <c r="X2782" s="784">
        <v>2438881113.1244688</v>
      </c>
    </row>
    <row r="2783" spans="1:24">
      <c r="A2783" t="s">
        <v>358</v>
      </c>
      <c r="B2783" t="s">
        <v>650</v>
      </c>
      <c r="C2783" t="s">
        <v>254</v>
      </c>
      <c r="D2783" t="s">
        <v>127</v>
      </c>
      <c r="E2783" t="s">
        <v>377</v>
      </c>
      <c r="F2783" t="s">
        <v>384</v>
      </c>
      <c r="G2783" t="s">
        <v>69</v>
      </c>
      <c r="H2783" t="s">
        <v>749</v>
      </c>
      <c r="I2783">
        <v>2021</v>
      </c>
      <c r="J2783" t="s">
        <v>379</v>
      </c>
      <c r="K2783" t="s">
        <v>546</v>
      </c>
      <c r="L2783" s="784">
        <v>0</v>
      </c>
      <c r="M2783" t="s">
        <v>745</v>
      </c>
      <c r="N2783" s="784" t="s">
        <v>575</v>
      </c>
      <c r="O2783" t="s">
        <v>737</v>
      </c>
      <c r="P2783" t="s">
        <v>1887</v>
      </c>
      <c r="R2783" t="s">
        <v>152</v>
      </c>
      <c r="S2783" t="s">
        <v>146</v>
      </c>
      <c r="U2783">
        <v>0</v>
      </c>
      <c r="V2783" t="s">
        <v>544</v>
      </c>
      <c r="W2783" t="s">
        <v>575</v>
      </c>
      <c r="X2783" s="784">
        <v>476517795.73174149</v>
      </c>
    </row>
    <row r="2784" spans="1:24">
      <c r="A2784" t="s">
        <v>358</v>
      </c>
      <c r="B2784" t="s">
        <v>651</v>
      </c>
      <c r="C2784" t="s">
        <v>255</v>
      </c>
      <c r="D2784" t="s">
        <v>132</v>
      </c>
      <c r="E2784" t="s">
        <v>377</v>
      </c>
      <c r="F2784" t="s">
        <v>384</v>
      </c>
      <c r="G2784" t="s">
        <v>69</v>
      </c>
      <c r="H2784" t="s">
        <v>749</v>
      </c>
      <c r="I2784">
        <v>2021</v>
      </c>
      <c r="J2784" t="s">
        <v>379</v>
      </c>
      <c r="K2784" t="s">
        <v>546</v>
      </c>
      <c r="L2784" s="784">
        <v>0</v>
      </c>
      <c r="M2784" t="s">
        <v>745</v>
      </c>
      <c r="N2784" s="784" t="s">
        <v>575</v>
      </c>
      <c r="O2784" t="s">
        <v>737</v>
      </c>
      <c r="P2784" t="s">
        <v>1887</v>
      </c>
      <c r="R2784" t="s">
        <v>150</v>
      </c>
      <c r="S2784" t="s">
        <v>145</v>
      </c>
      <c r="U2784">
        <v>0</v>
      </c>
      <c r="V2784" t="s">
        <v>544</v>
      </c>
      <c r="W2784" t="s">
        <v>548</v>
      </c>
      <c r="X2784" s="784">
        <v>3233351297.7679496</v>
      </c>
    </row>
    <row r="2785" spans="1:24">
      <c r="A2785" t="s">
        <v>358</v>
      </c>
      <c r="B2785" t="s">
        <v>652</v>
      </c>
      <c r="C2785" t="s">
        <v>256</v>
      </c>
      <c r="D2785" t="s">
        <v>130</v>
      </c>
      <c r="E2785" t="s">
        <v>377</v>
      </c>
      <c r="F2785" t="s">
        <v>384</v>
      </c>
      <c r="G2785" t="s">
        <v>69</v>
      </c>
      <c r="H2785" t="s">
        <v>749</v>
      </c>
      <c r="I2785">
        <v>2021</v>
      </c>
      <c r="J2785" t="s">
        <v>379</v>
      </c>
      <c r="K2785" t="s">
        <v>546</v>
      </c>
      <c r="L2785" s="784">
        <v>0</v>
      </c>
      <c r="M2785" t="s">
        <v>745</v>
      </c>
      <c r="N2785" s="784" t="s">
        <v>575</v>
      </c>
      <c r="O2785" t="s">
        <v>737</v>
      </c>
      <c r="P2785" t="s">
        <v>1887</v>
      </c>
      <c r="R2785" t="s">
        <v>550</v>
      </c>
      <c r="S2785" t="s">
        <v>146</v>
      </c>
      <c r="U2785">
        <v>0</v>
      </c>
      <c r="V2785" t="s">
        <v>541</v>
      </c>
      <c r="W2785" t="s">
        <v>575</v>
      </c>
      <c r="X2785" s="784">
        <v>18180646.808608256</v>
      </c>
    </row>
    <row r="2786" spans="1:24">
      <c r="A2786" t="s">
        <v>358</v>
      </c>
      <c r="B2786" t="s">
        <v>653</v>
      </c>
      <c r="C2786" t="s">
        <v>257</v>
      </c>
      <c r="D2786" t="s">
        <v>130</v>
      </c>
      <c r="E2786" t="s">
        <v>377</v>
      </c>
      <c r="F2786" t="s">
        <v>384</v>
      </c>
      <c r="G2786" t="s">
        <v>69</v>
      </c>
      <c r="H2786" t="s">
        <v>749</v>
      </c>
      <c r="I2786">
        <v>2021</v>
      </c>
      <c r="J2786" t="s">
        <v>379</v>
      </c>
      <c r="K2786" t="s">
        <v>546</v>
      </c>
      <c r="L2786" s="784">
        <v>0</v>
      </c>
      <c r="M2786" t="s">
        <v>745</v>
      </c>
      <c r="N2786" s="784" t="s">
        <v>575</v>
      </c>
      <c r="O2786" t="s">
        <v>737</v>
      </c>
      <c r="P2786" t="s">
        <v>1887</v>
      </c>
      <c r="R2786" t="s">
        <v>152</v>
      </c>
      <c r="S2786" t="s">
        <v>146</v>
      </c>
      <c r="U2786">
        <v>0</v>
      </c>
      <c r="V2786" t="s">
        <v>544</v>
      </c>
      <c r="W2786" t="s">
        <v>546</v>
      </c>
      <c r="X2786" s="784">
        <v>3020530707.3485303</v>
      </c>
    </row>
    <row r="2787" spans="1:24">
      <c r="A2787" t="s">
        <v>358</v>
      </c>
      <c r="B2787" t="s">
        <v>654</v>
      </c>
      <c r="C2787" t="s">
        <v>258</v>
      </c>
      <c r="D2787" t="s">
        <v>126</v>
      </c>
      <c r="E2787" t="s">
        <v>377</v>
      </c>
      <c r="F2787" t="s">
        <v>384</v>
      </c>
      <c r="G2787" t="s">
        <v>69</v>
      </c>
      <c r="H2787" t="s">
        <v>749</v>
      </c>
      <c r="I2787">
        <v>2021</v>
      </c>
      <c r="J2787" t="s">
        <v>379</v>
      </c>
      <c r="K2787" t="s">
        <v>546</v>
      </c>
      <c r="L2787" s="784">
        <v>0</v>
      </c>
      <c r="M2787" t="s">
        <v>745</v>
      </c>
      <c r="N2787" s="784" t="s">
        <v>575</v>
      </c>
      <c r="O2787" t="s">
        <v>737</v>
      </c>
      <c r="P2787" t="s">
        <v>1887</v>
      </c>
      <c r="R2787" t="s">
        <v>150</v>
      </c>
      <c r="S2787" t="s">
        <v>145</v>
      </c>
      <c r="U2787">
        <v>1</v>
      </c>
      <c r="V2787" t="s">
        <v>541</v>
      </c>
      <c r="W2787" t="s">
        <v>542</v>
      </c>
      <c r="X2787" s="784">
        <v>384406316.46074712</v>
      </c>
    </row>
    <row r="2788" spans="1:24">
      <c r="A2788" t="s">
        <v>358</v>
      </c>
      <c r="B2788" t="s">
        <v>655</v>
      </c>
      <c r="C2788" t="s">
        <v>259</v>
      </c>
      <c r="D2788" t="s">
        <v>130</v>
      </c>
      <c r="E2788" t="s">
        <v>377</v>
      </c>
      <c r="F2788" t="s">
        <v>384</v>
      </c>
      <c r="G2788" t="s">
        <v>69</v>
      </c>
      <c r="H2788" t="s">
        <v>749</v>
      </c>
      <c r="I2788">
        <v>2021</v>
      </c>
      <c r="J2788" t="s">
        <v>379</v>
      </c>
      <c r="K2788" t="s">
        <v>546</v>
      </c>
      <c r="L2788" s="784">
        <v>0</v>
      </c>
      <c r="M2788" t="s">
        <v>745</v>
      </c>
      <c r="N2788" s="784" t="s">
        <v>575</v>
      </c>
      <c r="O2788" t="s">
        <v>737</v>
      </c>
      <c r="P2788" t="s">
        <v>1887</v>
      </c>
      <c r="R2788" t="s">
        <v>152</v>
      </c>
      <c r="S2788" t="s">
        <v>146</v>
      </c>
      <c r="U2788">
        <v>0</v>
      </c>
      <c r="V2788" t="s">
        <v>544</v>
      </c>
      <c r="W2788" t="s">
        <v>575</v>
      </c>
      <c r="X2788" s="784">
        <v>1218747108.9554784</v>
      </c>
    </row>
    <row r="2789" spans="1:24">
      <c r="A2789" t="s">
        <v>358</v>
      </c>
      <c r="B2789" t="s">
        <v>656</v>
      </c>
      <c r="C2789" t="s">
        <v>260</v>
      </c>
      <c r="D2789" t="s">
        <v>130</v>
      </c>
      <c r="E2789" t="s">
        <v>377</v>
      </c>
      <c r="F2789" t="s">
        <v>384</v>
      </c>
      <c r="G2789" t="s">
        <v>69</v>
      </c>
      <c r="H2789" t="s">
        <v>749</v>
      </c>
      <c r="I2789">
        <v>2021</v>
      </c>
      <c r="J2789" t="s">
        <v>379</v>
      </c>
      <c r="K2789" t="s">
        <v>546</v>
      </c>
      <c r="L2789" s="784">
        <v>0</v>
      </c>
      <c r="M2789" t="s">
        <v>745</v>
      </c>
      <c r="N2789" s="784" t="s">
        <v>575</v>
      </c>
      <c r="O2789" t="s">
        <v>737</v>
      </c>
      <c r="P2789" t="s">
        <v>1887</v>
      </c>
      <c r="R2789" t="s">
        <v>152</v>
      </c>
      <c r="S2789" t="s">
        <v>146</v>
      </c>
      <c r="U2789">
        <v>0</v>
      </c>
      <c r="V2789" t="s">
        <v>544</v>
      </c>
      <c r="W2789" t="s">
        <v>575</v>
      </c>
      <c r="X2789" s="784">
        <v>7392665952.5895758</v>
      </c>
    </row>
    <row r="2790" spans="1:24">
      <c r="A2790" t="s">
        <v>358</v>
      </c>
      <c r="B2790" t="s">
        <v>657</v>
      </c>
      <c r="C2790" t="s">
        <v>261</v>
      </c>
      <c r="D2790" t="s">
        <v>126</v>
      </c>
      <c r="E2790" t="s">
        <v>377</v>
      </c>
      <c r="F2790" t="s">
        <v>384</v>
      </c>
      <c r="G2790" t="s">
        <v>69</v>
      </c>
      <c r="H2790" t="s">
        <v>749</v>
      </c>
      <c r="I2790">
        <v>2021</v>
      </c>
      <c r="J2790" t="s">
        <v>379</v>
      </c>
      <c r="K2790" t="s">
        <v>546</v>
      </c>
      <c r="L2790" s="784">
        <v>0</v>
      </c>
      <c r="M2790" t="s">
        <v>745</v>
      </c>
      <c r="N2790" s="784" t="s">
        <v>575</v>
      </c>
      <c r="O2790" t="s">
        <v>737</v>
      </c>
      <c r="P2790" t="s">
        <v>1887</v>
      </c>
      <c r="R2790" t="s">
        <v>150</v>
      </c>
      <c r="S2790" t="s">
        <v>145</v>
      </c>
      <c r="U2790">
        <v>0</v>
      </c>
      <c r="V2790" t="s">
        <v>544</v>
      </c>
      <c r="W2790" t="s">
        <v>546</v>
      </c>
      <c r="X2790" s="784">
        <v>4754985988.6004429</v>
      </c>
    </row>
    <row r="2791" spans="1:24">
      <c r="A2791" t="s">
        <v>358</v>
      </c>
      <c r="B2791" t="s">
        <v>658</v>
      </c>
      <c r="C2791" t="s">
        <v>262</v>
      </c>
      <c r="D2791" t="s">
        <v>127</v>
      </c>
      <c r="E2791" t="s">
        <v>377</v>
      </c>
      <c r="F2791" t="s">
        <v>384</v>
      </c>
      <c r="G2791" t="s">
        <v>69</v>
      </c>
      <c r="H2791" t="s">
        <v>749</v>
      </c>
      <c r="I2791">
        <v>2021</v>
      </c>
      <c r="J2791" t="s">
        <v>379</v>
      </c>
      <c r="K2791" t="s">
        <v>546</v>
      </c>
      <c r="L2791" s="784">
        <v>0</v>
      </c>
      <c r="M2791" t="s">
        <v>745</v>
      </c>
      <c r="N2791" s="784" t="s">
        <v>575</v>
      </c>
      <c r="O2791" t="s">
        <v>737</v>
      </c>
      <c r="P2791" t="s">
        <v>1887</v>
      </c>
      <c r="R2791" t="s">
        <v>550</v>
      </c>
      <c r="S2791" t="s">
        <v>146</v>
      </c>
      <c r="U2791">
        <v>0</v>
      </c>
      <c r="V2791" t="s">
        <v>544</v>
      </c>
      <c r="W2791" t="s">
        <v>575</v>
      </c>
      <c r="X2791" s="784">
        <v>26422210443.037273</v>
      </c>
    </row>
    <row r="2792" spans="1:24">
      <c r="A2792" t="s">
        <v>358</v>
      </c>
      <c r="B2792" t="s">
        <v>659</v>
      </c>
      <c r="C2792" t="s">
        <v>151</v>
      </c>
      <c r="D2792" t="s">
        <v>127</v>
      </c>
      <c r="E2792" t="s">
        <v>377</v>
      </c>
      <c r="F2792" t="s">
        <v>384</v>
      </c>
      <c r="G2792" t="s">
        <v>69</v>
      </c>
      <c r="H2792" t="s">
        <v>749</v>
      </c>
      <c r="I2792">
        <v>2021</v>
      </c>
      <c r="J2792" t="s">
        <v>379</v>
      </c>
      <c r="K2792" t="s">
        <v>546</v>
      </c>
      <c r="L2792" s="784">
        <v>0</v>
      </c>
      <c r="M2792" t="s">
        <v>745</v>
      </c>
      <c r="N2792" s="784" t="s">
        <v>575</v>
      </c>
      <c r="O2792" t="s">
        <v>737</v>
      </c>
      <c r="P2792" t="s">
        <v>1887</v>
      </c>
      <c r="R2792" t="s">
        <v>152</v>
      </c>
      <c r="S2792" t="s">
        <v>146</v>
      </c>
      <c r="U2792">
        <v>0</v>
      </c>
      <c r="V2792" t="s">
        <v>544</v>
      </c>
      <c r="W2792" t="s">
        <v>575</v>
      </c>
      <c r="X2792" s="784">
        <v>10696495313.15033</v>
      </c>
    </row>
    <row r="2793" spans="1:24">
      <c r="A2793" t="s">
        <v>358</v>
      </c>
      <c r="B2793" t="s">
        <v>660</v>
      </c>
      <c r="C2793" t="s">
        <v>263</v>
      </c>
      <c r="D2793" t="s">
        <v>127</v>
      </c>
      <c r="E2793" t="s">
        <v>377</v>
      </c>
      <c r="F2793" t="s">
        <v>384</v>
      </c>
      <c r="G2793" t="s">
        <v>69</v>
      </c>
      <c r="H2793" t="s">
        <v>749</v>
      </c>
      <c r="I2793">
        <v>2021</v>
      </c>
      <c r="J2793" t="s">
        <v>379</v>
      </c>
      <c r="K2793" t="s">
        <v>546</v>
      </c>
      <c r="L2793" s="784">
        <v>0</v>
      </c>
      <c r="M2793" t="s">
        <v>745</v>
      </c>
      <c r="N2793" s="784" t="s">
        <v>575</v>
      </c>
      <c r="O2793" t="s">
        <v>737</v>
      </c>
      <c r="P2793" t="s">
        <v>1887</v>
      </c>
      <c r="R2793" t="s">
        <v>152</v>
      </c>
      <c r="S2793" t="s">
        <v>146</v>
      </c>
      <c r="U2793">
        <v>0</v>
      </c>
      <c r="V2793" t="s">
        <v>544</v>
      </c>
      <c r="W2793" t="s">
        <v>575</v>
      </c>
      <c r="X2793" s="784">
        <v>52769713433.240509</v>
      </c>
    </row>
    <row r="2794" spans="1:24">
      <c r="A2794" t="s">
        <v>358</v>
      </c>
      <c r="B2794" t="s">
        <v>661</v>
      </c>
      <c r="C2794" t="s">
        <v>264</v>
      </c>
      <c r="D2794" t="s">
        <v>128</v>
      </c>
      <c r="E2794" t="s">
        <v>377</v>
      </c>
      <c r="F2794" t="s">
        <v>384</v>
      </c>
      <c r="G2794" t="s">
        <v>69</v>
      </c>
      <c r="H2794" t="s">
        <v>749</v>
      </c>
      <c r="I2794">
        <v>2021</v>
      </c>
      <c r="J2794" t="s">
        <v>379</v>
      </c>
      <c r="K2794" t="s">
        <v>546</v>
      </c>
      <c r="L2794" s="784">
        <v>0</v>
      </c>
      <c r="M2794" t="s">
        <v>745</v>
      </c>
      <c r="N2794" s="784" t="s">
        <v>575</v>
      </c>
      <c r="O2794" t="s">
        <v>737</v>
      </c>
      <c r="P2794" t="s">
        <v>1887</v>
      </c>
      <c r="R2794" t="s">
        <v>148</v>
      </c>
      <c r="S2794" t="s">
        <v>145</v>
      </c>
      <c r="U2794">
        <v>0</v>
      </c>
      <c r="V2794" t="s">
        <v>544</v>
      </c>
      <c r="W2794" t="s">
        <v>562</v>
      </c>
      <c r="X2794" s="784">
        <v>225799814.51943746</v>
      </c>
    </row>
    <row r="2795" spans="1:24">
      <c r="A2795" t="s">
        <v>358</v>
      </c>
      <c r="B2795" t="s">
        <v>662</v>
      </c>
      <c r="C2795" t="s">
        <v>265</v>
      </c>
      <c r="D2795" t="s">
        <v>126</v>
      </c>
      <c r="E2795" t="s">
        <v>377</v>
      </c>
      <c r="F2795" t="s">
        <v>384</v>
      </c>
      <c r="G2795" t="s">
        <v>69</v>
      </c>
      <c r="H2795" t="s">
        <v>749</v>
      </c>
      <c r="I2795">
        <v>2021</v>
      </c>
      <c r="J2795" t="s">
        <v>379</v>
      </c>
      <c r="K2795" t="s">
        <v>546</v>
      </c>
      <c r="L2795" s="784">
        <v>0</v>
      </c>
      <c r="M2795" t="s">
        <v>745</v>
      </c>
      <c r="N2795" s="784" t="s">
        <v>575</v>
      </c>
      <c r="O2795" t="s">
        <v>737</v>
      </c>
      <c r="P2795" t="s">
        <v>1887</v>
      </c>
      <c r="R2795" t="s">
        <v>150</v>
      </c>
      <c r="S2795" t="s">
        <v>145</v>
      </c>
      <c r="U2795">
        <v>0</v>
      </c>
      <c r="V2795" t="s">
        <v>541</v>
      </c>
      <c r="W2795" t="s">
        <v>542</v>
      </c>
      <c r="X2795" s="784">
        <v>32192988.027009469</v>
      </c>
    </row>
    <row r="2796" spans="1:24">
      <c r="A2796" t="s">
        <v>358</v>
      </c>
      <c r="B2796" t="s">
        <v>663</v>
      </c>
      <c r="C2796" t="s">
        <v>266</v>
      </c>
      <c r="D2796" t="s">
        <v>129</v>
      </c>
      <c r="E2796" t="s">
        <v>377</v>
      </c>
      <c r="F2796" t="s">
        <v>384</v>
      </c>
      <c r="G2796" t="s">
        <v>69</v>
      </c>
      <c r="H2796" t="s">
        <v>749</v>
      </c>
      <c r="I2796">
        <v>2021</v>
      </c>
      <c r="J2796" t="s">
        <v>379</v>
      </c>
      <c r="K2796" t="s">
        <v>546</v>
      </c>
      <c r="L2796" s="784">
        <v>0</v>
      </c>
      <c r="M2796" t="s">
        <v>745</v>
      </c>
      <c r="N2796" s="784" t="s">
        <v>575</v>
      </c>
      <c r="O2796" t="s">
        <v>737</v>
      </c>
      <c r="P2796" t="s">
        <v>1887</v>
      </c>
      <c r="R2796" t="s">
        <v>150</v>
      </c>
      <c r="S2796" t="s">
        <v>145</v>
      </c>
      <c r="U2796">
        <v>0</v>
      </c>
      <c r="V2796" t="s">
        <v>541</v>
      </c>
      <c r="W2796" t="s">
        <v>583</v>
      </c>
      <c r="X2796" s="784">
        <v>11633535.136477679</v>
      </c>
    </row>
    <row r="2797" spans="1:24">
      <c r="A2797" t="s">
        <v>358</v>
      </c>
      <c r="B2797" t="s">
        <v>664</v>
      </c>
      <c r="C2797" t="s">
        <v>267</v>
      </c>
      <c r="D2797" t="s">
        <v>129</v>
      </c>
      <c r="E2797" t="s">
        <v>377</v>
      </c>
      <c r="F2797" t="s">
        <v>384</v>
      </c>
      <c r="G2797" t="s">
        <v>69</v>
      </c>
      <c r="H2797" t="s">
        <v>749</v>
      </c>
      <c r="I2797">
        <v>2021</v>
      </c>
      <c r="J2797" t="s">
        <v>379</v>
      </c>
      <c r="K2797" t="s">
        <v>546</v>
      </c>
      <c r="L2797" s="784">
        <v>0</v>
      </c>
      <c r="M2797" t="s">
        <v>745</v>
      </c>
      <c r="N2797" s="784" t="s">
        <v>575</v>
      </c>
      <c r="O2797" t="s">
        <v>737</v>
      </c>
      <c r="P2797" t="s">
        <v>1887</v>
      </c>
      <c r="R2797" t="s">
        <v>150</v>
      </c>
      <c r="S2797" t="s">
        <v>145</v>
      </c>
      <c r="U2797">
        <v>2</v>
      </c>
      <c r="V2797" t="s">
        <v>544</v>
      </c>
      <c r="W2797" t="s">
        <v>562</v>
      </c>
      <c r="X2797" s="784">
        <v>222008693.93354639</v>
      </c>
    </row>
    <row r="2798" spans="1:24">
      <c r="A2798" t="s">
        <v>358</v>
      </c>
      <c r="B2798" t="s">
        <v>665</v>
      </c>
      <c r="C2798" t="s">
        <v>153</v>
      </c>
      <c r="D2798" t="s">
        <v>127</v>
      </c>
      <c r="E2798" t="s">
        <v>377</v>
      </c>
      <c r="F2798" t="s">
        <v>384</v>
      </c>
      <c r="G2798" t="s">
        <v>69</v>
      </c>
      <c r="H2798" t="s">
        <v>749</v>
      </c>
      <c r="I2798">
        <v>2021</v>
      </c>
      <c r="J2798" t="s">
        <v>379</v>
      </c>
      <c r="K2798" t="s">
        <v>546</v>
      </c>
      <c r="L2798" s="784">
        <v>0</v>
      </c>
      <c r="M2798" t="s">
        <v>745</v>
      </c>
      <c r="N2798" s="784" t="s">
        <v>575</v>
      </c>
      <c r="O2798" t="s">
        <v>737</v>
      </c>
      <c r="P2798" t="s">
        <v>1887</v>
      </c>
      <c r="R2798" t="s">
        <v>152</v>
      </c>
      <c r="S2798" t="s">
        <v>146</v>
      </c>
      <c r="U2798">
        <v>0</v>
      </c>
      <c r="V2798" t="s">
        <v>544</v>
      </c>
      <c r="W2798" t="s">
        <v>575</v>
      </c>
      <c r="X2798" s="784">
        <v>2564993795.1894679</v>
      </c>
    </row>
    <row r="2799" spans="1:24">
      <c r="A2799" t="s">
        <v>358</v>
      </c>
      <c r="B2799" t="s">
        <v>666</v>
      </c>
      <c r="C2799" t="s">
        <v>268</v>
      </c>
      <c r="D2799" t="s">
        <v>128</v>
      </c>
      <c r="E2799" t="s">
        <v>377</v>
      </c>
      <c r="F2799" t="s">
        <v>384</v>
      </c>
      <c r="G2799" t="s">
        <v>69</v>
      </c>
      <c r="H2799" t="s">
        <v>749</v>
      </c>
      <c r="I2799">
        <v>2021</v>
      </c>
      <c r="J2799" t="s">
        <v>379</v>
      </c>
      <c r="K2799" t="s">
        <v>546</v>
      </c>
      <c r="L2799" s="784">
        <v>0</v>
      </c>
      <c r="M2799" t="s">
        <v>745</v>
      </c>
      <c r="N2799" s="784" t="s">
        <v>575</v>
      </c>
      <c r="O2799" t="s">
        <v>737</v>
      </c>
      <c r="P2799" t="s">
        <v>1887</v>
      </c>
      <c r="R2799" t="s">
        <v>550</v>
      </c>
      <c r="S2799" t="s">
        <v>146</v>
      </c>
      <c r="U2799">
        <v>0</v>
      </c>
      <c r="V2799" t="s">
        <v>541</v>
      </c>
      <c r="W2799" t="s">
        <v>546</v>
      </c>
      <c r="X2799" s="784">
        <v>60237542.945069775</v>
      </c>
    </row>
    <row r="2800" spans="1:24">
      <c r="A2800" t="s">
        <v>358</v>
      </c>
      <c r="B2800" t="s">
        <v>667</v>
      </c>
      <c r="C2800" t="s">
        <v>269</v>
      </c>
      <c r="D2800" t="s">
        <v>129</v>
      </c>
      <c r="E2800" t="s">
        <v>377</v>
      </c>
      <c r="F2800" t="s">
        <v>384</v>
      </c>
      <c r="G2800" t="s">
        <v>69</v>
      </c>
      <c r="H2800" t="s">
        <v>749</v>
      </c>
      <c r="I2800">
        <v>2021</v>
      </c>
      <c r="J2800" t="s">
        <v>379</v>
      </c>
      <c r="K2800" t="s">
        <v>546</v>
      </c>
      <c r="L2800" s="784">
        <v>0</v>
      </c>
      <c r="M2800" t="s">
        <v>745</v>
      </c>
      <c r="N2800" s="784" t="s">
        <v>575</v>
      </c>
      <c r="O2800" t="s">
        <v>737</v>
      </c>
      <c r="P2800" t="s">
        <v>1887</v>
      </c>
      <c r="R2800" t="s">
        <v>148</v>
      </c>
      <c r="S2800" t="s">
        <v>145</v>
      </c>
      <c r="U2800">
        <v>0</v>
      </c>
      <c r="V2800" t="s">
        <v>544</v>
      </c>
      <c r="W2800" t="s">
        <v>542</v>
      </c>
      <c r="X2800" s="784">
        <v>63738640.538260505</v>
      </c>
    </row>
    <row r="2801" spans="1:24">
      <c r="A2801" t="s">
        <v>358</v>
      </c>
      <c r="B2801" t="s">
        <v>668</v>
      </c>
      <c r="C2801" t="s">
        <v>270</v>
      </c>
      <c r="D2801" t="s">
        <v>126</v>
      </c>
      <c r="E2801" t="s">
        <v>377</v>
      </c>
      <c r="F2801" t="s">
        <v>384</v>
      </c>
      <c r="G2801" t="s">
        <v>69</v>
      </c>
      <c r="H2801" t="s">
        <v>749</v>
      </c>
      <c r="I2801">
        <v>2021</v>
      </c>
      <c r="J2801" t="s">
        <v>379</v>
      </c>
      <c r="K2801" t="s">
        <v>546</v>
      </c>
      <c r="L2801" s="784">
        <v>0</v>
      </c>
      <c r="M2801" t="s">
        <v>745</v>
      </c>
      <c r="N2801" s="784" t="s">
        <v>575</v>
      </c>
      <c r="O2801" t="s">
        <v>737</v>
      </c>
      <c r="P2801" t="s">
        <v>1887</v>
      </c>
      <c r="R2801" t="s">
        <v>150</v>
      </c>
      <c r="S2801" t="s">
        <v>145</v>
      </c>
      <c r="U2801">
        <v>0</v>
      </c>
      <c r="V2801" t="s">
        <v>541</v>
      </c>
      <c r="W2801" t="s">
        <v>562</v>
      </c>
      <c r="X2801" s="784">
        <v>49012774.055630356</v>
      </c>
    </row>
    <row r="2802" spans="1:24">
      <c r="A2802" t="s">
        <v>358</v>
      </c>
      <c r="B2802" t="s">
        <v>669</v>
      </c>
      <c r="C2802" t="s">
        <v>271</v>
      </c>
      <c r="D2802" t="s">
        <v>128</v>
      </c>
      <c r="E2802" t="s">
        <v>377</v>
      </c>
      <c r="F2802" t="s">
        <v>384</v>
      </c>
      <c r="G2802" t="s">
        <v>69</v>
      </c>
      <c r="H2802" t="s">
        <v>749</v>
      </c>
      <c r="I2802">
        <v>2021</v>
      </c>
      <c r="J2802" t="s">
        <v>379</v>
      </c>
      <c r="K2802" t="s">
        <v>546</v>
      </c>
      <c r="L2802" s="784">
        <v>0</v>
      </c>
      <c r="M2802" t="s">
        <v>745</v>
      </c>
      <c r="N2802" s="784" t="s">
        <v>575</v>
      </c>
      <c r="O2802" t="s">
        <v>737</v>
      </c>
      <c r="P2802" t="s">
        <v>1887</v>
      </c>
      <c r="R2802" t="s">
        <v>148</v>
      </c>
      <c r="S2802" t="s">
        <v>145</v>
      </c>
      <c r="U2802">
        <v>1</v>
      </c>
      <c r="V2802" t="s">
        <v>544</v>
      </c>
      <c r="W2802" t="s">
        <v>583</v>
      </c>
      <c r="X2802" s="784" t="s">
        <v>575</v>
      </c>
    </row>
    <row r="2803" spans="1:24">
      <c r="A2803" t="s">
        <v>358</v>
      </c>
      <c r="B2803" t="s">
        <v>670</v>
      </c>
      <c r="C2803" t="s">
        <v>272</v>
      </c>
      <c r="D2803" t="s">
        <v>128</v>
      </c>
      <c r="E2803" t="s">
        <v>377</v>
      </c>
      <c r="F2803" t="s">
        <v>384</v>
      </c>
      <c r="G2803" t="s">
        <v>69</v>
      </c>
      <c r="H2803" t="s">
        <v>749</v>
      </c>
      <c r="I2803">
        <v>2021</v>
      </c>
      <c r="J2803" t="s">
        <v>379</v>
      </c>
      <c r="K2803" t="s">
        <v>546</v>
      </c>
      <c r="L2803" s="784">
        <v>0</v>
      </c>
      <c r="M2803" t="s">
        <v>745</v>
      </c>
      <c r="N2803" s="784" t="s">
        <v>575</v>
      </c>
      <c r="O2803" t="s">
        <v>737</v>
      </c>
      <c r="P2803" t="s">
        <v>1887</v>
      </c>
      <c r="R2803" t="s">
        <v>152</v>
      </c>
      <c r="S2803" t="s">
        <v>146</v>
      </c>
      <c r="U2803">
        <v>0</v>
      </c>
      <c r="V2803" t="s">
        <v>544</v>
      </c>
      <c r="W2803" t="s">
        <v>546</v>
      </c>
      <c r="X2803" s="784">
        <v>16429121142.784708</v>
      </c>
    </row>
    <row r="2804" spans="1:24">
      <c r="A2804" t="s">
        <v>358</v>
      </c>
      <c r="B2804" t="s">
        <v>671</v>
      </c>
      <c r="C2804" t="s">
        <v>273</v>
      </c>
      <c r="D2804" t="s">
        <v>128</v>
      </c>
      <c r="E2804" t="s">
        <v>377</v>
      </c>
      <c r="F2804" t="s">
        <v>384</v>
      </c>
      <c r="G2804" t="s">
        <v>69</v>
      </c>
      <c r="H2804" t="s">
        <v>749</v>
      </c>
      <c r="I2804">
        <v>2021</v>
      </c>
      <c r="J2804" t="s">
        <v>379</v>
      </c>
      <c r="K2804" t="s">
        <v>546</v>
      </c>
      <c r="L2804" s="784">
        <v>0</v>
      </c>
      <c r="M2804" t="s">
        <v>745</v>
      </c>
      <c r="N2804" s="784" t="s">
        <v>575</v>
      </c>
      <c r="O2804" t="s">
        <v>737</v>
      </c>
      <c r="P2804" t="s">
        <v>1887</v>
      </c>
      <c r="R2804" t="s">
        <v>148</v>
      </c>
      <c r="S2804" t="s">
        <v>145</v>
      </c>
      <c r="U2804">
        <v>1</v>
      </c>
      <c r="V2804" t="s">
        <v>544</v>
      </c>
      <c r="W2804" t="s">
        <v>542</v>
      </c>
      <c r="X2804" s="784">
        <v>31684581.76217727</v>
      </c>
    </row>
    <row r="2805" spans="1:24">
      <c r="A2805" t="s">
        <v>358</v>
      </c>
      <c r="B2805" t="s">
        <v>672</v>
      </c>
      <c r="C2805" t="s">
        <v>274</v>
      </c>
      <c r="D2805" t="s">
        <v>132</v>
      </c>
      <c r="E2805" t="s">
        <v>377</v>
      </c>
      <c r="F2805" t="s">
        <v>384</v>
      </c>
      <c r="G2805" t="s">
        <v>69</v>
      </c>
      <c r="H2805" t="s">
        <v>749</v>
      </c>
      <c r="I2805">
        <v>2021</v>
      </c>
      <c r="J2805" t="s">
        <v>379</v>
      </c>
      <c r="K2805" t="s">
        <v>546</v>
      </c>
      <c r="L2805" s="784">
        <v>0</v>
      </c>
      <c r="M2805" t="s">
        <v>745</v>
      </c>
      <c r="N2805" s="784" t="s">
        <v>575</v>
      </c>
      <c r="O2805" t="s">
        <v>737</v>
      </c>
      <c r="P2805" t="s">
        <v>1887</v>
      </c>
      <c r="R2805" t="s">
        <v>150</v>
      </c>
      <c r="S2805" t="s">
        <v>145</v>
      </c>
      <c r="U2805">
        <v>0</v>
      </c>
      <c r="V2805" t="s">
        <v>544</v>
      </c>
      <c r="W2805" t="s">
        <v>546</v>
      </c>
      <c r="X2805" s="784">
        <v>1373621563.5182886</v>
      </c>
    </row>
    <row r="2806" spans="1:24">
      <c r="A2806" t="s">
        <v>358</v>
      </c>
      <c r="B2806" t="s">
        <v>673</v>
      </c>
      <c r="C2806" t="s">
        <v>275</v>
      </c>
      <c r="D2806" t="s">
        <v>130</v>
      </c>
      <c r="E2806" t="s">
        <v>377</v>
      </c>
      <c r="F2806" t="s">
        <v>384</v>
      </c>
      <c r="G2806" t="s">
        <v>69</v>
      </c>
      <c r="H2806" t="s">
        <v>749</v>
      </c>
      <c r="I2806">
        <v>2021</v>
      </c>
      <c r="J2806" t="s">
        <v>379</v>
      </c>
      <c r="K2806" t="s">
        <v>546</v>
      </c>
      <c r="L2806" s="784">
        <v>0</v>
      </c>
      <c r="M2806" t="s">
        <v>745</v>
      </c>
      <c r="N2806" s="784" t="s">
        <v>575</v>
      </c>
      <c r="O2806" t="s">
        <v>737</v>
      </c>
      <c r="P2806" t="s">
        <v>1887</v>
      </c>
      <c r="R2806" t="s">
        <v>550</v>
      </c>
      <c r="S2806" t="s">
        <v>146</v>
      </c>
      <c r="U2806">
        <v>0</v>
      </c>
      <c r="V2806" t="s">
        <v>541</v>
      </c>
      <c r="W2806" t="s">
        <v>575</v>
      </c>
      <c r="X2806" s="784">
        <v>24214370.889062837</v>
      </c>
    </row>
    <row r="2807" spans="1:24">
      <c r="A2807" t="s">
        <v>358</v>
      </c>
      <c r="B2807" t="s">
        <v>674</v>
      </c>
      <c r="C2807" t="s">
        <v>154</v>
      </c>
      <c r="D2807" t="s">
        <v>130</v>
      </c>
      <c r="E2807" t="s">
        <v>377</v>
      </c>
      <c r="F2807" t="s">
        <v>384</v>
      </c>
      <c r="G2807" t="s">
        <v>69</v>
      </c>
      <c r="H2807" t="s">
        <v>749</v>
      </c>
      <c r="I2807">
        <v>2021</v>
      </c>
      <c r="J2807" t="s">
        <v>379</v>
      </c>
      <c r="K2807" t="s">
        <v>546</v>
      </c>
      <c r="L2807" s="784">
        <v>0</v>
      </c>
      <c r="M2807" t="s">
        <v>745</v>
      </c>
      <c r="N2807" s="784" t="s">
        <v>575</v>
      </c>
      <c r="O2807" t="s">
        <v>737</v>
      </c>
      <c r="P2807" t="s">
        <v>1887</v>
      </c>
      <c r="R2807" t="s">
        <v>152</v>
      </c>
      <c r="S2807" t="s">
        <v>145</v>
      </c>
      <c r="U2807">
        <v>0</v>
      </c>
      <c r="V2807" t="s">
        <v>541</v>
      </c>
      <c r="W2807" t="s">
        <v>548</v>
      </c>
      <c r="X2807" s="784">
        <v>39941279.609447442</v>
      </c>
    </row>
    <row r="2808" spans="1:24">
      <c r="A2808" t="s">
        <v>358</v>
      </c>
      <c r="B2808" t="s">
        <v>675</v>
      </c>
      <c r="C2808" t="s">
        <v>155</v>
      </c>
      <c r="D2808" t="s">
        <v>130</v>
      </c>
      <c r="E2808" t="s">
        <v>377</v>
      </c>
      <c r="F2808" t="s">
        <v>384</v>
      </c>
      <c r="G2808" t="s">
        <v>69</v>
      </c>
      <c r="H2808" t="s">
        <v>749</v>
      </c>
      <c r="I2808">
        <v>2021</v>
      </c>
      <c r="J2808" t="s">
        <v>379</v>
      </c>
      <c r="K2808" t="s">
        <v>546</v>
      </c>
      <c r="L2808" s="784">
        <v>0</v>
      </c>
      <c r="M2808" t="s">
        <v>745</v>
      </c>
      <c r="N2808" s="784" t="s">
        <v>575</v>
      </c>
      <c r="O2808" t="s">
        <v>737</v>
      </c>
      <c r="P2808" t="s">
        <v>1887</v>
      </c>
      <c r="R2808" t="s">
        <v>152</v>
      </c>
      <c r="S2808" t="s">
        <v>145</v>
      </c>
      <c r="U2808">
        <v>0</v>
      </c>
      <c r="V2808" t="s">
        <v>541</v>
      </c>
      <c r="W2808" t="s">
        <v>542</v>
      </c>
      <c r="X2808" s="784">
        <v>24761675.260059897</v>
      </c>
    </row>
    <row r="2809" spans="1:24">
      <c r="A2809" t="s">
        <v>358</v>
      </c>
      <c r="B2809" t="s">
        <v>676</v>
      </c>
      <c r="C2809" t="s">
        <v>276</v>
      </c>
      <c r="D2809" t="s">
        <v>131</v>
      </c>
      <c r="E2809" t="s">
        <v>377</v>
      </c>
      <c r="F2809" t="s">
        <v>384</v>
      </c>
      <c r="G2809" t="s">
        <v>69</v>
      </c>
      <c r="H2809" t="s">
        <v>749</v>
      </c>
      <c r="I2809">
        <v>2021</v>
      </c>
      <c r="J2809" t="s">
        <v>379</v>
      </c>
      <c r="K2809" t="s">
        <v>546</v>
      </c>
      <c r="L2809" s="784">
        <v>0</v>
      </c>
      <c r="M2809" t="s">
        <v>745</v>
      </c>
      <c r="N2809" s="784" t="s">
        <v>575</v>
      </c>
      <c r="O2809" t="s">
        <v>737</v>
      </c>
      <c r="P2809" t="s">
        <v>1887</v>
      </c>
      <c r="R2809" t="s">
        <v>150</v>
      </c>
      <c r="S2809" t="s">
        <v>145</v>
      </c>
      <c r="U2809">
        <v>0</v>
      </c>
      <c r="V2809" t="s">
        <v>544</v>
      </c>
      <c r="W2809" t="s">
        <v>546</v>
      </c>
      <c r="X2809" s="784" t="s">
        <v>575</v>
      </c>
    </row>
    <row r="2810" spans="1:24">
      <c r="A2810" t="s">
        <v>358</v>
      </c>
      <c r="B2810" t="s">
        <v>677</v>
      </c>
      <c r="C2810" t="s">
        <v>277</v>
      </c>
      <c r="D2810" t="s">
        <v>131</v>
      </c>
      <c r="E2810" t="s">
        <v>377</v>
      </c>
      <c r="F2810" t="s">
        <v>384</v>
      </c>
      <c r="G2810" t="s">
        <v>69</v>
      </c>
      <c r="H2810" t="s">
        <v>749</v>
      </c>
      <c r="I2810">
        <v>2021</v>
      </c>
      <c r="J2810" t="s">
        <v>379</v>
      </c>
      <c r="K2810" t="s">
        <v>546</v>
      </c>
      <c r="L2810" s="784">
        <v>0</v>
      </c>
      <c r="M2810" t="s">
        <v>745</v>
      </c>
      <c r="N2810" s="784" t="s">
        <v>575</v>
      </c>
      <c r="O2810" t="s">
        <v>737</v>
      </c>
      <c r="P2810" t="s">
        <v>1887</v>
      </c>
      <c r="R2810" t="s">
        <v>148</v>
      </c>
      <c r="S2810" t="s">
        <v>145</v>
      </c>
      <c r="U2810">
        <v>1</v>
      </c>
      <c r="V2810" t="s">
        <v>544</v>
      </c>
      <c r="W2810" t="s">
        <v>546</v>
      </c>
      <c r="X2810" s="784">
        <v>577156172.71229994</v>
      </c>
    </row>
    <row r="2811" spans="1:24">
      <c r="A2811" t="s">
        <v>358</v>
      </c>
      <c r="B2811" t="s">
        <v>678</v>
      </c>
      <c r="C2811" t="s">
        <v>278</v>
      </c>
      <c r="D2811" t="s">
        <v>126</v>
      </c>
      <c r="E2811" t="s">
        <v>377</v>
      </c>
      <c r="F2811" t="s">
        <v>384</v>
      </c>
      <c r="G2811" t="s">
        <v>69</v>
      </c>
      <c r="H2811" t="s">
        <v>749</v>
      </c>
      <c r="I2811">
        <v>2021</v>
      </c>
      <c r="J2811" t="s">
        <v>379</v>
      </c>
      <c r="K2811" t="s">
        <v>546</v>
      </c>
      <c r="L2811" s="784">
        <v>0</v>
      </c>
      <c r="M2811" t="s">
        <v>745</v>
      </c>
      <c r="N2811" s="784" t="s">
        <v>575</v>
      </c>
      <c r="O2811" t="s">
        <v>737</v>
      </c>
      <c r="P2811" t="s">
        <v>1887</v>
      </c>
      <c r="R2811" t="s">
        <v>152</v>
      </c>
      <c r="S2811" t="s">
        <v>146</v>
      </c>
      <c r="U2811">
        <v>0</v>
      </c>
      <c r="V2811" t="s">
        <v>541</v>
      </c>
      <c r="W2811" t="s">
        <v>575</v>
      </c>
      <c r="X2811" s="784">
        <v>180052034.19851837</v>
      </c>
    </row>
    <row r="2812" spans="1:24">
      <c r="A2812" t="s">
        <v>358</v>
      </c>
      <c r="B2812" t="s">
        <v>679</v>
      </c>
      <c r="C2812" t="s">
        <v>279</v>
      </c>
      <c r="D2812" t="s">
        <v>131</v>
      </c>
      <c r="E2812" t="s">
        <v>377</v>
      </c>
      <c r="F2812" t="s">
        <v>384</v>
      </c>
      <c r="G2812" t="s">
        <v>69</v>
      </c>
      <c r="H2812" t="s">
        <v>749</v>
      </c>
      <c r="I2812">
        <v>2021</v>
      </c>
      <c r="J2812" t="s">
        <v>379</v>
      </c>
      <c r="K2812" t="s">
        <v>546</v>
      </c>
      <c r="L2812" s="784">
        <v>0</v>
      </c>
      <c r="M2812" t="s">
        <v>745</v>
      </c>
      <c r="N2812" s="784" t="s">
        <v>575</v>
      </c>
      <c r="O2812" t="s">
        <v>737</v>
      </c>
      <c r="P2812" t="s">
        <v>1887</v>
      </c>
      <c r="R2812" t="s">
        <v>148</v>
      </c>
      <c r="S2812" t="s">
        <v>145</v>
      </c>
      <c r="U2812">
        <v>1</v>
      </c>
      <c r="V2812" t="s">
        <v>544</v>
      </c>
      <c r="W2812" t="s">
        <v>546</v>
      </c>
      <c r="X2812" s="784" t="s">
        <v>575</v>
      </c>
    </row>
    <row r="2813" spans="1:24">
      <c r="A2813" t="s">
        <v>358</v>
      </c>
      <c r="B2813" t="s">
        <v>680</v>
      </c>
      <c r="C2813" t="s">
        <v>280</v>
      </c>
      <c r="D2813" t="s">
        <v>127</v>
      </c>
      <c r="E2813" t="s">
        <v>377</v>
      </c>
      <c r="F2813" t="s">
        <v>384</v>
      </c>
      <c r="G2813" t="s">
        <v>69</v>
      </c>
      <c r="H2813" t="s">
        <v>749</v>
      </c>
      <c r="I2813">
        <v>2021</v>
      </c>
      <c r="J2813" t="s">
        <v>379</v>
      </c>
      <c r="K2813" t="s">
        <v>546</v>
      </c>
      <c r="L2813" s="784">
        <v>0</v>
      </c>
      <c r="M2813" t="s">
        <v>745</v>
      </c>
      <c r="N2813" s="784" t="s">
        <v>575</v>
      </c>
      <c r="O2813" t="s">
        <v>737</v>
      </c>
      <c r="P2813" t="s">
        <v>1887</v>
      </c>
      <c r="R2813" t="s">
        <v>150</v>
      </c>
      <c r="S2813" t="s">
        <v>145</v>
      </c>
      <c r="U2813">
        <v>0</v>
      </c>
      <c r="V2813" t="s">
        <v>544</v>
      </c>
      <c r="W2813" t="s">
        <v>542</v>
      </c>
      <c r="X2813" s="784">
        <v>147296124.32232863</v>
      </c>
    </row>
    <row r="2814" spans="1:24">
      <c r="A2814" t="s">
        <v>358</v>
      </c>
      <c r="B2814" t="s">
        <v>681</v>
      </c>
      <c r="C2814" t="s">
        <v>156</v>
      </c>
      <c r="D2814" t="s">
        <v>128</v>
      </c>
      <c r="E2814" t="s">
        <v>377</v>
      </c>
      <c r="F2814" t="s">
        <v>384</v>
      </c>
      <c r="G2814" t="s">
        <v>69</v>
      </c>
      <c r="H2814" t="s">
        <v>749</v>
      </c>
      <c r="I2814">
        <v>2021</v>
      </c>
      <c r="J2814" t="s">
        <v>379</v>
      </c>
      <c r="K2814" t="s">
        <v>546</v>
      </c>
      <c r="L2814" s="784">
        <v>0</v>
      </c>
      <c r="M2814" t="s">
        <v>745</v>
      </c>
      <c r="N2814" s="784" t="s">
        <v>575</v>
      </c>
      <c r="O2814" t="s">
        <v>737</v>
      </c>
      <c r="P2814" t="s">
        <v>1887</v>
      </c>
      <c r="R2814" t="s">
        <v>150</v>
      </c>
      <c r="S2814" t="s">
        <v>145</v>
      </c>
      <c r="U2814">
        <v>0</v>
      </c>
      <c r="V2814" t="s">
        <v>544</v>
      </c>
      <c r="W2814" t="s">
        <v>548</v>
      </c>
      <c r="X2814" s="784">
        <v>890576536.83065879</v>
      </c>
    </row>
    <row r="2815" spans="1:24">
      <c r="A2815" t="s">
        <v>358</v>
      </c>
      <c r="B2815" t="s">
        <v>682</v>
      </c>
      <c r="C2815" t="s">
        <v>157</v>
      </c>
      <c r="D2815" t="s">
        <v>126</v>
      </c>
      <c r="E2815" t="s">
        <v>377</v>
      </c>
      <c r="F2815" t="s">
        <v>384</v>
      </c>
      <c r="G2815" t="s">
        <v>69</v>
      </c>
      <c r="H2815" t="s">
        <v>749</v>
      </c>
      <c r="I2815">
        <v>2021</v>
      </c>
      <c r="J2815" t="s">
        <v>379</v>
      </c>
      <c r="K2815" t="s">
        <v>546</v>
      </c>
      <c r="L2815" s="784">
        <v>0</v>
      </c>
      <c r="M2815" t="s">
        <v>745</v>
      </c>
      <c r="N2815" s="784" t="s">
        <v>575</v>
      </c>
      <c r="O2815" t="s">
        <v>737</v>
      </c>
      <c r="P2815" t="s">
        <v>1887</v>
      </c>
      <c r="R2815" t="s">
        <v>152</v>
      </c>
      <c r="S2815" t="s">
        <v>146</v>
      </c>
      <c r="U2815">
        <v>0</v>
      </c>
      <c r="V2815" t="s">
        <v>544</v>
      </c>
      <c r="W2815" t="s">
        <v>575</v>
      </c>
      <c r="X2815" s="784">
        <v>14611129792.346064</v>
      </c>
    </row>
    <row r="2816" spans="1:24">
      <c r="A2816" t="s">
        <v>358</v>
      </c>
      <c r="B2816" t="s">
        <v>683</v>
      </c>
      <c r="C2816" t="s">
        <v>281</v>
      </c>
      <c r="D2816" t="s">
        <v>126</v>
      </c>
      <c r="E2816" t="s">
        <v>377</v>
      </c>
      <c r="F2816" t="s">
        <v>384</v>
      </c>
      <c r="G2816" t="s">
        <v>69</v>
      </c>
      <c r="H2816" t="s">
        <v>749</v>
      </c>
      <c r="I2816">
        <v>2021</v>
      </c>
      <c r="J2816" t="s">
        <v>379</v>
      </c>
      <c r="K2816" t="s">
        <v>546</v>
      </c>
      <c r="L2816" s="784">
        <v>0</v>
      </c>
      <c r="M2816" t="s">
        <v>745</v>
      </c>
      <c r="N2816" s="784" t="s">
        <v>575</v>
      </c>
      <c r="O2816" t="s">
        <v>737</v>
      </c>
      <c r="P2816" t="s">
        <v>1887</v>
      </c>
      <c r="R2816" t="s">
        <v>150</v>
      </c>
      <c r="S2816" t="s">
        <v>145</v>
      </c>
      <c r="U2816">
        <v>0</v>
      </c>
      <c r="V2816" t="s">
        <v>541</v>
      </c>
      <c r="W2816" t="s">
        <v>558</v>
      </c>
      <c r="X2816" s="784">
        <v>72046877.233008593</v>
      </c>
    </row>
    <row r="2817" spans="1:24">
      <c r="A2817" t="s">
        <v>358</v>
      </c>
      <c r="B2817" t="s">
        <v>684</v>
      </c>
      <c r="C2817" t="s">
        <v>282</v>
      </c>
      <c r="D2817" t="s">
        <v>129</v>
      </c>
      <c r="E2817" t="s">
        <v>377</v>
      </c>
      <c r="F2817" t="s">
        <v>384</v>
      </c>
      <c r="G2817" t="s">
        <v>69</v>
      </c>
      <c r="H2817" t="s">
        <v>749</v>
      </c>
      <c r="I2817">
        <v>2021</v>
      </c>
      <c r="J2817" t="s">
        <v>379</v>
      </c>
      <c r="K2817" t="s">
        <v>546</v>
      </c>
      <c r="L2817" s="784">
        <v>0</v>
      </c>
      <c r="M2817" t="s">
        <v>745</v>
      </c>
      <c r="N2817" s="784" t="s">
        <v>575</v>
      </c>
      <c r="O2817" t="s">
        <v>737</v>
      </c>
      <c r="P2817" t="s">
        <v>1887</v>
      </c>
      <c r="R2817" t="s">
        <v>148</v>
      </c>
      <c r="S2817" t="s">
        <v>145</v>
      </c>
      <c r="U2817">
        <v>0</v>
      </c>
      <c r="V2817" t="s">
        <v>544</v>
      </c>
      <c r="W2817" t="s">
        <v>542</v>
      </c>
      <c r="X2817" s="784">
        <v>56248139.267255567</v>
      </c>
    </row>
    <row r="2818" spans="1:24">
      <c r="A2818" t="s">
        <v>358</v>
      </c>
      <c r="B2818" t="s">
        <v>685</v>
      </c>
      <c r="C2818" t="s">
        <v>283</v>
      </c>
      <c r="D2818" t="s">
        <v>126</v>
      </c>
      <c r="E2818" t="s">
        <v>377</v>
      </c>
      <c r="F2818" t="s">
        <v>384</v>
      </c>
      <c r="G2818" t="s">
        <v>69</v>
      </c>
      <c r="H2818" t="s">
        <v>749</v>
      </c>
      <c r="I2818">
        <v>2021</v>
      </c>
      <c r="J2818" t="s">
        <v>379</v>
      </c>
      <c r="K2818" t="s">
        <v>546</v>
      </c>
      <c r="L2818" s="784">
        <v>0</v>
      </c>
      <c r="M2818" t="s">
        <v>745</v>
      </c>
      <c r="N2818" s="784" t="s">
        <v>575</v>
      </c>
      <c r="O2818" t="s">
        <v>737</v>
      </c>
      <c r="P2818" t="s">
        <v>1887</v>
      </c>
      <c r="R2818" t="s">
        <v>152</v>
      </c>
      <c r="S2818" t="s">
        <v>145</v>
      </c>
      <c r="U2818">
        <v>0</v>
      </c>
      <c r="V2818" t="s">
        <v>541</v>
      </c>
      <c r="W2818" t="s">
        <v>542</v>
      </c>
      <c r="X2818" s="784">
        <v>15464031.712942109</v>
      </c>
    </row>
    <row r="2819" spans="1:24">
      <c r="A2819" t="s">
        <v>358</v>
      </c>
      <c r="B2819" t="s">
        <v>686</v>
      </c>
      <c r="C2819" t="s">
        <v>284</v>
      </c>
      <c r="D2819" t="s">
        <v>130</v>
      </c>
      <c r="E2819" t="s">
        <v>377</v>
      </c>
      <c r="F2819" t="s">
        <v>384</v>
      </c>
      <c r="G2819" t="s">
        <v>69</v>
      </c>
      <c r="H2819" t="s">
        <v>749</v>
      </c>
      <c r="I2819">
        <v>2021</v>
      </c>
      <c r="J2819" t="s">
        <v>379</v>
      </c>
      <c r="K2819" t="s">
        <v>546</v>
      </c>
      <c r="L2819" s="784">
        <v>0</v>
      </c>
      <c r="M2819" t="s">
        <v>745</v>
      </c>
      <c r="N2819" s="784" t="s">
        <v>575</v>
      </c>
      <c r="O2819" t="s">
        <v>737</v>
      </c>
      <c r="P2819" t="s">
        <v>1887</v>
      </c>
      <c r="R2819" t="s">
        <v>550</v>
      </c>
      <c r="S2819" t="s">
        <v>146</v>
      </c>
      <c r="U2819">
        <v>0</v>
      </c>
      <c r="V2819" t="s">
        <v>541</v>
      </c>
      <c r="W2819" t="s">
        <v>546</v>
      </c>
      <c r="X2819" s="784">
        <v>769564399.33249676</v>
      </c>
    </row>
    <row r="2820" spans="1:24">
      <c r="A2820" t="s">
        <v>358</v>
      </c>
      <c r="B2820" t="s">
        <v>687</v>
      </c>
      <c r="C2820" t="s">
        <v>285</v>
      </c>
      <c r="D2820" t="s">
        <v>131</v>
      </c>
      <c r="E2820" t="s">
        <v>377</v>
      </c>
      <c r="F2820" t="s">
        <v>384</v>
      </c>
      <c r="G2820" t="s">
        <v>69</v>
      </c>
      <c r="H2820" t="s">
        <v>749</v>
      </c>
      <c r="I2820">
        <v>2021</v>
      </c>
      <c r="J2820" t="s">
        <v>379</v>
      </c>
      <c r="K2820" t="s">
        <v>546</v>
      </c>
      <c r="L2820" s="784">
        <v>0</v>
      </c>
      <c r="M2820" t="s">
        <v>745</v>
      </c>
      <c r="N2820" s="784" t="s">
        <v>575</v>
      </c>
      <c r="O2820" t="s">
        <v>737</v>
      </c>
      <c r="P2820" t="s">
        <v>1887</v>
      </c>
      <c r="R2820" t="s">
        <v>150</v>
      </c>
      <c r="S2820" t="s">
        <v>145</v>
      </c>
      <c r="U2820">
        <v>0</v>
      </c>
      <c r="V2820" t="s">
        <v>544</v>
      </c>
      <c r="W2820" t="s">
        <v>546</v>
      </c>
      <c r="X2820" s="784">
        <v>1668954539.7630196</v>
      </c>
    </row>
    <row r="2821" spans="1:24">
      <c r="A2821" t="s">
        <v>358</v>
      </c>
      <c r="B2821" t="s">
        <v>688</v>
      </c>
      <c r="C2821" t="s">
        <v>286</v>
      </c>
      <c r="D2821" t="s">
        <v>127</v>
      </c>
      <c r="E2821" t="s">
        <v>377</v>
      </c>
      <c r="F2821" t="s">
        <v>384</v>
      </c>
      <c r="G2821" t="s">
        <v>69</v>
      </c>
      <c r="H2821" t="s">
        <v>749</v>
      </c>
      <c r="I2821">
        <v>2021</v>
      </c>
      <c r="J2821" t="s">
        <v>379</v>
      </c>
      <c r="K2821" t="s">
        <v>546</v>
      </c>
      <c r="L2821" s="784">
        <v>0</v>
      </c>
      <c r="M2821" t="s">
        <v>745</v>
      </c>
      <c r="N2821" s="784" t="s">
        <v>575</v>
      </c>
      <c r="O2821" t="s">
        <v>737</v>
      </c>
      <c r="P2821" t="s">
        <v>1887</v>
      </c>
      <c r="R2821" t="s">
        <v>152</v>
      </c>
      <c r="S2821" t="s">
        <v>146</v>
      </c>
      <c r="U2821">
        <v>0</v>
      </c>
      <c r="V2821" t="s">
        <v>544</v>
      </c>
      <c r="W2821" t="s">
        <v>575</v>
      </c>
      <c r="X2821" s="784">
        <v>24840920016.18832</v>
      </c>
    </row>
    <row r="2822" spans="1:24">
      <c r="A2822" t="s">
        <v>358</v>
      </c>
      <c r="B2822" t="s">
        <v>689</v>
      </c>
      <c r="C2822" t="s">
        <v>287</v>
      </c>
      <c r="D2822" t="s">
        <v>127</v>
      </c>
      <c r="E2822" t="s">
        <v>377</v>
      </c>
      <c r="F2822" t="s">
        <v>384</v>
      </c>
      <c r="G2822" t="s">
        <v>69</v>
      </c>
      <c r="H2822" t="s">
        <v>749</v>
      </c>
      <c r="I2822">
        <v>2021</v>
      </c>
      <c r="J2822" t="s">
        <v>379</v>
      </c>
      <c r="K2822" t="s">
        <v>546</v>
      </c>
      <c r="L2822" s="784">
        <v>0</v>
      </c>
      <c r="M2822" t="s">
        <v>745</v>
      </c>
      <c r="N2822" s="784" t="s">
        <v>575</v>
      </c>
      <c r="O2822" t="s">
        <v>737</v>
      </c>
      <c r="P2822" t="s">
        <v>1887</v>
      </c>
      <c r="R2822" t="s">
        <v>152</v>
      </c>
      <c r="S2822" t="s">
        <v>146</v>
      </c>
      <c r="U2822">
        <v>0</v>
      </c>
      <c r="V2822" t="s">
        <v>544</v>
      </c>
      <c r="W2822" t="s">
        <v>546</v>
      </c>
      <c r="X2822" s="784">
        <v>487888462.83720118</v>
      </c>
    </row>
    <row r="2823" spans="1:24">
      <c r="A2823" t="s">
        <v>358</v>
      </c>
      <c r="B2823" t="s">
        <v>690</v>
      </c>
      <c r="C2823" t="s">
        <v>288</v>
      </c>
      <c r="D2823" t="s">
        <v>126</v>
      </c>
      <c r="E2823" t="s">
        <v>377</v>
      </c>
      <c r="F2823" t="s">
        <v>384</v>
      </c>
      <c r="G2823" t="s">
        <v>69</v>
      </c>
      <c r="H2823" t="s">
        <v>749</v>
      </c>
      <c r="I2823">
        <v>2021</v>
      </c>
      <c r="J2823" t="s">
        <v>379</v>
      </c>
      <c r="K2823" t="s">
        <v>546</v>
      </c>
      <c r="L2823" s="784">
        <v>0</v>
      </c>
      <c r="M2823" t="s">
        <v>745</v>
      </c>
      <c r="N2823" s="784" t="s">
        <v>575</v>
      </c>
      <c r="O2823" t="s">
        <v>737</v>
      </c>
      <c r="P2823" t="s">
        <v>1887</v>
      </c>
      <c r="R2823" t="s">
        <v>152</v>
      </c>
      <c r="S2823" t="s">
        <v>145</v>
      </c>
      <c r="U2823">
        <v>0</v>
      </c>
      <c r="V2823" t="s">
        <v>541</v>
      </c>
      <c r="W2823" t="s">
        <v>548</v>
      </c>
      <c r="X2823" s="784">
        <v>6365061.1736073596</v>
      </c>
    </row>
    <row r="2824" spans="1:24">
      <c r="A2824" t="s">
        <v>358</v>
      </c>
      <c r="B2824" t="s">
        <v>691</v>
      </c>
      <c r="C2824" t="s">
        <v>289</v>
      </c>
      <c r="D2824" t="s">
        <v>128</v>
      </c>
      <c r="E2824" t="s">
        <v>377</v>
      </c>
      <c r="F2824" t="s">
        <v>384</v>
      </c>
      <c r="G2824" t="s">
        <v>69</v>
      </c>
      <c r="H2824" t="s">
        <v>749</v>
      </c>
      <c r="I2824">
        <v>2021</v>
      </c>
      <c r="J2824" t="s">
        <v>379</v>
      </c>
      <c r="K2824" t="s">
        <v>546</v>
      </c>
      <c r="L2824" s="784">
        <v>0</v>
      </c>
      <c r="M2824" t="s">
        <v>745</v>
      </c>
      <c r="N2824" s="784" t="s">
        <v>575</v>
      </c>
      <c r="O2824" t="s">
        <v>737</v>
      </c>
      <c r="P2824" t="s">
        <v>1887</v>
      </c>
      <c r="R2824" t="s">
        <v>148</v>
      </c>
      <c r="S2824" t="s">
        <v>145</v>
      </c>
      <c r="U2824">
        <v>2</v>
      </c>
      <c r="V2824" t="s">
        <v>544</v>
      </c>
      <c r="W2824" t="s">
        <v>558</v>
      </c>
      <c r="X2824" s="784">
        <v>291799092.90196139</v>
      </c>
    </row>
    <row r="2825" spans="1:24">
      <c r="A2825" t="s">
        <v>358</v>
      </c>
      <c r="B2825" t="s">
        <v>692</v>
      </c>
      <c r="C2825" t="s">
        <v>290</v>
      </c>
      <c r="D2825" t="s">
        <v>127</v>
      </c>
      <c r="E2825" t="s">
        <v>377</v>
      </c>
      <c r="F2825" t="s">
        <v>384</v>
      </c>
      <c r="G2825" t="s">
        <v>69</v>
      </c>
      <c r="H2825" t="s">
        <v>749</v>
      </c>
      <c r="I2825">
        <v>2021</v>
      </c>
      <c r="J2825" t="s">
        <v>379</v>
      </c>
      <c r="K2825" t="s">
        <v>546</v>
      </c>
      <c r="L2825" s="784">
        <v>0</v>
      </c>
      <c r="M2825" t="s">
        <v>745</v>
      </c>
      <c r="N2825" s="784" t="s">
        <v>575</v>
      </c>
      <c r="O2825" t="s">
        <v>737</v>
      </c>
      <c r="P2825" t="s">
        <v>1887</v>
      </c>
      <c r="R2825" t="s">
        <v>150</v>
      </c>
      <c r="S2825" t="s">
        <v>145</v>
      </c>
      <c r="U2825">
        <v>0</v>
      </c>
      <c r="V2825" t="s">
        <v>544</v>
      </c>
      <c r="W2825" t="s">
        <v>546</v>
      </c>
      <c r="X2825" s="784">
        <v>4844815340.2135534</v>
      </c>
    </row>
    <row r="2826" spans="1:24">
      <c r="A2826" t="s">
        <v>358</v>
      </c>
      <c r="B2826" t="s">
        <v>693</v>
      </c>
      <c r="C2826" t="s">
        <v>291</v>
      </c>
      <c r="D2826" t="s">
        <v>130</v>
      </c>
      <c r="E2826" t="s">
        <v>377</v>
      </c>
      <c r="F2826" t="s">
        <v>384</v>
      </c>
      <c r="G2826" t="s">
        <v>69</v>
      </c>
      <c r="H2826" t="s">
        <v>749</v>
      </c>
      <c r="I2826">
        <v>2021</v>
      </c>
      <c r="J2826" t="s">
        <v>379</v>
      </c>
      <c r="K2826" t="s">
        <v>546</v>
      </c>
      <c r="L2826" s="784">
        <v>0</v>
      </c>
      <c r="M2826" t="s">
        <v>745</v>
      </c>
      <c r="N2826" s="784" t="s">
        <v>575</v>
      </c>
      <c r="O2826" t="s">
        <v>737</v>
      </c>
      <c r="P2826" t="s">
        <v>1887</v>
      </c>
      <c r="R2826" t="s">
        <v>550</v>
      </c>
      <c r="S2826" t="s">
        <v>146</v>
      </c>
      <c r="U2826">
        <v>0</v>
      </c>
      <c r="V2826" t="s">
        <v>544</v>
      </c>
      <c r="W2826" t="s">
        <v>575</v>
      </c>
      <c r="X2826" s="784">
        <v>4001891446.6871672</v>
      </c>
    </row>
    <row r="2827" spans="1:24">
      <c r="A2827" t="s">
        <v>358</v>
      </c>
      <c r="B2827" t="s">
        <v>694</v>
      </c>
      <c r="C2827" t="s">
        <v>292</v>
      </c>
      <c r="D2827" t="s">
        <v>127</v>
      </c>
      <c r="E2827" t="s">
        <v>377</v>
      </c>
      <c r="F2827" t="s">
        <v>384</v>
      </c>
      <c r="G2827" t="s">
        <v>69</v>
      </c>
      <c r="H2827" t="s">
        <v>749</v>
      </c>
      <c r="I2827">
        <v>2021</v>
      </c>
      <c r="J2827" t="s">
        <v>379</v>
      </c>
      <c r="K2827" t="s">
        <v>546</v>
      </c>
      <c r="L2827" s="784">
        <v>0</v>
      </c>
      <c r="M2827" t="s">
        <v>745</v>
      </c>
      <c r="N2827" s="784" t="s">
        <v>575</v>
      </c>
      <c r="O2827" t="s">
        <v>737</v>
      </c>
      <c r="P2827" t="s">
        <v>1887</v>
      </c>
      <c r="R2827" t="s">
        <v>150</v>
      </c>
      <c r="S2827" t="s">
        <v>145</v>
      </c>
      <c r="U2827">
        <v>0</v>
      </c>
      <c r="V2827" t="s">
        <v>544</v>
      </c>
      <c r="W2827" t="s">
        <v>558</v>
      </c>
      <c r="X2827" s="784">
        <v>1019800630.5853213</v>
      </c>
    </row>
    <row r="2828" spans="1:24">
      <c r="A2828" t="s">
        <v>358</v>
      </c>
      <c r="B2828" t="s">
        <v>695</v>
      </c>
      <c r="C2828" t="s">
        <v>293</v>
      </c>
      <c r="D2828" t="s">
        <v>126</v>
      </c>
      <c r="E2828" t="s">
        <v>377</v>
      </c>
      <c r="F2828" t="s">
        <v>384</v>
      </c>
      <c r="G2828" t="s">
        <v>69</v>
      </c>
      <c r="H2828" t="s">
        <v>749</v>
      </c>
      <c r="I2828">
        <v>2021</v>
      </c>
      <c r="J2828" t="s">
        <v>379</v>
      </c>
      <c r="K2828" t="s">
        <v>546</v>
      </c>
      <c r="L2828" s="784">
        <v>0</v>
      </c>
      <c r="M2828" t="s">
        <v>745</v>
      </c>
      <c r="N2828" s="784" t="s">
        <v>575</v>
      </c>
      <c r="O2828" t="s">
        <v>737</v>
      </c>
      <c r="P2828" t="s">
        <v>1887</v>
      </c>
      <c r="R2828" t="s">
        <v>150</v>
      </c>
      <c r="S2828" t="s">
        <v>145</v>
      </c>
      <c r="U2828">
        <v>0</v>
      </c>
      <c r="V2828" t="s">
        <v>541</v>
      </c>
      <c r="W2828" t="s">
        <v>562</v>
      </c>
      <c r="X2828" s="784">
        <v>19578671.310841195</v>
      </c>
    </row>
    <row r="2829" spans="1:24">
      <c r="A2829" t="s">
        <v>358</v>
      </c>
      <c r="B2829" t="s">
        <v>696</v>
      </c>
      <c r="C2829" t="s">
        <v>294</v>
      </c>
      <c r="D2829" t="s">
        <v>130</v>
      </c>
      <c r="E2829" t="s">
        <v>377</v>
      </c>
      <c r="F2829" t="s">
        <v>384</v>
      </c>
      <c r="G2829" t="s">
        <v>69</v>
      </c>
      <c r="H2829" t="s">
        <v>749</v>
      </c>
      <c r="I2829">
        <v>2021</v>
      </c>
      <c r="J2829" t="s">
        <v>379</v>
      </c>
      <c r="K2829" t="s">
        <v>546</v>
      </c>
      <c r="L2829" s="784">
        <v>0</v>
      </c>
      <c r="M2829" t="s">
        <v>745</v>
      </c>
      <c r="N2829" s="784" t="s">
        <v>575</v>
      </c>
      <c r="O2829" t="s">
        <v>737</v>
      </c>
      <c r="P2829" t="s">
        <v>1887</v>
      </c>
      <c r="R2829" t="s">
        <v>322</v>
      </c>
      <c r="S2829" t="s">
        <v>146</v>
      </c>
      <c r="U2829">
        <v>0</v>
      </c>
      <c r="V2829" t="s">
        <v>544</v>
      </c>
      <c r="W2829" t="s">
        <v>546</v>
      </c>
      <c r="X2829" s="784">
        <v>3551452001.0684834</v>
      </c>
    </row>
    <row r="2830" spans="1:24">
      <c r="A2830" t="s">
        <v>358</v>
      </c>
      <c r="B2830" t="s">
        <v>697</v>
      </c>
      <c r="C2830" t="s">
        <v>295</v>
      </c>
      <c r="D2830" t="s">
        <v>126</v>
      </c>
      <c r="E2830" t="s">
        <v>377</v>
      </c>
      <c r="F2830" t="s">
        <v>384</v>
      </c>
      <c r="G2830" t="s">
        <v>69</v>
      </c>
      <c r="H2830" t="s">
        <v>749</v>
      </c>
      <c r="I2830">
        <v>2021</v>
      </c>
      <c r="J2830" t="s">
        <v>379</v>
      </c>
      <c r="K2830" t="s">
        <v>546</v>
      </c>
      <c r="L2830" s="784">
        <v>0</v>
      </c>
      <c r="M2830" t="s">
        <v>745</v>
      </c>
      <c r="N2830" s="784" t="s">
        <v>575</v>
      </c>
      <c r="O2830" t="s">
        <v>737</v>
      </c>
      <c r="P2830" t="s">
        <v>1887</v>
      </c>
      <c r="R2830" t="s">
        <v>150</v>
      </c>
      <c r="S2830" t="s">
        <v>145</v>
      </c>
      <c r="U2830">
        <v>0</v>
      </c>
      <c r="V2830" t="s">
        <v>544</v>
      </c>
      <c r="W2830" t="s">
        <v>546</v>
      </c>
      <c r="X2830" s="784">
        <v>6603048821.7575006</v>
      </c>
    </row>
    <row r="2831" spans="1:24">
      <c r="A2831" t="s">
        <v>358</v>
      </c>
      <c r="B2831" t="s">
        <v>698</v>
      </c>
      <c r="C2831" t="s">
        <v>296</v>
      </c>
      <c r="D2831" t="s">
        <v>131</v>
      </c>
      <c r="E2831" t="s">
        <v>377</v>
      </c>
      <c r="F2831" t="s">
        <v>384</v>
      </c>
      <c r="G2831" t="s">
        <v>69</v>
      </c>
      <c r="H2831" t="s">
        <v>749</v>
      </c>
      <c r="I2831">
        <v>2021</v>
      </c>
      <c r="J2831" t="s">
        <v>379</v>
      </c>
      <c r="K2831" t="s">
        <v>546</v>
      </c>
      <c r="L2831" s="784">
        <v>0</v>
      </c>
      <c r="M2831" t="s">
        <v>745</v>
      </c>
      <c r="N2831" s="784" t="s">
        <v>575</v>
      </c>
      <c r="O2831" t="s">
        <v>737</v>
      </c>
      <c r="P2831" t="s">
        <v>1887</v>
      </c>
      <c r="R2831" t="s">
        <v>148</v>
      </c>
      <c r="S2831" t="s">
        <v>145</v>
      </c>
      <c r="U2831">
        <v>1</v>
      </c>
      <c r="V2831" t="s">
        <v>544</v>
      </c>
      <c r="W2831" t="s">
        <v>548</v>
      </c>
      <c r="X2831" s="784" t="s">
        <v>575</v>
      </c>
    </row>
    <row r="2832" spans="1:24">
      <c r="A2832" t="s">
        <v>358</v>
      </c>
      <c r="B2832" t="s">
        <v>699</v>
      </c>
      <c r="C2832" t="s">
        <v>297</v>
      </c>
      <c r="D2832" t="s">
        <v>128</v>
      </c>
      <c r="E2832" t="s">
        <v>377</v>
      </c>
      <c r="F2832" t="s">
        <v>384</v>
      </c>
      <c r="G2832" t="s">
        <v>69</v>
      </c>
      <c r="H2832" t="s">
        <v>749</v>
      </c>
      <c r="I2832">
        <v>2021</v>
      </c>
      <c r="J2832" t="s">
        <v>379</v>
      </c>
      <c r="K2832" t="s">
        <v>546</v>
      </c>
      <c r="L2832" s="784">
        <v>0</v>
      </c>
      <c r="M2832" t="s">
        <v>745</v>
      </c>
      <c r="N2832" s="784" t="s">
        <v>575</v>
      </c>
      <c r="O2832" t="s">
        <v>737</v>
      </c>
      <c r="P2832" t="s">
        <v>1887</v>
      </c>
      <c r="R2832" t="s">
        <v>150</v>
      </c>
      <c r="S2832" t="s">
        <v>145</v>
      </c>
      <c r="U2832">
        <v>0</v>
      </c>
      <c r="V2832" t="s">
        <v>544</v>
      </c>
      <c r="W2832" t="s">
        <v>542</v>
      </c>
      <c r="X2832" s="784">
        <v>515352723.9821828</v>
      </c>
    </row>
    <row r="2833" spans="1:24">
      <c r="A2833" t="s">
        <v>358</v>
      </c>
      <c r="B2833" t="s">
        <v>700</v>
      </c>
      <c r="C2833" t="s">
        <v>298</v>
      </c>
      <c r="D2833" t="s">
        <v>128</v>
      </c>
      <c r="E2833" t="s">
        <v>377</v>
      </c>
      <c r="F2833" t="s">
        <v>384</v>
      </c>
      <c r="G2833" t="s">
        <v>69</v>
      </c>
      <c r="H2833" t="s">
        <v>749</v>
      </c>
      <c r="I2833">
        <v>2021</v>
      </c>
      <c r="J2833" t="s">
        <v>379</v>
      </c>
      <c r="K2833" t="s">
        <v>546</v>
      </c>
      <c r="L2833" s="784">
        <v>0</v>
      </c>
      <c r="M2833" t="s">
        <v>745</v>
      </c>
      <c r="N2833" s="784" t="s">
        <v>575</v>
      </c>
      <c r="O2833" t="s">
        <v>737</v>
      </c>
      <c r="P2833" t="s">
        <v>1887</v>
      </c>
      <c r="R2833" t="s">
        <v>150</v>
      </c>
      <c r="S2833" t="s">
        <v>145</v>
      </c>
      <c r="U2833">
        <v>0</v>
      </c>
      <c r="V2833" t="s">
        <v>544</v>
      </c>
      <c r="W2833" t="s">
        <v>546</v>
      </c>
      <c r="X2833" s="784">
        <v>566711742.22428358</v>
      </c>
    </row>
    <row r="2834" spans="1:24">
      <c r="A2834" t="s">
        <v>358</v>
      </c>
      <c r="B2834" t="s">
        <v>540</v>
      </c>
      <c r="C2834" t="s">
        <v>160</v>
      </c>
      <c r="D2834" t="s">
        <v>132</v>
      </c>
      <c r="E2834" t="s">
        <v>377</v>
      </c>
      <c r="F2834" t="s">
        <v>384</v>
      </c>
      <c r="G2834" t="s">
        <v>73</v>
      </c>
      <c r="H2834" t="s">
        <v>749</v>
      </c>
      <c r="I2834">
        <v>2021</v>
      </c>
      <c r="J2834" t="s">
        <v>379</v>
      </c>
      <c r="K2834" t="s">
        <v>546</v>
      </c>
      <c r="L2834" s="784">
        <v>0</v>
      </c>
      <c r="M2834" t="s">
        <v>745</v>
      </c>
      <c r="O2834" t="s">
        <v>737</v>
      </c>
      <c r="P2834" t="s">
        <v>1887</v>
      </c>
      <c r="R2834" t="s">
        <v>148</v>
      </c>
      <c r="S2834" t="s">
        <v>145</v>
      </c>
      <c r="U2834">
        <v>1</v>
      </c>
      <c r="V2834" t="s">
        <v>544</v>
      </c>
      <c r="W2834" t="s">
        <v>542</v>
      </c>
      <c r="X2834" s="784">
        <v>95829480.719269618</v>
      </c>
    </row>
    <row r="2835" spans="1:24">
      <c r="A2835" t="s">
        <v>358</v>
      </c>
      <c r="B2835" t="s">
        <v>543</v>
      </c>
      <c r="C2835" t="s">
        <v>161</v>
      </c>
      <c r="D2835" t="s">
        <v>127</v>
      </c>
      <c r="E2835" t="s">
        <v>377</v>
      </c>
      <c r="F2835" t="s">
        <v>384</v>
      </c>
      <c r="G2835" t="s">
        <v>73</v>
      </c>
      <c r="H2835" t="s">
        <v>749</v>
      </c>
      <c r="I2835">
        <v>2021</v>
      </c>
      <c r="J2835" t="s">
        <v>379</v>
      </c>
      <c r="K2835" t="s">
        <v>546</v>
      </c>
      <c r="L2835" s="784">
        <v>0</v>
      </c>
      <c r="M2835" t="s">
        <v>745</v>
      </c>
      <c r="O2835" t="s">
        <v>737</v>
      </c>
      <c r="P2835" t="s">
        <v>1887</v>
      </c>
      <c r="R2835" t="s">
        <v>152</v>
      </c>
      <c r="S2835" t="s">
        <v>146</v>
      </c>
      <c r="U2835">
        <v>0</v>
      </c>
      <c r="V2835" t="s">
        <v>544</v>
      </c>
      <c r="W2835" t="s">
        <v>575</v>
      </c>
      <c r="X2835" s="784">
        <v>427904035.52443534</v>
      </c>
    </row>
    <row r="2836" spans="1:24">
      <c r="A2836" t="s">
        <v>358</v>
      </c>
      <c r="B2836" t="s">
        <v>545</v>
      </c>
      <c r="C2836" t="s">
        <v>143</v>
      </c>
      <c r="D2836" t="s">
        <v>131</v>
      </c>
      <c r="E2836" t="s">
        <v>377</v>
      </c>
      <c r="F2836" t="s">
        <v>384</v>
      </c>
      <c r="G2836" t="s">
        <v>73</v>
      </c>
      <c r="H2836" t="s">
        <v>749</v>
      </c>
      <c r="I2836">
        <v>2021</v>
      </c>
      <c r="J2836" t="s">
        <v>379</v>
      </c>
      <c r="K2836" t="s">
        <v>546</v>
      </c>
      <c r="L2836" s="784">
        <v>0</v>
      </c>
      <c r="M2836" t="s">
        <v>745</v>
      </c>
      <c r="O2836" t="s">
        <v>737</v>
      </c>
      <c r="P2836" t="s">
        <v>1887</v>
      </c>
      <c r="R2836" t="s">
        <v>150</v>
      </c>
      <c r="S2836" t="s">
        <v>145</v>
      </c>
      <c r="U2836">
        <v>0</v>
      </c>
      <c r="V2836" t="s">
        <v>544</v>
      </c>
      <c r="W2836" t="s">
        <v>546</v>
      </c>
      <c r="X2836" s="784">
        <v>7113361022.7267885</v>
      </c>
    </row>
    <row r="2837" spans="1:24">
      <c r="A2837" t="s">
        <v>358</v>
      </c>
      <c r="B2837" t="s">
        <v>547</v>
      </c>
      <c r="C2837" t="s">
        <v>162</v>
      </c>
      <c r="D2837" t="s">
        <v>128</v>
      </c>
      <c r="E2837" t="s">
        <v>377</v>
      </c>
      <c r="F2837" t="s">
        <v>384</v>
      </c>
      <c r="G2837" t="s">
        <v>73</v>
      </c>
      <c r="H2837" t="s">
        <v>749</v>
      </c>
      <c r="I2837">
        <v>2021</v>
      </c>
      <c r="J2837" t="s">
        <v>379</v>
      </c>
      <c r="K2837" t="s">
        <v>546</v>
      </c>
      <c r="L2837" s="784">
        <v>0</v>
      </c>
      <c r="M2837" t="s">
        <v>745</v>
      </c>
      <c r="O2837" t="s">
        <v>737</v>
      </c>
      <c r="P2837" t="s">
        <v>1887</v>
      </c>
      <c r="R2837" t="s">
        <v>150</v>
      </c>
      <c r="S2837" t="s">
        <v>145</v>
      </c>
      <c r="U2837">
        <v>0</v>
      </c>
      <c r="V2837" t="s">
        <v>544</v>
      </c>
      <c r="W2837" t="s">
        <v>548</v>
      </c>
      <c r="X2837" s="784">
        <v>1131865946.5875781</v>
      </c>
    </row>
    <row r="2838" spans="1:24">
      <c r="A2838" t="s">
        <v>358</v>
      </c>
      <c r="B2838" t="s">
        <v>549</v>
      </c>
      <c r="C2838" t="s">
        <v>163</v>
      </c>
      <c r="D2838" t="s">
        <v>130</v>
      </c>
      <c r="E2838" t="s">
        <v>377</v>
      </c>
      <c r="F2838" t="s">
        <v>384</v>
      </c>
      <c r="G2838" t="s">
        <v>73</v>
      </c>
      <c r="H2838" t="s">
        <v>749</v>
      </c>
      <c r="I2838">
        <v>2021</v>
      </c>
      <c r="J2838" t="s">
        <v>379</v>
      </c>
      <c r="K2838" t="s">
        <v>546</v>
      </c>
      <c r="L2838" s="784">
        <v>0</v>
      </c>
      <c r="M2838" t="s">
        <v>745</v>
      </c>
      <c r="O2838" t="s">
        <v>737</v>
      </c>
      <c r="P2838" t="s">
        <v>1887</v>
      </c>
      <c r="R2838" t="s">
        <v>550</v>
      </c>
      <c r="S2838" t="s">
        <v>146</v>
      </c>
      <c r="U2838">
        <v>0</v>
      </c>
      <c r="V2838" t="s">
        <v>541</v>
      </c>
      <c r="W2838" t="s">
        <v>575</v>
      </c>
      <c r="X2838" s="784">
        <v>46777779.823447868</v>
      </c>
    </row>
    <row r="2839" spans="1:24">
      <c r="A2839" t="s">
        <v>358</v>
      </c>
      <c r="B2839" t="s">
        <v>551</v>
      </c>
      <c r="C2839" t="s">
        <v>164</v>
      </c>
      <c r="D2839" t="s">
        <v>130</v>
      </c>
      <c r="E2839" t="s">
        <v>377</v>
      </c>
      <c r="F2839" t="s">
        <v>384</v>
      </c>
      <c r="G2839" t="s">
        <v>73</v>
      </c>
      <c r="H2839" t="s">
        <v>749</v>
      </c>
      <c r="I2839">
        <v>2021</v>
      </c>
      <c r="J2839" t="s">
        <v>379</v>
      </c>
      <c r="K2839" t="s">
        <v>546</v>
      </c>
      <c r="L2839" s="784">
        <v>0</v>
      </c>
      <c r="M2839" t="s">
        <v>745</v>
      </c>
      <c r="O2839" t="s">
        <v>737</v>
      </c>
      <c r="P2839" t="s">
        <v>1887</v>
      </c>
      <c r="R2839" t="s">
        <v>152</v>
      </c>
      <c r="S2839" t="s">
        <v>146</v>
      </c>
      <c r="U2839">
        <v>0</v>
      </c>
      <c r="V2839" t="s">
        <v>544</v>
      </c>
      <c r="W2839" t="s">
        <v>575</v>
      </c>
      <c r="X2839" s="784">
        <v>30725305777.596794</v>
      </c>
    </row>
    <row r="2840" spans="1:24">
      <c r="A2840" t="s">
        <v>358</v>
      </c>
      <c r="B2840" t="s">
        <v>553</v>
      </c>
      <c r="C2840" t="s">
        <v>165</v>
      </c>
      <c r="D2840" t="s">
        <v>127</v>
      </c>
      <c r="E2840" t="s">
        <v>377</v>
      </c>
      <c r="F2840" t="s">
        <v>384</v>
      </c>
      <c r="G2840" t="s">
        <v>73</v>
      </c>
      <c r="H2840" t="s">
        <v>749</v>
      </c>
      <c r="I2840">
        <v>2021</v>
      </c>
      <c r="J2840" t="s">
        <v>379</v>
      </c>
      <c r="K2840" t="s">
        <v>546</v>
      </c>
      <c r="L2840" s="784">
        <v>0</v>
      </c>
      <c r="M2840" t="s">
        <v>745</v>
      </c>
      <c r="O2840" t="s">
        <v>737</v>
      </c>
      <c r="P2840" t="s">
        <v>1887</v>
      </c>
      <c r="R2840" t="s">
        <v>152</v>
      </c>
      <c r="S2840" t="s">
        <v>146</v>
      </c>
      <c r="U2840">
        <v>0</v>
      </c>
      <c r="V2840" t="s">
        <v>544</v>
      </c>
      <c r="W2840" t="s">
        <v>575</v>
      </c>
      <c r="X2840" s="784">
        <v>153815827.8380394</v>
      </c>
    </row>
    <row r="2841" spans="1:24">
      <c r="A2841" t="s">
        <v>358</v>
      </c>
      <c r="B2841" t="s">
        <v>554</v>
      </c>
      <c r="C2841" t="s">
        <v>166</v>
      </c>
      <c r="D2841" t="s">
        <v>127</v>
      </c>
      <c r="E2841" t="s">
        <v>377</v>
      </c>
      <c r="F2841" t="s">
        <v>384</v>
      </c>
      <c r="G2841" t="s">
        <v>73</v>
      </c>
      <c r="H2841" t="s">
        <v>749</v>
      </c>
      <c r="I2841">
        <v>2021</v>
      </c>
      <c r="J2841" t="s">
        <v>379</v>
      </c>
      <c r="K2841" t="s">
        <v>546</v>
      </c>
      <c r="L2841" s="784">
        <v>0</v>
      </c>
      <c r="M2841" t="s">
        <v>745</v>
      </c>
      <c r="O2841" t="s">
        <v>737</v>
      </c>
      <c r="P2841" t="s">
        <v>1887</v>
      </c>
      <c r="R2841" t="s">
        <v>152</v>
      </c>
      <c r="S2841" t="s">
        <v>146</v>
      </c>
      <c r="U2841">
        <v>0</v>
      </c>
      <c r="V2841" t="s">
        <v>544</v>
      </c>
      <c r="W2841" t="s">
        <v>546</v>
      </c>
      <c r="X2841" s="784">
        <v>437525105.31216973</v>
      </c>
    </row>
    <row r="2842" spans="1:24">
      <c r="A2842" t="s">
        <v>358</v>
      </c>
      <c r="B2842" t="s">
        <v>555</v>
      </c>
      <c r="C2842" t="s">
        <v>556</v>
      </c>
      <c r="D2842" t="s">
        <v>130</v>
      </c>
      <c r="E2842" t="s">
        <v>377</v>
      </c>
      <c r="F2842" t="s">
        <v>384</v>
      </c>
      <c r="G2842" t="s">
        <v>73</v>
      </c>
      <c r="H2842" t="s">
        <v>749</v>
      </c>
      <c r="I2842">
        <v>2021</v>
      </c>
      <c r="J2842" t="s">
        <v>379</v>
      </c>
      <c r="K2842" t="s">
        <v>546</v>
      </c>
      <c r="L2842" s="784">
        <v>0</v>
      </c>
      <c r="M2842" t="s">
        <v>745</v>
      </c>
      <c r="O2842" t="s">
        <v>737</v>
      </c>
      <c r="P2842" t="s">
        <v>1887</v>
      </c>
      <c r="R2842" t="s">
        <v>550</v>
      </c>
      <c r="S2842" t="s">
        <v>146</v>
      </c>
      <c r="U2842">
        <v>0</v>
      </c>
      <c r="V2842" t="s">
        <v>541</v>
      </c>
      <c r="W2842" t="s">
        <v>575</v>
      </c>
      <c r="X2842" s="784">
        <v>149463302.00602186</v>
      </c>
    </row>
    <row r="2843" spans="1:24">
      <c r="A2843" t="s">
        <v>358</v>
      </c>
      <c r="B2843" t="s">
        <v>557</v>
      </c>
      <c r="C2843" t="s">
        <v>167</v>
      </c>
      <c r="D2843" t="s">
        <v>132</v>
      </c>
      <c r="E2843" t="s">
        <v>377</v>
      </c>
      <c r="F2843" t="s">
        <v>384</v>
      </c>
      <c r="G2843" t="s">
        <v>73</v>
      </c>
      <c r="H2843" t="s">
        <v>749</v>
      </c>
      <c r="I2843">
        <v>2021</v>
      </c>
      <c r="J2843" t="s">
        <v>379</v>
      </c>
      <c r="K2843" t="s">
        <v>546</v>
      </c>
      <c r="L2843" s="784">
        <v>0</v>
      </c>
      <c r="M2843" t="s">
        <v>745</v>
      </c>
      <c r="O2843" t="s">
        <v>737</v>
      </c>
      <c r="P2843" t="s">
        <v>1887</v>
      </c>
      <c r="R2843" t="s">
        <v>150</v>
      </c>
      <c r="S2843" t="s">
        <v>145</v>
      </c>
      <c r="U2843">
        <v>0</v>
      </c>
      <c r="V2843" t="s">
        <v>544</v>
      </c>
      <c r="W2843" t="s">
        <v>558</v>
      </c>
      <c r="X2843" s="784">
        <v>1148322593.9600098</v>
      </c>
    </row>
    <row r="2844" spans="1:24">
      <c r="A2844" t="s">
        <v>358</v>
      </c>
      <c r="B2844" t="s">
        <v>559</v>
      </c>
      <c r="C2844" t="s">
        <v>168</v>
      </c>
      <c r="D2844" t="s">
        <v>127</v>
      </c>
      <c r="E2844" t="s">
        <v>377</v>
      </c>
      <c r="F2844" t="s">
        <v>384</v>
      </c>
      <c r="G2844" t="s">
        <v>73</v>
      </c>
      <c r="H2844" t="s">
        <v>749</v>
      </c>
      <c r="I2844">
        <v>2021</v>
      </c>
      <c r="J2844" t="s">
        <v>379</v>
      </c>
      <c r="K2844" t="s">
        <v>546</v>
      </c>
      <c r="L2844" s="784">
        <v>0</v>
      </c>
      <c r="M2844" t="s">
        <v>745</v>
      </c>
      <c r="O2844" t="s">
        <v>737</v>
      </c>
      <c r="P2844" t="s">
        <v>1887</v>
      </c>
      <c r="R2844" t="s">
        <v>152</v>
      </c>
      <c r="S2844" t="s">
        <v>146</v>
      </c>
      <c r="U2844">
        <v>0</v>
      </c>
      <c r="V2844" t="s">
        <v>544</v>
      </c>
      <c r="W2844" t="s">
        <v>575</v>
      </c>
      <c r="X2844" s="784">
        <v>2371102058.1093163</v>
      </c>
    </row>
    <row r="2845" spans="1:24">
      <c r="A2845" t="s">
        <v>358</v>
      </c>
      <c r="B2845" t="s">
        <v>560</v>
      </c>
      <c r="C2845" t="s">
        <v>169</v>
      </c>
      <c r="D2845" t="s">
        <v>130</v>
      </c>
      <c r="E2845" t="s">
        <v>377</v>
      </c>
      <c r="F2845" t="s">
        <v>384</v>
      </c>
      <c r="G2845" t="s">
        <v>73</v>
      </c>
      <c r="H2845" t="s">
        <v>749</v>
      </c>
      <c r="I2845">
        <v>2021</v>
      </c>
      <c r="J2845" t="s">
        <v>379</v>
      </c>
      <c r="K2845" t="s">
        <v>546</v>
      </c>
      <c r="L2845" s="784">
        <v>0</v>
      </c>
      <c r="M2845" t="s">
        <v>745</v>
      </c>
      <c r="O2845" t="s">
        <v>737</v>
      </c>
      <c r="P2845" t="s">
        <v>1887</v>
      </c>
      <c r="R2845" t="s">
        <v>150</v>
      </c>
      <c r="S2845" t="s">
        <v>146</v>
      </c>
      <c r="U2845">
        <v>0</v>
      </c>
      <c r="V2845" t="s">
        <v>541</v>
      </c>
      <c r="W2845" t="s">
        <v>546</v>
      </c>
      <c r="X2845" s="784">
        <v>75151620.005215243</v>
      </c>
    </row>
    <row r="2846" spans="1:24">
      <c r="A2846" t="s">
        <v>358</v>
      </c>
      <c r="B2846" t="s">
        <v>561</v>
      </c>
      <c r="C2846" t="s">
        <v>170</v>
      </c>
      <c r="D2846" t="s">
        <v>129</v>
      </c>
      <c r="E2846" t="s">
        <v>377</v>
      </c>
      <c r="F2846" t="s">
        <v>384</v>
      </c>
      <c r="G2846" t="s">
        <v>73</v>
      </c>
      <c r="H2846" t="s">
        <v>749</v>
      </c>
      <c r="I2846">
        <v>2021</v>
      </c>
      <c r="J2846" t="s">
        <v>379</v>
      </c>
      <c r="K2846" t="s">
        <v>546</v>
      </c>
      <c r="L2846" s="784">
        <v>0</v>
      </c>
      <c r="M2846" t="s">
        <v>745</v>
      </c>
      <c r="O2846" t="s">
        <v>737</v>
      </c>
      <c r="P2846" t="s">
        <v>1887</v>
      </c>
      <c r="R2846" t="s">
        <v>150</v>
      </c>
      <c r="S2846" t="s">
        <v>145</v>
      </c>
      <c r="U2846">
        <v>0</v>
      </c>
      <c r="V2846" t="s">
        <v>544</v>
      </c>
      <c r="W2846" t="s">
        <v>562</v>
      </c>
      <c r="X2846" s="784">
        <v>69958487.197715744</v>
      </c>
    </row>
    <row r="2847" spans="1:24">
      <c r="A2847" t="s">
        <v>358</v>
      </c>
      <c r="B2847" t="s">
        <v>563</v>
      </c>
      <c r="C2847" t="s">
        <v>171</v>
      </c>
      <c r="D2847" t="s">
        <v>132</v>
      </c>
      <c r="E2847" t="s">
        <v>377</v>
      </c>
      <c r="F2847" t="s">
        <v>384</v>
      </c>
      <c r="G2847" t="s">
        <v>73</v>
      </c>
      <c r="H2847" t="s">
        <v>749</v>
      </c>
      <c r="I2847">
        <v>2021</v>
      </c>
      <c r="J2847" t="s">
        <v>379</v>
      </c>
      <c r="K2847" t="s">
        <v>546</v>
      </c>
      <c r="L2847" s="784">
        <v>0</v>
      </c>
      <c r="M2847" t="s">
        <v>745</v>
      </c>
      <c r="O2847" t="s">
        <v>737</v>
      </c>
      <c r="P2847" t="s">
        <v>1887</v>
      </c>
      <c r="R2847" t="s">
        <v>150</v>
      </c>
      <c r="S2847" t="s">
        <v>145</v>
      </c>
      <c r="U2847">
        <v>0</v>
      </c>
      <c r="V2847" t="s">
        <v>544</v>
      </c>
      <c r="W2847" t="s">
        <v>548</v>
      </c>
      <c r="X2847" s="784">
        <v>61654608.560629159</v>
      </c>
    </row>
    <row r="2848" spans="1:24">
      <c r="A2848" t="s">
        <v>358</v>
      </c>
      <c r="B2848" t="s">
        <v>564</v>
      </c>
      <c r="C2848" t="s">
        <v>172</v>
      </c>
      <c r="D2848" t="s">
        <v>130</v>
      </c>
      <c r="E2848" t="s">
        <v>377</v>
      </c>
      <c r="F2848" t="s">
        <v>384</v>
      </c>
      <c r="G2848" t="s">
        <v>73</v>
      </c>
      <c r="H2848" t="s">
        <v>749</v>
      </c>
      <c r="I2848">
        <v>2021</v>
      </c>
      <c r="J2848" t="s">
        <v>379</v>
      </c>
      <c r="K2848" t="s">
        <v>546</v>
      </c>
      <c r="L2848" s="784">
        <v>0</v>
      </c>
      <c r="M2848" t="s">
        <v>745</v>
      </c>
      <c r="O2848" t="s">
        <v>737</v>
      </c>
      <c r="P2848" t="s">
        <v>1887</v>
      </c>
      <c r="R2848" t="s">
        <v>150</v>
      </c>
      <c r="S2848" t="s">
        <v>145</v>
      </c>
      <c r="U2848">
        <v>0</v>
      </c>
      <c r="V2848" t="s">
        <v>544</v>
      </c>
      <c r="W2848" t="s">
        <v>546</v>
      </c>
      <c r="X2848" s="784">
        <v>1806638707.7615163</v>
      </c>
    </row>
    <row r="2849" spans="1:24">
      <c r="A2849" t="s">
        <v>358</v>
      </c>
      <c r="B2849" t="s">
        <v>565</v>
      </c>
      <c r="C2849" t="s">
        <v>174</v>
      </c>
      <c r="D2849" t="s">
        <v>127</v>
      </c>
      <c r="E2849" t="s">
        <v>377</v>
      </c>
      <c r="F2849" t="s">
        <v>384</v>
      </c>
      <c r="G2849" t="s">
        <v>73</v>
      </c>
      <c r="H2849" t="s">
        <v>749</v>
      </c>
      <c r="I2849">
        <v>2021</v>
      </c>
      <c r="J2849" t="s">
        <v>379</v>
      </c>
      <c r="K2849" t="s">
        <v>546</v>
      </c>
      <c r="L2849" s="784">
        <v>0</v>
      </c>
      <c r="M2849" t="s">
        <v>745</v>
      </c>
      <c r="O2849" t="s">
        <v>737</v>
      </c>
      <c r="P2849" t="s">
        <v>1887</v>
      </c>
      <c r="R2849" t="s">
        <v>152</v>
      </c>
      <c r="S2849" t="s">
        <v>146</v>
      </c>
      <c r="U2849">
        <v>0</v>
      </c>
      <c r="V2849" t="s">
        <v>544</v>
      </c>
      <c r="W2849" t="s">
        <v>546</v>
      </c>
      <c r="X2849" s="784">
        <v>1252696525.0627904</v>
      </c>
    </row>
    <row r="2850" spans="1:24">
      <c r="A2850" t="s">
        <v>358</v>
      </c>
      <c r="B2850" t="s">
        <v>566</v>
      </c>
      <c r="C2850" t="s">
        <v>175</v>
      </c>
      <c r="D2850" t="s">
        <v>128</v>
      </c>
      <c r="E2850" t="s">
        <v>377</v>
      </c>
      <c r="F2850" t="s">
        <v>384</v>
      </c>
      <c r="G2850" t="s">
        <v>73</v>
      </c>
      <c r="H2850" t="s">
        <v>749</v>
      </c>
      <c r="I2850">
        <v>2021</v>
      </c>
      <c r="J2850" t="s">
        <v>379</v>
      </c>
      <c r="K2850" t="s">
        <v>546</v>
      </c>
      <c r="L2850" s="784">
        <v>0</v>
      </c>
      <c r="M2850" t="s">
        <v>745</v>
      </c>
      <c r="O2850" t="s">
        <v>737</v>
      </c>
      <c r="P2850" t="s">
        <v>1887</v>
      </c>
      <c r="R2850" t="s">
        <v>152</v>
      </c>
      <c r="S2850" t="s">
        <v>146</v>
      </c>
      <c r="U2850">
        <v>0</v>
      </c>
      <c r="V2850" t="s">
        <v>544</v>
      </c>
      <c r="W2850" t="s">
        <v>575</v>
      </c>
      <c r="X2850" s="784">
        <v>843425084.07334602</v>
      </c>
    </row>
    <row r="2851" spans="1:24">
      <c r="A2851" t="s">
        <v>358</v>
      </c>
      <c r="B2851" t="s">
        <v>567</v>
      </c>
      <c r="C2851" t="s">
        <v>144</v>
      </c>
      <c r="D2851" t="s">
        <v>130</v>
      </c>
      <c r="E2851" t="s">
        <v>377</v>
      </c>
      <c r="F2851" t="s">
        <v>384</v>
      </c>
      <c r="G2851" t="s">
        <v>73</v>
      </c>
      <c r="H2851" t="s">
        <v>749</v>
      </c>
      <c r="I2851">
        <v>2021</v>
      </c>
      <c r="J2851" t="s">
        <v>379</v>
      </c>
      <c r="K2851" t="s">
        <v>546</v>
      </c>
      <c r="L2851" s="784">
        <v>0</v>
      </c>
      <c r="M2851" t="s">
        <v>745</v>
      </c>
      <c r="O2851" t="s">
        <v>737</v>
      </c>
      <c r="P2851" t="s">
        <v>1887</v>
      </c>
      <c r="R2851" t="s">
        <v>152</v>
      </c>
      <c r="S2851" t="s">
        <v>146</v>
      </c>
      <c r="U2851">
        <v>0</v>
      </c>
      <c r="V2851" t="s">
        <v>544</v>
      </c>
      <c r="W2851" t="s">
        <v>546</v>
      </c>
      <c r="X2851" s="784">
        <v>74055620038.853683</v>
      </c>
    </row>
    <row r="2852" spans="1:24">
      <c r="A2852" t="s">
        <v>358</v>
      </c>
      <c r="B2852" t="s">
        <v>568</v>
      </c>
      <c r="C2852" t="s">
        <v>176</v>
      </c>
      <c r="D2852" t="s">
        <v>127</v>
      </c>
      <c r="E2852" t="s">
        <v>377</v>
      </c>
      <c r="F2852" t="s">
        <v>384</v>
      </c>
      <c r="G2852" t="s">
        <v>73</v>
      </c>
      <c r="H2852" t="s">
        <v>749</v>
      </c>
      <c r="I2852">
        <v>2021</v>
      </c>
      <c r="J2852" t="s">
        <v>379</v>
      </c>
      <c r="K2852" t="s">
        <v>546</v>
      </c>
      <c r="L2852" s="784">
        <v>0</v>
      </c>
      <c r="M2852" t="s">
        <v>745</v>
      </c>
      <c r="O2852" t="s">
        <v>737</v>
      </c>
      <c r="P2852" t="s">
        <v>1887</v>
      </c>
      <c r="R2852" t="s">
        <v>152</v>
      </c>
      <c r="S2852" t="s">
        <v>146</v>
      </c>
      <c r="U2852">
        <v>0</v>
      </c>
      <c r="V2852" t="s">
        <v>544</v>
      </c>
      <c r="W2852" t="s">
        <v>575</v>
      </c>
      <c r="X2852" s="784">
        <v>2803357765.5888777</v>
      </c>
    </row>
    <row r="2853" spans="1:24">
      <c r="A2853" t="s">
        <v>358</v>
      </c>
      <c r="B2853" t="s">
        <v>569</v>
      </c>
      <c r="C2853" t="s">
        <v>177</v>
      </c>
      <c r="D2853" t="s">
        <v>129</v>
      </c>
      <c r="E2853" t="s">
        <v>377</v>
      </c>
      <c r="F2853" t="s">
        <v>384</v>
      </c>
      <c r="G2853" t="s">
        <v>73</v>
      </c>
      <c r="H2853" t="s">
        <v>749</v>
      </c>
      <c r="I2853">
        <v>2021</v>
      </c>
      <c r="J2853" t="s">
        <v>379</v>
      </c>
      <c r="K2853" t="s">
        <v>546</v>
      </c>
      <c r="L2853" s="784">
        <v>0</v>
      </c>
      <c r="M2853" t="s">
        <v>745</v>
      </c>
      <c r="O2853" t="s">
        <v>737</v>
      </c>
      <c r="P2853" t="s">
        <v>1887</v>
      </c>
      <c r="R2853" t="s">
        <v>148</v>
      </c>
      <c r="S2853" t="s">
        <v>145</v>
      </c>
      <c r="U2853">
        <v>2</v>
      </c>
      <c r="V2853" t="s">
        <v>544</v>
      </c>
      <c r="W2853" t="s">
        <v>562</v>
      </c>
      <c r="X2853" s="784">
        <v>337927779.25510043</v>
      </c>
    </row>
    <row r="2854" spans="1:24">
      <c r="A2854" t="s">
        <v>358</v>
      </c>
      <c r="B2854" t="s">
        <v>570</v>
      </c>
      <c r="C2854" t="s">
        <v>178</v>
      </c>
      <c r="D2854" t="s">
        <v>128</v>
      </c>
      <c r="E2854" t="s">
        <v>377</v>
      </c>
      <c r="F2854" t="s">
        <v>384</v>
      </c>
      <c r="G2854" t="s">
        <v>73</v>
      </c>
      <c r="H2854" t="s">
        <v>749</v>
      </c>
      <c r="I2854">
        <v>2021</v>
      </c>
      <c r="J2854" t="s">
        <v>379</v>
      </c>
      <c r="K2854" t="s">
        <v>546</v>
      </c>
      <c r="L2854" s="784">
        <v>0</v>
      </c>
      <c r="M2854" t="s">
        <v>745</v>
      </c>
      <c r="O2854" t="s">
        <v>737</v>
      </c>
      <c r="P2854" t="s">
        <v>1887</v>
      </c>
      <c r="R2854" t="s">
        <v>148</v>
      </c>
      <c r="S2854" t="s">
        <v>145</v>
      </c>
      <c r="U2854">
        <v>2</v>
      </c>
      <c r="V2854" t="s">
        <v>544</v>
      </c>
      <c r="W2854" t="s">
        <v>548</v>
      </c>
      <c r="X2854" s="784">
        <v>65979512.47399316</v>
      </c>
    </row>
    <row r="2855" spans="1:24">
      <c r="A2855" t="s">
        <v>358</v>
      </c>
      <c r="B2855" t="s">
        <v>571</v>
      </c>
      <c r="C2855" t="s">
        <v>179</v>
      </c>
      <c r="D2855" t="s">
        <v>129</v>
      </c>
      <c r="E2855" t="s">
        <v>377</v>
      </c>
      <c r="F2855" t="s">
        <v>384</v>
      </c>
      <c r="G2855" t="s">
        <v>73</v>
      </c>
      <c r="H2855" t="s">
        <v>749</v>
      </c>
      <c r="I2855">
        <v>2021</v>
      </c>
      <c r="J2855" t="s">
        <v>379</v>
      </c>
      <c r="K2855" t="s">
        <v>546</v>
      </c>
      <c r="L2855" s="784">
        <v>0</v>
      </c>
      <c r="M2855" t="s">
        <v>745</v>
      </c>
      <c r="O2855" t="s">
        <v>737</v>
      </c>
      <c r="P2855" t="s">
        <v>1887</v>
      </c>
      <c r="R2855" t="s">
        <v>150</v>
      </c>
      <c r="S2855" t="s">
        <v>145</v>
      </c>
      <c r="U2855">
        <v>0</v>
      </c>
      <c r="V2855" t="s">
        <v>541</v>
      </c>
      <c r="W2855" t="s">
        <v>542</v>
      </c>
      <c r="X2855" s="784">
        <v>63748362.778827004</v>
      </c>
    </row>
    <row r="2856" spans="1:24">
      <c r="A2856" t="s">
        <v>358</v>
      </c>
      <c r="B2856" t="s">
        <v>572</v>
      </c>
      <c r="C2856" t="s">
        <v>180</v>
      </c>
      <c r="D2856" t="s">
        <v>126</v>
      </c>
      <c r="E2856" t="s">
        <v>377</v>
      </c>
      <c r="F2856" t="s">
        <v>384</v>
      </c>
      <c r="G2856" t="s">
        <v>73</v>
      </c>
      <c r="H2856" t="s">
        <v>749</v>
      </c>
      <c r="I2856">
        <v>2021</v>
      </c>
      <c r="J2856" t="s">
        <v>379</v>
      </c>
      <c r="K2856" t="s">
        <v>546</v>
      </c>
      <c r="L2856" s="784">
        <v>279000</v>
      </c>
      <c r="M2856" t="s">
        <v>745</v>
      </c>
      <c r="O2856" t="s">
        <v>737</v>
      </c>
      <c r="P2856" t="s">
        <v>1887</v>
      </c>
      <c r="R2856" t="s">
        <v>150</v>
      </c>
      <c r="S2856" t="s">
        <v>145</v>
      </c>
      <c r="U2856">
        <v>0</v>
      </c>
      <c r="V2856" t="s">
        <v>544</v>
      </c>
      <c r="W2856" t="s">
        <v>558</v>
      </c>
      <c r="X2856" s="784">
        <v>313039649.45369786</v>
      </c>
    </row>
    <row r="2857" spans="1:24">
      <c r="A2857" t="s">
        <v>358</v>
      </c>
      <c r="B2857" t="s">
        <v>573</v>
      </c>
      <c r="C2857" t="s">
        <v>181</v>
      </c>
      <c r="D2857" t="s">
        <v>129</v>
      </c>
      <c r="E2857" t="s">
        <v>377</v>
      </c>
      <c r="F2857" t="s">
        <v>384</v>
      </c>
      <c r="G2857" t="s">
        <v>73</v>
      </c>
      <c r="H2857" t="s">
        <v>749</v>
      </c>
      <c r="I2857">
        <v>2021</v>
      </c>
      <c r="J2857" t="s">
        <v>379</v>
      </c>
      <c r="K2857" t="s">
        <v>546</v>
      </c>
      <c r="L2857" s="784">
        <v>0</v>
      </c>
      <c r="M2857" t="s">
        <v>745</v>
      </c>
      <c r="O2857" t="s">
        <v>737</v>
      </c>
      <c r="P2857" t="s">
        <v>1887</v>
      </c>
      <c r="R2857" t="s">
        <v>150</v>
      </c>
      <c r="S2857" t="s">
        <v>145</v>
      </c>
      <c r="U2857">
        <v>2</v>
      </c>
      <c r="V2857" t="s">
        <v>544</v>
      </c>
      <c r="W2857" t="s">
        <v>542</v>
      </c>
      <c r="X2857" s="784">
        <v>81361801.477472037</v>
      </c>
    </row>
    <row r="2858" spans="1:24">
      <c r="A2858" t="s">
        <v>358</v>
      </c>
      <c r="B2858" t="s">
        <v>574</v>
      </c>
      <c r="C2858" t="s">
        <v>182</v>
      </c>
      <c r="D2858" t="s">
        <v>129</v>
      </c>
      <c r="E2858" t="s">
        <v>377</v>
      </c>
      <c r="F2858" t="s">
        <v>384</v>
      </c>
      <c r="G2858" t="s">
        <v>73</v>
      </c>
      <c r="H2858" t="s">
        <v>749</v>
      </c>
      <c r="I2858">
        <v>2021</v>
      </c>
      <c r="J2858" t="s">
        <v>379</v>
      </c>
      <c r="K2858" t="s">
        <v>546</v>
      </c>
      <c r="L2858" s="784">
        <v>0</v>
      </c>
      <c r="M2858" t="s">
        <v>745</v>
      </c>
      <c r="O2858" t="s">
        <v>737</v>
      </c>
      <c r="P2858" t="s">
        <v>1887</v>
      </c>
      <c r="R2858" t="s">
        <v>148</v>
      </c>
      <c r="S2858" t="s">
        <v>145</v>
      </c>
      <c r="U2858">
        <v>1</v>
      </c>
      <c r="V2858" t="s">
        <v>544</v>
      </c>
      <c r="W2858" t="s">
        <v>542</v>
      </c>
      <c r="X2858" s="784" t="s">
        <v>575</v>
      </c>
    </row>
    <row r="2859" spans="1:24">
      <c r="A2859" t="s">
        <v>358</v>
      </c>
      <c r="B2859" t="s">
        <v>576</v>
      </c>
      <c r="C2859" t="s">
        <v>183</v>
      </c>
      <c r="D2859" t="s">
        <v>129</v>
      </c>
      <c r="E2859" t="s">
        <v>377</v>
      </c>
      <c r="F2859" t="s">
        <v>384</v>
      </c>
      <c r="G2859" t="s">
        <v>73</v>
      </c>
      <c r="H2859" t="s">
        <v>749</v>
      </c>
      <c r="I2859">
        <v>2021</v>
      </c>
      <c r="J2859" t="s">
        <v>379</v>
      </c>
      <c r="K2859" t="s">
        <v>546</v>
      </c>
      <c r="L2859" s="784">
        <v>0</v>
      </c>
      <c r="M2859" t="s">
        <v>745</v>
      </c>
      <c r="O2859" t="s">
        <v>737</v>
      </c>
      <c r="P2859" t="s">
        <v>1887</v>
      </c>
      <c r="R2859" t="s">
        <v>148</v>
      </c>
      <c r="S2859" t="s">
        <v>145</v>
      </c>
      <c r="U2859">
        <v>1</v>
      </c>
      <c r="V2859" t="s">
        <v>544</v>
      </c>
      <c r="W2859" t="s">
        <v>542</v>
      </c>
      <c r="X2859" s="784">
        <v>76939306.715636879</v>
      </c>
    </row>
    <row r="2860" spans="1:24">
      <c r="A2860" t="s">
        <v>358</v>
      </c>
      <c r="B2860" t="s">
        <v>577</v>
      </c>
      <c r="C2860" t="s">
        <v>184</v>
      </c>
      <c r="D2860" t="s">
        <v>130</v>
      </c>
      <c r="E2860" t="s">
        <v>377</v>
      </c>
      <c r="F2860" t="s">
        <v>384</v>
      </c>
      <c r="G2860" t="s">
        <v>73</v>
      </c>
      <c r="H2860" t="s">
        <v>749</v>
      </c>
      <c r="I2860">
        <v>2021</v>
      </c>
      <c r="J2860" t="s">
        <v>379</v>
      </c>
      <c r="K2860" t="s">
        <v>546</v>
      </c>
      <c r="L2860" s="784">
        <v>0</v>
      </c>
      <c r="M2860" t="s">
        <v>745</v>
      </c>
      <c r="O2860" t="s">
        <v>737</v>
      </c>
      <c r="P2860" t="s">
        <v>1887</v>
      </c>
      <c r="R2860" t="s">
        <v>550</v>
      </c>
      <c r="S2860" t="s">
        <v>146</v>
      </c>
      <c r="U2860">
        <v>0</v>
      </c>
      <c r="V2860" t="s">
        <v>544</v>
      </c>
      <c r="W2860" t="s">
        <v>575</v>
      </c>
      <c r="X2860" s="784">
        <v>13859708717.682571</v>
      </c>
    </row>
    <row r="2861" spans="1:24">
      <c r="A2861" t="s">
        <v>358</v>
      </c>
      <c r="B2861" t="s">
        <v>578</v>
      </c>
      <c r="C2861" t="s">
        <v>185</v>
      </c>
      <c r="D2861" t="s">
        <v>126</v>
      </c>
      <c r="E2861" t="s">
        <v>377</v>
      </c>
      <c r="F2861" t="s">
        <v>384</v>
      </c>
      <c r="G2861" t="s">
        <v>73</v>
      </c>
      <c r="H2861" t="s">
        <v>749</v>
      </c>
      <c r="I2861">
        <v>2021</v>
      </c>
      <c r="J2861" t="s">
        <v>379</v>
      </c>
      <c r="K2861" t="s">
        <v>546</v>
      </c>
      <c r="L2861" s="784">
        <v>0</v>
      </c>
      <c r="M2861" t="s">
        <v>745</v>
      </c>
      <c r="O2861" t="s">
        <v>737</v>
      </c>
      <c r="P2861" t="s">
        <v>1887</v>
      </c>
      <c r="R2861" t="s">
        <v>152</v>
      </c>
      <c r="S2861" t="s">
        <v>146</v>
      </c>
      <c r="U2861">
        <v>0</v>
      </c>
      <c r="V2861" t="s">
        <v>544</v>
      </c>
      <c r="W2861" t="s">
        <v>575</v>
      </c>
      <c r="X2861" s="784">
        <v>403567160707.7016</v>
      </c>
    </row>
    <row r="2862" spans="1:24">
      <c r="A2862" t="s">
        <v>358</v>
      </c>
      <c r="B2862" t="s">
        <v>579</v>
      </c>
      <c r="C2862" t="s">
        <v>186</v>
      </c>
      <c r="D2862" t="s">
        <v>130</v>
      </c>
      <c r="E2862" t="s">
        <v>377</v>
      </c>
      <c r="F2862" t="s">
        <v>384</v>
      </c>
      <c r="G2862" t="s">
        <v>73</v>
      </c>
      <c r="H2862" t="s">
        <v>749</v>
      </c>
      <c r="I2862">
        <v>2021</v>
      </c>
      <c r="J2862" t="s">
        <v>379</v>
      </c>
      <c r="K2862" t="s">
        <v>546</v>
      </c>
      <c r="L2862" s="784">
        <v>0</v>
      </c>
      <c r="M2862" t="s">
        <v>745</v>
      </c>
      <c r="O2862" t="s">
        <v>737</v>
      </c>
      <c r="P2862" t="s">
        <v>1887</v>
      </c>
      <c r="R2862" t="s">
        <v>152</v>
      </c>
      <c r="S2862" t="s">
        <v>146</v>
      </c>
      <c r="U2862">
        <v>0</v>
      </c>
      <c r="V2862" t="s">
        <v>544</v>
      </c>
      <c r="W2862" t="s">
        <v>575</v>
      </c>
      <c r="X2862" s="784">
        <v>18250225995.972618</v>
      </c>
    </row>
    <row r="2863" spans="1:24">
      <c r="A2863" t="s">
        <v>358</v>
      </c>
      <c r="B2863" t="s">
        <v>580</v>
      </c>
      <c r="C2863" t="s">
        <v>187</v>
      </c>
      <c r="D2863" t="s">
        <v>128</v>
      </c>
      <c r="E2863" t="s">
        <v>377</v>
      </c>
      <c r="F2863" t="s">
        <v>384</v>
      </c>
      <c r="G2863" t="s">
        <v>73</v>
      </c>
      <c r="H2863" t="s">
        <v>749</v>
      </c>
      <c r="I2863">
        <v>2021</v>
      </c>
      <c r="J2863" t="s">
        <v>379</v>
      </c>
      <c r="K2863" t="s">
        <v>546</v>
      </c>
      <c r="L2863" s="784">
        <v>0</v>
      </c>
      <c r="M2863" t="s">
        <v>745</v>
      </c>
      <c r="O2863" t="s">
        <v>737</v>
      </c>
      <c r="P2863" t="s">
        <v>1887</v>
      </c>
      <c r="R2863" t="s">
        <v>150</v>
      </c>
      <c r="S2863" t="s">
        <v>145</v>
      </c>
      <c r="U2863">
        <v>0</v>
      </c>
      <c r="V2863" t="s">
        <v>541</v>
      </c>
      <c r="W2863" t="s">
        <v>562</v>
      </c>
      <c r="X2863" s="784">
        <v>5027591.1682657599</v>
      </c>
    </row>
    <row r="2864" spans="1:24">
      <c r="A2864" t="s">
        <v>358</v>
      </c>
      <c r="B2864" t="s">
        <v>581</v>
      </c>
      <c r="C2864" t="s">
        <v>188</v>
      </c>
      <c r="D2864" t="s">
        <v>129</v>
      </c>
      <c r="E2864" t="s">
        <v>377</v>
      </c>
      <c r="F2864" t="s">
        <v>384</v>
      </c>
      <c r="G2864" t="s">
        <v>73</v>
      </c>
      <c r="H2864" t="s">
        <v>749</v>
      </c>
      <c r="I2864">
        <v>2021</v>
      </c>
      <c r="J2864" t="s">
        <v>379</v>
      </c>
      <c r="K2864" t="s">
        <v>546</v>
      </c>
      <c r="L2864" s="784">
        <v>0</v>
      </c>
      <c r="M2864" t="s">
        <v>745</v>
      </c>
      <c r="O2864" t="s">
        <v>737</v>
      </c>
      <c r="P2864" t="s">
        <v>1887</v>
      </c>
      <c r="R2864" t="s">
        <v>148</v>
      </c>
      <c r="S2864" t="s">
        <v>145</v>
      </c>
      <c r="U2864">
        <v>3</v>
      </c>
      <c r="V2864" t="s">
        <v>544</v>
      </c>
      <c r="W2864" t="s">
        <v>562</v>
      </c>
      <c r="X2864" s="784">
        <v>234645958.63289919</v>
      </c>
    </row>
    <row r="2865" spans="1:24">
      <c r="A2865" t="s">
        <v>358</v>
      </c>
      <c r="B2865" t="s">
        <v>582</v>
      </c>
      <c r="C2865" t="s">
        <v>189</v>
      </c>
      <c r="D2865" t="s">
        <v>129</v>
      </c>
      <c r="E2865" t="s">
        <v>377</v>
      </c>
      <c r="F2865" t="s">
        <v>384</v>
      </c>
      <c r="G2865" t="s">
        <v>73</v>
      </c>
      <c r="H2865" t="s">
        <v>749</v>
      </c>
      <c r="I2865">
        <v>2021</v>
      </c>
      <c r="J2865" t="s">
        <v>379</v>
      </c>
      <c r="K2865" t="s">
        <v>546</v>
      </c>
      <c r="L2865" s="784">
        <v>0</v>
      </c>
      <c r="M2865" t="s">
        <v>745</v>
      </c>
      <c r="O2865" t="s">
        <v>737</v>
      </c>
      <c r="P2865" t="s">
        <v>1887</v>
      </c>
      <c r="R2865" t="s">
        <v>150</v>
      </c>
      <c r="S2865" t="s">
        <v>145</v>
      </c>
      <c r="U2865">
        <v>2</v>
      </c>
      <c r="V2865" t="s">
        <v>544</v>
      </c>
      <c r="W2865" t="s">
        <v>583</v>
      </c>
      <c r="X2865" s="784">
        <v>91590910.247314155</v>
      </c>
    </row>
    <row r="2866" spans="1:24">
      <c r="A2866" t="s">
        <v>358</v>
      </c>
      <c r="B2866" t="s">
        <v>584</v>
      </c>
      <c r="C2866" t="s">
        <v>190</v>
      </c>
      <c r="D2866" t="s">
        <v>126</v>
      </c>
      <c r="E2866" t="s">
        <v>377</v>
      </c>
      <c r="F2866" t="s">
        <v>384</v>
      </c>
      <c r="G2866" t="s">
        <v>73</v>
      </c>
      <c r="H2866" t="s">
        <v>749</v>
      </c>
      <c r="I2866">
        <v>2021</v>
      </c>
      <c r="J2866" t="s">
        <v>379</v>
      </c>
      <c r="K2866" t="s">
        <v>546</v>
      </c>
      <c r="L2866" s="784">
        <v>0</v>
      </c>
      <c r="M2866" t="s">
        <v>745</v>
      </c>
      <c r="O2866" t="s">
        <v>737</v>
      </c>
      <c r="P2866" t="s">
        <v>1887</v>
      </c>
      <c r="R2866" t="s">
        <v>322</v>
      </c>
      <c r="S2866" t="s">
        <v>146</v>
      </c>
      <c r="U2866">
        <v>0</v>
      </c>
      <c r="V2866" t="s">
        <v>541</v>
      </c>
      <c r="W2866" t="s">
        <v>546</v>
      </c>
      <c r="X2866" s="784">
        <v>8560012.8840167802</v>
      </c>
    </row>
    <row r="2867" spans="1:24">
      <c r="A2867" t="s">
        <v>358</v>
      </c>
      <c r="B2867" t="s">
        <v>585</v>
      </c>
      <c r="C2867" t="s">
        <v>191</v>
      </c>
      <c r="D2867" t="s">
        <v>130</v>
      </c>
      <c r="E2867" t="s">
        <v>377</v>
      </c>
      <c r="F2867" t="s">
        <v>384</v>
      </c>
      <c r="G2867" t="s">
        <v>73</v>
      </c>
      <c r="H2867" t="s">
        <v>749</v>
      </c>
      <c r="I2867">
        <v>2021</v>
      </c>
      <c r="J2867" t="s">
        <v>379</v>
      </c>
      <c r="K2867" t="s">
        <v>546</v>
      </c>
      <c r="L2867" s="784">
        <v>0</v>
      </c>
      <c r="M2867" t="s">
        <v>745</v>
      </c>
      <c r="O2867" t="s">
        <v>737</v>
      </c>
      <c r="P2867" t="s">
        <v>1887</v>
      </c>
      <c r="R2867" t="s">
        <v>152</v>
      </c>
      <c r="S2867" t="s">
        <v>146</v>
      </c>
      <c r="U2867">
        <v>0</v>
      </c>
      <c r="V2867" t="s">
        <v>544</v>
      </c>
      <c r="W2867" t="s">
        <v>546</v>
      </c>
      <c r="X2867" s="784">
        <v>3292372960.3962669</v>
      </c>
    </row>
    <row r="2868" spans="1:24">
      <c r="A2868" t="s">
        <v>358</v>
      </c>
      <c r="B2868" t="s">
        <v>586</v>
      </c>
      <c r="C2868" t="s">
        <v>192</v>
      </c>
      <c r="D2868" t="s">
        <v>129</v>
      </c>
      <c r="E2868" t="s">
        <v>377</v>
      </c>
      <c r="F2868" t="s">
        <v>384</v>
      </c>
      <c r="G2868" t="s">
        <v>73</v>
      </c>
      <c r="H2868" t="s">
        <v>749</v>
      </c>
      <c r="I2868">
        <v>2021</v>
      </c>
      <c r="J2868" t="s">
        <v>379</v>
      </c>
      <c r="K2868" t="s">
        <v>546</v>
      </c>
      <c r="L2868" s="784">
        <v>0</v>
      </c>
      <c r="M2868" t="s">
        <v>745</v>
      </c>
      <c r="O2868" t="s">
        <v>737</v>
      </c>
      <c r="P2868" t="s">
        <v>1887</v>
      </c>
      <c r="R2868" t="s">
        <v>150</v>
      </c>
      <c r="S2868" t="s">
        <v>145</v>
      </c>
      <c r="U2868">
        <v>0</v>
      </c>
      <c r="V2868" t="s">
        <v>544</v>
      </c>
      <c r="W2868" t="s">
        <v>562</v>
      </c>
      <c r="X2868" s="784">
        <v>519209981.22981054</v>
      </c>
    </row>
    <row r="2869" spans="1:24">
      <c r="A2869" t="s">
        <v>358</v>
      </c>
      <c r="B2869" t="s">
        <v>587</v>
      </c>
      <c r="C2869" t="s">
        <v>193</v>
      </c>
      <c r="D2869" t="s">
        <v>127</v>
      </c>
      <c r="E2869" t="s">
        <v>377</v>
      </c>
      <c r="F2869" t="s">
        <v>384</v>
      </c>
      <c r="G2869" t="s">
        <v>73</v>
      </c>
      <c r="H2869" t="s">
        <v>749</v>
      </c>
      <c r="I2869">
        <v>2021</v>
      </c>
      <c r="J2869" t="s">
        <v>379</v>
      </c>
      <c r="K2869" t="s">
        <v>546</v>
      </c>
      <c r="L2869" s="784">
        <v>0</v>
      </c>
      <c r="M2869" t="s">
        <v>745</v>
      </c>
      <c r="O2869" t="s">
        <v>737</v>
      </c>
      <c r="P2869" t="s">
        <v>1887</v>
      </c>
      <c r="R2869" t="s">
        <v>550</v>
      </c>
      <c r="S2869" t="s">
        <v>146</v>
      </c>
      <c r="U2869">
        <v>0</v>
      </c>
      <c r="V2869" t="s">
        <v>544</v>
      </c>
      <c r="W2869" t="s">
        <v>575</v>
      </c>
      <c r="X2869" s="784">
        <v>3464739907.1604805</v>
      </c>
    </row>
    <row r="2870" spans="1:24">
      <c r="A2870" t="s">
        <v>358</v>
      </c>
      <c r="B2870" t="s">
        <v>588</v>
      </c>
      <c r="C2870" t="s">
        <v>147</v>
      </c>
      <c r="D2870" t="s">
        <v>130</v>
      </c>
      <c r="E2870" t="s">
        <v>377</v>
      </c>
      <c r="F2870" t="s">
        <v>384</v>
      </c>
      <c r="G2870" t="s">
        <v>73</v>
      </c>
      <c r="H2870" t="s">
        <v>749</v>
      </c>
      <c r="I2870">
        <v>2021</v>
      </c>
      <c r="J2870" t="s">
        <v>379</v>
      </c>
      <c r="K2870" t="s">
        <v>546</v>
      </c>
      <c r="L2870" s="784">
        <v>0</v>
      </c>
      <c r="M2870" t="s">
        <v>745</v>
      </c>
      <c r="O2870" t="s">
        <v>737</v>
      </c>
      <c r="P2870" t="s">
        <v>1887</v>
      </c>
      <c r="R2870" t="s">
        <v>152</v>
      </c>
      <c r="S2870" t="s">
        <v>146</v>
      </c>
      <c r="U2870">
        <v>0</v>
      </c>
      <c r="V2870" t="s">
        <v>541</v>
      </c>
      <c r="W2870" t="s">
        <v>575</v>
      </c>
      <c r="X2870" s="784">
        <v>9948521252.2569065</v>
      </c>
    </row>
    <row r="2871" spans="1:24">
      <c r="A2871" t="s">
        <v>358</v>
      </c>
      <c r="B2871" t="s">
        <v>589</v>
      </c>
      <c r="C2871" t="s">
        <v>194</v>
      </c>
      <c r="D2871" t="s">
        <v>131</v>
      </c>
      <c r="E2871" t="s">
        <v>377</v>
      </c>
      <c r="F2871" t="s">
        <v>384</v>
      </c>
      <c r="G2871" t="s">
        <v>73</v>
      </c>
      <c r="H2871" t="s">
        <v>749</v>
      </c>
      <c r="I2871">
        <v>2021</v>
      </c>
      <c r="J2871" t="s">
        <v>379</v>
      </c>
      <c r="K2871" t="s">
        <v>546</v>
      </c>
      <c r="L2871" s="784">
        <v>0</v>
      </c>
      <c r="M2871" t="s">
        <v>745</v>
      </c>
      <c r="O2871" t="s">
        <v>737</v>
      </c>
      <c r="P2871" t="s">
        <v>1887</v>
      </c>
      <c r="R2871" t="s">
        <v>150</v>
      </c>
      <c r="S2871" t="s">
        <v>145</v>
      </c>
      <c r="U2871">
        <v>1</v>
      </c>
      <c r="V2871" t="s">
        <v>544</v>
      </c>
      <c r="W2871" t="s">
        <v>542</v>
      </c>
      <c r="X2871" s="784">
        <v>33679192.765657313</v>
      </c>
    </row>
    <row r="2872" spans="1:24">
      <c r="A2872" t="s">
        <v>358</v>
      </c>
      <c r="B2872" t="s">
        <v>590</v>
      </c>
      <c r="C2872" t="s">
        <v>195</v>
      </c>
      <c r="D2872" t="s">
        <v>130</v>
      </c>
      <c r="E2872" t="s">
        <v>377</v>
      </c>
      <c r="F2872" t="s">
        <v>384</v>
      </c>
      <c r="G2872" t="s">
        <v>73</v>
      </c>
      <c r="H2872" t="s">
        <v>749</v>
      </c>
      <c r="I2872">
        <v>2021</v>
      </c>
      <c r="J2872" t="s">
        <v>379</v>
      </c>
      <c r="K2872" t="s">
        <v>546</v>
      </c>
      <c r="L2872" s="784">
        <v>0</v>
      </c>
      <c r="M2872" t="s">
        <v>745</v>
      </c>
      <c r="O2872" t="s">
        <v>737</v>
      </c>
      <c r="P2872" t="s">
        <v>1887</v>
      </c>
      <c r="R2872" t="s">
        <v>152</v>
      </c>
      <c r="S2872" t="s">
        <v>145</v>
      </c>
      <c r="U2872">
        <v>0</v>
      </c>
      <c r="V2872" t="s">
        <v>541</v>
      </c>
      <c r="W2872" t="s">
        <v>548</v>
      </c>
      <c r="X2872" s="784">
        <v>22784494.365742501</v>
      </c>
    </row>
    <row r="2873" spans="1:24">
      <c r="A2873" t="s">
        <v>358</v>
      </c>
      <c r="B2873" t="s">
        <v>591</v>
      </c>
      <c r="C2873" t="s">
        <v>196</v>
      </c>
      <c r="D2873" t="s">
        <v>130</v>
      </c>
      <c r="E2873" t="s">
        <v>377</v>
      </c>
      <c r="F2873" t="s">
        <v>384</v>
      </c>
      <c r="G2873" t="s">
        <v>73</v>
      </c>
      <c r="H2873" t="s">
        <v>749</v>
      </c>
      <c r="I2873">
        <v>2021</v>
      </c>
      <c r="J2873" t="s">
        <v>379</v>
      </c>
      <c r="K2873" t="s">
        <v>546</v>
      </c>
      <c r="L2873" s="784">
        <v>0</v>
      </c>
      <c r="M2873" t="s">
        <v>745</v>
      </c>
      <c r="O2873" t="s">
        <v>737</v>
      </c>
      <c r="P2873" t="s">
        <v>1887</v>
      </c>
      <c r="R2873" t="s">
        <v>152</v>
      </c>
      <c r="S2873" t="s">
        <v>146</v>
      </c>
      <c r="U2873">
        <v>0</v>
      </c>
      <c r="V2873" t="s">
        <v>541</v>
      </c>
      <c r="W2873" t="s">
        <v>575</v>
      </c>
      <c r="X2873" s="784">
        <v>2173208011.4858823</v>
      </c>
    </row>
    <row r="2874" spans="1:24">
      <c r="A2874" t="s">
        <v>358</v>
      </c>
      <c r="B2874" t="s">
        <v>592</v>
      </c>
      <c r="C2874" t="s">
        <v>197</v>
      </c>
      <c r="D2874" t="s">
        <v>130</v>
      </c>
      <c r="E2874" t="s">
        <v>377</v>
      </c>
      <c r="F2874" t="s">
        <v>384</v>
      </c>
      <c r="G2874" t="s">
        <v>73</v>
      </c>
      <c r="H2874" t="s">
        <v>749</v>
      </c>
      <c r="I2874">
        <v>2021</v>
      </c>
      <c r="J2874" t="s">
        <v>379</v>
      </c>
      <c r="K2874" t="s">
        <v>546</v>
      </c>
      <c r="L2874" s="784">
        <v>0</v>
      </c>
      <c r="M2874" t="s">
        <v>745</v>
      </c>
      <c r="O2874" t="s">
        <v>737</v>
      </c>
      <c r="P2874" t="s">
        <v>1887</v>
      </c>
      <c r="R2874" t="s">
        <v>152</v>
      </c>
      <c r="S2874" t="s">
        <v>146</v>
      </c>
      <c r="U2874">
        <v>0</v>
      </c>
      <c r="V2874" t="s">
        <v>544</v>
      </c>
      <c r="W2874" t="s">
        <v>546</v>
      </c>
      <c r="X2874" s="784">
        <v>4585736158.8323269</v>
      </c>
    </row>
    <row r="2875" spans="1:24">
      <c r="A2875" t="s">
        <v>358</v>
      </c>
      <c r="B2875" t="s">
        <v>593</v>
      </c>
      <c r="C2875" t="s">
        <v>198</v>
      </c>
      <c r="D2875" t="s">
        <v>131</v>
      </c>
      <c r="E2875" t="s">
        <v>377</v>
      </c>
      <c r="F2875" t="s">
        <v>384</v>
      </c>
      <c r="G2875" t="s">
        <v>73</v>
      </c>
      <c r="H2875" t="s">
        <v>749</v>
      </c>
      <c r="I2875">
        <v>2021</v>
      </c>
      <c r="J2875" t="s">
        <v>379</v>
      </c>
      <c r="K2875" t="s">
        <v>546</v>
      </c>
      <c r="L2875" s="784">
        <v>0</v>
      </c>
      <c r="M2875" t="s">
        <v>745</v>
      </c>
      <c r="O2875" t="s">
        <v>737</v>
      </c>
      <c r="P2875" t="s">
        <v>1887</v>
      </c>
      <c r="R2875" t="s">
        <v>150</v>
      </c>
      <c r="S2875" t="s">
        <v>145</v>
      </c>
      <c r="U2875">
        <v>0</v>
      </c>
      <c r="V2875" t="s">
        <v>544</v>
      </c>
      <c r="W2875" t="s">
        <v>546</v>
      </c>
      <c r="X2875" s="784">
        <v>3550291584.8645592</v>
      </c>
    </row>
    <row r="2876" spans="1:24">
      <c r="A2876" t="s">
        <v>358</v>
      </c>
      <c r="B2876" t="s">
        <v>594</v>
      </c>
      <c r="C2876" t="s">
        <v>199</v>
      </c>
      <c r="D2876" t="s">
        <v>130</v>
      </c>
      <c r="E2876" t="s">
        <v>377</v>
      </c>
      <c r="F2876" t="s">
        <v>384</v>
      </c>
      <c r="G2876" t="s">
        <v>73</v>
      </c>
      <c r="H2876" t="s">
        <v>749</v>
      </c>
      <c r="I2876">
        <v>2021</v>
      </c>
      <c r="J2876" t="s">
        <v>379</v>
      </c>
      <c r="K2876" t="s">
        <v>546</v>
      </c>
      <c r="L2876" s="784">
        <v>40000</v>
      </c>
      <c r="M2876" t="s">
        <v>745</v>
      </c>
      <c r="O2876" t="s">
        <v>737</v>
      </c>
      <c r="P2876" t="s">
        <v>1887</v>
      </c>
      <c r="R2876" t="s">
        <v>150</v>
      </c>
      <c r="S2876" t="s">
        <v>145</v>
      </c>
      <c r="U2876">
        <v>0</v>
      </c>
      <c r="V2876" t="s">
        <v>544</v>
      </c>
      <c r="W2876" t="s">
        <v>546</v>
      </c>
      <c r="X2876" s="784">
        <v>1182840319.0410969</v>
      </c>
    </row>
    <row r="2877" spans="1:24">
      <c r="A2877" t="s">
        <v>358</v>
      </c>
      <c r="B2877" t="s">
        <v>595</v>
      </c>
      <c r="C2877" t="s">
        <v>200</v>
      </c>
      <c r="D2877" t="s">
        <v>130</v>
      </c>
      <c r="E2877" t="s">
        <v>377</v>
      </c>
      <c r="F2877" t="s">
        <v>384</v>
      </c>
      <c r="G2877" t="s">
        <v>73</v>
      </c>
      <c r="H2877" t="s">
        <v>749</v>
      </c>
      <c r="I2877">
        <v>2021</v>
      </c>
      <c r="J2877" t="s">
        <v>379</v>
      </c>
      <c r="K2877" t="s">
        <v>546</v>
      </c>
      <c r="L2877" s="784">
        <v>0</v>
      </c>
      <c r="M2877" t="s">
        <v>745</v>
      </c>
      <c r="O2877" t="s">
        <v>737</v>
      </c>
      <c r="P2877" t="s">
        <v>1887</v>
      </c>
      <c r="R2877" t="s">
        <v>152</v>
      </c>
      <c r="S2877" t="s">
        <v>146</v>
      </c>
      <c r="U2877">
        <v>0</v>
      </c>
      <c r="V2877" t="s">
        <v>544</v>
      </c>
      <c r="W2877" t="s">
        <v>575</v>
      </c>
      <c r="X2877" s="784">
        <v>81728347.604567245</v>
      </c>
    </row>
    <row r="2878" spans="1:24">
      <c r="A2878" t="s">
        <v>358</v>
      </c>
      <c r="B2878" t="s">
        <v>596</v>
      </c>
      <c r="C2878" t="s">
        <v>201</v>
      </c>
      <c r="D2878" t="s">
        <v>128</v>
      </c>
      <c r="E2878" t="s">
        <v>377</v>
      </c>
      <c r="F2878" t="s">
        <v>384</v>
      </c>
      <c r="G2878" t="s">
        <v>73</v>
      </c>
      <c r="H2878" t="s">
        <v>749</v>
      </c>
      <c r="I2878">
        <v>2021</v>
      </c>
      <c r="J2878" t="s">
        <v>379</v>
      </c>
      <c r="K2878" t="s">
        <v>546</v>
      </c>
      <c r="L2878" s="784">
        <v>0</v>
      </c>
      <c r="M2878" t="s">
        <v>745</v>
      </c>
      <c r="O2878" t="s">
        <v>737</v>
      </c>
      <c r="P2878" t="s">
        <v>1887</v>
      </c>
      <c r="R2878" t="s">
        <v>148</v>
      </c>
      <c r="S2878" t="s">
        <v>145</v>
      </c>
      <c r="U2878">
        <v>2</v>
      </c>
      <c r="V2878" t="s">
        <v>544</v>
      </c>
      <c r="W2878" t="s">
        <v>546</v>
      </c>
      <c r="X2878" s="784">
        <v>12787914.977715338</v>
      </c>
    </row>
    <row r="2879" spans="1:24">
      <c r="A2879" t="s">
        <v>358</v>
      </c>
      <c r="B2879" t="s">
        <v>597</v>
      </c>
      <c r="C2879" t="s">
        <v>202</v>
      </c>
      <c r="D2879" t="s">
        <v>128</v>
      </c>
      <c r="E2879" t="s">
        <v>377</v>
      </c>
      <c r="F2879" t="s">
        <v>384</v>
      </c>
      <c r="G2879" t="s">
        <v>73</v>
      </c>
      <c r="H2879" t="s">
        <v>749</v>
      </c>
      <c r="I2879">
        <v>2021</v>
      </c>
      <c r="J2879" t="s">
        <v>379</v>
      </c>
      <c r="K2879" t="s">
        <v>546</v>
      </c>
      <c r="L2879" s="784">
        <v>0</v>
      </c>
      <c r="M2879" t="s">
        <v>745</v>
      </c>
      <c r="O2879" t="s">
        <v>737</v>
      </c>
      <c r="P2879" t="s">
        <v>1887</v>
      </c>
      <c r="R2879" t="s">
        <v>150</v>
      </c>
      <c r="S2879" t="s">
        <v>145</v>
      </c>
      <c r="U2879">
        <v>2</v>
      </c>
      <c r="V2879" t="s">
        <v>544</v>
      </c>
      <c r="W2879" t="s">
        <v>546</v>
      </c>
      <c r="X2879" s="784">
        <v>101271737.65410839</v>
      </c>
    </row>
    <row r="2880" spans="1:24">
      <c r="A2880" t="s">
        <v>358</v>
      </c>
      <c r="B2880" t="s">
        <v>598</v>
      </c>
      <c r="C2880" t="s">
        <v>203</v>
      </c>
      <c r="D2880" t="s">
        <v>128</v>
      </c>
      <c r="E2880" t="s">
        <v>377</v>
      </c>
      <c r="F2880" t="s">
        <v>384</v>
      </c>
      <c r="G2880" t="s">
        <v>73</v>
      </c>
      <c r="H2880" t="s">
        <v>749</v>
      </c>
      <c r="I2880">
        <v>2021</v>
      </c>
      <c r="J2880" t="s">
        <v>379</v>
      </c>
      <c r="K2880" t="s">
        <v>546</v>
      </c>
      <c r="L2880" s="784">
        <v>0</v>
      </c>
      <c r="M2880" t="s">
        <v>745</v>
      </c>
      <c r="O2880" t="s">
        <v>737</v>
      </c>
      <c r="P2880" t="s">
        <v>1887</v>
      </c>
      <c r="R2880" t="s">
        <v>148</v>
      </c>
      <c r="S2880" t="s">
        <v>145</v>
      </c>
      <c r="U2880">
        <v>3</v>
      </c>
      <c r="V2880" t="s">
        <v>544</v>
      </c>
      <c r="W2880" t="s">
        <v>542</v>
      </c>
      <c r="X2880" s="784">
        <v>618344226.71759331</v>
      </c>
    </row>
    <row r="2881" spans="1:24">
      <c r="A2881" t="s">
        <v>358</v>
      </c>
      <c r="B2881" t="s">
        <v>599</v>
      </c>
      <c r="C2881" t="s">
        <v>204</v>
      </c>
      <c r="D2881" t="s">
        <v>126</v>
      </c>
      <c r="E2881" t="s">
        <v>377</v>
      </c>
      <c r="F2881" t="s">
        <v>384</v>
      </c>
      <c r="G2881" t="s">
        <v>73</v>
      </c>
      <c r="H2881" t="s">
        <v>749</v>
      </c>
      <c r="I2881">
        <v>2021</v>
      </c>
      <c r="J2881" t="s">
        <v>379</v>
      </c>
      <c r="K2881" t="s">
        <v>546</v>
      </c>
      <c r="L2881" s="784">
        <v>0</v>
      </c>
      <c r="M2881" t="s">
        <v>745</v>
      </c>
      <c r="O2881" t="s">
        <v>737</v>
      </c>
      <c r="P2881" t="s">
        <v>1887</v>
      </c>
      <c r="R2881" t="s">
        <v>152</v>
      </c>
      <c r="S2881" t="s">
        <v>145</v>
      </c>
      <c r="U2881">
        <v>0</v>
      </c>
      <c r="V2881" t="s">
        <v>541</v>
      </c>
      <c r="W2881" t="s">
        <v>548</v>
      </c>
      <c r="X2881" s="784">
        <v>129483872.95906857</v>
      </c>
    </row>
    <row r="2882" spans="1:24">
      <c r="A2882" t="s">
        <v>358</v>
      </c>
      <c r="B2882" t="s">
        <v>600</v>
      </c>
      <c r="C2882" t="s">
        <v>205</v>
      </c>
      <c r="D2882" t="s">
        <v>129</v>
      </c>
      <c r="E2882" t="s">
        <v>377</v>
      </c>
      <c r="F2882" t="s">
        <v>384</v>
      </c>
      <c r="G2882" t="s">
        <v>73</v>
      </c>
      <c r="H2882" t="s">
        <v>749</v>
      </c>
      <c r="I2882">
        <v>2021</v>
      </c>
      <c r="J2882" t="s">
        <v>379</v>
      </c>
      <c r="K2882" t="s">
        <v>546</v>
      </c>
      <c r="L2882" s="784">
        <v>0</v>
      </c>
      <c r="M2882" t="s">
        <v>745</v>
      </c>
      <c r="O2882" t="s">
        <v>737</v>
      </c>
      <c r="P2882" t="s">
        <v>1887</v>
      </c>
      <c r="R2882" t="s">
        <v>152</v>
      </c>
      <c r="S2882" t="s">
        <v>146</v>
      </c>
      <c r="U2882">
        <v>0</v>
      </c>
      <c r="V2882" t="s">
        <v>544</v>
      </c>
      <c r="W2882" t="s">
        <v>546</v>
      </c>
      <c r="X2882" s="784">
        <v>271184658.35014349</v>
      </c>
    </row>
    <row r="2883" spans="1:24">
      <c r="A2883" t="s">
        <v>358</v>
      </c>
      <c r="B2883" t="s">
        <v>601</v>
      </c>
      <c r="C2883" t="s">
        <v>206</v>
      </c>
      <c r="D2883" t="s">
        <v>129</v>
      </c>
      <c r="E2883" t="s">
        <v>377</v>
      </c>
      <c r="F2883" t="s">
        <v>384</v>
      </c>
      <c r="G2883" t="s">
        <v>73</v>
      </c>
      <c r="H2883" t="s">
        <v>749</v>
      </c>
      <c r="I2883">
        <v>2021</v>
      </c>
      <c r="J2883" t="s">
        <v>379</v>
      </c>
      <c r="K2883" t="s">
        <v>546</v>
      </c>
      <c r="L2883" s="784">
        <v>0</v>
      </c>
      <c r="M2883" t="s">
        <v>745</v>
      </c>
      <c r="O2883" t="s">
        <v>737</v>
      </c>
      <c r="P2883" t="s">
        <v>1887</v>
      </c>
      <c r="R2883" t="s">
        <v>148</v>
      </c>
      <c r="S2883" t="s">
        <v>145</v>
      </c>
      <c r="U2883">
        <v>0</v>
      </c>
      <c r="V2883" t="s">
        <v>544</v>
      </c>
      <c r="W2883" t="s">
        <v>542</v>
      </c>
      <c r="X2883" s="784">
        <v>15455265.086884515</v>
      </c>
    </row>
    <row r="2884" spans="1:24">
      <c r="A2884" t="s">
        <v>358</v>
      </c>
      <c r="B2884" t="s">
        <v>602</v>
      </c>
      <c r="C2884" t="s">
        <v>207</v>
      </c>
      <c r="D2884" t="s">
        <v>127</v>
      </c>
      <c r="E2884" t="s">
        <v>377</v>
      </c>
      <c r="F2884" t="s">
        <v>384</v>
      </c>
      <c r="G2884" t="s">
        <v>73</v>
      </c>
      <c r="H2884" t="s">
        <v>749</v>
      </c>
      <c r="I2884">
        <v>2021</v>
      </c>
      <c r="J2884" t="s">
        <v>379</v>
      </c>
      <c r="K2884" t="s">
        <v>546</v>
      </c>
      <c r="L2884" s="784">
        <v>0</v>
      </c>
      <c r="M2884" t="s">
        <v>745</v>
      </c>
      <c r="O2884" t="s">
        <v>737</v>
      </c>
      <c r="P2884" t="s">
        <v>1887</v>
      </c>
      <c r="R2884" t="s">
        <v>152</v>
      </c>
      <c r="S2884" t="s">
        <v>146</v>
      </c>
      <c r="U2884">
        <v>0</v>
      </c>
      <c r="V2884" t="s">
        <v>544</v>
      </c>
      <c r="W2884" t="s">
        <v>546</v>
      </c>
      <c r="X2884" s="784">
        <v>494021502.525527</v>
      </c>
    </row>
    <row r="2885" spans="1:24">
      <c r="A2885" t="s">
        <v>358</v>
      </c>
      <c r="B2885" t="s">
        <v>603</v>
      </c>
      <c r="C2885" t="s">
        <v>208</v>
      </c>
      <c r="D2885" t="s">
        <v>129</v>
      </c>
      <c r="E2885" t="s">
        <v>377</v>
      </c>
      <c r="F2885" t="s">
        <v>384</v>
      </c>
      <c r="G2885" t="s">
        <v>73</v>
      </c>
      <c r="H2885" t="s">
        <v>749</v>
      </c>
      <c r="I2885">
        <v>2021</v>
      </c>
      <c r="J2885" t="s">
        <v>379</v>
      </c>
      <c r="K2885" t="s">
        <v>546</v>
      </c>
      <c r="L2885" s="784">
        <v>0</v>
      </c>
      <c r="M2885" t="s">
        <v>745</v>
      </c>
      <c r="O2885" t="s">
        <v>737</v>
      </c>
      <c r="P2885" t="s">
        <v>1887</v>
      </c>
      <c r="R2885" t="s">
        <v>150</v>
      </c>
      <c r="S2885" t="s">
        <v>145</v>
      </c>
      <c r="U2885">
        <v>0</v>
      </c>
      <c r="V2885" t="s">
        <v>544</v>
      </c>
      <c r="W2885" t="s">
        <v>542</v>
      </c>
      <c r="X2885" s="784">
        <v>902005621.73836684</v>
      </c>
    </row>
    <row r="2886" spans="1:24">
      <c r="A2886" t="s">
        <v>358</v>
      </c>
      <c r="B2886" t="s">
        <v>604</v>
      </c>
      <c r="C2886" t="s">
        <v>209</v>
      </c>
      <c r="D2886" t="s">
        <v>130</v>
      </c>
      <c r="E2886" t="s">
        <v>377</v>
      </c>
      <c r="F2886" t="s">
        <v>384</v>
      </c>
      <c r="G2886" t="s">
        <v>73</v>
      </c>
      <c r="H2886" t="s">
        <v>749</v>
      </c>
      <c r="I2886">
        <v>2021</v>
      </c>
      <c r="J2886" t="s">
        <v>379</v>
      </c>
      <c r="K2886" t="s">
        <v>546</v>
      </c>
      <c r="L2886" s="784">
        <v>0</v>
      </c>
      <c r="M2886" t="s">
        <v>745</v>
      </c>
      <c r="O2886" t="s">
        <v>737</v>
      </c>
      <c r="P2886" t="s">
        <v>1887</v>
      </c>
      <c r="R2886" t="s">
        <v>152</v>
      </c>
      <c r="S2886" t="s">
        <v>145</v>
      </c>
      <c r="U2886">
        <v>0</v>
      </c>
      <c r="V2886" t="s">
        <v>541</v>
      </c>
      <c r="W2886" t="s">
        <v>583</v>
      </c>
      <c r="X2886" s="784">
        <v>20201670.142996579</v>
      </c>
    </row>
    <row r="2887" spans="1:24">
      <c r="A2887" t="s">
        <v>358</v>
      </c>
      <c r="B2887" t="s">
        <v>605</v>
      </c>
      <c r="C2887" t="s">
        <v>210</v>
      </c>
      <c r="D2887" t="s">
        <v>130</v>
      </c>
      <c r="E2887" t="s">
        <v>377</v>
      </c>
      <c r="F2887" t="s">
        <v>384</v>
      </c>
      <c r="G2887" t="s">
        <v>73</v>
      </c>
      <c r="H2887" t="s">
        <v>749</v>
      </c>
      <c r="I2887">
        <v>2021</v>
      </c>
      <c r="J2887" t="s">
        <v>379</v>
      </c>
      <c r="K2887" t="s">
        <v>546</v>
      </c>
      <c r="L2887" s="784">
        <v>0</v>
      </c>
      <c r="M2887" t="s">
        <v>745</v>
      </c>
      <c r="O2887" t="s">
        <v>737</v>
      </c>
      <c r="P2887" t="s">
        <v>1887</v>
      </c>
      <c r="R2887" t="s">
        <v>152</v>
      </c>
      <c r="S2887" t="s">
        <v>146</v>
      </c>
      <c r="U2887">
        <v>0</v>
      </c>
      <c r="V2887" t="s">
        <v>544</v>
      </c>
      <c r="W2887" t="s">
        <v>575</v>
      </c>
      <c r="X2887" s="784">
        <v>1612434649.6948864</v>
      </c>
    </row>
    <row r="2888" spans="1:24">
      <c r="A2888" t="s">
        <v>358</v>
      </c>
      <c r="B2888" t="s">
        <v>606</v>
      </c>
      <c r="C2888" t="s">
        <v>211</v>
      </c>
      <c r="D2888" t="s">
        <v>129</v>
      </c>
      <c r="E2888" t="s">
        <v>377</v>
      </c>
      <c r="F2888" t="s">
        <v>384</v>
      </c>
      <c r="G2888" t="s">
        <v>73</v>
      </c>
      <c r="H2888" t="s">
        <v>749</v>
      </c>
      <c r="I2888">
        <v>2021</v>
      </c>
      <c r="J2888" t="s">
        <v>379</v>
      </c>
      <c r="K2888" t="s">
        <v>546</v>
      </c>
      <c r="L2888" s="784">
        <v>0</v>
      </c>
      <c r="M2888" t="s">
        <v>745</v>
      </c>
      <c r="O2888" t="s">
        <v>737</v>
      </c>
      <c r="P2888" t="s">
        <v>1887</v>
      </c>
      <c r="R2888" t="s">
        <v>148</v>
      </c>
      <c r="S2888" t="s">
        <v>145</v>
      </c>
      <c r="U2888">
        <v>0</v>
      </c>
      <c r="V2888" t="s">
        <v>544</v>
      </c>
      <c r="W2888" t="s">
        <v>562</v>
      </c>
      <c r="X2888" s="784">
        <v>78203134.118229344</v>
      </c>
    </row>
    <row r="2889" spans="1:24">
      <c r="A2889" t="s">
        <v>358</v>
      </c>
      <c r="B2889" t="s">
        <v>607</v>
      </c>
      <c r="C2889" t="s">
        <v>212</v>
      </c>
      <c r="D2889" t="s">
        <v>129</v>
      </c>
      <c r="E2889" t="s">
        <v>377</v>
      </c>
      <c r="F2889" t="s">
        <v>384</v>
      </c>
      <c r="G2889" t="s">
        <v>73</v>
      </c>
      <c r="H2889" t="s">
        <v>749</v>
      </c>
      <c r="I2889">
        <v>2021</v>
      </c>
      <c r="J2889" t="s">
        <v>379</v>
      </c>
      <c r="K2889" t="s">
        <v>546</v>
      </c>
      <c r="L2889" s="784">
        <v>0</v>
      </c>
      <c r="M2889" t="s">
        <v>745</v>
      </c>
      <c r="O2889" t="s">
        <v>737</v>
      </c>
      <c r="P2889" t="s">
        <v>1887</v>
      </c>
      <c r="R2889" t="s">
        <v>148</v>
      </c>
      <c r="S2889" t="s">
        <v>145</v>
      </c>
      <c r="U2889">
        <v>2</v>
      </c>
      <c r="V2889" t="s">
        <v>541</v>
      </c>
      <c r="W2889" t="s">
        <v>542</v>
      </c>
      <c r="X2889" s="784">
        <v>9151637.7411015611</v>
      </c>
    </row>
    <row r="2890" spans="1:24">
      <c r="A2890" t="s">
        <v>358</v>
      </c>
      <c r="B2890" t="s">
        <v>608</v>
      </c>
      <c r="C2890" t="s">
        <v>213</v>
      </c>
      <c r="D2890" t="s">
        <v>130</v>
      </c>
      <c r="E2890" t="s">
        <v>377</v>
      </c>
      <c r="F2890" t="s">
        <v>384</v>
      </c>
      <c r="G2890" t="s">
        <v>73</v>
      </c>
      <c r="H2890" t="s">
        <v>749</v>
      </c>
      <c r="I2890">
        <v>2021</v>
      </c>
      <c r="J2890" t="s">
        <v>379</v>
      </c>
      <c r="K2890" t="s">
        <v>546</v>
      </c>
      <c r="L2890" s="784">
        <v>0</v>
      </c>
      <c r="M2890" t="s">
        <v>745</v>
      </c>
      <c r="O2890" t="s">
        <v>737</v>
      </c>
      <c r="P2890" t="s">
        <v>1887</v>
      </c>
      <c r="R2890" t="s">
        <v>152</v>
      </c>
      <c r="S2890" t="s">
        <v>145</v>
      </c>
      <c r="U2890">
        <v>0</v>
      </c>
      <c r="V2890" t="s">
        <v>541</v>
      </c>
      <c r="W2890" t="s">
        <v>562</v>
      </c>
      <c r="X2890" s="784">
        <v>142455920.02856269</v>
      </c>
    </row>
    <row r="2891" spans="1:24">
      <c r="A2891" t="s">
        <v>358</v>
      </c>
      <c r="B2891" t="s">
        <v>609</v>
      </c>
      <c r="C2891" t="s">
        <v>214</v>
      </c>
      <c r="D2891" t="s">
        <v>130</v>
      </c>
      <c r="E2891" t="s">
        <v>377</v>
      </c>
      <c r="F2891" t="s">
        <v>384</v>
      </c>
      <c r="G2891" t="s">
        <v>73</v>
      </c>
      <c r="H2891" t="s">
        <v>749</v>
      </c>
      <c r="I2891">
        <v>2021</v>
      </c>
      <c r="J2891" t="s">
        <v>379</v>
      </c>
      <c r="K2891" t="s">
        <v>546</v>
      </c>
      <c r="L2891" s="784">
        <v>0</v>
      </c>
      <c r="M2891" t="s">
        <v>745</v>
      </c>
      <c r="O2891" t="s">
        <v>737</v>
      </c>
      <c r="P2891" t="s">
        <v>1887</v>
      </c>
      <c r="R2891" t="s">
        <v>150</v>
      </c>
      <c r="S2891" t="s">
        <v>145</v>
      </c>
      <c r="U2891">
        <v>1</v>
      </c>
      <c r="V2891" t="s">
        <v>541</v>
      </c>
      <c r="W2891" t="s">
        <v>542</v>
      </c>
      <c r="X2891" s="784">
        <v>85611818.171245083</v>
      </c>
    </row>
    <row r="2892" spans="1:24">
      <c r="A2892" t="s">
        <v>358</v>
      </c>
      <c r="B2892" t="s">
        <v>610</v>
      </c>
      <c r="C2892" t="s">
        <v>215</v>
      </c>
      <c r="D2892" t="s">
        <v>130</v>
      </c>
      <c r="E2892" t="s">
        <v>377</v>
      </c>
      <c r="F2892" t="s">
        <v>384</v>
      </c>
      <c r="G2892" t="s">
        <v>73</v>
      </c>
      <c r="H2892" t="s">
        <v>749</v>
      </c>
      <c r="I2892">
        <v>2021</v>
      </c>
      <c r="J2892" t="s">
        <v>379</v>
      </c>
      <c r="K2892" t="s">
        <v>546</v>
      </c>
      <c r="L2892" s="784">
        <v>0</v>
      </c>
      <c r="M2892" t="s">
        <v>745</v>
      </c>
      <c r="O2892" t="s">
        <v>737</v>
      </c>
      <c r="P2892" t="s">
        <v>1887</v>
      </c>
      <c r="R2892" t="s">
        <v>150</v>
      </c>
      <c r="S2892" t="s">
        <v>145</v>
      </c>
      <c r="U2892">
        <v>0</v>
      </c>
      <c r="V2892" t="s">
        <v>544</v>
      </c>
      <c r="W2892" t="s">
        <v>558</v>
      </c>
      <c r="X2892" s="784">
        <v>680289736.30082119</v>
      </c>
    </row>
    <row r="2893" spans="1:24">
      <c r="A2893" t="s">
        <v>358</v>
      </c>
      <c r="B2893" t="s">
        <v>611</v>
      </c>
      <c r="C2893" t="s">
        <v>216</v>
      </c>
      <c r="D2893" t="s">
        <v>132</v>
      </c>
      <c r="E2893" t="s">
        <v>377</v>
      </c>
      <c r="F2893" t="s">
        <v>384</v>
      </c>
      <c r="G2893" t="s">
        <v>73</v>
      </c>
      <c r="H2893" t="s">
        <v>749</v>
      </c>
      <c r="I2893">
        <v>2021</v>
      </c>
      <c r="J2893" t="s">
        <v>379</v>
      </c>
      <c r="K2893" t="s">
        <v>546</v>
      </c>
      <c r="L2893" s="784">
        <v>0</v>
      </c>
      <c r="M2893" t="s">
        <v>745</v>
      </c>
      <c r="O2893" t="s">
        <v>737</v>
      </c>
      <c r="P2893" t="s">
        <v>1887</v>
      </c>
      <c r="R2893" t="s">
        <v>150</v>
      </c>
      <c r="S2893" t="s">
        <v>145</v>
      </c>
      <c r="U2893">
        <v>0</v>
      </c>
      <c r="V2893" t="s">
        <v>544</v>
      </c>
      <c r="W2893" t="s">
        <v>546</v>
      </c>
      <c r="X2893" s="784">
        <v>26554332750.47023</v>
      </c>
    </row>
    <row r="2894" spans="1:24">
      <c r="A2894" t="s">
        <v>358</v>
      </c>
      <c r="B2894" t="s">
        <v>612</v>
      </c>
      <c r="C2894" t="s">
        <v>217</v>
      </c>
      <c r="D2894" t="s">
        <v>126</v>
      </c>
      <c r="E2894" t="s">
        <v>377</v>
      </c>
      <c r="F2894" t="s">
        <v>384</v>
      </c>
      <c r="G2894" t="s">
        <v>73</v>
      </c>
      <c r="H2894" t="s">
        <v>749</v>
      </c>
      <c r="I2894">
        <v>2021</v>
      </c>
      <c r="J2894" t="s">
        <v>379</v>
      </c>
      <c r="K2894" t="s">
        <v>546</v>
      </c>
      <c r="L2894" s="784">
        <v>0</v>
      </c>
      <c r="M2894" t="s">
        <v>745</v>
      </c>
      <c r="O2894" t="s">
        <v>737</v>
      </c>
      <c r="P2894" t="s">
        <v>1887</v>
      </c>
      <c r="R2894" t="s">
        <v>150</v>
      </c>
      <c r="S2894" t="s">
        <v>145</v>
      </c>
      <c r="U2894">
        <v>0</v>
      </c>
      <c r="V2894" t="s">
        <v>544</v>
      </c>
      <c r="W2894" t="s">
        <v>546</v>
      </c>
      <c r="X2894" s="784">
        <v>14745961064.890842</v>
      </c>
    </row>
    <row r="2895" spans="1:24">
      <c r="A2895" t="s">
        <v>358</v>
      </c>
      <c r="B2895" t="s">
        <v>613</v>
      </c>
      <c r="C2895" t="s">
        <v>149</v>
      </c>
      <c r="D2895" t="s">
        <v>131</v>
      </c>
      <c r="E2895" t="s">
        <v>377</v>
      </c>
      <c r="F2895" t="s">
        <v>384</v>
      </c>
      <c r="G2895" t="s">
        <v>73</v>
      </c>
      <c r="H2895" t="s">
        <v>749</v>
      </c>
      <c r="I2895">
        <v>2021</v>
      </c>
      <c r="J2895" t="s">
        <v>379</v>
      </c>
      <c r="K2895" t="s">
        <v>546</v>
      </c>
      <c r="L2895" s="784">
        <v>0</v>
      </c>
      <c r="M2895" t="s">
        <v>745</v>
      </c>
      <c r="O2895" t="s">
        <v>737</v>
      </c>
      <c r="P2895" t="s">
        <v>1887</v>
      </c>
      <c r="R2895" t="s">
        <v>150</v>
      </c>
      <c r="S2895" t="s">
        <v>146</v>
      </c>
      <c r="U2895">
        <v>0</v>
      </c>
      <c r="V2895" t="s">
        <v>544</v>
      </c>
      <c r="W2895" t="s">
        <v>546</v>
      </c>
      <c r="X2895" s="784">
        <v>18194076299.786381</v>
      </c>
    </row>
    <row r="2896" spans="1:24">
      <c r="A2896" t="s">
        <v>358</v>
      </c>
      <c r="B2896" t="s">
        <v>614</v>
      </c>
      <c r="C2896" t="s">
        <v>218</v>
      </c>
      <c r="D2896" t="s">
        <v>131</v>
      </c>
      <c r="E2896" t="s">
        <v>377</v>
      </c>
      <c r="F2896" t="s">
        <v>384</v>
      </c>
      <c r="G2896" t="s">
        <v>73</v>
      </c>
      <c r="H2896" t="s">
        <v>749</v>
      </c>
      <c r="I2896">
        <v>2021</v>
      </c>
      <c r="J2896" t="s">
        <v>379</v>
      </c>
      <c r="K2896" t="s">
        <v>546</v>
      </c>
      <c r="L2896" s="784">
        <v>0</v>
      </c>
      <c r="M2896" t="s">
        <v>745</v>
      </c>
      <c r="O2896" t="s">
        <v>737</v>
      </c>
      <c r="P2896" t="s">
        <v>1887</v>
      </c>
      <c r="R2896" t="s">
        <v>152</v>
      </c>
      <c r="S2896" t="s">
        <v>146</v>
      </c>
      <c r="U2896">
        <v>0</v>
      </c>
      <c r="V2896" t="s">
        <v>544</v>
      </c>
      <c r="W2896" t="s">
        <v>546</v>
      </c>
      <c r="X2896" s="784">
        <v>4428819387.769825</v>
      </c>
    </row>
    <row r="2897" spans="1:24">
      <c r="A2897" t="s">
        <v>358</v>
      </c>
      <c r="B2897" t="s">
        <v>615</v>
      </c>
      <c r="C2897" t="s">
        <v>219</v>
      </c>
      <c r="D2897" t="s">
        <v>130</v>
      </c>
      <c r="E2897" t="s">
        <v>377</v>
      </c>
      <c r="F2897" t="s">
        <v>384</v>
      </c>
      <c r="G2897" t="s">
        <v>73</v>
      </c>
      <c r="H2897" t="s">
        <v>749</v>
      </c>
      <c r="I2897">
        <v>2021</v>
      </c>
      <c r="J2897" t="s">
        <v>379</v>
      </c>
      <c r="K2897" t="s">
        <v>546</v>
      </c>
      <c r="L2897" s="784">
        <v>0</v>
      </c>
      <c r="M2897" t="s">
        <v>745</v>
      </c>
      <c r="O2897" t="s">
        <v>737</v>
      </c>
      <c r="P2897" t="s">
        <v>1887</v>
      </c>
      <c r="R2897" t="s">
        <v>152</v>
      </c>
      <c r="S2897" t="s">
        <v>146</v>
      </c>
      <c r="U2897">
        <v>0</v>
      </c>
      <c r="V2897" t="s">
        <v>541</v>
      </c>
      <c r="W2897" t="s">
        <v>575</v>
      </c>
      <c r="X2897" s="784">
        <v>611739560.62679195</v>
      </c>
    </row>
    <row r="2898" spans="1:24">
      <c r="A2898" t="s">
        <v>358</v>
      </c>
      <c r="B2898" t="s">
        <v>616</v>
      </c>
      <c r="C2898" t="s">
        <v>220</v>
      </c>
      <c r="D2898" t="s">
        <v>131</v>
      </c>
      <c r="E2898" t="s">
        <v>377</v>
      </c>
      <c r="F2898" t="s">
        <v>384</v>
      </c>
      <c r="G2898" t="s">
        <v>73</v>
      </c>
      <c r="H2898" t="s">
        <v>749</v>
      </c>
      <c r="I2898">
        <v>2021</v>
      </c>
      <c r="J2898" t="s">
        <v>379</v>
      </c>
      <c r="K2898" t="s">
        <v>546</v>
      </c>
      <c r="L2898" s="784">
        <v>0</v>
      </c>
      <c r="M2898" t="s">
        <v>745</v>
      </c>
      <c r="O2898" t="s">
        <v>737</v>
      </c>
      <c r="P2898" t="s">
        <v>1887</v>
      </c>
      <c r="R2898" t="s">
        <v>152</v>
      </c>
      <c r="S2898" t="s">
        <v>146</v>
      </c>
      <c r="U2898">
        <v>0</v>
      </c>
      <c r="V2898" t="s">
        <v>544</v>
      </c>
      <c r="W2898" t="s">
        <v>546</v>
      </c>
      <c r="X2898" s="784">
        <v>1617913383.0481031</v>
      </c>
    </row>
    <row r="2899" spans="1:24">
      <c r="A2899" t="s">
        <v>358</v>
      </c>
      <c r="B2899" t="s">
        <v>617</v>
      </c>
      <c r="C2899" t="s">
        <v>221</v>
      </c>
      <c r="D2899" t="s">
        <v>127</v>
      </c>
      <c r="E2899" t="s">
        <v>377</v>
      </c>
      <c r="F2899" t="s">
        <v>384</v>
      </c>
      <c r="G2899" t="s">
        <v>73</v>
      </c>
      <c r="H2899" t="s">
        <v>749</v>
      </c>
      <c r="I2899">
        <v>2021</v>
      </c>
      <c r="J2899" t="s">
        <v>379</v>
      </c>
      <c r="K2899" t="s">
        <v>546</v>
      </c>
      <c r="L2899" s="784">
        <v>0</v>
      </c>
      <c r="M2899" t="s">
        <v>745</v>
      </c>
      <c r="O2899" t="s">
        <v>737</v>
      </c>
      <c r="P2899" t="s">
        <v>1887</v>
      </c>
      <c r="R2899" t="s">
        <v>152</v>
      </c>
      <c r="S2899" t="s">
        <v>146</v>
      </c>
      <c r="U2899">
        <v>0</v>
      </c>
      <c r="V2899" t="s">
        <v>544</v>
      </c>
      <c r="W2899" t="s">
        <v>575</v>
      </c>
      <c r="X2899" s="784">
        <v>3074419112.4562683</v>
      </c>
    </row>
    <row r="2900" spans="1:24">
      <c r="A2900" t="s">
        <v>358</v>
      </c>
      <c r="B2900" t="s">
        <v>618</v>
      </c>
      <c r="C2900" t="s">
        <v>222</v>
      </c>
      <c r="D2900" t="s">
        <v>128</v>
      </c>
      <c r="E2900" t="s">
        <v>377</v>
      </c>
      <c r="F2900" t="s">
        <v>384</v>
      </c>
      <c r="G2900" t="s">
        <v>73</v>
      </c>
      <c r="H2900" t="s">
        <v>749</v>
      </c>
      <c r="I2900">
        <v>2021</v>
      </c>
      <c r="J2900" t="s">
        <v>379</v>
      </c>
      <c r="K2900" t="s">
        <v>546</v>
      </c>
      <c r="L2900" s="784">
        <v>0</v>
      </c>
      <c r="M2900" t="s">
        <v>745</v>
      </c>
      <c r="O2900" t="s">
        <v>737</v>
      </c>
      <c r="P2900" t="s">
        <v>1887</v>
      </c>
      <c r="R2900" t="s">
        <v>150</v>
      </c>
      <c r="S2900" t="s">
        <v>145</v>
      </c>
      <c r="U2900">
        <v>0</v>
      </c>
      <c r="V2900" t="s">
        <v>544</v>
      </c>
      <c r="W2900" t="s">
        <v>542</v>
      </c>
      <c r="X2900" s="784">
        <v>1914014279.8929913</v>
      </c>
    </row>
    <row r="2901" spans="1:24">
      <c r="A2901" t="s">
        <v>358</v>
      </c>
      <c r="B2901" t="s">
        <v>619</v>
      </c>
      <c r="C2901" t="s">
        <v>223</v>
      </c>
      <c r="D2901" t="s">
        <v>126</v>
      </c>
      <c r="E2901" t="s">
        <v>377</v>
      </c>
      <c r="F2901" t="s">
        <v>384</v>
      </c>
      <c r="G2901" t="s">
        <v>73</v>
      </c>
      <c r="H2901" t="s">
        <v>749</v>
      </c>
      <c r="I2901">
        <v>2021</v>
      </c>
      <c r="J2901" t="s">
        <v>379</v>
      </c>
      <c r="K2901" t="s">
        <v>546</v>
      </c>
      <c r="L2901" s="784">
        <v>0</v>
      </c>
      <c r="M2901" t="s">
        <v>745</v>
      </c>
      <c r="O2901" t="s">
        <v>737</v>
      </c>
      <c r="P2901" t="s">
        <v>1887</v>
      </c>
      <c r="R2901" t="s">
        <v>150</v>
      </c>
      <c r="S2901" t="s">
        <v>145</v>
      </c>
      <c r="U2901">
        <v>0</v>
      </c>
      <c r="V2901" t="s">
        <v>541</v>
      </c>
      <c r="W2901" t="s">
        <v>542</v>
      </c>
      <c r="X2901" s="784">
        <v>17422005.762907442</v>
      </c>
    </row>
    <row r="2902" spans="1:24">
      <c r="A2902" t="s">
        <v>358</v>
      </c>
      <c r="B2902" t="s">
        <v>620</v>
      </c>
      <c r="C2902" t="s">
        <v>224</v>
      </c>
      <c r="D2902" t="s">
        <v>126</v>
      </c>
      <c r="E2902" t="s">
        <v>377</v>
      </c>
      <c r="F2902" t="s">
        <v>384</v>
      </c>
      <c r="G2902" t="s">
        <v>73</v>
      </c>
      <c r="H2902" t="s">
        <v>749</v>
      </c>
      <c r="I2902">
        <v>2021</v>
      </c>
      <c r="J2902" t="s">
        <v>379</v>
      </c>
      <c r="K2902" t="s">
        <v>546</v>
      </c>
      <c r="L2902" s="784">
        <v>0</v>
      </c>
      <c r="M2902" t="s">
        <v>745</v>
      </c>
      <c r="O2902" t="s">
        <v>737</v>
      </c>
      <c r="P2902" t="s">
        <v>1887</v>
      </c>
      <c r="R2902" t="s">
        <v>148</v>
      </c>
      <c r="S2902" t="s">
        <v>145</v>
      </c>
      <c r="U2902">
        <v>0</v>
      </c>
      <c r="V2902" t="s">
        <v>544</v>
      </c>
      <c r="W2902" t="s">
        <v>546</v>
      </c>
      <c r="X2902" s="784" t="s">
        <v>575</v>
      </c>
    </row>
    <row r="2903" spans="1:24">
      <c r="A2903" t="s">
        <v>358</v>
      </c>
      <c r="B2903" t="s">
        <v>621</v>
      </c>
      <c r="C2903" t="s">
        <v>225</v>
      </c>
      <c r="D2903" t="s">
        <v>127</v>
      </c>
      <c r="E2903" t="s">
        <v>377</v>
      </c>
      <c r="F2903" t="s">
        <v>384</v>
      </c>
      <c r="G2903" t="s">
        <v>73</v>
      </c>
      <c r="H2903" t="s">
        <v>749</v>
      </c>
      <c r="I2903">
        <v>2021</v>
      </c>
      <c r="J2903" t="s">
        <v>379</v>
      </c>
      <c r="K2903" t="s">
        <v>546</v>
      </c>
      <c r="L2903" s="784">
        <v>0</v>
      </c>
      <c r="M2903" t="s">
        <v>745</v>
      </c>
      <c r="O2903" t="s">
        <v>737</v>
      </c>
      <c r="P2903" t="s">
        <v>1887</v>
      </c>
      <c r="R2903" t="s">
        <v>152</v>
      </c>
      <c r="S2903" t="s">
        <v>145</v>
      </c>
      <c r="U2903">
        <v>0</v>
      </c>
      <c r="V2903" t="s">
        <v>544</v>
      </c>
      <c r="W2903" t="s">
        <v>548</v>
      </c>
      <c r="X2903" s="784" t="s">
        <v>575</v>
      </c>
    </row>
    <row r="2904" spans="1:24">
      <c r="A2904" t="s">
        <v>358</v>
      </c>
      <c r="B2904" t="s">
        <v>622</v>
      </c>
      <c r="C2904" t="s">
        <v>226</v>
      </c>
      <c r="D2904" t="s">
        <v>127</v>
      </c>
      <c r="E2904" t="s">
        <v>377</v>
      </c>
      <c r="F2904" t="s">
        <v>384</v>
      </c>
      <c r="G2904" t="s">
        <v>73</v>
      </c>
      <c r="H2904" t="s">
        <v>749</v>
      </c>
      <c r="I2904">
        <v>2021</v>
      </c>
      <c r="J2904" t="s">
        <v>379</v>
      </c>
      <c r="K2904" t="s">
        <v>546</v>
      </c>
      <c r="L2904" s="784">
        <v>0</v>
      </c>
      <c r="M2904" t="s">
        <v>745</v>
      </c>
      <c r="O2904" t="s">
        <v>737</v>
      </c>
      <c r="P2904" t="s">
        <v>1887</v>
      </c>
      <c r="R2904" t="s">
        <v>150</v>
      </c>
      <c r="S2904" t="s">
        <v>145</v>
      </c>
      <c r="U2904">
        <v>2</v>
      </c>
      <c r="V2904" t="s">
        <v>544</v>
      </c>
      <c r="W2904" t="s">
        <v>562</v>
      </c>
      <c r="X2904" s="784">
        <v>231506834.84347546</v>
      </c>
    </row>
    <row r="2905" spans="1:24">
      <c r="A2905" t="s">
        <v>358</v>
      </c>
      <c r="B2905" t="s">
        <v>623</v>
      </c>
      <c r="C2905" t="s">
        <v>227</v>
      </c>
      <c r="D2905" t="s">
        <v>126</v>
      </c>
      <c r="E2905" t="s">
        <v>377</v>
      </c>
      <c r="F2905" t="s">
        <v>384</v>
      </c>
      <c r="G2905" t="s">
        <v>73</v>
      </c>
      <c r="H2905" t="s">
        <v>749</v>
      </c>
      <c r="I2905">
        <v>2021</v>
      </c>
      <c r="J2905" t="s">
        <v>379</v>
      </c>
      <c r="K2905" t="s">
        <v>546</v>
      </c>
      <c r="L2905" s="784">
        <v>0</v>
      </c>
      <c r="M2905" t="s">
        <v>745</v>
      </c>
      <c r="O2905" t="s">
        <v>737</v>
      </c>
      <c r="P2905" t="s">
        <v>1887</v>
      </c>
      <c r="R2905" t="s">
        <v>150</v>
      </c>
      <c r="S2905" t="s">
        <v>145</v>
      </c>
      <c r="U2905">
        <v>0</v>
      </c>
      <c r="V2905" t="s">
        <v>544</v>
      </c>
      <c r="W2905" t="s">
        <v>542</v>
      </c>
      <c r="X2905" s="784">
        <v>156059428.62944782</v>
      </c>
    </row>
    <row r="2906" spans="1:24">
      <c r="A2906" t="s">
        <v>358</v>
      </c>
      <c r="B2906" t="s">
        <v>624</v>
      </c>
      <c r="C2906" t="s">
        <v>228</v>
      </c>
      <c r="D2906" t="s">
        <v>131</v>
      </c>
      <c r="E2906" t="s">
        <v>377</v>
      </c>
      <c r="F2906" t="s">
        <v>384</v>
      </c>
      <c r="G2906" t="s">
        <v>73</v>
      </c>
      <c r="H2906" t="s">
        <v>749</v>
      </c>
      <c r="I2906">
        <v>2021</v>
      </c>
      <c r="J2906" t="s">
        <v>379</v>
      </c>
      <c r="K2906" t="s">
        <v>546</v>
      </c>
      <c r="L2906" s="784">
        <v>0</v>
      </c>
      <c r="M2906" t="s">
        <v>745</v>
      </c>
      <c r="O2906" t="s">
        <v>737</v>
      </c>
      <c r="P2906" t="s">
        <v>1887</v>
      </c>
      <c r="R2906" t="s">
        <v>152</v>
      </c>
      <c r="S2906" t="s">
        <v>146</v>
      </c>
      <c r="U2906">
        <v>0</v>
      </c>
      <c r="V2906" t="s">
        <v>544</v>
      </c>
      <c r="W2906" t="s">
        <v>546</v>
      </c>
      <c r="X2906" s="784">
        <v>2355391507.1635861</v>
      </c>
    </row>
    <row r="2907" spans="1:24">
      <c r="A2907" t="s">
        <v>358</v>
      </c>
      <c r="B2907" t="s">
        <v>625</v>
      </c>
      <c r="C2907" t="s">
        <v>229</v>
      </c>
      <c r="D2907" t="s">
        <v>128</v>
      </c>
      <c r="E2907" t="s">
        <v>377</v>
      </c>
      <c r="F2907" t="s">
        <v>384</v>
      </c>
      <c r="G2907" t="s">
        <v>73</v>
      </c>
      <c r="H2907" t="s">
        <v>749</v>
      </c>
      <c r="I2907">
        <v>2021</v>
      </c>
      <c r="J2907" t="s">
        <v>379</v>
      </c>
      <c r="K2907" t="s">
        <v>546</v>
      </c>
      <c r="L2907" s="784">
        <v>0</v>
      </c>
      <c r="M2907" t="s">
        <v>745</v>
      </c>
      <c r="O2907" t="s">
        <v>737</v>
      </c>
      <c r="P2907" t="s">
        <v>1887</v>
      </c>
      <c r="R2907" t="s">
        <v>150</v>
      </c>
      <c r="S2907" t="s">
        <v>145</v>
      </c>
      <c r="U2907">
        <v>0</v>
      </c>
      <c r="V2907" t="s">
        <v>544</v>
      </c>
      <c r="W2907" t="s">
        <v>562</v>
      </c>
      <c r="X2907" s="784">
        <v>152760919.7684873</v>
      </c>
    </row>
    <row r="2908" spans="1:24">
      <c r="A2908" t="s">
        <v>358</v>
      </c>
      <c r="B2908" t="s">
        <v>626</v>
      </c>
      <c r="C2908" t="s">
        <v>230</v>
      </c>
      <c r="D2908" t="s">
        <v>129</v>
      </c>
      <c r="E2908" t="s">
        <v>377</v>
      </c>
      <c r="F2908" t="s">
        <v>384</v>
      </c>
      <c r="G2908" t="s">
        <v>73</v>
      </c>
      <c r="H2908" t="s">
        <v>749</v>
      </c>
      <c r="I2908">
        <v>2021</v>
      </c>
      <c r="J2908" t="s">
        <v>379</v>
      </c>
      <c r="K2908" t="s">
        <v>546</v>
      </c>
      <c r="L2908" s="784">
        <v>0</v>
      </c>
      <c r="M2908" t="s">
        <v>745</v>
      </c>
      <c r="O2908" t="s">
        <v>737</v>
      </c>
      <c r="P2908" t="s">
        <v>1887</v>
      </c>
      <c r="R2908" t="s">
        <v>148</v>
      </c>
      <c r="S2908" t="s">
        <v>145</v>
      </c>
      <c r="U2908">
        <v>0</v>
      </c>
      <c r="V2908" t="s">
        <v>544</v>
      </c>
      <c r="W2908" t="s">
        <v>542</v>
      </c>
      <c r="X2908" s="784">
        <v>55072006.864440605</v>
      </c>
    </row>
    <row r="2909" spans="1:24">
      <c r="A2909" t="s">
        <v>358</v>
      </c>
      <c r="B2909" t="s">
        <v>627</v>
      </c>
      <c r="C2909" t="s">
        <v>231</v>
      </c>
      <c r="D2909" t="s">
        <v>131</v>
      </c>
      <c r="E2909" t="s">
        <v>377</v>
      </c>
      <c r="F2909" t="s">
        <v>384</v>
      </c>
      <c r="G2909" t="s">
        <v>73</v>
      </c>
      <c r="H2909" t="s">
        <v>749</v>
      </c>
      <c r="I2909">
        <v>2021</v>
      </c>
      <c r="J2909" t="s">
        <v>379</v>
      </c>
      <c r="K2909" t="s">
        <v>546</v>
      </c>
      <c r="L2909" s="784">
        <v>0</v>
      </c>
      <c r="M2909" t="s">
        <v>745</v>
      </c>
      <c r="O2909" t="s">
        <v>737</v>
      </c>
      <c r="P2909" t="s">
        <v>1887</v>
      </c>
      <c r="R2909" t="s">
        <v>152</v>
      </c>
      <c r="S2909" t="s">
        <v>146</v>
      </c>
      <c r="U2909">
        <v>0</v>
      </c>
      <c r="V2909" t="s">
        <v>544</v>
      </c>
      <c r="W2909" t="s">
        <v>546</v>
      </c>
      <c r="X2909" s="784" t="s">
        <v>575</v>
      </c>
    </row>
    <row r="2910" spans="1:24">
      <c r="A2910" t="s">
        <v>358</v>
      </c>
      <c r="B2910" t="s">
        <v>628</v>
      </c>
      <c r="C2910" t="s">
        <v>232</v>
      </c>
      <c r="D2910" t="s">
        <v>128</v>
      </c>
      <c r="E2910" t="s">
        <v>377</v>
      </c>
      <c r="F2910" t="s">
        <v>384</v>
      </c>
      <c r="G2910" t="s">
        <v>73</v>
      </c>
      <c r="H2910" t="s">
        <v>749</v>
      </c>
      <c r="I2910">
        <v>2021</v>
      </c>
      <c r="J2910" t="s">
        <v>379</v>
      </c>
      <c r="K2910" t="s">
        <v>546</v>
      </c>
      <c r="L2910" s="784">
        <v>0</v>
      </c>
      <c r="M2910" t="s">
        <v>745</v>
      </c>
      <c r="O2910" t="s">
        <v>737</v>
      </c>
      <c r="P2910" t="s">
        <v>1887</v>
      </c>
      <c r="R2910" t="s">
        <v>148</v>
      </c>
      <c r="S2910" t="s">
        <v>145</v>
      </c>
      <c r="U2910">
        <v>2</v>
      </c>
      <c r="V2910" t="s">
        <v>544</v>
      </c>
      <c r="W2910" t="s">
        <v>562</v>
      </c>
      <c r="X2910" s="784">
        <v>206914157.05429548</v>
      </c>
    </row>
    <row r="2911" spans="1:24">
      <c r="A2911" t="s">
        <v>358</v>
      </c>
      <c r="B2911" t="s">
        <v>629</v>
      </c>
      <c r="C2911" t="s">
        <v>233</v>
      </c>
      <c r="D2911" t="s">
        <v>128</v>
      </c>
      <c r="E2911" t="s">
        <v>377</v>
      </c>
      <c r="F2911" t="s">
        <v>384</v>
      </c>
      <c r="G2911" t="s">
        <v>73</v>
      </c>
      <c r="H2911" t="s">
        <v>749</v>
      </c>
      <c r="I2911">
        <v>2021</v>
      </c>
      <c r="J2911" t="s">
        <v>379</v>
      </c>
      <c r="K2911" t="s">
        <v>546</v>
      </c>
      <c r="L2911" s="784">
        <v>0</v>
      </c>
      <c r="M2911" t="s">
        <v>745</v>
      </c>
      <c r="O2911" t="s">
        <v>737</v>
      </c>
      <c r="P2911" t="s">
        <v>1887</v>
      </c>
      <c r="R2911" t="s">
        <v>148</v>
      </c>
      <c r="S2911" t="s">
        <v>145</v>
      </c>
      <c r="U2911">
        <v>2</v>
      </c>
      <c r="V2911" t="s">
        <v>544</v>
      </c>
      <c r="W2911" t="s">
        <v>542</v>
      </c>
      <c r="X2911" s="784">
        <v>185999915.02066413</v>
      </c>
    </row>
    <row r="2912" spans="1:24">
      <c r="A2912" t="s">
        <v>358</v>
      </c>
      <c r="B2912" t="s">
        <v>630</v>
      </c>
      <c r="C2912" t="s">
        <v>234</v>
      </c>
      <c r="D2912" t="s">
        <v>126</v>
      </c>
      <c r="E2912" t="s">
        <v>377</v>
      </c>
      <c r="F2912" t="s">
        <v>384</v>
      </c>
      <c r="G2912" t="s">
        <v>73</v>
      </c>
      <c r="H2912" t="s">
        <v>749</v>
      </c>
      <c r="I2912">
        <v>2021</v>
      </c>
      <c r="J2912" t="s">
        <v>379</v>
      </c>
      <c r="K2912" t="s">
        <v>546</v>
      </c>
      <c r="L2912" s="784">
        <v>0</v>
      </c>
      <c r="M2912" t="s">
        <v>745</v>
      </c>
      <c r="O2912" t="s">
        <v>737</v>
      </c>
      <c r="P2912" t="s">
        <v>1887</v>
      </c>
      <c r="R2912" t="s">
        <v>152</v>
      </c>
      <c r="S2912" t="s">
        <v>146</v>
      </c>
      <c r="U2912">
        <v>0</v>
      </c>
      <c r="V2912" t="s">
        <v>544</v>
      </c>
      <c r="W2912" t="s">
        <v>575</v>
      </c>
      <c r="X2912" s="784">
        <v>6893755763.2501726</v>
      </c>
    </row>
    <row r="2913" spans="1:24">
      <c r="A2913" t="s">
        <v>358</v>
      </c>
      <c r="B2913" t="s">
        <v>631</v>
      </c>
      <c r="C2913" t="s">
        <v>235</v>
      </c>
      <c r="D2913" t="s">
        <v>132</v>
      </c>
      <c r="E2913" t="s">
        <v>377</v>
      </c>
      <c r="F2913" t="s">
        <v>384</v>
      </c>
      <c r="G2913" t="s">
        <v>73</v>
      </c>
      <c r="H2913" t="s">
        <v>749</v>
      </c>
      <c r="I2913">
        <v>2021</v>
      </c>
      <c r="J2913" t="s">
        <v>379</v>
      </c>
      <c r="K2913" t="s">
        <v>546</v>
      </c>
      <c r="L2913" s="784">
        <v>0</v>
      </c>
      <c r="M2913" t="s">
        <v>745</v>
      </c>
      <c r="O2913" t="s">
        <v>737</v>
      </c>
      <c r="P2913" t="s">
        <v>1887</v>
      </c>
      <c r="R2913" t="s">
        <v>152</v>
      </c>
      <c r="S2913" t="s">
        <v>145</v>
      </c>
      <c r="U2913">
        <v>0</v>
      </c>
      <c r="V2913" t="s">
        <v>541</v>
      </c>
      <c r="W2913" t="s">
        <v>542</v>
      </c>
      <c r="X2913" s="784">
        <v>354560231.58276606</v>
      </c>
    </row>
    <row r="2914" spans="1:24">
      <c r="A2914" t="s">
        <v>358</v>
      </c>
      <c r="B2914" t="s">
        <v>632</v>
      </c>
      <c r="C2914" t="s">
        <v>236</v>
      </c>
      <c r="D2914" t="s">
        <v>129</v>
      </c>
      <c r="E2914" t="s">
        <v>377</v>
      </c>
      <c r="F2914" t="s">
        <v>384</v>
      </c>
      <c r="G2914" t="s">
        <v>73</v>
      </c>
      <c r="H2914" t="s">
        <v>749</v>
      </c>
      <c r="I2914">
        <v>2021</v>
      </c>
      <c r="J2914" t="s">
        <v>379</v>
      </c>
      <c r="K2914" t="s">
        <v>546</v>
      </c>
      <c r="L2914" s="784">
        <v>0</v>
      </c>
      <c r="M2914" t="s">
        <v>745</v>
      </c>
      <c r="O2914" t="s">
        <v>737</v>
      </c>
      <c r="P2914" t="s">
        <v>1887</v>
      </c>
      <c r="R2914" t="s">
        <v>148</v>
      </c>
      <c r="S2914" t="s">
        <v>145</v>
      </c>
      <c r="U2914">
        <v>1</v>
      </c>
      <c r="V2914" t="s">
        <v>544</v>
      </c>
      <c r="W2914" t="s">
        <v>562</v>
      </c>
      <c r="X2914" s="784">
        <v>188169167.56540567</v>
      </c>
    </row>
    <row r="2915" spans="1:24">
      <c r="A2915" t="s">
        <v>358</v>
      </c>
      <c r="B2915" t="s">
        <v>633</v>
      </c>
      <c r="C2915" t="s">
        <v>237</v>
      </c>
      <c r="D2915" t="s">
        <v>126</v>
      </c>
      <c r="E2915" t="s">
        <v>377</v>
      </c>
      <c r="F2915" t="s">
        <v>384</v>
      </c>
      <c r="G2915" t="s">
        <v>73</v>
      </c>
      <c r="H2915" t="s">
        <v>749</v>
      </c>
      <c r="I2915">
        <v>2021</v>
      </c>
      <c r="J2915" t="s">
        <v>379</v>
      </c>
      <c r="K2915" t="s">
        <v>546</v>
      </c>
      <c r="L2915" s="784">
        <v>0</v>
      </c>
      <c r="M2915" t="s">
        <v>745</v>
      </c>
      <c r="O2915" t="s">
        <v>737</v>
      </c>
      <c r="P2915" t="s">
        <v>1887</v>
      </c>
      <c r="R2915" t="s">
        <v>152</v>
      </c>
      <c r="S2915" t="s">
        <v>145</v>
      </c>
      <c r="U2915">
        <v>0</v>
      </c>
      <c r="V2915" t="s">
        <v>541</v>
      </c>
      <c r="W2915" t="s">
        <v>575</v>
      </c>
      <c r="X2915" s="784">
        <v>16312106.556340856</v>
      </c>
    </row>
    <row r="2916" spans="1:24">
      <c r="A2916" t="s">
        <v>358</v>
      </c>
      <c r="B2916" t="s">
        <v>634</v>
      </c>
      <c r="C2916" t="s">
        <v>238</v>
      </c>
      <c r="D2916" t="s">
        <v>129</v>
      </c>
      <c r="E2916" t="s">
        <v>377</v>
      </c>
      <c r="F2916" t="s">
        <v>384</v>
      </c>
      <c r="G2916" t="s">
        <v>73</v>
      </c>
      <c r="H2916" t="s">
        <v>749</v>
      </c>
      <c r="I2916">
        <v>2021</v>
      </c>
      <c r="J2916" t="s">
        <v>379</v>
      </c>
      <c r="K2916" t="s">
        <v>546</v>
      </c>
      <c r="L2916" s="784">
        <v>0</v>
      </c>
      <c r="M2916" t="s">
        <v>745</v>
      </c>
      <c r="O2916" t="s">
        <v>737</v>
      </c>
      <c r="P2916" t="s">
        <v>1887</v>
      </c>
      <c r="R2916" t="s">
        <v>150</v>
      </c>
      <c r="S2916" t="s">
        <v>145</v>
      </c>
      <c r="U2916">
        <v>2</v>
      </c>
      <c r="V2916" t="s">
        <v>544</v>
      </c>
      <c r="W2916" t="s">
        <v>542</v>
      </c>
      <c r="X2916" s="784">
        <v>86083833.534053758</v>
      </c>
    </row>
    <row r="2917" spans="1:24">
      <c r="A2917" t="s">
        <v>358</v>
      </c>
      <c r="B2917" t="s">
        <v>635</v>
      </c>
      <c r="C2917" t="s">
        <v>239</v>
      </c>
      <c r="D2917" t="s">
        <v>128</v>
      </c>
      <c r="E2917" t="s">
        <v>377</v>
      </c>
      <c r="F2917" t="s">
        <v>384</v>
      </c>
      <c r="G2917" t="s">
        <v>73</v>
      </c>
      <c r="H2917" t="s">
        <v>749</v>
      </c>
      <c r="I2917">
        <v>2021</v>
      </c>
      <c r="J2917" t="s">
        <v>379</v>
      </c>
      <c r="K2917" t="s">
        <v>546</v>
      </c>
      <c r="L2917" s="784">
        <v>0</v>
      </c>
      <c r="M2917" t="s">
        <v>745</v>
      </c>
      <c r="O2917" t="s">
        <v>737</v>
      </c>
      <c r="P2917" t="s">
        <v>1887</v>
      </c>
      <c r="R2917" t="s">
        <v>152</v>
      </c>
      <c r="S2917" t="s">
        <v>146</v>
      </c>
      <c r="U2917">
        <v>0</v>
      </c>
      <c r="V2917" t="s">
        <v>541</v>
      </c>
      <c r="W2917" t="s">
        <v>546</v>
      </c>
      <c r="X2917" s="784">
        <v>357220835.93762809</v>
      </c>
    </row>
    <row r="2918" spans="1:24">
      <c r="A2918" t="s">
        <v>358</v>
      </c>
      <c r="B2918" t="s">
        <v>636</v>
      </c>
      <c r="C2918" t="s">
        <v>240</v>
      </c>
      <c r="D2918" t="s">
        <v>130</v>
      </c>
      <c r="E2918" t="s">
        <v>377</v>
      </c>
      <c r="F2918" t="s">
        <v>384</v>
      </c>
      <c r="G2918" t="s">
        <v>73</v>
      </c>
      <c r="H2918" t="s">
        <v>749</v>
      </c>
      <c r="I2918">
        <v>2021</v>
      </c>
      <c r="J2918" t="s">
        <v>379</v>
      </c>
      <c r="K2918" t="s">
        <v>546</v>
      </c>
      <c r="L2918" s="784">
        <v>0</v>
      </c>
      <c r="M2918" t="s">
        <v>745</v>
      </c>
      <c r="O2918" t="s">
        <v>737</v>
      </c>
      <c r="P2918" t="s">
        <v>1887</v>
      </c>
      <c r="R2918" t="s">
        <v>152</v>
      </c>
      <c r="S2918" t="s">
        <v>146</v>
      </c>
      <c r="U2918">
        <v>0</v>
      </c>
      <c r="V2918" t="s">
        <v>544</v>
      </c>
      <c r="W2918" t="s">
        <v>575</v>
      </c>
      <c r="X2918" s="784">
        <v>32831598153.796387</v>
      </c>
    </row>
    <row r="2919" spans="1:24">
      <c r="A2919" t="s">
        <v>358</v>
      </c>
      <c r="B2919" t="s">
        <v>637</v>
      </c>
      <c r="C2919" t="s">
        <v>241</v>
      </c>
      <c r="D2919" t="s">
        <v>126</v>
      </c>
      <c r="E2919" t="s">
        <v>377</v>
      </c>
      <c r="F2919" t="s">
        <v>384</v>
      </c>
      <c r="G2919" t="s">
        <v>73</v>
      </c>
      <c r="H2919" t="s">
        <v>749</v>
      </c>
      <c r="I2919">
        <v>2021</v>
      </c>
      <c r="J2919" t="s">
        <v>379</v>
      </c>
      <c r="K2919" t="s">
        <v>546</v>
      </c>
      <c r="L2919" s="784">
        <v>0</v>
      </c>
      <c r="M2919" t="s">
        <v>745</v>
      </c>
      <c r="O2919" t="s">
        <v>737</v>
      </c>
      <c r="P2919" t="s">
        <v>1887</v>
      </c>
      <c r="R2919" t="s">
        <v>150</v>
      </c>
      <c r="S2919" t="s">
        <v>145</v>
      </c>
      <c r="U2919">
        <v>0</v>
      </c>
      <c r="V2919" t="s">
        <v>541</v>
      </c>
      <c r="W2919" t="s">
        <v>542</v>
      </c>
      <c r="X2919" s="784">
        <v>12329056.093798399</v>
      </c>
    </row>
    <row r="2920" spans="1:24">
      <c r="A2920" t="s">
        <v>358</v>
      </c>
      <c r="B2920" t="s">
        <v>638</v>
      </c>
      <c r="C2920" t="s">
        <v>242</v>
      </c>
      <c r="D2920" t="s">
        <v>127</v>
      </c>
      <c r="E2920" t="s">
        <v>377</v>
      </c>
      <c r="F2920" t="s">
        <v>384</v>
      </c>
      <c r="G2920" t="s">
        <v>73</v>
      </c>
      <c r="H2920" t="s">
        <v>749</v>
      </c>
      <c r="I2920">
        <v>2021</v>
      </c>
      <c r="J2920" t="s">
        <v>379</v>
      </c>
      <c r="K2920" t="s">
        <v>546</v>
      </c>
      <c r="L2920" s="784">
        <v>0</v>
      </c>
      <c r="M2920" t="s">
        <v>745</v>
      </c>
      <c r="O2920" t="s">
        <v>737</v>
      </c>
      <c r="P2920" t="s">
        <v>1887</v>
      </c>
      <c r="R2920" t="s">
        <v>152</v>
      </c>
      <c r="S2920" t="s">
        <v>145</v>
      </c>
      <c r="U2920">
        <v>0</v>
      </c>
      <c r="V2920" t="s">
        <v>544</v>
      </c>
      <c r="W2920" t="s">
        <v>558</v>
      </c>
      <c r="X2920" s="784">
        <v>426639742.85328001</v>
      </c>
    </row>
    <row r="2921" spans="1:24">
      <c r="A2921" t="s">
        <v>358</v>
      </c>
      <c r="B2921" t="s">
        <v>639</v>
      </c>
      <c r="C2921" t="s">
        <v>243</v>
      </c>
      <c r="D2921" t="s">
        <v>126</v>
      </c>
      <c r="E2921" t="s">
        <v>377</v>
      </c>
      <c r="F2921" t="s">
        <v>384</v>
      </c>
      <c r="G2921" t="s">
        <v>73</v>
      </c>
      <c r="H2921" t="s">
        <v>749</v>
      </c>
      <c r="I2921">
        <v>2021</v>
      </c>
      <c r="J2921" t="s">
        <v>379</v>
      </c>
      <c r="K2921" t="s">
        <v>546</v>
      </c>
      <c r="L2921" s="784">
        <v>0</v>
      </c>
      <c r="M2921" t="s">
        <v>745</v>
      </c>
      <c r="O2921" t="s">
        <v>737</v>
      </c>
      <c r="P2921" t="s">
        <v>1887</v>
      </c>
      <c r="R2921" t="s">
        <v>150</v>
      </c>
      <c r="S2921" t="s">
        <v>145</v>
      </c>
      <c r="U2921">
        <v>0</v>
      </c>
      <c r="V2921" t="s">
        <v>544</v>
      </c>
      <c r="W2921" t="s">
        <v>548</v>
      </c>
      <c r="X2921" s="784">
        <v>288519671.85870522</v>
      </c>
    </row>
    <row r="2922" spans="1:24">
      <c r="A2922" t="s">
        <v>358</v>
      </c>
      <c r="B2922" t="s">
        <v>640</v>
      </c>
      <c r="C2922" t="s">
        <v>244</v>
      </c>
      <c r="D2922" t="s">
        <v>127</v>
      </c>
      <c r="E2922" t="s">
        <v>377</v>
      </c>
      <c r="F2922" t="s">
        <v>384</v>
      </c>
      <c r="G2922" t="s">
        <v>73</v>
      </c>
      <c r="H2922" t="s">
        <v>749</v>
      </c>
      <c r="I2922">
        <v>2021</v>
      </c>
      <c r="J2922" t="s">
        <v>379</v>
      </c>
      <c r="K2922" t="s">
        <v>546</v>
      </c>
      <c r="L2922" s="784">
        <v>0</v>
      </c>
      <c r="M2922" t="s">
        <v>745</v>
      </c>
      <c r="O2922" t="s">
        <v>737</v>
      </c>
      <c r="P2922" t="s">
        <v>1887</v>
      </c>
      <c r="R2922" t="s">
        <v>152</v>
      </c>
      <c r="S2922" t="s">
        <v>146</v>
      </c>
      <c r="U2922">
        <v>0</v>
      </c>
      <c r="V2922" t="s">
        <v>544</v>
      </c>
      <c r="W2922" t="s">
        <v>546</v>
      </c>
      <c r="X2922" s="784">
        <v>275606560.78491527</v>
      </c>
    </row>
    <row r="2923" spans="1:24">
      <c r="A2923" t="s">
        <v>358</v>
      </c>
      <c r="B2923" t="s">
        <v>641</v>
      </c>
      <c r="C2923" t="s">
        <v>245</v>
      </c>
      <c r="D2923" t="s">
        <v>131</v>
      </c>
      <c r="E2923" t="s">
        <v>377</v>
      </c>
      <c r="F2923" t="s">
        <v>384</v>
      </c>
      <c r="G2923" t="s">
        <v>73</v>
      </c>
      <c r="H2923" t="s">
        <v>749</v>
      </c>
      <c r="I2923">
        <v>2021</v>
      </c>
      <c r="J2923" t="s">
        <v>379</v>
      </c>
      <c r="K2923" t="s">
        <v>546</v>
      </c>
      <c r="L2923" s="784">
        <v>0</v>
      </c>
      <c r="M2923" t="s">
        <v>745</v>
      </c>
      <c r="O2923" t="s">
        <v>737</v>
      </c>
      <c r="P2923" t="s">
        <v>1887</v>
      </c>
      <c r="R2923" t="s">
        <v>150</v>
      </c>
      <c r="S2923" t="s">
        <v>145</v>
      </c>
      <c r="U2923">
        <v>0</v>
      </c>
      <c r="V2923" t="s">
        <v>544</v>
      </c>
      <c r="W2923" t="s">
        <v>546</v>
      </c>
      <c r="X2923" s="784">
        <v>2530937679.3725696</v>
      </c>
    </row>
    <row r="2924" spans="1:24">
      <c r="A2924" t="s">
        <v>358</v>
      </c>
      <c r="B2924" t="s">
        <v>642</v>
      </c>
      <c r="C2924" t="s">
        <v>246</v>
      </c>
      <c r="D2924" t="s">
        <v>128</v>
      </c>
      <c r="E2924" t="s">
        <v>377</v>
      </c>
      <c r="F2924" t="s">
        <v>384</v>
      </c>
      <c r="G2924" t="s">
        <v>73</v>
      </c>
      <c r="H2924" t="s">
        <v>749</v>
      </c>
      <c r="I2924">
        <v>2021</v>
      </c>
      <c r="J2924" t="s">
        <v>379</v>
      </c>
      <c r="K2924" t="s">
        <v>546</v>
      </c>
      <c r="L2924" s="784">
        <v>0</v>
      </c>
      <c r="M2924" t="s">
        <v>745</v>
      </c>
      <c r="O2924" t="s">
        <v>737</v>
      </c>
      <c r="P2924" t="s">
        <v>1887</v>
      </c>
      <c r="R2924" t="s">
        <v>148</v>
      </c>
      <c r="S2924" t="s">
        <v>145</v>
      </c>
      <c r="U2924">
        <v>0</v>
      </c>
      <c r="V2924" t="s">
        <v>544</v>
      </c>
      <c r="W2924" t="s">
        <v>583</v>
      </c>
      <c r="X2924" s="784">
        <v>251432156.86255455</v>
      </c>
    </row>
    <row r="2925" spans="1:24">
      <c r="A2925" t="s">
        <v>358</v>
      </c>
      <c r="B2925" t="s">
        <v>643</v>
      </c>
      <c r="C2925" t="s">
        <v>247</v>
      </c>
      <c r="D2925" t="s">
        <v>126</v>
      </c>
      <c r="E2925" t="s">
        <v>377</v>
      </c>
      <c r="F2925" t="s">
        <v>384</v>
      </c>
      <c r="G2925" t="s">
        <v>73</v>
      </c>
      <c r="H2925" t="s">
        <v>749</v>
      </c>
      <c r="I2925">
        <v>2021</v>
      </c>
      <c r="J2925" t="s">
        <v>379</v>
      </c>
      <c r="K2925" t="s">
        <v>546</v>
      </c>
      <c r="L2925" s="784">
        <v>0</v>
      </c>
      <c r="M2925" t="s">
        <v>745</v>
      </c>
      <c r="O2925" t="s">
        <v>737</v>
      </c>
      <c r="P2925" t="s">
        <v>1887</v>
      </c>
      <c r="R2925" t="s">
        <v>150</v>
      </c>
      <c r="S2925" t="s">
        <v>145</v>
      </c>
      <c r="U2925">
        <v>0</v>
      </c>
      <c r="V2925" t="s">
        <v>544</v>
      </c>
      <c r="W2925" t="s">
        <v>558</v>
      </c>
      <c r="X2925" s="784">
        <v>471534500.60109437</v>
      </c>
    </row>
    <row r="2926" spans="1:24">
      <c r="A2926" t="s">
        <v>358</v>
      </c>
      <c r="B2926" t="s">
        <v>644</v>
      </c>
      <c r="C2926" t="s">
        <v>248</v>
      </c>
      <c r="D2926" t="s">
        <v>128</v>
      </c>
      <c r="E2926" t="s">
        <v>377</v>
      </c>
      <c r="F2926" t="s">
        <v>384</v>
      </c>
      <c r="G2926" t="s">
        <v>73</v>
      </c>
      <c r="H2926" t="s">
        <v>749</v>
      </c>
      <c r="I2926">
        <v>2021</v>
      </c>
      <c r="J2926" t="s">
        <v>379</v>
      </c>
      <c r="K2926" t="s">
        <v>546</v>
      </c>
      <c r="L2926" s="784">
        <v>0</v>
      </c>
      <c r="M2926" t="s">
        <v>745</v>
      </c>
      <c r="O2926" t="s">
        <v>737</v>
      </c>
      <c r="P2926" t="s">
        <v>1887</v>
      </c>
      <c r="R2926" t="s">
        <v>152</v>
      </c>
      <c r="S2926" t="s">
        <v>146</v>
      </c>
      <c r="U2926">
        <v>0</v>
      </c>
      <c r="V2926" t="s">
        <v>544</v>
      </c>
      <c r="W2926" t="s">
        <v>575</v>
      </c>
      <c r="X2926" s="784">
        <v>531677611.80447447</v>
      </c>
    </row>
    <row r="2927" spans="1:24">
      <c r="A2927" t="s">
        <v>358</v>
      </c>
      <c r="B2927" t="s">
        <v>645</v>
      </c>
      <c r="C2927" t="s">
        <v>249</v>
      </c>
      <c r="D2927" t="s">
        <v>126</v>
      </c>
      <c r="E2927" t="s">
        <v>377</v>
      </c>
      <c r="F2927" t="s">
        <v>384</v>
      </c>
      <c r="G2927" t="s">
        <v>73</v>
      </c>
      <c r="H2927" t="s">
        <v>749</v>
      </c>
      <c r="I2927">
        <v>2021</v>
      </c>
      <c r="J2927" t="s">
        <v>379</v>
      </c>
      <c r="K2927" t="s">
        <v>546</v>
      </c>
      <c r="L2927" s="784">
        <v>0</v>
      </c>
      <c r="M2927" t="s">
        <v>745</v>
      </c>
      <c r="O2927" t="s">
        <v>737</v>
      </c>
      <c r="P2927" t="s">
        <v>1887</v>
      </c>
      <c r="R2927" t="s">
        <v>550</v>
      </c>
      <c r="S2927" t="s">
        <v>146</v>
      </c>
      <c r="U2927">
        <v>0</v>
      </c>
      <c r="V2927" t="s">
        <v>541</v>
      </c>
      <c r="W2927" t="s">
        <v>575</v>
      </c>
      <c r="X2927" s="784">
        <v>8528751.6418357007</v>
      </c>
    </row>
    <row r="2928" spans="1:24">
      <c r="A2928" t="s">
        <v>358</v>
      </c>
      <c r="B2928" t="s">
        <v>646</v>
      </c>
      <c r="C2928" t="s">
        <v>250</v>
      </c>
      <c r="D2928" t="s">
        <v>132</v>
      </c>
      <c r="E2928" t="s">
        <v>377</v>
      </c>
      <c r="F2928" t="s">
        <v>384</v>
      </c>
      <c r="G2928" t="s">
        <v>73</v>
      </c>
      <c r="H2928" t="s">
        <v>749</v>
      </c>
      <c r="I2928">
        <v>2021</v>
      </c>
      <c r="J2928" t="s">
        <v>379</v>
      </c>
      <c r="K2928" t="s">
        <v>546</v>
      </c>
      <c r="L2928" s="784">
        <v>0</v>
      </c>
      <c r="M2928" t="s">
        <v>745</v>
      </c>
      <c r="O2928" t="s">
        <v>737</v>
      </c>
      <c r="P2928" t="s">
        <v>1887</v>
      </c>
      <c r="R2928" t="s">
        <v>150</v>
      </c>
      <c r="S2928" t="s">
        <v>145</v>
      </c>
      <c r="U2928">
        <v>0</v>
      </c>
      <c r="V2928" t="s">
        <v>544</v>
      </c>
      <c r="W2928" t="s">
        <v>558</v>
      </c>
      <c r="X2928" s="784">
        <v>407084543.19089872</v>
      </c>
    </row>
    <row r="2929" spans="1:24">
      <c r="A2929" t="s">
        <v>358</v>
      </c>
      <c r="B2929" t="s">
        <v>647</v>
      </c>
      <c r="C2929" t="s">
        <v>251</v>
      </c>
      <c r="D2929" t="s">
        <v>130</v>
      </c>
      <c r="E2929" t="s">
        <v>377</v>
      </c>
      <c r="F2929" t="s">
        <v>384</v>
      </c>
      <c r="G2929" t="s">
        <v>73</v>
      </c>
      <c r="H2929" t="s">
        <v>749</v>
      </c>
      <c r="I2929">
        <v>2021</v>
      </c>
      <c r="J2929" t="s">
        <v>379</v>
      </c>
      <c r="K2929" t="s">
        <v>546</v>
      </c>
      <c r="L2929" s="784">
        <v>0</v>
      </c>
      <c r="M2929" t="s">
        <v>745</v>
      </c>
      <c r="O2929" t="s">
        <v>737</v>
      </c>
      <c r="P2929" t="s">
        <v>1887</v>
      </c>
      <c r="R2929" t="s">
        <v>150</v>
      </c>
      <c r="S2929" t="s">
        <v>145</v>
      </c>
      <c r="U2929">
        <v>0</v>
      </c>
      <c r="V2929" t="s">
        <v>544</v>
      </c>
      <c r="W2929" t="s">
        <v>562</v>
      </c>
      <c r="X2929" s="784">
        <v>671998341.93592453</v>
      </c>
    </row>
    <row r="2930" spans="1:24">
      <c r="A2930" t="s">
        <v>358</v>
      </c>
      <c r="B2930" t="s">
        <v>648</v>
      </c>
      <c r="C2930" t="s">
        <v>252</v>
      </c>
      <c r="D2930" t="s">
        <v>129</v>
      </c>
      <c r="E2930" t="s">
        <v>377</v>
      </c>
      <c r="F2930" t="s">
        <v>384</v>
      </c>
      <c r="G2930" t="s">
        <v>73</v>
      </c>
      <c r="H2930" t="s">
        <v>749</v>
      </c>
      <c r="I2930">
        <v>2021</v>
      </c>
      <c r="J2930" t="s">
        <v>379</v>
      </c>
      <c r="K2930" t="s">
        <v>546</v>
      </c>
      <c r="L2930" s="784">
        <v>0</v>
      </c>
      <c r="M2930" t="s">
        <v>745</v>
      </c>
      <c r="O2930" t="s">
        <v>737</v>
      </c>
      <c r="P2930" t="s">
        <v>1887</v>
      </c>
      <c r="R2930" t="s">
        <v>148</v>
      </c>
      <c r="S2930" t="s">
        <v>145</v>
      </c>
      <c r="U2930">
        <v>1</v>
      </c>
      <c r="V2930" t="s">
        <v>544</v>
      </c>
      <c r="W2930" t="s">
        <v>562</v>
      </c>
      <c r="X2930" s="784">
        <v>226203289.67158964</v>
      </c>
    </row>
    <row r="2931" spans="1:24">
      <c r="A2931" t="s">
        <v>358</v>
      </c>
      <c r="B2931" t="s">
        <v>649</v>
      </c>
      <c r="C2931" t="s">
        <v>253</v>
      </c>
      <c r="D2931" t="s">
        <v>129</v>
      </c>
      <c r="E2931" t="s">
        <v>377</v>
      </c>
      <c r="F2931" t="s">
        <v>384</v>
      </c>
      <c r="G2931" t="s">
        <v>73</v>
      </c>
      <c r="H2931" t="s">
        <v>749</v>
      </c>
      <c r="I2931">
        <v>2021</v>
      </c>
      <c r="J2931" t="s">
        <v>379</v>
      </c>
      <c r="K2931" t="s">
        <v>546</v>
      </c>
      <c r="L2931" s="784">
        <v>0</v>
      </c>
      <c r="M2931" t="s">
        <v>745</v>
      </c>
      <c r="O2931" t="s">
        <v>737</v>
      </c>
      <c r="P2931" t="s">
        <v>1887</v>
      </c>
      <c r="R2931" t="s">
        <v>150</v>
      </c>
      <c r="S2931" t="s">
        <v>145</v>
      </c>
      <c r="U2931">
        <v>3</v>
      </c>
      <c r="V2931" t="s">
        <v>544</v>
      </c>
      <c r="W2931" t="s">
        <v>548</v>
      </c>
      <c r="X2931" s="784">
        <v>2438881113.1244688</v>
      </c>
    </row>
    <row r="2932" spans="1:24">
      <c r="A2932" t="s">
        <v>358</v>
      </c>
      <c r="B2932" t="s">
        <v>650</v>
      </c>
      <c r="C2932" t="s">
        <v>254</v>
      </c>
      <c r="D2932" t="s">
        <v>127</v>
      </c>
      <c r="E2932" t="s">
        <v>377</v>
      </c>
      <c r="F2932" t="s">
        <v>384</v>
      </c>
      <c r="G2932" t="s">
        <v>73</v>
      </c>
      <c r="H2932" t="s">
        <v>749</v>
      </c>
      <c r="I2932">
        <v>2021</v>
      </c>
      <c r="J2932" t="s">
        <v>379</v>
      </c>
      <c r="K2932" t="s">
        <v>546</v>
      </c>
      <c r="L2932" s="784">
        <v>0</v>
      </c>
      <c r="M2932" t="s">
        <v>745</v>
      </c>
      <c r="O2932" t="s">
        <v>737</v>
      </c>
      <c r="P2932" t="s">
        <v>1887</v>
      </c>
      <c r="R2932" t="s">
        <v>152</v>
      </c>
      <c r="S2932" t="s">
        <v>146</v>
      </c>
      <c r="U2932">
        <v>0</v>
      </c>
      <c r="V2932" t="s">
        <v>544</v>
      </c>
      <c r="W2932" t="s">
        <v>575</v>
      </c>
      <c r="X2932" s="784">
        <v>476517795.73174149</v>
      </c>
    </row>
    <row r="2933" spans="1:24">
      <c r="A2933" t="s">
        <v>358</v>
      </c>
      <c r="B2933" t="s">
        <v>651</v>
      </c>
      <c r="C2933" t="s">
        <v>255</v>
      </c>
      <c r="D2933" t="s">
        <v>132</v>
      </c>
      <c r="E2933" t="s">
        <v>377</v>
      </c>
      <c r="F2933" t="s">
        <v>384</v>
      </c>
      <c r="G2933" t="s">
        <v>73</v>
      </c>
      <c r="H2933" t="s">
        <v>749</v>
      </c>
      <c r="I2933">
        <v>2021</v>
      </c>
      <c r="J2933" t="s">
        <v>379</v>
      </c>
      <c r="K2933" t="s">
        <v>546</v>
      </c>
      <c r="L2933" s="784">
        <v>0</v>
      </c>
      <c r="M2933" t="s">
        <v>745</v>
      </c>
      <c r="O2933" t="s">
        <v>737</v>
      </c>
      <c r="P2933" t="s">
        <v>1887</v>
      </c>
      <c r="R2933" t="s">
        <v>150</v>
      </c>
      <c r="S2933" t="s">
        <v>145</v>
      </c>
      <c r="U2933">
        <v>0</v>
      </c>
      <c r="V2933" t="s">
        <v>544</v>
      </c>
      <c r="W2933" t="s">
        <v>548</v>
      </c>
      <c r="X2933" s="784">
        <v>3233351297.7679496</v>
      </c>
    </row>
    <row r="2934" spans="1:24">
      <c r="A2934" t="s">
        <v>358</v>
      </c>
      <c r="B2934" t="s">
        <v>652</v>
      </c>
      <c r="C2934" t="s">
        <v>256</v>
      </c>
      <c r="D2934" t="s">
        <v>130</v>
      </c>
      <c r="E2934" t="s">
        <v>377</v>
      </c>
      <c r="F2934" t="s">
        <v>384</v>
      </c>
      <c r="G2934" t="s">
        <v>73</v>
      </c>
      <c r="H2934" t="s">
        <v>749</v>
      </c>
      <c r="I2934">
        <v>2021</v>
      </c>
      <c r="J2934" t="s">
        <v>379</v>
      </c>
      <c r="K2934" t="s">
        <v>546</v>
      </c>
      <c r="L2934" s="784">
        <v>0</v>
      </c>
      <c r="M2934" t="s">
        <v>745</v>
      </c>
      <c r="O2934" t="s">
        <v>737</v>
      </c>
      <c r="P2934" t="s">
        <v>1887</v>
      </c>
      <c r="R2934" t="s">
        <v>550</v>
      </c>
      <c r="S2934" t="s">
        <v>146</v>
      </c>
      <c r="U2934">
        <v>0</v>
      </c>
      <c r="V2934" t="s">
        <v>541</v>
      </c>
      <c r="W2934" t="s">
        <v>575</v>
      </c>
      <c r="X2934" s="784">
        <v>18180646.808608256</v>
      </c>
    </row>
    <row r="2935" spans="1:24">
      <c r="A2935" t="s">
        <v>358</v>
      </c>
      <c r="B2935" t="s">
        <v>653</v>
      </c>
      <c r="C2935" t="s">
        <v>257</v>
      </c>
      <c r="D2935" t="s">
        <v>130</v>
      </c>
      <c r="E2935" t="s">
        <v>377</v>
      </c>
      <c r="F2935" t="s">
        <v>384</v>
      </c>
      <c r="G2935" t="s">
        <v>73</v>
      </c>
      <c r="H2935" t="s">
        <v>749</v>
      </c>
      <c r="I2935">
        <v>2021</v>
      </c>
      <c r="J2935" t="s">
        <v>379</v>
      </c>
      <c r="K2935" t="s">
        <v>546</v>
      </c>
      <c r="L2935" s="784">
        <v>0</v>
      </c>
      <c r="M2935" t="s">
        <v>745</v>
      </c>
      <c r="O2935" t="s">
        <v>737</v>
      </c>
      <c r="P2935" t="s">
        <v>1887</v>
      </c>
      <c r="R2935" t="s">
        <v>152</v>
      </c>
      <c r="S2935" t="s">
        <v>146</v>
      </c>
      <c r="U2935">
        <v>0</v>
      </c>
      <c r="V2935" t="s">
        <v>544</v>
      </c>
      <c r="W2935" t="s">
        <v>546</v>
      </c>
      <c r="X2935" s="784">
        <v>3020530707.3485303</v>
      </c>
    </row>
    <row r="2936" spans="1:24">
      <c r="A2936" t="s">
        <v>358</v>
      </c>
      <c r="B2936" t="s">
        <v>654</v>
      </c>
      <c r="C2936" t="s">
        <v>258</v>
      </c>
      <c r="D2936" t="s">
        <v>126</v>
      </c>
      <c r="E2936" t="s">
        <v>377</v>
      </c>
      <c r="F2936" t="s">
        <v>384</v>
      </c>
      <c r="G2936" t="s">
        <v>73</v>
      </c>
      <c r="H2936" t="s">
        <v>749</v>
      </c>
      <c r="I2936">
        <v>2021</v>
      </c>
      <c r="J2936" t="s">
        <v>379</v>
      </c>
      <c r="K2936" t="s">
        <v>546</v>
      </c>
      <c r="L2936" s="784">
        <v>0</v>
      </c>
      <c r="M2936" t="s">
        <v>745</v>
      </c>
      <c r="O2936" t="s">
        <v>737</v>
      </c>
      <c r="P2936" t="s">
        <v>1887</v>
      </c>
      <c r="R2936" t="s">
        <v>150</v>
      </c>
      <c r="S2936" t="s">
        <v>145</v>
      </c>
      <c r="U2936">
        <v>1</v>
      </c>
      <c r="V2936" t="s">
        <v>541</v>
      </c>
      <c r="W2936" t="s">
        <v>542</v>
      </c>
      <c r="X2936" s="784">
        <v>384406316.46074712</v>
      </c>
    </row>
    <row r="2937" spans="1:24">
      <c r="A2937" t="s">
        <v>358</v>
      </c>
      <c r="B2937" t="s">
        <v>655</v>
      </c>
      <c r="C2937" t="s">
        <v>259</v>
      </c>
      <c r="D2937" t="s">
        <v>130</v>
      </c>
      <c r="E2937" t="s">
        <v>377</v>
      </c>
      <c r="F2937" t="s">
        <v>384</v>
      </c>
      <c r="G2937" t="s">
        <v>73</v>
      </c>
      <c r="H2937" t="s">
        <v>749</v>
      </c>
      <c r="I2937">
        <v>2021</v>
      </c>
      <c r="J2937" t="s">
        <v>379</v>
      </c>
      <c r="K2937" t="s">
        <v>546</v>
      </c>
      <c r="L2937" s="784">
        <v>0</v>
      </c>
      <c r="M2937" t="s">
        <v>745</v>
      </c>
      <c r="O2937" t="s">
        <v>737</v>
      </c>
      <c r="P2937" t="s">
        <v>1887</v>
      </c>
      <c r="R2937" t="s">
        <v>152</v>
      </c>
      <c r="S2937" t="s">
        <v>146</v>
      </c>
      <c r="U2937">
        <v>0</v>
      </c>
      <c r="V2937" t="s">
        <v>544</v>
      </c>
      <c r="W2937" t="s">
        <v>575</v>
      </c>
      <c r="X2937" s="784">
        <v>1218747108.9554784</v>
      </c>
    </row>
    <row r="2938" spans="1:24">
      <c r="A2938" t="s">
        <v>358</v>
      </c>
      <c r="B2938" t="s">
        <v>656</v>
      </c>
      <c r="C2938" t="s">
        <v>260</v>
      </c>
      <c r="D2938" t="s">
        <v>130</v>
      </c>
      <c r="E2938" t="s">
        <v>377</v>
      </c>
      <c r="F2938" t="s">
        <v>384</v>
      </c>
      <c r="G2938" t="s">
        <v>73</v>
      </c>
      <c r="H2938" t="s">
        <v>749</v>
      </c>
      <c r="I2938">
        <v>2021</v>
      </c>
      <c r="J2938" t="s">
        <v>379</v>
      </c>
      <c r="K2938" t="s">
        <v>546</v>
      </c>
      <c r="L2938" s="784">
        <v>0</v>
      </c>
      <c r="M2938" t="s">
        <v>745</v>
      </c>
      <c r="O2938" t="s">
        <v>737</v>
      </c>
      <c r="P2938" t="s">
        <v>1887</v>
      </c>
      <c r="R2938" t="s">
        <v>152</v>
      </c>
      <c r="S2938" t="s">
        <v>146</v>
      </c>
      <c r="U2938">
        <v>0</v>
      </c>
      <c r="V2938" t="s">
        <v>544</v>
      </c>
      <c r="W2938" t="s">
        <v>575</v>
      </c>
      <c r="X2938" s="784">
        <v>7392665952.5895758</v>
      </c>
    </row>
    <row r="2939" spans="1:24">
      <c r="A2939" t="s">
        <v>358</v>
      </c>
      <c r="B2939" t="s">
        <v>657</v>
      </c>
      <c r="C2939" t="s">
        <v>261</v>
      </c>
      <c r="D2939" t="s">
        <v>126</v>
      </c>
      <c r="E2939" t="s">
        <v>377</v>
      </c>
      <c r="F2939" t="s">
        <v>384</v>
      </c>
      <c r="G2939" t="s">
        <v>73</v>
      </c>
      <c r="H2939" t="s">
        <v>749</v>
      </c>
      <c r="I2939">
        <v>2021</v>
      </c>
      <c r="J2939" t="s">
        <v>379</v>
      </c>
      <c r="K2939" t="s">
        <v>546</v>
      </c>
      <c r="L2939" s="784">
        <v>0</v>
      </c>
      <c r="M2939" t="s">
        <v>745</v>
      </c>
      <c r="O2939" t="s">
        <v>737</v>
      </c>
      <c r="P2939" t="s">
        <v>1887</v>
      </c>
      <c r="R2939" t="s">
        <v>150</v>
      </c>
      <c r="S2939" t="s">
        <v>145</v>
      </c>
      <c r="U2939">
        <v>0</v>
      </c>
      <c r="V2939" t="s">
        <v>544</v>
      </c>
      <c r="W2939" t="s">
        <v>546</v>
      </c>
      <c r="X2939" s="784">
        <v>4754985988.6004429</v>
      </c>
    </row>
    <row r="2940" spans="1:24">
      <c r="A2940" t="s">
        <v>358</v>
      </c>
      <c r="B2940" t="s">
        <v>658</v>
      </c>
      <c r="C2940" t="s">
        <v>262</v>
      </c>
      <c r="D2940" t="s">
        <v>127</v>
      </c>
      <c r="E2940" t="s">
        <v>377</v>
      </c>
      <c r="F2940" t="s">
        <v>384</v>
      </c>
      <c r="G2940" t="s">
        <v>73</v>
      </c>
      <c r="H2940" t="s">
        <v>749</v>
      </c>
      <c r="I2940">
        <v>2021</v>
      </c>
      <c r="J2940" t="s">
        <v>379</v>
      </c>
      <c r="K2940" t="s">
        <v>546</v>
      </c>
      <c r="L2940" s="784">
        <v>0</v>
      </c>
      <c r="M2940" t="s">
        <v>745</v>
      </c>
      <c r="O2940" t="s">
        <v>737</v>
      </c>
      <c r="P2940" t="s">
        <v>1887</v>
      </c>
      <c r="R2940" t="s">
        <v>550</v>
      </c>
      <c r="S2940" t="s">
        <v>146</v>
      </c>
      <c r="U2940">
        <v>0</v>
      </c>
      <c r="V2940" t="s">
        <v>544</v>
      </c>
      <c r="W2940" t="s">
        <v>575</v>
      </c>
      <c r="X2940" s="784">
        <v>26422210443.037273</v>
      </c>
    </row>
    <row r="2941" spans="1:24">
      <c r="A2941" t="s">
        <v>358</v>
      </c>
      <c r="B2941" t="s">
        <v>659</v>
      </c>
      <c r="C2941" t="s">
        <v>151</v>
      </c>
      <c r="D2941" t="s">
        <v>127</v>
      </c>
      <c r="E2941" t="s">
        <v>377</v>
      </c>
      <c r="F2941" t="s">
        <v>384</v>
      </c>
      <c r="G2941" t="s">
        <v>73</v>
      </c>
      <c r="H2941" t="s">
        <v>749</v>
      </c>
      <c r="I2941">
        <v>2021</v>
      </c>
      <c r="J2941" t="s">
        <v>379</v>
      </c>
      <c r="K2941" t="s">
        <v>546</v>
      </c>
      <c r="L2941" s="784">
        <v>0</v>
      </c>
      <c r="M2941" t="s">
        <v>745</v>
      </c>
      <c r="O2941" t="s">
        <v>737</v>
      </c>
      <c r="P2941" t="s">
        <v>1887</v>
      </c>
      <c r="R2941" t="s">
        <v>152</v>
      </c>
      <c r="S2941" t="s">
        <v>146</v>
      </c>
      <c r="U2941">
        <v>0</v>
      </c>
      <c r="V2941" t="s">
        <v>544</v>
      </c>
      <c r="W2941" t="s">
        <v>575</v>
      </c>
      <c r="X2941" s="784">
        <v>10696495313.15033</v>
      </c>
    </row>
    <row r="2942" spans="1:24">
      <c r="A2942" t="s">
        <v>358</v>
      </c>
      <c r="B2942" t="s">
        <v>660</v>
      </c>
      <c r="C2942" t="s">
        <v>263</v>
      </c>
      <c r="D2942" t="s">
        <v>127</v>
      </c>
      <c r="E2942" t="s">
        <v>377</v>
      </c>
      <c r="F2942" t="s">
        <v>384</v>
      </c>
      <c r="G2942" t="s">
        <v>73</v>
      </c>
      <c r="H2942" t="s">
        <v>749</v>
      </c>
      <c r="I2942">
        <v>2021</v>
      </c>
      <c r="J2942" t="s">
        <v>379</v>
      </c>
      <c r="K2942" t="s">
        <v>546</v>
      </c>
      <c r="L2942" s="784">
        <v>0</v>
      </c>
      <c r="M2942" t="s">
        <v>745</v>
      </c>
      <c r="O2942" t="s">
        <v>737</v>
      </c>
      <c r="P2942" t="s">
        <v>1887</v>
      </c>
      <c r="R2942" t="s">
        <v>152</v>
      </c>
      <c r="S2942" t="s">
        <v>146</v>
      </c>
      <c r="U2942">
        <v>0</v>
      </c>
      <c r="V2942" t="s">
        <v>544</v>
      </c>
      <c r="W2942" t="s">
        <v>575</v>
      </c>
      <c r="X2942" s="784">
        <v>52769713433.240509</v>
      </c>
    </row>
    <row r="2943" spans="1:24">
      <c r="A2943" t="s">
        <v>358</v>
      </c>
      <c r="B2943" t="s">
        <v>661</v>
      </c>
      <c r="C2943" t="s">
        <v>264</v>
      </c>
      <c r="D2943" t="s">
        <v>128</v>
      </c>
      <c r="E2943" t="s">
        <v>377</v>
      </c>
      <c r="F2943" t="s">
        <v>384</v>
      </c>
      <c r="G2943" t="s">
        <v>73</v>
      </c>
      <c r="H2943" t="s">
        <v>749</v>
      </c>
      <c r="I2943">
        <v>2021</v>
      </c>
      <c r="J2943" t="s">
        <v>379</v>
      </c>
      <c r="K2943" t="s">
        <v>546</v>
      </c>
      <c r="L2943" s="784">
        <v>0</v>
      </c>
      <c r="M2943" t="s">
        <v>745</v>
      </c>
      <c r="O2943" t="s">
        <v>737</v>
      </c>
      <c r="P2943" t="s">
        <v>1887</v>
      </c>
      <c r="R2943" t="s">
        <v>148</v>
      </c>
      <c r="S2943" t="s">
        <v>145</v>
      </c>
      <c r="U2943">
        <v>0</v>
      </c>
      <c r="V2943" t="s">
        <v>544</v>
      </c>
      <c r="W2943" t="s">
        <v>562</v>
      </c>
      <c r="X2943" s="784">
        <v>225799814.51943746</v>
      </c>
    </row>
    <row r="2944" spans="1:24">
      <c r="A2944" t="s">
        <v>358</v>
      </c>
      <c r="B2944" t="s">
        <v>662</v>
      </c>
      <c r="C2944" t="s">
        <v>265</v>
      </c>
      <c r="D2944" t="s">
        <v>126</v>
      </c>
      <c r="E2944" t="s">
        <v>377</v>
      </c>
      <c r="F2944" t="s">
        <v>384</v>
      </c>
      <c r="G2944" t="s">
        <v>73</v>
      </c>
      <c r="H2944" t="s">
        <v>749</v>
      </c>
      <c r="I2944">
        <v>2021</v>
      </c>
      <c r="J2944" t="s">
        <v>379</v>
      </c>
      <c r="K2944" t="s">
        <v>546</v>
      </c>
      <c r="L2944" s="784">
        <v>0</v>
      </c>
      <c r="M2944" t="s">
        <v>745</v>
      </c>
      <c r="O2944" t="s">
        <v>737</v>
      </c>
      <c r="P2944" t="s">
        <v>1887</v>
      </c>
      <c r="R2944" t="s">
        <v>150</v>
      </c>
      <c r="S2944" t="s">
        <v>145</v>
      </c>
      <c r="U2944">
        <v>0</v>
      </c>
      <c r="V2944" t="s">
        <v>541</v>
      </c>
      <c r="W2944" t="s">
        <v>542</v>
      </c>
      <c r="X2944" s="784">
        <v>32192988.027009469</v>
      </c>
    </row>
    <row r="2945" spans="1:24">
      <c r="A2945" t="s">
        <v>358</v>
      </c>
      <c r="B2945" t="s">
        <v>663</v>
      </c>
      <c r="C2945" t="s">
        <v>266</v>
      </c>
      <c r="D2945" t="s">
        <v>129</v>
      </c>
      <c r="E2945" t="s">
        <v>377</v>
      </c>
      <c r="F2945" t="s">
        <v>384</v>
      </c>
      <c r="G2945" t="s">
        <v>73</v>
      </c>
      <c r="H2945" t="s">
        <v>749</v>
      </c>
      <c r="I2945">
        <v>2021</v>
      </c>
      <c r="J2945" t="s">
        <v>379</v>
      </c>
      <c r="K2945" t="s">
        <v>546</v>
      </c>
      <c r="L2945" s="784">
        <v>0</v>
      </c>
      <c r="M2945" t="s">
        <v>745</v>
      </c>
      <c r="O2945" t="s">
        <v>737</v>
      </c>
      <c r="P2945" t="s">
        <v>1887</v>
      </c>
      <c r="R2945" t="s">
        <v>150</v>
      </c>
      <c r="S2945" t="s">
        <v>145</v>
      </c>
      <c r="U2945">
        <v>0</v>
      </c>
      <c r="V2945" t="s">
        <v>541</v>
      </c>
      <c r="W2945" t="s">
        <v>583</v>
      </c>
      <c r="X2945" s="784">
        <v>11633535.136477679</v>
      </c>
    </row>
    <row r="2946" spans="1:24">
      <c r="A2946" t="s">
        <v>358</v>
      </c>
      <c r="B2946" t="s">
        <v>664</v>
      </c>
      <c r="C2946" t="s">
        <v>267</v>
      </c>
      <c r="D2946" t="s">
        <v>129</v>
      </c>
      <c r="E2946" t="s">
        <v>377</v>
      </c>
      <c r="F2946" t="s">
        <v>384</v>
      </c>
      <c r="G2946" t="s">
        <v>73</v>
      </c>
      <c r="H2946" t="s">
        <v>749</v>
      </c>
      <c r="I2946">
        <v>2021</v>
      </c>
      <c r="J2946" t="s">
        <v>379</v>
      </c>
      <c r="K2946" t="s">
        <v>546</v>
      </c>
      <c r="L2946" s="784">
        <v>0</v>
      </c>
      <c r="M2946" t="s">
        <v>745</v>
      </c>
      <c r="O2946" t="s">
        <v>737</v>
      </c>
      <c r="P2946" t="s">
        <v>1887</v>
      </c>
      <c r="R2946" t="s">
        <v>150</v>
      </c>
      <c r="S2946" t="s">
        <v>145</v>
      </c>
      <c r="U2946">
        <v>2</v>
      </c>
      <c r="V2946" t="s">
        <v>544</v>
      </c>
      <c r="W2946" t="s">
        <v>562</v>
      </c>
      <c r="X2946" s="784">
        <v>222008693.93354639</v>
      </c>
    </row>
    <row r="2947" spans="1:24">
      <c r="A2947" t="s">
        <v>358</v>
      </c>
      <c r="B2947" t="s">
        <v>665</v>
      </c>
      <c r="C2947" t="s">
        <v>153</v>
      </c>
      <c r="D2947" t="s">
        <v>127</v>
      </c>
      <c r="E2947" t="s">
        <v>377</v>
      </c>
      <c r="F2947" t="s">
        <v>384</v>
      </c>
      <c r="G2947" t="s">
        <v>73</v>
      </c>
      <c r="H2947" t="s">
        <v>749</v>
      </c>
      <c r="I2947">
        <v>2021</v>
      </c>
      <c r="J2947" t="s">
        <v>379</v>
      </c>
      <c r="K2947" t="s">
        <v>546</v>
      </c>
      <c r="L2947" s="784">
        <v>0</v>
      </c>
      <c r="M2947" t="s">
        <v>745</v>
      </c>
      <c r="O2947" t="s">
        <v>737</v>
      </c>
      <c r="P2947" t="s">
        <v>1887</v>
      </c>
      <c r="R2947" t="s">
        <v>152</v>
      </c>
      <c r="S2947" t="s">
        <v>146</v>
      </c>
      <c r="U2947">
        <v>0</v>
      </c>
      <c r="V2947" t="s">
        <v>544</v>
      </c>
      <c r="W2947" t="s">
        <v>575</v>
      </c>
      <c r="X2947" s="784">
        <v>2564993795.1894679</v>
      </c>
    </row>
    <row r="2948" spans="1:24">
      <c r="A2948" t="s">
        <v>358</v>
      </c>
      <c r="B2948" t="s">
        <v>666</v>
      </c>
      <c r="C2948" t="s">
        <v>268</v>
      </c>
      <c r="D2948" t="s">
        <v>128</v>
      </c>
      <c r="E2948" t="s">
        <v>377</v>
      </c>
      <c r="F2948" t="s">
        <v>384</v>
      </c>
      <c r="G2948" t="s">
        <v>73</v>
      </c>
      <c r="H2948" t="s">
        <v>749</v>
      </c>
      <c r="I2948">
        <v>2021</v>
      </c>
      <c r="J2948" t="s">
        <v>379</v>
      </c>
      <c r="K2948" t="s">
        <v>546</v>
      </c>
      <c r="L2948" s="784">
        <v>0</v>
      </c>
      <c r="M2948" t="s">
        <v>745</v>
      </c>
      <c r="O2948" t="s">
        <v>737</v>
      </c>
      <c r="P2948" t="s">
        <v>1887</v>
      </c>
      <c r="R2948" t="s">
        <v>550</v>
      </c>
      <c r="S2948" t="s">
        <v>146</v>
      </c>
      <c r="U2948">
        <v>0</v>
      </c>
      <c r="V2948" t="s">
        <v>541</v>
      </c>
      <c r="W2948" t="s">
        <v>546</v>
      </c>
      <c r="X2948" s="784">
        <v>60237542.945069775</v>
      </c>
    </row>
    <row r="2949" spans="1:24">
      <c r="A2949" t="s">
        <v>358</v>
      </c>
      <c r="B2949" t="s">
        <v>667</v>
      </c>
      <c r="C2949" t="s">
        <v>269</v>
      </c>
      <c r="D2949" t="s">
        <v>129</v>
      </c>
      <c r="E2949" t="s">
        <v>377</v>
      </c>
      <c r="F2949" t="s">
        <v>384</v>
      </c>
      <c r="G2949" t="s">
        <v>73</v>
      </c>
      <c r="H2949" t="s">
        <v>749</v>
      </c>
      <c r="I2949">
        <v>2021</v>
      </c>
      <c r="J2949" t="s">
        <v>379</v>
      </c>
      <c r="K2949" t="s">
        <v>546</v>
      </c>
      <c r="L2949" s="784">
        <v>0</v>
      </c>
      <c r="M2949" t="s">
        <v>745</v>
      </c>
      <c r="O2949" t="s">
        <v>737</v>
      </c>
      <c r="P2949" t="s">
        <v>1887</v>
      </c>
      <c r="R2949" t="s">
        <v>148</v>
      </c>
      <c r="S2949" t="s">
        <v>145</v>
      </c>
      <c r="U2949">
        <v>0</v>
      </c>
      <c r="V2949" t="s">
        <v>544</v>
      </c>
      <c r="W2949" t="s">
        <v>542</v>
      </c>
      <c r="X2949" s="784">
        <v>63738640.538260505</v>
      </c>
    </row>
    <row r="2950" spans="1:24">
      <c r="A2950" t="s">
        <v>358</v>
      </c>
      <c r="B2950" t="s">
        <v>668</v>
      </c>
      <c r="C2950" t="s">
        <v>270</v>
      </c>
      <c r="D2950" t="s">
        <v>126</v>
      </c>
      <c r="E2950" t="s">
        <v>377</v>
      </c>
      <c r="F2950" t="s">
        <v>384</v>
      </c>
      <c r="G2950" t="s">
        <v>73</v>
      </c>
      <c r="H2950" t="s">
        <v>749</v>
      </c>
      <c r="I2950">
        <v>2021</v>
      </c>
      <c r="J2950" t="s">
        <v>379</v>
      </c>
      <c r="K2950" t="s">
        <v>546</v>
      </c>
      <c r="L2950" s="784">
        <v>0</v>
      </c>
      <c r="M2950" t="s">
        <v>745</v>
      </c>
      <c r="O2950" t="s">
        <v>737</v>
      </c>
      <c r="P2950" t="s">
        <v>1887</v>
      </c>
      <c r="R2950" t="s">
        <v>150</v>
      </c>
      <c r="S2950" t="s">
        <v>145</v>
      </c>
      <c r="U2950">
        <v>0</v>
      </c>
      <c r="V2950" t="s">
        <v>541</v>
      </c>
      <c r="W2950" t="s">
        <v>562</v>
      </c>
      <c r="X2950" s="784">
        <v>49012774.055630356</v>
      </c>
    </row>
    <row r="2951" spans="1:24">
      <c r="A2951" t="s">
        <v>358</v>
      </c>
      <c r="B2951" t="s">
        <v>669</v>
      </c>
      <c r="C2951" t="s">
        <v>271</v>
      </c>
      <c r="D2951" t="s">
        <v>128</v>
      </c>
      <c r="E2951" t="s">
        <v>377</v>
      </c>
      <c r="F2951" t="s">
        <v>384</v>
      </c>
      <c r="G2951" t="s">
        <v>73</v>
      </c>
      <c r="H2951" t="s">
        <v>749</v>
      </c>
      <c r="I2951">
        <v>2021</v>
      </c>
      <c r="J2951" t="s">
        <v>379</v>
      </c>
      <c r="K2951" t="s">
        <v>546</v>
      </c>
      <c r="L2951" s="784">
        <v>0</v>
      </c>
      <c r="M2951" t="s">
        <v>745</v>
      </c>
      <c r="O2951" t="s">
        <v>737</v>
      </c>
      <c r="P2951" t="s">
        <v>1887</v>
      </c>
      <c r="R2951" t="s">
        <v>148</v>
      </c>
      <c r="S2951" t="s">
        <v>145</v>
      </c>
      <c r="U2951">
        <v>1</v>
      </c>
      <c r="V2951" t="s">
        <v>544</v>
      </c>
      <c r="W2951" t="s">
        <v>583</v>
      </c>
      <c r="X2951" s="784" t="s">
        <v>575</v>
      </c>
    </row>
    <row r="2952" spans="1:24">
      <c r="A2952" t="s">
        <v>358</v>
      </c>
      <c r="B2952" t="s">
        <v>670</v>
      </c>
      <c r="C2952" t="s">
        <v>272</v>
      </c>
      <c r="D2952" t="s">
        <v>128</v>
      </c>
      <c r="E2952" t="s">
        <v>377</v>
      </c>
      <c r="F2952" t="s">
        <v>384</v>
      </c>
      <c r="G2952" t="s">
        <v>73</v>
      </c>
      <c r="H2952" t="s">
        <v>749</v>
      </c>
      <c r="I2952">
        <v>2021</v>
      </c>
      <c r="J2952" t="s">
        <v>379</v>
      </c>
      <c r="K2952" t="s">
        <v>546</v>
      </c>
      <c r="L2952" s="784">
        <v>0</v>
      </c>
      <c r="M2952" t="s">
        <v>745</v>
      </c>
      <c r="O2952" t="s">
        <v>737</v>
      </c>
      <c r="P2952" t="s">
        <v>1887</v>
      </c>
      <c r="R2952" t="s">
        <v>152</v>
      </c>
      <c r="S2952" t="s">
        <v>146</v>
      </c>
      <c r="U2952">
        <v>0</v>
      </c>
      <c r="V2952" t="s">
        <v>544</v>
      </c>
      <c r="W2952" t="s">
        <v>546</v>
      </c>
      <c r="X2952" s="784">
        <v>16429121142.784708</v>
      </c>
    </row>
    <row r="2953" spans="1:24">
      <c r="A2953" t="s">
        <v>358</v>
      </c>
      <c r="B2953" t="s">
        <v>671</v>
      </c>
      <c r="C2953" t="s">
        <v>273</v>
      </c>
      <c r="D2953" t="s">
        <v>128</v>
      </c>
      <c r="E2953" t="s">
        <v>377</v>
      </c>
      <c r="F2953" t="s">
        <v>384</v>
      </c>
      <c r="G2953" t="s">
        <v>73</v>
      </c>
      <c r="H2953" t="s">
        <v>749</v>
      </c>
      <c r="I2953">
        <v>2021</v>
      </c>
      <c r="J2953" t="s">
        <v>379</v>
      </c>
      <c r="K2953" t="s">
        <v>546</v>
      </c>
      <c r="L2953" s="784">
        <v>0</v>
      </c>
      <c r="M2953" t="s">
        <v>745</v>
      </c>
      <c r="O2953" t="s">
        <v>737</v>
      </c>
      <c r="P2953" t="s">
        <v>1887</v>
      </c>
      <c r="R2953" t="s">
        <v>148</v>
      </c>
      <c r="S2953" t="s">
        <v>145</v>
      </c>
      <c r="U2953">
        <v>1</v>
      </c>
      <c r="V2953" t="s">
        <v>544</v>
      </c>
      <c r="W2953" t="s">
        <v>542</v>
      </c>
      <c r="X2953" s="784">
        <v>31684581.76217727</v>
      </c>
    </row>
    <row r="2954" spans="1:24">
      <c r="A2954" t="s">
        <v>358</v>
      </c>
      <c r="B2954" t="s">
        <v>672</v>
      </c>
      <c r="C2954" t="s">
        <v>274</v>
      </c>
      <c r="D2954" t="s">
        <v>132</v>
      </c>
      <c r="E2954" t="s">
        <v>377</v>
      </c>
      <c r="F2954" t="s">
        <v>384</v>
      </c>
      <c r="G2954" t="s">
        <v>73</v>
      </c>
      <c r="H2954" t="s">
        <v>749</v>
      </c>
      <c r="I2954">
        <v>2021</v>
      </c>
      <c r="J2954" t="s">
        <v>379</v>
      </c>
      <c r="K2954" t="s">
        <v>546</v>
      </c>
      <c r="L2954" s="784">
        <v>0</v>
      </c>
      <c r="M2954" t="s">
        <v>745</v>
      </c>
      <c r="O2954" t="s">
        <v>737</v>
      </c>
      <c r="P2954" t="s">
        <v>1887</v>
      </c>
      <c r="R2954" t="s">
        <v>150</v>
      </c>
      <c r="S2954" t="s">
        <v>145</v>
      </c>
      <c r="U2954">
        <v>0</v>
      </c>
      <c r="V2954" t="s">
        <v>544</v>
      </c>
      <c r="W2954" t="s">
        <v>546</v>
      </c>
      <c r="X2954" s="784">
        <v>1373621563.5182886</v>
      </c>
    </row>
    <row r="2955" spans="1:24">
      <c r="A2955" t="s">
        <v>358</v>
      </c>
      <c r="B2955" t="s">
        <v>673</v>
      </c>
      <c r="C2955" t="s">
        <v>275</v>
      </c>
      <c r="D2955" t="s">
        <v>130</v>
      </c>
      <c r="E2955" t="s">
        <v>377</v>
      </c>
      <c r="F2955" t="s">
        <v>384</v>
      </c>
      <c r="G2955" t="s">
        <v>73</v>
      </c>
      <c r="H2955" t="s">
        <v>749</v>
      </c>
      <c r="I2955">
        <v>2021</v>
      </c>
      <c r="J2955" t="s">
        <v>379</v>
      </c>
      <c r="K2955" t="s">
        <v>546</v>
      </c>
      <c r="L2955" s="784">
        <v>0</v>
      </c>
      <c r="M2955" t="s">
        <v>745</v>
      </c>
      <c r="O2955" t="s">
        <v>737</v>
      </c>
      <c r="P2955" t="s">
        <v>1887</v>
      </c>
      <c r="R2955" t="s">
        <v>550</v>
      </c>
      <c r="S2955" t="s">
        <v>146</v>
      </c>
      <c r="U2955">
        <v>0</v>
      </c>
      <c r="V2955" t="s">
        <v>541</v>
      </c>
      <c r="W2955" t="s">
        <v>575</v>
      </c>
      <c r="X2955" s="784">
        <v>24214370.889062837</v>
      </c>
    </row>
    <row r="2956" spans="1:24">
      <c r="A2956" t="s">
        <v>358</v>
      </c>
      <c r="B2956" t="s">
        <v>674</v>
      </c>
      <c r="C2956" t="s">
        <v>154</v>
      </c>
      <c r="D2956" t="s">
        <v>130</v>
      </c>
      <c r="E2956" t="s">
        <v>377</v>
      </c>
      <c r="F2956" t="s">
        <v>384</v>
      </c>
      <c r="G2956" t="s">
        <v>73</v>
      </c>
      <c r="H2956" t="s">
        <v>749</v>
      </c>
      <c r="I2956">
        <v>2021</v>
      </c>
      <c r="J2956" t="s">
        <v>379</v>
      </c>
      <c r="K2956" t="s">
        <v>546</v>
      </c>
      <c r="L2956" s="784">
        <v>0</v>
      </c>
      <c r="M2956" t="s">
        <v>745</v>
      </c>
      <c r="O2956" t="s">
        <v>737</v>
      </c>
      <c r="P2956" t="s">
        <v>1887</v>
      </c>
      <c r="R2956" t="s">
        <v>152</v>
      </c>
      <c r="S2956" t="s">
        <v>145</v>
      </c>
      <c r="U2956">
        <v>0</v>
      </c>
      <c r="V2956" t="s">
        <v>541</v>
      </c>
      <c r="W2956" t="s">
        <v>548</v>
      </c>
      <c r="X2956" s="784">
        <v>39941279.609447442</v>
      </c>
    </row>
    <row r="2957" spans="1:24">
      <c r="A2957" t="s">
        <v>358</v>
      </c>
      <c r="B2957" t="s">
        <v>675</v>
      </c>
      <c r="C2957" t="s">
        <v>155</v>
      </c>
      <c r="D2957" t="s">
        <v>130</v>
      </c>
      <c r="E2957" t="s">
        <v>377</v>
      </c>
      <c r="F2957" t="s">
        <v>384</v>
      </c>
      <c r="G2957" t="s">
        <v>73</v>
      </c>
      <c r="H2957" t="s">
        <v>749</v>
      </c>
      <c r="I2957">
        <v>2021</v>
      </c>
      <c r="J2957" t="s">
        <v>379</v>
      </c>
      <c r="K2957" t="s">
        <v>546</v>
      </c>
      <c r="L2957" s="784">
        <v>0</v>
      </c>
      <c r="M2957" t="s">
        <v>745</v>
      </c>
      <c r="O2957" t="s">
        <v>737</v>
      </c>
      <c r="P2957" t="s">
        <v>1887</v>
      </c>
      <c r="R2957" t="s">
        <v>152</v>
      </c>
      <c r="S2957" t="s">
        <v>145</v>
      </c>
      <c r="U2957">
        <v>0</v>
      </c>
      <c r="V2957" t="s">
        <v>541</v>
      </c>
      <c r="W2957" t="s">
        <v>542</v>
      </c>
      <c r="X2957" s="784">
        <v>24761675.260059897</v>
      </c>
    </row>
    <row r="2958" spans="1:24">
      <c r="A2958" t="s">
        <v>358</v>
      </c>
      <c r="B2958" t="s">
        <v>676</v>
      </c>
      <c r="C2958" t="s">
        <v>276</v>
      </c>
      <c r="D2958" t="s">
        <v>131</v>
      </c>
      <c r="E2958" t="s">
        <v>377</v>
      </c>
      <c r="F2958" t="s">
        <v>384</v>
      </c>
      <c r="G2958" t="s">
        <v>73</v>
      </c>
      <c r="H2958" t="s">
        <v>749</v>
      </c>
      <c r="I2958">
        <v>2021</v>
      </c>
      <c r="J2958" t="s">
        <v>379</v>
      </c>
      <c r="K2958" t="s">
        <v>546</v>
      </c>
      <c r="L2958" s="784">
        <v>0</v>
      </c>
      <c r="M2958" t="s">
        <v>745</v>
      </c>
      <c r="O2958" t="s">
        <v>737</v>
      </c>
      <c r="P2958" t="s">
        <v>1887</v>
      </c>
      <c r="R2958" t="s">
        <v>150</v>
      </c>
      <c r="S2958" t="s">
        <v>145</v>
      </c>
      <c r="U2958">
        <v>0</v>
      </c>
      <c r="V2958" t="s">
        <v>544</v>
      </c>
      <c r="W2958" t="s">
        <v>546</v>
      </c>
      <c r="X2958" s="784" t="s">
        <v>575</v>
      </c>
    </row>
    <row r="2959" spans="1:24">
      <c r="A2959" t="s">
        <v>358</v>
      </c>
      <c r="B2959" t="s">
        <v>677</v>
      </c>
      <c r="C2959" t="s">
        <v>277</v>
      </c>
      <c r="D2959" t="s">
        <v>131</v>
      </c>
      <c r="E2959" t="s">
        <v>377</v>
      </c>
      <c r="F2959" t="s">
        <v>384</v>
      </c>
      <c r="G2959" t="s">
        <v>73</v>
      </c>
      <c r="H2959" t="s">
        <v>749</v>
      </c>
      <c r="I2959">
        <v>2021</v>
      </c>
      <c r="J2959" t="s">
        <v>379</v>
      </c>
      <c r="K2959" t="s">
        <v>546</v>
      </c>
      <c r="L2959" s="784">
        <v>0</v>
      </c>
      <c r="M2959" t="s">
        <v>745</v>
      </c>
      <c r="O2959" t="s">
        <v>737</v>
      </c>
      <c r="P2959" t="s">
        <v>1887</v>
      </c>
      <c r="R2959" t="s">
        <v>148</v>
      </c>
      <c r="S2959" t="s">
        <v>145</v>
      </c>
      <c r="U2959">
        <v>1</v>
      </c>
      <c r="V2959" t="s">
        <v>544</v>
      </c>
      <c r="W2959" t="s">
        <v>546</v>
      </c>
      <c r="X2959" s="784">
        <v>577156172.71229994</v>
      </c>
    </row>
    <row r="2960" spans="1:24">
      <c r="A2960" t="s">
        <v>358</v>
      </c>
      <c r="B2960" t="s">
        <v>678</v>
      </c>
      <c r="C2960" t="s">
        <v>278</v>
      </c>
      <c r="D2960" t="s">
        <v>126</v>
      </c>
      <c r="E2960" t="s">
        <v>377</v>
      </c>
      <c r="F2960" t="s">
        <v>384</v>
      </c>
      <c r="G2960" t="s">
        <v>73</v>
      </c>
      <c r="H2960" t="s">
        <v>749</v>
      </c>
      <c r="I2960">
        <v>2021</v>
      </c>
      <c r="J2960" t="s">
        <v>379</v>
      </c>
      <c r="K2960" t="s">
        <v>546</v>
      </c>
      <c r="L2960" s="784">
        <v>0</v>
      </c>
      <c r="M2960" t="s">
        <v>745</v>
      </c>
      <c r="O2960" t="s">
        <v>737</v>
      </c>
      <c r="P2960" t="s">
        <v>1887</v>
      </c>
      <c r="R2960" t="s">
        <v>152</v>
      </c>
      <c r="S2960" t="s">
        <v>146</v>
      </c>
      <c r="U2960">
        <v>0</v>
      </c>
      <c r="V2960" t="s">
        <v>541</v>
      </c>
      <c r="W2960" t="s">
        <v>575</v>
      </c>
      <c r="X2960" s="784">
        <v>180052034.19851837</v>
      </c>
    </row>
    <row r="2961" spans="1:24">
      <c r="A2961" t="s">
        <v>358</v>
      </c>
      <c r="B2961" t="s">
        <v>679</v>
      </c>
      <c r="C2961" t="s">
        <v>279</v>
      </c>
      <c r="D2961" t="s">
        <v>131</v>
      </c>
      <c r="E2961" t="s">
        <v>377</v>
      </c>
      <c r="F2961" t="s">
        <v>384</v>
      </c>
      <c r="G2961" t="s">
        <v>73</v>
      </c>
      <c r="H2961" t="s">
        <v>749</v>
      </c>
      <c r="I2961">
        <v>2021</v>
      </c>
      <c r="J2961" t="s">
        <v>379</v>
      </c>
      <c r="K2961" t="s">
        <v>546</v>
      </c>
      <c r="L2961" s="784">
        <v>0</v>
      </c>
      <c r="M2961" t="s">
        <v>745</v>
      </c>
      <c r="O2961" t="s">
        <v>737</v>
      </c>
      <c r="P2961" t="s">
        <v>1887</v>
      </c>
      <c r="R2961" t="s">
        <v>148</v>
      </c>
      <c r="S2961" t="s">
        <v>145</v>
      </c>
      <c r="U2961">
        <v>1</v>
      </c>
      <c r="V2961" t="s">
        <v>544</v>
      </c>
      <c r="W2961" t="s">
        <v>546</v>
      </c>
      <c r="X2961" s="784" t="s">
        <v>575</v>
      </c>
    </row>
    <row r="2962" spans="1:24">
      <c r="A2962" t="s">
        <v>358</v>
      </c>
      <c r="B2962" t="s">
        <v>680</v>
      </c>
      <c r="C2962" t="s">
        <v>280</v>
      </c>
      <c r="D2962" t="s">
        <v>127</v>
      </c>
      <c r="E2962" t="s">
        <v>377</v>
      </c>
      <c r="F2962" t="s">
        <v>384</v>
      </c>
      <c r="G2962" t="s">
        <v>73</v>
      </c>
      <c r="H2962" t="s">
        <v>749</v>
      </c>
      <c r="I2962">
        <v>2021</v>
      </c>
      <c r="J2962" t="s">
        <v>379</v>
      </c>
      <c r="K2962" t="s">
        <v>546</v>
      </c>
      <c r="L2962" s="784">
        <v>0</v>
      </c>
      <c r="M2962" t="s">
        <v>745</v>
      </c>
      <c r="O2962" t="s">
        <v>737</v>
      </c>
      <c r="P2962" t="s">
        <v>1887</v>
      </c>
      <c r="R2962" t="s">
        <v>150</v>
      </c>
      <c r="S2962" t="s">
        <v>145</v>
      </c>
      <c r="U2962">
        <v>0</v>
      </c>
      <c r="V2962" t="s">
        <v>544</v>
      </c>
      <c r="W2962" t="s">
        <v>542</v>
      </c>
      <c r="X2962" s="784">
        <v>147296124.32232863</v>
      </c>
    </row>
    <row r="2963" spans="1:24">
      <c r="A2963" t="s">
        <v>358</v>
      </c>
      <c r="B2963" t="s">
        <v>681</v>
      </c>
      <c r="C2963" t="s">
        <v>156</v>
      </c>
      <c r="D2963" t="s">
        <v>128</v>
      </c>
      <c r="E2963" t="s">
        <v>377</v>
      </c>
      <c r="F2963" t="s">
        <v>384</v>
      </c>
      <c r="G2963" t="s">
        <v>73</v>
      </c>
      <c r="H2963" t="s">
        <v>749</v>
      </c>
      <c r="I2963">
        <v>2021</v>
      </c>
      <c r="J2963" t="s">
        <v>379</v>
      </c>
      <c r="K2963" t="s">
        <v>546</v>
      </c>
      <c r="L2963" s="784">
        <v>0</v>
      </c>
      <c r="M2963" t="s">
        <v>745</v>
      </c>
      <c r="O2963" t="s">
        <v>737</v>
      </c>
      <c r="P2963" t="s">
        <v>1887</v>
      </c>
      <c r="R2963" t="s">
        <v>150</v>
      </c>
      <c r="S2963" t="s">
        <v>145</v>
      </c>
      <c r="U2963">
        <v>0</v>
      </c>
      <c r="V2963" t="s">
        <v>544</v>
      </c>
      <c r="W2963" t="s">
        <v>548</v>
      </c>
      <c r="X2963" s="784">
        <v>890576536.83065879</v>
      </c>
    </row>
    <row r="2964" spans="1:24">
      <c r="A2964" t="s">
        <v>358</v>
      </c>
      <c r="B2964" t="s">
        <v>682</v>
      </c>
      <c r="C2964" t="s">
        <v>157</v>
      </c>
      <c r="D2964" t="s">
        <v>126</v>
      </c>
      <c r="E2964" t="s">
        <v>377</v>
      </c>
      <c r="F2964" t="s">
        <v>384</v>
      </c>
      <c r="G2964" t="s">
        <v>73</v>
      </c>
      <c r="H2964" t="s">
        <v>749</v>
      </c>
      <c r="I2964">
        <v>2021</v>
      </c>
      <c r="J2964" t="s">
        <v>379</v>
      </c>
      <c r="K2964" t="s">
        <v>546</v>
      </c>
      <c r="L2964" s="784">
        <v>0</v>
      </c>
      <c r="M2964" t="s">
        <v>745</v>
      </c>
      <c r="O2964" t="s">
        <v>737</v>
      </c>
      <c r="P2964" t="s">
        <v>1887</v>
      </c>
      <c r="R2964" t="s">
        <v>152</v>
      </c>
      <c r="S2964" t="s">
        <v>146</v>
      </c>
      <c r="U2964">
        <v>0</v>
      </c>
      <c r="V2964" t="s">
        <v>544</v>
      </c>
      <c r="W2964" t="s">
        <v>575</v>
      </c>
      <c r="X2964" s="784">
        <v>14611129792.346064</v>
      </c>
    </row>
    <row r="2965" spans="1:24">
      <c r="A2965" t="s">
        <v>358</v>
      </c>
      <c r="B2965" t="s">
        <v>683</v>
      </c>
      <c r="C2965" t="s">
        <v>281</v>
      </c>
      <c r="D2965" t="s">
        <v>126</v>
      </c>
      <c r="E2965" t="s">
        <v>377</v>
      </c>
      <c r="F2965" t="s">
        <v>384</v>
      </c>
      <c r="G2965" t="s">
        <v>73</v>
      </c>
      <c r="H2965" t="s">
        <v>749</v>
      </c>
      <c r="I2965">
        <v>2021</v>
      </c>
      <c r="J2965" t="s">
        <v>379</v>
      </c>
      <c r="K2965" t="s">
        <v>546</v>
      </c>
      <c r="L2965" s="784">
        <v>0</v>
      </c>
      <c r="M2965" t="s">
        <v>745</v>
      </c>
      <c r="O2965" t="s">
        <v>737</v>
      </c>
      <c r="P2965" t="s">
        <v>1887</v>
      </c>
      <c r="R2965" t="s">
        <v>150</v>
      </c>
      <c r="S2965" t="s">
        <v>145</v>
      </c>
      <c r="U2965">
        <v>0</v>
      </c>
      <c r="V2965" t="s">
        <v>541</v>
      </c>
      <c r="W2965" t="s">
        <v>558</v>
      </c>
      <c r="X2965" s="784">
        <v>72046877.233008593</v>
      </c>
    </row>
    <row r="2966" spans="1:24">
      <c r="A2966" t="s">
        <v>358</v>
      </c>
      <c r="B2966" t="s">
        <v>684</v>
      </c>
      <c r="C2966" t="s">
        <v>282</v>
      </c>
      <c r="D2966" t="s">
        <v>129</v>
      </c>
      <c r="E2966" t="s">
        <v>377</v>
      </c>
      <c r="F2966" t="s">
        <v>384</v>
      </c>
      <c r="G2966" t="s">
        <v>73</v>
      </c>
      <c r="H2966" t="s">
        <v>749</v>
      </c>
      <c r="I2966">
        <v>2021</v>
      </c>
      <c r="J2966" t="s">
        <v>379</v>
      </c>
      <c r="K2966" t="s">
        <v>546</v>
      </c>
      <c r="L2966" s="784">
        <v>0</v>
      </c>
      <c r="M2966" t="s">
        <v>745</v>
      </c>
      <c r="O2966" t="s">
        <v>737</v>
      </c>
      <c r="P2966" t="s">
        <v>1887</v>
      </c>
      <c r="R2966" t="s">
        <v>148</v>
      </c>
      <c r="S2966" t="s">
        <v>145</v>
      </c>
      <c r="U2966">
        <v>0</v>
      </c>
      <c r="V2966" t="s">
        <v>544</v>
      </c>
      <c r="W2966" t="s">
        <v>542</v>
      </c>
      <c r="X2966" s="784">
        <v>56248139.267255567</v>
      </c>
    </row>
    <row r="2967" spans="1:24">
      <c r="A2967" t="s">
        <v>358</v>
      </c>
      <c r="B2967" t="s">
        <v>685</v>
      </c>
      <c r="C2967" t="s">
        <v>283</v>
      </c>
      <c r="D2967" t="s">
        <v>126</v>
      </c>
      <c r="E2967" t="s">
        <v>377</v>
      </c>
      <c r="F2967" t="s">
        <v>384</v>
      </c>
      <c r="G2967" t="s">
        <v>73</v>
      </c>
      <c r="H2967" t="s">
        <v>749</v>
      </c>
      <c r="I2967">
        <v>2021</v>
      </c>
      <c r="J2967" t="s">
        <v>379</v>
      </c>
      <c r="K2967" t="s">
        <v>546</v>
      </c>
      <c r="L2967" s="784">
        <v>0</v>
      </c>
      <c r="M2967" t="s">
        <v>745</v>
      </c>
      <c r="O2967" t="s">
        <v>737</v>
      </c>
      <c r="P2967" t="s">
        <v>1887</v>
      </c>
      <c r="R2967" t="s">
        <v>152</v>
      </c>
      <c r="S2967" t="s">
        <v>145</v>
      </c>
      <c r="U2967">
        <v>0</v>
      </c>
      <c r="V2967" t="s">
        <v>541</v>
      </c>
      <c r="W2967" t="s">
        <v>542</v>
      </c>
      <c r="X2967" s="784">
        <v>15464031.712942109</v>
      </c>
    </row>
    <row r="2968" spans="1:24">
      <c r="A2968" t="s">
        <v>358</v>
      </c>
      <c r="B2968" t="s">
        <v>686</v>
      </c>
      <c r="C2968" t="s">
        <v>284</v>
      </c>
      <c r="D2968" t="s">
        <v>130</v>
      </c>
      <c r="E2968" t="s">
        <v>377</v>
      </c>
      <c r="F2968" t="s">
        <v>384</v>
      </c>
      <c r="G2968" t="s">
        <v>73</v>
      </c>
      <c r="H2968" t="s">
        <v>749</v>
      </c>
      <c r="I2968">
        <v>2021</v>
      </c>
      <c r="J2968" t="s">
        <v>379</v>
      </c>
      <c r="K2968" t="s">
        <v>546</v>
      </c>
      <c r="L2968" s="784">
        <v>0</v>
      </c>
      <c r="M2968" t="s">
        <v>745</v>
      </c>
      <c r="O2968" t="s">
        <v>737</v>
      </c>
      <c r="P2968" t="s">
        <v>1887</v>
      </c>
      <c r="R2968" t="s">
        <v>550</v>
      </c>
      <c r="S2968" t="s">
        <v>146</v>
      </c>
      <c r="U2968">
        <v>0</v>
      </c>
      <c r="V2968" t="s">
        <v>541</v>
      </c>
      <c r="W2968" t="s">
        <v>546</v>
      </c>
      <c r="X2968" s="784">
        <v>769564399.33249676</v>
      </c>
    </row>
    <row r="2969" spans="1:24">
      <c r="A2969" t="s">
        <v>358</v>
      </c>
      <c r="B2969" t="s">
        <v>687</v>
      </c>
      <c r="C2969" t="s">
        <v>285</v>
      </c>
      <c r="D2969" t="s">
        <v>131</v>
      </c>
      <c r="E2969" t="s">
        <v>377</v>
      </c>
      <c r="F2969" t="s">
        <v>384</v>
      </c>
      <c r="G2969" t="s">
        <v>73</v>
      </c>
      <c r="H2969" t="s">
        <v>749</v>
      </c>
      <c r="I2969">
        <v>2021</v>
      </c>
      <c r="J2969" t="s">
        <v>379</v>
      </c>
      <c r="K2969" t="s">
        <v>546</v>
      </c>
      <c r="L2969" s="784">
        <v>0</v>
      </c>
      <c r="M2969" t="s">
        <v>745</v>
      </c>
      <c r="O2969" t="s">
        <v>737</v>
      </c>
      <c r="P2969" t="s">
        <v>1887</v>
      </c>
      <c r="R2969" t="s">
        <v>150</v>
      </c>
      <c r="S2969" t="s">
        <v>145</v>
      </c>
      <c r="U2969">
        <v>0</v>
      </c>
      <c r="V2969" t="s">
        <v>544</v>
      </c>
      <c r="W2969" t="s">
        <v>546</v>
      </c>
      <c r="X2969" s="784">
        <v>1668954539.7630196</v>
      </c>
    </row>
    <row r="2970" spans="1:24">
      <c r="A2970" t="s">
        <v>358</v>
      </c>
      <c r="B2970" t="s">
        <v>688</v>
      </c>
      <c r="C2970" t="s">
        <v>286</v>
      </c>
      <c r="D2970" t="s">
        <v>127</v>
      </c>
      <c r="E2970" t="s">
        <v>377</v>
      </c>
      <c r="F2970" t="s">
        <v>384</v>
      </c>
      <c r="G2970" t="s">
        <v>73</v>
      </c>
      <c r="H2970" t="s">
        <v>749</v>
      </c>
      <c r="I2970">
        <v>2021</v>
      </c>
      <c r="J2970" t="s">
        <v>379</v>
      </c>
      <c r="K2970" t="s">
        <v>546</v>
      </c>
      <c r="L2970" s="784">
        <v>0</v>
      </c>
      <c r="M2970" t="s">
        <v>745</v>
      </c>
      <c r="O2970" t="s">
        <v>737</v>
      </c>
      <c r="P2970" t="s">
        <v>1887</v>
      </c>
      <c r="R2970" t="s">
        <v>152</v>
      </c>
      <c r="S2970" t="s">
        <v>146</v>
      </c>
      <c r="U2970">
        <v>0</v>
      </c>
      <c r="V2970" t="s">
        <v>544</v>
      </c>
      <c r="W2970" t="s">
        <v>575</v>
      </c>
      <c r="X2970" s="784">
        <v>24840920016.18832</v>
      </c>
    </row>
    <row r="2971" spans="1:24">
      <c r="A2971" t="s">
        <v>358</v>
      </c>
      <c r="B2971" t="s">
        <v>689</v>
      </c>
      <c r="C2971" t="s">
        <v>287</v>
      </c>
      <c r="D2971" t="s">
        <v>127</v>
      </c>
      <c r="E2971" t="s">
        <v>377</v>
      </c>
      <c r="F2971" t="s">
        <v>384</v>
      </c>
      <c r="G2971" t="s">
        <v>73</v>
      </c>
      <c r="H2971" t="s">
        <v>749</v>
      </c>
      <c r="I2971">
        <v>2021</v>
      </c>
      <c r="J2971" t="s">
        <v>379</v>
      </c>
      <c r="K2971" t="s">
        <v>546</v>
      </c>
      <c r="L2971" s="784">
        <v>0</v>
      </c>
      <c r="M2971" t="s">
        <v>745</v>
      </c>
      <c r="O2971" t="s">
        <v>737</v>
      </c>
      <c r="P2971" t="s">
        <v>1887</v>
      </c>
      <c r="R2971" t="s">
        <v>152</v>
      </c>
      <c r="S2971" t="s">
        <v>146</v>
      </c>
      <c r="U2971">
        <v>0</v>
      </c>
      <c r="V2971" t="s">
        <v>544</v>
      </c>
      <c r="W2971" t="s">
        <v>546</v>
      </c>
      <c r="X2971" s="784">
        <v>487888462.83720118</v>
      </c>
    </row>
    <row r="2972" spans="1:24">
      <c r="A2972" t="s">
        <v>358</v>
      </c>
      <c r="B2972" t="s">
        <v>690</v>
      </c>
      <c r="C2972" t="s">
        <v>288</v>
      </c>
      <c r="D2972" t="s">
        <v>126</v>
      </c>
      <c r="E2972" t="s">
        <v>377</v>
      </c>
      <c r="F2972" t="s">
        <v>384</v>
      </c>
      <c r="G2972" t="s">
        <v>73</v>
      </c>
      <c r="H2972" t="s">
        <v>749</v>
      </c>
      <c r="I2972">
        <v>2021</v>
      </c>
      <c r="J2972" t="s">
        <v>379</v>
      </c>
      <c r="K2972" t="s">
        <v>546</v>
      </c>
      <c r="L2972" s="784">
        <v>0</v>
      </c>
      <c r="M2972" t="s">
        <v>745</v>
      </c>
      <c r="O2972" t="s">
        <v>737</v>
      </c>
      <c r="P2972" t="s">
        <v>1887</v>
      </c>
      <c r="R2972" t="s">
        <v>152</v>
      </c>
      <c r="S2972" t="s">
        <v>145</v>
      </c>
      <c r="U2972">
        <v>0</v>
      </c>
      <c r="V2972" t="s">
        <v>541</v>
      </c>
      <c r="W2972" t="s">
        <v>548</v>
      </c>
      <c r="X2972" s="784">
        <v>6365061.1736073596</v>
      </c>
    </row>
    <row r="2973" spans="1:24">
      <c r="A2973" t="s">
        <v>358</v>
      </c>
      <c r="B2973" t="s">
        <v>691</v>
      </c>
      <c r="C2973" t="s">
        <v>289</v>
      </c>
      <c r="D2973" t="s">
        <v>128</v>
      </c>
      <c r="E2973" t="s">
        <v>377</v>
      </c>
      <c r="F2973" t="s">
        <v>384</v>
      </c>
      <c r="G2973" t="s">
        <v>73</v>
      </c>
      <c r="H2973" t="s">
        <v>749</v>
      </c>
      <c r="I2973">
        <v>2021</v>
      </c>
      <c r="J2973" t="s">
        <v>379</v>
      </c>
      <c r="K2973" t="s">
        <v>546</v>
      </c>
      <c r="L2973" s="784">
        <v>0</v>
      </c>
      <c r="M2973" t="s">
        <v>745</v>
      </c>
      <c r="O2973" t="s">
        <v>737</v>
      </c>
      <c r="P2973" t="s">
        <v>1887</v>
      </c>
      <c r="R2973" t="s">
        <v>148</v>
      </c>
      <c r="S2973" t="s">
        <v>145</v>
      </c>
      <c r="U2973">
        <v>2</v>
      </c>
      <c r="V2973" t="s">
        <v>544</v>
      </c>
      <c r="W2973" t="s">
        <v>558</v>
      </c>
      <c r="X2973" s="784">
        <v>291799092.90196139</v>
      </c>
    </row>
    <row r="2974" spans="1:24">
      <c r="A2974" t="s">
        <v>358</v>
      </c>
      <c r="B2974" t="s">
        <v>692</v>
      </c>
      <c r="C2974" t="s">
        <v>290</v>
      </c>
      <c r="D2974" t="s">
        <v>127</v>
      </c>
      <c r="E2974" t="s">
        <v>377</v>
      </c>
      <c r="F2974" t="s">
        <v>384</v>
      </c>
      <c r="G2974" t="s">
        <v>73</v>
      </c>
      <c r="H2974" t="s">
        <v>749</v>
      </c>
      <c r="I2974">
        <v>2021</v>
      </c>
      <c r="J2974" t="s">
        <v>379</v>
      </c>
      <c r="K2974" t="s">
        <v>546</v>
      </c>
      <c r="L2974" s="784">
        <v>0</v>
      </c>
      <c r="M2974" t="s">
        <v>745</v>
      </c>
      <c r="O2974" t="s">
        <v>737</v>
      </c>
      <c r="P2974" t="s">
        <v>1887</v>
      </c>
      <c r="R2974" t="s">
        <v>150</v>
      </c>
      <c r="S2974" t="s">
        <v>145</v>
      </c>
      <c r="U2974">
        <v>0</v>
      </c>
      <c r="V2974" t="s">
        <v>544</v>
      </c>
      <c r="W2974" t="s">
        <v>546</v>
      </c>
      <c r="X2974" s="784">
        <v>4844815340.2135534</v>
      </c>
    </row>
    <row r="2975" spans="1:24">
      <c r="A2975" t="s">
        <v>358</v>
      </c>
      <c r="B2975" t="s">
        <v>693</v>
      </c>
      <c r="C2975" t="s">
        <v>291</v>
      </c>
      <c r="D2975" t="s">
        <v>130</v>
      </c>
      <c r="E2975" t="s">
        <v>377</v>
      </c>
      <c r="F2975" t="s">
        <v>384</v>
      </c>
      <c r="G2975" t="s">
        <v>73</v>
      </c>
      <c r="H2975" t="s">
        <v>749</v>
      </c>
      <c r="I2975">
        <v>2021</v>
      </c>
      <c r="J2975" t="s">
        <v>379</v>
      </c>
      <c r="K2975" t="s">
        <v>546</v>
      </c>
      <c r="L2975" s="784">
        <v>0</v>
      </c>
      <c r="M2975" t="s">
        <v>745</v>
      </c>
      <c r="O2975" t="s">
        <v>737</v>
      </c>
      <c r="P2975" t="s">
        <v>1887</v>
      </c>
      <c r="R2975" t="s">
        <v>550</v>
      </c>
      <c r="S2975" t="s">
        <v>146</v>
      </c>
      <c r="U2975">
        <v>0</v>
      </c>
      <c r="V2975" t="s">
        <v>544</v>
      </c>
      <c r="W2975" t="s">
        <v>575</v>
      </c>
      <c r="X2975" s="784">
        <v>4001891446.6871672</v>
      </c>
    </row>
    <row r="2976" spans="1:24">
      <c r="A2976" t="s">
        <v>358</v>
      </c>
      <c r="B2976" t="s">
        <v>694</v>
      </c>
      <c r="C2976" t="s">
        <v>292</v>
      </c>
      <c r="D2976" t="s">
        <v>127</v>
      </c>
      <c r="E2976" t="s">
        <v>377</v>
      </c>
      <c r="F2976" t="s">
        <v>384</v>
      </c>
      <c r="G2976" t="s">
        <v>73</v>
      </c>
      <c r="H2976" t="s">
        <v>749</v>
      </c>
      <c r="I2976">
        <v>2021</v>
      </c>
      <c r="J2976" t="s">
        <v>379</v>
      </c>
      <c r="K2976" t="s">
        <v>546</v>
      </c>
      <c r="L2976" s="784">
        <v>0</v>
      </c>
      <c r="M2976" t="s">
        <v>745</v>
      </c>
      <c r="O2976" t="s">
        <v>737</v>
      </c>
      <c r="P2976" t="s">
        <v>1887</v>
      </c>
      <c r="R2976" t="s">
        <v>150</v>
      </c>
      <c r="S2976" t="s">
        <v>145</v>
      </c>
      <c r="U2976">
        <v>0</v>
      </c>
      <c r="V2976" t="s">
        <v>544</v>
      </c>
      <c r="W2976" t="s">
        <v>558</v>
      </c>
      <c r="X2976" s="784">
        <v>1019800630.5853213</v>
      </c>
    </row>
    <row r="2977" spans="1:24">
      <c r="A2977" t="s">
        <v>358</v>
      </c>
      <c r="B2977" t="s">
        <v>695</v>
      </c>
      <c r="C2977" t="s">
        <v>293</v>
      </c>
      <c r="D2977" t="s">
        <v>126</v>
      </c>
      <c r="E2977" t="s">
        <v>377</v>
      </c>
      <c r="F2977" t="s">
        <v>384</v>
      </c>
      <c r="G2977" t="s">
        <v>73</v>
      </c>
      <c r="H2977" t="s">
        <v>749</v>
      </c>
      <c r="I2977">
        <v>2021</v>
      </c>
      <c r="J2977" t="s">
        <v>379</v>
      </c>
      <c r="K2977" t="s">
        <v>546</v>
      </c>
      <c r="L2977" s="784">
        <v>0</v>
      </c>
      <c r="M2977" t="s">
        <v>745</v>
      </c>
      <c r="O2977" t="s">
        <v>737</v>
      </c>
      <c r="P2977" t="s">
        <v>1887</v>
      </c>
      <c r="R2977" t="s">
        <v>150</v>
      </c>
      <c r="S2977" t="s">
        <v>145</v>
      </c>
      <c r="U2977">
        <v>0</v>
      </c>
      <c r="V2977" t="s">
        <v>541</v>
      </c>
      <c r="W2977" t="s">
        <v>562</v>
      </c>
      <c r="X2977" s="784">
        <v>19578671.310841195</v>
      </c>
    </row>
    <row r="2978" spans="1:24">
      <c r="A2978" t="s">
        <v>358</v>
      </c>
      <c r="B2978" t="s">
        <v>696</v>
      </c>
      <c r="C2978" t="s">
        <v>294</v>
      </c>
      <c r="D2978" t="s">
        <v>130</v>
      </c>
      <c r="E2978" t="s">
        <v>377</v>
      </c>
      <c r="F2978" t="s">
        <v>384</v>
      </c>
      <c r="G2978" t="s">
        <v>73</v>
      </c>
      <c r="H2978" t="s">
        <v>749</v>
      </c>
      <c r="I2978">
        <v>2021</v>
      </c>
      <c r="J2978" t="s">
        <v>379</v>
      </c>
      <c r="K2978" t="s">
        <v>546</v>
      </c>
      <c r="L2978" s="784">
        <v>103218.84</v>
      </c>
      <c r="M2978" t="s">
        <v>745</v>
      </c>
      <c r="O2978" t="s">
        <v>737</v>
      </c>
      <c r="P2978" t="s">
        <v>1887</v>
      </c>
      <c r="R2978" t="s">
        <v>322</v>
      </c>
      <c r="S2978" t="s">
        <v>146</v>
      </c>
      <c r="U2978">
        <v>0</v>
      </c>
      <c r="V2978" t="s">
        <v>544</v>
      </c>
      <c r="W2978" t="s">
        <v>546</v>
      </c>
      <c r="X2978" s="784">
        <v>3551452001.0684834</v>
      </c>
    </row>
    <row r="2979" spans="1:24">
      <c r="A2979" t="s">
        <v>358</v>
      </c>
      <c r="B2979" t="s">
        <v>697</v>
      </c>
      <c r="C2979" t="s">
        <v>295</v>
      </c>
      <c r="D2979" t="s">
        <v>126</v>
      </c>
      <c r="E2979" t="s">
        <v>377</v>
      </c>
      <c r="F2979" t="s">
        <v>384</v>
      </c>
      <c r="G2979" t="s">
        <v>73</v>
      </c>
      <c r="H2979" t="s">
        <v>749</v>
      </c>
      <c r="I2979">
        <v>2021</v>
      </c>
      <c r="J2979" t="s">
        <v>379</v>
      </c>
      <c r="K2979" t="s">
        <v>546</v>
      </c>
      <c r="L2979" s="784">
        <v>0</v>
      </c>
      <c r="M2979" t="s">
        <v>745</v>
      </c>
      <c r="O2979" t="s">
        <v>737</v>
      </c>
      <c r="P2979" t="s">
        <v>1887</v>
      </c>
      <c r="R2979" t="s">
        <v>150</v>
      </c>
      <c r="S2979" t="s">
        <v>145</v>
      </c>
      <c r="U2979">
        <v>0</v>
      </c>
      <c r="V2979" t="s">
        <v>544</v>
      </c>
      <c r="W2979" t="s">
        <v>546</v>
      </c>
      <c r="X2979" s="784">
        <v>6603048821.7575006</v>
      </c>
    </row>
    <row r="2980" spans="1:24">
      <c r="A2980" t="s">
        <v>358</v>
      </c>
      <c r="B2980" t="s">
        <v>698</v>
      </c>
      <c r="C2980" t="s">
        <v>296</v>
      </c>
      <c r="D2980" t="s">
        <v>131</v>
      </c>
      <c r="E2980" t="s">
        <v>377</v>
      </c>
      <c r="F2980" t="s">
        <v>384</v>
      </c>
      <c r="G2980" t="s">
        <v>73</v>
      </c>
      <c r="H2980" t="s">
        <v>749</v>
      </c>
      <c r="I2980">
        <v>2021</v>
      </c>
      <c r="J2980" t="s">
        <v>379</v>
      </c>
      <c r="K2980" t="s">
        <v>546</v>
      </c>
      <c r="L2980" s="784">
        <v>0</v>
      </c>
      <c r="M2980" t="s">
        <v>745</v>
      </c>
      <c r="O2980" t="s">
        <v>737</v>
      </c>
      <c r="P2980" t="s">
        <v>1887</v>
      </c>
      <c r="R2980" t="s">
        <v>148</v>
      </c>
      <c r="S2980" t="s">
        <v>145</v>
      </c>
      <c r="U2980">
        <v>1</v>
      </c>
      <c r="V2980" t="s">
        <v>544</v>
      </c>
      <c r="W2980" t="s">
        <v>548</v>
      </c>
      <c r="X2980" s="784" t="s">
        <v>575</v>
      </c>
    </row>
    <row r="2981" spans="1:24">
      <c r="A2981" t="s">
        <v>358</v>
      </c>
      <c r="B2981" t="s">
        <v>699</v>
      </c>
      <c r="C2981" t="s">
        <v>297</v>
      </c>
      <c r="D2981" t="s">
        <v>128</v>
      </c>
      <c r="E2981" t="s">
        <v>377</v>
      </c>
      <c r="F2981" t="s">
        <v>384</v>
      </c>
      <c r="G2981" t="s">
        <v>73</v>
      </c>
      <c r="H2981" t="s">
        <v>749</v>
      </c>
      <c r="I2981">
        <v>2021</v>
      </c>
      <c r="J2981" t="s">
        <v>379</v>
      </c>
      <c r="K2981" t="s">
        <v>546</v>
      </c>
      <c r="L2981" s="784">
        <v>0</v>
      </c>
      <c r="M2981" t="s">
        <v>745</v>
      </c>
      <c r="O2981" t="s">
        <v>737</v>
      </c>
      <c r="P2981" t="s">
        <v>1887</v>
      </c>
      <c r="R2981" t="s">
        <v>150</v>
      </c>
      <c r="S2981" t="s">
        <v>145</v>
      </c>
      <c r="U2981">
        <v>0</v>
      </c>
      <c r="V2981" t="s">
        <v>544</v>
      </c>
      <c r="W2981" t="s">
        <v>542</v>
      </c>
      <c r="X2981" s="784">
        <v>515352723.9821828</v>
      </c>
    </row>
    <row r="2982" spans="1:24">
      <c r="A2982" t="s">
        <v>358</v>
      </c>
      <c r="B2982" t="s">
        <v>700</v>
      </c>
      <c r="C2982" t="s">
        <v>298</v>
      </c>
      <c r="D2982" t="s">
        <v>128</v>
      </c>
      <c r="E2982" t="s">
        <v>377</v>
      </c>
      <c r="F2982" t="s">
        <v>384</v>
      </c>
      <c r="G2982" t="s">
        <v>73</v>
      </c>
      <c r="H2982" t="s">
        <v>749</v>
      </c>
      <c r="I2982">
        <v>2021</v>
      </c>
      <c r="J2982" t="s">
        <v>379</v>
      </c>
      <c r="K2982" t="s">
        <v>546</v>
      </c>
      <c r="L2982" s="784">
        <v>0</v>
      </c>
      <c r="M2982" t="s">
        <v>745</v>
      </c>
      <c r="O2982" t="s">
        <v>737</v>
      </c>
      <c r="P2982" t="s">
        <v>1887</v>
      </c>
      <c r="R2982" t="s">
        <v>150</v>
      </c>
      <c r="S2982" t="s">
        <v>145</v>
      </c>
      <c r="U2982">
        <v>0</v>
      </c>
      <c r="V2982" t="s">
        <v>544</v>
      </c>
      <c r="W2982" t="s">
        <v>546</v>
      </c>
      <c r="X2982" s="784">
        <v>566711742.22428358</v>
      </c>
    </row>
    <row r="2983" spans="1:24">
      <c r="A2983" t="s">
        <v>358</v>
      </c>
      <c r="B2983" t="s">
        <v>540</v>
      </c>
      <c r="C2983" t="s">
        <v>160</v>
      </c>
      <c r="D2983" t="s">
        <v>132</v>
      </c>
      <c r="E2983" t="s">
        <v>377</v>
      </c>
      <c r="F2983" t="s">
        <v>384</v>
      </c>
      <c r="G2983" t="s">
        <v>72</v>
      </c>
      <c r="H2983" t="s">
        <v>749</v>
      </c>
      <c r="I2983">
        <v>2021</v>
      </c>
      <c r="J2983" t="s">
        <v>379</v>
      </c>
      <c r="K2983" t="s">
        <v>546</v>
      </c>
      <c r="L2983" s="784">
        <v>0</v>
      </c>
      <c r="M2983" t="s">
        <v>745</v>
      </c>
      <c r="N2983" s="784" t="s">
        <v>575</v>
      </c>
      <c r="O2983" t="s">
        <v>737</v>
      </c>
      <c r="P2983" t="s">
        <v>1887</v>
      </c>
      <c r="R2983" t="s">
        <v>148</v>
      </c>
      <c r="S2983" t="s">
        <v>145</v>
      </c>
      <c r="U2983">
        <v>1</v>
      </c>
      <c r="V2983" t="s">
        <v>544</v>
      </c>
      <c r="W2983" t="s">
        <v>542</v>
      </c>
      <c r="X2983" s="784">
        <v>95829480.719269618</v>
      </c>
    </row>
    <row r="2984" spans="1:24">
      <c r="A2984" t="s">
        <v>358</v>
      </c>
      <c r="B2984" t="s">
        <v>543</v>
      </c>
      <c r="C2984" t="s">
        <v>161</v>
      </c>
      <c r="D2984" t="s">
        <v>127</v>
      </c>
      <c r="E2984" t="s">
        <v>377</v>
      </c>
      <c r="F2984" t="s">
        <v>384</v>
      </c>
      <c r="G2984" t="s">
        <v>72</v>
      </c>
      <c r="H2984" t="s">
        <v>749</v>
      </c>
      <c r="I2984">
        <v>2021</v>
      </c>
      <c r="J2984" t="s">
        <v>379</v>
      </c>
      <c r="K2984" t="s">
        <v>546</v>
      </c>
      <c r="L2984" s="784">
        <v>0</v>
      </c>
      <c r="M2984" t="s">
        <v>745</v>
      </c>
      <c r="N2984" s="784" t="s">
        <v>575</v>
      </c>
      <c r="O2984" t="s">
        <v>737</v>
      </c>
      <c r="P2984" t="s">
        <v>1887</v>
      </c>
      <c r="R2984" t="s">
        <v>152</v>
      </c>
      <c r="S2984" t="s">
        <v>146</v>
      </c>
      <c r="U2984">
        <v>0</v>
      </c>
      <c r="V2984" t="s">
        <v>544</v>
      </c>
      <c r="W2984" t="s">
        <v>575</v>
      </c>
      <c r="X2984" s="784">
        <v>427904035.52443534</v>
      </c>
    </row>
    <row r="2985" spans="1:24">
      <c r="A2985" t="s">
        <v>358</v>
      </c>
      <c r="B2985" t="s">
        <v>545</v>
      </c>
      <c r="C2985" t="s">
        <v>143</v>
      </c>
      <c r="D2985" t="s">
        <v>131</v>
      </c>
      <c r="E2985" t="s">
        <v>377</v>
      </c>
      <c r="F2985" t="s">
        <v>384</v>
      </c>
      <c r="G2985" t="s">
        <v>72</v>
      </c>
      <c r="H2985" t="s">
        <v>749</v>
      </c>
      <c r="I2985">
        <v>2021</v>
      </c>
      <c r="J2985" t="s">
        <v>379</v>
      </c>
      <c r="K2985" t="s">
        <v>546</v>
      </c>
      <c r="L2985" s="784">
        <v>0</v>
      </c>
      <c r="M2985" t="s">
        <v>745</v>
      </c>
      <c r="N2985" s="784" t="s">
        <v>575</v>
      </c>
      <c r="O2985" t="s">
        <v>737</v>
      </c>
      <c r="P2985" t="s">
        <v>1887</v>
      </c>
      <c r="R2985" t="s">
        <v>150</v>
      </c>
      <c r="S2985" t="s">
        <v>145</v>
      </c>
      <c r="U2985">
        <v>0</v>
      </c>
      <c r="V2985" t="s">
        <v>544</v>
      </c>
      <c r="W2985" t="s">
        <v>546</v>
      </c>
      <c r="X2985" s="784">
        <v>7113361022.7267885</v>
      </c>
    </row>
    <row r="2986" spans="1:24">
      <c r="A2986" t="s">
        <v>358</v>
      </c>
      <c r="B2986" t="s">
        <v>547</v>
      </c>
      <c r="C2986" t="s">
        <v>162</v>
      </c>
      <c r="D2986" t="s">
        <v>128</v>
      </c>
      <c r="E2986" t="s">
        <v>377</v>
      </c>
      <c r="F2986" t="s">
        <v>384</v>
      </c>
      <c r="G2986" t="s">
        <v>72</v>
      </c>
      <c r="H2986" t="s">
        <v>749</v>
      </c>
      <c r="I2986">
        <v>2021</v>
      </c>
      <c r="J2986" t="s">
        <v>379</v>
      </c>
      <c r="K2986" t="s">
        <v>546</v>
      </c>
      <c r="L2986" s="784">
        <v>0</v>
      </c>
      <c r="M2986" t="s">
        <v>745</v>
      </c>
      <c r="N2986" s="784" t="s">
        <v>575</v>
      </c>
      <c r="O2986" t="s">
        <v>737</v>
      </c>
      <c r="P2986" t="s">
        <v>1887</v>
      </c>
      <c r="R2986" t="s">
        <v>150</v>
      </c>
      <c r="S2986" t="s">
        <v>145</v>
      </c>
      <c r="U2986">
        <v>0</v>
      </c>
      <c r="V2986" t="s">
        <v>544</v>
      </c>
      <c r="W2986" t="s">
        <v>548</v>
      </c>
      <c r="X2986" s="784">
        <v>1131865946.5875781</v>
      </c>
    </row>
    <row r="2987" spans="1:24">
      <c r="A2987" t="s">
        <v>358</v>
      </c>
      <c r="B2987" t="s">
        <v>549</v>
      </c>
      <c r="C2987" t="s">
        <v>163</v>
      </c>
      <c r="D2987" t="s">
        <v>130</v>
      </c>
      <c r="E2987" t="s">
        <v>377</v>
      </c>
      <c r="F2987" t="s">
        <v>384</v>
      </c>
      <c r="G2987" t="s">
        <v>72</v>
      </c>
      <c r="H2987" t="s">
        <v>749</v>
      </c>
      <c r="I2987">
        <v>2021</v>
      </c>
      <c r="J2987" t="s">
        <v>379</v>
      </c>
      <c r="K2987" t="s">
        <v>546</v>
      </c>
      <c r="L2987" s="784">
        <v>0</v>
      </c>
      <c r="M2987" t="s">
        <v>745</v>
      </c>
      <c r="N2987" s="784" t="s">
        <v>575</v>
      </c>
      <c r="O2987" t="s">
        <v>737</v>
      </c>
      <c r="P2987" t="s">
        <v>1887</v>
      </c>
      <c r="R2987" t="s">
        <v>550</v>
      </c>
      <c r="S2987" t="s">
        <v>146</v>
      </c>
      <c r="U2987">
        <v>0</v>
      </c>
      <c r="V2987" t="s">
        <v>541</v>
      </c>
      <c r="W2987" t="s">
        <v>575</v>
      </c>
      <c r="X2987" s="784">
        <v>46777779.823447868</v>
      </c>
    </row>
    <row r="2988" spans="1:24">
      <c r="A2988" t="s">
        <v>358</v>
      </c>
      <c r="B2988" t="s">
        <v>551</v>
      </c>
      <c r="C2988" t="s">
        <v>164</v>
      </c>
      <c r="D2988" t="s">
        <v>130</v>
      </c>
      <c r="E2988" t="s">
        <v>377</v>
      </c>
      <c r="F2988" t="s">
        <v>384</v>
      </c>
      <c r="G2988" t="s">
        <v>72</v>
      </c>
      <c r="H2988" t="s">
        <v>749</v>
      </c>
      <c r="I2988">
        <v>2021</v>
      </c>
      <c r="J2988" t="s">
        <v>379</v>
      </c>
      <c r="K2988" t="s">
        <v>546</v>
      </c>
      <c r="L2988" s="784">
        <v>0</v>
      </c>
      <c r="M2988" t="s">
        <v>745</v>
      </c>
      <c r="N2988" s="784" t="s">
        <v>575</v>
      </c>
      <c r="O2988" t="s">
        <v>737</v>
      </c>
      <c r="P2988" t="s">
        <v>1887</v>
      </c>
      <c r="R2988" t="s">
        <v>152</v>
      </c>
      <c r="S2988" t="s">
        <v>146</v>
      </c>
      <c r="U2988">
        <v>0</v>
      </c>
      <c r="V2988" t="s">
        <v>544</v>
      </c>
      <c r="W2988" t="s">
        <v>575</v>
      </c>
      <c r="X2988" s="784">
        <v>30725305777.596794</v>
      </c>
    </row>
    <row r="2989" spans="1:24">
      <c r="A2989" t="s">
        <v>358</v>
      </c>
      <c r="B2989" t="s">
        <v>553</v>
      </c>
      <c r="C2989" t="s">
        <v>165</v>
      </c>
      <c r="D2989" t="s">
        <v>127</v>
      </c>
      <c r="E2989" t="s">
        <v>377</v>
      </c>
      <c r="F2989" t="s">
        <v>384</v>
      </c>
      <c r="G2989" t="s">
        <v>72</v>
      </c>
      <c r="H2989" t="s">
        <v>749</v>
      </c>
      <c r="I2989">
        <v>2021</v>
      </c>
      <c r="J2989" t="s">
        <v>379</v>
      </c>
      <c r="K2989" t="s">
        <v>546</v>
      </c>
      <c r="L2989" s="784">
        <v>0</v>
      </c>
      <c r="M2989" t="s">
        <v>745</v>
      </c>
      <c r="N2989" s="784" t="s">
        <v>575</v>
      </c>
      <c r="O2989" t="s">
        <v>737</v>
      </c>
      <c r="P2989" t="s">
        <v>1887</v>
      </c>
      <c r="R2989" t="s">
        <v>152</v>
      </c>
      <c r="S2989" t="s">
        <v>146</v>
      </c>
      <c r="U2989">
        <v>0</v>
      </c>
      <c r="V2989" t="s">
        <v>544</v>
      </c>
      <c r="W2989" t="s">
        <v>575</v>
      </c>
      <c r="X2989" s="784">
        <v>153815827.8380394</v>
      </c>
    </row>
    <row r="2990" spans="1:24">
      <c r="A2990" t="s">
        <v>358</v>
      </c>
      <c r="B2990" t="s">
        <v>554</v>
      </c>
      <c r="C2990" t="s">
        <v>166</v>
      </c>
      <c r="D2990" t="s">
        <v>127</v>
      </c>
      <c r="E2990" t="s">
        <v>377</v>
      </c>
      <c r="F2990" t="s">
        <v>384</v>
      </c>
      <c r="G2990" t="s">
        <v>72</v>
      </c>
      <c r="H2990" t="s">
        <v>749</v>
      </c>
      <c r="I2990">
        <v>2021</v>
      </c>
      <c r="J2990" t="s">
        <v>379</v>
      </c>
      <c r="K2990" t="s">
        <v>546</v>
      </c>
      <c r="L2990" s="784">
        <v>0</v>
      </c>
      <c r="M2990" t="s">
        <v>745</v>
      </c>
      <c r="N2990" s="784" t="s">
        <v>575</v>
      </c>
      <c r="O2990" t="s">
        <v>737</v>
      </c>
      <c r="P2990" t="s">
        <v>1887</v>
      </c>
      <c r="R2990" t="s">
        <v>152</v>
      </c>
      <c r="S2990" t="s">
        <v>146</v>
      </c>
      <c r="U2990">
        <v>0</v>
      </c>
      <c r="V2990" t="s">
        <v>544</v>
      </c>
      <c r="W2990" t="s">
        <v>546</v>
      </c>
      <c r="X2990" s="784">
        <v>437525105.31216973</v>
      </c>
    </row>
    <row r="2991" spans="1:24">
      <c r="A2991" t="s">
        <v>358</v>
      </c>
      <c r="B2991" t="s">
        <v>555</v>
      </c>
      <c r="C2991" t="s">
        <v>556</v>
      </c>
      <c r="D2991" t="s">
        <v>130</v>
      </c>
      <c r="E2991" t="s">
        <v>377</v>
      </c>
      <c r="F2991" t="s">
        <v>384</v>
      </c>
      <c r="G2991" t="s">
        <v>72</v>
      </c>
      <c r="H2991" t="s">
        <v>749</v>
      </c>
      <c r="I2991">
        <v>2021</v>
      </c>
      <c r="J2991" t="s">
        <v>379</v>
      </c>
      <c r="K2991" t="s">
        <v>546</v>
      </c>
      <c r="L2991" s="784">
        <v>0</v>
      </c>
      <c r="M2991" t="s">
        <v>745</v>
      </c>
      <c r="N2991" s="784" t="s">
        <v>575</v>
      </c>
      <c r="O2991" t="s">
        <v>737</v>
      </c>
      <c r="P2991" t="s">
        <v>1887</v>
      </c>
      <c r="R2991" t="s">
        <v>550</v>
      </c>
      <c r="S2991" t="s">
        <v>146</v>
      </c>
      <c r="U2991">
        <v>0</v>
      </c>
      <c r="V2991" t="s">
        <v>541</v>
      </c>
      <c r="W2991" t="s">
        <v>575</v>
      </c>
      <c r="X2991" s="784">
        <v>149463302.00602186</v>
      </c>
    </row>
    <row r="2992" spans="1:24">
      <c r="A2992" t="s">
        <v>358</v>
      </c>
      <c r="B2992" t="s">
        <v>557</v>
      </c>
      <c r="C2992" t="s">
        <v>167</v>
      </c>
      <c r="D2992" t="s">
        <v>132</v>
      </c>
      <c r="E2992" t="s">
        <v>377</v>
      </c>
      <c r="F2992" t="s">
        <v>384</v>
      </c>
      <c r="G2992" t="s">
        <v>72</v>
      </c>
      <c r="H2992" t="s">
        <v>749</v>
      </c>
      <c r="I2992">
        <v>2021</v>
      </c>
      <c r="J2992" t="s">
        <v>379</v>
      </c>
      <c r="K2992" t="s">
        <v>546</v>
      </c>
      <c r="L2992" s="784">
        <v>0</v>
      </c>
      <c r="M2992" t="s">
        <v>745</v>
      </c>
      <c r="N2992" s="784" t="s">
        <v>575</v>
      </c>
      <c r="O2992" t="s">
        <v>737</v>
      </c>
      <c r="P2992" t="s">
        <v>1887</v>
      </c>
      <c r="R2992" t="s">
        <v>150</v>
      </c>
      <c r="S2992" t="s">
        <v>145</v>
      </c>
      <c r="U2992">
        <v>0</v>
      </c>
      <c r="V2992" t="s">
        <v>544</v>
      </c>
      <c r="W2992" t="s">
        <v>558</v>
      </c>
      <c r="X2992" s="784">
        <v>1148322593.9600098</v>
      </c>
    </row>
    <row r="2993" spans="1:24">
      <c r="A2993" t="s">
        <v>358</v>
      </c>
      <c r="B2993" t="s">
        <v>559</v>
      </c>
      <c r="C2993" t="s">
        <v>168</v>
      </c>
      <c r="D2993" t="s">
        <v>127</v>
      </c>
      <c r="E2993" t="s">
        <v>377</v>
      </c>
      <c r="F2993" t="s">
        <v>384</v>
      </c>
      <c r="G2993" t="s">
        <v>72</v>
      </c>
      <c r="H2993" t="s">
        <v>749</v>
      </c>
      <c r="I2993">
        <v>2021</v>
      </c>
      <c r="J2993" t="s">
        <v>379</v>
      </c>
      <c r="K2993" t="s">
        <v>546</v>
      </c>
      <c r="L2993" s="784">
        <v>0</v>
      </c>
      <c r="M2993" t="s">
        <v>745</v>
      </c>
      <c r="N2993" s="784" t="s">
        <v>575</v>
      </c>
      <c r="O2993" t="s">
        <v>737</v>
      </c>
      <c r="P2993" t="s">
        <v>1887</v>
      </c>
      <c r="R2993" t="s">
        <v>152</v>
      </c>
      <c r="S2993" t="s">
        <v>146</v>
      </c>
      <c r="U2993">
        <v>0</v>
      </c>
      <c r="V2993" t="s">
        <v>544</v>
      </c>
      <c r="W2993" t="s">
        <v>575</v>
      </c>
      <c r="X2993" s="784">
        <v>2371102058.1093163</v>
      </c>
    </row>
    <row r="2994" spans="1:24">
      <c r="A2994" t="s">
        <v>358</v>
      </c>
      <c r="B2994" t="s">
        <v>560</v>
      </c>
      <c r="C2994" t="s">
        <v>169</v>
      </c>
      <c r="D2994" t="s">
        <v>130</v>
      </c>
      <c r="E2994" t="s">
        <v>377</v>
      </c>
      <c r="F2994" t="s">
        <v>384</v>
      </c>
      <c r="G2994" t="s">
        <v>72</v>
      </c>
      <c r="H2994" t="s">
        <v>749</v>
      </c>
      <c r="I2994">
        <v>2021</v>
      </c>
      <c r="J2994" t="s">
        <v>379</v>
      </c>
      <c r="K2994" t="s">
        <v>546</v>
      </c>
      <c r="L2994" s="784">
        <v>0</v>
      </c>
      <c r="M2994" t="s">
        <v>745</v>
      </c>
      <c r="N2994" s="784" t="s">
        <v>575</v>
      </c>
      <c r="O2994" t="s">
        <v>737</v>
      </c>
      <c r="P2994" t="s">
        <v>1887</v>
      </c>
      <c r="R2994" t="s">
        <v>150</v>
      </c>
      <c r="S2994" t="s">
        <v>146</v>
      </c>
      <c r="U2994">
        <v>0</v>
      </c>
      <c r="V2994" t="s">
        <v>541</v>
      </c>
      <c r="W2994" t="s">
        <v>546</v>
      </c>
      <c r="X2994" s="784">
        <v>75151620.005215243</v>
      </c>
    </row>
    <row r="2995" spans="1:24">
      <c r="A2995" t="s">
        <v>358</v>
      </c>
      <c r="B2995" t="s">
        <v>561</v>
      </c>
      <c r="C2995" t="s">
        <v>170</v>
      </c>
      <c r="D2995" t="s">
        <v>129</v>
      </c>
      <c r="E2995" t="s">
        <v>377</v>
      </c>
      <c r="F2995" t="s">
        <v>384</v>
      </c>
      <c r="G2995" t="s">
        <v>72</v>
      </c>
      <c r="H2995" t="s">
        <v>749</v>
      </c>
      <c r="I2995">
        <v>2021</v>
      </c>
      <c r="J2995" t="s">
        <v>379</v>
      </c>
      <c r="K2995" t="s">
        <v>546</v>
      </c>
      <c r="L2995" s="784">
        <v>0</v>
      </c>
      <c r="M2995" t="s">
        <v>745</v>
      </c>
      <c r="N2995" s="784" t="s">
        <v>575</v>
      </c>
      <c r="O2995" t="s">
        <v>737</v>
      </c>
      <c r="P2995" t="s">
        <v>1887</v>
      </c>
      <c r="R2995" t="s">
        <v>150</v>
      </c>
      <c r="S2995" t="s">
        <v>145</v>
      </c>
      <c r="U2995">
        <v>0</v>
      </c>
      <c r="V2995" t="s">
        <v>544</v>
      </c>
      <c r="W2995" t="s">
        <v>562</v>
      </c>
      <c r="X2995" s="784">
        <v>69958487.197715744</v>
      </c>
    </row>
    <row r="2996" spans="1:24">
      <c r="A2996" t="s">
        <v>358</v>
      </c>
      <c r="B2996" t="s">
        <v>563</v>
      </c>
      <c r="C2996" t="s">
        <v>171</v>
      </c>
      <c r="D2996" t="s">
        <v>132</v>
      </c>
      <c r="E2996" t="s">
        <v>377</v>
      </c>
      <c r="F2996" t="s">
        <v>384</v>
      </c>
      <c r="G2996" t="s">
        <v>72</v>
      </c>
      <c r="H2996" t="s">
        <v>749</v>
      </c>
      <c r="I2996">
        <v>2021</v>
      </c>
      <c r="J2996" t="s">
        <v>379</v>
      </c>
      <c r="K2996" t="s">
        <v>546</v>
      </c>
      <c r="L2996" s="784">
        <v>0</v>
      </c>
      <c r="M2996" t="s">
        <v>745</v>
      </c>
      <c r="N2996" s="784" t="s">
        <v>575</v>
      </c>
      <c r="O2996" t="s">
        <v>737</v>
      </c>
      <c r="P2996" t="s">
        <v>1887</v>
      </c>
      <c r="R2996" t="s">
        <v>150</v>
      </c>
      <c r="S2996" t="s">
        <v>145</v>
      </c>
      <c r="U2996">
        <v>0</v>
      </c>
      <c r="V2996" t="s">
        <v>544</v>
      </c>
      <c r="W2996" t="s">
        <v>548</v>
      </c>
      <c r="X2996" s="784">
        <v>61654608.560629159</v>
      </c>
    </row>
    <row r="2997" spans="1:24">
      <c r="A2997" t="s">
        <v>358</v>
      </c>
      <c r="B2997" t="s">
        <v>564</v>
      </c>
      <c r="C2997" t="s">
        <v>172</v>
      </c>
      <c r="D2997" t="s">
        <v>130</v>
      </c>
      <c r="E2997" t="s">
        <v>377</v>
      </c>
      <c r="F2997" t="s">
        <v>384</v>
      </c>
      <c r="G2997" t="s">
        <v>72</v>
      </c>
      <c r="H2997" t="s">
        <v>749</v>
      </c>
      <c r="I2997">
        <v>2021</v>
      </c>
      <c r="J2997" t="s">
        <v>379</v>
      </c>
      <c r="K2997" t="s">
        <v>546</v>
      </c>
      <c r="L2997" s="784">
        <v>0</v>
      </c>
      <c r="M2997" t="s">
        <v>745</v>
      </c>
      <c r="N2997" s="784" t="s">
        <v>575</v>
      </c>
      <c r="O2997" t="s">
        <v>737</v>
      </c>
      <c r="P2997" t="s">
        <v>1887</v>
      </c>
      <c r="R2997" t="s">
        <v>150</v>
      </c>
      <c r="S2997" t="s">
        <v>145</v>
      </c>
      <c r="U2997">
        <v>0</v>
      </c>
      <c r="V2997" t="s">
        <v>544</v>
      </c>
      <c r="W2997" t="s">
        <v>546</v>
      </c>
      <c r="X2997" s="784">
        <v>1806638707.7615163</v>
      </c>
    </row>
    <row r="2998" spans="1:24">
      <c r="A2998" t="s">
        <v>358</v>
      </c>
      <c r="B2998" t="s">
        <v>565</v>
      </c>
      <c r="C2998" t="s">
        <v>174</v>
      </c>
      <c r="D2998" t="s">
        <v>127</v>
      </c>
      <c r="E2998" t="s">
        <v>377</v>
      </c>
      <c r="F2998" t="s">
        <v>384</v>
      </c>
      <c r="G2998" t="s">
        <v>72</v>
      </c>
      <c r="H2998" t="s">
        <v>749</v>
      </c>
      <c r="I2998">
        <v>2021</v>
      </c>
      <c r="J2998" t="s">
        <v>379</v>
      </c>
      <c r="K2998" t="s">
        <v>546</v>
      </c>
      <c r="L2998" s="784">
        <v>0</v>
      </c>
      <c r="M2998" t="s">
        <v>745</v>
      </c>
      <c r="N2998" s="784" t="s">
        <v>575</v>
      </c>
      <c r="O2998" t="s">
        <v>737</v>
      </c>
      <c r="P2998" t="s">
        <v>1887</v>
      </c>
      <c r="R2998" t="s">
        <v>152</v>
      </c>
      <c r="S2998" t="s">
        <v>146</v>
      </c>
      <c r="U2998">
        <v>0</v>
      </c>
      <c r="V2998" t="s">
        <v>544</v>
      </c>
      <c r="W2998" t="s">
        <v>546</v>
      </c>
      <c r="X2998" s="784">
        <v>1252696525.0627904</v>
      </c>
    </row>
    <row r="2999" spans="1:24">
      <c r="A2999" t="s">
        <v>358</v>
      </c>
      <c r="B2999" t="s">
        <v>566</v>
      </c>
      <c r="C2999" t="s">
        <v>175</v>
      </c>
      <c r="D2999" t="s">
        <v>128</v>
      </c>
      <c r="E2999" t="s">
        <v>377</v>
      </c>
      <c r="F2999" t="s">
        <v>384</v>
      </c>
      <c r="G2999" t="s">
        <v>72</v>
      </c>
      <c r="H2999" t="s">
        <v>749</v>
      </c>
      <c r="I2999">
        <v>2021</v>
      </c>
      <c r="J2999" t="s">
        <v>379</v>
      </c>
      <c r="K2999" t="s">
        <v>546</v>
      </c>
      <c r="L2999" s="784">
        <v>0</v>
      </c>
      <c r="M2999" t="s">
        <v>745</v>
      </c>
      <c r="N2999" s="784" t="s">
        <v>575</v>
      </c>
      <c r="O2999" t="s">
        <v>737</v>
      </c>
      <c r="P2999" t="s">
        <v>1887</v>
      </c>
      <c r="R2999" t="s">
        <v>152</v>
      </c>
      <c r="S2999" t="s">
        <v>146</v>
      </c>
      <c r="U2999">
        <v>0</v>
      </c>
      <c r="V2999" t="s">
        <v>544</v>
      </c>
      <c r="W2999" t="s">
        <v>575</v>
      </c>
      <c r="X2999" s="784">
        <v>843425084.07334602</v>
      </c>
    </row>
    <row r="3000" spans="1:24">
      <c r="A3000" t="s">
        <v>358</v>
      </c>
      <c r="B3000" t="s">
        <v>567</v>
      </c>
      <c r="C3000" t="s">
        <v>144</v>
      </c>
      <c r="D3000" t="s">
        <v>130</v>
      </c>
      <c r="E3000" t="s">
        <v>377</v>
      </c>
      <c r="F3000" t="s">
        <v>384</v>
      </c>
      <c r="G3000" t="s">
        <v>72</v>
      </c>
      <c r="H3000" t="s">
        <v>749</v>
      </c>
      <c r="I3000">
        <v>2021</v>
      </c>
      <c r="J3000" t="s">
        <v>379</v>
      </c>
      <c r="K3000" t="s">
        <v>546</v>
      </c>
      <c r="L3000" s="784">
        <v>0</v>
      </c>
      <c r="M3000" t="s">
        <v>745</v>
      </c>
      <c r="N3000" s="784" t="s">
        <v>575</v>
      </c>
      <c r="O3000" t="s">
        <v>737</v>
      </c>
      <c r="P3000" t="s">
        <v>1887</v>
      </c>
      <c r="R3000" t="s">
        <v>152</v>
      </c>
      <c r="S3000" t="s">
        <v>146</v>
      </c>
      <c r="U3000">
        <v>0</v>
      </c>
      <c r="V3000" t="s">
        <v>544</v>
      </c>
      <c r="W3000" t="s">
        <v>546</v>
      </c>
      <c r="X3000" s="784">
        <v>74055620038.853683</v>
      </c>
    </row>
    <row r="3001" spans="1:24">
      <c r="A3001" t="s">
        <v>358</v>
      </c>
      <c r="B3001" t="s">
        <v>568</v>
      </c>
      <c r="C3001" t="s">
        <v>176</v>
      </c>
      <c r="D3001" t="s">
        <v>127</v>
      </c>
      <c r="E3001" t="s">
        <v>377</v>
      </c>
      <c r="F3001" t="s">
        <v>384</v>
      </c>
      <c r="G3001" t="s">
        <v>72</v>
      </c>
      <c r="H3001" t="s">
        <v>749</v>
      </c>
      <c r="I3001">
        <v>2021</v>
      </c>
      <c r="J3001" t="s">
        <v>379</v>
      </c>
      <c r="K3001" t="s">
        <v>546</v>
      </c>
      <c r="L3001" s="784">
        <v>0</v>
      </c>
      <c r="M3001" t="s">
        <v>745</v>
      </c>
      <c r="N3001" s="784" t="s">
        <v>575</v>
      </c>
      <c r="O3001" t="s">
        <v>737</v>
      </c>
      <c r="P3001" t="s">
        <v>1887</v>
      </c>
      <c r="R3001" t="s">
        <v>152</v>
      </c>
      <c r="S3001" t="s">
        <v>146</v>
      </c>
      <c r="U3001">
        <v>0</v>
      </c>
      <c r="V3001" t="s">
        <v>544</v>
      </c>
      <c r="W3001" t="s">
        <v>575</v>
      </c>
      <c r="X3001" s="784">
        <v>2803357765.5888777</v>
      </c>
    </row>
    <row r="3002" spans="1:24">
      <c r="A3002" t="s">
        <v>358</v>
      </c>
      <c r="B3002" t="s">
        <v>569</v>
      </c>
      <c r="C3002" t="s">
        <v>177</v>
      </c>
      <c r="D3002" t="s">
        <v>129</v>
      </c>
      <c r="E3002" t="s">
        <v>377</v>
      </c>
      <c r="F3002" t="s">
        <v>384</v>
      </c>
      <c r="G3002" t="s">
        <v>72</v>
      </c>
      <c r="H3002" t="s">
        <v>749</v>
      </c>
      <c r="I3002">
        <v>2021</v>
      </c>
      <c r="J3002" t="s">
        <v>379</v>
      </c>
      <c r="K3002" t="s">
        <v>546</v>
      </c>
      <c r="L3002" s="784">
        <v>0</v>
      </c>
      <c r="M3002" t="s">
        <v>745</v>
      </c>
      <c r="N3002" s="784" t="s">
        <v>575</v>
      </c>
      <c r="O3002" t="s">
        <v>737</v>
      </c>
      <c r="P3002" t="s">
        <v>1887</v>
      </c>
      <c r="R3002" t="s">
        <v>148</v>
      </c>
      <c r="S3002" t="s">
        <v>145</v>
      </c>
      <c r="U3002">
        <v>2</v>
      </c>
      <c r="V3002" t="s">
        <v>544</v>
      </c>
      <c r="W3002" t="s">
        <v>562</v>
      </c>
      <c r="X3002" s="784">
        <v>337927779.25510043</v>
      </c>
    </row>
    <row r="3003" spans="1:24">
      <c r="A3003" t="s">
        <v>358</v>
      </c>
      <c r="B3003" t="s">
        <v>570</v>
      </c>
      <c r="C3003" t="s">
        <v>178</v>
      </c>
      <c r="D3003" t="s">
        <v>128</v>
      </c>
      <c r="E3003" t="s">
        <v>377</v>
      </c>
      <c r="F3003" t="s">
        <v>384</v>
      </c>
      <c r="G3003" t="s">
        <v>72</v>
      </c>
      <c r="H3003" t="s">
        <v>749</v>
      </c>
      <c r="I3003">
        <v>2021</v>
      </c>
      <c r="J3003" t="s">
        <v>379</v>
      </c>
      <c r="K3003" t="s">
        <v>546</v>
      </c>
      <c r="L3003" s="784">
        <v>0</v>
      </c>
      <c r="M3003" t="s">
        <v>745</v>
      </c>
      <c r="N3003" s="784" t="s">
        <v>575</v>
      </c>
      <c r="O3003" t="s">
        <v>737</v>
      </c>
      <c r="P3003" t="s">
        <v>1887</v>
      </c>
      <c r="R3003" t="s">
        <v>148</v>
      </c>
      <c r="S3003" t="s">
        <v>145</v>
      </c>
      <c r="U3003">
        <v>2</v>
      </c>
      <c r="V3003" t="s">
        <v>544</v>
      </c>
      <c r="W3003" t="s">
        <v>548</v>
      </c>
      <c r="X3003" s="784">
        <v>65979512.47399316</v>
      </c>
    </row>
    <row r="3004" spans="1:24">
      <c r="A3004" t="s">
        <v>358</v>
      </c>
      <c r="B3004" t="s">
        <v>571</v>
      </c>
      <c r="C3004" t="s">
        <v>179</v>
      </c>
      <c r="D3004" t="s">
        <v>129</v>
      </c>
      <c r="E3004" t="s">
        <v>377</v>
      </c>
      <c r="F3004" t="s">
        <v>384</v>
      </c>
      <c r="G3004" t="s">
        <v>72</v>
      </c>
      <c r="H3004" t="s">
        <v>749</v>
      </c>
      <c r="I3004">
        <v>2021</v>
      </c>
      <c r="J3004" t="s">
        <v>379</v>
      </c>
      <c r="K3004" t="s">
        <v>546</v>
      </c>
      <c r="L3004" s="784">
        <v>0</v>
      </c>
      <c r="M3004" t="s">
        <v>745</v>
      </c>
      <c r="N3004" s="784" t="s">
        <v>575</v>
      </c>
      <c r="O3004" t="s">
        <v>737</v>
      </c>
      <c r="P3004" t="s">
        <v>1887</v>
      </c>
      <c r="R3004" t="s">
        <v>150</v>
      </c>
      <c r="S3004" t="s">
        <v>145</v>
      </c>
      <c r="U3004">
        <v>0</v>
      </c>
      <c r="V3004" t="s">
        <v>541</v>
      </c>
      <c r="W3004" t="s">
        <v>542</v>
      </c>
      <c r="X3004" s="784">
        <v>63748362.778827004</v>
      </c>
    </row>
    <row r="3005" spans="1:24">
      <c r="A3005" t="s">
        <v>358</v>
      </c>
      <c r="B3005" t="s">
        <v>572</v>
      </c>
      <c r="C3005" t="s">
        <v>180</v>
      </c>
      <c r="D3005" t="s">
        <v>126</v>
      </c>
      <c r="E3005" t="s">
        <v>377</v>
      </c>
      <c r="F3005" t="s">
        <v>384</v>
      </c>
      <c r="G3005" t="s">
        <v>72</v>
      </c>
      <c r="H3005" t="s">
        <v>749</v>
      </c>
      <c r="I3005">
        <v>2021</v>
      </c>
      <c r="J3005" t="s">
        <v>379</v>
      </c>
      <c r="K3005" t="s">
        <v>546</v>
      </c>
      <c r="L3005" s="784">
        <v>0</v>
      </c>
      <c r="M3005" t="s">
        <v>745</v>
      </c>
      <c r="N3005" s="784" t="s">
        <v>575</v>
      </c>
      <c r="O3005" t="s">
        <v>737</v>
      </c>
      <c r="P3005" t="s">
        <v>1887</v>
      </c>
      <c r="R3005" t="s">
        <v>150</v>
      </c>
      <c r="S3005" t="s">
        <v>145</v>
      </c>
      <c r="U3005">
        <v>0</v>
      </c>
      <c r="V3005" t="s">
        <v>544</v>
      </c>
      <c r="W3005" t="s">
        <v>558</v>
      </c>
      <c r="X3005" s="784">
        <v>313039649.45369786</v>
      </c>
    </row>
    <row r="3006" spans="1:24">
      <c r="A3006" t="s">
        <v>358</v>
      </c>
      <c r="B3006" t="s">
        <v>573</v>
      </c>
      <c r="C3006" t="s">
        <v>181</v>
      </c>
      <c r="D3006" t="s">
        <v>129</v>
      </c>
      <c r="E3006" t="s">
        <v>377</v>
      </c>
      <c r="F3006" t="s">
        <v>384</v>
      </c>
      <c r="G3006" t="s">
        <v>72</v>
      </c>
      <c r="H3006" t="s">
        <v>749</v>
      </c>
      <c r="I3006">
        <v>2021</v>
      </c>
      <c r="J3006" t="s">
        <v>379</v>
      </c>
      <c r="K3006" t="s">
        <v>546</v>
      </c>
      <c r="L3006" s="784">
        <v>0</v>
      </c>
      <c r="M3006" t="s">
        <v>745</v>
      </c>
      <c r="N3006" s="784" t="s">
        <v>575</v>
      </c>
      <c r="O3006" t="s">
        <v>737</v>
      </c>
      <c r="P3006" t="s">
        <v>1887</v>
      </c>
      <c r="R3006" t="s">
        <v>150</v>
      </c>
      <c r="S3006" t="s">
        <v>145</v>
      </c>
      <c r="U3006">
        <v>2</v>
      </c>
      <c r="V3006" t="s">
        <v>544</v>
      </c>
      <c r="W3006" t="s">
        <v>542</v>
      </c>
      <c r="X3006" s="784">
        <v>81361801.477472037</v>
      </c>
    </row>
    <row r="3007" spans="1:24">
      <c r="A3007" t="s">
        <v>358</v>
      </c>
      <c r="B3007" t="s">
        <v>574</v>
      </c>
      <c r="C3007" t="s">
        <v>182</v>
      </c>
      <c r="D3007" t="s">
        <v>129</v>
      </c>
      <c r="E3007" t="s">
        <v>377</v>
      </c>
      <c r="F3007" t="s">
        <v>384</v>
      </c>
      <c r="G3007" t="s">
        <v>72</v>
      </c>
      <c r="H3007" t="s">
        <v>749</v>
      </c>
      <c r="I3007">
        <v>2021</v>
      </c>
      <c r="J3007" t="s">
        <v>379</v>
      </c>
      <c r="K3007" t="s">
        <v>546</v>
      </c>
      <c r="L3007" s="784">
        <v>0</v>
      </c>
      <c r="M3007" t="s">
        <v>745</v>
      </c>
      <c r="N3007" s="784" t="s">
        <v>575</v>
      </c>
      <c r="O3007" t="s">
        <v>737</v>
      </c>
      <c r="P3007" t="s">
        <v>1887</v>
      </c>
      <c r="R3007" t="s">
        <v>148</v>
      </c>
      <c r="S3007" t="s">
        <v>145</v>
      </c>
      <c r="U3007">
        <v>1</v>
      </c>
      <c r="V3007" t="s">
        <v>544</v>
      </c>
      <c r="W3007" t="s">
        <v>542</v>
      </c>
      <c r="X3007" s="784" t="s">
        <v>575</v>
      </c>
    </row>
    <row r="3008" spans="1:24">
      <c r="A3008" t="s">
        <v>358</v>
      </c>
      <c r="B3008" t="s">
        <v>576</v>
      </c>
      <c r="C3008" t="s">
        <v>183</v>
      </c>
      <c r="D3008" t="s">
        <v>129</v>
      </c>
      <c r="E3008" t="s">
        <v>377</v>
      </c>
      <c r="F3008" t="s">
        <v>384</v>
      </c>
      <c r="G3008" t="s">
        <v>72</v>
      </c>
      <c r="H3008" t="s">
        <v>749</v>
      </c>
      <c r="I3008">
        <v>2021</v>
      </c>
      <c r="J3008" t="s">
        <v>379</v>
      </c>
      <c r="K3008" t="s">
        <v>546</v>
      </c>
      <c r="L3008" s="784">
        <v>0</v>
      </c>
      <c r="M3008" t="s">
        <v>745</v>
      </c>
      <c r="N3008" s="784" t="s">
        <v>575</v>
      </c>
      <c r="O3008" t="s">
        <v>737</v>
      </c>
      <c r="P3008" t="s">
        <v>1887</v>
      </c>
      <c r="R3008" t="s">
        <v>148</v>
      </c>
      <c r="S3008" t="s">
        <v>145</v>
      </c>
      <c r="U3008">
        <v>1</v>
      </c>
      <c r="V3008" t="s">
        <v>544</v>
      </c>
      <c r="W3008" t="s">
        <v>542</v>
      </c>
      <c r="X3008" s="784">
        <v>76939306.715636879</v>
      </c>
    </row>
    <row r="3009" spans="1:24">
      <c r="A3009" t="s">
        <v>358</v>
      </c>
      <c r="B3009" t="s">
        <v>577</v>
      </c>
      <c r="C3009" t="s">
        <v>184</v>
      </c>
      <c r="D3009" t="s">
        <v>130</v>
      </c>
      <c r="E3009" t="s">
        <v>377</v>
      </c>
      <c r="F3009" t="s">
        <v>384</v>
      </c>
      <c r="G3009" t="s">
        <v>72</v>
      </c>
      <c r="H3009" t="s">
        <v>749</v>
      </c>
      <c r="I3009">
        <v>2021</v>
      </c>
      <c r="J3009" t="s">
        <v>379</v>
      </c>
      <c r="K3009" t="s">
        <v>546</v>
      </c>
      <c r="L3009" s="784">
        <v>0</v>
      </c>
      <c r="M3009" t="s">
        <v>745</v>
      </c>
      <c r="N3009" s="784" t="s">
        <v>575</v>
      </c>
      <c r="O3009" t="s">
        <v>737</v>
      </c>
      <c r="P3009" t="s">
        <v>1887</v>
      </c>
      <c r="R3009" t="s">
        <v>550</v>
      </c>
      <c r="S3009" t="s">
        <v>146</v>
      </c>
      <c r="U3009">
        <v>0</v>
      </c>
      <c r="V3009" t="s">
        <v>544</v>
      </c>
      <c r="W3009" t="s">
        <v>575</v>
      </c>
      <c r="X3009" s="784">
        <v>13859708717.682571</v>
      </c>
    </row>
    <row r="3010" spans="1:24">
      <c r="A3010" t="s">
        <v>358</v>
      </c>
      <c r="B3010" t="s">
        <v>578</v>
      </c>
      <c r="C3010" t="s">
        <v>185</v>
      </c>
      <c r="D3010" t="s">
        <v>126</v>
      </c>
      <c r="E3010" t="s">
        <v>377</v>
      </c>
      <c r="F3010" t="s">
        <v>384</v>
      </c>
      <c r="G3010" t="s">
        <v>72</v>
      </c>
      <c r="H3010" t="s">
        <v>749</v>
      </c>
      <c r="I3010">
        <v>2021</v>
      </c>
      <c r="J3010" t="s">
        <v>379</v>
      </c>
      <c r="K3010" t="s">
        <v>546</v>
      </c>
      <c r="L3010" s="784">
        <v>0</v>
      </c>
      <c r="M3010" t="s">
        <v>745</v>
      </c>
      <c r="N3010" s="784" t="s">
        <v>575</v>
      </c>
      <c r="O3010" t="s">
        <v>737</v>
      </c>
      <c r="P3010" t="s">
        <v>1887</v>
      </c>
      <c r="R3010" t="s">
        <v>152</v>
      </c>
      <c r="S3010" t="s">
        <v>146</v>
      </c>
      <c r="U3010">
        <v>0</v>
      </c>
      <c r="V3010" t="s">
        <v>544</v>
      </c>
      <c r="W3010" t="s">
        <v>575</v>
      </c>
      <c r="X3010" s="784">
        <v>403567160707.7016</v>
      </c>
    </row>
    <row r="3011" spans="1:24">
      <c r="A3011" t="s">
        <v>358</v>
      </c>
      <c r="B3011" t="s">
        <v>579</v>
      </c>
      <c r="C3011" t="s">
        <v>186</v>
      </c>
      <c r="D3011" t="s">
        <v>130</v>
      </c>
      <c r="E3011" t="s">
        <v>377</v>
      </c>
      <c r="F3011" t="s">
        <v>384</v>
      </c>
      <c r="G3011" t="s">
        <v>72</v>
      </c>
      <c r="H3011" t="s">
        <v>749</v>
      </c>
      <c r="I3011">
        <v>2021</v>
      </c>
      <c r="J3011" t="s">
        <v>379</v>
      </c>
      <c r="K3011" t="s">
        <v>546</v>
      </c>
      <c r="L3011" s="784">
        <v>0</v>
      </c>
      <c r="M3011" t="s">
        <v>745</v>
      </c>
      <c r="N3011" s="784" t="s">
        <v>575</v>
      </c>
      <c r="O3011" t="s">
        <v>737</v>
      </c>
      <c r="P3011" t="s">
        <v>1887</v>
      </c>
      <c r="R3011" t="s">
        <v>152</v>
      </c>
      <c r="S3011" t="s">
        <v>146</v>
      </c>
      <c r="U3011">
        <v>0</v>
      </c>
      <c r="V3011" t="s">
        <v>544</v>
      </c>
      <c r="W3011" t="s">
        <v>575</v>
      </c>
      <c r="X3011" s="784">
        <v>18250225995.972618</v>
      </c>
    </row>
    <row r="3012" spans="1:24">
      <c r="A3012" t="s">
        <v>358</v>
      </c>
      <c r="B3012" t="s">
        <v>580</v>
      </c>
      <c r="C3012" t="s">
        <v>187</v>
      </c>
      <c r="D3012" t="s">
        <v>128</v>
      </c>
      <c r="E3012" t="s">
        <v>377</v>
      </c>
      <c r="F3012" t="s">
        <v>384</v>
      </c>
      <c r="G3012" t="s">
        <v>72</v>
      </c>
      <c r="H3012" t="s">
        <v>749</v>
      </c>
      <c r="I3012">
        <v>2021</v>
      </c>
      <c r="J3012" t="s">
        <v>379</v>
      </c>
      <c r="K3012" t="s">
        <v>546</v>
      </c>
      <c r="L3012" s="784">
        <v>0</v>
      </c>
      <c r="M3012" t="s">
        <v>745</v>
      </c>
      <c r="N3012" s="784" t="s">
        <v>575</v>
      </c>
      <c r="O3012" t="s">
        <v>737</v>
      </c>
      <c r="P3012" t="s">
        <v>1887</v>
      </c>
      <c r="R3012" t="s">
        <v>150</v>
      </c>
      <c r="S3012" t="s">
        <v>145</v>
      </c>
      <c r="U3012">
        <v>0</v>
      </c>
      <c r="V3012" t="s">
        <v>541</v>
      </c>
      <c r="W3012" t="s">
        <v>562</v>
      </c>
      <c r="X3012" s="784">
        <v>5027591.1682657599</v>
      </c>
    </row>
    <row r="3013" spans="1:24">
      <c r="A3013" t="s">
        <v>358</v>
      </c>
      <c r="B3013" t="s">
        <v>581</v>
      </c>
      <c r="C3013" t="s">
        <v>188</v>
      </c>
      <c r="D3013" t="s">
        <v>129</v>
      </c>
      <c r="E3013" t="s">
        <v>377</v>
      </c>
      <c r="F3013" t="s">
        <v>384</v>
      </c>
      <c r="G3013" t="s">
        <v>72</v>
      </c>
      <c r="H3013" t="s">
        <v>749</v>
      </c>
      <c r="I3013">
        <v>2021</v>
      </c>
      <c r="J3013" t="s">
        <v>379</v>
      </c>
      <c r="K3013" t="s">
        <v>546</v>
      </c>
      <c r="L3013" s="784">
        <v>0</v>
      </c>
      <c r="M3013" t="s">
        <v>745</v>
      </c>
      <c r="N3013" s="784" t="s">
        <v>575</v>
      </c>
      <c r="O3013" t="s">
        <v>737</v>
      </c>
      <c r="P3013" t="s">
        <v>1887</v>
      </c>
      <c r="R3013" t="s">
        <v>148</v>
      </c>
      <c r="S3013" t="s">
        <v>145</v>
      </c>
      <c r="U3013">
        <v>3</v>
      </c>
      <c r="V3013" t="s">
        <v>544</v>
      </c>
      <c r="W3013" t="s">
        <v>562</v>
      </c>
      <c r="X3013" s="784">
        <v>234645958.63289919</v>
      </c>
    </row>
    <row r="3014" spans="1:24">
      <c r="A3014" t="s">
        <v>358</v>
      </c>
      <c r="B3014" t="s">
        <v>582</v>
      </c>
      <c r="C3014" t="s">
        <v>189</v>
      </c>
      <c r="D3014" t="s">
        <v>129</v>
      </c>
      <c r="E3014" t="s">
        <v>377</v>
      </c>
      <c r="F3014" t="s">
        <v>384</v>
      </c>
      <c r="G3014" t="s">
        <v>72</v>
      </c>
      <c r="H3014" t="s">
        <v>749</v>
      </c>
      <c r="I3014">
        <v>2021</v>
      </c>
      <c r="J3014" t="s">
        <v>379</v>
      </c>
      <c r="K3014" t="s">
        <v>546</v>
      </c>
      <c r="L3014" s="784">
        <v>0</v>
      </c>
      <c r="M3014" t="s">
        <v>745</v>
      </c>
      <c r="N3014" s="784" t="s">
        <v>575</v>
      </c>
      <c r="O3014" t="s">
        <v>737</v>
      </c>
      <c r="P3014" t="s">
        <v>1887</v>
      </c>
      <c r="R3014" t="s">
        <v>150</v>
      </c>
      <c r="S3014" t="s">
        <v>145</v>
      </c>
      <c r="U3014">
        <v>2</v>
      </c>
      <c r="V3014" t="s">
        <v>544</v>
      </c>
      <c r="W3014" t="s">
        <v>583</v>
      </c>
      <c r="X3014" s="784">
        <v>91590910.247314155</v>
      </c>
    </row>
    <row r="3015" spans="1:24">
      <c r="A3015" t="s">
        <v>358</v>
      </c>
      <c r="B3015" t="s">
        <v>584</v>
      </c>
      <c r="C3015" t="s">
        <v>190</v>
      </c>
      <c r="D3015" t="s">
        <v>126</v>
      </c>
      <c r="E3015" t="s">
        <v>377</v>
      </c>
      <c r="F3015" t="s">
        <v>384</v>
      </c>
      <c r="G3015" t="s">
        <v>72</v>
      </c>
      <c r="H3015" t="s">
        <v>749</v>
      </c>
      <c r="I3015">
        <v>2021</v>
      </c>
      <c r="J3015" t="s">
        <v>379</v>
      </c>
      <c r="K3015" t="s">
        <v>546</v>
      </c>
      <c r="L3015" s="784">
        <v>0</v>
      </c>
      <c r="M3015" t="s">
        <v>745</v>
      </c>
      <c r="N3015" s="784" t="s">
        <v>575</v>
      </c>
      <c r="O3015" t="s">
        <v>737</v>
      </c>
      <c r="P3015" t="s">
        <v>1887</v>
      </c>
      <c r="R3015" t="s">
        <v>322</v>
      </c>
      <c r="S3015" t="s">
        <v>146</v>
      </c>
      <c r="U3015">
        <v>0</v>
      </c>
      <c r="V3015" t="s">
        <v>541</v>
      </c>
      <c r="W3015" t="s">
        <v>546</v>
      </c>
      <c r="X3015" s="784">
        <v>8560012.8840167802</v>
      </c>
    </row>
    <row r="3016" spans="1:24">
      <c r="A3016" t="s">
        <v>358</v>
      </c>
      <c r="B3016" t="s">
        <v>585</v>
      </c>
      <c r="C3016" t="s">
        <v>191</v>
      </c>
      <c r="D3016" t="s">
        <v>130</v>
      </c>
      <c r="E3016" t="s">
        <v>377</v>
      </c>
      <c r="F3016" t="s">
        <v>384</v>
      </c>
      <c r="G3016" t="s">
        <v>72</v>
      </c>
      <c r="H3016" t="s">
        <v>749</v>
      </c>
      <c r="I3016">
        <v>2021</v>
      </c>
      <c r="J3016" t="s">
        <v>379</v>
      </c>
      <c r="K3016" t="s">
        <v>546</v>
      </c>
      <c r="L3016" s="784">
        <v>0</v>
      </c>
      <c r="M3016" t="s">
        <v>745</v>
      </c>
      <c r="N3016" s="784" t="s">
        <v>575</v>
      </c>
      <c r="O3016" t="s">
        <v>737</v>
      </c>
      <c r="P3016" t="s">
        <v>1887</v>
      </c>
      <c r="R3016" t="s">
        <v>152</v>
      </c>
      <c r="S3016" t="s">
        <v>146</v>
      </c>
      <c r="U3016">
        <v>0</v>
      </c>
      <c r="V3016" t="s">
        <v>544</v>
      </c>
      <c r="W3016" t="s">
        <v>546</v>
      </c>
      <c r="X3016" s="784">
        <v>3292372960.3962669</v>
      </c>
    </row>
    <row r="3017" spans="1:24">
      <c r="A3017" t="s">
        <v>358</v>
      </c>
      <c r="B3017" t="s">
        <v>586</v>
      </c>
      <c r="C3017" t="s">
        <v>192</v>
      </c>
      <c r="D3017" t="s">
        <v>129</v>
      </c>
      <c r="E3017" t="s">
        <v>377</v>
      </c>
      <c r="F3017" t="s">
        <v>384</v>
      </c>
      <c r="G3017" t="s">
        <v>72</v>
      </c>
      <c r="H3017" t="s">
        <v>749</v>
      </c>
      <c r="I3017">
        <v>2021</v>
      </c>
      <c r="J3017" t="s">
        <v>379</v>
      </c>
      <c r="K3017" t="s">
        <v>546</v>
      </c>
      <c r="L3017" s="784">
        <v>0</v>
      </c>
      <c r="M3017" t="s">
        <v>745</v>
      </c>
      <c r="N3017" s="784" t="s">
        <v>575</v>
      </c>
      <c r="O3017" t="s">
        <v>737</v>
      </c>
      <c r="P3017" t="s">
        <v>1887</v>
      </c>
      <c r="R3017" t="s">
        <v>150</v>
      </c>
      <c r="S3017" t="s">
        <v>145</v>
      </c>
      <c r="U3017">
        <v>0</v>
      </c>
      <c r="V3017" t="s">
        <v>544</v>
      </c>
      <c r="W3017" t="s">
        <v>562</v>
      </c>
      <c r="X3017" s="784">
        <v>519209981.22981054</v>
      </c>
    </row>
    <row r="3018" spans="1:24">
      <c r="A3018" t="s">
        <v>358</v>
      </c>
      <c r="B3018" t="s">
        <v>587</v>
      </c>
      <c r="C3018" t="s">
        <v>193</v>
      </c>
      <c r="D3018" t="s">
        <v>127</v>
      </c>
      <c r="E3018" t="s">
        <v>377</v>
      </c>
      <c r="F3018" t="s">
        <v>384</v>
      </c>
      <c r="G3018" t="s">
        <v>72</v>
      </c>
      <c r="H3018" t="s">
        <v>749</v>
      </c>
      <c r="I3018">
        <v>2021</v>
      </c>
      <c r="J3018" t="s">
        <v>379</v>
      </c>
      <c r="K3018" t="s">
        <v>546</v>
      </c>
      <c r="L3018" s="784">
        <v>0</v>
      </c>
      <c r="M3018" t="s">
        <v>745</v>
      </c>
      <c r="N3018" s="784" t="s">
        <v>575</v>
      </c>
      <c r="O3018" t="s">
        <v>737</v>
      </c>
      <c r="P3018" t="s">
        <v>1887</v>
      </c>
      <c r="R3018" t="s">
        <v>550</v>
      </c>
      <c r="S3018" t="s">
        <v>146</v>
      </c>
      <c r="U3018">
        <v>0</v>
      </c>
      <c r="V3018" t="s">
        <v>544</v>
      </c>
      <c r="W3018" t="s">
        <v>575</v>
      </c>
      <c r="X3018" s="784">
        <v>3464739907.1604805</v>
      </c>
    </row>
    <row r="3019" spans="1:24">
      <c r="A3019" t="s">
        <v>358</v>
      </c>
      <c r="B3019" t="s">
        <v>588</v>
      </c>
      <c r="C3019" t="s">
        <v>147</v>
      </c>
      <c r="D3019" t="s">
        <v>130</v>
      </c>
      <c r="E3019" t="s">
        <v>377</v>
      </c>
      <c r="F3019" t="s">
        <v>384</v>
      </c>
      <c r="G3019" t="s">
        <v>72</v>
      </c>
      <c r="H3019" t="s">
        <v>749</v>
      </c>
      <c r="I3019">
        <v>2021</v>
      </c>
      <c r="J3019" t="s">
        <v>379</v>
      </c>
      <c r="K3019" t="s">
        <v>546</v>
      </c>
      <c r="L3019" s="784">
        <v>0</v>
      </c>
      <c r="M3019" t="s">
        <v>745</v>
      </c>
      <c r="N3019" s="784" t="s">
        <v>575</v>
      </c>
      <c r="O3019" t="s">
        <v>737</v>
      </c>
      <c r="P3019" t="s">
        <v>1887</v>
      </c>
      <c r="R3019" t="s">
        <v>152</v>
      </c>
      <c r="S3019" t="s">
        <v>146</v>
      </c>
      <c r="U3019">
        <v>0</v>
      </c>
      <c r="V3019" t="s">
        <v>541</v>
      </c>
      <c r="W3019" t="s">
        <v>575</v>
      </c>
      <c r="X3019" s="784">
        <v>9948521252.2569065</v>
      </c>
    </row>
    <row r="3020" spans="1:24">
      <c r="A3020" t="s">
        <v>358</v>
      </c>
      <c r="B3020" t="s">
        <v>589</v>
      </c>
      <c r="C3020" t="s">
        <v>194</v>
      </c>
      <c r="D3020" t="s">
        <v>131</v>
      </c>
      <c r="E3020" t="s">
        <v>377</v>
      </c>
      <c r="F3020" t="s">
        <v>384</v>
      </c>
      <c r="G3020" t="s">
        <v>72</v>
      </c>
      <c r="H3020" t="s">
        <v>749</v>
      </c>
      <c r="I3020">
        <v>2021</v>
      </c>
      <c r="J3020" t="s">
        <v>379</v>
      </c>
      <c r="K3020" t="s">
        <v>546</v>
      </c>
      <c r="L3020" s="784">
        <v>0</v>
      </c>
      <c r="M3020" t="s">
        <v>745</v>
      </c>
      <c r="N3020" s="784" t="s">
        <v>575</v>
      </c>
      <c r="O3020" t="s">
        <v>737</v>
      </c>
      <c r="P3020" t="s">
        <v>1887</v>
      </c>
      <c r="R3020" t="s">
        <v>150</v>
      </c>
      <c r="S3020" t="s">
        <v>145</v>
      </c>
      <c r="U3020">
        <v>1</v>
      </c>
      <c r="V3020" t="s">
        <v>544</v>
      </c>
      <c r="W3020" t="s">
        <v>542</v>
      </c>
      <c r="X3020" s="784">
        <v>33679192.765657313</v>
      </c>
    </row>
    <row r="3021" spans="1:24">
      <c r="A3021" t="s">
        <v>358</v>
      </c>
      <c r="B3021" t="s">
        <v>590</v>
      </c>
      <c r="C3021" t="s">
        <v>195</v>
      </c>
      <c r="D3021" t="s">
        <v>130</v>
      </c>
      <c r="E3021" t="s">
        <v>377</v>
      </c>
      <c r="F3021" t="s">
        <v>384</v>
      </c>
      <c r="G3021" t="s">
        <v>72</v>
      </c>
      <c r="H3021" t="s">
        <v>749</v>
      </c>
      <c r="I3021">
        <v>2021</v>
      </c>
      <c r="J3021" t="s">
        <v>379</v>
      </c>
      <c r="K3021" t="s">
        <v>546</v>
      </c>
      <c r="L3021" s="784">
        <v>0</v>
      </c>
      <c r="M3021" t="s">
        <v>745</v>
      </c>
      <c r="N3021" s="784" t="s">
        <v>575</v>
      </c>
      <c r="O3021" t="s">
        <v>737</v>
      </c>
      <c r="P3021" t="s">
        <v>1887</v>
      </c>
      <c r="R3021" t="s">
        <v>152</v>
      </c>
      <c r="S3021" t="s">
        <v>145</v>
      </c>
      <c r="U3021">
        <v>0</v>
      </c>
      <c r="V3021" t="s">
        <v>541</v>
      </c>
      <c r="W3021" t="s">
        <v>548</v>
      </c>
      <c r="X3021" s="784">
        <v>22784494.365742501</v>
      </c>
    </row>
    <row r="3022" spans="1:24">
      <c r="A3022" t="s">
        <v>358</v>
      </c>
      <c r="B3022" t="s">
        <v>591</v>
      </c>
      <c r="C3022" t="s">
        <v>196</v>
      </c>
      <c r="D3022" t="s">
        <v>130</v>
      </c>
      <c r="E3022" t="s">
        <v>377</v>
      </c>
      <c r="F3022" t="s">
        <v>384</v>
      </c>
      <c r="G3022" t="s">
        <v>72</v>
      </c>
      <c r="H3022" t="s">
        <v>749</v>
      </c>
      <c r="I3022">
        <v>2021</v>
      </c>
      <c r="J3022" t="s">
        <v>379</v>
      </c>
      <c r="K3022" t="s">
        <v>546</v>
      </c>
      <c r="L3022" s="784">
        <v>0</v>
      </c>
      <c r="M3022" t="s">
        <v>745</v>
      </c>
      <c r="N3022" s="784" t="s">
        <v>575</v>
      </c>
      <c r="O3022" t="s">
        <v>737</v>
      </c>
      <c r="P3022" t="s">
        <v>1887</v>
      </c>
      <c r="R3022" t="s">
        <v>152</v>
      </c>
      <c r="S3022" t="s">
        <v>146</v>
      </c>
      <c r="U3022">
        <v>0</v>
      </c>
      <c r="V3022" t="s">
        <v>541</v>
      </c>
      <c r="W3022" t="s">
        <v>575</v>
      </c>
      <c r="X3022" s="784">
        <v>2173208011.4858823</v>
      </c>
    </row>
    <row r="3023" spans="1:24">
      <c r="A3023" t="s">
        <v>358</v>
      </c>
      <c r="B3023" t="s">
        <v>592</v>
      </c>
      <c r="C3023" t="s">
        <v>197</v>
      </c>
      <c r="D3023" t="s">
        <v>130</v>
      </c>
      <c r="E3023" t="s">
        <v>377</v>
      </c>
      <c r="F3023" t="s">
        <v>384</v>
      </c>
      <c r="G3023" t="s">
        <v>72</v>
      </c>
      <c r="H3023" t="s">
        <v>749</v>
      </c>
      <c r="I3023">
        <v>2021</v>
      </c>
      <c r="J3023" t="s">
        <v>379</v>
      </c>
      <c r="K3023" t="s">
        <v>546</v>
      </c>
      <c r="L3023" s="784">
        <v>0</v>
      </c>
      <c r="M3023" t="s">
        <v>745</v>
      </c>
      <c r="N3023" s="784" t="s">
        <v>575</v>
      </c>
      <c r="O3023" t="s">
        <v>737</v>
      </c>
      <c r="P3023" t="s">
        <v>1887</v>
      </c>
      <c r="R3023" t="s">
        <v>152</v>
      </c>
      <c r="S3023" t="s">
        <v>146</v>
      </c>
      <c r="U3023">
        <v>0</v>
      </c>
      <c r="V3023" t="s">
        <v>544</v>
      </c>
      <c r="W3023" t="s">
        <v>546</v>
      </c>
      <c r="X3023" s="784">
        <v>4585736158.8323269</v>
      </c>
    </row>
    <row r="3024" spans="1:24">
      <c r="A3024" t="s">
        <v>358</v>
      </c>
      <c r="B3024" t="s">
        <v>593</v>
      </c>
      <c r="C3024" t="s">
        <v>198</v>
      </c>
      <c r="D3024" t="s">
        <v>131</v>
      </c>
      <c r="E3024" t="s">
        <v>377</v>
      </c>
      <c r="F3024" t="s">
        <v>384</v>
      </c>
      <c r="G3024" t="s">
        <v>72</v>
      </c>
      <c r="H3024" t="s">
        <v>749</v>
      </c>
      <c r="I3024">
        <v>2021</v>
      </c>
      <c r="J3024" t="s">
        <v>379</v>
      </c>
      <c r="K3024" t="s">
        <v>546</v>
      </c>
      <c r="L3024" s="784">
        <v>0</v>
      </c>
      <c r="M3024" t="s">
        <v>745</v>
      </c>
      <c r="N3024" s="784" t="s">
        <v>575</v>
      </c>
      <c r="O3024" t="s">
        <v>737</v>
      </c>
      <c r="P3024" t="s">
        <v>1887</v>
      </c>
      <c r="R3024" t="s">
        <v>150</v>
      </c>
      <c r="S3024" t="s">
        <v>145</v>
      </c>
      <c r="U3024">
        <v>0</v>
      </c>
      <c r="V3024" t="s">
        <v>544</v>
      </c>
      <c r="W3024" t="s">
        <v>546</v>
      </c>
      <c r="X3024" s="784">
        <v>3550291584.8645592</v>
      </c>
    </row>
    <row r="3025" spans="1:24">
      <c r="A3025" t="s">
        <v>358</v>
      </c>
      <c r="B3025" t="s">
        <v>594</v>
      </c>
      <c r="C3025" t="s">
        <v>199</v>
      </c>
      <c r="D3025" t="s">
        <v>130</v>
      </c>
      <c r="E3025" t="s">
        <v>377</v>
      </c>
      <c r="F3025" t="s">
        <v>384</v>
      </c>
      <c r="G3025" t="s">
        <v>72</v>
      </c>
      <c r="H3025" t="s">
        <v>749</v>
      </c>
      <c r="I3025">
        <v>2021</v>
      </c>
      <c r="J3025" t="s">
        <v>379</v>
      </c>
      <c r="K3025" t="s">
        <v>546</v>
      </c>
      <c r="L3025" s="784">
        <v>0</v>
      </c>
      <c r="M3025" t="s">
        <v>745</v>
      </c>
      <c r="N3025" s="784" t="s">
        <v>575</v>
      </c>
      <c r="O3025" t="s">
        <v>737</v>
      </c>
      <c r="P3025" t="s">
        <v>1887</v>
      </c>
      <c r="R3025" t="s">
        <v>150</v>
      </c>
      <c r="S3025" t="s">
        <v>145</v>
      </c>
      <c r="U3025">
        <v>0</v>
      </c>
      <c r="V3025" t="s">
        <v>544</v>
      </c>
      <c r="W3025" t="s">
        <v>546</v>
      </c>
      <c r="X3025" s="784">
        <v>1182840319.0410969</v>
      </c>
    </row>
    <row r="3026" spans="1:24">
      <c r="A3026" t="s">
        <v>358</v>
      </c>
      <c r="B3026" t="s">
        <v>595</v>
      </c>
      <c r="C3026" t="s">
        <v>200</v>
      </c>
      <c r="D3026" t="s">
        <v>130</v>
      </c>
      <c r="E3026" t="s">
        <v>377</v>
      </c>
      <c r="F3026" t="s">
        <v>384</v>
      </c>
      <c r="G3026" t="s">
        <v>72</v>
      </c>
      <c r="H3026" t="s">
        <v>749</v>
      </c>
      <c r="I3026">
        <v>2021</v>
      </c>
      <c r="J3026" t="s">
        <v>379</v>
      </c>
      <c r="K3026" t="s">
        <v>546</v>
      </c>
      <c r="L3026" s="784">
        <v>0</v>
      </c>
      <c r="M3026" t="s">
        <v>745</v>
      </c>
      <c r="N3026" s="784" t="s">
        <v>575</v>
      </c>
      <c r="O3026" t="s">
        <v>737</v>
      </c>
      <c r="P3026" t="s">
        <v>1887</v>
      </c>
      <c r="R3026" t="s">
        <v>152</v>
      </c>
      <c r="S3026" t="s">
        <v>146</v>
      </c>
      <c r="U3026">
        <v>0</v>
      </c>
      <c r="V3026" t="s">
        <v>544</v>
      </c>
      <c r="W3026" t="s">
        <v>575</v>
      </c>
      <c r="X3026" s="784">
        <v>81728347.604567245</v>
      </c>
    </row>
    <row r="3027" spans="1:24">
      <c r="A3027" t="s">
        <v>358</v>
      </c>
      <c r="B3027" t="s">
        <v>596</v>
      </c>
      <c r="C3027" t="s">
        <v>201</v>
      </c>
      <c r="D3027" t="s">
        <v>128</v>
      </c>
      <c r="E3027" t="s">
        <v>377</v>
      </c>
      <c r="F3027" t="s">
        <v>384</v>
      </c>
      <c r="G3027" t="s">
        <v>72</v>
      </c>
      <c r="H3027" t="s">
        <v>749</v>
      </c>
      <c r="I3027">
        <v>2021</v>
      </c>
      <c r="J3027" t="s">
        <v>379</v>
      </c>
      <c r="K3027" t="s">
        <v>546</v>
      </c>
      <c r="L3027" s="784">
        <v>0</v>
      </c>
      <c r="M3027" t="s">
        <v>745</v>
      </c>
      <c r="N3027" s="784" t="s">
        <v>575</v>
      </c>
      <c r="O3027" t="s">
        <v>737</v>
      </c>
      <c r="P3027" t="s">
        <v>1887</v>
      </c>
      <c r="R3027" t="s">
        <v>148</v>
      </c>
      <c r="S3027" t="s">
        <v>145</v>
      </c>
      <c r="U3027">
        <v>2</v>
      </c>
      <c r="V3027" t="s">
        <v>544</v>
      </c>
      <c r="W3027" t="s">
        <v>546</v>
      </c>
      <c r="X3027" s="784">
        <v>12787914.977715338</v>
      </c>
    </row>
    <row r="3028" spans="1:24">
      <c r="A3028" t="s">
        <v>358</v>
      </c>
      <c r="B3028" t="s">
        <v>597</v>
      </c>
      <c r="C3028" t="s">
        <v>202</v>
      </c>
      <c r="D3028" t="s">
        <v>128</v>
      </c>
      <c r="E3028" t="s">
        <v>377</v>
      </c>
      <c r="F3028" t="s">
        <v>384</v>
      </c>
      <c r="G3028" t="s">
        <v>72</v>
      </c>
      <c r="H3028" t="s">
        <v>749</v>
      </c>
      <c r="I3028">
        <v>2021</v>
      </c>
      <c r="J3028" t="s">
        <v>379</v>
      </c>
      <c r="K3028" t="s">
        <v>546</v>
      </c>
      <c r="L3028" s="784">
        <v>0</v>
      </c>
      <c r="M3028" t="s">
        <v>745</v>
      </c>
      <c r="N3028" s="784" t="s">
        <v>575</v>
      </c>
      <c r="O3028" t="s">
        <v>737</v>
      </c>
      <c r="P3028" t="s">
        <v>1887</v>
      </c>
      <c r="R3028" t="s">
        <v>150</v>
      </c>
      <c r="S3028" t="s">
        <v>145</v>
      </c>
      <c r="U3028">
        <v>2</v>
      </c>
      <c r="V3028" t="s">
        <v>544</v>
      </c>
      <c r="W3028" t="s">
        <v>546</v>
      </c>
      <c r="X3028" s="784">
        <v>101271737.65410839</v>
      </c>
    </row>
    <row r="3029" spans="1:24">
      <c r="A3029" t="s">
        <v>358</v>
      </c>
      <c r="B3029" t="s">
        <v>598</v>
      </c>
      <c r="C3029" t="s">
        <v>203</v>
      </c>
      <c r="D3029" t="s">
        <v>128</v>
      </c>
      <c r="E3029" t="s">
        <v>377</v>
      </c>
      <c r="F3029" t="s">
        <v>384</v>
      </c>
      <c r="G3029" t="s">
        <v>72</v>
      </c>
      <c r="H3029" t="s">
        <v>749</v>
      </c>
      <c r="I3029">
        <v>2021</v>
      </c>
      <c r="J3029" t="s">
        <v>379</v>
      </c>
      <c r="K3029" t="s">
        <v>546</v>
      </c>
      <c r="L3029" s="784">
        <v>0</v>
      </c>
      <c r="M3029" t="s">
        <v>745</v>
      </c>
      <c r="N3029" s="784" t="s">
        <v>575</v>
      </c>
      <c r="O3029" t="s">
        <v>737</v>
      </c>
      <c r="P3029" t="s">
        <v>1887</v>
      </c>
      <c r="R3029" t="s">
        <v>148</v>
      </c>
      <c r="S3029" t="s">
        <v>145</v>
      </c>
      <c r="U3029">
        <v>3</v>
      </c>
      <c r="V3029" t="s">
        <v>544</v>
      </c>
      <c r="W3029" t="s">
        <v>542</v>
      </c>
      <c r="X3029" s="784">
        <v>618344226.71759331</v>
      </c>
    </row>
    <row r="3030" spans="1:24">
      <c r="A3030" t="s">
        <v>358</v>
      </c>
      <c r="B3030" t="s">
        <v>599</v>
      </c>
      <c r="C3030" t="s">
        <v>204</v>
      </c>
      <c r="D3030" t="s">
        <v>126</v>
      </c>
      <c r="E3030" t="s">
        <v>377</v>
      </c>
      <c r="F3030" t="s">
        <v>384</v>
      </c>
      <c r="G3030" t="s">
        <v>72</v>
      </c>
      <c r="H3030" t="s">
        <v>749</v>
      </c>
      <c r="I3030">
        <v>2021</v>
      </c>
      <c r="J3030" t="s">
        <v>379</v>
      </c>
      <c r="K3030" t="s">
        <v>546</v>
      </c>
      <c r="L3030" s="784">
        <v>0</v>
      </c>
      <c r="M3030" t="s">
        <v>745</v>
      </c>
      <c r="N3030" s="784" t="s">
        <v>575</v>
      </c>
      <c r="O3030" t="s">
        <v>737</v>
      </c>
      <c r="P3030" t="s">
        <v>1887</v>
      </c>
      <c r="R3030" t="s">
        <v>152</v>
      </c>
      <c r="S3030" t="s">
        <v>145</v>
      </c>
      <c r="U3030">
        <v>0</v>
      </c>
      <c r="V3030" t="s">
        <v>541</v>
      </c>
      <c r="W3030" t="s">
        <v>548</v>
      </c>
      <c r="X3030" s="784">
        <v>129483872.95906857</v>
      </c>
    </row>
    <row r="3031" spans="1:24">
      <c r="A3031" t="s">
        <v>358</v>
      </c>
      <c r="B3031" t="s">
        <v>600</v>
      </c>
      <c r="C3031" t="s">
        <v>205</v>
      </c>
      <c r="D3031" t="s">
        <v>129</v>
      </c>
      <c r="E3031" t="s">
        <v>377</v>
      </c>
      <c r="F3031" t="s">
        <v>384</v>
      </c>
      <c r="G3031" t="s">
        <v>72</v>
      </c>
      <c r="H3031" t="s">
        <v>749</v>
      </c>
      <c r="I3031">
        <v>2021</v>
      </c>
      <c r="J3031" t="s">
        <v>379</v>
      </c>
      <c r="K3031" t="s">
        <v>546</v>
      </c>
      <c r="L3031" s="784">
        <v>0</v>
      </c>
      <c r="M3031" t="s">
        <v>745</v>
      </c>
      <c r="N3031" s="784" t="s">
        <v>575</v>
      </c>
      <c r="O3031" t="s">
        <v>737</v>
      </c>
      <c r="P3031" t="s">
        <v>1887</v>
      </c>
      <c r="R3031" t="s">
        <v>152</v>
      </c>
      <c r="S3031" t="s">
        <v>146</v>
      </c>
      <c r="U3031">
        <v>0</v>
      </c>
      <c r="V3031" t="s">
        <v>544</v>
      </c>
      <c r="W3031" t="s">
        <v>546</v>
      </c>
      <c r="X3031" s="784">
        <v>271184658.35014349</v>
      </c>
    </row>
    <row r="3032" spans="1:24">
      <c r="A3032" t="s">
        <v>358</v>
      </c>
      <c r="B3032" t="s">
        <v>601</v>
      </c>
      <c r="C3032" t="s">
        <v>206</v>
      </c>
      <c r="D3032" t="s">
        <v>129</v>
      </c>
      <c r="E3032" t="s">
        <v>377</v>
      </c>
      <c r="F3032" t="s">
        <v>384</v>
      </c>
      <c r="G3032" t="s">
        <v>72</v>
      </c>
      <c r="H3032" t="s">
        <v>749</v>
      </c>
      <c r="I3032">
        <v>2021</v>
      </c>
      <c r="J3032" t="s">
        <v>379</v>
      </c>
      <c r="K3032" t="s">
        <v>546</v>
      </c>
      <c r="L3032" s="784">
        <v>0</v>
      </c>
      <c r="M3032" t="s">
        <v>745</v>
      </c>
      <c r="N3032" s="784" t="s">
        <v>575</v>
      </c>
      <c r="O3032" t="s">
        <v>737</v>
      </c>
      <c r="P3032" t="s">
        <v>1887</v>
      </c>
      <c r="R3032" t="s">
        <v>148</v>
      </c>
      <c r="S3032" t="s">
        <v>145</v>
      </c>
      <c r="U3032">
        <v>0</v>
      </c>
      <c r="V3032" t="s">
        <v>544</v>
      </c>
      <c r="W3032" t="s">
        <v>542</v>
      </c>
      <c r="X3032" s="784">
        <v>15455265.086884515</v>
      </c>
    </row>
    <row r="3033" spans="1:24">
      <c r="A3033" t="s">
        <v>358</v>
      </c>
      <c r="B3033" t="s">
        <v>602</v>
      </c>
      <c r="C3033" t="s">
        <v>207</v>
      </c>
      <c r="D3033" t="s">
        <v>127</v>
      </c>
      <c r="E3033" t="s">
        <v>377</v>
      </c>
      <c r="F3033" t="s">
        <v>384</v>
      </c>
      <c r="G3033" t="s">
        <v>72</v>
      </c>
      <c r="H3033" t="s">
        <v>749</v>
      </c>
      <c r="I3033">
        <v>2021</v>
      </c>
      <c r="J3033" t="s">
        <v>379</v>
      </c>
      <c r="K3033" t="s">
        <v>546</v>
      </c>
      <c r="L3033" s="784">
        <v>0</v>
      </c>
      <c r="M3033" t="s">
        <v>745</v>
      </c>
      <c r="N3033" s="784" t="s">
        <v>575</v>
      </c>
      <c r="O3033" t="s">
        <v>737</v>
      </c>
      <c r="P3033" t="s">
        <v>1887</v>
      </c>
      <c r="R3033" t="s">
        <v>152</v>
      </c>
      <c r="S3033" t="s">
        <v>146</v>
      </c>
      <c r="U3033">
        <v>0</v>
      </c>
      <c r="V3033" t="s">
        <v>544</v>
      </c>
      <c r="W3033" t="s">
        <v>546</v>
      </c>
      <c r="X3033" s="784">
        <v>494021502.525527</v>
      </c>
    </row>
    <row r="3034" spans="1:24">
      <c r="A3034" t="s">
        <v>358</v>
      </c>
      <c r="B3034" t="s">
        <v>603</v>
      </c>
      <c r="C3034" t="s">
        <v>208</v>
      </c>
      <c r="D3034" t="s">
        <v>129</v>
      </c>
      <c r="E3034" t="s">
        <v>377</v>
      </c>
      <c r="F3034" t="s">
        <v>384</v>
      </c>
      <c r="G3034" t="s">
        <v>72</v>
      </c>
      <c r="H3034" t="s">
        <v>749</v>
      </c>
      <c r="I3034">
        <v>2021</v>
      </c>
      <c r="J3034" t="s">
        <v>379</v>
      </c>
      <c r="K3034" t="s">
        <v>546</v>
      </c>
      <c r="L3034" s="784">
        <v>0</v>
      </c>
      <c r="M3034" t="s">
        <v>745</v>
      </c>
      <c r="N3034" s="784" t="s">
        <v>575</v>
      </c>
      <c r="O3034" t="s">
        <v>737</v>
      </c>
      <c r="P3034" t="s">
        <v>1887</v>
      </c>
      <c r="R3034" t="s">
        <v>150</v>
      </c>
      <c r="S3034" t="s">
        <v>145</v>
      </c>
      <c r="U3034">
        <v>0</v>
      </c>
      <c r="V3034" t="s">
        <v>544</v>
      </c>
      <c r="W3034" t="s">
        <v>542</v>
      </c>
      <c r="X3034" s="784">
        <v>902005621.73836684</v>
      </c>
    </row>
    <row r="3035" spans="1:24">
      <c r="A3035" t="s">
        <v>358</v>
      </c>
      <c r="B3035" t="s">
        <v>604</v>
      </c>
      <c r="C3035" t="s">
        <v>209</v>
      </c>
      <c r="D3035" t="s">
        <v>130</v>
      </c>
      <c r="E3035" t="s">
        <v>377</v>
      </c>
      <c r="F3035" t="s">
        <v>384</v>
      </c>
      <c r="G3035" t="s">
        <v>72</v>
      </c>
      <c r="H3035" t="s">
        <v>749</v>
      </c>
      <c r="I3035">
        <v>2021</v>
      </c>
      <c r="J3035" t="s">
        <v>379</v>
      </c>
      <c r="K3035" t="s">
        <v>546</v>
      </c>
      <c r="L3035" s="784">
        <v>0</v>
      </c>
      <c r="M3035" t="s">
        <v>745</v>
      </c>
      <c r="N3035" s="784" t="s">
        <v>575</v>
      </c>
      <c r="O3035" t="s">
        <v>737</v>
      </c>
      <c r="P3035" t="s">
        <v>1887</v>
      </c>
      <c r="R3035" t="s">
        <v>152</v>
      </c>
      <c r="S3035" t="s">
        <v>145</v>
      </c>
      <c r="U3035">
        <v>0</v>
      </c>
      <c r="V3035" t="s">
        <v>541</v>
      </c>
      <c r="W3035" t="s">
        <v>583</v>
      </c>
      <c r="X3035" s="784">
        <v>20201670.142996579</v>
      </c>
    </row>
    <row r="3036" spans="1:24">
      <c r="A3036" t="s">
        <v>358</v>
      </c>
      <c r="B3036" t="s">
        <v>605</v>
      </c>
      <c r="C3036" t="s">
        <v>210</v>
      </c>
      <c r="D3036" t="s">
        <v>130</v>
      </c>
      <c r="E3036" t="s">
        <v>377</v>
      </c>
      <c r="F3036" t="s">
        <v>384</v>
      </c>
      <c r="G3036" t="s">
        <v>72</v>
      </c>
      <c r="H3036" t="s">
        <v>749</v>
      </c>
      <c r="I3036">
        <v>2021</v>
      </c>
      <c r="J3036" t="s">
        <v>379</v>
      </c>
      <c r="K3036" t="s">
        <v>546</v>
      </c>
      <c r="L3036" s="784">
        <v>0</v>
      </c>
      <c r="M3036" t="s">
        <v>745</v>
      </c>
      <c r="N3036" s="784" t="s">
        <v>575</v>
      </c>
      <c r="O3036" t="s">
        <v>737</v>
      </c>
      <c r="P3036" t="s">
        <v>1887</v>
      </c>
      <c r="R3036" t="s">
        <v>152</v>
      </c>
      <c r="S3036" t="s">
        <v>146</v>
      </c>
      <c r="U3036">
        <v>0</v>
      </c>
      <c r="V3036" t="s">
        <v>544</v>
      </c>
      <c r="W3036" t="s">
        <v>575</v>
      </c>
      <c r="X3036" s="784">
        <v>1612434649.6948864</v>
      </c>
    </row>
    <row r="3037" spans="1:24">
      <c r="A3037" t="s">
        <v>358</v>
      </c>
      <c r="B3037" t="s">
        <v>606</v>
      </c>
      <c r="C3037" t="s">
        <v>211</v>
      </c>
      <c r="D3037" t="s">
        <v>129</v>
      </c>
      <c r="E3037" t="s">
        <v>377</v>
      </c>
      <c r="F3037" t="s">
        <v>384</v>
      </c>
      <c r="G3037" t="s">
        <v>72</v>
      </c>
      <c r="H3037" t="s">
        <v>749</v>
      </c>
      <c r="I3037">
        <v>2021</v>
      </c>
      <c r="J3037" t="s">
        <v>379</v>
      </c>
      <c r="K3037" t="s">
        <v>546</v>
      </c>
      <c r="L3037" s="784">
        <v>0</v>
      </c>
      <c r="M3037" t="s">
        <v>745</v>
      </c>
      <c r="N3037" s="784" t="s">
        <v>575</v>
      </c>
      <c r="O3037" t="s">
        <v>737</v>
      </c>
      <c r="P3037" t="s">
        <v>1887</v>
      </c>
      <c r="R3037" t="s">
        <v>148</v>
      </c>
      <c r="S3037" t="s">
        <v>145</v>
      </c>
      <c r="U3037">
        <v>0</v>
      </c>
      <c r="V3037" t="s">
        <v>544</v>
      </c>
      <c r="W3037" t="s">
        <v>562</v>
      </c>
      <c r="X3037" s="784">
        <v>78203134.118229344</v>
      </c>
    </row>
    <row r="3038" spans="1:24">
      <c r="A3038" t="s">
        <v>358</v>
      </c>
      <c r="B3038" t="s">
        <v>607</v>
      </c>
      <c r="C3038" t="s">
        <v>212</v>
      </c>
      <c r="D3038" t="s">
        <v>129</v>
      </c>
      <c r="E3038" t="s">
        <v>377</v>
      </c>
      <c r="F3038" t="s">
        <v>384</v>
      </c>
      <c r="G3038" t="s">
        <v>72</v>
      </c>
      <c r="H3038" t="s">
        <v>749</v>
      </c>
      <c r="I3038">
        <v>2021</v>
      </c>
      <c r="J3038" t="s">
        <v>379</v>
      </c>
      <c r="K3038" t="s">
        <v>546</v>
      </c>
      <c r="L3038" s="784">
        <v>0</v>
      </c>
      <c r="M3038" t="s">
        <v>745</v>
      </c>
      <c r="N3038" s="784" t="s">
        <v>575</v>
      </c>
      <c r="O3038" t="s">
        <v>737</v>
      </c>
      <c r="P3038" t="s">
        <v>1887</v>
      </c>
      <c r="R3038" t="s">
        <v>148</v>
      </c>
      <c r="S3038" t="s">
        <v>145</v>
      </c>
      <c r="U3038">
        <v>2</v>
      </c>
      <c r="V3038" t="s">
        <v>541</v>
      </c>
      <c r="W3038" t="s">
        <v>542</v>
      </c>
      <c r="X3038" s="784">
        <v>9151637.7411015611</v>
      </c>
    </row>
    <row r="3039" spans="1:24">
      <c r="A3039" t="s">
        <v>358</v>
      </c>
      <c r="B3039" t="s">
        <v>608</v>
      </c>
      <c r="C3039" t="s">
        <v>213</v>
      </c>
      <c r="D3039" t="s">
        <v>130</v>
      </c>
      <c r="E3039" t="s">
        <v>377</v>
      </c>
      <c r="F3039" t="s">
        <v>384</v>
      </c>
      <c r="G3039" t="s">
        <v>72</v>
      </c>
      <c r="H3039" t="s">
        <v>749</v>
      </c>
      <c r="I3039">
        <v>2021</v>
      </c>
      <c r="J3039" t="s">
        <v>379</v>
      </c>
      <c r="K3039" t="s">
        <v>546</v>
      </c>
      <c r="L3039" s="784">
        <v>0</v>
      </c>
      <c r="M3039" t="s">
        <v>745</v>
      </c>
      <c r="N3039" s="784" t="s">
        <v>575</v>
      </c>
      <c r="O3039" t="s">
        <v>737</v>
      </c>
      <c r="P3039" t="s">
        <v>1887</v>
      </c>
      <c r="R3039" t="s">
        <v>152</v>
      </c>
      <c r="S3039" t="s">
        <v>145</v>
      </c>
      <c r="U3039">
        <v>0</v>
      </c>
      <c r="V3039" t="s">
        <v>541</v>
      </c>
      <c r="W3039" t="s">
        <v>562</v>
      </c>
      <c r="X3039" s="784">
        <v>142455920.02856269</v>
      </c>
    </row>
    <row r="3040" spans="1:24">
      <c r="A3040" t="s">
        <v>358</v>
      </c>
      <c r="B3040" t="s">
        <v>609</v>
      </c>
      <c r="C3040" t="s">
        <v>214</v>
      </c>
      <c r="D3040" t="s">
        <v>130</v>
      </c>
      <c r="E3040" t="s">
        <v>377</v>
      </c>
      <c r="F3040" t="s">
        <v>384</v>
      </c>
      <c r="G3040" t="s">
        <v>72</v>
      </c>
      <c r="H3040" t="s">
        <v>749</v>
      </c>
      <c r="I3040">
        <v>2021</v>
      </c>
      <c r="J3040" t="s">
        <v>379</v>
      </c>
      <c r="K3040" t="s">
        <v>546</v>
      </c>
      <c r="L3040" s="784">
        <v>0</v>
      </c>
      <c r="M3040" t="s">
        <v>745</v>
      </c>
      <c r="N3040" s="784" t="s">
        <v>575</v>
      </c>
      <c r="O3040" t="s">
        <v>737</v>
      </c>
      <c r="P3040" t="s">
        <v>1887</v>
      </c>
      <c r="R3040" t="s">
        <v>150</v>
      </c>
      <c r="S3040" t="s">
        <v>145</v>
      </c>
      <c r="U3040">
        <v>1</v>
      </c>
      <c r="V3040" t="s">
        <v>541</v>
      </c>
      <c r="W3040" t="s">
        <v>542</v>
      </c>
      <c r="X3040" s="784">
        <v>85611818.171245083</v>
      </c>
    </row>
    <row r="3041" spans="1:24">
      <c r="A3041" t="s">
        <v>358</v>
      </c>
      <c r="B3041" t="s">
        <v>610</v>
      </c>
      <c r="C3041" t="s">
        <v>215</v>
      </c>
      <c r="D3041" t="s">
        <v>130</v>
      </c>
      <c r="E3041" t="s">
        <v>377</v>
      </c>
      <c r="F3041" t="s">
        <v>384</v>
      </c>
      <c r="G3041" t="s">
        <v>72</v>
      </c>
      <c r="H3041" t="s">
        <v>749</v>
      </c>
      <c r="I3041">
        <v>2021</v>
      </c>
      <c r="J3041" t="s">
        <v>379</v>
      </c>
      <c r="K3041" t="s">
        <v>546</v>
      </c>
      <c r="L3041" s="784">
        <v>0</v>
      </c>
      <c r="M3041" t="s">
        <v>745</v>
      </c>
      <c r="N3041" s="784" t="s">
        <v>575</v>
      </c>
      <c r="O3041" t="s">
        <v>737</v>
      </c>
      <c r="P3041" t="s">
        <v>1887</v>
      </c>
      <c r="R3041" t="s">
        <v>150</v>
      </c>
      <c r="S3041" t="s">
        <v>145</v>
      </c>
      <c r="U3041">
        <v>0</v>
      </c>
      <c r="V3041" t="s">
        <v>544</v>
      </c>
      <c r="W3041" t="s">
        <v>558</v>
      </c>
      <c r="X3041" s="784">
        <v>680289736.30082119</v>
      </c>
    </row>
    <row r="3042" spans="1:24">
      <c r="A3042" t="s">
        <v>358</v>
      </c>
      <c r="B3042" t="s">
        <v>611</v>
      </c>
      <c r="C3042" t="s">
        <v>216</v>
      </c>
      <c r="D3042" t="s">
        <v>132</v>
      </c>
      <c r="E3042" t="s">
        <v>377</v>
      </c>
      <c r="F3042" t="s">
        <v>384</v>
      </c>
      <c r="G3042" t="s">
        <v>72</v>
      </c>
      <c r="H3042" t="s">
        <v>749</v>
      </c>
      <c r="I3042">
        <v>2021</v>
      </c>
      <c r="J3042" t="s">
        <v>379</v>
      </c>
      <c r="K3042" t="s">
        <v>546</v>
      </c>
      <c r="L3042" s="784">
        <v>0</v>
      </c>
      <c r="M3042" t="s">
        <v>745</v>
      </c>
      <c r="N3042" s="784" t="s">
        <v>575</v>
      </c>
      <c r="O3042" t="s">
        <v>737</v>
      </c>
      <c r="P3042" t="s">
        <v>1887</v>
      </c>
      <c r="R3042" t="s">
        <v>150</v>
      </c>
      <c r="S3042" t="s">
        <v>145</v>
      </c>
      <c r="U3042">
        <v>0</v>
      </c>
      <c r="V3042" t="s">
        <v>544</v>
      </c>
      <c r="W3042" t="s">
        <v>546</v>
      </c>
      <c r="X3042" s="784">
        <v>26554332750.47023</v>
      </c>
    </row>
    <row r="3043" spans="1:24">
      <c r="A3043" t="s">
        <v>358</v>
      </c>
      <c r="B3043" t="s">
        <v>612</v>
      </c>
      <c r="C3043" t="s">
        <v>217</v>
      </c>
      <c r="D3043" t="s">
        <v>126</v>
      </c>
      <c r="E3043" t="s">
        <v>377</v>
      </c>
      <c r="F3043" t="s">
        <v>384</v>
      </c>
      <c r="G3043" t="s">
        <v>72</v>
      </c>
      <c r="H3043" t="s">
        <v>749</v>
      </c>
      <c r="I3043">
        <v>2021</v>
      </c>
      <c r="J3043" t="s">
        <v>379</v>
      </c>
      <c r="K3043" t="s">
        <v>546</v>
      </c>
      <c r="L3043" s="784">
        <v>0</v>
      </c>
      <c r="M3043" t="s">
        <v>745</v>
      </c>
      <c r="N3043" s="784" t="s">
        <v>575</v>
      </c>
      <c r="O3043" t="s">
        <v>737</v>
      </c>
      <c r="P3043" t="s">
        <v>1887</v>
      </c>
      <c r="R3043" t="s">
        <v>150</v>
      </c>
      <c r="S3043" t="s">
        <v>145</v>
      </c>
      <c r="U3043">
        <v>0</v>
      </c>
      <c r="V3043" t="s">
        <v>544</v>
      </c>
      <c r="W3043" t="s">
        <v>546</v>
      </c>
      <c r="X3043" s="784">
        <v>14745961064.890842</v>
      </c>
    </row>
    <row r="3044" spans="1:24">
      <c r="A3044" t="s">
        <v>358</v>
      </c>
      <c r="B3044" t="s">
        <v>613</v>
      </c>
      <c r="C3044" t="s">
        <v>149</v>
      </c>
      <c r="D3044" t="s">
        <v>131</v>
      </c>
      <c r="E3044" t="s">
        <v>377</v>
      </c>
      <c r="F3044" t="s">
        <v>384</v>
      </c>
      <c r="G3044" t="s">
        <v>72</v>
      </c>
      <c r="H3044" t="s">
        <v>749</v>
      </c>
      <c r="I3044">
        <v>2021</v>
      </c>
      <c r="J3044" t="s">
        <v>379</v>
      </c>
      <c r="K3044" t="s">
        <v>546</v>
      </c>
      <c r="L3044" s="784">
        <v>0</v>
      </c>
      <c r="M3044" t="s">
        <v>745</v>
      </c>
      <c r="N3044" s="784" t="s">
        <v>575</v>
      </c>
      <c r="O3044" t="s">
        <v>737</v>
      </c>
      <c r="P3044" t="s">
        <v>1887</v>
      </c>
      <c r="R3044" t="s">
        <v>150</v>
      </c>
      <c r="S3044" t="s">
        <v>146</v>
      </c>
      <c r="U3044">
        <v>0</v>
      </c>
      <c r="V3044" t="s">
        <v>544</v>
      </c>
      <c r="W3044" t="s">
        <v>546</v>
      </c>
      <c r="X3044" s="784">
        <v>18194076299.786381</v>
      </c>
    </row>
    <row r="3045" spans="1:24">
      <c r="A3045" t="s">
        <v>358</v>
      </c>
      <c r="B3045" t="s">
        <v>614</v>
      </c>
      <c r="C3045" t="s">
        <v>218</v>
      </c>
      <c r="D3045" t="s">
        <v>131</v>
      </c>
      <c r="E3045" t="s">
        <v>377</v>
      </c>
      <c r="F3045" t="s">
        <v>384</v>
      </c>
      <c r="G3045" t="s">
        <v>72</v>
      </c>
      <c r="H3045" t="s">
        <v>749</v>
      </c>
      <c r="I3045">
        <v>2021</v>
      </c>
      <c r="J3045" t="s">
        <v>379</v>
      </c>
      <c r="K3045" t="s">
        <v>546</v>
      </c>
      <c r="L3045" s="784">
        <v>0</v>
      </c>
      <c r="M3045" t="s">
        <v>745</v>
      </c>
      <c r="N3045" s="784" t="s">
        <v>575</v>
      </c>
      <c r="O3045" t="s">
        <v>737</v>
      </c>
      <c r="P3045" t="s">
        <v>1887</v>
      </c>
      <c r="R3045" t="s">
        <v>152</v>
      </c>
      <c r="S3045" t="s">
        <v>146</v>
      </c>
      <c r="U3045">
        <v>0</v>
      </c>
      <c r="V3045" t="s">
        <v>544</v>
      </c>
      <c r="W3045" t="s">
        <v>546</v>
      </c>
      <c r="X3045" s="784">
        <v>4428819387.769825</v>
      </c>
    </row>
    <row r="3046" spans="1:24">
      <c r="A3046" t="s">
        <v>358</v>
      </c>
      <c r="B3046" t="s">
        <v>615</v>
      </c>
      <c r="C3046" t="s">
        <v>219</v>
      </c>
      <c r="D3046" t="s">
        <v>130</v>
      </c>
      <c r="E3046" t="s">
        <v>377</v>
      </c>
      <c r="F3046" t="s">
        <v>384</v>
      </c>
      <c r="G3046" t="s">
        <v>72</v>
      </c>
      <c r="H3046" t="s">
        <v>749</v>
      </c>
      <c r="I3046">
        <v>2021</v>
      </c>
      <c r="J3046" t="s">
        <v>379</v>
      </c>
      <c r="K3046" t="s">
        <v>546</v>
      </c>
      <c r="L3046" s="784">
        <v>0</v>
      </c>
      <c r="M3046" t="s">
        <v>745</v>
      </c>
      <c r="N3046" s="784" t="s">
        <v>575</v>
      </c>
      <c r="O3046" t="s">
        <v>737</v>
      </c>
      <c r="P3046" t="s">
        <v>1887</v>
      </c>
      <c r="R3046" t="s">
        <v>152</v>
      </c>
      <c r="S3046" t="s">
        <v>146</v>
      </c>
      <c r="U3046">
        <v>0</v>
      </c>
      <c r="V3046" t="s">
        <v>541</v>
      </c>
      <c r="W3046" t="s">
        <v>575</v>
      </c>
      <c r="X3046" s="784">
        <v>611739560.62679195</v>
      </c>
    </row>
    <row r="3047" spans="1:24">
      <c r="A3047" t="s">
        <v>358</v>
      </c>
      <c r="B3047" t="s">
        <v>616</v>
      </c>
      <c r="C3047" t="s">
        <v>220</v>
      </c>
      <c r="D3047" t="s">
        <v>131</v>
      </c>
      <c r="E3047" t="s">
        <v>377</v>
      </c>
      <c r="F3047" t="s">
        <v>384</v>
      </c>
      <c r="G3047" t="s">
        <v>72</v>
      </c>
      <c r="H3047" t="s">
        <v>749</v>
      </c>
      <c r="I3047">
        <v>2021</v>
      </c>
      <c r="J3047" t="s">
        <v>379</v>
      </c>
      <c r="K3047" t="s">
        <v>546</v>
      </c>
      <c r="L3047" s="784">
        <v>0</v>
      </c>
      <c r="M3047" t="s">
        <v>745</v>
      </c>
      <c r="N3047" s="784" t="s">
        <v>575</v>
      </c>
      <c r="O3047" t="s">
        <v>737</v>
      </c>
      <c r="P3047" t="s">
        <v>1887</v>
      </c>
      <c r="R3047" t="s">
        <v>152</v>
      </c>
      <c r="S3047" t="s">
        <v>146</v>
      </c>
      <c r="U3047">
        <v>0</v>
      </c>
      <c r="V3047" t="s">
        <v>544</v>
      </c>
      <c r="W3047" t="s">
        <v>546</v>
      </c>
      <c r="X3047" s="784">
        <v>1617913383.0481031</v>
      </c>
    </row>
    <row r="3048" spans="1:24">
      <c r="A3048" t="s">
        <v>358</v>
      </c>
      <c r="B3048" t="s">
        <v>617</v>
      </c>
      <c r="C3048" t="s">
        <v>221</v>
      </c>
      <c r="D3048" t="s">
        <v>127</v>
      </c>
      <c r="E3048" t="s">
        <v>377</v>
      </c>
      <c r="F3048" t="s">
        <v>384</v>
      </c>
      <c r="G3048" t="s">
        <v>72</v>
      </c>
      <c r="H3048" t="s">
        <v>749</v>
      </c>
      <c r="I3048">
        <v>2021</v>
      </c>
      <c r="J3048" t="s">
        <v>379</v>
      </c>
      <c r="K3048" t="s">
        <v>546</v>
      </c>
      <c r="L3048" s="784">
        <v>0</v>
      </c>
      <c r="M3048" t="s">
        <v>745</v>
      </c>
      <c r="N3048" s="784" t="s">
        <v>575</v>
      </c>
      <c r="O3048" t="s">
        <v>737</v>
      </c>
      <c r="P3048" t="s">
        <v>1887</v>
      </c>
      <c r="R3048" t="s">
        <v>152</v>
      </c>
      <c r="S3048" t="s">
        <v>146</v>
      </c>
      <c r="U3048">
        <v>0</v>
      </c>
      <c r="V3048" t="s">
        <v>544</v>
      </c>
      <c r="W3048" t="s">
        <v>575</v>
      </c>
      <c r="X3048" s="784">
        <v>3074419112.4562683</v>
      </c>
    </row>
    <row r="3049" spans="1:24">
      <c r="A3049" t="s">
        <v>358</v>
      </c>
      <c r="B3049" t="s">
        <v>618</v>
      </c>
      <c r="C3049" t="s">
        <v>222</v>
      </c>
      <c r="D3049" t="s">
        <v>128</v>
      </c>
      <c r="E3049" t="s">
        <v>377</v>
      </c>
      <c r="F3049" t="s">
        <v>384</v>
      </c>
      <c r="G3049" t="s">
        <v>72</v>
      </c>
      <c r="H3049" t="s">
        <v>749</v>
      </c>
      <c r="I3049">
        <v>2021</v>
      </c>
      <c r="J3049" t="s">
        <v>379</v>
      </c>
      <c r="K3049" t="s">
        <v>546</v>
      </c>
      <c r="L3049" s="784">
        <v>0</v>
      </c>
      <c r="M3049" t="s">
        <v>745</v>
      </c>
      <c r="N3049" s="784" t="s">
        <v>575</v>
      </c>
      <c r="O3049" t="s">
        <v>737</v>
      </c>
      <c r="P3049" t="s">
        <v>1887</v>
      </c>
      <c r="R3049" t="s">
        <v>150</v>
      </c>
      <c r="S3049" t="s">
        <v>145</v>
      </c>
      <c r="U3049">
        <v>0</v>
      </c>
      <c r="V3049" t="s">
        <v>544</v>
      </c>
      <c r="W3049" t="s">
        <v>542</v>
      </c>
      <c r="X3049" s="784">
        <v>1914014279.8929913</v>
      </c>
    </row>
    <row r="3050" spans="1:24">
      <c r="A3050" t="s">
        <v>358</v>
      </c>
      <c r="B3050" t="s">
        <v>619</v>
      </c>
      <c r="C3050" t="s">
        <v>223</v>
      </c>
      <c r="D3050" t="s">
        <v>126</v>
      </c>
      <c r="E3050" t="s">
        <v>377</v>
      </c>
      <c r="F3050" t="s">
        <v>384</v>
      </c>
      <c r="G3050" t="s">
        <v>72</v>
      </c>
      <c r="H3050" t="s">
        <v>749</v>
      </c>
      <c r="I3050">
        <v>2021</v>
      </c>
      <c r="J3050" t="s">
        <v>379</v>
      </c>
      <c r="K3050" t="s">
        <v>546</v>
      </c>
      <c r="L3050" s="784">
        <v>0</v>
      </c>
      <c r="M3050" t="s">
        <v>745</v>
      </c>
      <c r="N3050" s="784" t="s">
        <v>575</v>
      </c>
      <c r="O3050" t="s">
        <v>737</v>
      </c>
      <c r="P3050" t="s">
        <v>1887</v>
      </c>
      <c r="R3050" t="s">
        <v>150</v>
      </c>
      <c r="S3050" t="s">
        <v>145</v>
      </c>
      <c r="U3050">
        <v>0</v>
      </c>
      <c r="V3050" t="s">
        <v>541</v>
      </c>
      <c r="W3050" t="s">
        <v>542</v>
      </c>
      <c r="X3050" s="784">
        <v>17422005.762907442</v>
      </c>
    </row>
    <row r="3051" spans="1:24">
      <c r="A3051" t="s">
        <v>358</v>
      </c>
      <c r="B3051" t="s">
        <v>620</v>
      </c>
      <c r="C3051" t="s">
        <v>224</v>
      </c>
      <c r="D3051" t="s">
        <v>126</v>
      </c>
      <c r="E3051" t="s">
        <v>377</v>
      </c>
      <c r="F3051" t="s">
        <v>384</v>
      </c>
      <c r="G3051" t="s">
        <v>72</v>
      </c>
      <c r="H3051" t="s">
        <v>749</v>
      </c>
      <c r="I3051">
        <v>2021</v>
      </c>
      <c r="J3051" t="s">
        <v>379</v>
      </c>
      <c r="K3051" t="s">
        <v>546</v>
      </c>
      <c r="L3051" s="784">
        <v>0</v>
      </c>
      <c r="M3051" t="s">
        <v>745</v>
      </c>
      <c r="N3051" s="784" t="s">
        <v>575</v>
      </c>
      <c r="O3051" t="s">
        <v>737</v>
      </c>
      <c r="P3051" t="s">
        <v>1887</v>
      </c>
      <c r="R3051" t="s">
        <v>148</v>
      </c>
      <c r="S3051" t="s">
        <v>145</v>
      </c>
      <c r="U3051">
        <v>0</v>
      </c>
      <c r="V3051" t="s">
        <v>544</v>
      </c>
      <c r="W3051" t="s">
        <v>546</v>
      </c>
      <c r="X3051" s="784" t="s">
        <v>575</v>
      </c>
    </row>
    <row r="3052" spans="1:24">
      <c r="A3052" t="s">
        <v>358</v>
      </c>
      <c r="B3052" t="s">
        <v>621</v>
      </c>
      <c r="C3052" t="s">
        <v>225</v>
      </c>
      <c r="D3052" t="s">
        <v>127</v>
      </c>
      <c r="E3052" t="s">
        <v>377</v>
      </c>
      <c r="F3052" t="s">
        <v>384</v>
      </c>
      <c r="G3052" t="s">
        <v>72</v>
      </c>
      <c r="H3052" t="s">
        <v>749</v>
      </c>
      <c r="I3052">
        <v>2021</v>
      </c>
      <c r="J3052" t="s">
        <v>379</v>
      </c>
      <c r="K3052" t="s">
        <v>546</v>
      </c>
      <c r="L3052" s="784">
        <v>0</v>
      </c>
      <c r="M3052" t="s">
        <v>745</v>
      </c>
      <c r="N3052" s="784" t="s">
        <v>575</v>
      </c>
      <c r="O3052" t="s">
        <v>737</v>
      </c>
      <c r="P3052" t="s">
        <v>1887</v>
      </c>
      <c r="R3052" t="s">
        <v>152</v>
      </c>
      <c r="S3052" t="s">
        <v>145</v>
      </c>
      <c r="U3052">
        <v>0</v>
      </c>
      <c r="V3052" t="s">
        <v>544</v>
      </c>
      <c r="W3052" t="s">
        <v>548</v>
      </c>
      <c r="X3052" s="784" t="s">
        <v>575</v>
      </c>
    </row>
    <row r="3053" spans="1:24">
      <c r="A3053" t="s">
        <v>358</v>
      </c>
      <c r="B3053" t="s">
        <v>622</v>
      </c>
      <c r="C3053" t="s">
        <v>226</v>
      </c>
      <c r="D3053" t="s">
        <v>127</v>
      </c>
      <c r="E3053" t="s">
        <v>377</v>
      </c>
      <c r="F3053" t="s">
        <v>384</v>
      </c>
      <c r="G3053" t="s">
        <v>72</v>
      </c>
      <c r="H3053" t="s">
        <v>749</v>
      </c>
      <c r="I3053">
        <v>2021</v>
      </c>
      <c r="J3053" t="s">
        <v>379</v>
      </c>
      <c r="K3053" t="s">
        <v>546</v>
      </c>
      <c r="L3053" s="784">
        <v>0</v>
      </c>
      <c r="M3053" t="s">
        <v>745</v>
      </c>
      <c r="N3053" s="784" t="s">
        <v>575</v>
      </c>
      <c r="O3053" t="s">
        <v>737</v>
      </c>
      <c r="P3053" t="s">
        <v>1887</v>
      </c>
      <c r="R3053" t="s">
        <v>150</v>
      </c>
      <c r="S3053" t="s">
        <v>145</v>
      </c>
      <c r="U3053">
        <v>2</v>
      </c>
      <c r="V3053" t="s">
        <v>544</v>
      </c>
      <c r="W3053" t="s">
        <v>562</v>
      </c>
      <c r="X3053" s="784">
        <v>231506834.84347546</v>
      </c>
    </row>
    <row r="3054" spans="1:24">
      <c r="A3054" t="s">
        <v>358</v>
      </c>
      <c r="B3054" t="s">
        <v>623</v>
      </c>
      <c r="C3054" t="s">
        <v>227</v>
      </c>
      <c r="D3054" t="s">
        <v>126</v>
      </c>
      <c r="E3054" t="s">
        <v>377</v>
      </c>
      <c r="F3054" t="s">
        <v>384</v>
      </c>
      <c r="G3054" t="s">
        <v>72</v>
      </c>
      <c r="H3054" t="s">
        <v>749</v>
      </c>
      <c r="I3054">
        <v>2021</v>
      </c>
      <c r="J3054" t="s">
        <v>379</v>
      </c>
      <c r="K3054" t="s">
        <v>546</v>
      </c>
      <c r="L3054" s="784">
        <v>0</v>
      </c>
      <c r="M3054" t="s">
        <v>745</v>
      </c>
      <c r="N3054" s="784" t="s">
        <v>575</v>
      </c>
      <c r="O3054" t="s">
        <v>737</v>
      </c>
      <c r="P3054" t="s">
        <v>1887</v>
      </c>
      <c r="R3054" t="s">
        <v>150</v>
      </c>
      <c r="S3054" t="s">
        <v>145</v>
      </c>
      <c r="U3054">
        <v>0</v>
      </c>
      <c r="V3054" t="s">
        <v>544</v>
      </c>
      <c r="W3054" t="s">
        <v>542</v>
      </c>
      <c r="X3054" s="784">
        <v>156059428.62944782</v>
      </c>
    </row>
    <row r="3055" spans="1:24">
      <c r="A3055" t="s">
        <v>358</v>
      </c>
      <c r="B3055" t="s">
        <v>624</v>
      </c>
      <c r="C3055" t="s">
        <v>228</v>
      </c>
      <c r="D3055" t="s">
        <v>131</v>
      </c>
      <c r="E3055" t="s">
        <v>377</v>
      </c>
      <c r="F3055" t="s">
        <v>384</v>
      </c>
      <c r="G3055" t="s">
        <v>72</v>
      </c>
      <c r="H3055" t="s">
        <v>749</v>
      </c>
      <c r="I3055">
        <v>2021</v>
      </c>
      <c r="J3055" t="s">
        <v>379</v>
      </c>
      <c r="K3055" t="s">
        <v>546</v>
      </c>
      <c r="L3055" s="784">
        <v>0</v>
      </c>
      <c r="M3055" t="s">
        <v>745</v>
      </c>
      <c r="N3055" s="784" t="s">
        <v>575</v>
      </c>
      <c r="O3055" t="s">
        <v>737</v>
      </c>
      <c r="P3055" t="s">
        <v>1887</v>
      </c>
      <c r="R3055" t="s">
        <v>152</v>
      </c>
      <c r="S3055" t="s">
        <v>146</v>
      </c>
      <c r="U3055">
        <v>0</v>
      </c>
      <c r="V3055" t="s">
        <v>544</v>
      </c>
      <c r="W3055" t="s">
        <v>546</v>
      </c>
      <c r="X3055" s="784">
        <v>2355391507.1635861</v>
      </c>
    </row>
    <row r="3056" spans="1:24">
      <c r="A3056" t="s">
        <v>358</v>
      </c>
      <c r="B3056" t="s">
        <v>625</v>
      </c>
      <c r="C3056" t="s">
        <v>229</v>
      </c>
      <c r="D3056" t="s">
        <v>128</v>
      </c>
      <c r="E3056" t="s">
        <v>377</v>
      </c>
      <c r="F3056" t="s">
        <v>384</v>
      </c>
      <c r="G3056" t="s">
        <v>72</v>
      </c>
      <c r="H3056" t="s">
        <v>749</v>
      </c>
      <c r="I3056">
        <v>2021</v>
      </c>
      <c r="J3056" t="s">
        <v>379</v>
      </c>
      <c r="K3056" t="s">
        <v>546</v>
      </c>
      <c r="L3056" s="784">
        <v>0</v>
      </c>
      <c r="M3056" t="s">
        <v>745</v>
      </c>
      <c r="N3056" s="784" t="s">
        <v>575</v>
      </c>
      <c r="O3056" t="s">
        <v>737</v>
      </c>
      <c r="P3056" t="s">
        <v>1887</v>
      </c>
      <c r="R3056" t="s">
        <v>150</v>
      </c>
      <c r="S3056" t="s">
        <v>145</v>
      </c>
      <c r="U3056">
        <v>0</v>
      </c>
      <c r="V3056" t="s">
        <v>544</v>
      </c>
      <c r="W3056" t="s">
        <v>562</v>
      </c>
      <c r="X3056" s="784">
        <v>152760919.7684873</v>
      </c>
    </row>
    <row r="3057" spans="1:24">
      <c r="A3057" t="s">
        <v>358</v>
      </c>
      <c r="B3057" t="s">
        <v>626</v>
      </c>
      <c r="C3057" t="s">
        <v>230</v>
      </c>
      <c r="D3057" t="s">
        <v>129</v>
      </c>
      <c r="E3057" t="s">
        <v>377</v>
      </c>
      <c r="F3057" t="s">
        <v>384</v>
      </c>
      <c r="G3057" t="s">
        <v>72</v>
      </c>
      <c r="H3057" t="s">
        <v>749</v>
      </c>
      <c r="I3057">
        <v>2021</v>
      </c>
      <c r="J3057" t="s">
        <v>379</v>
      </c>
      <c r="K3057" t="s">
        <v>546</v>
      </c>
      <c r="L3057" s="784">
        <v>0</v>
      </c>
      <c r="M3057" t="s">
        <v>745</v>
      </c>
      <c r="N3057" s="784" t="s">
        <v>575</v>
      </c>
      <c r="O3057" t="s">
        <v>737</v>
      </c>
      <c r="P3057" t="s">
        <v>1887</v>
      </c>
      <c r="R3057" t="s">
        <v>148</v>
      </c>
      <c r="S3057" t="s">
        <v>145</v>
      </c>
      <c r="U3057">
        <v>0</v>
      </c>
      <c r="V3057" t="s">
        <v>544</v>
      </c>
      <c r="W3057" t="s">
        <v>542</v>
      </c>
      <c r="X3057" s="784">
        <v>55072006.864440605</v>
      </c>
    </row>
    <row r="3058" spans="1:24">
      <c r="A3058" t="s">
        <v>358</v>
      </c>
      <c r="B3058" t="s">
        <v>627</v>
      </c>
      <c r="C3058" t="s">
        <v>231</v>
      </c>
      <c r="D3058" t="s">
        <v>131</v>
      </c>
      <c r="E3058" t="s">
        <v>377</v>
      </c>
      <c r="F3058" t="s">
        <v>384</v>
      </c>
      <c r="G3058" t="s">
        <v>72</v>
      </c>
      <c r="H3058" t="s">
        <v>749</v>
      </c>
      <c r="I3058">
        <v>2021</v>
      </c>
      <c r="J3058" t="s">
        <v>379</v>
      </c>
      <c r="K3058" t="s">
        <v>546</v>
      </c>
      <c r="L3058" s="784">
        <v>0</v>
      </c>
      <c r="M3058" t="s">
        <v>745</v>
      </c>
      <c r="N3058" s="784" t="s">
        <v>575</v>
      </c>
      <c r="O3058" t="s">
        <v>737</v>
      </c>
      <c r="P3058" t="s">
        <v>1887</v>
      </c>
      <c r="R3058" t="s">
        <v>152</v>
      </c>
      <c r="S3058" t="s">
        <v>146</v>
      </c>
      <c r="U3058">
        <v>0</v>
      </c>
      <c r="V3058" t="s">
        <v>544</v>
      </c>
      <c r="W3058" t="s">
        <v>546</v>
      </c>
      <c r="X3058" s="784" t="s">
        <v>575</v>
      </c>
    </row>
    <row r="3059" spans="1:24">
      <c r="A3059" t="s">
        <v>358</v>
      </c>
      <c r="B3059" t="s">
        <v>628</v>
      </c>
      <c r="C3059" t="s">
        <v>232</v>
      </c>
      <c r="D3059" t="s">
        <v>128</v>
      </c>
      <c r="E3059" t="s">
        <v>377</v>
      </c>
      <c r="F3059" t="s">
        <v>384</v>
      </c>
      <c r="G3059" t="s">
        <v>72</v>
      </c>
      <c r="H3059" t="s">
        <v>749</v>
      </c>
      <c r="I3059">
        <v>2021</v>
      </c>
      <c r="J3059" t="s">
        <v>379</v>
      </c>
      <c r="K3059" t="s">
        <v>546</v>
      </c>
      <c r="L3059" s="784">
        <v>0</v>
      </c>
      <c r="M3059" t="s">
        <v>745</v>
      </c>
      <c r="N3059" s="784" t="s">
        <v>575</v>
      </c>
      <c r="O3059" t="s">
        <v>737</v>
      </c>
      <c r="P3059" t="s">
        <v>1887</v>
      </c>
      <c r="R3059" t="s">
        <v>148</v>
      </c>
      <c r="S3059" t="s">
        <v>145</v>
      </c>
      <c r="U3059">
        <v>2</v>
      </c>
      <c r="V3059" t="s">
        <v>544</v>
      </c>
      <c r="W3059" t="s">
        <v>562</v>
      </c>
      <c r="X3059" s="784">
        <v>206914157.05429548</v>
      </c>
    </row>
    <row r="3060" spans="1:24">
      <c r="A3060" t="s">
        <v>358</v>
      </c>
      <c r="B3060" t="s">
        <v>629</v>
      </c>
      <c r="C3060" t="s">
        <v>233</v>
      </c>
      <c r="D3060" t="s">
        <v>128</v>
      </c>
      <c r="E3060" t="s">
        <v>377</v>
      </c>
      <c r="F3060" t="s">
        <v>384</v>
      </c>
      <c r="G3060" t="s">
        <v>72</v>
      </c>
      <c r="H3060" t="s">
        <v>749</v>
      </c>
      <c r="I3060">
        <v>2021</v>
      </c>
      <c r="J3060" t="s">
        <v>379</v>
      </c>
      <c r="K3060" t="s">
        <v>546</v>
      </c>
      <c r="L3060" s="784">
        <v>0</v>
      </c>
      <c r="M3060" t="s">
        <v>745</v>
      </c>
      <c r="N3060" s="784" t="s">
        <v>575</v>
      </c>
      <c r="O3060" t="s">
        <v>737</v>
      </c>
      <c r="P3060" t="s">
        <v>1887</v>
      </c>
      <c r="R3060" t="s">
        <v>148</v>
      </c>
      <c r="S3060" t="s">
        <v>145</v>
      </c>
      <c r="U3060">
        <v>2</v>
      </c>
      <c r="V3060" t="s">
        <v>544</v>
      </c>
      <c r="W3060" t="s">
        <v>542</v>
      </c>
      <c r="X3060" s="784">
        <v>185999915.02066413</v>
      </c>
    </row>
    <row r="3061" spans="1:24">
      <c r="A3061" t="s">
        <v>358</v>
      </c>
      <c r="B3061" t="s">
        <v>630</v>
      </c>
      <c r="C3061" t="s">
        <v>234</v>
      </c>
      <c r="D3061" t="s">
        <v>126</v>
      </c>
      <c r="E3061" t="s">
        <v>377</v>
      </c>
      <c r="F3061" t="s">
        <v>384</v>
      </c>
      <c r="G3061" t="s">
        <v>72</v>
      </c>
      <c r="H3061" t="s">
        <v>749</v>
      </c>
      <c r="I3061">
        <v>2021</v>
      </c>
      <c r="J3061" t="s">
        <v>379</v>
      </c>
      <c r="K3061" t="s">
        <v>546</v>
      </c>
      <c r="L3061" s="784">
        <v>0</v>
      </c>
      <c r="M3061" t="s">
        <v>745</v>
      </c>
      <c r="N3061" s="784" t="s">
        <v>575</v>
      </c>
      <c r="O3061" t="s">
        <v>737</v>
      </c>
      <c r="P3061" t="s">
        <v>1887</v>
      </c>
      <c r="R3061" t="s">
        <v>152</v>
      </c>
      <c r="S3061" t="s">
        <v>146</v>
      </c>
      <c r="U3061">
        <v>0</v>
      </c>
      <c r="V3061" t="s">
        <v>544</v>
      </c>
      <c r="W3061" t="s">
        <v>575</v>
      </c>
      <c r="X3061" s="784">
        <v>6893755763.2501726</v>
      </c>
    </row>
    <row r="3062" spans="1:24">
      <c r="A3062" t="s">
        <v>358</v>
      </c>
      <c r="B3062" t="s">
        <v>631</v>
      </c>
      <c r="C3062" t="s">
        <v>235</v>
      </c>
      <c r="D3062" t="s">
        <v>132</v>
      </c>
      <c r="E3062" t="s">
        <v>377</v>
      </c>
      <c r="F3062" t="s">
        <v>384</v>
      </c>
      <c r="G3062" t="s">
        <v>72</v>
      </c>
      <c r="H3062" t="s">
        <v>749</v>
      </c>
      <c r="I3062">
        <v>2021</v>
      </c>
      <c r="J3062" t="s">
        <v>379</v>
      </c>
      <c r="K3062" t="s">
        <v>546</v>
      </c>
      <c r="L3062" s="784">
        <v>0</v>
      </c>
      <c r="M3062" t="s">
        <v>745</v>
      </c>
      <c r="N3062" s="784" t="s">
        <v>575</v>
      </c>
      <c r="O3062" t="s">
        <v>737</v>
      </c>
      <c r="P3062" t="s">
        <v>1887</v>
      </c>
      <c r="R3062" t="s">
        <v>152</v>
      </c>
      <c r="S3062" t="s">
        <v>145</v>
      </c>
      <c r="U3062">
        <v>0</v>
      </c>
      <c r="V3062" t="s">
        <v>541</v>
      </c>
      <c r="W3062" t="s">
        <v>542</v>
      </c>
      <c r="X3062" s="784">
        <v>354560231.58276606</v>
      </c>
    </row>
    <row r="3063" spans="1:24">
      <c r="A3063" t="s">
        <v>358</v>
      </c>
      <c r="B3063" t="s">
        <v>632</v>
      </c>
      <c r="C3063" t="s">
        <v>236</v>
      </c>
      <c r="D3063" t="s">
        <v>129</v>
      </c>
      <c r="E3063" t="s">
        <v>377</v>
      </c>
      <c r="F3063" t="s">
        <v>384</v>
      </c>
      <c r="G3063" t="s">
        <v>72</v>
      </c>
      <c r="H3063" t="s">
        <v>749</v>
      </c>
      <c r="I3063">
        <v>2021</v>
      </c>
      <c r="J3063" t="s">
        <v>379</v>
      </c>
      <c r="K3063" t="s">
        <v>546</v>
      </c>
      <c r="L3063" s="784">
        <v>0</v>
      </c>
      <c r="M3063" t="s">
        <v>745</v>
      </c>
      <c r="N3063" s="784" t="s">
        <v>575</v>
      </c>
      <c r="O3063" t="s">
        <v>737</v>
      </c>
      <c r="P3063" t="s">
        <v>1887</v>
      </c>
      <c r="R3063" t="s">
        <v>148</v>
      </c>
      <c r="S3063" t="s">
        <v>145</v>
      </c>
      <c r="U3063">
        <v>1</v>
      </c>
      <c r="V3063" t="s">
        <v>544</v>
      </c>
      <c r="W3063" t="s">
        <v>562</v>
      </c>
      <c r="X3063" s="784">
        <v>188169167.56540567</v>
      </c>
    </row>
    <row r="3064" spans="1:24">
      <c r="A3064" t="s">
        <v>358</v>
      </c>
      <c r="B3064" t="s">
        <v>633</v>
      </c>
      <c r="C3064" t="s">
        <v>237</v>
      </c>
      <c r="D3064" t="s">
        <v>126</v>
      </c>
      <c r="E3064" t="s">
        <v>377</v>
      </c>
      <c r="F3064" t="s">
        <v>384</v>
      </c>
      <c r="G3064" t="s">
        <v>72</v>
      </c>
      <c r="H3064" t="s">
        <v>749</v>
      </c>
      <c r="I3064">
        <v>2021</v>
      </c>
      <c r="J3064" t="s">
        <v>379</v>
      </c>
      <c r="K3064" t="s">
        <v>546</v>
      </c>
      <c r="L3064" s="784">
        <v>0</v>
      </c>
      <c r="M3064" t="s">
        <v>745</v>
      </c>
      <c r="N3064" s="784" t="s">
        <v>575</v>
      </c>
      <c r="O3064" t="s">
        <v>737</v>
      </c>
      <c r="P3064" t="s">
        <v>1887</v>
      </c>
      <c r="R3064" t="s">
        <v>152</v>
      </c>
      <c r="S3064" t="s">
        <v>145</v>
      </c>
      <c r="U3064">
        <v>0</v>
      </c>
      <c r="V3064" t="s">
        <v>541</v>
      </c>
      <c r="W3064" t="s">
        <v>575</v>
      </c>
      <c r="X3064" s="784">
        <v>16312106.556340856</v>
      </c>
    </row>
    <row r="3065" spans="1:24">
      <c r="A3065" t="s">
        <v>358</v>
      </c>
      <c r="B3065" t="s">
        <v>634</v>
      </c>
      <c r="C3065" t="s">
        <v>238</v>
      </c>
      <c r="D3065" t="s">
        <v>129</v>
      </c>
      <c r="E3065" t="s">
        <v>377</v>
      </c>
      <c r="F3065" t="s">
        <v>384</v>
      </c>
      <c r="G3065" t="s">
        <v>72</v>
      </c>
      <c r="H3065" t="s">
        <v>749</v>
      </c>
      <c r="I3065">
        <v>2021</v>
      </c>
      <c r="J3065" t="s">
        <v>379</v>
      </c>
      <c r="K3065" t="s">
        <v>546</v>
      </c>
      <c r="L3065" s="784">
        <v>0</v>
      </c>
      <c r="M3065" t="s">
        <v>745</v>
      </c>
      <c r="N3065" s="784" t="s">
        <v>575</v>
      </c>
      <c r="O3065" t="s">
        <v>737</v>
      </c>
      <c r="P3065" t="s">
        <v>1887</v>
      </c>
      <c r="R3065" t="s">
        <v>150</v>
      </c>
      <c r="S3065" t="s">
        <v>145</v>
      </c>
      <c r="U3065">
        <v>2</v>
      </c>
      <c r="V3065" t="s">
        <v>544</v>
      </c>
      <c r="W3065" t="s">
        <v>542</v>
      </c>
      <c r="X3065" s="784">
        <v>86083833.534053758</v>
      </c>
    </row>
    <row r="3066" spans="1:24">
      <c r="A3066" t="s">
        <v>358</v>
      </c>
      <c r="B3066" t="s">
        <v>635</v>
      </c>
      <c r="C3066" t="s">
        <v>239</v>
      </c>
      <c r="D3066" t="s">
        <v>128</v>
      </c>
      <c r="E3066" t="s">
        <v>377</v>
      </c>
      <c r="F3066" t="s">
        <v>384</v>
      </c>
      <c r="G3066" t="s">
        <v>72</v>
      </c>
      <c r="H3066" t="s">
        <v>749</v>
      </c>
      <c r="I3066">
        <v>2021</v>
      </c>
      <c r="J3066" t="s">
        <v>379</v>
      </c>
      <c r="K3066" t="s">
        <v>546</v>
      </c>
      <c r="L3066" s="784">
        <v>0</v>
      </c>
      <c r="M3066" t="s">
        <v>745</v>
      </c>
      <c r="N3066" s="784" t="s">
        <v>575</v>
      </c>
      <c r="O3066" t="s">
        <v>737</v>
      </c>
      <c r="P3066" t="s">
        <v>1887</v>
      </c>
      <c r="R3066" t="s">
        <v>152</v>
      </c>
      <c r="S3066" t="s">
        <v>146</v>
      </c>
      <c r="U3066">
        <v>0</v>
      </c>
      <c r="V3066" t="s">
        <v>541</v>
      </c>
      <c r="W3066" t="s">
        <v>546</v>
      </c>
      <c r="X3066" s="784">
        <v>357220835.93762809</v>
      </c>
    </row>
    <row r="3067" spans="1:24">
      <c r="A3067" t="s">
        <v>358</v>
      </c>
      <c r="B3067" t="s">
        <v>636</v>
      </c>
      <c r="C3067" t="s">
        <v>240</v>
      </c>
      <c r="D3067" t="s">
        <v>130</v>
      </c>
      <c r="E3067" t="s">
        <v>377</v>
      </c>
      <c r="F3067" t="s">
        <v>384</v>
      </c>
      <c r="G3067" t="s">
        <v>72</v>
      </c>
      <c r="H3067" t="s">
        <v>749</v>
      </c>
      <c r="I3067">
        <v>2021</v>
      </c>
      <c r="J3067" t="s">
        <v>379</v>
      </c>
      <c r="K3067" t="s">
        <v>546</v>
      </c>
      <c r="L3067" s="784">
        <v>0</v>
      </c>
      <c r="M3067" t="s">
        <v>745</v>
      </c>
      <c r="N3067" s="784" t="s">
        <v>575</v>
      </c>
      <c r="O3067" t="s">
        <v>737</v>
      </c>
      <c r="P3067" t="s">
        <v>1887</v>
      </c>
      <c r="R3067" t="s">
        <v>152</v>
      </c>
      <c r="S3067" t="s">
        <v>146</v>
      </c>
      <c r="U3067">
        <v>0</v>
      </c>
      <c r="V3067" t="s">
        <v>544</v>
      </c>
      <c r="W3067" t="s">
        <v>575</v>
      </c>
      <c r="X3067" s="784">
        <v>32831598153.796387</v>
      </c>
    </row>
    <row r="3068" spans="1:24">
      <c r="A3068" t="s">
        <v>358</v>
      </c>
      <c r="B3068" t="s">
        <v>637</v>
      </c>
      <c r="C3068" t="s">
        <v>241</v>
      </c>
      <c r="D3068" t="s">
        <v>126</v>
      </c>
      <c r="E3068" t="s">
        <v>377</v>
      </c>
      <c r="F3068" t="s">
        <v>384</v>
      </c>
      <c r="G3068" t="s">
        <v>72</v>
      </c>
      <c r="H3068" t="s">
        <v>749</v>
      </c>
      <c r="I3068">
        <v>2021</v>
      </c>
      <c r="J3068" t="s">
        <v>379</v>
      </c>
      <c r="K3068" t="s">
        <v>546</v>
      </c>
      <c r="L3068" s="784">
        <v>0</v>
      </c>
      <c r="M3068" t="s">
        <v>745</v>
      </c>
      <c r="N3068" s="784" t="s">
        <v>575</v>
      </c>
      <c r="O3068" t="s">
        <v>737</v>
      </c>
      <c r="P3068" t="s">
        <v>1887</v>
      </c>
      <c r="R3068" t="s">
        <v>150</v>
      </c>
      <c r="S3068" t="s">
        <v>145</v>
      </c>
      <c r="U3068">
        <v>0</v>
      </c>
      <c r="V3068" t="s">
        <v>541</v>
      </c>
      <c r="W3068" t="s">
        <v>542</v>
      </c>
      <c r="X3068" s="784">
        <v>12329056.093798399</v>
      </c>
    </row>
    <row r="3069" spans="1:24">
      <c r="A3069" t="s">
        <v>358</v>
      </c>
      <c r="B3069" t="s">
        <v>638</v>
      </c>
      <c r="C3069" t="s">
        <v>242</v>
      </c>
      <c r="D3069" t="s">
        <v>127</v>
      </c>
      <c r="E3069" t="s">
        <v>377</v>
      </c>
      <c r="F3069" t="s">
        <v>384</v>
      </c>
      <c r="G3069" t="s">
        <v>72</v>
      </c>
      <c r="H3069" t="s">
        <v>749</v>
      </c>
      <c r="I3069">
        <v>2021</v>
      </c>
      <c r="J3069" t="s">
        <v>379</v>
      </c>
      <c r="K3069" t="s">
        <v>546</v>
      </c>
      <c r="L3069" s="784">
        <v>0</v>
      </c>
      <c r="M3069" t="s">
        <v>745</v>
      </c>
      <c r="N3069" s="784" t="s">
        <v>575</v>
      </c>
      <c r="O3069" t="s">
        <v>737</v>
      </c>
      <c r="P3069" t="s">
        <v>1887</v>
      </c>
      <c r="R3069" t="s">
        <v>152</v>
      </c>
      <c r="S3069" t="s">
        <v>145</v>
      </c>
      <c r="U3069">
        <v>0</v>
      </c>
      <c r="V3069" t="s">
        <v>544</v>
      </c>
      <c r="W3069" t="s">
        <v>558</v>
      </c>
      <c r="X3069" s="784">
        <v>426639742.85328001</v>
      </c>
    </row>
    <row r="3070" spans="1:24">
      <c r="A3070" t="s">
        <v>358</v>
      </c>
      <c r="B3070" t="s">
        <v>639</v>
      </c>
      <c r="C3070" t="s">
        <v>243</v>
      </c>
      <c r="D3070" t="s">
        <v>126</v>
      </c>
      <c r="E3070" t="s">
        <v>377</v>
      </c>
      <c r="F3070" t="s">
        <v>384</v>
      </c>
      <c r="G3070" t="s">
        <v>72</v>
      </c>
      <c r="H3070" t="s">
        <v>749</v>
      </c>
      <c r="I3070">
        <v>2021</v>
      </c>
      <c r="J3070" t="s">
        <v>379</v>
      </c>
      <c r="K3070" t="s">
        <v>546</v>
      </c>
      <c r="L3070" s="784">
        <v>0</v>
      </c>
      <c r="M3070" t="s">
        <v>745</v>
      </c>
      <c r="N3070" s="784" t="s">
        <v>575</v>
      </c>
      <c r="O3070" t="s">
        <v>737</v>
      </c>
      <c r="P3070" t="s">
        <v>1887</v>
      </c>
      <c r="R3070" t="s">
        <v>150</v>
      </c>
      <c r="S3070" t="s">
        <v>145</v>
      </c>
      <c r="U3070">
        <v>0</v>
      </c>
      <c r="V3070" t="s">
        <v>544</v>
      </c>
      <c r="W3070" t="s">
        <v>548</v>
      </c>
      <c r="X3070" s="784">
        <v>288519671.85870522</v>
      </c>
    </row>
    <row r="3071" spans="1:24">
      <c r="A3071" t="s">
        <v>358</v>
      </c>
      <c r="B3071" t="s">
        <v>640</v>
      </c>
      <c r="C3071" t="s">
        <v>244</v>
      </c>
      <c r="D3071" t="s">
        <v>127</v>
      </c>
      <c r="E3071" t="s">
        <v>377</v>
      </c>
      <c r="F3071" t="s">
        <v>384</v>
      </c>
      <c r="G3071" t="s">
        <v>72</v>
      </c>
      <c r="H3071" t="s">
        <v>749</v>
      </c>
      <c r="I3071">
        <v>2021</v>
      </c>
      <c r="J3071" t="s">
        <v>379</v>
      </c>
      <c r="K3071" t="s">
        <v>546</v>
      </c>
      <c r="L3071" s="784">
        <v>0</v>
      </c>
      <c r="M3071" t="s">
        <v>745</v>
      </c>
      <c r="N3071" s="784" t="s">
        <v>575</v>
      </c>
      <c r="O3071" t="s">
        <v>737</v>
      </c>
      <c r="P3071" t="s">
        <v>1887</v>
      </c>
      <c r="R3071" t="s">
        <v>152</v>
      </c>
      <c r="S3071" t="s">
        <v>146</v>
      </c>
      <c r="U3071">
        <v>0</v>
      </c>
      <c r="V3071" t="s">
        <v>544</v>
      </c>
      <c r="W3071" t="s">
        <v>546</v>
      </c>
      <c r="X3071" s="784">
        <v>275606560.78491527</v>
      </c>
    </row>
    <row r="3072" spans="1:24">
      <c r="A3072" t="s">
        <v>358</v>
      </c>
      <c r="B3072" t="s">
        <v>641</v>
      </c>
      <c r="C3072" t="s">
        <v>245</v>
      </c>
      <c r="D3072" t="s">
        <v>131</v>
      </c>
      <c r="E3072" t="s">
        <v>377</v>
      </c>
      <c r="F3072" t="s">
        <v>384</v>
      </c>
      <c r="G3072" t="s">
        <v>72</v>
      </c>
      <c r="H3072" t="s">
        <v>749</v>
      </c>
      <c r="I3072">
        <v>2021</v>
      </c>
      <c r="J3072" t="s">
        <v>379</v>
      </c>
      <c r="K3072" t="s">
        <v>546</v>
      </c>
      <c r="L3072" s="784">
        <v>0</v>
      </c>
      <c r="M3072" t="s">
        <v>745</v>
      </c>
      <c r="N3072" s="784" t="s">
        <v>575</v>
      </c>
      <c r="O3072" t="s">
        <v>737</v>
      </c>
      <c r="P3072" t="s">
        <v>1887</v>
      </c>
      <c r="R3072" t="s">
        <v>150</v>
      </c>
      <c r="S3072" t="s">
        <v>145</v>
      </c>
      <c r="U3072">
        <v>0</v>
      </c>
      <c r="V3072" t="s">
        <v>544</v>
      </c>
      <c r="W3072" t="s">
        <v>546</v>
      </c>
      <c r="X3072" s="784">
        <v>2530937679.3725696</v>
      </c>
    </row>
    <row r="3073" spans="1:24">
      <c r="A3073" t="s">
        <v>358</v>
      </c>
      <c r="B3073" t="s">
        <v>642</v>
      </c>
      <c r="C3073" t="s">
        <v>246</v>
      </c>
      <c r="D3073" t="s">
        <v>128</v>
      </c>
      <c r="E3073" t="s">
        <v>377</v>
      </c>
      <c r="F3073" t="s">
        <v>384</v>
      </c>
      <c r="G3073" t="s">
        <v>72</v>
      </c>
      <c r="H3073" t="s">
        <v>749</v>
      </c>
      <c r="I3073">
        <v>2021</v>
      </c>
      <c r="J3073" t="s">
        <v>379</v>
      </c>
      <c r="K3073" t="s">
        <v>546</v>
      </c>
      <c r="L3073" s="784">
        <v>0</v>
      </c>
      <c r="M3073" t="s">
        <v>745</v>
      </c>
      <c r="N3073" s="784" t="s">
        <v>575</v>
      </c>
      <c r="O3073" t="s">
        <v>737</v>
      </c>
      <c r="P3073" t="s">
        <v>1887</v>
      </c>
      <c r="R3073" t="s">
        <v>148</v>
      </c>
      <c r="S3073" t="s">
        <v>145</v>
      </c>
      <c r="U3073">
        <v>0</v>
      </c>
      <c r="V3073" t="s">
        <v>544</v>
      </c>
      <c r="W3073" t="s">
        <v>583</v>
      </c>
      <c r="X3073" s="784">
        <v>251432156.86255455</v>
      </c>
    </row>
    <row r="3074" spans="1:24">
      <c r="A3074" t="s">
        <v>358</v>
      </c>
      <c r="B3074" t="s">
        <v>643</v>
      </c>
      <c r="C3074" t="s">
        <v>247</v>
      </c>
      <c r="D3074" t="s">
        <v>126</v>
      </c>
      <c r="E3074" t="s">
        <v>377</v>
      </c>
      <c r="F3074" t="s">
        <v>384</v>
      </c>
      <c r="G3074" t="s">
        <v>72</v>
      </c>
      <c r="H3074" t="s">
        <v>749</v>
      </c>
      <c r="I3074">
        <v>2021</v>
      </c>
      <c r="J3074" t="s">
        <v>379</v>
      </c>
      <c r="K3074" t="s">
        <v>546</v>
      </c>
      <c r="L3074" s="784">
        <v>0</v>
      </c>
      <c r="M3074" t="s">
        <v>745</v>
      </c>
      <c r="N3074" s="784" t="s">
        <v>575</v>
      </c>
      <c r="O3074" t="s">
        <v>737</v>
      </c>
      <c r="P3074" t="s">
        <v>1887</v>
      </c>
      <c r="R3074" t="s">
        <v>150</v>
      </c>
      <c r="S3074" t="s">
        <v>145</v>
      </c>
      <c r="U3074">
        <v>0</v>
      </c>
      <c r="V3074" t="s">
        <v>544</v>
      </c>
      <c r="W3074" t="s">
        <v>558</v>
      </c>
      <c r="X3074" s="784">
        <v>471534500.60109437</v>
      </c>
    </row>
    <row r="3075" spans="1:24">
      <c r="A3075" t="s">
        <v>358</v>
      </c>
      <c r="B3075" t="s">
        <v>644</v>
      </c>
      <c r="C3075" t="s">
        <v>248</v>
      </c>
      <c r="D3075" t="s">
        <v>128</v>
      </c>
      <c r="E3075" t="s">
        <v>377</v>
      </c>
      <c r="F3075" t="s">
        <v>384</v>
      </c>
      <c r="G3075" t="s">
        <v>72</v>
      </c>
      <c r="H3075" t="s">
        <v>749</v>
      </c>
      <c r="I3075">
        <v>2021</v>
      </c>
      <c r="J3075" t="s">
        <v>379</v>
      </c>
      <c r="K3075" t="s">
        <v>546</v>
      </c>
      <c r="L3075" s="784">
        <v>0</v>
      </c>
      <c r="M3075" t="s">
        <v>745</v>
      </c>
      <c r="N3075" s="784" t="s">
        <v>575</v>
      </c>
      <c r="O3075" t="s">
        <v>737</v>
      </c>
      <c r="P3075" t="s">
        <v>1887</v>
      </c>
      <c r="R3075" t="s">
        <v>152</v>
      </c>
      <c r="S3075" t="s">
        <v>146</v>
      </c>
      <c r="U3075">
        <v>0</v>
      </c>
      <c r="V3075" t="s">
        <v>544</v>
      </c>
      <c r="W3075" t="s">
        <v>575</v>
      </c>
      <c r="X3075" s="784">
        <v>531677611.80447447</v>
      </c>
    </row>
    <row r="3076" spans="1:24">
      <c r="A3076" t="s">
        <v>358</v>
      </c>
      <c r="B3076" t="s">
        <v>645</v>
      </c>
      <c r="C3076" t="s">
        <v>249</v>
      </c>
      <c r="D3076" t="s">
        <v>126</v>
      </c>
      <c r="E3076" t="s">
        <v>377</v>
      </c>
      <c r="F3076" t="s">
        <v>384</v>
      </c>
      <c r="G3076" t="s">
        <v>72</v>
      </c>
      <c r="H3076" t="s">
        <v>749</v>
      </c>
      <c r="I3076">
        <v>2021</v>
      </c>
      <c r="J3076" t="s">
        <v>379</v>
      </c>
      <c r="K3076" t="s">
        <v>546</v>
      </c>
      <c r="L3076" s="784">
        <v>0</v>
      </c>
      <c r="M3076" t="s">
        <v>745</v>
      </c>
      <c r="N3076" s="784" t="s">
        <v>575</v>
      </c>
      <c r="O3076" t="s">
        <v>737</v>
      </c>
      <c r="P3076" t="s">
        <v>1887</v>
      </c>
      <c r="R3076" t="s">
        <v>550</v>
      </c>
      <c r="S3076" t="s">
        <v>146</v>
      </c>
      <c r="U3076">
        <v>0</v>
      </c>
      <c r="V3076" t="s">
        <v>541</v>
      </c>
      <c r="W3076" t="s">
        <v>575</v>
      </c>
      <c r="X3076" s="784">
        <v>8528751.6418357007</v>
      </c>
    </row>
    <row r="3077" spans="1:24">
      <c r="A3077" t="s">
        <v>358</v>
      </c>
      <c r="B3077" t="s">
        <v>646</v>
      </c>
      <c r="C3077" t="s">
        <v>250</v>
      </c>
      <c r="D3077" t="s">
        <v>132</v>
      </c>
      <c r="E3077" t="s">
        <v>377</v>
      </c>
      <c r="F3077" t="s">
        <v>384</v>
      </c>
      <c r="G3077" t="s">
        <v>72</v>
      </c>
      <c r="H3077" t="s">
        <v>749</v>
      </c>
      <c r="I3077">
        <v>2021</v>
      </c>
      <c r="J3077" t="s">
        <v>379</v>
      </c>
      <c r="K3077" t="s">
        <v>546</v>
      </c>
      <c r="L3077" s="784">
        <v>0</v>
      </c>
      <c r="M3077" t="s">
        <v>745</v>
      </c>
      <c r="N3077" s="784" t="s">
        <v>575</v>
      </c>
      <c r="O3077" t="s">
        <v>737</v>
      </c>
      <c r="P3077" t="s">
        <v>1887</v>
      </c>
      <c r="R3077" t="s">
        <v>150</v>
      </c>
      <c r="S3077" t="s">
        <v>145</v>
      </c>
      <c r="U3077">
        <v>0</v>
      </c>
      <c r="V3077" t="s">
        <v>544</v>
      </c>
      <c r="W3077" t="s">
        <v>558</v>
      </c>
      <c r="X3077" s="784">
        <v>407084543.19089872</v>
      </c>
    </row>
    <row r="3078" spans="1:24">
      <c r="A3078" t="s">
        <v>358</v>
      </c>
      <c r="B3078" t="s">
        <v>647</v>
      </c>
      <c r="C3078" t="s">
        <v>251</v>
      </c>
      <c r="D3078" t="s">
        <v>130</v>
      </c>
      <c r="E3078" t="s">
        <v>377</v>
      </c>
      <c r="F3078" t="s">
        <v>384</v>
      </c>
      <c r="G3078" t="s">
        <v>72</v>
      </c>
      <c r="H3078" t="s">
        <v>749</v>
      </c>
      <c r="I3078">
        <v>2021</v>
      </c>
      <c r="J3078" t="s">
        <v>379</v>
      </c>
      <c r="K3078" t="s">
        <v>546</v>
      </c>
      <c r="L3078" s="784">
        <v>0</v>
      </c>
      <c r="M3078" t="s">
        <v>745</v>
      </c>
      <c r="N3078" s="784" t="s">
        <v>575</v>
      </c>
      <c r="O3078" t="s">
        <v>737</v>
      </c>
      <c r="P3078" t="s">
        <v>1887</v>
      </c>
      <c r="R3078" t="s">
        <v>150</v>
      </c>
      <c r="S3078" t="s">
        <v>145</v>
      </c>
      <c r="U3078">
        <v>0</v>
      </c>
      <c r="V3078" t="s">
        <v>544</v>
      </c>
      <c r="W3078" t="s">
        <v>562</v>
      </c>
      <c r="X3078" s="784">
        <v>671998341.93592453</v>
      </c>
    </row>
    <row r="3079" spans="1:24">
      <c r="A3079" t="s">
        <v>358</v>
      </c>
      <c r="B3079" t="s">
        <v>648</v>
      </c>
      <c r="C3079" t="s">
        <v>252</v>
      </c>
      <c r="D3079" t="s">
        <v>129</v>
      </c>
      <c r="E3079" t="s">
        <v>377</v>
      </c>
      <c r="F3079" t="s">
        <v>384</v>
      </c>
      <c r="G3079" t="s">
        <v>72</v>
      </c>
      <c r="H3079" t="s">
        <v>749</v>
      </c>
      <c r="I3079">
        <v>2021</v>
      </c>
      <c r="J3079" t="s">
        <v>379</v>
      </c>
      <c r="K3079" t="s">
        <v>546</v>
      </c>
      <c r="L3079" s="784">
        <v>0</v>
      </c>
      <c r="M3079" t="s">
        <v>745</v>
      </c>
      <c r="N3079" s="784" t="s">
        <v>575</v>
      </c>
      <c r="O3079" t="s">
        <v>737</v>
      </c>
      <c r="P3079" t="s">
        <v>1887</v>
      </c>
      <c r="R3079" t="s">
        <v>148</v>
      </c>
      <c r="S3079" t="s">
        <v>145</v>
      </c>
      <c r="U3079">
        <v>1</v>
      </c>
      <c r="V3079" t="s">
        <v>544</v>
      </c>
      <c r="W3079" t="s">
        <v>562</v>
      </c>
      <c r="X3079" s="784">
        <v>226203289.67158964</v>
      </c>
    </row>
    <row r="3080" spans="1:24">
      <c r="A3080" t="s">
        <v>358</v>
      </c>
      <c r="B3080" t="s">
        <v>649</v>
      </c>
      <c r="C3080" t="s">
        <v>253</v>
      </c>
      <c r="D3080" t="s">
        <v>129</v>
      </c>
      <c r="E3080" t="s">
        <v>377</v>
      </c>
      <c r="F3080" t="s">
        <v>384</v>
      </c>
      <c r="G3080" t="s">
        <v>72</v>
      </c>
      <c r="H3080" t="s">
        <v>749</v>
      </c>
      <c r="I3080">
        <v>2021</v>
      </c>
      <c r="J3080" t="s">
        <v>379</v>
      </c>
      <c r="K3080" t="s">
        <v>546</v>
      </c>
      <c r="L3080" s="784">
        <v>0</v>
      </c>
      <c r="M3080" t="s">
        <v>745</v>
      </c>
      <c r="N3080" s="784" t="s">
        <v>575</v>
      </c>
      <c r="O3080" t="s">
        <v>737</v>
      </c>
      <c r="P3080" t="s">
        <v>1887</v>
      </c>
      <c r="R3080" t="s">
        <v>150</v>
      </c>
      <c r="S3080" t="s">
        <v>145</v>
      </c>
      <c r="U3080">
        <v>3</v>
      </c>
      <c r="V3080" t="s">
        <v>544</v>
      </c>
      <c r="W3080" t="s">
        <v>548</v>
      </c>
      <c r="X3080" s="784">
        <v>2438881113.1244688</v>
      </c>
    </row>
    <row r="3081" spans="1:24">
      <c r="A3081" t="s">
        <v>358</v>
      </c>
      <c r="B3081" t="s">
        <v>650</v>
      </c>
      <c r="C3081" t="s">
        <v>254</v>
      </c>
      <c r="D3081" t="s">
        <v>127</v>
      </c>
      <c r="E3081" t="s">
        <v>377</v>
      </c>
      <c r="F3081" t="s">
        <v>384</v>
      </c>
      <c r="G3081" t="s">
        <v>72</v>
      </c>
      <c r="H3081" t="s">
        <v>749</v>
      </c>
      <c r="I3081">
        <v>2021</v>
      </c>
      <c r="J3081" t="s">
        <v>379</v>
      </c>
      <c r="K3081" t="s">
        <v>546</v>
      </c>
      <c r="L3081" s="784">
        <v>0</v>
      </c>
      <c r="M3081" t="s">
        <v>745</v>
      </c>
      <c r="N3081" s="784" t="s">
        <v>575</v>
      </c>
      <c r="O3081" t="s">
        <v>737</v>
      </c>
      <c r="P3081" t="s">
        <v>1887</v>
      </c>
      <c r="R3081" t="s">
        <v>152</v>
      </c>
      <c r="S3081" t="s">
        <v>146</v>
      </c>
      <c r="U3081">
        <v>0</v>
      </c>
      <c r="V3081" t="s">
        <v>544</v>
      </c>
      <c r="W3081" t="s">
        <v>575</v>
      </c>
      <c r="X3081" s="784">
        <v>476517795.73174149</v>
      </c>
    </row>
    <row r="3082" spans="1:24">
      <c r="A3082" t="s">
        <v>358</v>
      </c>
      <c r="B3082" t="s">
        <v>651</v>
      </c>
      <c r="C3082" t="s">
        <v>255</v>
      </c>
      <c r="D3082" t="s">
        <v>132</v>
      </c>
      <c r="E3082" t="s">
        <v>377</v>
      </c>
      <c r="F3082" t="s">
        <v>384</v>
      </c>
      <c r="G3082" t="s">
        <v>72</v>
      </c>
      <c r="H3082" t="s">
        <v>749</v>
      </c>
      <c r="I3082">
        <v>2021</v>
      </c>
      <c r="J3082" t="s">
        <v>379</v>
      </c>
      <c r="K3082" t="s">
        <v>546</v>
      </c>
      <c r="L3082" s="784">
        <v>0</v>
      </c>
      <c r="M3082" t="s">
        <v>745</v>
      </c>
      <c r="N3082" s="784" t="s">
        <v>575</v>
      </c>
      <c r="O3082" t="s">
        <v>737</v>
      </c>
      <c r="P3082" t="s">
        <v>1887</v>
      </c>
      <c r="R3082" t="s">
        <v>150</v>
      </c>
      <c r="S3082" t="s">
        <v>145</v>
      </c>
      <c r="U3082">
        <v>0</v>
      </c>
      <c r="V3082" t="s">
        <v>544</v>
      </c>
      <c r="W3082" t="s">
        <v>548</v>
      </c>
      <c r="X3082" s="784">
        <v>3233351297.7679496</v>
      </c>
    </row>
    <row r="3083" spans="1:24">
      <c r="A3083" t="s">
        <v>358</v>
      </c>
      <c r="B3083" t="s">
        <v>652</v>
      </c>
      <c r="C3083" t="s">
        <v>256</v>
      </c>
      <c r="D3083" t="s">
        <v>130</v>
      </c>
      <c r="E3083" t="s">
        <v>377</v>
      </c>
      <c r="F3083" t="s">
        <v>384</v>
      </c>
      <c r="G3083" t="s">
        <v>72</v>
      </c>
      <c r="H3083" t="s">
        <v>749</v>
      </c>
      <c r="I3083">
        <v>2021</v>
      </c>
      <c r="J3083" t="s">
        <v>379</v>
      </c>
      <c r="K3083" t="s">
        <v>546</v>
      </c>
      <c r="L3083" s="784">
        <v>0</v>
      </c>
      <c r="M3083" t="s">
        <v>745</v>
      </c>
      <c r="N3083" s="784" t="s">
        <v>575</v>
      </c>
      <c r="O3083" t="s">
        <v>737</v>
      </c>
      <c r="P3083" t="s">
        <v>1887</v>
      </c>
      <c r="R3083" t="s">
        <v>550</v>
      </c>
      <c r="S3083" t="s">
        <v>146</v>
      </c>
      <c r="U3083">
        <v>0</v>
      </c>
      <c r="V3083" t="s">
        <v>541</v>
      </c>
      <c r="W3083" t="s">
        <v>575</v>
      </c>
      <c r="X3083" s="784">
        <v>18180646.808608256</v>
      </c>
    </row>
    <row r="3084" spans="1:24">
      <c r="A3084" t="s">
        <v>358</v>
      </c>
      <c r="B3084" t="s">
        <v>653</v>
      </c>
      <c r="C3084" t="s">
        <v>257</v>
      </c>
      <c r="D3084" t="s">
        <v>130</v>
      </c>
      <c r="E3084" t="s">
        <v>377</v>
      </c>
      <c r="F3084" t="s">
        <v>384</v>
      </c>
      <c r="G3084" t="s">
        <v>72</v>
      </c>
      <c r="H3084" t="s">
        <v>749</v>
      </c>
      <c r="I3084">
        <v>2021</v>
      </c>
      <c r="J3084" t="s">
        <v>379</v>
      </c>
      <c r="K3084" t="s">
        <v>546</v>
      </c>
      <c r="L3084" s="784">
        <v>0</v>
      </c>
      <c r="M3084" t="s">
        <v>745</v>
      </c>
      <c r="N3084" s="784" t="s">
        <v>575</v>
      </c>
      <c r="O3084" t="s">
        <v>737</v>
      </c>
      <c r="P3084" t="s">
        <v>1887</v>
      </c>
      <c r="R3084" t="s">
        <v>152</v>
      </c>
      <c r="S3084" t="s">
        <v>146</v>
      </c>
      <c r="U3084">
        <v>0</v>
      </c>
      <c r="V3084" t="s">
        <v>544</v>
      </c>
      <c r="W3084" t="s">
        <v>546</v>
      </c>
      <c r="X3084" s="784">
        <v>3020530707.3485303</v>
      </c>
    </row>
    <row r="3085" spans="1:24">
      <c r="A3085" t="s">
        <v>358</v>
      </c>
      <c r="B3085" t="s">
        <v>654</v>
      </c>
      <c r="C3085" t="s">
        <v>258</v>
      </c>
      <c r="D3085" t="s">
        <v>126</v>
      </c>
      <c r="E3085" t="s">
        <v>377</v>
      </c>
      <c r="F3085" t="s">
        <v>384</v>
      </c>
      <c r="G3085" t="s">
        <v>72</v>
      </c>
      <c r="H3085" t="s">
        <v>749</v>
      </c>
      <c r="I3085">
        <v>2021</v>
      </c>
      <c r="J3085" t="s">
        <v>379</v>
      </c>
      <c r="K3085" t="s">
        <v>546</v>
      </c>
      <c r="L3085" s="784">
        <v>0</v>
      </c>
      <c r="M3085" t="s">
        <v>745</v>
      </c>
      <c r="N3085" s="784" t="s">
        <v>575</v>
      </c>
      <c r="O3085" t="s">
        <v>737</v>
      </c>
      <c r="P3085" t="s">
        <v>1887</v>
      </c>
      <c r="R3085" t="s">
        <v>150</v>
      </c>
      <c r="S3085" t="s">
        <v>145</v>
      </c>
      <c r="U3085">
        <v>1</v>
      </c>
      <c r="V3085" t="s">
        <v>541</v>
      </c>
      <c r="W3085" t="s">
        <v>542</v>
      </c>
      <c r="X3085" s="784">
        <v>384406316.46074712</v>
      </c>
    </row>
    <row r="3086" spans="1:24">
      <c r="A3086" t="s">
        <v>358</v>
      </c>
      <c r="B3086" t="s">
        <v>655</v>
      </c>
      <c r="C3086" t="s">
        <v>259</v>
      </c>
      <c r="D3086" t="s">
        <v>130</v>
      </c>
      <c r="E3086" t="s">
        <v>377</v>
      </c>
      <c r="F3086" t="s">
        <v>384</v>
      </c>
      <c r="G3086" t="s">
        <v>72</v>
      </c>
      <c r="H3086" t="s">
        <v>749</v>
      </c>
      <c r="I3086">
        <v>2021</v>
      </c>
      <c r="J3086" t="s">
        <v>379</v>
      </c>
      <c r="K3086" t="s">
        <v>546</v>
      </c>
      <c r="L3086" s="784">
        <v>0</v>
      </c>
      <c r="M3086" t="s">
        <v>745</v>
      </c>
      <c r="N3086" s="784" t="s">
        <v>575</v>
      </c>
      <c r="O3086" t="s">
        <v>737</v>
      </c>
      <c r="P3086" t="s">
        <v>1887</v>
      </c>
      <c r="R3086" t="s">
        <v>152</v>
      </c>
      <c r="S3086" t="s">
        <v>146</v>
      </c>
      <c r="U3086">
        <v>0</v>
      </c>
      <c r="V3086" t="s">
        <v>544</v>
      </c>
      <c r="W3086" t="s">
        <v>575</v>
      </c>
      <c r="X3086" s="784">
        <v>1218747108.9554784</v>
      </c>
    </row>
    <row r="3087" spans="1:24">
      <c r="A3087" t="s">
        <v>358</v>
      </c>
      <c r="B3087" t="s">
        <v>656</v>
      </c>
      <c r="C3087" t="s">
        <v>260</v>
      </c>
      <c r="D3087" t="s">
        <v>130</v>
      </c>
      <c r="E3087" t="s">
        <v>377</v>
      </c>
      <c r="F3087" t="s">
        <v>384</v>
      </c>
      <c r="G3087" t="s">
        <v>72</v>
      </c>
      <c r="H3087" t="s">
        <v>749</v>
      </c>
      <c r="I3087">
        <v>2021</v>
      </c>
      <c r="J3087" t="s">
        <v>379</v>
      </c>
      <c r="K3087" t="s">
        <v>546</v>
      </c>
      <c r="L3087" s="784">
        <v>0</v>
      </c>
      <c r="M3087" t="s">
        <v>745</v>
      </c>
      <c r="N3087" s="784" t="s">
        <v>575</v>
      </c>
      <c r="O3087" t="s">
        <v>737</v>
      </c>
      <c r="P3087" t="s">
        <v>1887</v>
      </c>
      <c r="R3087" t="s">
        <v>152</v>
      </c>
      <c r="S3087" t="s">
        <v>146</v>
      </c>
      <c r="U3087">
        <v>0</v>
      </c>
      <c r="V3087" t="s">
        <v>544</v>
      </c>
      <c r="W3087" t="s">
        <v>575</v>
      </c>
      <c r="X3087" s="784">
        <v>7392665952.5895758</v>
      </c>
    </row>
    <row r="3088" spans="1:24">
      <c r="A3088" t="s">
        <v>358</v>
      </c>
      <c r="B3088" t="s">
        <v>657</v>
      </c>
      <c r="C3088" t="s">
        <v>261</v>
      </c>
      <c r="D3088" t="s">
        <v>126</v>
      </c>
      <c r="E3088" t="s">
        <v>377</v>
      </c>
      <c r="F3088" t="s">
        <v>384</v>
      </c>
      <c r="G3088" t="s">
        <v>72</v>
      </c>
      <c r="H3088" t="s">
        <v>749</v>
      </c>
      <c r="I3088">
        <v>2021</v>
      </c>
      <c r="J3088" t="s">
        <v>379</v>
      </c>
      <c r="K3088" t="s">
        <v>546</v>
      </c>
      <c r="L3088" s="784">
        <v>0</v>
      </c>
      <c r="M3088" t="s">
        <v>745</v>
      </c>
      <c r="N3088" s="784" t="s">
        <v>575</v>
      </c>
      <c r="O3088" t="s">
        <v>737</v>
      </c>
      <c r="P3088" t="s">
        <v>1887</v>
      </c>
      <c r="R3088" t="s">
        <v>150</v>
      </c>
      <c r="S3088" t="s">
        <v>145</v>
      </c>
      <c r="U3088">
        <v>0</v>
      </c>
      <c r="V3088" t="s">
        <v>544</v>
      </c>
      <c r="W3088" t="s">
        <v>546</v>
      </c>
      <c r="X3088" s="784">
        <v>4754985988.6004429</v>
      </c>
    </row>
    <row r="3089" spans="1:24">
      <c r="A3089" t="s">
        <v>358</v>
      </c>
      <c r="B3089" t="s">
        <v>658</v>
      </c>
      <c r="C3089" t="s">
        <v>262</v>
      </c>
      <c r="D3089" t="s">
        <v>127</v>
      </c>
      <c r="E3089" t="s">
        <v>377</v>
      </c>
      <c r="F3089" t="s">
        <v>384</v>
      </c>
      <c r="G3089" t="s">
        <v>72</v>
      </c>
      <c r="H3089" t="s">
        <v>749</v>
      </c>
      <c r="I3089">
        <v>2021</v>
      </c>
      <c r="J3089" t="s">
        <v>379</v>
      </c>
      <c r="K3089" t="s">
        <v>546</v>
      </c>
      <c r="L3089" s="784">
        <v>0</v>
      </c>
      <c r="M3089" t="s">
        <v>745</v>
      </c>
      <c r="N3089" s="784" t="s">
        <v>575</v>
      </c>
      <c r="O3089" t="s">
        <v>737</v>
      </c>
      <c r="P3089" t="s">
        <v>1887</v>
      </c>
      <c r="R3089" t="s">
        <v>550</v>
      </c>
      <c r="S3089" t="s">
        <v>146</v>
      </c>
      <c r="U3089">
        <v>0</v>
      </c>
      <c r="V3089" t="s">
        <v>544</v>
      </c>
      <c r="W3089" t="s">
        <v>575</v>
      </c>
      <c r="X3089" s="784">
        <v>26422210443.037273</v>
      </c>
    </row>
    <row r="3090" spans="1:24">
      <c r="A3090" t="s">
        <v>358</v>
      </c>
      <c r="B3090" t="s">
        <v>659</v>
      </c>
      <c r="C3090" t="s">
        <v>151</v>
      </c>
      <c r="D3090" t="s">
        <v>127</v>
      </c>
      <c r="E3090" t="s">
        <v>377</v>
      </c>
      <c r="F3090" t="s">
        <v>384</v>
      </c>
      <c r="G3090" t="s">
        <v>72</v>
      </c>
      <c r="H3090" t="s">
        <v>749</v>
      </c>
      <c r="I3090">
        <v>2021</v>
      </c>
      <c r="J3090" t="s">
        <v>379</v>
      </c>
      <c r="K3090" t="s">
        <v>546</v>
      </c>
      <c r="L3090" s="784">
        <v>0</v>
      </c>
      <c r="M3090" t="s">
        <v>745</v>
      </c>
      <c r="N3090" s="784" t="s">
        <v>575</v>
      </c>
      <c r="O3090" t="s">
        <v>737</v>
      </c>
      <c r="P3090" t="s">
        <v>1887</v>
      </c>
      <c r="R3090" t="s">
        <v>152</v>
      </c>
      <c r="S3090" t="s">
        <v>146</v>
      </c>
      <c r="U3090">
        <v>0</v>
      </c>
      <c r="V3090" t="s">
        <v>544</v>
      </c>
      <c r="W3090" t="s">
        <v>575</v>
      </c>
      <c r="X3090" s="784">
        <v>10696495313.15033</v>
      </c>
    </row>
    <row r="3091" spans="1:24">
      <c r="A3091" t="s">
        <v>358</v>
      </c>
      <c r="B3091" t="s">
        <v>660</v>
      </c>
      <c r="C3091" t="s">
        <v>263</v>
      </c>
      <c r="D3091" t="s">
        <v>127</v>
      </c>
      <c r="E3091" t="s">
        <v>377</v>
      </c>
      <c r="F3091" t="s">
        <v>384</v>
      </c>
      <c r="G3091" t="s">
        <v>72</v>
      </c>
      <c r="H3091" t="s">
        <v>749</v>
      </c>
      <c r="I3091">
        <v>2021</v>
      </c>
      <c r="J3091" t="s">
        <v>379</v>
      </c>
      <c r="K3091" t="s">
        <v>546</v>
      </c>
      <c r="L3091" s="784">
        <v>0</v>
      </c>
      <c r="M3091" t="s">
        <v>745</v>
      </c>
      <c r="N3091" s="784" t="s">
        <v>575</v>
      </c>
      <c r="O3091" t="s">
        <v>737</v>
      </c>
      <c r="P3091" t="s">
        <v>1887</v>
      </c>
      <c r="R3091" t="s">
        <v>152</v>
      </c>
      <c r="S3091" t="s">
        <v>146</v>
      </c>
      <c r="U3091">
        <v>0</v>
      </c>
      <c r="V3091" t="s">
        <v>544</v>
      </c>
      <c r="W3091" t="s">
        <v>575</v>
      </c>
      <c r="X3091" s="784">
        <v>52769713433.240509</v>
      </c>
    </row>
    <row r="3092" spans="1:24">
      <c r="A3092" t="s">
        <v>358</v>
      </c>
      <c r="B3092" t="s">
        <v>661</v>
      </c>
      <c r="C3092" t="s">
        <v>264</v>
      </c>
      <c r="D3092" t="s">
        <v>128</v>
      </c>
      <c r="E3092" t="s">
        <v>377</v>
      </c>
      <c r="F3092" t="s">
        <v>384</v>
      </c>
      <c r="G3092" t="s">
        <v>72</v>
      </c>
      <c r="H3092" t="s">
        <v>749</v>
      </c>
      <c r="I3092">
        <v>2021</v>
      </c>
      <c r="J3092" t="s">
        <v>379</v>
      </c>
      <c r="K3092" t="s">
        <v>546</v>
      </c>
      <c r="L3092" s="784">
        <v>0</v>
      </c>
      <c r="M3092" t="s">
        <v>745</v>
      </c>
      <c r="N3092" s="784" t="s">
        <v>575</v>
      </c>
      <c r="O3092" t="s">
        <v>737</v>
      </c>
      <c r="P3092" t="s">
        <v>1887</v>
      </c>
      <c r="R3092" t="s">
        <v>148</v>
      </c>
      <c r="S3092" t="s">
        <v>145</v>
      </c>
      <c r="U3092">
        <v>0</v>
      </c>
      <c r="V3092" t="s">
        <v>544</v>
      </c>
      <c r="W3092" t="s">
        <v>562</v>
      </c>
      <c r="X3092" s="784">
        <v>225799814.51943746</v>
      </c>
    </row>
    <row r="3093" spans="1:24">
      <c r="A3093" t="s">
        <v>358</v>
      </c>
      <c r="B3093" t="s">
        <v>662</v>
      </c>
      <c r="C3093" t="s">
        <v>265</v>
      </c>
      <c r="D3093" t="s">
        <v>126</v>
      </c>
      <c r="E3093" t="s">
        <v>377</v>
      </c>
      <c r="F3093" t="s">
        <v>384</v>
      </c>
      <c r="G3093" t="s">
        <v>72</v>
      </c>
      <c r="H3093" t="s">
        <v>749</v>
      </c>
      <c r="I3093">
        <v>2021</v>
      </c>
      <c r="J3093" t="s">
        <v>379</v>
      </c>
      <c r="K3093" t="s">
        <v>546</v>
      </c>
      <c r="L3093" s="784">
        <v>0</v>
      </c>
      <c r="M3093" t="s">
        <v>745</v>
      </c>
      <c r="N3093" s="784" t="s">
        <v>575</v>
      </c>
      <c r="O3093" t="s">
        <v>737</v>
      </c>
      <c r="P3093" t="s">
        <v>1887</v>
      </c>
      <c r="R3093" t="s">
        <v>150</v>
      </c>
      <c r="S3093" t="s">
        <v>145</v>
      </c>
      <c r="U3093">
        <v>0</v>
      </c>
      <c r="V3093" t="s">
        <v>541</v>
      </c>
      <c r="W3093" t="s">
        <v>542</v>
      </c>
      <c r="X3093" s="784">
        <v>32192988.027009469</v>
      </c>
    </row>
    <row r="3094" spans="1:24">
      <c r="A3094" t="s">
        <v>358</v>
      </c>
      <c r="B3094" t="s">
        <v>663</v>
      </c>
      <c r="C3094" t="s">
        <v>266</v>
      </c>
      <c r="D3094" t="s">
        <v>129</v>
      </c>
      <c r="E3094" t="s">
        <v>377</v>
      </c>
      <c r="F3094" t="s">
        <v>384</v>
      </c>
      <c r="G3094" t="s">
        <v>72</v>
      </c>
      <c r="H3094" t="s">
        <v>749</v>
      </c>
      <c r="I3094">
        <v>2021</v>
      </c>
      <c r="J3094" t="s">
        <v>379</v>
      </c>
      <c r="K3094" t="s">
        <v>546</v>
      </c>
      <c r="L3094" s="784">
        <v>0</v>
      </c>
      <c r="M3094" t="s">
        <v>745</v>
      </c>
      <c r="N3094" s="784" t="s">
        <v>575</v>
      </c>
      <c r="O3094" t="s">
        <v>737</v>
      </c>
      <c r="P3094" t="s">
        <v>1887</v>
      </c>
      <c r="R3094" t="s">
        <v>150</v>
      </c>
      <c r="S3094" t="s">
        <v>145</v>
      </c>
      <c r="U3094">
        <v>0</v>
      </c>
      <c r="V3094" t="s">
        <v>541</v>
      </c>
      <c r="W3094" t="s">
        <v>583</v>
      </c>
      <c r="X3094" s="784">
        <v>11633535.136477679</v>
      </c>
    </row>
    <row r="3095" spans="1:24">
      <c r="A3095" t="s">
        <v>358</v>
      </c>
      <c r="B3095" t="s">
        <v>664</v>
      </c>
      <c r="C3095" t="s">
        <v>267</v>
      </c>
      <c r="D3095" t="s">
        <v>129</v>
      </c>
      <c r="E3095" t="s">
        <v>377</v>
      </c>
      <c r="F3095" t="s">
        <v>384</v>
      </c>
      <c r="G3095" t="s">
        <v>72</v>
      </c>
      <c r="H3095" t="s">
        <v>749</v>
      </c>
      <c r="I3095">
        <v>2021</v>
      </c>
      <c r="J3095" t="s">
        <v>379</v>
      </c>
      <c r="K3095" t="s">
        <v>546</v>
      </c>
      <c r="L3095" s="784">
        <v>0</v>
      </c>
      <c r="M3095" t="s">
        <v>745</v>
      </c>
      <c r="N3095" s="784" t="s">
        <v>575</v>
      </c>
      <c r="O3095" t="s">
        <v>737</v>
      </c>
      <c r="P3095" t="s">
        <v>1887</v>
      </c>
      <c r="R3095" t="s">
        <v>150</v>
      </c>
      <c r="S3095" t="s">
        <v>145</v>
      </c>
      <c r="U3095">
        <v>2</v>
      </c>
      <c r="V3095" t="s">
        <v>544</v>
      </c>
      <c r="W3095" t="s">
        <v>562</v>
      </c>
      <c r="X3095" s="784">
        <v>222008693.93354639</v>
      </c>
    </row>
    <row r="3096" spans="1:24">
      <c r="A3096" t="s">
        <v>358</v>
      </c>
      <c r="B3096" t="s">
        <v>665</v>
      </c>
      <c r="C3096" t="s">
        <v>153</v>
      </c>
      <c r="D3096" t="s">
        <v>127</v>
      </c>
      <c r="E3096" t="s">
        <v>377</v>
      </c>
      <c r="F3096" t="s">
        <v>384</v>
      </c>
      <c r="G3096" t="s">
        <v>72</v>
      </c>
      <c r="H3096" t="s">
        <v>749</v>
      </c>
      <c r="I3096">
        <v>2021</v>
      </c>
      <c r="J3096" t="s">
        <v>379</v>
      </c>
      <c r="K3096" t="s">
        <v>546</v>
      </c>
      <c r="L3096" s="784">
        <v>0</v>
      </c>
      <c r="M3096" t="s">
        <v>745</v>
      </c>
      <c r="N3096" s="784" t="s">
        <v>575</v>
      </c>
      <c r="O3096" t="s">
        <v>737</v>
      </c>
      <c r="P3096" t="s">
        <v>1887</v>
      </c>
      <c r="R3096" t="s">
        <v>152</v>
      </c>
      <c r="S3096" t="s">
        <v>146</v>
      </c>
      <c r="U3096">
        <v>0</v>
      </c>
      <c r="V3096" t="s">
        <v>544</v>
      </c>
      <c r="W3096" t="s">
        <v>575</v>
      </c>
      <c r="X3096" s="784">
        <v>2564993795.1894679</v>
      </c>
    </row>
    <row r="3097" spans="1:24">
      <c r="A3097" t="s">
        <v>358</v>
      </c>
      <c r="B3097" t="s">
        <v>666</v>
      </c>
      <c r="C3097" t="s">
        <v>268</v>
      </c>
      <c r="D3097" t="s">
        <v>128</v>
      </c>
      <c r="E3097" t="s">
        <v>377</v>
      </c>
      <c r="F3097" t="s">
        <v>384</v>
      </c>
      <c r="G3097" t="s">
        <v>72</v>
      </c>
      <c r="H3097" t="s">
        <v>749</v>
      </c>
      <c r="I3097">
        <v>2021</v>
      </c>
      <c r="J3097" t="s">
        <v>379</v>
      </c>
      <c r="K3097" t="s">
        <v>546</v>
      </c>
      <c r="L3097" s="784">
        <v>0</v>
      </c>
      <c r="M3097" t="s">
        <v>745</v>
      </c>
      <c r="N3097" s="784" t="s">
        <v>575</v>
      </c>
      <c r="O3097" t="s">
        <v>737</v>
      </c>
      <c r="P3097" t="s">
        <v>1887</v>
      </c>
      <c r="R3097" t="s">
        <v>550</v>
      </c>
      <c r="S3097" t="s">
        <v>146</v>
      </c>
      <c r="U3097">
        <v>0</v>
      </c>
      <c r="V3097" t="s">
        <v>541</v>
      </c>
      <c r="W3097" t="s">
        <v>546</v>
      </c>
      <c r="X3097" s="784">
        <v>60237542.945069775</v>
      </c>
    </row>
    <row r="3098" spans="1:24">
      <c r="A3098" t="s">
        <v>358</v>
      </c>
      <c r="B3098" t="s">
        <v>667</v>
      </c>
      <c r="C3098" t="s">
        <v>269</v>
      </c>
      <c r="D3098" t="s">
        <v>129</v>
      </c>
      <c r="E3098" t="s">
        <v>377</v>
      </c>
      <c r="F3098" t="s">
        <v>384</v>
      </c>
      <c r="G3098" t="s">
        <v>72</v>
      </c>
      <c r="H3098" t="s">
        <v>749</v>
      </c>
      <c r="I3098">
        <v>2021</v>
      </c>
      <c r="J3098" t="s">
        <v>379</v>
      </c>
      <c r="K3098" t="s">
        <v>546</v>
      </c>
      <c r="L3098" s="784">
        <v>0</v>
      </c>
      <c r="M3098" t="s">
        <v>745</v>
      </c>
      <c r="N3098" s="784" t="s">
        <v>575</v>
      </c>
      <c r="O3098" t="s">
        <v>737</v>
      </c>
      <c r="P3098" t="s">
        <v>1887</v>
      </c>
      <c r="R3098" t="s">
        <v>148</v>
      </c>
      <c r="S3098" t="s">
        <v>145</v>
      </c>
      <c r="U3098">
        <v>0</v>
      </c>
      <c r="V3098" t="s">
        <v>544</v>
      </c>
      <c r="W3098" t="s">
        <v>542</v>
      </c>
      <c r="X3098" s="784">
        <v>63738640.538260505</v>
      </c>
    </row>
    <row r="3099" spans="1:24">
      <c r="A3099" t="s">
        <v>358</v>
      </c>
      <c r="B3099" t="s">
        <v>668</v>
      </c>
      <c r="C3099" t="s">
        <v>270</v>
      </c>
      <c r="D3099" t="s">
        <v>126</v>
      </c>
      <c r="E3099" t="s">
        <v>377</v>
      </c>
      <c r="F3099" t="s">
        <v>384</v>
      </c>
      <c r="G3099" t="s">
        <v>72</v>
      </c>
      <c r="H3099" t="s">
        <v>749</v>
      </c>
      <c r="I3099">
        <v>2021</v>
      </c>
      <c r="J3099" t="s">
        <v>379</v>
      </c>
      <c r="K3099" t="s">
        <v>546</v>
      </c>
      <c r="L3099" s="784">
        <v>0</v>
      </c>
      <c r="M3099" t="s">
        <v>745</v>
      </c>
      <c r="N3099" s="784" t="s">
        <v>575</v>
      </c>
      <c r="O3099" t="s">
        <v>737</v>
      </c>
      <c r="P3099" t="s">
        <v>1887</v>
      </c>
      <c r="R3099" t="s">
        <v>150</v>
      </c>
      <c r="S3099" t="s">
        <v>145</v>
      </c>
      <c r="U3099">
        <v>0</v>
      </c>
      <c r="V3099" t="s">
        <v>541</v>
      </c>
      <c r="W3099" t="s">
        <v>562</v>
      </c>
      <c r="X3099" s="784">
        <v>49012774.055630356</v>
      </c>
    </row>
    <row r="3100" spans="1:24">
      <c r="A3100" t="s">
        <v>358</v>
      </c>
      <c r="B3100" t="s">
        <v>669</v>
      </c>
      <c r="C3100" t="s">
        <v>271</v>
      </c>
      <c r="D3100" t="s">
        <v>128</v>
      </c>
      <c r="E3100" t="s">
        <v>377</v>
      </c>
      <c r="F3100" t="s">
        <v>384</v>
      </c>
      <c r="G3100" t="s">
        <v>72</v>
      </c>
      <c r="H3100" t="s">
        <v>749</v>
      </c>
      <c r="I3100">
        <v>2021</v>
      </c>
      <c r="J3100" t="s">
        <v>379</v>
      </c>
      <c r="K3100" t="s">
        <v>546</v>
      </c>
      <c r="L3100" s="784">
        <v>0</v>
      </c>
      <c r="M3100" t="s">
        <v>745</v>
      </c>
      <c r="N3100" s="784" t="s">
        <v>575</v>
      </c>
      <c r="O3100" t="s">
        <v>737</v>
      </c>
      <c r="P3100" t="s">
        <v>1887</v>
      </c>
      <c r="R3100" t="s">
        <v>148</v>
      </c>
      <c r="S3100" t="s">
        <v>145</v>
      </c>
      <c r="U3100">
        <v>1</v>
      </c>
      <c r="V3100" t="s">
        <v>544</v>
      </c>
      <c r="W3100" t="s">
        <v>583</v>
      </c>
      <c r="X3100" s="784" t="s">
        <v>575</v>
      </c>
    </row>
    <row r="3101" spans="1:24">
      <c r="A3101" t="s">
        <v>358</v>
      </c>
      <c r="B3101" t="s">
        <v>670</v>
      </c>
      <c r="C3101" t="s">
        <v>272</v>
      </c>
      <c r="D3101" t="s">
        <v>128</v>
      </c>
      <c r="E3101" t="s">
        <v>377</v>
      </c>
      <c r="F3101" t="s">
        <v>384</v>
      </c>
      <c r="G3101" t="s">
        <v>72</v>
      </c>
      <c r="H3101" t="s">
        <v>749</v>
      </c>
      <c r="I3101">
        <v>2021</v>
      </c>
      <c r="J3101" t="s">
        <v>379</v>
      </c>
      <c r="K3101" t="s">
        <v>546</v>
      </c>
      <c r="L3101" s="784">
        <v>0</v>
      </c>
      <c r="M3101" t="s">
        <v>745</v>
      </c>
      <c r="N3101" s="784" t="s">
        <v>575</v>
      </c>
      <c r="O3101" t="s">
        <v>737</v>
      </c>
      <c r="P3101" t="s">
        <v>1887</v>
      </c>
      <c r="R3101" t="s">
        <v>152</v>
      </c>
      <c r="S3101" t="s">
        <v>146</v>
      </c>
      <c r="U3101">
        <v>0</v>
      </c>
      <c r="V3101" t="s">
        <v>544</v>
      </c>
      <c r="W3101" t="s">
        <v>546</v>
      </c>
      <c r="X3101" s="784">
        <v>16429121142.784708</v>
      </c>
    </row>
    <row r="3102" spans="1:24">
      <c r="A3102" t="s">
        <v>358</v>
      </c>
      <c r="B3102" t="s">
        <v>671</v>
      </c>
      <c r="C3102" t="s">
        <v>273</v>
      </c>
      <c r="D3102" t="s">
        <v>128</v>
      </c>
      <c r="E3102" t="s">
        <v>377</v>
      </c>
      <c r="F3102" t="s">
        <v>384</v>
      </c>
      <c r="G3102" t="s">
        <v>72</v>
      </c>
      <c r="H3102" t="s">
        <v>749</v>
      </c>
      <c r="I3102">
        <v>2021</v>
      </c>
      <c r="J3102" t="s">
        <v>379</v>
      </c>
      <c r="K3102" t="s">
        <v>546</v>
      </c>
      <c r="L3102" s="784">
        <v>0</v>
      </c>
      <c r="M3102" t="s">
        <v>745</v>
      </c>
      <c r="N3102" s="784" t="s">
        <v>575</v>
      </c>
      <c r="O3102" t="s">
        <v>737</v>
      </c>
      <c r="P3102" t="s">
        <v>1887</v>
      </c>
      <c r="R3102" t="s">
        <v>148</v>
      </c>
      <c r="S3102" t="s">
        <v>145</v>
      </c>
      <c r="U3102">
        <v>1</v>
      </c>
      <c r="V3102" t="s">
        <v>544</v>
      </c>
      <c r="W3102" t="s">
        <v>542</v>
      </c>
      <c r="X3102" s="784">
        <v>31684581.76217727</v>
      </c>
    </row>
    <row r="3103" spans="1:24">
      <c r="A3103" t="s">
        <v>358</v>
      </c>
      <c r="B3103" t="s">
        <v>672</v>
      </c>
      <c r="C3103" t="s">
        <v>274</v>
      </c>
      <c r="D3103" t="s">
        <v>132</v>
      </c>
      <c r="E3103" t="s">
        <v>377</v>
      </c>
      <c r="F3103" t="s">
        <v>384</v>
      </c>
      <c r="G3103" t="s">
        <v>72</v>
      </c>
      <c r="H3103" t="s">
        <v>749</v>
      </c>
      <c r="I3103">
        <v>2021</v>
      </c>
      <c r="J3103" t="s">
        <v>379</v>
      </c>
      <c r="K3103" t="s">
        <v>546</v>
      </c>
      <c r="L3103" s="784">
        <v>0</v>
      </c>
      <c r="M3103" t="s">
        <v>745</v>
      </c>
      <c r="N3103" s="784" t="s">
        <v>575</v>
      </c>
      <c r="O3103" t="s">
        <v>737</v>
      </c>
      <c r="P3103" t="s">
        <v>1887</v>
      </c>
      <c r="R3103" t="s">
        <v>150</v>
      </c>
      <c r="S3103" t="s">
        <v>145</v>
      </c>
      <c r="U3103">
        <v>0</v>
      </c>
      <c r="V3103" t="s">
        <v>544</v>
      </c>
      <c r="W3103" t="s">
        <v>546</v>
      </c>
      <c r="X3103" s="784">
        <v>1373621563.5182886</v>
      </c>
    </row>
    <row r="3104" spans="1:24">
      <c r="A3104" t="s">
        <v>358</v>
      </c>
      <c r="B3104" t="s">
        <v>673</v>
      </c>
      <c r="C3104" t="s">
        <v>275</v>
      </c>
      <c r="D3104" t="s">
        <v>130</v>
      </c>
      <c r="E3104" t="s">
        <v>377</v>
      </c>
      <c r="F3104" t="s">
        <v>384</v>
      </c>
      <c r="G3104" t="s">
        <v>72</v>
      </c>
      <c r="H3104" t="s">
        <v>749</v>
      </c>
      <c r="I3104">
        <v>2021</v>
      </c>
      <c r="J3104" t="s">
        <v>379</v>
      </c>
      <c r="K3104" t="s">
        <v>546</v>
      </c>
      <c r="L3104" s="784">
        <v>0</v>
      </c>
      <c r="M3104" t="s">
        <v>745</v>
      </c>
      <c r="N3104" s="784" t="s">
        <v>575</v>
      </c>
      <c r="O3104" t="s">
        <v>737</v>
      </c>
      <c r="P3104" t="s">
        <v>1887</v>
      </c>
      <c r="R3104" t="s">
        <v>550</v>
      </c>
      <c r="S3104" t="s">
        <v>146</v>
      </c>
      <c r="U3104">
        <v>0</v>
      </c>
      <c r="V3104" t="s">
        <v>541</v>
      </c>
      <c r="W3104" t="s">
        <v>575</v>
      </c>
      <c r="X3104" s="784">
        <v>24214370.889062837</v>
      </c>
    </row>
    <row r="3105" spans="1:24">
      <c r="A3105" t="s">
        <v>358</v>
      </c>
      <c r="B3105" t="s">
        <v>674</v>
      </c>
      <c r="C3105" t="s">
        <v>154</v>
      </c>
      <c r="D3105" t="s">
        <v>130</v>
      </c>
      <c r="E3105" t="s">
        <v>377</v>
      </c>
      <c r="F3105" t="s">
        <v>384</v>
      </c>
      <c r="G3105" t="s">
        <v>72</v>
      </c>
      <c r="H3105" t="s">
        <v>749</v>
      </c>
      <c r="I3105">
        <v>2021</v>
      </c>
      <c r="J3105" t="s">
        <v>379</v>
      </c>
      <c r="K3105" t="s">
        <v>546</v>
      </c>
      <c r="L3105" s="784">
        <v>0</v>
      </c>
      <c r="M3105" t="s">
        <v>745</v>
      </c>
      <c r="N3105" s="784" t="s">
        <v>575</v>
      </c>
      <c r="O3105" t="s">
        <v>737</v>
      </c>
      <c r="P3105" t="s">
        <v>1887</v>
      </c>
      <c r="R3105" t="s">
        <v>152</v>
      </c>
      <c r="S3105" t="s">
        <v>145</v>
      </c>
      <c r="U3105">
        <v>0</v>
      </c>
      <c r="V3105" t="s">
        <v>541</v>
      </c>
      <c r="W3105" t="s">
        <v>548</v>
      </c>
      <c r="X3105" s="784">
        <v>39941279.609447442</v>
      </c>
    </row>
    <row r="3106" spans="1:24">
      <c r="A3106" t="s">
        <v>358</v>
      </c>
      <c r="B3106" t="s">
        <v>675</v>
      </c>
      <c r="C3106" t="s">
        <v>155</v>
      </c>
      <c r="D3106" t="s">
        <v>130</v>
      </c>
      <c r="E3106" t="s">
        <v>377</v>
      </c>
      <c r="F3106" t="s">
        <v>384</v>
      </c>
      <c r="G3106" t="s">
        <v>72</v>
      </c>
      <c r="H3106" t="s">
        <v>749</v>
      </c>
      <c r="I3106">
        <v>2021</v>
      </c>
      <c r="J3106" t="s">
        <v>379</v>
      </c>
      <c r="K3106" t="s">
        <v>546</v>
      </c>
      <c r="L3106" s="784">
        <v>0</v>
      </c>
      <c r="M3106" t="s">
        <v>745</v>
      </c>
      <c r="N3106" s="784" t="s">
        <v>575</v>
      </c>
      <c r="O3106" t="s">
        <v>737</v>
      </c>
      <c r="P3106" t="s">
        <v>1887</v>
      </c>
      <c r="R3106" t="s">
        <v>152</v>
      </c>
      <c r="S3106" t="s">
        <v>145</v>
      </c>
      <c r="U3106">
        <v>0</v>
      </c>
      <c r="V3106" t="s">
        <v>541</v>
      </c>
      <c r="W3106" t="s">
        <v>542</v>
      </c>
      <c r="X3106" s="784">
        <v>24761675.260059897</v>
      </c>
    </row>
    <row r="3107" spans="1:24">
      <c r="A3107" t="s">
        <v>358</v>
      </c>
      <c r="B3107" t="s">
        <v>676</v>
      </c>
      <c r="C3107" t="s">
        <v>276</v>
      </c>
      <c r="D3107" t="s">
        <v>131</v>
      </c>
      <c r="E3107" t="s">
        <v>377</v>
      </c>
      <c r="F3107" t="s">
        <v>384</v>
      </c>
      <c r="G3107" t="s">
        <v>72</v>
      </c>
      <c r="H3107" t="s">
        <v>749</v>
      </c>
      <c r="I3107">
        <v>2021</v>
      </c>
      <c r="J3107" t="s">
        <v>379</v>
      </c>
      <c r="K3107" t="s">
        <v>546</v>
      </c>
      <c r="L3107" s="784">
        <v>0</v>
      </c>
      <c r="M3107" t="s">
        <v>745</v>
      </c>
      <c r="N3107" s="784" t="s">
        <v>575</v>
      </c>
      <c r="O3107" t="s">
        <v>737</v>
      </c>
      <c r="P3107" t="s">
        <v>1887</v>
      </c>
      <c r="R3107" t="s">
        <v>150</v>
      </c>
      <c r="S3107" t="s">
        <v>145</v>
      </c>
      <c r="U3107">
        <v>0</v>
      </c>
      <c r="V3107" t="s">
        <v>544</v>
      </c>
      <c r="W3107" t="s">
        <v>546</v>
      </c>
      <c r="X3107" s="784" t="s">
        <v>575</v>
      </c>
    </row>
    <row r="3108" spans="1:24">
      <c r="A3108" t="s">
        <v>358</v>
      </c>
      <c r="B3108" t="s">
        <v>677</v>
      </c>
      <c r="C3108" t="s">
        <v>277</v>
      </c>
      <c r="D3108" t="s">
        <v>131</v>
      </c>
      <c r="E3108" t="s">
        <v>377</v>
      </c>
      <c r="F3108" t="s">
        <v>384</v>
      </c>
      <c r="G3108" t="s">
        <v>72</v>
      </c>
      <c r="H3108" t="s">
        <v>749</v>
      </c>
      <c r="I3108">
        <v>2021</v>
      </c>
      <c r="J3108" t="s">
        <v>379</v>
      </c>
      <c r="K3108" t="s">
        <v>546</v>
      </c>
      <c r="L3108" s="784">
        <v>0</v>
      </c>
      <c r="M3108" t="s">
        <v>745</v>
      </c>
      <c r="N3108" s="784" t="s">
        <v>575</v>
      </c>
      <c r="O3108" t="s">
        <v>737</v>
      </c>
      <c r="P3108" t="s">
        <v>1887</v>
      </c>
      <c r="R3108" t="s">
        <v>148</v>
      </c>
      <c r="S3108" t="s">
        <v>145</v>
      </c>
      <c r="U3108">
        <v>1</v>
      </c>
      <c r="V3108" t="s">
        <v>544</v>
      </c>
      <c r="W3108" t="s">
        <v>546</v>
      </c>
      <c r="X3108" s="784">
        <v>577156172.71229994</v>
      </c>
    </row>
    <row r="3109" spans="1:24">
      <c r="A3109" t="s">
        <v>358</v>
      </c>
      <c r="B3109" t="s">
        <v>678</v>
      </c>
      <c r="C3109" t="s">
        <v>278</v>
      </c>
      <c r="D3109" t="s">
        <v>126</v>
      </c>
      <c r="E3109" t="s">
        <v>377</v>
      </c>
      <c r="F3109" t="s">
        <v>384</v>
      </c>
      <c r="G3109" t="s">
        <v>72</v>
      </c>
      <c r="H3109" t="s">
        <v>749</v>
      </c>
      <c r="I3109">
        <v>2021</v>
      </c>
      <c r="J3109" t="s">
        <v>379</v>
      </c>
      <c r="K3109" t="s">
        <v>546</v>
      </c>
      <c r="L3109" s="784">
        <v>0</v>
      </c>
      <c r="M3109" t="s">
        <v>745</v>
      </c>
      <c r="N3109" s="784" t="s">
        <v>575</v>
      </c>
      <c r="O3109" t="s">
        <v>737</v>
      </c>
      <c r="P3109" t="s">
        <v>1887</v>
      </c>
      <c r="R3109" t="s">
        <v>152</v>
      </c>
      <c r="S3109" t="s">
        <v>146</v>
      </c>
      <c r="U3109">
        <v>0</v>
      </c>
      <c r="V3109" t="s">
        <v>541</v>
      </c>
      <c r="W3109" t="s">
        <v>575</v>
      </c>
      <c r="X3109" s="784">
        <v>180052034.19851837</v>
      </c>
    </row>
    <row r="3110" spans="1:24">
      <c r="A3110" t="s">
        <v>358</v>
      </c>
      <c r="B3110" t="s">
        <v>679</v>
      </c>
      <c r="C3110" t="s">
        <v>279</v>
      </c>
      <c r="D3110" t="s">
        <v>131</v>
      </c>
      <c r="E3110" t="s">
        <v>377</v>
      </c>
      <c r="F3110" t="s">
        <v>384</v>
      </c>
      <c r="G3110" t="s">
        <v>72</v>
      </c>
      <c r="H3110" t="s">
        <v>749</v>
      </c>
      <c r="I3110">
        <v>2021</v>
      </c>
      <c r="J3110" t="s">
        <v>379</v>
      </c>
      <c r="K3110" t="s">
        <v>546</v>
      </c>
      <c r="L3110" s="784">
        <v>0</v>
      </c>
      <c r="M3110" t="s">
        <v>745</v>
      </c>
      <c r="N3110" s="784" t="s">
        <v>575</v>
      </c>
      <c r="O3110" t="s">
        <v>737</v>
      </c>
      <c r="P3110" t="s">
        <v>1887</v>
      </c>
      <c r="R3110" t="s">
        <v>148</v>
      </c>
      <c r="S3110" t="s">
        <v>145</v>
      </c>
      <c r="U3110">
        <v>1</v>
      </c>
      <c r="V3110" t="s">
        <v>544</v>
      </c>
      <c r="W3110" t="s">
        <v>546</v>
      </c>
      <c r="X3110" s="784" t="s">
        <v>575</v>
      </c>
    </row>
    <row r="3111" spans="1:24">
      <c r="A3111" t="s">
        <v>358</v>
      </c>
      <c r="B3111" t="s">
        <v>680</v>
      </c>
      <c r="C3111" t="s">
        <v>280</v>
      </c>
      <c r="D3111" t="s">
        <v>127</v>
      </c>
      <c r="E3111" t="s">
        <v>377</v>
      </c>
      <c r="F3111" t="s">
        <v>384</v>
      </c>
      <c r="G3111" t="s">
        <v>72</v>
      </c>
      <c r="H3111" t="s">
        <v>749</v>
      </c>
      <c r="I3111">
        <v>2021</v>
      </c>
      <c r="J3111" t="s">
        <v>379</v>
      </c>
      <c r="K3111" t="s">
        <v>546</v>
      </c>
      <c r="L3111" s="784">
        <v>0</v>
      </c>
      <c r="M3111" t="s">
        <v>745</v>
      </c>
      <c r="N3111" s="784" t="s">
        <v>575</v>
      </c>
      <c r="O3111" t="s">
        <v>737</v>
      </c>
      <c r="P3111" t="s">
        <v>1887</v>
      </c>
      <c r="R3111" t="s">
        <v>150</v>
      </c>
      <c r="S3111" t="s">
        <v>145</v>
      </c>
      <c r="U3111">
        <v>0</v>
      </c>
      <c r="V3111" t="s">
        <v>544</v>
      </c>
      <c r="W3111" t="s">
        <v>542</v>
      </c>
      <c r="X3111" s="784">
        <v>147296124.32232863</v>
      </c>
    </row>
    <row r="3112" spans="1:24">
      <c r="A3112" t="s">
        <v>358</v>
      </c>
      <c r="B3112" t="s">
        <v>681</v>
      </c>
      <c r="C3112" t="s">
        <v>156</v>
      </c>
      <c r="D3112" t="s">
        <v>128</v>
      </c>
      <c r="E3112" t="s">
        <v>377</v>
      </c>
      <c r="F3112" t="s">
        <v>384</v>
      </c>
      <c r="G3112" t="s">
        <v>72</v>
      </c>
      <c r="H3112" t="s">
        <v>749</v>
      </c>
      <c r="I3112">
        <v>2021</v>
      </c>
      <c r="J3112" t="s">
        <v>379</v>
      </c>
      <c r="K3112" t="s">
        <v>546</v>
      </c>
      <c r="L3112" s="784">
        <v>0</v>
      </c>
      <c r="M3112" t="s">
        <v>745</v>
      </c>
      <c r="N3112" s="784" t="s">
        <v>575</v>
      </c>
      <c r="O3112" t="s">
        <v>737</v>
      </c>
      <c r="P3112" t="s">
        <v>1887</v>
      </c>
      <c r="R3112" t="s">
        <v>150</v>
      </c>
      <c r="S3112" t="s">
        <v>145</v>
      </c>
      <c r="U3112">
        <v>0</v>
      </c>
      <c r="V3112" t="s">
        <v>544</v>
      </c>
      <c r="W3112" t="s">
        <v>548</v>
      </c>
      <c r="X3112" s="784">
        <v>890576536.83065879</v>
      </c>
    </row>
    <row r="3113" spans="1:24">
      <c r="A3113" t="s">
        <v>358</v>
      </c>
      <c r="B3113" t="s">
        <v>682</v>
      </c>
      <c r="C3113" t="s">
        <v>157</v>
      </c>
      <c r="D3113" t="s">
        <v>126</v>
      </c>
      <c r="E3113" t="s">
        <v>377</v>
      </c>
      <c r="F3113" t="s">
        <v>384</v>
      </c>
      <c r="G3113" t="s">
        <v>72</v>
      </c>
      <c r="H3113" t="s">
        <v>749</v>
      </c>
      <c r="I3113">
        <v>2021</v>
      </c>
      <c r="J3113" t="s">
        <v>379</v>
      </c>
      <c r="K3113" t="s">
        <v>546</v>
      </c>
      <c r="L3113" s="784">
        <v>0</v>
      </c>
      <c r="M3113" t="s">
        <v>745</v>
      </c>
      <c r="N3113" s="784" t="s">
        <v>575</v>
      </c>
      <c r="O3113" t="s">
        <v>737</v>
      </c>
      <c r="P3113" t="s">
        <v>1887</v>
      </c>
      <c r="R3113" t="s">
        <v>152</v>
      </c>
      <c r="S3113" t="s">
        <v>146</v>
      </c>
      <c r="U3113">
        <v>0</v>
      </c>
      <c r="V3113" t="s">
        <v>544</v>
      </c>
      <c r="W3113" t="s">
        <v>575</v>
      </c>
      <c r="X3113" s="784">
        <v>14611129792.346064</v>
      </c>
    </row>
    <row r="3114" spans="1:24">
      <c r="A3114" t="s">
        <v>358</v>
      </c>
      <c r="B3114" t="s">
        <v>683</v>
      </c>
      <c r="C3114" t="s">
        <v>281</v>
      </c>
      <c r="D3114" t="s">
        <v>126</v>
      </c>
      <c r="E3114" t="s">
        <v>377</v>
      </c>
      <c r="F3114" t="s">
        <v>384</v>
      </c>
      <c r="G3114" t="s">
        <v>72</v>
      </c>
      <c r="H3114" t="s">
        <v>749</v>
      </c>
      <c r="I3114">
        <v>2021</v>
      </c>
      <c r="J3114" t="s">
        <v>379</v>
      </c>
      <c r="K3114" t="s">
        <v>546</v>
      </c>
      <c r="L3114" s="784">
        <v>0</v>
      </c>
      <c r="M3114" t="s">
        <v>745</v>
      </c>
      <c r="N3114" s="784" t="s">
        <v>575</v>
      </c>
      <c r="O3114" t="s">
        <v>737</v>
      </c>
      <c r="P3114" t="s">
        <v>1887</v>
      </c>
      <c r="R3114" t="s">
        <v>150</v>
      </c>
      <c r="S3114" t="s">
        <v>145</v>
      </c>
      <c r="U3114">
        <v>0</v>
      </c>
      <c r="V3114" t="s">
        <v>541</v>
      </c>
      <c r="W3114" t="s">
        <v>558</v>
      </c>
      <c r="X3114" s="784">
        <v>72046877.233008593</v>
      </c>
    </row>
    <row r="3115" spans="1:24">
      <c r="A3115" t="s">
        <v>358</v>
      </c>
      <c r="B3115" t="s">
        <v>684</v>
      </c>
      <c r="C3115" t="s">
        <v>282</v>
      </c>
      <c r="D3115" t="s">
        <v>129</v>
      </c>
      <c r="E3115" t="s">
        <v>377</v>
      </c>
      <c r="F3115" t="s">
        <v>384</v>
      </c>
      <c r="G3115" t="s">
        <v>72</v>
      </c>
      <c r="H3115" t="s">
        <v>749</v>
      </c>
      <c r="I3115">
        <v>2021</v>
      </c>
      <c r="J3115" t="s">
        <v>379</v>
      </c>
      <c r="K3115" t="s">
        <v>546</v>
      </c>
      <c r="L3115" s="784">
        <v>0</v>
      </c>
      <c r="M3115" t="s">
        <v>745</v>
      </c>
      <c r="N3115" s="784" t="s">
        <v>575</v>
      </c>
      <c r="O3115" t="s">
        <v>737</v>
      </c>
      <c r="P3115" t="s">
        <v>1887</v>
      </c>
      <c r="R3115" t="s">
        <v>148</v>
      </c>
      <c r="S3115" t="s">
        <v>145</v>
      </c>
      <c r="U3115">
        <v>0</v>
      </c>
      <c r="V3115" t="s">
        <v>544</v>
      </c>
      <c r="W3115" t="s">
        <v>542</v>
      </c>
      <c r="X3115" s="784">
        <v>56248139.267255567</v>
      </c>
    </row>
    <row r="3116" spans="1:24">
      <c r="A3116" t="s">
        <v>358</v>
      </c>
      <c r="B3116" t="s">
        <v>685</v>
      </c>
      <c r="C3116" t="s">
        <v>283</v>
      </c>
      <c r="D3116" t="s">
        <v>126</v>
      </c>
      <c r="E3116" t="s">
        <v>377</v>
      </c>
      <c r="F3116" t="s">
        <v>384</v>
      </c>
      <c r="G3116" t="s">
        <v>72</v>
      </c>
      <c r="H3116" t="s">
        <v>749</v>
      </c>
      <c r="I3116">
        <v>2021</v>
      </c>
      <c r="J3116" t="s">
        <v>379</v>
      </c>
      <c r="K3116" t="s">
        <v>546</v>
      </c>
      <c r="L3116" s="784">
        <v>0</v>
      </c>
      <c r="M3116" t="s">
        <v>745</v>
      </c>
      <c r="N3116" s="784" t="s">
        <v>575</v>
      </c>
      <c r="O3116" t="s">
        <v>737</v>
      </c>
      <c r="P3116" t="s">
        <v>1887</v>
      </c>
      <c r="R3116" t="s">
        <v>152</v>
      </c>
      <c r="S3116" t="s">
        <v>145</v>
      </c>
      <c r="U3116">
        <v>0</v>
      </c>
      <c r="V3116" t="s">
        <v>541</v>
      </c>
      <c r="W3116" t="s">
        <v>542</v>
      </c>
      <c r="X3116" s="784">
        <v>15464031.712942109</v>
      </c>
    </row>
    <row r="3117" spans="1:24">
      <c r="A3117" t="s">
        <v>358</v>
      </c>
      <c r="B3117" t="s">
        <v>686</v>
      </c>
      <c r="C3117" t="s">
        <v>284</v>
      </c>
      <c r="D3117" t="s">
        <v>130</v>
      </c>
      <c r="E3117" t="s">
        <v>377</v>
      </c>
      <c r="F3117" t="s">
        <v>384</v>
      </c>
      <c r="G3117" t="s">
        <v>72</v>
      </c>
      <c r="H3117" t="s">
        <v>749</v>
      </c>
      <c r="I3117">
        <v>2021</v>
      </c>
      <c r="J3117" t="s">
        <v>379</v>
      </c>
      <c r="K3117" t="s">
        <v>546</v>
      </c>
      <c r="L3117" s="784">
        <v>0</v>
      </c>
      <c r="M3117" t="s">
        <v>745</v>
      </c>
      <c r="N3117" s="784" t="s">
        <v>575</v>
      </c>
      <c r="O3117" t="s">
        <v>737</v>
      </c>
      <c r="P3117" t="s">
        <v>1887</v>
      </c>
      <c r="R3117" t="s">
        <v>550</v>
      </c>
      <c r="S3117" t="s">
        <v>146</v>
      </c>
      <c r="U3117">
        <v>0</v>
      </c>
      <c r="V3117" t="s">
        <v>541</v>
      </c>
      <c r="W3117" t="s">
        <v>546</v>
      </c>
      <c r="X3117" s="784">
        <v>769564399.33249676</v>
      </c>
    </row>
    <row r="3118" spans="1:24">
      <c r="A3118" t="s">
        <v>358</v>
      </c>
      <c r="B3118" t="s">
        <v>687</v>
      </c>
      <c r="C3118" t="s">
        <v>285</v>
      </c>
      <c r="D3118" t="s">
        <v>131</v>
      </c>
      <c r="E3118" t="s">
        <v>377</v>
      </c>
      <c r="F3118" t="s">
        <v>384</v>
      </c>
      <c r="G3118" t="s">
        <v>72</v>
      </c>
      <c r="H3118" t="s">
        <v>749</v>
      </c>
      <c r="I3118">
        <v>2021</v>
      </c>
      <c r="J3118" t="s">
        <v>379</v>
      </c>
      <c r="K3118" t="s">
        <v>546</v>
      </c>
      <c r="L3118" s="784">
        <v>0</v>
      </c>
      <c r="M3118" t="s">
        <v>745</v>
      </c>
      <c r="N3118" s="784" t="s">
        <v>575</v>
      </c>
      <c r="O3118" t="s">
        <v>737</v>
      </c>
      <c r="P3118" t="s">
        <v>1887</v>
      </c>
      <c r="R3118" t="s">
        <v>150</v>
      </c>
      <c r="S3118" t="s">
        <v>145</v>
      </c>
      <c r="U3118">
        <v>0</v>
      </c>
      <c r="V3118" t="s">
        <v>544</v>
      </c>
      <c r="W3118" t="s">
        <v>546</v>
      </c>
      <c r="X3118" s="784">
        <v>1668954539.7630196</v>
      </c>
    </row>
    <row r="3119" spans="1:24">
      <c r="A3119" t="s">
        <v>358</v>
      </c>
      <c r="B3119" t="s">
        <v>688</v>
      </c>
      <c r="C3119" t="s">
        <v>286</v>
      </c>
      <c r="D3119" t="s">
        <v>127</v>
      </c>
      <c r="E3119" t="s">
        <v>377</v>
      </c>
      <c r="F3119" t="s">
        <v>384</v>
      </c>
      <c r="G3119" t="s">
        <v>72</v>
      </c>
      <c r="H3119" t="s">
        <v>749</v>
      </c>
      <c r="I3119">
        <v>2021</v>
      </c>
      <c r="J3119" t="s">
        <v>379</v>
      </c>
      <c r="K3119" t="s">
        <v>546</v>
      </c>
      <c r="L3119" s="784">
        <v>0</v>
      </c>
      <c r="M3119" t="s">
        <v>745</v>
      </c>
      <c r="N3119" s="784" t="s">
        <v>575</v>
      </c>
      <c r="O3119" t="s">
        <v>737</v>
      </c>
      <c r="P3119" t="s">
        <v>1887</v>
      </c>
      <c r="R3119" t="s">
        <v>152</v>
      </c>
      <c r="S3119" t="s">
        <v>146</v>
      </c>
      <c r="U3119">
        <v>0</v>
      </c>
      <c r="V3119" t="s">
        <v>544</v>
      </c>
      <c r="W3119" t="s">
        <v>575</v>
      </c>
      <c r="X3119" s="784">
        <v>24840920016.18832</v>
      </c>
    </row>
    <row r="3120" spans="1:24">
      <c r="A3120" t="s">
        <v>358</v>
      </c>
      <c r="B3120" t="s">
        <v>689</v>
      </c>
      <c r="C3120" t="s">
        <v>287</v>
      </c>
      <c r="D3120" t="s">
        <v>127</v>
      </c>
      <c r="E3120" t="s">
        <v>377</v>
      </c>
      <c r="F3120" t="s">
        <v>384</v>
      </c>
      <c r="G3120" t="s">
        <v>72</v>
      </c>
      <c r="H3120" t="s">
        <v>749</v>
      </c>
      <c r="I3120">
        <v>2021</v>
      </c>
      <c r="J3120" t="s">
        <v>379</v>
      </c>
      <c r="K3120" t="s">
        <v>546</v>
      </c>
      <c r="L3120" s="784">
        <v>0</v>
      </c>
      <c r="M3120" t="s">
        <v>745</v>
      </c>
      <c r="N3120" s="784" t="s">
        <v>575</v>
      </c>
      <c r="O3120" t="s">
        <v>737</v>
      </c>
      <c r="P3120" t="s">
        <v>1887</v>
      </c>
      <c r="R3120" t="s">
        <v>152</v>
      </c>
      <c r="S3120" t="s">
        <v>146</v>
      </c>
      <c r="U3120">
        <v>0</v>
      </c>
      <c r="V3120" t="s">
        <v>544</v>
      </c>
      <c r="W3120" t="s">
        <v>546</v>
      </c>
      <c r="X3120" s="784">
        <v>487888462.83720118</v>
      </c>
    </row>
    <row r="3121" spans="1:24">
      <c r="A3121" t="s">
        <v>358</v>
      </c>
      <c r="B3121" t="s">
        <v>690</v>
      </c>
      <c r="C3121" t="s">
        <v>288</v>
      </c>
      <c r="D3121" t="s">
        <v>126</v>
      </c>
      <c r="E3121" t="s">
        <v>377</v>
      </c>
      <c r="F3121" t="s">
        <v>384</v>
      </c>
      <c r="G3121" t="s">
        <v>72</v>
      </c>
      <c r="H3121" t="s">
        <v>749</v>
      </c>
      <c r="I3121">
        <v>2021</v>
      </c>
      <c r="J3121" t="s">
        <v>379</v>
      </c>
      <c r="K3121" t="s">
        <v>546</v>
      </c>
      <c r="L3121" s="784">
        <v>0</v>
      </c>
      <c r="M3121" t="s">
        <v>745</v>
      </c>
      <c r="N3121" s="784" t="s">
        <v>575</v>
      </c>
      <c r="O3121" t="s">
        <v>737</v>
      </c>
      <c r="P3121" t="s">
        <v>1887</v>
      </c>
      <c r="R3121" t="s">
        <v>152</v>
      </c>
      <c r="S3121" t="s">
        <v>145</v>
      </c>
      <c r="U3121">
        <v>0</v>
      </c>
      <c r="V3121" t="s">
        <v>541</v>
      </c>
      <c r="W3121" t="s">
        <v>548</v>
      </c>
      <c r="X3121" s="784">
        <v>6365061.1736073596</v>
      </c>
    </row>
    <row r="3122" spans="1:24">
      <c r="A3122" t="s">
        <v>358</v>
      </c>
      <c r="B3122" t="s">
        <v>691</v>
      </c>
      <c r="C3122" t="s">
        <v>289</v>
      </c>
      <c r="D3122" t="s">
        <v>128</v>
      </c>
      <c r="E3122" t="s">
        <v>377</v>
      </c>
      <c r="F3122" t="s">
        <v>384</v>
      </c>
      <c r="G3122" t="s">
        <v>72</v>
      </c>
      <c r="H3122" t="s">
        <v>749</v>
      </c>
      <c r="I3122">
        <v>2021</v>
      </c>
      <c r="J3122" t="s">
        <v>379</v>
      </c>
      <c r="K3122" t="s">
        <v>546</v>
      </c>
      <c r="L3122" s="784">
        <v>0</v>
      </c>
      <c r="M3122" t="s">
        <v>745</v>
      </c>
      <c r="N3122" s="784" t="s">
        <v>575</v>
      </c>
      <c r="O3122" t="s">
        <v>737</v>
      </c>
      <c r="P3122" t="s">
        <v>1887</v>
      </c>
      <c r="R3122" t="s">
        <v>148</v>
      </c>
      <c r="S3122" t="s">
        <v>145</v>
      </c>
      <c r="U3122">
        <v>2</v>
      </c>
      <c r="V3122" t="s">
        <v>544</v>
      </c>
      <c r="W3122" t="s">
        <v>558</v>
      </c>
      <c r="X3122" s="784">
        <v>291799092.90196139</v>
      </c>
    </row>
    <row r="3123" spans="1:24">
      <c r="A3123" t="s">
        <v>358</v>
      </c>
      <c r="B3123" t="s">
        <v>692</v>
      </c>
      <c r="C3123" t="s">
        <v>290</v>
      </c>
      <c r="D3123" t="s">
        <v>127</v>
      </c>
      <c r="E3123" t="s">
        <v>377</v>
      </c>
      <c r="F3123" t="s">
        <v>384</v>
      </c>
      <c r="G3123" t="s">
        <v>72</v>
      </c>
      <c r="H3123" t="s">
        <v>749</v>
      </c>
      <c r="I3123">
        <v>2021</v>
      </c>
      <c r="J3123" t="s">
        <v>379</v>
      </c>
      <c r="K3123" t="s">
        <v>546</v>
      </c>
      <c r="L3123" s="784">
        <v>0</v>
      </c>
      <c r="M3123" t="s">
        <v>745</v>
      </c>
      <c r="N3123" s="784" t="s">
        <v>575</v>
      </c>
      <c r="O3123" t="s">
        <v>737</v>
      </c>
      <c r="P3123" t="s">
        <v>1887</v>
      </c>
      <c r="R3123" t="s">
        <v>150</v>
      </c>
      <c r="S3123" t="s">
        <v>145</v>
      </c>
      <c r="U3123">
        <v>0</v>
      </c>
      <c r="V3123" t="s">
        <v>544</v>
      </c>
      <c r="W3123" t="s">
        <v>546</v>
      </c>
      <c r="X3123" s="784">
        <v>4844815340.2135534</v>
      </c>
    </row>
    <row r="3124" spans="1:24">
      <c r="A3124" t="s">
        <v>358</v>
      </c>
      <c r="B3124" t="s">
        <v>693</v>
      </c>
      <c r="C3124" t="s">
        <v>291</v>
      </c>
      <c r="D3124" t="s">
        <v>130</v>
      </c>
      <c r="E3124" t="s">
        <v>377</v>
      </c>
      <c r="F3124" t="s">
        <v>384</v>
      </c>
      <c r="G3124" t="s">
        <v>72</v>
      </c>
      <c r="H3124" t="s">
        <v>749</v>
      </c>
      <c r="I3124">
        <v>2021</v>
      </c>
      <c r="J3124" t="s">
        <v>379</v>
      </c>
      <c r="K3124" t="s">
        <v>546</v>
      </c>
      <c r="L3124" s="784">
        <v>0</v>
      </c>
      <c r="M3124" t="s">
        <v>745</v>
      </c>
      <c r="N3124" s="784" t="s">
        <v>575</v>
      </c>
      <c r="O3124" t="s">
        <v>737</v>
      </c>
      <c r="P3124" t="s">
        <v>1887</v>
      </c>
      <c r="R3124" t="s">
        <v>550</v>
      </c>
      <c r="S3124" t="s">
        <v>146</v>
      </c>
      <c r="U3124">
        <v>0</v>
      </c>
      <c r="V3124" t="s">
        <v>544</v>
      </c>
      <c r="W3124" t="s">
        <v>575</v>
      </c>
      <c r="X3124" s="784">
        <v>4001891446.6871672</v>
      </c>
    </row>
    <row r="3125" spans="1:24">
      <c r="A3125" t="s">
        <v>358</v>
      </c>
      <c r="B3125" t="s">
        <v>694</v>
      </c>
      <c r="C3125" t="s">
        <v>292</v>
      </c>
      <c r="D3125" t="s">
        <v>127</v>
      </c>
      <c r="E3125" t="s">
        <v>377</v>
      </c>
      <c r="F3125" t="s">
        <v>384</v>
      </c>
      <c r="G3125" t="s">
        <v>72</v>
      </c>
      <c r="H3125" t="s">
        <v>749</v>
      </c>
      <c r="I3125">
        <v>2021</v>
      </c>
      <c r="J3125" t="s">
        <v>379</v>
      </c>
      <c r="K3125" t="s">
        <v>546</v>
      </c>
      <c r="L3125" s="784">
        <v>0</v>
      </c>
      <c r="M3125" t="s">
        <v>745</v>
      </c>
      <c r="N3125" s="784" t="s">
        <v>575</v>
      </c>
      <c r="O3125" t="s">
        <v>737</v>
      </c>
      <c r="P3125" t="s">
        <v>1887</v>
      </c>
      <c r="R3125" t="s">
        <v>150</v>
      </c>
      <c r="S3125" t="s">
        <v>145</v>
      </c>
      <c r="U3125">
        <v>0</v>
      </c>
      <c r="V3125" t="s">
        <v>544</v>
      </c>
      <c r="W3125" t="s">
        <v>558</v>
      </c>
      <c r="X3125" s="784">
        <v>1019800630.5853213</v>
      </c>
    </row>
    <row r="3126" spans="1:24">
      <c r="A3126" t="s">
        <v>358</v>
      </c>
      <c r="B3126" t="s">
        <v>695</v>
      </c>
      <c r="C3126" t="s">
        <v>293</v>
      </c>
      <c r="D3126" t="s">
        <v>126</v>
      </c>
      <c r="E3126" t="s">
        <v>377</v>
      </c>
      <c r="F3126" t="s">
        <v>384</v>
      </c>
      <c r="G3126" t="s">
        <v>72</v>
      </c>
      <c r="H3126" t="s">
        <v>749</v>
      </c>
      <c r="I3126">
        <v>2021</v>
      </c>
      <c r="J3126" t="s">
        <v>379</v>
      </c>
      <c r="K3126" t="s">
        <v>546</v>
      </c>
      <c r="L3126" s="784">
        <v>0</v>
      </c>
      <c r="M3126" t="s">
        <v>745</v>
      </c>
      <c r="N3126" s="784" t="s">
        <v>575</v>
      </c>
      <c r="O3126" t="s">
        <v>737</v>
      </c>
      <c r="P3126" t="s">
        <v>1887</v>
      </c>
      <c r="R3126" t="s">
        <v>150</v>
      </c>
      <c r="S3126" t="s">
        <v>145</v>
      </c>
      <c r="U3126">
        <v>0</v>
      </c>
      <c r="V3126" t="s">
        <v>541</v>
      </c>
      <c r="W3126" t="s">
        <v>562</v>
      </c>
      <c r="X3126" s="784">
        <v>19578671.310841195</v>
      </c>
    </row>
    <row r="3127" spans="1:24">
      <c r="A3127" t="s">
        <v>358</v>
      </c>
      <c r="B3127" t="s">
        <v>696</v>
      </c>
      <c r="C3127" t="s">
        <v>294</v>
      </c>
      <c r="D3127" t="s">
        <v>130</v>
      </c>
      <c r="E3127" t="s">
        <v>377</v>
      </c>
      <c r="F3127" t="s">
        <v>384</v>
      </c>
      <c r="G3127" t="s">
        <v>72</v>
      </c>
      <c r="H3127" t="s">
        <v>749</v>
      </c>
      <c r="I3127">
        <v>2021</v>
      </c>
      <c r="J3127" t="s">
        <v>379</v>
      </c>
      <c r="K3127" t="s">
        <v>546</v>
      </c>
      <c r="L3127" s="784">
        <v>216262</v>
      </c>
      <c r="M3127" t="s">
        <v>745</v>
      </c>
      <c r="N3127" s="784" t="s">
        <v>575</v>
      </c>
      <c r="O3127" t="s">
        <v>737</v>
      </c>
      <c r="P3127" t="s">
        <v>1887</v>
      </c>
      <c r="R3127" t="s">
        <v>322</v>
      </c>
      <c r="S3127" t="s">
        <v>146</v>
      </c>
      <c r="U3127">
        <v>0</v>
      </c>
      <c r="V3127" t="s">
        <v>544</v>
      </c>
      <c r="W3127" t="s">
        <v>546</v>
      </c>
      <c r="X3127" s="784">
        <v>3551452001.0684834</v>
      </c>
    </row>
    <row r="3128" spans="1:24">
      <c r="A3128" t="s">
        <v>358</v>
      </c>
      <c r="B3128" t="s">
        <v>697</v>
      </c>
      <c r="C3128" t="s">
        <v>295</v>
      </c>
      <c r="D3128" t="s">
        <v>126</v>
      </c>
      <c r="E3128" t="s">
        <v>377</v>
      </c>
      <c r="F3128" t="s">
        <v>384</v>
      </c>
      <c r="G3128" t="s">
        <v>72</v>
      </c>
      <c r="H3128" t="s">
        <v>749</v>
      </c>
      <c r="I3128">
        <v>2021</v>
      </c>
      <c r="J3128" t="s">
        <v>379</v>
      </c>
      <c r="K3128" t="s">
        <v>546</v>
      </c>
      <c r="L3128" s="784">
        <v>0</v>
      </c>
      <c r="M3128" t="s">
        <v>745</v>
      </c>
      <c r="N3128" s="784" t="s">
        <v>575</v>
      </c>
      <c r="O3128" t="s">
        <v>737</v>
      </c>
      <c r="P3128" t="s">
        <v>1887</v>
      </c>
      <c r="R3128" t="s">
        <v>150</v>
      </c>
      <c r="S3128" t="s">
        <v>145</v>
      </c>
      <c r="U3128">
        <v>0</v>
      </c>
      <c r="V3128" t="s">
        <v>544</v>
      </c>
      <c r="W3128" t="s">
        <v>546</v>
      </c>
      <c r="X3128" s="784">
        <v>6603048821.7575006</v>
      </c>
    </row>
    <row r="3129" spans="1:24">
      <c r="A3129" t="s">
        <v>358</v>
      </c>
      <c r="B3129" t="s">
        <v>698</v>
      </c>
      <c r="C3129" t="s">
        <v>296</v>
      </c>
      <c r="D3129" t="s">
        <v>131</v>
      </c>
      <c r="E3129" t="s">
        <v>377</v>
      </c>
      <c r="F3129" t="s">
        <v>384</v>
      </c>
      <c r="G3129" t="s">
        <v>72</v>
      </c>
      <c r="H3129" t="s">
        <v>749</v>
      </c>
      <c r="I3129">
        <v>2021</v>
      </c>
      <c r="J3129" t="s">
        <v>379</v>
      </c>
      <c r="K3129" t="s">
        <v>546</v>
      </c>
      <c r="L3129" s="784">
        <v>0</v>
      </c>
      <c r="M3129" t="s">
        <v>745</v>
      </c>
      <c r="N3129" s="784" t="s">
        <v>575</v>
      </c>
      <c r="O3129" t="s">
        <v>737</v>
      </c>
      <c r="P3129" t="s">
        <v>1887</v>
      </c>
      <c r="R3129" t="s">
        <v>148</v>
      </c>
      <c r="S3129" t="s">
        <v>145</v>
      </c>
      <c r="U3129">
        <v>1</v>
      </c>
      <c r="V3129" t="s">
        <v>544</v>
      </c>
      <c r="W3129" t="s">
        <v>548</v>
      </c>
      <c r="X3129" s="784" t="s">
        <v>575</v>
      </c>
    </row>
    <row r="3130" spans="1:24">
      <c r="A3130" t="s">
        <v>358</v>
      </c>
      <c r="B3130" t="s">
        <v>699</v>
      </c>
      <c r="C3130" t="s">
        <v>297</v>
      </c>
      <c r="D3130" t="s">
        <v>128</v>
      </c>
      <c r="E3130" t="s">
        <v>377</v>
      </c>
      <c r="F3130" t="s">
        <v>384</v>
      </c>
      <c r="G3130" t="s">
        <v>72</v>
      </c>
      <c r="H3130" t="s">
        <v>749</v>
      </c>
      <c r="I3130">
        <v>2021</v>
      </c>
      <c r="J3130" t="s">
        <v>379</v>
      </c>
      <c r="K3130" t="s">
        <v>546</v>
      </c>
      <c r="L3130" s="784">
        <v>0</v>
      </c>
      <c r="M3130" t="s">
        <v>745</v>
      </c>
      <c r="N3130" s="784" t="s">
        <v>575</v>
      </c>
      <c r="O3130" t="s">
        <v>737</v>
      </c>
      <c r="P3130" t="s">
        <v>1887</v>
      </c>
      <c r="R3130" t="s">
        <v>150</v>
      </c>
      <c r="S3130" t="s">
        <v>145</v>
      </c>
      <c r="U3130">
        <v>0</v>
      </c>
      <c r="V3130" t="s">
        <v>544</v>
      </c>
      <c r="W3130" t="s">
        <v>542</v>
      </c>
      <c r="X3130" s="784">
        <v>515352723.9821828</v>
      </c>
    </row>
    <row r="3131" spans="1:24">
      <c r="A3131" t="s">
        <v>358</v>
      </c>
      <c r="B3131" t="s">
        <v>700</v>
      </c>
      <c r="C3131" t="s">
        <v>298</v>
      </c>
      <c r="D3131" t="s">
        <v>128</v>
      </c>
      <c r="E3131" t="s">
        <v>377</v>
      </c>
      <c r="F3131" t="s">
        <v>384</v>
      </c>
      <c r="G3131" t="s">
        <v>72</v>
      </c>
      <c r="H3131" t="s">
        <v>749</v>
      </c>
      <c r="I3131">
        <v>2021</v>
      </c>
      <c r="J3131" t="s">
        <v>379</v>
      </c>
      <c r="K3131" t="s">
        <v>546</v>
      </c>
      <c r="L3131" s="784">
        <v>0</v>
      </c>
      <c r="M3131" t="s">
        <v>745</v>
      </c>
      <c r="N3131" s="784" t="s">
        <v>575</v>
      </c>
      <c r="O3131" t="s">
        <v>737</v>
      </c>
      <c r="P3131" t="s">
        <v>1887</v>
      </c>
      <c r="R3131" t="s">
        <v>150</v>
      </c>
      <c r="S3131" t="s">
        <v>145</v>
      </c>
      <c r="U3131">
        <v>0</v>
      </c>
      <c r="V3131" t="s">
        <v>544</v>
      </c>
      <c r="W3131" t="s">
        <v>546</v>
      </c>
      <c r="X3131" s="784">
        <v>566711742.22428358</v>
      </c>
    </row>
    <row r="3132" spans="1:24">
      <c r="A3132" t="s">
        <v>358</v>
      </c>
      <c r="B3132" t="s">
        <v>540</v>
      </c>
      <c r="C3132" t="s">
        <v>160</v>
      </c>
      <c r="D3132" t="s">
        <v>132</v>
      </c>
      <c r="E3132" t="s">
        <v>377</v>
      </c>
      <c r="F3132" t="s">
        <v>384</v>
      </c>
      <c r="G3132" t="s">
        <v>336</v>
      </c>
      <c r="H3132" t="s">
        <v>749</v>
      </c>
      <c r="I3132">
        <v>2021</v>
      </c>
      <c r="J3132" t="s">
        <v>379</v>
      </c>
      <c r="K3132" t="s">
        <v>546</v>
      </c>
      <c r="L3132" s="784">
        <v>0</v>
      </c>
      <c r="M3132" t="s">
        <v>745</v>
      </c>
      <c r="N3132" s="784" t="s">
        <v>575</v>
      </c>
      <c r="O3132" t="s">
        <v>737</v>
      </c>
      <c r="P3132" t="s">
        <v>1887</v>
      </c>
      <c r="R3132" t="s">
        <v>148</v>
      </c>
      <c r="S3132" t="s">
        <v>145</v>
      </c>
      <c r="U3132">
        <v>1</v>
      </c>
      <c r="V3132" t="s">
        <v>544</v>
      </c>
      <c r="W3132" t="s">
        <v>542</v>
      </c>
      <c r="X3132" s="784">
        <v>95829480.719269618</v>
      </c>
    </row>
    <row r="3133" spans="1:24">
      <c r="A3133" t="s">
        <v>358</v>
      </c>
      <c r="B3133" t="s">
        <v>543</v>
      </c>
      <c r="C3133" t="s">
        <v>161</v>
      </c>
      <c r="D3133" t="s">
        <v>127</v>
      </c>
      <c r="E3133" t="s">
        <v>377</v>
      </c>
      <c r="F3133" t="s">
        <v>384</v>
      </c>
      <c r="G3133" t="s">
        <v>336</v>
      </c>
      <c r="H3133" t="s">
        <v>749</v>
      </c>
      <c r="I3133">
        <v>2021</v>
      </c>
      <c r="J3133" t="s">
        <v>379</v>
      </c>
      <c r="K3133" t="s">
        <v>546</v>
      </c>
      <c r="L3133" s="784">
        <v>0</v>
      </c>
      <c r="M3133" t="s">
        <v>745</v>
      </c>
      <c r="N3133" s="784" t="s">
        <v>575</v>
      </c>
      <c r="O3133" t="s">
        <v>737</v>
      </c>
      <c r="P3133" t="s">
        <v>1887</v>
      </c>
      <c r="R3133" t="s">
        <v>152</v>
      </c>
      <c r="S3133" t="s">
        <v>146</v>
      </c>
      <c r="U3133">
        <v>0</v>
      </c>
      <c r="V3133" t="s">
        <v>544</v>
      </c>
      <c r="W3133" t="s">
        <v>575</v>
      </c>
      <c r="X3133" s="784">
        <v>427904035.52443534</v>
      </c>
    </row>
    <row r="3134" spans="1:24">
      <c r="A3134" t="s">
        <v>358</v>
      </c>
      <c r="B3134" t="s">
        <v>545</v>
      </c>
      <c r="C3134" t="s">
        <v>143</v>
      </c>
      <c r="D3134" t="s">
        <v>131</v>
      </c>
      <c r="E3134" t="s">
        <v>377</v>
      </c>
      <c r="F3134" t="s">
        <v>384</v>
      </c>
      <c r="G3134" t="s">
        <v>336</v>
      </c>
      <c r="H3134" t="s">
        <v>749</v>
      </c>
      <c r="I3134">
        <v>2021</v>
      </c>
      <c r="J3134" t="s">
        <v>379</v>
      </c>
      <c r="K3134" t="s">
        <v>546</v>
      </c>
      <c r="L3134" s="784">
        <v>0</v>
      </c>
      <c r="M3134" t="s">
        <v>745</v>
      </c>
      <c r="N3134" s="784" t="s">
        <v>575</v>
      </c>
      <c r="O3134" t="s">
        <v>737</v>
      </c>
      <c r="P3134" t="s">
        <v>1887</v>
      </c>
      <c r="R3134" t="s">
        <v>150</v>
      </c>
      <c r="S3134" t="s">
        <v>145</v>
      </c>
      <c r="U3134">
        <v>0</v>
      </c>
      <c r="V3134" t="s">
        <v>544</v>
      </c>
      <c r="W3134" t="s">
        <v>546</v>
      </c>
      <c r="X3134" s="784">
        <v>7113361022.7267885</v>
      </c>
    </row>
    <row r="3135" spans="1:24">
      <c r="A3135" t="s">
        <v>358</v>
      </c>
      <c r="B3135" t="s">
        <v>547</v>
      </c>
      <c r="C3135" t="s">
        <v>162</v>
      </c>
      <c r="D3135" t="s">
        <v>128</v>
      </c>
      <c r="E3135" t="s">
        <v>377</v>
      </c>
      <c r="F3135" t="s">
        <v>384</v>
      </c>
      <c r="G3135" t="s">
        <v>336</v>
      </c>
      <c r="H3135" t="s">
        <v>749</v>
      </c>
      <c r="I3135">
        <v>2021</v>
      </c>
      <c r="J3135" t="s">
        <v>379</v>
      </c>
      <c r="K3135" t="s">
        <v>546</v>
      </c>
      <c r="L3135" s="784">
        <v>0</v>
      </c>
      <c r="M3135" t="s">
        <v>745</v>
      </c>
      <c r="N3135" s="784" t="s">
        <v>575</v>
      </c>
      <c r="O3135" t="s">
        <v>737</v>
      </c>
      <c r="P3135" t="s">
        <v>1887</v>
      </c>
      <c r="R3135" t="s">
        <v>150</v>
      </c>
      <c r="S3135" t="s">
        <v>145</v>
      </c>
      <c r="U3135">
        <v>0</v>
      </c>
      <c r="V3135" t="s">
        <v>544</v>
      </c>
      <c r="W3135" t="s">
        <v>548</v>
      </c>
      <c r="X3135" s="784">
        <v>1131865946.5875781</v>
      </c>
    </row>
    <row r="3136" spans="1:24">
      <c r="A3136" t="s">
        <v>358</v>
      </c>
      <c r="B3136" t="s">
        <v>549</v>
      </c>
      <c r="C3136" t="s">
        <v>163</v>
      </c>
      <c r="D3136" t="s">
        <v>130</v>
      </c>
      <c r="E3136" t="s">
        <v>377</v>
      </c>
      <c r="F3136" t="s">
        <v>384</v>
      </c>
      <c r="G3136" t="s">
        <v>336</v>
      </c>
      <c r="H3136" t="s">
        <v>749</v>
      </c>
      <c r="I3136">
        <v>2021</v>
      </c>
      <c r="J3136" t="s">
        <v>379</v>
      </c>
      <c r="K3136" t="s">
        <v>546</v>
      </c>
      <c r="L3136" s="784">
        <v>0</v>
      </c>
      <c r="M3136" t="s">
        <v>745</v>
      </c>
      <c r="N3136" s="784" t="s">
        <v>575</v>
      </c>
      <c r="O3136" t="s">
        <v>737</v>
      </c>
      <c r="P3136" t="s">
        <v>1887</v>
      </c>
      <c r="R3136" t="s">
        <v>550</v>
      </c>
      <c r="S3136" t="s">
        <v>146</v>
      </c>
      <c r="U3136">
        <v>0</v>
      </c>
      <c r="V3136" t="s">
        <v>541</v>
      </c>
      <c r="W3136" t="s">
        <v>575</v>
      </c>
      <c r="X3136" s="784">
        <v>46777779.823447868</v>
      </c>
    </row>
    <row r="3137" spans="1:24">
      <c r="A3137" t="s">
        <v>358</v>
      </c>
      <c r="B3137" t="s">
        <v>551</v>
      </c>
      <c r="C3137" t="s">
        <v>164</v>
      </c>
      <c r="D3137" t="s">
        <v>130</v>
      </c>
      <c r="E3137" t="s">
        <v>377</v>
      </c>
      <c r="F3137" t="s">
        <v>384</v>
      </c>
      <c r="G3137" t="s">
        <v>336</v>
      </c>
      <c r="H3137" t="s">
        <v>749</v>
      </c>
      <c r="I3137">
        <v>2021</v>
      </c>
      <c r="J3137" t="s">
        <v>379</v>
      </c>
      <c r="K3137" t="s">
        <v>546</v>
      </c>
      <c r="L3137" s="784">
        <v>0</v>
      </c>
      <c r="M3137" t="s">
        <v>745</v>
      </c>
      <c r="N3137" s="784" t="s">
        <v>575</v>
      </c>
      <c r="O3137" t="s">
        <v>737</v>
      </c>
      <c r="P3137" t="s">
        <v>1887</v>
      </c>
      <c r="R3137" t="s">
        <v>152</v>
      </c>
      <c r="S3137" t="s">
        <v>146</v>
      </c>
      <c r="U3137">
        <v>0</v>
      </c>
      <c r="V3137" t="s">
        <v>544</v>
      </c>
      <c r="W3137" t="s">
        <v>575</v>
      </c>
      <c r="X3137" s="784">
        <v>30725305777.596794</v>
      </c>
    </row>
    <row r="3138" spans="1:24">
      <c r="A3138" t="s">
        <v>358</v>
      </c>
      <c r="B3138" t="s">
        <v>553</v>
      </c>
      <c r="C3138" t="s">
        <v>165</v>
      </c>
      <c r="D3138" t="s">
        <v>127</v>
      </c>
      <c r="E3138" t="s">
        <v>377</v>
      </c>
      <c r="F3138" t="s">
        <v>384</v>
      </c>
      <c r="G3138" t="s">
        <v>336</v>
      </c>
      <c r="H3138" t="s">
        <v>749</v>
      </c>
      <c r="I3138">
        <v>2021</v>
      </c>
      <c r="J3138" t="s">
        <v>379</v>
      </c>
      <c r="K3138" t="s">
        <v>546</v>
      </c>
      <c r="L3138" s="784">
        <v>0</v>
      </c>
      <c r="M3138" t="s">
        <v>745</v>
      </c>
      <c r="N3138" s="784" t="s">
        <v>575</v>
      </c>
      <c r="O3138" t="s">
        <v>737</v>
      </c>
      <c r="P3138" t="s">
        <v>1887</v>
      </c>
      <c r="R3138" t="s">
        <v>152</v>
      </c>
      <c r="S3138" t="s">
        <v>146</v>
      </c>
      <c r="U3138">
        <v>0</v>
      </c>
      <c r="V3138" t="s">
        <v>544</v>
      </c>
      <c r="W3138" t="s">
        <v>575</v>
      </c>
      <c r="X3138" s="784">
        <v>153815827.8380394</v>
      </c>
    </row>
    <row r="3139" spans="1:24">
      <c r="A3139" t="s">
        <v>358</v>
      </c>
      <c r="B3139" t="s">
        <v>554</v>
      </c>
      <c r="C3139" t="s">
        <v>166</v>
      </c>
      <c r="D3139" t="s">
        <v>127</v>
      </c>
      <c r="E3139" t="s">
        <v>377</v>
      </c>
      <c r="F3139" t="s">
        <v>384</v>
      </c>
      <c r="G3139" t="s">
        <v>336</v>
      </c>
      <c r="H3139" t="s">
        <v>749</v>
      </c>
      <c r="I3139">
        <v>2021</v>
      </c>
      <c r="J3139" t="s">
        <v>379</v>
      </c>
      <c r="K3139" t="s">
        <v>546</v>
      </c>
      <c r="L3139" s="784">
        <v>0</v>
      </c>
      <c r="M3139" t="s">
        <v>745</v>
      </c>
      <c r="N3139" s="784" t="s">
        <v>575</v>
      </c>
      <c r="O3139" t="s">
        <v>737</v>
      </c>
      <c r="P3139" t="s">
        <v>1887</v>
      </c>
      <c r="R3139" t="s">
        <v>152</v>
      </c>
      <c r="S3139" t="s">
        <v>146</v>
      </c>
      <c r="U3139">
        <v>0</v>
      </c>
      <c r="V3139" t="s">
        <v>544</v>
      </c>
      <c r="W3139" t="s">
        <v>546</v>
      </c>
      <c r="X3139" s="784">
        <v>437525105.31216973</v>
      </c>
    </row>
    <row r="3140" spans="1:24">
      <c r="A3140" t="s">
        <v>358</v>
      </c>
      <c r="B3140" t="s">
        <v>555</v>
      </c>
      <c r="C3140" t="s">
        <v>556</v>
      </c>
      <c r="D3140" t="s">
        <v>130</v>
      </c>
      <c r="E3140" t="s">
        <v>377</v>
      </c>
      <c r="F3140" t="s">
        <v>384</v>
      </c>
      <c r="G3140" t="s">
        <v>336</v>
      </c>
      <c r="H3140" t="s">
        <v>749</v>
      </c>
      <c r="I3140">
        <v>2021</v>
      </c>
      <c r="J3140" t="s">
        <v>379</v>
      </c>
      <c r="K3140" t="s">
        <v>546</v>
      </c>
      <c r="L3140" s="784">
        <v>0</v>
      </c>
      <c r="M3140" t="s">
        <v>745</v>
      </c>
      <c r="N3140" s="784" t="s">
        <v>575</v>
      </c>
      <c r="O3140" t="s">
        <v>737</v>
      </c>
      <c r="P3140" t="s">
        <v>1887</v>
      </c>
      <c r="R3140" t="s">
        <v>550</v>
      </c>
      <c r="S3140" t="s">
        <v>146</v>
      </c>
      <c r="U3140">
        <v>0</v>
      </c>
      <c r="V3140" t="s">
        <v>541</v>
      </c>
      <c r="W3140" t="s">
        <v>575</v>
      </c>
      <c r="X3140" s="784">
        <v>149463302.00602186</v>
      </c>
    </row>
    <row r="3141" spans="1:24">
      <c r="A3141" t="s">
        <v>358</v>
      </c>
      <c r="B3141" t="s">
        <v>557</v>
      </c>
      <c r="C3141" t="s">
        <v>167</v>
      </c>
      <c r="D3141" t="s">
        <v>132</v>
      </c>
      <c r="E3141" t="s">
        <v>377</v>
      </c>
      <c r="F3141" t="s">
        <v>384</v>
      </c>
      <c r="G3141" t="s">
        <v>336</v>
      </c>
      <c r="H3141" t="s">
        <v>749</v>
      </c>
      <c r="I3141">
        <v>2021</v>
      </c>
      <c r="J3141" t="s">
        <v>379</v>
      </c>
      <c r="K3141" t="s">
        <v>546</v>
      </c>
      <c r="L3141" s="784">
        <v>0</v>
      </c>
      <c r="M3141" t="s">
        <v>745</v>
      </c>
      <c r="N3141" s="784" t="s">
        <v>575</v>
      </c>
      <c r="O3141" t="s">
        <v>737</v>
      </c>
      <c r="P3141" t="s">
        <v>1887</v>
      </c>
      <c r="R3141" t="s">
        <v>150</v>
      </c>
      <c r="S3141" t="s">
        <v>145</v>
      </c>
      <c r="U3141">
        <v>0</v>
      </c>
      <c r="V3141" t="s">
        <v>544</v>
      </c>
      <c r="W3141" t="s">
        <v>558</v>
      </c>
      <c r="X3141" s="784">
        <v>1148322593.9600098</v>
      </c>
    </row>
    <row r="3142" spans="1:24">
      <c r="A3142" t="s">
        <v>358</v>
      </c>
      <c r="B3142" t="s">
        <v>559</v>
      </c>
      <c r="C3142" t="s">
        <v>168</v>
      </c>
      <c r="D3142" t="s">
        <v>127</v>
      </c>
      <c r="E3142" t="s">
        <v>377</v>
      </c>
      <c r="F3142" t="s">
        <v>384</v>
      </c>
      <c r="G3142" t="s">
        <v>336</v>
      </c>
      <c r="H3142" t="s">
        <v>749</v>
      </c>
      <c r="I3142">
        <v>2021</v>
      </c>
      <c r="J3142" t="s">
        <v>379</v>
      </c>
      <c r="K3142" t="s">
        <v>546</v>
      </c>
      <c r="L3142" s="784">
        <v>0</v>
      </c>
      <c r="M3142" t="s">
        <v>745</v>
      </c>
      <c r="N3142" s="784" t="s">
        <v>575</v>
      </c>
      <c r="O3142" t="s">
        <v>737</v>
      </c>
      <c r="P3142" t="s">
        <v>1887</v>
      </c>
      <c r="R3142" t="s">
        <v>152</v>
      </c>
      <c r="S3142" t="s">
        <v>146</v>
      </c>
      <c r="U3142">
        <v>0</v>
      </c>
      <c r="V3142" t="s">
        <v>544</v>
      </c>
      <c r="W3142" t="s">
        <v>575</v>
      </c>
      <c r="X3142" s="784">
        <v>2371102058.1093163</v>
      </c>
    </row>
    <row r="3143" spans="1:24">
      <c r="A3143" t="s">
        <v>358</v>
      </c>
      <c r="B3143" t="s">
        <v>560</v>
      </c>
      <c r="C3143" t="s">
        <v>169</v>
      </c>
      <c r="D3143" t="s">
        <v>130</v>
      </c>
      <c r="E3143" t="s">
        <v>377</v>
      </c>
      <c r="F3143" t="s">
        <v>384</v>
      </c>
      <c r="G3143" t="s">
        <v>336</v>
      </c>
      <c r="H3143" t="s">
        <v>749</v>
      </c>
      <c r="I3143">
        <v>2021</v>
      </c>
      <c r="J3143" t="s">
        <v>379</v>
      </c>
      <c r="K3143" t="s">
        <v>546</v>
      </c>
      <c r="L3143" s="784">
        <v>0</v>
      </c>
      <c r="M3143" t="s">
        <v>745</v>
      </c>
      <c r="N3143" s="784" t="s">
        <v>575</v>
      </c>
      <c r="O3143" t="s">
        <v>737</v>
      </c>
      <c r="P3143" t="s">
        <v>1887</v>
      </c>
      <c r="R3143" t="s">
        <v>150</v>
      </c>
      <c r="S3143" t="s">
        <v>146</v>
      </c>
      <c r="U3143">
        <v>0</v>
      </c>
      <c r="V3143" t="s">
        <v>541</v>
      </c>
      <c r="W3143" t="s">
        <v>546</v>
      </c>
      <c r="X3143" s="784">
        <v>75151620.005215243</v>
      </c>
    </row>
    <row r="3144" spans="1:24">
      <c r="A3144" t="s">
        <v>358</v>
      </c>
      <c r="B3144" t="s">
        <v>561</v>
      </c>
      <c r="C3144" t="s">
        <v>170</v>
      </c>
      <c r="D3144" t="s">
        <v>129</v>
      </c>
      <c r="E3144" t="s">
        <v>377</v>
      </c>
      <c r="F3144" t="s">
        <v>384</v>
      </c>
      <c r="G3144" t="s">
        <v>336</v>
      </c>
      <c r="H3144" t="s">
        <v>749</v>
      </c>
      <c r="I3144">
        <v>2021</v>
      </c>
      <c r="J3144" t="s">
        <v>379</v>
      </c>
      <c r="K3144" t="s">
        <v>546</v>
      </c>
      <c r="L3144" s="784">
        <v>0</v>
      </c>
      <c r="M3144" t="s">
        <v>745</v>
      </c>
      <c r="N3144" s="784" t="s">
        <v>575</v>
      </c>
      <c r="O3144" t="s">
        <v>737</v>
      </c>
      <c r="P3144" t="s">
        <v>1887</v>
      </c>
      <c r="R3144" t="s">
        <v>150</v>
      </c>
      <c r="S3144" t="s">
        <v>145</v>
      </c>
      <c r="U3144">
        <v>0</v>
      </c>
      <c r="V3144" t="s">
        <v>544</v>
      </c>
      <c r="W3144" t="s">
        <v>562</v>
      </c>
      <c r="X3144" s="784">
        <v>69958487.197715744</v>
      </c>
    </row>
    <row r="3145" spans="1:24">
      <c r="A3145" t="s">
        <v>358</v>
      </c>
      <c r="B3145" t="s">
        <v>563</v>
      </c>
      <c r="C3145" t="s">
        <v>171</v>
      </c>
      <c r="D3145" t="s">
        <v>132</v>
      </c>
      <c r="E3145" t="s">
        <v>377</v>
      </c>
      <c r="F3145" t="s">
        <v>384</v>
      </c>
      <c r="G3145" t="s">
        <v>336</v>
      </c>
      <c r="H3145" t="s">
        <v>749</v>
      </c>
      <c r="I3145">
        <v>2021</v>
      </c>
      <c r="J3145" t="s">
        <v>379</v>
      </c>
      <c r="K3145" t="s">
        <v>546</v>
      </c>
      <c r="L3145" s="784">
        <v>0</v>
      </c>
      <c r="M3145" t="s">
        <v>745</v>
      </c>
      <c r="N3145" s="784" t="s">
        <v>575</v>
      </c>
      <c r="O3145" t="s">
        <v>737</v>
      </c>
      <c r="P3145" t="s">
        <v>1887</v>
      </c>
      <c r="R3145" t="s">
        <v>150</v>
      </c>
      <c r="S3145" t="s">
        <v>145</v>
      </c>
      <c r="U3145">
        <v>0</v>
      </c>
      <c r="V3145" t="s">
        <v>544</v>
      </c>
      <c r="W3145" t="s">
        <v>548</v>
      </c>
      <c r="X3145" s="784">
        <v>61654608.560629159</v>
      </c>
    </row>
    <row r="3146" spans="1:24">
      <c r="A3146" t="s">
        <v>358</v>
      </c>
      <c r="B3146" t="s">
        <v>564</v>
      </c>
      <c r="C3146" t="s">
        <v>172</v>
      </c>
      <c r="D3146" t="s">
        <v>130</v>
      </c>
      <c r="E3146" t="s">
        <v>377</v>
      </c>
      <c r="F3146" t="s">
        <v>384</v>
      </c>
      <c r="G3146" t="s">
        <v>336</v>
      </c>
      <c r="H3146" t="s">
        <v>749</v>
      </c>
      <c r="I3146">
        <v>2021</v>
      </c>
      <c r="J3146" t="s">
        <v>379</v>
      </c>
      <c r="K3146" t="s">
        <v>546</v>
      </c>
      <c r="L3146" s="784">
        <v>0</v>
      </c>
      <c r="M3146" t="s">
        <v>745</v>
      </c>
      <c r="N3146" s="784" t="s">
        <v>575</v>
      </c>
      <c r="O3146" t="s">
        <v>737</v>
      </c>
      <c r="P3146" t="s">
        <v>1887</v>
      </c>
      <c r="R3146" t="s">
        <v>150</v>
      </c>
      <c r="S3146" t="s">
        <v>145</v>
      </c>
      <c r="U3146">
        <v>0</v>
      </c>
      <c r="V3146" t="s">
        <v>544</v>
      </c>
      <c r="W3146" t="s">
        <v>546</v>
      </c>
      <c r="X3146" s="784">
        <v>1806638707.7615163</v>
      </c>
    </row>
    <row r="3147" spans="1:24">
      <c r="A3147" t="s">
        <v>358</v>
      </c>
      <c r="B3147" t="s">
        <v>565</v>
      </c>
      <c r="C3147" t="s">
        <v>174</v>
      </c>
      <c r="D3147" t="s">
        <v>127</v>
      </c>
      <c r="E3147" t="s">
        <v>377</v>
      </c>
      <c r="F3147" t="s">
        <v>384</v>
      </c>
      <c r="G3147" t="s">
        <v>336</v>
      </c>
      <c r="H3147" t="s">
        <v>749</v>
      </c>
      <c r="I3147">
        <v>2021</v>
      </c>
      <c r="J3147" t="s">
        <v>379</v>
      </c>
      <c r="K3147" t="s">
        <v>546</v>
      </c>
      <c r="L3147" s="784">
        <v>0</v>
      </c>
      <c r="M3147" t="s">
        <v>745</v>
      </c>
      <c r="N3147" s="784" t="s">
        <v>575</v>
      </c>
      <c r="O3147" t="s">
        <v>737</v>
      </c>
      <c r="P3147" t="s">
        <v>1887</v>
      </c>
      <c r="R3147" t="s">
        <v>152</v>
      </c>
      <c r="S3147" t="s">
        <v>146</v>
      </c>
      <c r="U3147">
        <v>0</v>
      </c>
      <c r="V3147" t="s">
        <v>544</v>
      </c>
      <c r="W3147" t="s">
        <v>546</v>
      </c>
      <c r="X3147" s="784">
        <v>1252696525.0627904</v>
      </c>
    </row>
    <row r="3148" spans="1:24">
      <c r="A3148" t="s">
        <v>358</v>
      </c>
      <c r="B3148" t="s">
        <v>566</v>
      </c>
      <c r="C3148" t="s">
        <v>175</v>
      </c>
      <c r="D3148" t="s">
        <v>128</v>
      </c>
      <c r="E3148" t="s">
        <v>377</v>
      </c>
      <c r="F3148" t="s">
        <v>384</v>
      </c>
      <c r="G3148" t="s">
        <v>336</v>
      </c>
      <c r="H3148" t="s">
        <v>749</v>
      </c>
      <c r="I3148">
        <v>2021</v>
      </c>
      <c r="J3148" t="s">
        <v>379</v>
      </c>
      <c r="K3148" t="s">
        <v>546</v>
      </c>
      <c r="L3148" s="784">
        <v>0</v>
      </c>
      <c r="M3148" t="s">
        <v>745</v>
      </c>
      <c r="N3148" s="784" t="s">
        <v>575</v>
      </c>
      <c r="O3148" t="s">
        <v>737</v>
      </c>
      <c r="P3148" t="s">
        <v>1887</v>
      </c>
      <c r="R3148" t="s">
        <v>152</v>
      </c>
      <c r="S3148" t="s">
        <v>146</v>
      </c>
      <c r="U3148">
        <v>0</v>
      </c>
      <c r="V3148" t="s">
        <v>544</v>
      </c>
      <c r="W3148" t="s">
        <v>575</v>
      </c>
      <c r="X3148" s="784">
        <v>843425084.07334602</v>
      </c>
    </row>
    <row r="3149" spans="1:24">
      <c r="A3149" t="s">
        <v>358</v>
      </c>
      <c r="B3149" t="s">
        <v>567</v>
      </c>
      <c r="C3149" t="s">
        <v>144</v>
      </c>
      <c r="D3149" t="s">
        <v>130</v>
      </c>
      <c r="E3149" t="s">
        <v>377</v>
      </c>
      <c r="F3149" t="s">
        <v>384</v>
      </c>
      <c r="G3149" t="s">
        <v>336</v>
      </c>
      <c r="H3149" t="s">
        <v>749</v>
      </c>
      <c r="I3149">
        <v>2021</v>
      </c>
      <c r="J3149" t="s">
        <v>379</v>
      </c>
      <c r="K3149" t="s">
        <v>546</v>
      </c>
      <c r="L3149" s="784">
        <v>0</v>
      </c>
      <c r="M3149" t="s">
        <v>745</v>
      </c>
      <c r="N3149" s="784" t="s">
        <v>575</v>
      </c>
      <c r="O3149" t="s">
        <v>737</v>
      </c>
      <c r="P3149" t="s">
        <v>1887</v>
      </c>
      <c r="R3149" t="s">
        <v>152</v>
      </c>
      <c r="S3149" t="s">
        <v>146</v>
      </c>
      <c r="U3149">
        <v>0</v>
      </c>
      <c r="V3149" t="s">
        <v>544</v>
      </c>
      <c r="W3149" t="s">
        <v>546</v>
      </c>
      <c r="X3149" s="784">
        <v>74055620038.853683</v>
      </c>
    </row>
    <row r="3150" spans="1:24">
      <c r="A3150" t="s">
        <v>358</v>
      </c>
      <c r="B3150" t="s">
        <v>568</v>
      </c>
      <c r="C3150" t="s">
        <v>176</v>
      </c>
      <c r="D3150" t="s">
        <v>127</v>
      </c>
      <c r="E3150" t="s">
        <v>377</v>
      </c>
      <c r="F3150" t="s">
        <v>384</v>
      </c>
      <c r="G3150" t="s">
        <v>336</v>
      </c>
      <c r="H3150" t="s">
        <v>749</v>
      </c>
      <c r="I3150">
        <v>2021</v>
      </c>
      <c r="J3150" t="s">
        <v>379</v>
      </c>
      <c r="K3150" t="s">
        <v>546</v>
      </c>
      <c r="L3150" s="784">
        <v>0</v>
      </c>
      <c r="M3150" t="s">
        <v>745</v>
      </c>
      <c r="N3150" s="784" t="s">
        <v>575</v>
      </c>
      <c r="O3150" t="s">
        <v>737</v>
      </c>
      <c r="P3150" t="s">
        <v>1887</v>
      </c>
      <c r="R3150" t="s">
        <v>152</v>
      </c>
      <c r="S3150" t="s">
        <v>146</v>
      </c>
      <c r="U3150">
        <v>0</v>
      </c>
      <c r="V3150" t="s">
        <v>544</v>
      </c>
      <c r="W3150" t="s">
        <v>575</v>
      </c>
      <c r="X3150" s="784">
        <v>2803357765.5888777</v>
      </c>
    </row>
    <row r="3151" spans="1:24">
      <c r="A3151" t="s">
        <v>358</v>
      </c>
      <c r="B3151" t="s">
        <v>569</v>
      </c>
      <c r="C3151" t="s">
        <v>177</v>
      </c>
      <c r="D3151" t="s">
        <v>129</v>
      </c>
      <c r="E3151" t="s">
        <v>377</v>
      </c>
      <c r="F3151" t="s">
        <v>384</v>
      </c>
      <c r="G3151" t="s">
        <v>336</v>
      </c>
      <c r="H3151" t="s">
        <v>749</v>
      </c>
      <c r="I3151">
        <v>2021</v>
      </c>
      <c r="J3151" t="s">
        <v>379</v>
      </c>
      <c r="K3151" t="s">
        <v>546</v>
      </c>
      <c r="L3151" s="784">
        <v>0</v>
      </c>
      <c r="M3151" t="s">
        <v>745</v>
      </c>
      <c r="N3151" s="784" t="s">
        <v>575</v>
      </c>
      <c r="O3151" t="s">
        <v>737</v>
      </c>
      <c r="P3151" t="s">
        <v>1887</v>
      </c>
      <c r="R3151" t="s">
        <v>148</v>
      </c>
      <c r="S3151" t="s">
        <v>145</v>
      </c>
      <c r="U3151">
        <v>2</v>
      </c>
      <c r="V3151" t="s">
        <v>544</v>
      </c>
      <c r="W3151" t="s">
        <v>562</v>
      </c>
      <c r="X3151" s="784">
        <v>337927779.25510043</v>
      </c>
    </row>
    <row r="3152" spans="1:24">
      <c r="A3152" t="s">
        <v>358</v>
      </c>
      <c r="B3152" t="s">
        <v>570</v>
      </c>
      <c r="C3152" t="s">
        <v>178</v>
      </c>
      <c r="D3152" t="s">
        <v>128</v>
      </c>
      <c r="E3152" t="s">
        <v>377</v>
      </c>
      <c r="F3152" t="s">
        <v>384</v>
      </c>
      <c r="G3152" t="s">
        <v>336</v>
      </c>
      <c r="H3152" t="s">
        <v>749</v>
      </c>
      <c r="I3152">
        <v>2021</v>
      </c>
      <c r="J3152" t="s">
        <v>379</v>
      </c>
      <c r="K3152" t="s">
        <v>546</v>
      </c>
      <c r="L3152" s="784">
        <v>0</v>
      </c>
      <c r="M3152" t="s">
        <v>745</v>
      </c>
      <c r="N3152" s="784" t="s">
        <v>575</v>
      </c>
      <c r="O3152" t="s">
        <v>737</v>
      </c>
      <c r="P3152" t="s">
        <v>1887</v>
      </c>
      <c r="R3152" t="s">
        <v>148</v>
      </c>
      <c r="S3152" t="s">
        <v>145</v>
      </c>
      <c r="U3152">
        <v>2</v>
      </c>
      <c r="V3152" t="s">
        <v>544</v>
      </c>
      <c r="W3152" t="s">
        <v>548</v>
      </c>
      <c r="X3152" s="784">
        <v>65979512.47399316</v>
      </c>
    </row>
    <row r="3153" spans="1:24">
      <c r="A3153" t="s">
        <v>358</v>
      </c>
      <c r="B3153" t="s">
        <v>571</v>
      </c>
      <c r="C3153" t="s">
        <v>179</v>
      </c>
      <c r="D3153" t="s">
        <v>129</v>
      </c>
      <c r="E3153" t="s">
        <v>377</v>
      </c>
      <c r="F3153" t="s">
        <v>384</v>
      </c>
      <c r="G3153" t="s">
        <v>336</v>
      </c>
      <c r="H3153" t="s">
        <v>749</v>
      </c>
      <c r="I3153">
        <v>2021</v>
      </c>
      <c r="J3153" t="s">
        <v>379</v>
      </c>
      <c r="K3153" t="s">
        <v>546</v>
      </c>
      <c r="L3153" s="784">
        <v>0</v>
      </c>
      <c r="M3153" t="s">
        <v>745</v>
      </c>
      <c r="N3153" s="784" t="s">
        <v>575</v>
      </c>
      <c r="O3153" t="s">
        <v>737</v>
      </c>
      <c r="P3153" t="s">
        <v>1887</v>
      </c>
      <c r="R3153" t="s">
        <v>150</v>
      </c>
      <c r="S3153" t="s">
        <v>145</v>
      </c>
      <c r="U3153">
        <v>0</v>
      </c>
      <c r="V3153" t="s">
        <v>541</v>
      </c>
      <c r="W3153" t="s">
        <v>542</v>
      </c>
      <c r="X3153" s="784">
        <v>63748362.778827004</v>
      </c>
    </row>
    <row r="3154" spans="1:24">
      <c r="A3154" t="s">
        <v>358</v>
      </c>
      <c r="B3154" t="s">
        <v>572</v>
      </c>
      <c r="C3154" t="s">
        <v>180</v>
      </c>
      <c r="D3154" t="s">
        <v>126</v>
      </c>
      <c r="E3154" t="s">
        <v>377</v>
      </c>
      <c r="F3154" t="s">
        <v>384</v>
      </c>
      <c r="G3154" t="s">
        <v>336</v>
      </c>
      <c r="H3154" t="s">
        <v>749</v>
      </c>
      <c r="I3154">
        <v>2021</v>
      </c>
      <c r="J3154" t="s">
        <v>379</v>
      </c>
      <c r="K3154" t="s">
        <v>546</v>
      </c>
      <c r="L3154" s="784">
        <v>0</v>
      </c>
      <c r="M3154" t="s">
        <v>745</v>
      </c>
      <c r="N3154" s="784" t="s">
        <v>575</v>
      </c>
      <c r="O3154" t="s">
        <v>737</v>
      </c>
      <c r="P3154" t="s">
        <v>1887</v>
      </c>
      <c r="R3154" t="s">
        <v>150</v>
      </c>
      <c r="S3154" t="s">
        <v>145</v>
      </c>
      <c r="U3154">
        <v>0</v>
      </c>
      <c r="V3154" t="s">
        <v>544</v>
      </c>
      <c r="W3154" t="s">
        <v>558</v>
      </c>
      <c r="X3154" s="784">
        <v>313039649.45369786</v>
      </c>
    </row>
    <row r="3155" spans="1:24">
      <c r="A3155" t="s">
        <v>358</v>
      </c>
      <c r="B3155" t="s">
        <v>573</v>
      </c>
      <c r="C3155" t="s">
        <v>181</v>
      </c>
      <c r="D3155" t="s">
        <v>129</v>
      </c>
      <c r="E3155" t="s">
        <v>377</v>
      </c>
      <c r="F3155" t="s">
        <v>384</v>
      </c>
      <c r="G3155" t="s">
        <v>336</v>
      </c>
      <c r="H3155" t="s">
        <v>749</v>
      </c>
      <c r="I3155">
        <v>2021</v>
      </c>
      <c r="J3155" t="s">
        <v>379</v>
      </c>
      <c r="K3155" t="s">
        <v>546</v>
      </c>
      <c r="L3155" s="784">
        <v>0</v>
      </c>
      <c r="M3155" t="s">
        <v>745</v>
      </c>
      <c r="N3155" s="784" t="s">
        <v>575</v>
      </c>
      <c r="O3155" t="s">
        <v>737</v>
      </c>
      <c r="P3155" t="s">
        <v>1887</v>
      </c>
      <c r="R3155" t="s">
        <v>150</v>
      </c>
      <c r="S3155" t="s">
        <v>145</v>
      </c>
      <c r="U3155">
        <v>2</v>
      </c>
      <c r="V3155" t="s">
        <v>544</v>
      </c>
      <c r="W3155" t="s">
        <v>542</v>
      </c>
      <c r="X3155" s="784">
        <v>81361801.477472037</v>
      </c>
    </row>
    <row r="3156" spans="1:24">
      <c r="A3156" t="s">
        <v>358</v>
      </c>
      <c r="B3156" t="s">
        <v>574</v>
      </c>
      <c r="C3156" t="s">
        <v>182</v>
      </c>
      <c r="D3156" t="s">
        <v>129</v>
      </c>
      <c r="E3156" t="s">
        <v>377</v>
      </c>
      <c r="F3156" t="s">
        <v>384</v>
      </c>
      <c r="G3156" t="s">
        <v>336</v>
      </c>
      <c r="H3156" t="s">
        <v>749</v>
      </c>
      <c r="I3156">
        <v>2021</v>
      </c>
      <c r="J3156" t="s">
        <v>379</v>
      </c>
      <c r="K3156" t="s">
        <v>546</v>
      </c>
      <c r="L3156" s="784">
        <v>0</v>
      </c>
      <c r="M3156" t="s">
        <v>745</v>
      </c>
      <c r="N3156" s="784" t="s">
        <v>575</v>
      </c>
      <c r="O3156" t="s">
        <v>737</v>
      </c>
      <c r="P3156" t="s">
        <v>1887</v>
      </c>
      <c r="R3156" t="s">
        <v>148</v>
      </c>
      <c r="S3156" t="s">
        <v>145</v>
      </c>
      <c r="U3156">
        <v>1</v>
      </c>
      <c r="V3156" t="s">
        <v>544</v>
      </c>
      <c r="W3156" t="s">
        <v>542</v>
      </c>
      <c r="X3156" s="784" t="s">
        <v>575</v>
      </c>
    </row>
    <row r="3157" spans="1:24">
      <c r="A3157" t="s">
        <v>358</v>
      </c>
      <c r="B3157" t="s">
        <v>576</v>
      </c>
      <c r="C3157" t="s">
        <v>183</v>
      </c>
      <c r="D3157" t="s">
        <v>129</v>
      </c>
      <c r="E3157" t="s">
        <v>377</v>
      </c>
      <c r="F3157" t="s">
        <v>384</v>
      </c>
      <c r="G3157" t="s">
        <v>336</v>
      </c>
      <c r="H3157" t="s">
        <v>749</v>
      </c>
      <c r="I3157">
        <v>2021</v>
      </c>
      <c r="J3157" t="s">
        <v>379</v>
      </c>
      <c r="K3157" t="s">
        <v>546</v>
      </c>
      <c r="L3157" s="784">
        <v>0</v>
      </c>
      <c r="M3157" t="s">
        <v>745</v>
      </c>
      <c r="N3157" s="784" t="s">
        <v>575</v>
      </c>
      <c r="O3157" t="s">
        <v>737</v>
      </c>
      <c r="P3157" t="s">
        <v>1887</v>
      </c>
      <c r="R3157" t="s">
        <v>148</v>
      </c>
      <c r="S3157" t="s">
        <v>145</v>
      </c>
      <c r="U3157">
        <v>1</v>
      </c>
      <c r="V3157" t="s">
        <v>544</v>
      </c>
      <c r="W3157" t="s">
        <v>542</v>
      </c>
      <c r="X3157" s="784">
        <v>76939306.715636879</v>
      </c>
    </row>
    <row r="3158" spans="1:24">
      <c r="A3158" t="s">
        <v>358</v>
      </c>
      <c r="B3158" t="s">
        <v>577</v>
      </c>
      <c r="C3158" t="s">
        <v>184</v>
      </c>
      <c r="D3158" t="s">
        <v>130</v>
      </c>
      <c r="E3158" t="s">
        <v>377</v>
      </c>
      <c r="F3158" t="s">
        <v>384</v>
      </c>
      <c r="G3158" t="s">
        <v>336</v>
      </c>
      <c r="H3158" t="s">
        <v>749</v>
      </c>
      <c r="I3158">
        <v>2021</v>
      </c>
      <c r="J3158" t="s">
        <v>379</v>
      </c>
      <c r="K3158" t="s">
        <v>546</v>
      </c>
      <c r="L3158" s="784">
        <v>0</v>
      </c>
      <c r="M3158" t="s">
        <v>745</v>
      </c>
      <c r="N3158" s="784" t="s">
        <v>575</v>
      </c>
      <c r="O3158" t="s">
        <v>737</v>
      </c>
      <c r="P3158" t="s">
        <v>1887</v>
      </c>
      <c r="R3158" t="s">
        <v>550</v>
      </c>
      <c r="S3158" t="s">
        <v>146</v>
      </c>
      <c r="U3158">
        <v>0</v>
      </c>
      <c r="V3158" t="s">
        <v>544</v>
      </c>
      <c r="W3158" t="s">
        <v>575</v>
      </c>
      <c r="X3158" s="784">
        <v>13859708717.682571</v>
      </c>
    </row>
    <row r="3159" spans="1:24">
      <c r="A3159" t="s">
        <v>358</v>
      </c>
      <c r="B3159" t="s">
        <v>578</v>
      </c>
      <c r="C3159" t="s">
        <v>185</v>
      </c>
      <c r="D3159" t="s">
        <v>126</v>
      </c>
      <c r="E3159" t="s">
        <v>377</v>
      </c>
      <c r="F3159" t="s">
        <v>384</v>
      </c>
      <c r="G3159" t="s">
        <v>336</v>
      </c>
      <c r="H3159" t="s">
        <v>749</v>
      </c>
      <c r="I3159">
        <v>2021</v>
      </c>
      <c r="J3159" t="s">
        <v>379</v>
      </c>
      <c r="K3159" t="s">
        <v>546</v>
      </c>
      <c r="L3159" s="784">
        <v>0</v>
      </c>
      <c r="M3159" t="s">
        <v>745</v>
      </c>
      <c r="N3159" s="784" t="s">
        <v>575</v>
      </c>
      <c r="O3159" t="s">
        <v>737</v>
      </c>
      <c r="P3159" t="s">
        <v>1887</v>
      </c>
      <c r="R3159" t="s">
        <v>152</v>
      </c>
      <c r="S3159" t="s">
        <v>146</v>
      </c>
      <c r="U3159">
        <v>0</v>
      </c>
      <c r="V3159" t="s">
        <v>544</v>
      </c>
      <c r="W3159" t="s">
        <v>575</v>
      </c>
      <c r="X3159" s="784">
        <v>403567160707.7016</v>
      </c>
    </row>
    <row r="3160" spans="1:24">
      <c r="A3160" t="s">
        <v>358</v>
      </c>
      <c r="B3160" t="s">
        <v>579</v>
      </c>
      <c r="C3160" t="s">
        <v>186</v>
      </c>
      <c r="D3160" t="s">
        <v>130</v>
      </c>
      <c r="E3160" t="s">
        <v>377</v>
      </c>
      <c r="F3160" t="s">
        <v>384</v>
      </c>
      <c r="G3160" t="s">
        <v>336</v>
      </c>
      <c r="H3160" t="s">
        <v>749</v>
      </c>
      <c r="I3160">
        <v>2021</v>
      </c>
      <c r="J3160" t="s">
        <v>379</v>
      </c>
      <c r="K3160" t="s">
        <v>546</v>
      </c>
      <c r="L3160" s="784">
        <v>0</v>
      </c>
      <c r="M3160" t="s">
        <v>745</v>
      </c>
      <c r="N3160" s="784" t="s">
        <v>575</v>
      </c>
      <c r="O3160" t="s">
        <v>737</v>
      </c>
      <c r="P3160" t="s">
        <v>1887</v>
      </c>
      <c r="R3160" t="s">
        <v>152</v>
      </c>
      <c r="S3160" t="s">
        <v>146</v>
      </c>
      <c r="U3160">
        <v>0</v>
      </c>
      <c r="V3160" t="s">
        <v>544</v>
      </c>
      <c r="W3160" t="s">
        <v>575</v>
      </c>
      <c r="X3160" s="784">
        <v>18250225995.972618</v>
      </c>
    </row>
    <row r="3161" spans="1:24">
      <c r="A3161" t="s">
        <v>358</v>
      </c>
      <c r="B3161" t="s">
        <v>580</v>
      </c>
      <c r="C3161" t="s">
        <v>187</v>
      </c>
      <c r="D3161" t="s">
        <v>128</v>
      </c>
      <c r="E3161" t="s">
        <v>377</v>
      </c>
      <c r="F3161" t="s">
        <v>384</v>
      </c>
      <c r="G3161" t="s">
        <v>336</v>
      </c>
      <c r="H3161" t="s">
        <v>749</v>
      </c>
      <c r="I3161">
        <v>2021</v>
      </c>
      <c r="J3161" t="s">
        <v>379</v>
      </c>
      <c r="K3161" t="s">
        <v>546</v>
      </c>
      <c r="L3161" s="784">
        <v>0</v>
      </c>
      <c r="M3161" t="s">
        <v>745</v>
      </c>
      <c r="N3161" s="784" t="s">
        <v>575</v>
      </c>
      <c r="O3161" t="s">
        <v>737</v>
      </c>
      <c r="P3161" t="s">
        <v>1887</v>
      </c>
      <c r="R3161" t="s">
        <v>150</v>
      </c>
      <c r="S3161" t="s">
        <v>145</v>
      </c>
      <c r="U3161">
        <v>0</v>
      </c>
      <c r="V3161" t="s">
        <v>541</v>
      </c>
      <c r="W3161" t="s">
        <v>562</v>
      </c>
      <c r="X3161" s="784">
        <v>5027591.1682657599</v>
      </c>
    </row>
    <row r="3162" spans="1:24">
      <c r="A3162" t="s">
        <v>358</v>
      </c>
      <c r="B3162" t="s">
        <v>581</v>
      </c>
      <c r="C3162" t="s">
        <v>188</v>
      </c>
      <c r="D3162" t="s">
        <v>129</v>
      </c>
      <c r="E3162" t="s">
        <v>377</v>
      </c>
      <c r="F3162" t="s">
        <v>384</v>
      </c>
      <c r="G3162" t="s">
        <v>336</v>
      </c>
      <c r="H3162" t="s">
        <v>749</v>
      </c>
      <c r="I3162">
        <v>2021</v>
      </c>
      <c r="J3162" t="s">
        <v>379</v>
      </c>
      <c r="K3162" t="s">
        <v>546</v>
      </c>
      <c r="L3162" s="784">
        <v>1997233</v>
      </c>
      <c r="M3162" t="s">
        <v>745</v>
      </c>
      <c r="N3162" s="784" t="s">
        <v>575</v>
      </c>
      <c r="O3162" t="s">
        <v>737</v>
      </c>
      <c r="P3162" t="s">
        <v>1887</v>
      </c>
      <c r="R3162" t="s">
        <v>148</v>
      </c>
      <c r="S3162" t="s">
        <v>145</v>
      </c>
      <c r="U3162">
        <v>3</v>
      </c>
      <c r="V3162" t="s">
        <v>544</v>
      </c>
      <c r="W3162" t="s">
        <v>562</v>
      </c>
      <c r="X3162" s="784">
        <v>234645958.63289919</v>
      </c>
    </row>
    <row r="3163" spans="1:24">
      <c r="A3163" t="s">
        <v>358</v>
      </c>
      <c r="B3163" t="s">
        <v>582</v>
      </c>
      <c r="C3163" t="s">
        <v>189</v>
      </c>
      <c r="D3163" t="s">
        <v>129</v>
      </c>
      <c r="E3163" t="s">
        <v>377</v>
      </c>
      <c r="F3163" t="s">
        <v>384</v>
      </c>
      <c r="G3163" t="s">
        <v>336</v>
      </c>
      <c r="H3163" t="s">
        <v>749</v>
      </c>
      <c r="I3163">
        <v>2021</v>
      </c>
      <c r="J3163" t="s">
        <v>379</v>
      </c>
      <c r="K3163" t="s">
        <v>546</v>
      </c>
      <c r="L3163" s="784">
        <v>0</v>
      </c>
      <c r="M3163" t="s">
        <v>745</v>
      </c>
      <c r="N3163" s="784" t="s">
        <v>575</v>
      </c>
      <c r="O3163" t="s">
        <v>737</v>
      </c>
      <c r="P3163" t="s">
        <v>1887</v>
      </c>
      <c r="R3163" t="s">
        <v>150</v>
      </c>
      <c r="S3163" t="s">
        <v>145</v>
      </c>
      <c r="U3163">
        <v>2</v>
      </c>
      <c r="V3163" t="s">
        <v>544</v>
      </c>
      <c r="W3163" t="s">
        <v>583</v>
      </c>
      <c r="X3163" s="784">
        <v>91590910.247314155</v>
      </c>
    </row>
    <row r="3164" spans="1:24">
      <c r="A3164" t="s">
        <v>358</v>
      </c>
      <c r="B3164" t="s">
        <v>584</v>
      </c>
      <c r="C3164" t="s">
        <v>190</v>
      </c>
      <c r="D3164" t="s">
        <v>126</v>
      </c>
      <c r="E3164" t="s">
        <v>377</v>
      </c>
      <c r="F3164" t="s">
        <v>384</v>
      </c>
      <c r="G3164" t="s">
        <v>336</v>
      </c>
      <c r="H3164" t="s">
        <v>749</v>
      </c>
      <c r="I3164">
        <v>2021</v>
      </c>
      <c r="J3164" t="s">
        <v>379</v>
      </c>
      <c r="K3164" t="s">
        <v>546</v>
      </c>
      <c r="L3164" s="784">
        <v>0</v>
      </c>
      <c r="M3164" t="s">
        <v>745</v>
      </c>
      <c r="N3164" s="784" t="s">
        <v>575</v>
      </c>
      <c r="O3164" t="s">
        <v>737</v>
      </c>
      <c r="P3164" t="s">
        <v>1887</v>
      </c>
      <c r="R3164" t="s">
        <v>322</v>
      </c>
      <c r="S3164" t="s">
        <v>146</v>
      </c>
      <c r="U3164">
        <v>0</v>
      </c>
      <c r="V3164" t="s">
        <v>541</v>
      </c>
      <c r="W3164" t="s">
        <v>546</v>
      </c>
      <c r="X3164" s="784">
        <v>8560012.8840167802</v>
      </c>
    </row>
    <row r="3165" spans="1:24">
      <c r="A3165" t="s">
        <v>358</v>
      </c>
      <c r="B3165" t="s">
        <v>585</v>
      </c>
      <c r="C3165" t="s">
        <v>191</v>
      </c>
      <c r="D3165" t="s">
        <v>130</v>
      </c>
      <c r="E3165" t="s">
        <v>377</v>
      </c>
      <c r="F3165" t="s">
        <v>384</v>
      </c>
      <c r="G3165" t="s">
        <v>336</v>
      </c>
      <c r="H3165" t="s">
        <v>749</v>
      </c>
      <c r="I3165">
        <v>2021</v>
      </c>
      <c r="J3165" t="s">
        <v>379</v>
      </c>
      <c r="K3165" t="s">
        <v>546</v>
      </c>
      <c r="L3165" s="784">
        <v>0</v>
      </c>
      <c r="M3165" t="s">
        <v>745</v>
      </c>
      <c r="N3165" s="784" t="s">
        <v>575</v>
      </c>
      <c r="O3165" t="s">
        <v>737</v>
      </c>
      <c r="P3165" t="s">
        <v>1887</v>
      </c>
      <c r="R3165" t="s">
        <v>152</v>
      </c>
      <c r="S3165" t="s">
        <v>146</v>
      </c>
      <c r="U3165">
        <v>0</v>
      </c>
      <c r="V3165" t="s">
        <v>544</v>
      </c>
      <c r="W3165" t="s">
        <v>546</v>
      </c>
      <c r="X3165" s="784">
        <v>3292372960.3962669</v>
      </c>
    </row>
    <row r="3166" spans="1:24">
      <c r="A3166" t="s">
        <v>358</v>
      </c>
      <c r="B3166" t="s">
        <v>586</v>
      </c>
      <c r="C3166" t="s">
        <v>192</v>
      </c>
      <c r="D3166" t="s">
        <v>129</v>
      </c>
      <c r="E3166" t="s">
        <v>377</v>
      </c>
      <c r="F3166" t="s">
        <v>384</v>
      </c>
      <c r="G3166" t="s">
        <v>336</v>
      </c>
      <c r="H3166" t="s">
        <v>749</v>
      </c>
      <c r="I3166">
        <v>2021</v>
      </c>
      <c r="J3166" t="s">
        <v>379</v>
      </c>
      <c r="K3166" t="s">
        <v>546</v>
      </c>
      <c r="L3166" s="784">
        <v>0</v>
      </c>
      <c r="M3166" t="s">
        <v>745</v>
      </c>
      <c r="N3166" s="784" t="s">
        <v>575</v>
      </c>
      <c r="O3166" t="s">
        <v>737</v>
      </c>
      <c r="P3166" t="s">
        <v>1887</v>
      </c>
      <c r="R3166" t="s">
        <v>150</v>
      </c>
      <c r="S3166" t="s">
        <v>145</v>
      </c>
      <c r="U3166">
        <v>0</v>
      </c>
      <c r="V3166" t="s">
        <v>544</v>
      </c>
      <c r="W3166" t="s">
        <v>562</v>
      </c>
      <c r="X3166" s="784">
        <v>519209981.22981054</v>
      </c>
    </row>
    <row r="3167" spans="1:24">
      <c r="A3167" t="s">
        <v>358</v>
      </c>
      <c r="B3167" t="s">
        <v>587</v>
      </c>
      <c r="C3167" t="s">
        <v>193</v>
      </c>
      <c r="D3167" t="s">
        <v>127</v>
      </c>
      <c r="E3167" t="s">
        <v>377</v>
      </c>
      <c r="F3167" t="s">
        <v>384</v>
      </c>
      <c r="G3167" t="s">
        <v>336</v>
      </c>
      <c r="H3167" t="s">
        <v>749</v>
      </c>
      <c r="I3167">
        <v>2021</v>
      </c>
      <c r="J3167" t="s">
        <v>379</v>
      </c>
      <c r="K3167" t="s">
        <v>546</v>
      </c>
      <c r="L3167" s="784">
        <v>0</v>
      </c>
      <c r="M3167" t="s">
        <v>745</v>
      </c>
      <c r="N3167" s="784" t="s">
        <v>575</v>
      </c>
      <c r="O3167" t="s">
        <v>737</v>
      </c>
      <c r="P3167" t="s">
        <v>1887</v>
      </c>
      <c r="R3167" t="s">
        <v>550</v>
      </c>
      <c r="S3167" t="s">
        <v>146</v>
      </c>
      <c r="U3167">
        <v>0</v>
      </c>
      <c r="V3167" t="s">
        <v>544</v>
      </c>
      <c r="W3167" t="s">
        <v>575</v>
      </c>
      <c r="X3167" s="784">
        <v>3464739907.1604805</v>
      </c>
    </row>
    <row r="3168" spans="1:24">
      <c r="A3168" t="s">
        <v>358</v>
      </c>
      <c r="B3168" t="s">
        <v>588</v>
      </c>
      <c r="C3168" t="s">
        <v>147</v>
      </c>
      <c r="D3168" t="s">
        <v>130</v>
      </c>
      <c r="E3168" t="s">
        <v>377</v>
      </c>
      <c r="F3168" t="s">
        <v>384</v>
      </c>
      <c r="G3168" t="s">
        <v>336</v>
      </c>
      <c r="H3168" t="s">
        <v>749</v>
      </c>
      <c r="I3168">
        <v>2021</v>
      </c>
      <c r="J3168" t="s">
        <v>379</v>
      </c>
      <c r="K3168" t="s">
        <v>546</v>
      </c>
      <c r="L3168" s="784">
        <v>0</v>
      </c>
      <c r="M3168" t="s">
        <v>745</v>
      </c>
      <c r="N3168" s="784" t="s">
        <v>575</v>
      </c>
      <c r="O3168" t="s">
        <v>737</v>
      </c>
      <c r="P3168" t="s">
        <v>1887</v>
      </c>
      <c r="R3168" t="s">
        <v>152</v>
      </c>
      <c r="S3168" t="s">
        <v>146</v>
      </c>
      <c r="U3168">
        <v>0</v>
      </c>
      <c r="V3168" t="s">
        <v>541</v>
      </c>
      <c r="W3168" t="s">
        <v>575</v>
      </c>
      <c r="X3168" s="784">
        <v>9948521252.2569065</v>
      </c>
    </row>
    <row r="3169" spans="1:24">
      <c r="A3169" t="s">
        <v>358</v>
      </c>
      <c r="B3169" t="s">
        <v>589</v>
      </c>
      <c r="C3169" t="s">
        <v>194</v>
      </c>
      <c r="D3169" t="s">
        <v>131</v>
      </c>
      <c r="E3169" t="s">
        <v>377</v>
      </c>
      <c r="F3169" t="s">
        <v>384</v>
      </c>
      <c r="G3169" t="s">
        <v>336</v>
      </c>
      <c r="H3169" t="s">
        <v>749</v>
      </c>
      <c r="I3169">
        <v>2021</v>
      </c>
      <c r="J3169" t="s">
        <v>379</v>
      </c>
      <c r="K3169" t="s">
        <v>546</v>
      </c>
      <c r="L3169" s="784">
        <v>0</v>
      </c>
      <c r="M3169" t="s">
        <v>745</v>
      </c>
      <c r="N3169" s="784" t="s">
        <v>575</v>
      </c>
      <c r="O3169" t="s">
        <v>737</v>
      </c>
      <c r="P3169" t="s">
        <v>1887</v>
      </c>
      <c r="R3169" t="s">
        <v>150</v>
      </c>
      <c r="S3169" t="s">
        <v>145</v>
      </c>
      <c r="U3169">
        <v>1</v>
      </c>
      <c r="V3169" t="s">
        <v>544</v>
      </c>
      <c r="W3169" t="s">
        <v>542</v>
      </c>
      <c r="X3169" s="784">
        <v>33679192.765657313</v>
      </c>
    </row>
    <row r="3170" spans="1:24">
      <c r="A3170" t="s">
        <v>358</v>
      </c>
      <c r="B3170" t="s">
        <v>590</v>
      </c>
      <c r="C3170" t="s">
        <v>195</v>
      </c>
      <c r="D3170" t="s">
        <v>130</v>
      </c>
      <c r="E3170" t="s">
        <v>377</v>
      </c>
      <c r="F3170" t="s">
        <v>384</v>
      </c>
      <c r="G3170" t="s">
        <v>336</v>
      </c>
      <c r="H3170" t="s">
        <v>749</v>
      </c>
      <c r="I3170">
        <v>2021</v>
      </c>
      <c r="J3170" t="s">
        <v>379</v>
      </c>
      <c r="K3170" t="s">
        <v>546</v>
      </c>
      <c r="L3170" s="784">
        <v>0</v>
      </c>
      <c r="M3170" t="s">
        <v>745</v>
      </c>
      <c r="N3170" s="784" t="s">
        <v>575</v>
      </c>
      <c r="O3170" t="s">
        <v>737</v>
      </c>
      <c r="P3170" t="s">
        <v>1887</v>
      </c>
      <c r="R3170" t="s">
        <v>152</v>
      </c>
      <c r="S3170" t="s">
        <v>145</v>
      </c>
      <c r="U3170">
        <v>0</v>
      </c>
      <c r="V3170" t="s">
        <v>541</v>
      </c>
      <c r="W3170" t="s">
        <v>548</v>
      </c>
      <c r="X3170" s="784">
        <v>22784494.365742501</v>
      </c>
    </row>
    <row r="3171" spans="1:24">
      <c r="A3171" t="s">
        <v>358</v>
      </c>
      <c r="B3171" t="s">
        <v>591</v>
      </c>
      <c r="C3171" t="s">
        <v>196</v>
      </c>
      <c r="D3171" t="s">
        <v>130</v>
      </c>
      <c r="E3171" t="s">
        <v>377</v>
      </c>
      <c r="F3171" t="s">
        <v>384</v>
      </c>
      <c r="G3171" t="s">
        <v>336</v>
      </c>
      <c r="H3171" t="s">
        <v>749</v>
      </c>
      <c r="I3171">
        <v>2021</v>
      </c>
      <c r="J3171" t="s">
        <v>379</v>
      </c>
      <c r="K3171" t="s">
        <v>546</v>
      </c>
      <c r="L3171" s="784">
        <v>0</v>
      </c>
      <c r="M3171" t="s">
        <v>745</v>
      </c>
      <c r="N3171" s="784" t="s">
        <v>575</v>
      </c>
      <c r="O3171" t="s">
        <v>737</v>
      </c>
      <c r="P3171" t="s">
        <v>1887</v>
      </c>
      <c r="R3171" t="s">
        <v>152</v>
      </c>
      <c r="S3171" t="s">
        <v>146</v>
      </c>
      <c r="U3171">
        <v>0</v>
      </c>
      <c r="V3171" t="s">
        <v>541</v>
      </c>
      <c r="W3171" t="s">
        <v>575</v>
      </c>
      <c r="X3171" s="784">
        <v>2173208011.4858823</v>
      </c>
    </row>
    <row r="3172" spans="1:24">
      <c r="A3172" t="s">
        <v>358</v>
      </c>
      <c r="B3172" t="s">
        <v>592</v>
      </c>
      <c r="C3172" t="s">
        <v>197</v>
      </c>
      <c r="D3172" t="s">
        <v>130</v>
      </c>
      <c r="E3172" t="s">
        <v>377</v>
      </c>
      <c r="F3172" t="s">
        <v>384</v>
      </c>
      <c r="G3172" t="s">
        <v>336</v>
      </c>
      <c r="H3172" t="s">
        <v>749</v>
      </c>
      <c r="I3172">
        <v>2021</v>
      </c>
      <c r="J3172" t="s">
        <v>379</v>
      </c>
      <c r="K3172" t="s">
        <v>546</v>
      </c>
      <c r="L3172" s="784">
        <v>0</v>
      </c>
      <c r="M3172" t="s">
        <v>745</v>
      </c>
      <c r="N3172" s="784" t="s">
        <v>575</v>
      </c>
      <c r="O3172" t="s">
        <v>737</v>
      </c>
      <c r="P3172" t="s">
        <v>1887</v>
      </c>
      <c r="R3172" t="s">
        <v>152</v>
      </c>
      <c r="S3172" t="s">
        <v>146</v>
      </c>
      <c r="U3172">
        <v>0</v>
      </c>
      <c r="V3172" t="s">
        <v>544</v>
      </c>
      <c r="W3172" t="s">
        <v>546</v>
      </c>
      <c r="X3172" s="784">
        <v>4585736158.8323269</v>
      </c>
    </row>
    <row r="3173" spans="1:24">
      <c r="A3173" t="s">
        <v>358</v>
      </c>
      <c r="B3173" t="s">
        <v>593</v>
      </c>
      <c r="C3173" t="s">
        <v>198</v>
      </c>
      <c r="D3173" t="s">
        <v>131</v>
      </c>
      <c r="E3173" t="s">
        <v>377</v>
      </c>
      <c r="F3173" t="s">
        <v>384</v>
      </c>
      <c r="G3173" t="s">
        <v>336</v>
      </c>
      <c r="H3173" t="s">
        <v>749</v>
      </c>
      <c r="I3173">
        <v>2021</v>
      </c>
      <c r="J3173" t="s">
        <v>379</v>
      </c>
      <c r="K3173" t="s">
        <v>546</v>
      </c>
      <c r="L3173" s="784">
        <v>0</v>
      </c>
      <c r="M3173" t="s">
        <v>745</v>
      </c>
      <c r="N3173" s="784" t="s">
        <v>575</v>
      </c>
      <c r="O3173" t="s">
        <v>737</v>
      </c>
      <c r="P3173" t="s">
        <v>1887</v>
      </c>
      <c r="R3173" t="s">
        <v>150</v>
      </c>
      <c r="S3173" t="s">
        <v>145</v>
      </c>
      <c r="U3173">
        <v>0</v>
      </c>
      <c r="V3173" t="s">
        <v>544</v>
      </c>
      <c r="W3173" t="s">
        <v>546</v>
      </c>
      <c r="X3173" s="784">
        <v>3550291584.8645592</v>
      </c>
    </row>
    <row r="3174" spans="1:24">
      <c r="A3174" t="s">
        <v>358</v>
      </c>
      <c r="B3174" t="s">
        <v>594</v>
      </c>
      <c r="C3174" t="s">
        <v>199</v>
      </c>
      <c r="D3174" t="s">
        <v>130</v>
      </c>
      <c r="E3174" t="s">
        <v>377</v>
      </c>
      <c r="F3174" t="s">
        <v>384</v>
      </c>
      <c r="G3174" t="s">
        <v>336</v>
      </c>
      <c r="H3174" t="s">
        <v>749</v>
      </c>
      <c r="I3174">
        <v>2021</v>
      </c>
      <c r="J3174" t="s">
        <v>379</v>
      </c>
      <c r="K3174" t="s">
        <v>546</v>
      </c>
      <c r="L3174" s="784">
        <v>0</v>
      </c>
      <c r="M3174" t="s">
        <v>745</v>
      </c>
      <c r="N3174" s="784" t="s">
        <v>575</v>
      </c>
      <c r="O3174" t="s">
        <v>737</v>
      </c>
      <c r="P3174" t="s">
        <v>1887</v>
      </c>
      <c r="R3174" t="s">
        <v>150</v>
      </c>
      <c r="S3174" t="s">
        <v>145</v>
      </c>
      <c r="U3174">
        <v>0</v>
      </c>
      <c r="V3174" t="s">
        <v>544</v>
      </c>
      <c r="W3174" t="s">
        <v>546</v>
      </c>
      <c r="X3174" s="784">
        <v>1182840319.0410969</v>
      </c>
    </row>
    <row r="3175" spans="1:24">
      <c r="A3175" t="s">
        <v>358</v>
      </c>
      <c r="B3175" t="s">
        <v>595</v>
      </c>
      <c r="C3175" t="s">
        <v>200</v>
      </c>
      <c r="D3175" t="s">
        <v>130</v>
      </c>
      <c r="E3175" t="s">
        <v>377</v>
      </c>
      <c r="F3175" t="s">
        <v>384</v>
      </c>
      <c r="G3175" t="s">
        <v>336</v>
      </c>
      <c r="H3175" t="s">
        <v>749</v>
      </c>
      <c r="I3175">
        <v>2021</v>
      </c>
      <c r="J3175" t="s">
        <v>379</v>
      </c>
      <c r="K3175" t="s">
        <v>546</v>
      </c>
      <c r="L3175" s="784">
        <v>0</v>
      </c>
      <c r="M3175" t="s">
        <v>745</v>
      </c>
      <c r="N3175" s="784" t="s">
        <v>575</v>
      </c>
      <c r="O3175" t="s">
        <v>737</v>
      </c>
      <c r="P3175" t="s">
        <v>1887</v>
      </c>
      <c r="R3175" t="s">
        <v>152</v>
      </c>
      <c r="S3175" t="s">
        <v>146</v>
      </c>
      <c r="U3175">
        <v>0</v>
      </c>
      <c r="V3175" t="s">
        <v>544</v>
      </c>
      <c r="W3175" t="s">
        <v>575</v>
      </c>
      <c r="X3175" s="784">
        <v>81728347.604567245</v>
      </c>
    </row>
    <row r="3176" spans="1:24">
      <c r="A3176" t="s">
        <v>358</v>
      </c>
      <c r="B3176" t="s">
        <v>596</v>
      </c>
      <c r="C3176" t="s">
        <v>201</v>
      </c>
      <c r="D3176" t="s">
        <v>128</v>
      </c>
      <c r="E3176" t="s">
        <v>377</v>
      </c>
      <c r="F3176" t="s">
        <v>384</v>
      </c>
      <c r="G3176" t="s">
        <v>336</v>
      </c>
      <c r="H3176" t="s">
        <v>749</v>
      </c>
      <c r="I3176">
        <v>2021</v>
      </c>
      <c r="J3176" t="s">
        <v>379</v>
      </c>
      <c r="K3176" t="s">
        <v>546</v>
      </c>
      <c r="L3176" s="784">
        <v>0</v>
      </c>
      <c r="M3176" t="s">
        <v>745</v>
      </c>
      <c r="N3176" s="784" t="s">
        <v>575</v>
      </c>
      <c r="O3176" t="s">
        <v>737</v>
      </c>
      <c r="P3176" t="s">
        <v>1887</v>
      </c>
      <c r="R3176" t="s">
        <v>148</v>
      </c>
      <c r="S3176" t="s">
        <v>145</v>
      </c>
      <c r="U3176">
        <v>2</v>
      </c>
      <c r="V3176" t="s">
        <v>544</v>
      </c>
      <c r="W3176" t="s">
        <v>546</v>
      </c>
      <c r="X3176" s="784">
        <v>12787914.977715338</v>
      </c>
    </row>
    <row r="3177" spans="1:24">
      <c r="A3177" t="s">
        <v>358</v>
      </c>
      <c r="B3177" t="s">
        <v>597</v>
      </c>
      <c r="C3177" t="s">
        <v>202</v>
      </c>
      <c r="D3177" t="s">
        <v>128</v>
      </c>
      <c r="E3177" t="s">
        <v>377</v>
      </c>
      <c r="F3177" t="s">
        <v>384</v>
      </c>
      <c r="G3177" t="s">
        <v>336</v>
      </c>
      <c r="H3177" t="s">
        <v>749</v>
      </c>
      <c r="I3177">
        <v>2021</v>
      </c>
      <c r="J3177" t="s">
        <v>379</v>
      </c>
      <c r="K3177" t="s">
        <v>546</v>
      </c>
      <c r="L3177" s="784">
        <v>0</v>
      </c>
      <c r="M3177" t="s">
        <v>745</v>
      </c>
      <c r="N3177" s="784" t="s">
        <v>575</v>
      </c>
      <c r="O3177" t="s">
        <v>737</v>
      </c>
      <c r="P3177" t="s">
        <v>1887</v>
      </c>
      <c r="R3177" t="s">
        <v>150</v>
      </c>
      <c r="S3177" t="s">
        <v>145</v>
      </c>
      <c r="U3177">
        <v>2</v>
      </c>
      <c r="V3177" t="s">
        <v>544</v>
      </c>
      <c r="W3177" t="s">
        <v>546</v>
      </c>
      <c r="X3177" s="784">
        <v>101271737.65410839</v>
      </c>
    </row>
    <row r="3178" spans="1:24">
      <c r="A3178" t="s">
        <v>358</v>
      </c>
      <c r="B3178" t="s">
        <v>598</v>
      </c>
      <c r="C3178" t="s">
        <v>203</v>
      </c>
      <c r="D3178" t="s">
        <v>128</v>
      </c>
      <c r="E3178" t="s">
        <v>377</v>
      </c>
      <c r="F3178" t="s">
        <v>384</v>
      </c>
      <c r="G3178" t="s">
        <v>336</v>
      </c>
      <c r="H3178" t="s">
        <v>749</v>
      </c>
      <c r="I3178">
        <v>2021</v>
      </c>
      <c r="J3178" t="s">
        <v>379</v>
      </c>
      <c r="K3178" t="s">
        <v>546</v>
      </c>
      <c r="L3178" s="784">
        <v>0</v>
      </c>
      <c r="M3178" t="s">
        <v>745</v>
      </c>
      <c r="N3178" s="784" t="s">
        <v>575</v>
      </c>
      <c r="O3178" t="s">
        <v>737</v>
      </c>
      <c r="P3178" t="s">
        <v>1887</v>
      </c>
      <c r="R3178" t="s">
        <v>148</v>
      </c>
      <c r="S3178" t="s">
        <v>145</v>
      </c>
      <c r="U3178">
        <v>3</v>
      </c>
      <c r="V3178" t="s">
        <v>544</v>
      </c>
      <c r="W3178" t="s">
        <v>542</v>
      </c>
      <c r="X3178" s="784">
        <v>618344226.71759331</v>
      </c>
    </row>
    <row r="3179" spans="1:24">
      <c r="A3179" t="s">
        <v>358</v>
      </c>
      <c r="B3179" t="s">
        <v>599</v>
      </c>
      <c r="C3179" t="s">
        <v>204</v>
      </c>
      <c r="D3179" t="s">
        <v>126</v>
      </c>
      <c r="E3179" t="s">
        <v>377</v>
      </c>
      <c r="F3179" t="s">
        <v>384</v>
      </c>
      <c r="G3179" t="s">
        <v>336</v>
      </c>
      <c r="H3179" t="s">
        <v>749</v>
      </c>
      <c r="I3179">
        <v>2021</v>
      </c>
      <c r="J3179" t="s">
        <v>379</v>
      </c>
      <c r="K3179" t="s">
        <v>546</v>
      </c>
      <c r="L3179" s="784">
        <v>0</v>
      </c>
      <c r="M3179" t="s">
        <v>745</v>
      </c>
      <c r="N3179" s="784" t="s">
        <v>575</v>
      </c>
      <c r="O3179" t="s">
        <v>737</v>
      </c>
      <c r="P3179" t="s">
        <v>1887</v>
      </c>
      <c r="R3179" t="s">
        <v>152</v>
      </c>
      <c r="S3179" t="s">
        <v>145</v>
      </c>
      <c r="U3179">
        <v>0</v>
      </c>
      <c r="V3179" t="s">
        <v>541</v>
      </c>
      <c r="W3179" t="s">
        <v>548</v>
      </c>
      <c r="X3179" s="784">
        <v>129483872.95906857</v>
      </c>
    </row>
    <row r="3180" spans="1:24">
      <c r="A3180" t="s">
        <v>358</v>
      </c>
      <c r="B3180" t="s">
        <v>600</v>
      </c>
      <c r="C3180" t="s">
        <v>205</v>
      </c>
      <c r="D3180" t="s">
        <v>129</v>
      </c>
      <c r="E3180" t="s">
        <v>377</v>
      </c>
      <c r="F3180" t="s">
        <v>384</v>
      </c>
      <c r="G3180" t="s">
        <v>336</v>
      </c>
      <c r="H3180" t="s">
        <v>749</v>
      </c>
      <c r="I3180">
        <v>2021</v>
      </c>
      <c r="J3180" t="s">
        <v>379</v>
      </c>
      <c r="K3180" t="s">
        <v>546</v>
      </c>
      <c r="L3180" s="784">
        <v>0</v>
      </c>
      <c r="M3180" t="s">
        <v>745</v>
      </c>
      <c r="N3180" s="784" t="s">
        <v>575</v>
      </c>
      <c r="O3180" t="s">
        <v>737</v>
      </c>
      <c r="P3180" t="s">
        <v>1887</v>
      </c>
      <c r="R3180" t="s">
        <v>152</v>
      </c>
      <c r="S3180" t="s">
        <v>146</v>
      </c>
      <c r="U3180">
        <v>0</v>
      </c>
      <c r="V3180" t="s">
        <v>544</v>
      </c>
      <c r="W3180" t="s">
        <v>546</v>
      </c>
      <c r="X3180" s="784">
        <v>271184658.35014349</v>
      </c>
    </row>
    <row r="3181" spans="1:24">
      <c r="A3181" t="s">
        <v>358</v>
      </c>
      <c r="B3181" t="s">
        <v>601</v>
      </c>
      <c r="C3181" t="s">
        <v>206</v>
      </c>
      <c r="D3181" t="s">
        <v>129</v>
      </c>
      <c r="E3181" t="s">
        <v>377</v>
      </c>
      <c r="F3181" t="s">
        <v>384</v>
      </c>
      <c r="G3181" t="s">
        <v>336</v>
      </c>
      <c r="H3181" t="s">
        <v>749</v>
      </c>
      <c r="I3181">
        <v>2021</v>
      </c>
      <c r="J3181" t="s">
        <v>379</v>
      </c>
      <c r="K3181" t="s">
        <v>546</v>
      </c>
      <c r="L3181" s="784">
        <v>0</v>
      </c>
      <c r="M3181" t="s">
        <v>745</v>
      </c>
      <c r="N3181" s="784" t="s">
        <v>575</v>
      </c>
      <c r="O3181" t="s">
        <v>737</v>
      </c>
      <c r="P3181" t="s">
        <v>1887</v>
      </c>
      <c r="R3181" t="s">
        <v>148</v>
      </c>
      <c r="S3181" t="s">
        <v>145</v>
      </c>
      <c r="U3181">
        <v>0</v>
      </c>
      <c r="V3181" t="s">
        <v>544</v>
      </c>
      <c r="W3181" t="s">
        <v>542</v>
      </c>
      <c r="X3181" s="784">
        <v>15455265.086884515</v>
      </c>
    </row>
    <row r="3182" spans="1:24">
      <c r="A3182" t="s">
        <v>358</v>
      </c>
      <c r="B3182" t="s">
        <v>602</v>
      </c>
      <c r="C3182" t="s">
        <v>207</v>
      </c>
      <c r="D3182" t="s">
        <v>127</v>
      </c>
      <c r="E3182" t="s">
        <v>377</v>
      </c>
      <c r="F3182" t="s">
        <v>384</v>
      </c>
      <c r="G3182" t="s">
        <v>336</v>
      </c>
      <c r="H3182" t="s">
        <v>749</v>
      </c>
      <c r="I3182">
        <v>2021</v>
      </c>
      <c r="J3182" t="s">
        <v>379</v>
      </c>
      <c r="K3182" t="s">
        <v>546</v>
      </c>
      <c r="L3182" s="784">
        <v>0</v>
      </c>
      <c r="M3182" t="s">
        <v>745</v>
      </c>
      <c r="N3182" s="784" t="s">
        <v>575</v>
      </c>
      <c r="O3182" t="s">
        <v>737</v>
      </c>
      <c r="P3182" t="s">
        <v>1887</v>
      </c>
      <c r="R3182" t="s">
        <v>152</v>
      </c>
      <c r="S3182" t="s">
        <v>146</v>
      </c>
      <c r="U3182">
        <v>0</v>
      </c>
      <c r="V3182" t="s">
        <v>544</v>
      </c>
      <c r="W3182" t="s">
        <v>546</v>
      </c>
      <c r="X3182" s="784">
        <v>494021502.525527</v>
      </c>
    </row>
    <row r="3183" spans="1:24">
      <c r="A3183" t="s">
        <v>358</v>
      </c>
      <c r="B3183" t="s">
        <v>603</v>
      </c>
      <c r="C3183" t="s">
        <v>208</v>
      </c>
      <c r="D3183" t="s">
        <v>129</v>
      </c>
      <c r="E3183" t="s">
        <v>377</v>
      </c>
      <c r="F3183" t="s">
        <v>384</v>
      </c>
      <c r="G3183" t="s">
        <v>336</v>
      </c>
      <c r="H3183" t="s">
        <v>749</v>
      </c>
      <c r="I3183">
        <v>2021</v>
      </c>
      <c r="J3183" t="s">
        <v>379</v>
      </c>
      <c r="K3183" t="s">
        <v>546</v>
      </c>
      <c r="L3183" s="784">
        <v>0</v>
      </c>
      <c r="M3183" t="s">
        <v>745</v>
      </c>
      <c r="N3183" s="784" t="s">
        <v>575</v>
      </c>
      <c r="O3183" t="s">
        <v>737</v>
      </c>
      <c r="P3183" t="s">
        <v>1887</v>
      </c>
      <c r="R3183" t="s">
        <v>150</v>
      </c>
      <c r="S3183" t="s">
        <v>145</v>
      </c>
      <c r="U3183">
        <v>0</v>
      </c>
      <c r="V3183" t="s">
        <v>544</v>
      </c>
      <c r="W3183" t="s">
        <v>542</v>
      </c>
      <c r="X3183" s="784">
        <v>902005621.73836684</v>
      </c>
    </row>
    <row r="3184" spans="1:24">
      <c r="A3184" t="s">
        <v>358</v>
      </c>
      <c r="B3184" t="s">
        <v>604</v>
      </c>
      <c r="C3184" t="s">
        <v>209</v>
      </c>
      <c r="D3184" t="s">
        <v>130</v>
      </c>
      <c r="E3184" t="s">
        <v>377</v>
      </c>
      <c r="F3184" t="s">
        <v>384</v>
      </c>
      <c r="G3184" t="s">
        <v>336</v>
      </c>
      <c r="H3184" t="s">
        <v>749</v>
      </c>
      <c r="I3184">
        <v>2021</v>
      </c>
      <c r="J3184" t="s">
        <v>379</v>
      </c>
      <c r="K3184" t="s">
        <v>546</v>
      </c>
      <c r="L3184" s="784">
        <v>0</v>
      </c>
      <c r="M3184" t="s">
        <v>745</v>
      </c>
      <c r="N3184" s="784" t="s">
        <v>575</v>
      </c>
      <c r="O3184" t="s">
        <v>737</v>
      </c>
      <c r="P3184" t="s">
        <v>1887</v>
      </c>
      <c r="R3184" t="s">
        <v>152</v>
      </c>
      <c r="S3184" t="s">
        <v>145</v>
      </c>
      <c r="U3184">
        <v>0</v>
      </c>
      <c r="V3184" t="s">
        <v>541</v>
      </c>
      <c r="W3184" t="s">
        <v>583</v>
      </c>
      <c r="X3184" s="784">
        <v>20201670.142996579</v>
      </c>
    </row>
    <row r="3185" spans="1:24">
      <c r="A3185" t="s">
        <v>358</v>
      </c>
      <c r="B3185" t="s">
        <v>605</v>
      </c>
      <c r="C3185" t="s">
        <v>210</v>
      </c>
      <c r="D3185" t="s">
        <v>130</v>
      </c>
      <c r="E3185" t="s">
        <v>377</v>
      </c>
      <c r="F3185" t="s">
        <v>384</v>
      </c>
      <c r="G3185" t="s">
        <v>336</v>
      </c>
      <c r="H3185" t="s">
        <v>749</v>
      </c>
      <c r="I3185">
        <v>2021</v>
      </c>
      <c r="J3185" t="s">
        <v>379</v>
      </c>
      <c r="K3185" t="s">
        <v>546</v>
      </c>
      <c r="L3185" s="784">
        <v>0</v>
      </c>
      <c r="M3185" t="s">
        <v>745</v>
      </c>
      <c r="N3185" s="784" t="s">
        <v>575</v>
      </c>
      <c r="O3185" t="s">
        <v>737</v>
      </c>
      <c r="P3185" t="s">
        <v>1887</v>
      </c>
      <c r="R3185" t="s">
        <v>152</v>
      </c>
      <c r="S3185" t="s">
        <v>146</v>
      </c>
      <c r="U3185">
        <v>0</v>
      </c>
      <c r="V3185" t="s">
        <v>544</v>
      </c>
      <c r="W3185" t="s">
        <v>575</v>
      </c>
      <c r="X3185" s="784">
        <v>1612434649.6948864</v>
      </c>
    </row>
    <row r="3186" spans="1:24">
      <c r="A3186" t="s">
        <v>358</v>
      </c>
      <c r="B3186" t="s">
        <v>606</v>
      </c>
      <c r="C3186" t="s">
        <v>211</v>
      </c>
      <c r="D3186" t="s">
        <v>129</v>
      </c>
      <c r="E3186" t="s">
        <v>377</v>
      </c>
      <c r="F3186" t="s">
        <v>384</v>
      </c>
      <c r="G3186" t="s">
        <v>336</v>
      </c>
      <c r="H3186" t="s">
        <v>749</v>
      </c>
      <c r="I3186">
        <v>2021</v>
      </c>
      <c r="J3186" t="s">
        <v>379</v>
      </c>
      <c r="K3186" t="s">
        <v>546</v>
      </c>
      <c r="L3186" s="784">
        <v>0</v>
      </c>
      <c r="M3186" t="s">
        <v>745</v>
      </c>
      <c r="N3186" s="784" t="s">
        <v>575</v>
      </c>
      <c r="O3186" t="s">
        <v>737</v>
      </c>
      <c r="P3186" t="s">
        <v>1887</v>
      </c>
      <c r="R3186" t="s">
        <v>148</v>
      </c>
      <c r="S3186" t="s">
        <v>145</v>
      </c>
      <c r="U3186">
        <v>0</v>
      </c>
      <c r="V3186" t="s">
        <v>544</v>
      </c>
      <c r="W3186" t="s">
        <v>562</v>
      </c>
      <c r="X3186" s="784">
        <v>78203134.118229344</v>
      </c>
    </row>
    <row r="3187" spans="1:24">
      <c r="A3187" t="s">
        <v>358</v>
      </c>
      <c r="B3187" t="s">
        <v>607</v>
      </c>
      <c r="C3187" t="s">
        <v>212</v>
      </c>
      <c r="D3187" t="s">
        <v>129</v>
      </c>
      <c r="E3187" t="s">
        <v>377</v>
      </c>
      <c r="F3187" t="s">
        <v>384</v>
      </c>
      <c r="G3187" t="s">
        <v>336</v>
      </c>
      <c r="H3187" t="s">
        <v>749</v>
      </c>
      <c r="I3187">
        <v>2021</v>
      </c>
      <c r="J3187" t="s">
        <v>379</v>
      </c>
      <c r="K3187" t="s">
        <v>546</v>
      </c>
      <c r="L3187" s="784">
        <v>0</v>
      </c>
      <c r="M3187" t="s">
        <v>745</v>
      </c>
      <c r="N3187" s="784" t="s">
        <v>575</v>
      </c>
      <c r="O3187" t="s">
        <v>737</v>
      </c>
      <c r="P3187" t="s">
        <v>1887</v>
      </c>
      <c r="R3187" t="s">
        <v>148</v>
      </c>
      <c r="S3187" t="s">
        <v>145</v>
      </c>
      <c r="U3187">
        <v>2</v>
      </c>
      <c r="V3187" t="s">
        <v>541</v>
      </c>
      <c r="W3187" t="s">
        <v>542</v>
      </c>
      <c r="X3187" s="784">
        <v>9151637.7411015611</v>
      </c>
    </row>
    <row r="3188" spans="1:24">
      <c r="A3188" t="s">
        <v>358</v>
      </c>
      <c r="B3188" t="s">
        <v>608</v>
      </c>
      <c r="C3188" t="s">
        <v>213</v>
      </c>
      <c r="D3188" t="s">
        <v>130</v>
      </c>
      <c r="E3188" t="s">
        <v>377</v>
      </c>
      <c r="F3188" t="s">
        <v>384</v>
      </c>
      <c r="G3188" t="s">
        <v>336</v>
      </c>
      <c r="H3188" t="s">
        <v>749</v>
      </c>
      <c r="I3188">
        <v>2021</v>
      </c>
      <c r="J3188" t="s">
        <v>379</v>
      </c>
      <c r="K3188" t="s">
        <v>546</v>
      </c>
      <c r="L3188" s="784">
        <v>0</v>
      </c>
      <c r="M3188" t="s">
        <v>745</v>
      </c>
      <c r="N3188" s="784" t="s">
        <v>575</v>
      </c>
      <c r="O3188" t="s">
        <v>737</v>
      </c>
      <c r="P3188" t="s">
        <v>1887</v>
      </c>
      <c r="R3188" t="s">
        <v>152</v>
      </c>
      <c r="S3188" t="s">
        <v>145</v>
      </c>
      <c r="U3188">
        <v>0</v>
      </c>
      <c r="V3188" t="s">
        <v>541</v>
      </c>
      <c r="W3188" t="s">
        <v>562</v>
      </c>
      <c r="X3188" s="784">
        <v>142455920.02856269</v>
      </c>
    </row>
    <row r="3189" spans="1:24">
      <c r="A3189" t="s">
        <v>358</v>
      </c>
      <c r="B3189" t="s">
        <v>609</v>
      </c>
      <c r="C3189" t="s">
        <v>214</v>
      </c>
      <c r="D3189" t="s">
        <v>130</v>
      </c>
      <c r="E3189" t="s">
        <v>377</v>
      </c>
      <c r="F3189" t="s">
        <v>384</v>
      </c>
      <c r="G3189" t="s">
        <v>336</v>
      </c>
      <c r="H3189" t="s">
        <v>749</v>
      </c>
      <c r="I3189">
        <v>2021</v>
      </c>
      <c r="J3189" t="s">
        <v>379</v>
      </c>
      <c r="K3189" t="s">
        <v>546</v>
      </c>
      <c r="L3189" s="784">
        <v>0</v>
      </c>
      <c r="M3189" t="s">
        <v>745</v>
      </c>
      <c r="N3189" s="784" t="s">
        <v>575</v>
      </c>
      <c r="O3189" t="s">
        <v>737</v>
      </c>
      <c r="P3189" t="s">
        <v>1887</v>
      </c>
      <c r="R3189" t="s">
        <v>150</v>
      </c>
      <c r="S3189" t="s">
        <v>145</v>
      </c>
      <c r="U3189">
        <v>1</v>
      </c>
      <c r="V3189" t="s">
        <v>541</v>
      </c>
      <c r="W3189" t="s">
        <v>542</v>
      </c>
      <c r="X3189" s="784">
        <v>85611818.171245083</v>
      </c>
    </row>
    <row r="3190" spans="1:24">
      <c r="A3190" t="s">
        <v>358</v>
      </c>
      <c r="B3190" t="s">
        <v>610</v>
      </c>
      <c r="C3190" t="s">
        <v>215</v>
      </c>
      <c r="D3190" t="s">
        <v>130</v>
      </c>
      <c r="E3190" t="s">
        <v>377</v>
      </c>
      <c r="F3190" t="s">
        <v>384</v>
      </c>
      <c r="G3190" t="s">
        <v>336</v>
      </c>
      <c r="H3190" t="s">
        <v>749</v>
      </c>
      <c r="I3190">
        <v>2021</v>
      </c>
      <c r="J3190" t="s">
        <v>379</v>
      </c>
      <c r="K3190" t="s">
        <v>546</v>
      </c>
      <c r="L3190" s="784">
        <v>0</v>
      </c>
      <c r="M3190" t="s">
        <v>745</v>
      </c>
      <c r="N3190" s="784" t="s">
        <v>575</v>
      </c>
      <c r="O3190" t="s">
        <v>737</v>
      </c>
      <c r="P3190" t="s">
        <v>1887</v>
      </c>
      <c r="R3190" t="s">
        <v>150</v>
      </c>
      <c r="S3190" t="s">
        <v>145</v>
      </c>
      <c r="U3190">
        <v>0</v>
      </c>
      <c r="V3190" t="s">
        <v>544</v>
      </c>
      <c r="W3190" t="s">
        <v>558</v>
      </c>
      <c r="X3190" s="784">
        <v>680289736.30082119</v>
      </c>
    </row>
    <row r="3191" spans="1:24">
      <c r="A3191" t="s">
        <v>358</v>
      </c>
      <c r="B3191" t="s">
        <v>611</v>
      </c>
      <c r="C3191" t="s">
        <v>216</v>
      </c>
      <c r="D3191" t="s">
        <v>132</v>
      </c>
      <c r="E3191" t="s">
        <v>377</v>
      </c>
      <c r="F3191" t="s">
        <v>384</v>
      </c>
      <c r="G3191" t="s">
        <v>336</v>
      </c>
      <c r="H3191" t="s">
        <v>749</v>
      </c>
      <c r="I3191">
        <v>2021</v>
      </c>
      <c r="J3191" t="s">
        <v>379</v>
      </c>
      <c r="K3191" t="s">
        <v>546</v>
      </c>
      <c r="L3191" s="784">
        <v>0</v>
      </c>
      <c r="M3191" t="s">
        <v>745</v>
      </c>
      <c r="N3191" s="784" t="s">
        <v>575</v>
      </c>
      <c r="O3191" t="s">
        <v>737</v>
      </c>
      <c r="P3191" t="s">
        <v>1887</v>
      </c>
      <c r="R3191" t="s">
        <v>150</v>
      </c>
      <c r="S3191" t="s">
        <v>145</v>
      </c>
      <c r="U3191">
        <v>0</v>
      </c>
      <c r="V3191" t="s">
        <v>544</v>
      </c>
      <c r="W3191" t="s">
        <v>546</v>
      </c>
      <c r="X3191" s="784">
        <v>26554332750.47023</v>
      </c>
    </row>
    <row r="3192" spans="1:24">
      <c r="A3192" t="s">
        <v>358</v>
      </c>
      <c r="B3192" t="s">
        <v>612</v>
      </c>
      <c r="C3192" t="s">
        <v>217</v>
      </c>
      <c r="D3192" t="s">
        <v>126</v>
      </c>
      <c r="E3192" t="s">
        <v>377</v>
      </c>
      <c r="F3192" t="s">
        <v>384</v>
      </c>
      <c r="G3192" t="s">
        <v>336</v>
      </c>
      <c r="H3192" t="s">
        <v>749</v>
      </c>
      <c r="I3192">
        <v>2021</v>
      </c>
      <c r="J3192" t="s">
        <v>379</v>
      </c>
      <c r="K3192" t="s">
        <v>546</v>
      </c>
      <c r="L3192" s="784">
        <v>0</v>
      </c>
      <c r="M3192" t="s">
        <v>745</v>
      </c>
      <c r="N3192" s="784" t="s">
        <v>575</v>
      </c>
      <c r="O3192" t="s">
        <v>737</v>
      </c>
      <c r="P3192" t="s">
        <v>1887</v>
      </c>
      <c r="R3192" t="s">
        <v>150</v>
      </c>
      <c r="S3192" t="s">
        <v>145</v>
      </c>
      <c r="U3192">
        <v>0</v>
      </c>
      <c r="V3192" t="s">
        <v>544</v>
      </c>
      <c r="W3192" t="s">
        <v>546</v>
      </c>
      <c r="X3192" s="784">
        <v>14745961064.890842</v>
      </c>
    </row>
    <row r="3193" spans="1:24">
      <c r="A3193" t="s">
        <v>358</v>
      </c>
      <c r="B3193" t="s">
        <v>613</v>
      </c>
      <c r="C3193" t="s">
        <v>149</v>
      </c>
      <c r="D3193" t="s">
        <v>131</v>
      </c>
      <c r="E3193" t="s">
        <v>377</v>
      </c>
      <c r="F3193" t="s">
        <v>384</v>
      </c>
      <c r="G3193" t="s">
        <v>336</v>
      </c>
      <c r="H3193" t="s">
        <v>749</v>
      </c>
      <c r="I3193">
        <v>2021</v>
      </c>
      <c r="J3193" t="s">
        <v>379</v>
      </c>
      <c r="K3193" t="s">
        <v>546</v>
      </c>
      <c r="L3193" s="784">
        <v>0</v>
      </c>
      <c r="M3193" t="s">
        <v>745</v>
      </c>
      <c r="N3193" s="784" t="s">
        <v>575</v>
      </c>
      <c r="O3193" t="s">
        <v>737</v>
      </c>
      <c r="P3193" t="s">
        <v>1887</v>
      </c>
      <c r="R3193" t="s">
        <v>150</v>
      </c>
      <c r="S3193" t="s">
        <v>146</v>
      </c>
      <c r="U3193">
        <v>0</v>
      </c>
      <c r="V3193" t="s">
        <v>544</v>
      </c>
      <c r="W3193" t="s">
        <v>546</v>
      </c>
      <c r="X3193" s="784">
        <v>18194076299.786381</v>
      </c>
    </row>
    <row r="3194" spans="1:24">
      <c r="A3194" t="s">
        <v>358</v>
      </c>
      <c r="B3194" t="s">
        <v>614</v>
      </c>
      <c r="C3194" t="s">
        <v>218</v>
      </c>
      <c r="D3194" t="s">
        <v>131</v>
      </c>
      <c r="E3194" t="s">
        <v>377</v>
      </c>
      <c r="F3194" t="s">
        <v>384</v>
      </c>
      <c r="G3194" t="s">
        <v>336</v>
      </c>
      <c r="H3194" t="s">
        <v>749</v>
      </c>
      <c r="I3194">
        <v>2021</v>
      </c>
      <c r="J3194" t="s">
        <v>379</v>
      </c>
      <c r="K3194" t="s">
        <v>546</v>
      </c>
      <c r="L3194" s="784">
        <v>0</v>
      </c>
      <c r="M3194" t="s">
        <v>745</v>
      </c>
      <c r="N3194" s="784" t="s">
        <v>575</v>
      </c>
      <c r="O3194" t="s">
        <v>737</v>
      </c>
      <c r="P3194" t="s">
        <v>1887</v>
      </c>
      <c r="R3194" t="s">
        <v>152</v>
      </c>
      <c r="S3194" t="s">
        <v>146</v>
      </c>
      <c r="U3194">
        <v>0</v>
      </c>
      <c r="V3194" t="s">
        <v>544</v>
      </c>
      <c r="W3194" t="s">
        <v>546</v>
      </c>
      <c r="X3194" s="784">
        <v>4428819387.769825</v>
      </c>
    </row>
    <row r="3195" spans="1:24">
      <c r="A3195" t="s">
        <v>358</v>
      </c>
      <c r="B3195" t="s">
        <v>615</v>
      </c>
      <c r="C3195" t="s">
        <v>219</v>
      </c>
      <c r="D3195" t="s">
        <v>130</v>
      </c>
      <c r="E3195" t="s">
        <v>377</v>
      </c>
      <c r="F3195" t="s">
        <v>384</v>
      </c>
      <c r="G3195" t="s">
        <v>336</v>
      </c>
      <c r="H3195" t="s">
        <v>749</v>
      </c>
      <c r="I3195">
        <v>2021</v>
      </c>
      <c r="J3195" t="s">
        <v>379</v>
      </c>
      <c r="K3195" t="s">
        <v>546</v>
      </c>
      <c r="L3195" s="784">
        <v>0</v>
      </c>
      <c r="M3195" t="s">
        <v>745</v>
      </c>
      <c r="N3195" s="784" t="s">
        <v>575</v>
      </c>
      <c r="O3195" t="s">
        <v>737</v>
      </c>
      <c r="P3195" t="s">
        <v>1887</v>
      </c>
      <c r="R3195" t="s">
        <v>152</v>
      </c>
      <c r="S3195" t="s">
        <v>146</v>
      </c>
      <c r="U3195">
        <v>0</v>
      </c>
      <c r="V3195" t="s">
        <v>541</v>
      </c>
      <c r="W3195" t="s">
        <v>575</v>
      </c>
      <c r="X3195" s="784">
        <v>611739560.62679195</v>
      </c>
    </row>
    <row r="3196" spans="1:24">
      <c r="A3196" t="s">
        <v>358</v>
      </c>
      <c r="B3196" t="s">
        <v>616</v>
      </c>
      <c r="C3196" t="s">
        <v>220</v>
      </c>
      <c r="D3196" t="s">
        <v>131</v>
      </c>
      <c r="E3196" t="s">
        <v>377</v>
      </c>
      <c r="F3196" t="s">
        <v>384</v>
      </c>
      <c r="G3196" t="s">
        <v>336</v>
      </c>
      <c r="H3196" t="s">
        <v>749</v>
      </c>
      <c r="I3196">
        <v>2021</v>
      </c>
      <c r="J3196" t="s">
        <v>379</v>
      </c>
      <c r="K3196" t="s">
        <v>546</v>
      </c>
      <c r="L3196" s="784">
        <v>0</v>
      </c>
      <c r="M3196" t="s">
        <v>745</v>
      </c>
      <c r="N3196" s="784" t="s">
        <v>575</v>
      </c>
      <c r="O3196" t="s">
        <v>737</v>
      </c>
      <c r="P3196" t="s">
        <v>1887</v>
      </c>
      <c r="R3196" t="s">
        <v>152</v>
      </c>
      <c r="S3196" t="s">
        <v>146</v>
      </c>
      <c r="U3196">
        <v>0</v>
      </c>
      <c r="V3196" t="s">
        <v>544</v>
      </c>
      <c r="W3196" t="s">
        <v>546</v>
      </c>
      <c r="X3196" s="784">
        <v>1617913383.0481031</v>
      </c>
    </row>
    <row r="3197" spans="1:24">
      <c r="A3197" t="s">
        <v>358</v>
      </c>
      <c r="B3197" t="s">
        <v>617</v>
      </c>
      <c r="C3197" t="s">
        <v>221</v>
      </c>
      <c r="D3197" t="s">
        <v>127</v>
      </c>
      <c r="E3197" t="s">
        <v>377</v>
      </c>
      <c r="F3197" t="s">
        <v>384</v>
      </c>
      <c r="G3197" t="s">
        <v>336</v>
      </c>
      <c r="H3197" t="s">
        <v>749</v>
      </c>
      <c r="I3197">
        <v>2021</v>
      </c>
      <c r="J3197" t="s">
        <v>379</v>
      </c>
      <c r="K3197" t="s">
        <v>546</v>
      </c>
      <c r="L3197" s="784">
        <v>0</v>
      </c>
      <c r="M3197" t="s">
        <v>745</v>
      </c>
      <c r="N3197" s="784" t="s">
        <v>575</v>
      </c>
      <c r="O3197" t="s">
        <v>737</v>
      </c>
      <c r="P3197" t="s">
        <v>1887</v>
      </c>
      <c r="R3197" t="s">
        <v>152</v>
      </c>
      <c r="S3197" t="s">
        <v>146</v>
      </c>
      <c r="U3197">
        <v>0</v>
      </c>
      <c r="V3197" t="s">
        <v>544</v>
      </c>
      <c r="W3197" t="s">
        <v>575</v>
      </c>
      <c r="X3197" s="784">
        <v>3074419112.4562683</v>
      </c>
    </row>
    <row r="3198" spans="1:24">
      <c r="A3198" t="s">
        <v>358</v>
      </c>
      <c r="B3198" t="s">
        <v>618</v>
      </c>
      <c r="C3198" t="s">
        <v>222</v>
      </c>
      <c r="D3198" t="s">
        <v>128</v>
      </c>
      <c r="E3198" t="s">
        <v>377</v>
      </c>
      <c r="F3198" t="s">
        <v>384</v>
      </c>
      <c r="G3198" t="s">
        <v>336</v>
      </c>
      <c r="H3198" t="s">
        <v>749</v>
      </c>
      <c r="I3198">
        <v>2021</v>
      </c>
      <c r="J3198" t="s">
        <v>379</v>
      </c>
      <c r="K3198" t="s">
        <v>546</v>
      </c>
      <c r="L3198" s="784">
        <v>0</v>
      </c>
      <c r="M3198" t="s">
        <v>745</v>
      </c>
      <c r="N3198" s="784" t="s">
        <v>575</v>
      </c>
      <c r="O3198" t="s">
        <v>737</v>
      </c>
      <c r="P3198" t="s">
        <v>1887</v>
      </c>
      <c r="R3198" t="s">
        <v>150</v>
      </c>
      <c r="S3198" t="s">
        <v>145</v>
      </c>
      <c r="U3198">
        <v>0</v>
      </c>
      <c r="V3198" t="s">
        <v>544</v>
      </c>
      <c r="W3198" t="s">
        <v>542</v>
      </c>
      <c r="X3198" s="784">
        <v>1914014279.8929913</v>
      </c>
    </row>
    <row r="3199" spans="1:24">
      <c r="A3199" t="s">
        <v>358</v>
      </c>
      <c r="B3199" t="s">
        <v>619</v>
      </c>
      <c r="C3199" t="s">
        <v>223</v>
      </c>
      <c r="D3199" t="s">
        <v>126</v>
      </c>
      <c r="E3199" t="s">
        <v>377</v>
      </c>
      <c r="F3199" t="s">
        <v>384</v>
      </c>
      <c r="G3199" t="s">
        <v>336</v>
      </c>
      <c r="H3199" t="s">
        <v>749</v>
      </c>
      <c r="I3199">
        <v>2021</v>
      </c>
      <c r="J3199" t="s">
        <v>379</v>
      </c>
      <c r="K3199" t="s">
        <v>546</v>
      </c>
      <c r="L3199" s="784">
        <v>0</v>
      </c>
      <c r="M3199" t="s">
        <v>745</v>
      </c>
      <c r="N3199" s="784" t="s">
        <v>575</v>
      </c>
      <c r="O3199" t="s">
        <v>737</v>
      </c>
      <c r="P3199" t="s">
        <v>1887</v>
      </c>
      <c r="R3199" t="s">
        <v>150</v>
      </c>
      <c r="S3199" t="s">
        <v>145</v>
      </c>
      <c r="U3199">
        <v>0</v>
      </c>
      <c r="V3199" t="s">
        <v>541</v>
      </c>
      <c r="W3199" t="s">
        <v>542</v>
      </c>
      <c r="X3199" s="784">
        <v>17422005.762907442</v>
      </c>
    </row>
    <row r="3200" spans="1:24">
      <c r="A3200" t="s">
        <v>358</v>
      </c>
      <c r="B3200" t="s">
        <v>620</v>
      </c>
      <c r="C3200" t="s">
        <v>224</v>
      </c>
      <c r="D3200" t="s">
        <v>126</v>
      </c>
      <c r="E3200" t="s">
        <v>377</v>
      </c>
      <c r="F3200" t="s">
        <v>384</v>
      </c>
      <c r="G3200" t="s">
        <v>336</v>
      </c>
      <c r="H3200" t="s">
        <v>749</v>
      </c>
      <c r="I3200">
        <v>2021</v>
      </c>
      <c r="J3200" t="s">
        <v>379</v>
      </c>
      <c r="K3200" t="s">
        <v>546</v>
      </c>
      <c r="L3200" s="784">
        <v>0</v>
      </c>
      <c r="M3200" t="s">
        <v>745</v>
      </c>
      <c r="N3200" s="784" t="s">
        <v>575</v>
      </c>
      <c r="O3200" t="s">
        <v>737</v>
      </c>
      <c r="P3200" t="s">
        <v>1887</v>
      </c>
      <c r="R3200" t="s">
        <v>148</v>
      </c>
      <c r="S3200" t="s">
        <v>145</v>
      </c>
      <c r="U3200">
        <v>0</v>
      </c>
      <c r="V3200" t="s">
        <v>544</v>
      </c>
      <c r="W3200" t="s">
        <v>546</v>
      </c>
      <c r="X3200" s="784" t="s">
        <v>575</v>
      </c>
    </row>
    <row r="3201" spans="1:24">
      <c r="A3201" t="s">
        <v>358</v>
      </c>
      <c r="B3201" t="s">
        <v>621</v>
      </c>
      <c r="C3201" t="s">
        <v>225</v>
      </c>
      <c r="D3201" t="s">
        <v>127</v>
      </c>
      <c r="E3201" t="s">
        <v>377</v>
      </c>
      <c r="F3201" t="s">
        <v>384</v>
      </c>
      <c r="G3201" t="s">
        <v>336</v>
      </c>
      <c r="H3201" t="s">
        <v>749</v>
      </c>
      <c r="I3201">
        <v>2021</v>
      </c>
      <c r="J3201" t="s">
        <v>379</v>
      </c>
      <c r="K3201" t="s">
        <v>546</v>
      </c>
      <c r="L3201" s="784">
        <v>0</v>
      </c>
      <c r="M3201" t="s">
        <v>745</v>
      </c>
      <c r="N3201" s="784" t="s">
        <v>575</v>
      </c>
      <c r="O3201" t="s">
        <v>737</v>
      </c>
      <c r="P3201" t="s">
        <v>1887</v>
      </c>
      <c r="R3201" t="s">
        <v>152</v>
      </c>
      <c r="S3201" t="s">
        <v>145</v>
      </c>
      <c r="U3201">
        <v>0</v>
      </c>
      <c r="V3201" t="s">
        <v>544</v>
      </c>
      <c r="W3201" t="s">
        <v>548</v>
      </c>
      <c r="X3201" s="784" t="s">
        <v>575</v>
      </c>
    </row>
    <row r="3202" spans="1:24">
      <c r="A3202" t="s">
        <v>358</v>
      </c>
      <c r="B3202" t="s">
        <v>622</v>
      </c>
      <c r="C3202" t="s">
        <v>226</v>
      </c>
      <c r="D3202" t="s">
        <v>127</v>
      </c>
      <c r="E3202" t="s">
        <v>377</v>
      </c>
      <c r="F3202" t="s">
        <v>384</v>
      </c>
      <c r="G3202" t="s">
        <v>336</v>
      </c>
      <c r="H3202" t="s">
        <v>749</v>
      </c>
      <c r="I3202">
        <v>2021</v>
      </c>
      <c r="J3202" t="s">
        <v>379</v>
      </c>
      <c r="K3202" t="s">
        <v>546</v>
      </c>
      <c r="L3202" s="784">
        <v>0</v>
      </c>
      <c r="M3202" t="s">
        <v>745</v>
      </c>
      <c r="N3202" s="784" t="s">
        <v>575</v>
      </c>
      <c r="O3202" t="s">
        <v>737</v>
      </c>
      <c r="P3202" t="s">
        <v>1887</v>
      </c>
      <c r="R3202" t="s">
        <v>150</v>
      </c>
      <c r="S3202" t="s">
        <v>145</v>
      </c>
      <c r="U3202">
        <v>2</v>
      </c>
      <c r="V3202" t="s">
        <v>544</v>
      </c>
      <c r="W3202" t="s">
        <v>562</v>
      </c>
      <c r="X3202" s="784">
        <v>231506834.84347546</v>
      </c>
    </row>
    <row r="3203" spans="1:24">
      <c r="A3203" t="s">
        <v>358</v>
      </c>
      <c r="B3203" t="s">
        <v>623</v>
      </c>
      <c r="C3203" t="s">
        <v>227</v>
      </c>
      <c r="D3203" t="s">
        <v>126</v>
      </c>
      <c r="E3203" t="s">
        <v>377</v>
      </c>
      <c r="F3203" t="s">
        <v>384</v>
      </c>
      <c r="G3203" t="s">
        <v>336</v>
      </c>
      <c r="H3203" t="s">
        <v>749</v>
      </c>
      <c r="I3203">
        <v>2021</v>
      </c>
      <c r="J3203" t="s">
        <v>379</v>
      </c>
      <c r="K3203" t="s">
        <v>546</v>
      </c>
      <c r="L3203" s="784">
        <v>0</v>
      </c>
      <c r="M3203" t="s">
        <v>745</v>
      </c>
      <c r="N3203" s="784" t="s">
        <v>575</v>
      </c>
      <c r="O3203" t="s">
        <v>737</v>
      </c>
      <c r="P3203" t="s">
        <v>1887</v>
      </c>
      <c r="R3203" t="s">
        <v>150</v>
      </c>
      <c r="S3203" t="s">
        <v>145</v>
      </c>
      <c r="U3203">
        <v>0</v>
      </c>
      <c r="V3203" t="s">
        <v>544</v>
      </c>
      <c r="W3203" t="s">
        <v>542</v>
      </c>
      <c r="X3203" s="784">
        <v>156059428.62944782</v>
      </c>
    </row>
    <row r="3204" spans="1:24">
      <c r="A3204" t="s">
        <v>358</v>
      </c>
      <c r="B3204" t="s">
        <v>624</v>
      </c>
      <c r="C3204" t="s">
        <v>228</v>
      </c>
      <c r="D3204" t="s">
        <v>131</v>
      </c>
      <c r="E3204" t="s">
        <v>377</v>
      </c>
      <c r="F3204" t="s">
        <v>384</v>
      </c>
      <c r="G3204" t="s">
        <v>336</v>
      </c>
      <c r="H3204" t="s">
        <v>749</v>
      </c>
      <c r="I3204">
        <v>2021</v>
      </c>
      <c r="J3204" t="s">
        <v>379</v>
      </c>
      <c r="K3204" t="s">
        <v>546</v>
      </c>
      <c r="L3204" s="784">
        <v>0</v>
      </c>
      <c r="M3204" t="s">
        <v>745</v>
      </c>
      <c r="N3204" s="784" t="s">
        <v>575</v>
      </c>
      <c r="O3204" t="s">
        <v>737</v>
      </c>
      <c r="P3204" t="s">
        <v>1887</v>
      </c>
      <c r="R3204" t="s">
        <v>152</v>
      </c>
      <c r="S3204" t="s">
        <v>146</v>
      </c>
      <c r="U3204">
        <v>0</v>
      </c>
      <c r="V3204" t="s">
        <v>544</v>
      </c>
      <c r="W3204" t="s">
        <v>546</v>
      </c>
      <c r="X3204" s="784">
        <v>2355391507.1635861</v>
      </c>
    </row>
    <row r="3205" spans="1:24">
      <c r="A3205" t="s">
        <v>358</v>
      </c>
      <c r="B3205" t="s">
        <v>625</v>
      </c>
      <c r="C3205" t="s">
        <v>229</v>
      </c>
      <c r="D3205" t="s">
        <v>128</v>
      </c>
      <c r="E3205" t="s">
        <v>377</v>
      </c>
      <c r="F3205" t="s">
        <v>384</v>
      </c>
      <c r="G3205" t="s">
        <v>336</v>
      </c>
      <c r="H3205" t="s">
        <v>749</v>
      </c>
      <c r="I3205">
        <v>2021</v>
      </c>
      <c r="J3205" t="s">
        <v>379</v>
      </c>
      <c r="K3205" t="s">
        <v>546</v>
      </c>
      <c r="L3205" s="784">
        <v>0</v>
      </c>
      <c r="M3205" t="s">
        <v>745</v>
      </c>
      <c r="N3205" s="784" t="s">
        <v>575</v>
      </c>
      <c r="O3205" t="s">
        <v>737</v>
      </c>
      <c r="P3205" t="s">
        <v>1887</v>
      </c>
      <c r="R3205" t="s">
        <v>150</v>
      </c>
      <c r="S3205" t="s">
        <v>145</v>
      </c>
      <c r="U3205">
        <v>0</v>
      </c>
      <c r="V3205" t="s">
        <v>544</v>
      </c>
      <c r="W3205" t="s">
        <v>562</v>
      </c>
      <c r="X3205" s="784">
        <v>152760919.7684873</v>
      </c>
    </row>
    <row r="3206" spans="1:24">
      <c r="A3206" t="s">
        <v>358</v>
      </c>
      <c r="B3206" t="s">
        <v>626</v>
      </c>
      <c r="C3206" t="s">
        <v>230</v>
      </c>
      <c r="D3206" t="s">
        <v>129</v>
      </c>
      <c r="E3206" t="s">
        <v>377</v>
      </c>
      <c r="F3206" t="s">
        <v>384</v>
      </c>
      <c r="G3206" t="s">
        <v>336</v>
      </c>
      <c r="H3206" t="s">
        <v>749</v>
      </c>
      <c r="I3206">
        <v>2021</v>
      </c>
      <c r="J3206" t="s">
        <v>379</v>
      </c>
      <c r="K3206" t="s">
        <v>546</v>
      </c>
      <c r="L3206" s="784">
        <v>0</v>
      </c>
      <c r="M3206" t="s">
        <v>745</v>
      </c>
      <c r="N3206" s="784" t="s">
        <v>575</v>
      </c>
      <c r="O3206" t="s">
        <v>737</v>
      </c>
      <c r="P3206" t="s">
        <v>1887</v>
      </c>
      <c r="R3206" t="s">
        <v>148</v>
      </c>
      <c r="S3206" t="s">
        <v>145</v>
      </c>
      <c r="U3206">
        <v>0</v>
      </c>
      <c r="V3206" t="s">
        <v>544</v>
      </c>
      <c r="W3206" t="s">
        <v>542</v>
      </c>
      <c r="X3206" s="784">
        <v>55072006.864440605</v>
      </c>
    </row>
    <row r="3207" spans="1:24">
      <c r="A3207" t="s">
        <v>358</v>
      </c>
      <c r="B3207" t="s">
        <v>627</v>
      </c>
      <c r="C3207" t="s">
        <v>231</v>
      </c>
      <c r="D3207" t="s">
        <v>131</v>
      </c>
      <c r="E3207" t="s">
        <v>377</v>
      </c>
      <c r="F3207" t="s">
        <v>384</v>
      </c>
      <c r="G3207" t="s">
        <v>336</v>
      </c>
      <c r="H3207" t="s">
        <v>749</v>
      </c>
      <c r="I3207">
        <v>2021</v>
      </c>
      <c r="J3207" t="s">
        <v>379</v>
      </c>
      <c r="K3207" t="s">
        <v>546</v>
      </c>
      <c r="L3207" s="784">
        <v>0</v>
      </c>
      <c r="M3207" t="s">
        <v>745</v>
      </c>
      <c r="N3207" s="784" t="s">
        <v>575</v>
      </c>
      <c r="O3207" t="s">
        <v>737</v>
      </c>
      <c r="P3207" t="s">
        <v>1887</v>
      </c>
      <c r="R3207" t="s">
        <v>152</v>
      </c>
      <c r="S3207" t="s">
        <v>146</v>
      </c>
      <c r="U3207">
        <v>0</v>
      </c>
      <c r="V3207" t="s">
        <v>544</v>
      </c>
      <c r="W3207" t="s">
        <v>546</v>
      </c>
      <c r="X3207" s="784" t="s">
        <v>575</v>
      </c>
    </row>
    <row r="3208" spans="1:24">
      <c r="A3208" t="s">
        <v>358</v>
      </c>
      <c r="B3208" t="s">
        <v>628</v>
      </c>
      <c r="C3208" t="s">
        <v>232</v>
      </c>
      <c r="D3208" t="s">
        <v>128</v>
      </c>
      <c r="E3208" t="s">
        <v>377</v>
      </c>
      <c r="F3208" t="s">
        <v>384</v>
      </c>
      <c r="G3208" t="s">
        <v>336</v>
      </c>
      <c r="H3208" t="s">
        <v>749</v>
      </c>
      <c r="I3208">
        <v>2021</v>
      </c>
      <c r="J3208" t="s">
        <v>379</v>
      </c>
      <c r="K3208" t="s">
        <v>546</v>
      </c>
      <c r="L3208" s="784">
        <v>0</v>
      </c>
      <c r="M3208" t="s">
        <v>745</v>
      </c>
      <c r="N3208" s="784" t="s">
        <v>575</v>
      </c>
      <c r="O3208" t="s">
        <v>737</v>
      </c>
      <c r="P3208" t="s">
        <v>1887</v>
      </c>
      <c r="R3208" t="s">
        <v>148</v>
      </c>
      <c r="S3208" t="s">
        <v>145</v>
      </c>
      <c r="U3208">
        <v>2</v>
      </c>
      <c r="V3208" t="s">
        <v>544</v>
      </c>
      <c r="W3208" t="s">
        <v>562</v>
      </c>
      <c r="X3208" s="784">
        <v>206914157.05429548</v>
      </c>
    </row>
    <row r="3209" spans="1:24">
      <c r="A3209" t="s">
        <v>358</v>
      </c>
      <c r="B3209" t="s">
        <v>629</v>
      </c>
      <c r="C3209" t="s">
        <v>233</v>
      </c>
      <c r="D3209" t="s">
        <v>128</v>
      </c>
      <c r="E3209" t="s">
        <v>377</v>
      </c>
      <c r="F3209" t="s">
        <v>384</v>
      </c>
      <c r="G3209" t="s">
        <v>336</v>
      </c>
      <c r="H3209" t="s">
        <v>749</v>
      </c>
      <c r="I3209">
        <v>2021</v>
      </c>
      <c r="J3209" t="s">
        <v>379</v>
      </c>
      <c r="K3209" t="s">
        <v>546</v>
      </c>
      <c r="L3209" s="784">
        <v>0</v>
      </c>
      <c r="M3209" t="s">
        <v>745</v>
      </c>
      <c r="N3209" s="784" t="s">
        <v>575</v>
      </c>
      <c r="O3209" t="s">
        <v>737</v>
      </c>
      <c r="P3209" t="s">
        <v>1887</v>
      </c>
      <c r="R3209" t="s">
        <v>148</v>
      </c>
      <c r="S3209" t="s">
        <v>145</v>
      </c>
      <c r="U3209">
        <v>2</v>
      </c>
      <c r="V3209" t="s">
        <v>544</v>
      </c>
      <c r="W3209" t="s">
        <v>542</v>
      </c>
      <c r="X3209" s="784">
        <v>185999915.02066413</v>
      </c>
    </row>
    <row r="3210" spans="1:24">
      <c r="A3210" t="s">
        <v>358</v>
      </c>
      <c r="B3210" t="s">
        <v>630</v>
      </c>
      <c r="C3210" t="s">
        <v>234</v>
      </c>
      <c r="D3210" t="s">
        <v>126</v>
      </c>
      <c r="E3210" t="s">
        <v>377</v>
      </c>
      <c r="F3210" t="s">
        <v>384</v>
      </c>
      <c r="G3210" t="s">
        <v>336</v>
      </c>
      <c r="H3210" t="s">
        <v>749</v>
      </c>
      <c r="I3210">
        <v>2021</v>
      </c>
      <c r="J3210" t="s">
        <v>379</v>
      </c>
      <c r="K3210" t="s">
        <v>546</v>
      </c>
      <c r="L3210" s="784">
        <v>0</v>
      </c>
      <c r="M3210" t="s">
        <v>745</v>
      </c>
      <c r="N3210" s="784" t="s">
        <v>575</v>
      </c>
      <c r="O3210" t="s">
        <v>737</v>
      </c>
      <c r="P3210" t="s">
        <v>1887</v>
      </c>
      <c r="R3210" t="s">
        <v>152</v>
      </c>
      <c r="S3210" t="s">
        <v>146</v>
      </c>
      <c r="U3210">
        <v>0</v>
      </c>
      <c r="V3210" t="s">
        <v>544</v>
      </c>
      <c r="W3210" t="s">
        <v>575</v>
      </c>
      <c r="X3210" s="784">
        <v>6893755763.2501726</v>
      </c>
    </row>
    <row r="3211" spans="1:24">
      <c r="A3211" t="s">
        <v>358</v>
      </c>
      <c r="B3211" t="s">
        <v>631</v>
      </c>
      <c r="C3211" t="s">
        <v>235</v>
      </c>
      <c r="D3211" t="s">
        <v>132</v>
      </c>
      <c r="E3211" t="s">
        <v>377</v>
      </c>
      <c r="F3211" t="s">
        <v>384</v>
      </c>
      <c r="G3211" t="s">
        <v>336</v>
      </c>
      <c r="H3211" t="s">
        <v>749</v>
      </c>
      <c r="I3211">
        <v>2021</v>
      </c>
      <c r="J3211" t="s">
        <v>379</v>
      </c>
      <c r="K3211" t="s">
        <v>546</v>
      </c>
      <c r="L3211" s="784">
        <v>0</v>
      </c>
      <c r="M3211" t="s">
        <v>745</v>
      </c>
      <c r="N3211" s="784" t="s">
        <v>575</v>
      </c>
      <c r="O3211" t="s">
        <v>737</v>
      </c>
      <c r="P3211" t="s">
        <v>1887</v>
      </c>
      <c r="R3211" t="s">
        <v>152</v>
      </c>
      <c r="S3211" t="s">
        <v>145</v>
      </c>
      <c r="U3211">
        <v>0</v>
      </c>
      <c r="V3211" t="s">
        <v>541</v>
      </c>
      <c r="W3211" t="s">
        <v>542</v>
      </c>
      <c r="X3211" s="784">
        <v>354560231.58276606</v>
      </c>
    </row>
    <row r="3212" spans="1:24">
      <c r="A3212" t="s">
        <v>358</v>
      </c>
      <c r="B3212" t="s">
        <v>632</v>
      </c>
      <c r="C3212" t="s">
        <v>236</v>
      </c>
      <c r="D3212" t="s">
        <v>129</v>
      </c>
      <c r="E3212" t="s">
        <v>377</v>
      </c>
      <c r="F3212" t="s">
        <v>384</v>
      </c>
      <c r="G3212" t="s">
        <v>336</v>
      </c>
      <c r="H3212" t="s">
        <v>749</v>
      </c>
      <c r="I3212">
        <v>2021</v>
      </c>
      <c r="J3212" t="s">
        <v>379</v>
      </c>
      <c r="K3212" t="s">
        <v>546</v>
      </c>
      <c r="L3212" s="784">
        <v>0</v>
      </c>
      <c r="M3212" t="s">
        <v>745</v>
      </c>
      <c r="N3212" s="784" t="s">
        <v>575</v>
      </c>
      <c r="O3212" t="s">
        <v>737</v>
      </c>
      <c r="P3212" t="s">
        <v>1887</v>
      </c>
      <c r="R3212" t="s">
        <v>148</v>
      </c>
      <c r="S3212" t="s">
        <v>145</v>
      </c>
      <c r="U3212">
        <v>1</v>
      </c>
      <c r="V3212" t="s">
        <v>544</v>
      </c>
      <c r="W3212" t="s">
        <v>562</v>
      </c>
      <c r="X3212" s="784">
        <v>188169167.56540567</v>
      </c>
    </row>
    <row r="3213" spans="1:24">
      <c r="A3213" t="s">
        <v>358</v>
      </c>
      <c r="B3213" t="s">
        <v>633</v>
      </c>
      <c r="C3213" t="s">
        <v>237</v>
      </c>
      <c r="D3213" t="s">
        <v>126</v>
      </c>
      <c r="E3213" t="s">
        <v>377</v>
      </c>
      <c r="F3213" t="s">
        <v>384</v>
      </c>
      <c r="G3213" t="s">
        <v>336</v>
      </c>
      <c r="H3213" t="s">
        <v>749</v>
      </c>
      <c r="I3213">
        <v>2021</v>
      </c>
      <c r="J3213" t="s">
        <v>379</v>
      </c>
      <c r="K3213" t="s">
        <v>546</v>
      </c>
      <c r="L3213" s="784">
        <v>0</v>
      </c>
      <c r="M3213" t="s">
        <v>745</v>
      </c>
      <c r="N3213" s="784" t="s">
        <v>575</v>
      </c>
      <c r="O3213" t="s">
        <v>737</v>
      </c>
      <c r="P3213" t="s">
        <v>1887</v>
      </c>
      <c r="R3213" t="s">
        <v>152</v>
      </c>
      <c r="S3213" t="s">
        <v>145</v>
      </c>
      <c r="U3213">
        <v>0</v>
      </c>
      <c r="V3213" t="s">
        <v>541</v>
      </c>
      <c r="W3213" t="s">
        <v>575</v>
      </c>
      <c r="X3213" s="784">
        <v>16312106.556340856</v>
      </c>
    </row>
    <row r="3214" spans="1:24">
      <c r="A3214" t="s">
        <v>358</v>
      </c>
      <c r="B3214" t="s">
        <v>634</v>
      </c>
      <c r="C3214" t="s">
        <v>238</v>
      </c>
      <c r="D3214" t="s">
        <v>129</v>
      </c>
      <c r="E3214" t="s">
        <v>377</v>
      </c>
      <c r="F3214" t="s">
        <v>384</v>
      </c>
      <c r="G3214" t="s">
        <v>336</v>
      </c>
      <c r="H3214" t="s">
        <v>749</v>
      </c>
      <c r="I3214">
        <v>2021</v>
      </c>
      <c r="J3214" t="s">
        <v>379</v>
      </c>
      <c r="K3214" t="s">
        <v>546</v>
      </c>
      <c r="L3214" s="784">
        <v>0</v>
      </c>
      <c r="M3214" t="s">
        <v>745</v>
      </c>
      <c r="N3214" s="784" t="s">
        <v>575</v>
      </c>
      <c r="O3214" t="s">
        <v>737</v>
      </c>
      <c r="P3214" t="s">
        <v>1887</v>
      </c>
      <c r="R3214" t="s">
        <v>150</v>
      </c>
      <c r="S3214" t="s">
        <v>145</v>
      </c>
      <c r="U3214">
        <v>2</v>
      </c>
      <c r="V3214" t="s">
        <v>544</v>
      </c>
      <c r="W3214" t="s">
        <v>542</v>
      </c>
      <c r="X3214" s="784">
        <v>86083833.534053758</v>
      </c>
    </row>
    <row r="3215" spans="1:24">
      <c r="A3215" t="s">
        <v>358</v>
      </c>
      <c r="B3215" t="s">
        <v>635</v>
      </c>
      <c r="C3215" t="s">
        <v>239</v>
      </c>
      <c r="D3215" t="s">
        <v>128</v>
      </c>
      <c r="E3215" t="s">
        <v>377</v>
      </c>
      <c r="F3215" t="s">
        <v>384</v>
      </c>
      <c r="G3215" t="s">
        <v>336</v>
      </c>
      <c r="H3215" t="s">
        <v>749</v>
      </c>
      <c r="I3215">
        <v>2021</v>
      </c>
      <c r="J3215" t="s">
        <v>379</v>
      </c>
      <c r="K3215" t="s">
        <v>546</v>
      </c>
      <c r="L3215" s="784">
        <v>0</v>
      </c>
      <c r="M3215" t="s">
        <v>745</v>
      </c>
      <c r="N3215" s="784" t="s">
        <v>575</v>
      </c>
      <c r="O3215" t="s">
        <v>737</v>
      </c>
      <c r="P3215" t="s">
        <v>1887</v>
      </c>
      <c r="R3215" t="s">
        <v>152</v>
      </c>
      <c r="S3215" t="s">
        <v>146</v>
      </c>
      <c r="U3215">
        <v>0</v>
      </c>
      <c r="V3215" t="s">
        <v>541</v>
      </c>
      <c r="W3215" t="s">
        <v>546</v>
      </c>
      <c r="X3215" s="784">
        <v>357220835.93762809</v>
      </c>
    </row>
    <row r="3216" spans="1:24">
      <c r="A3216" t="s">
        <v>358</v>
      </c>
      <c r="B3216" t="s">
        <v>636</v>
      </c>
      <c r="C3216" t="s">
        <v>240</v>
      </c>
      <c r="D3216" t="s">
        <v>130</v>
      </c>
      <c r="E3216" t="s">
        <v>377</v>
      </c>
      <c r="F3216" t="s">
        <v>384</v>
      </c>
      <c r="G3216" t="s">
        <v>336</v>
      </c>
      <c r="H3216" t="s">
        <v>749</v>
      </c>
      <c r="I3216">
        <v>2021</v>
      </c>
      <c r="J3216" t="s">
        <v>379</v>
      </c>
      <c r="K3216" t="s">
        <v>546</v>
      </c>
      <c r="L3216" s="784">
        <v>0</v>
      </c>
      <c r="M3216" t="s">
        <v>745</v>
      </c>
      <c r="N3216" s="784" t="s">
        <v>575</v>
      </c>
      <c r="O3216" t="s">
        <v>737</v>
      </c>
      <c r="P3216" t="s">
        <v>1887</v>
      </c>
      <c r="R3216" t="s">
        <v>152</v>
      </c>
      <c r="S3216" t="s">
        <v>146</v>
      </c>
      <c r="U3216">
        <v>0</v>
      </c>
      <c r="V3216" t="s">
        <v>544</v>
      </c>
      <c r="W3216" t="s">
        <v>575</v>
      </c>
      <c r="X3216" s="784">
        <v>32831598153.796387</v>
      </c>
    </row>
    <row r="3217" spans="1:24">
      <c r="A3217" t="s">
        <v>358</v>
      </c>
      <c r="B3217" t="s">
        <v>637</v>
      </c>
      <c r="C3217" t="s">
        <v>241</v>
      </c>
      <c r="D3217" t="s">
        <v>126</v>
      </c>
      <c r="E3217" t="s">
        <v>377</v>
      </c>
      <c r="F3217" t="s">
        <v>384</v>
      </c>
      <c r="G3217" t="s">
        <v>336</v>
      </c>
      <c r="H3217" t="s">
        <v>749</v>
      </c>
      <c r="I3217">
        <v>2021</v>
      </c>
      <c r="J3217" t="s">
        <v>379</v>
      </c>
      <c r="K3217" t="s">
        <v>546</v>
      </c>
      <c r="L3217" s="784">
        <v>1730708</v>
      </c>
      <c r="M3217" t="s">
        <v>745</v>
      </c>
      <c r="N3217" s="784" t="s">
        <v>575</v>
      </c>
      <c r="P3217" t="s">
        <v>1887</v>
      </c>
      <c r="R3217" t="s">
        <v>150</v>
      </c>
      <c r="S3217" t="s">
        <v>145</v>
      </c>
      <c r="U3217">
        <v>0</v>
      </c>
      <c r="V3217" t="s">
        <v>541</v>
      </c>
      <c r="W3217" t="s">
        <v>542</v>
      </c>
      <c r="X3217" s="784">
        <v>12329056.093798399</v>
      </c>
    </row>
    <row r="3218" spans="1:24">
      <c r="A3218" t="s">
        <v>358</v>
      </c>
      <c r="B3218" t="s">
        <v>638</v>
      </c>
      <c r="C3218" t="s">
        <v>242</v>
      </c>
      <c r="D3218" t="s">
        <v>127</v>
      </c>
      <c r="E3218" t="s">
        <v>377</v>
      </c>
      <c r="F3218" t="s">
        <v>384</v>
      </c>
      <c r="G3218" t="s">
        <v>336</v>
      </c>
      <c r="H3218" t="s">
        <v>749</v>
      </c>
      <c r="I3218">
        <v>2021</v>
      </c>
      <c r="J3218" t="s">
        <v>379</v>
      </c>
      <c r="K3218" t="s">
        <v>546</v>
      </c>
      <c r="L3218" s="784">
        <v>0</v>
      </c>
      <c r="M3218" t="s">
        <v>745</v>
      </c>
      <c r="N3218" s="784" t="s">
        <v>575</v>
      </c>
      <c r="O3218" t="s">
        <v>737</v>
      </c>
      <c r="P3218" t="s">
        <v>1887</v>
      </c>
      <c r="R3218" t="s">
        <v>152</v>
      </c>
      <c r="S3218" t="s">
        <v>145</v>
      </c>
      <c r="U3218">
        <v>0</v>
      </c>
      <c r="V3218" t="s">
        <v>544</v>
      </c>
      <c r="W3218" t="s">
        <v>558</v>
      </c>
      <c r="X3218" s="784">
        <v>426639742.85328001</v>
      </c>
    </row>
    <row r="3219" spans="1:24">
      <c r="A3219" t="s">
        <v>358</v>
      </c>
      <c r="B3219" t="s">
        <v>639</v>
      </c>
      <c r="C3219" t="s">
        <v>243</v>
      </c>
      <c r="D3219" t="s">
        <v>126</v>
      </c>
      <c r="E3219" t="s">
        <v>377</v>
      </c>
      <c r="F3219" t="s">
        <v>384</v>
      </c>
      <c r="G3219" t="s">
        <v>336</v>
      </c>
      <c r="H3219" t="s">
        <v>749</v>
      </c>
      <c r="I3219">
        <v>2021</v>
      </c>
      <c r="J3219" t="s">
        <v>379</v>
      </c>
      <c r="K3219" t="s">
        <v>546</v>
      </c>
      <c r="L3219" s="784">
        <v>0</v>
      </c>
      <c r="M3219" t="s">
        <v>745</v>
      </c>
      <c r="N3219" s="784" t="s">
        <v>575</v>
      </c>
      <c r="O3219" t="s">
        <v>737</v>
      </c>
      <c r="P3219" t="s">
        <v>1887</v>
      </c>
      <c r="R3219" t="s">
        <v>150</v>
      </c>
      <c r="S3219" t="s">
        <v>145</v>
      </c>
      <c r="U3219">
        <v>0</v>
      </c>
      <c r="V3219" t="s">
        <v>544</v>
      </c>
      <c r="W3219" t="s">
        <v>548</v>
      </c>
      <c r="X3219" s="784">
        <v>288519671.85870522</v>
      </c>
    </row>
    <row r="3220" spans="1:24">
      <c r="A3220" t="s">
        <v>358</v>
      </c>
      <c r="B3220" t="s">
        <v>640</v>
      </c>
      <c r="C3220" t="s">
        <v>244</v>
      </c>
      <c r="D3220" t="s">
        <v>127</v>
      </c>
      <c r="E3220" t="s">
        <v>377</v>
      </c>
      <c r="F3220" t="s">
        <v>384</v>
      </c>
      <c r="G3220" t="s">
        <v>336</v>
      </c>
      <c r="H3220" t="s">
        <v>749</v>
      </c>
      <c r="I3220">
        <v>2021</v>
      </c>
      <c r="J3220" t="s">
        <v>379</v>
      </c>
      <c r="K3220" t="s">
        <v>546</v>
      </c>
      <c r="L3220" s="784">
        <v>0</v>
      </c>
      <c r="M3220" t="s">
        <v>745</v>
      </c>
      <c r="N3220" s="784" t="s">
        <v>575</v>
      </c>
      <c r="O3220" t="s">
        <v>737</v>
      </c>
      <c r="P3220" t="s">
        <v>1887</v>
      </c>
      <c r="R3220" t="s">
        <v>152</v>
      </c>
      <c r="S3220" t="s">
        <v>146</v>
      </c>
      <c r="U3220">
        <v>0</v>
      </c>
      <c r="V3220" t="s">
        <v>544</v>
      </c>
      <c r="W3220" t="s">
        <v>546</v>
      </c>
      <c r="X3220" s="784">
        <v>275606560.78491527</v>
      </c>
    </row>
    <row r="3221" spans="1:24">
      <c r="A3221" t="s">
        <v>358</v>
      </c>
      <c r="B3221" t="s">
        <v>641</v>
      </c>
      <c r="C3221" t="s">
        <v>245</v>
      </c>
      <c r="D3221" t="s">
        <v>131</v>
      </c>
      <c r="E3221" t="s">
        <v>377</v>
      </c>
      <c r="F3221" t="s">
        <v>384</v>
      </c>
      <c r="G3221" t="s">
        <v>336</v>
      </c>
      <c r="H3221" t="s">
        <v>749</v>
      </c>
      <c r="I3221">
        <v>2021</v>
      </c>
      <c r="J3221" t="s">
        <v>379</v>
      </c>
      <c r="K3221" t="s">
        <v>546</v>
      </c>
      <c r="L3221" s="784">
        <v>0</v>
      </c>
      <c r="M3221" t="s">
        <v>745</v>
      </c>
      <c r="N3221" s="784" t="s">
        <v>575</v>
      </c>
      <c r="O3221" t="s">
        <v>737</v>
      </c>
      <c r="P3221" t="s">
        <v>1887</v>
      </c>
      <c r="R3221" t="s">
        <v>150</v>
      </c>
      <c r="S3221" t="s">
        <v>145</v>
      </c>
      <c r="U3221">
        <v>0</v>
      </c>
      <c r="V3221" t="s">
        <v>544</v>
      </c>
      <c r="W3221" t="s">
        <v>546</v>
      </c>
      <c r="X3221" s="784">
        <v>2530937679.3725696</v>
      </c>
    </row>
    <row r="3222" spans="1:24">
      <c r="A3222" t="s">
        <v>358</v>
      </c>
      <c r="B3222" t="s">
        <v>642</v>
      </c>
      <c r="C3222" t="s">
        <v>246</v>
      </c>
      <c r="D3222" t="s">
        <v>128</v>
      </c>
      <c r="E3222" t="s">
        <v>377</v>
      </c>
      <c r="F3222" t="s">
        <v>384</v>
      </c>
      <c r="G3222" t="s">
        <v>336</v>
      </c>
      <c r="H3222" t="s">
        <v>749</v>
      </c>
      <c r="I3222">
        <v>2021</v>
      </c>
      <c r="J3222" t="s">
        <v>379</v>
      </c>
      <c r="K3222" t="s">
        <v>546</v>
      </c>
      <c r="L3222" s="784">
        <v>0</v>
      </c>
      <c r="M3222" t="s">
        <v>745</v>
      </c>
      <c r="N3222" s="784" t="s">
        <v>575</v>
      </c>
      <c r="O3222" t="s">
        <v>737</v>
      </c>
      <c r="P3222" t="s">
        <v>1887</v>
      </c>
      <c r="R3222" t="s">
        <v>148</v>
      </c>
      <c r="S3222" t="s">
        <v>145</v>
      </c>
      <c r="U3222">
        <v>0</v>
      </c>
      <c r="V3222" t="s">
        <v>544</v>
      </c>
      <c r="W3222" t="s">
        <v>583</v>
      </c>
      <c r="X3222" s="784">
        <v>251432156.86255455</v>
      </c>
    </row>
    <row r="3223" spans="1:24">
      <c r="A3223" t="s">
        <v>358</v>
      </c>
      <c r="B3223" t="s">
        <v>643</v>
      </c>
      <c r="C3223" t="s">
        <v>247</v>
      </c>
      <c r="D3223" t="s">
        <v>126</v>
      </c>
      <c r="E3223" t="s">
        <v>377</v>
      </c>
      <c r="F3223" t="s">
        <v>384</v>
      </c>
      <c r="G3223" t="s">
        <v>336</v>
      </c>
      <c r="H3223" t="s">
        <v>749</v>
      </c>
      <c r="I3223">
        <v>2021</v>
      </c>
      <c r="J3223" t="s">
        <v>379</v>
      </c>
      <c r="K3223" t="s">
        <v>546</v>
      </c>
      <c r="L3223" s="784">
        <v>0</v>
      </c>
      <c r="M3223" t="s">
        <v>745</v>
      </c>
      <c r="N3223" s="784" t="s">
        <v>575</v>
      </c>
      <c r="O3223" t="s">
        <v>737</v>
      </c>
      <c r="P3223" t="s">
        <v>1887</v>
      </c>
      <c r="R3223" t="s">
        <v>150</v>
      </c>
      <c r="S3223" t="s">
        <v>145</v>
      </c>
      <c r="U3223">
        <v>0</v>
      </c>
      <c r="V3223" t="s">
        <v>544</v>
      </c>
      <c r="W3223" t="s">
        <v>558</v>
      </c>
      <c r="X3223" s="784">
        <v>471534500.60109437</v>
      </c>
    </row>
    <row r="3224" spans="1:24">
      <c r="A3224" t="s">
        <v>358</v>
      </c>
      <c r="B3224" t="s">
        <v>644</v>
      </c>
      <c r="C3224" t="s">
        <v>248</v>
      </c>
      <c r="D3224" t="s">
        <v>128</v>
      </c>
      <c r="E3224" t="s">
        <v>377</v>
      </c>
      <c r="F3224" t="s">
        <v>384</v>
      </c>
      <c r="G3224" t="s">
        <v>336</v>
      </c>
      <c r="H3224" t="s">
        <v>749</v>
      </c>
      <c r="I3224">
        <v>2021</v>
      </c>
      <c r="J3224" t="s">
        <v>379</v>
      </c>
      <c r="K3224" t="s">
        <v>546</v>
      </c>
      <c r="L3224" s="784">
        <v>0</v>
      </c>
      <c r="M3224" t="s">
        <v>745</v>
      </c>
      <c r="N3224" s="784" t="s">
        <v>575</v>
      </c>
      <c r="O3224" t="s">
        <v>737</v>
      </c>
      <c r="P3224" t="s">
        <v>1887</v>
      </c>
      <c r="R3224" t="s">
        <v>152</v>
      </c>
      <c r="S3224" t="s">
        <v>146</v>
      </c>
      <c r="U3224">
        <v>0</v>
      </c>
      <c r="V3224" t="s">
        <v>544</v>
      </c>
      <c r="W3224" t="s">
        <v>575</v>
      </c>
      <c r="X3224" s="784">
        <v>531677611.80447447</v>
      </c>
    </row>
    <row r="3225" spans="1:24">
      <c r="A3225" t="s">
        <v>358</v>
      </c>
      <c r="B3225" t="s">
        <v>645</v>
      </c>
      <c r="C3225" t="s">
        <v>249</v>
      </c>
      <c r="D3225" t="s">
        <v>126</v>
      </c>
      <c r="E3225" t="s">
        <v>377</v>
      </c>
      <c r="F3225" t="s">
        <v>384</v>
      </c>
      <c r="G3225" t="s">
        <v>336</v>
      </c>
      <c r="H3225" t="s">
        <v>749</v>
      </c>
      <c r="I3225">
        <v>2021</v>
      </c>
      <c r="J3225" t="s">
        <v>379</v>
      </c>
      <c r="K3225" t="s">
        <v>546</v>
      </c>
      <c r="L3225" s="784">
        <v>0</v>
      </c>
      <c r="M3225" t="s">
        <v>745</v>
      </c>
      <c r="N3225" s="784" t="s">
        <v>575</v>
      </c>
      <c r="O3225" t="s">
        <v>737</v>
      </c>
      <c r="P3225" t="s">
        <v>1887</v>
      </c>
      <c r="R3225" t="s">
        <v>550</v>
      </c>
      <c r="S3225" t="s">
        <v>146</v>
      </c>
      <c r="U3225">
        <v>0</v>
      </c>
      <c r="V3225" t="s">
        <v>541</v>
      </c>
      <c r="W3225" t="s">
        <v>575</v>
      </c>
      <c r="X3225" s="784">
        <v>8528751.6418357007</v>
      </c>
    </row>
    <row r="3226" spans="1:24">
      <c r="A3226" t="s">
        <v>358</v>
      </c>
      <c r="B3226" t="s">
        <v>646</v>
      </c>
      <c r="C3226" t="s">
        <v>250</v>
      </c>
      <c r="D3226" t="s">
        <v>132</v>
      </c>
      <c r="E3226" t="s">
        <v>377</v>
      </c>
      <c r="F3226" t="s">
        <v>384</v>
      </c>
      <c r="G3226" t="s">
        <v>336</v>
      </c>
      <c r="H3226" t="s">
        <v>749</v>
      </c>
      <c r="I3226">
        <v>2021</v>
      </c>
      <c r="J3226" t="s">
        <v>379</v>
      </c>
      <c r="K3226" t="s">
        <v>546</v>
      </c>
      <c r="L3226" s="784">
        <v>0</v>
      </c>
      <c r="M3226" t="s">
        <v>745</v>
      </c>
      <c r="N3226" s="784" t="s">
        <v>575</v>
      </c>
      <c r="O3226" t="s">
        <v>737</v>
      </c>
      <c r="P3226" t="s">
        <v>1887</v>
      </c>
      <c r="R3226" t="s">
        <v>150</v>
      </c>
      <c r="S3226" t="s">
        <v>145</v>
      </c>
      <c r="U3226">
        <v>0</v>
      </c>
      <c r="V3226" t="s">
        <v>544</v>
      </c>
      <c r="W3226" t="s">
        <v>558</v>
      </c>
      <c r="X3226" s="784">
        <v>407084543.19089872</v>
      </c>
    </row>
    <row r="3227" spans="1:24">
      <c r="A3227" t="s">
        <v>358</v>
      </c>
      <c r="B3227" t="s">
        <v>647</v>
      </c>
      <c r="C3227" t="s">
        <v>251</v>
      </c>
      <c r="D3227" t="s">
        <v>130</v>
      </c>
      <c r="E3227" t="s">
        <v>377</v>
      </c>
      <c r="F3227" t="s">
        <v>384</v>
      </c>
      <c r="G3227" t="s">
        <v>336</v>
      </c>
      <c r="H3227" t="s">
        <v>749</v>
      </c>
      <c r="I3227">
        <v>2021</v>
      </c>
      <c r="J3227" t="s">
        <v>379</v>
      </c>
      <c r="K3227" t="s">
        <v>546</v>
      </c>
      <c r="L3227" s="784">
        <v>0</v>
      </c>
      <c r="M3227" t="s">
        <v>745</v>
      </c>
      <c r="N3227" s="784" t="s">
        <v>575</v>
      </c>
      <c r="O3227" t="s">
        <v>737</v>
      </c>
      <c r="P3227" t="s">
        <v>1887</v>
      </c>
      <c r="R3227" t="s">
        <v>150</v>
      </c>
      <c r="S3227" t="s">
        <v>145</v>
      </c>
      <c r="U3227">
        <v>0</v>
      </c>
      <c r="V3227" t="s">
        <v>544</v>
      </c>
      <c r="W3227" t="s">
        <v>562</v>
      </c>
      <c r="X3227" s="784">
        <v>671998341.93592453</v>
      </c>
    </row>
    <row r="3228" spans="1:24">
      <c r="A3228" t="s">
        <v>358</v>
      </c>
      <c r="B3228" t="s">
        <v>648</v>
      </c>
      <c r="C3228" t="s">
        <v>252</v>
      </c>
      <c r="D3228" t="s">
        <v>129</v>
      </c>
      <c r="E3228" t="s">
        <v>377</v>
      </c>
      <c r="F3228" t="s">
        <v>384</v>
      </c>
      <c r="G3228" t="s">
        <v>336</v>
      </c>
      <c r="H3228" t="s">
        <v>749</v>
      </c>
      <c r="I3228">
        <v>2021</v>
      </c>
      <c r="J3228" t="s">
        <v>379</v>
      </c>
      <c r="K3228" t="s">
        <v>546</v>
      </c>
      <c r="L3228" s="784">
        <v>0</v>
      </c>
      <c r="M3228" t="s">
        <v>745</v>
      </c>
      <c r="N3228" s="784" t="s">
        <v>575</v>
      </c>
      <c r="O3228" t="s">
        <v>737</v>
      </c>
      <c r="P3228" t="s">
        <v>1887</v>
      </c>
      <c r="R3228" t="s">
        <v>148</v>
      </c>
      <c r="S3228" t="s">
        <v>145</v>
      </c>
      <c r="U3228">
        <v>1</v>
      </c>
      <c r="V3228" t="s">
        <v>544</v>
      </c>
      <c r="W3228" t="s">
        <v>562</v>
      </c>
      <c r="X3228" s="784">
        <v>226203289.67158964</v>
      </c>
    </row>
    <row r="3229" spans="1:24">
      <c r="A3229" t="s">
        <v>358</v>
      </c>
      <c r="B3229" t="s">
        <v>649</v>
      </c>
      <c r="C3229" t="s">
        <v>253</v>
      </c>
      <c r="D3229" t="s">
        <v>129</v>
      </c>
      <c r="E3229" t="s">
        <v>377</v>
      </c>
      <c r="F3229" t="s">
        <v>384</v>
      </c>
      <c r="G3229" t="s">
        <v>336</v>
      </c>
      <c r="H3229" t="s">
        <v>749</v>
      </c>
      <c r="I3229">
        <v>2021</v>
      </c>
      <c r="J3229" t="s">
        <v>379</v>
      </c>
      <c r="K3229" t="s">
        <v>546</v>
      </c>
      <c r="L3229" s="784">
        <v>0</v>
      </c>
      <c r="M3229" t="s">
        <v>745</v>
      </c>
      <c r="N3229" s="784" t="s">
        <v>575</v>
      </c>
      <c r="O3229" t="s">
        <v>737</v>
      </c>
      <c r="P3229" t="s">
        <v>1887</v>
      </c>
      <c r="R3229" t="s">
        <v>150</v>
      </c>
      <c r="S3229" t="s">
        <v>145</v>
      </c>
      <c r="U3229">
        <v>3</v>
      </c>
      <c r="V3229" t="s">
        <v>544</v>
      </c>
      <c r="W3229" t="s">
        <v>548</v>
      </c>
      <c r="X3229" s="784">
        <v>2438881113.1244688</v>
      </c>
    </row>
    <row r="3230" spans="1:24">
      <c r="A3230" t="s">
        <v>358</v>
      </c>
      <c r="B3230" t="s">
        <v>650</v>
      </c>
      <c r="C3230" t="s">
        <v>254</v>
      </c>
      <c r="D3230" t="s">
        <v>127</v>
      </c>
      <c r="E3230" t="s">
        <v>377</v>
      </c>
      <c r="F3230" t="s">
        <v>384</v>
      </c>
      <c r="G3230" t="s">
        <v>336</v>
      </c>
      <c r="H3230" t="s">
        <v>749</v>
      </c>
      <c r="I3230">
        <v>2021</v>
      </c>
      <c r="J3230" t="s">
        <v>379</v>
      </c>
      <c r="K3230" t="s">
        <v>546</v>
      </c>
      <c r="L3230" s="784">
        <v>0</v>
      </c>
      <c r="M3230" t="s">
        <v>745</v>
      </c>
      <c r="N3230" s="784" t="s">
        <v>575</v>
      </c>
      <c r="O3230" t="s">
        <v>737</v>
      </c>
      <c r="P3230" t="s">
        <v>1887</v>
      </c>
      <c r="R3230" t="s">
        <v>152</v>
      </c>
      <c r="S3230" t="s">
        <v>146</v>
      </c>
      <c r="U3230">
        <v>0</v>
      </c>
      <c r="V3230" t="s">
        <v>544</v>
      </c>
      <c r="W3230" t="s">
        <v>575</v>
      </c>
      <c r="X3230" s="784">
        <v>476517795.73174149</v>
      </c>
    </row>
    <row r="3231" spans="1:24">
      <c r="A3231" t="s">
        <v>358</v>
      </c>
      <c r="B3231" t="s">
        <v>651</v>
      </c>
      <c r="C3231" t="s">
        <v>255</v>
      </c>
      <c r="D3231" t="s">
        <v>132</v>
      </c>
      <c r="E3231" t="s">
        <v>377</v>
      </c>
      <c r="F3231" t="s">
        <v>384</v>
      </c>
      <c r="G3231" t="s">
        <v>336</v>
      </c>
      <c r="H3231" t="s">
        <v>749</v>
      </c>
      <c r="I3231">
        <v>2021</v>
      </c>
      <c r="J3231" t="s">
        <v>379</v>
      </c>
      <c r="K3231" t="s">
        <v>546</v>
      </c>
      <c r="L3231" s="784">
        <v>0</v>
      </c>
      <c r="M3231" t="s">
        <v>745</v>
      </c>
      <c r="N3231" s="784" t="s">
        <v>575</v>
      </c>
      <c r="O3231" t="s">
        <v>737</v>
      </c>
      <c r="P3231" t="s">
        <v>1887</v>
      </c>
      <c r="R3231" t="s">
        <v>150</v>
      </c>
      <c r="S3231" t="s">
        <v>145</v>
      </c>
      <c r="U3231">
        <v>0</v>
      </c>
      <c r="V3231" t="s">
        <v>544</v>
      </c>
      <c r="W3231" t="s">
        <v>548</v>
      </c>
      <c r="X3231" s="784">
        <v>3233351297.7679496</v>
      </c>
    </row>
    <row r="3232" spans="1:24">
      <c r="A3232" t="s">
        <v>358</v>
      </c>
      <c r="B3232" t="s">
        <v>652</v>
      </c>
      <c r="C3232" t="s">
        <v>256</v>
      </c>
      <c r="D3232" t="s">
        <v>130</v>
      </c>
      <c r="E3232" t="s">
        <v>377</v>
      </c>
      <c r="F3232" t="s">
        <v>384</v>
      </c>
      <c r="G3232" t="s">
        <v>336</v>
      </c>
      <c r="H3232" t="s">
        <v>749</v>
      </c>
      <c r="I3232">
        <v>2021</v>
      </c>
      <c r="J3232" t="s">
        <v>379</v>
      </c>
      <c r="K3232" t="s">
        <v>546</v>
      </c>
      <c r="L3232" s="784">
        <v>0</v>
      </c>
      <c r="M3232" t="s">
        <v>745</v>
      </c>
      <c r="N3232" s="784" t="s">
        <v>575</v>
      </c>
      <c r="O3232" t="s">
        <v>737</v>
      </c>
      <c r="P3232" t="s">
        <v>1887</v>
      </c>
      <c r="R3232" t="s">
        <v>550</v>
      </c>
      <c r="S3232" t="s">
        <v>146</v>
      </c>
      <c r="U3232">
        <v>0</v>
      </c>
      <c r="V3232" t="s">
        <v>541</v>
      </c>
      <c r="W3232" t="s">
        <v>575</v>
      </c>
      <c r="X3232" s="784">
        <v>18180646.808608256</v>
      </c>
    </row>
    <row r="3233" spans="1:24">
      <c r="A3233" t="s">
        <v>358</v>
      </c>
      <c r="B3233" t="s">
        <v>653</v>
      </c>
      <c r="C3233" t="s">
        <v>257</v>
      </c>
      <c r="D3233" t="s">
        <v>130</v>
      </c>
      <c r="E3233" t="s">
        <v>377</v>
      </c>
      <c r="F3233" t="s">
        <v>384</v>
      </c>
      <c r="G3233" t="s">
        <v>336</v>
      </c>
      <c r="H3233" t="s">
        <v>749</v>
      </c>
      <c r="I3233">
        <v>2021</v>
      </c>
      <c r="J3233" t="s">
        <v>379</v>
      </c>
      <c r="K3233" t="s">
        <v>546</v>
      </c>
      <c r="L3233" s="784">
        <v>0</v>
      </c>
      <c r="M3233" t="s">
        <v>745</v>
      </c>
      <c r="N3233" s="784" t="s">
        <v>575</v>
      </c>
      <c r="O3233" t="s">
        <v>737</v>
      </c>
      <c r="P3233" t="s">
        <v>1887</v>
      </c>
      <c r="R3233" t="s">
        <v>152</v>
      </c>
      <c r="S3233" t="s">
        <v>146</v>
      </c>
      <c r="U3233">
        <v>0</v>
      </c>
      <c r="V3233" t="s">
        <v>544</v>
      </c>
      <c r="W3233" t="s">
        <v>546</v>
      </c>
      <c r="X3233" s="784">
        <v>3020530707.3485303</v>
      </c>
    </row>
    <row r="3234" spans="1:24">
      <c r="A3234" t="s">
        <v>358</v>
      </c>
      <c r="B3234" t="s">
        <v>654</v>
      </c>
      <c r="C3234" t="s">
        <v>258</v>
      </c>
      <c r="D3234" t="s">
        <v>126</v>
      </c>
      <c r="E3234" t="s">
        <v>377</v>
      </c>
      <c r="F3234" t="s">
        <v>384</v>
      </c>
      <c r="G3234" t="s">
        <v>336</v>
      </c>
      <c r="H3234" t="s">
        <v>749</v>
      </c>
      <c r="I3234">
        <v>2021</v>
      </c>
      <c r="J3234" t="s">
        <v>379</v>
      </c>
      <c r="K3234" t="s">
        <v>546</v>
      </c>
      <c r="L3234" s="784">
        <v>0</v>
      </c>
      <c r="M3234" t="s">
        <v>745</v>
      </c>
      <c r="N3234" s="784" t="s">
        <v>575</v>
      </c>
      <c r="O3234" t="s">
        <v>737</v>
      </c>
      <c r="P3234" t="s">
        <v>1887</v>
      </c>
      <c r="R3234" t="s">
        <v>150</v>
      </c>
      <c r="S3234" t="s">
        <v>145</v>
      </c>
      <c r="U3234">
        <v>1</v>
      </c>
      <c r="V3234" t="s">
        <v>541</v>
      </c>
      <c r="W3234" t="s">
        <v>542</v>
      </c>
      <c r="X3234" s="784">
        <v>384406316.46074712</v>
      </c>
    </row>
    <row r="3235" spans="1:24">
      <c r="A3235" t="s">
        <v>358</v>
      </c>
      <c r="B3235" t="s">
        <v>655</v>
      </c>
      <c r="C3235" t="s">
        <v>259</v>
      </c>
      <c r="D3235" t="s">
        <v>130</v>
      </c>
      <c r="E3235" t="s">
        <v>377</v>
      </c>
      <c r="F3235" t="s">
        <v>384</v>
      </c>
      <c r="G3235" t="s">
        <v>336</v>
      </c>
      <c r="H3235" t="s">
        <v>749</v>
      </c>
      <c r="I3235">
        <v>2021</v>
      </c>
      <c r="J3235" t="s">
        <v>379</v>
      </c>
      <c r="K3235" t="s">
        <v>546</v>
      </c>
      <c r="L3235" s="784">
        <v>0</v>
      </c>
      <c r="M3235" t="s">
        <v>745</v>
      </c>
      <c r="N3235" s="784" t="s">
        <v>575</v>
      </c>
      <c r="O3235" t="s">
        <v>737</v>
      </c>
      <c r="P3235" t="s">
        <v>1887</v>
      </c>
      <c r="R3235" t="s">
        <v>152</v>
      </c>
      <c r="S3235" t="s">
        <v>146</v>
      </c>
      <c r="U3235">
        <v>0</v>
      </c>
      <c r="V3235" t="s">
        <v>544</v>
      </c>
      <c r="W3235" t="s">
        <v>575</v>
      </c>
      <c r="X3235" s="784">
        <v>1218747108.9554784</v>
      </c>
    </row>
    <row r="3236" spans="1:24">
      <c r="A3236" t="s">
        <v>358</v>
      </c>
      <c r="B3236" t="s">
        <v>656</v>
      </c>
      <c r="C3236" t="s">
        <v>260</v>
      </c>
      <c r="D3236" t="s">
        <v>130</v>
      </c>
      <c r="E3236" t="s">
        <v>377</v>
      </c>
      <c r="F3236" t="s">
        <v>384</v>
      </c>
      <c r="G3236" t="s">
        <v>336</v>
      </c>
      <c r="H3236" t="s">
        <v>749</v>
      </c>
      <c r="I3236">
        <v>2021</v>
      </c>
      <c r="J3236" t="s">
        <v>379</v>
      </c>
      <c r="K3236" t="s">
        <v>546</v>
      </c>
      <c r="L3236" s="784">
        <v>0</v>
      </c>
      <c r="M3236" t="s">
        <v>745</v>
      </c>
      <c r="N3236" s="784" t="s">
        <v>575</v>
      </c>
      <c r="O3236" t="s">
        <v>737</v>
      </c>
      <c r="P3236" t="s">
        <v>1887</v>
      </c>
      <c r="R3236" t="s">
        <v>152</v>
      </c>
      <c r="S3236" t="s">
        <v>146</v>
      </c>
      <c r="U3236">
        <v>0</v>
      </c>
      <c r="V3236" t="s">
        <v>544</v>
      </c>
      <c r="W3236" t="s">
        <v>575</v>
      </c>
      <c r="X3236" s="784">
        <v>7392665952.5895758</v>
      </c>
    </row>
    <row r="3237" spans="1:24">
      <c r="A3237" t="s">
        <v>358</v>
      </c>
      <c r="B3237" t="s">
        <v>657</v>
      </c>
      <c r="C3237" t="s">
        <v>261</v>
      </c>
      <c r="D3237" t="s">
        <v>126</v>
      </c>
      <c r="E3237" t="s">
        <v>377</v>
      </c>
      <c r="F3237" t="s">
        <v>384</v>
      </c>
      <c r="G3237" t="s">
        <v>336</v>
      </c>
      <c r="H3237" t="s">
        <v>749</v>
      </c>
      <c r="I3237">
        <v>2021</v>
      </c>
      <c r="J3237" t="s">
        <v>379</v>
      </c>
      <c r="K3237" t="s">
        <v>546</v>
      </c>
      <c r="L3237" s="784">
        <v>0</v>
      </c>
      <c r="M3237" t="s">
        <v>745</v>
      </c>
      <c r="N3237" s="784" t="s">
        <v>575</v>
      </c>
      <c r="O3237" t="s">
        <v>737</v>
      </c>
      <c r="P3237" t="s">
        <v>1887</v>
      </c>
      <c r="R3237" t="s">
        <v>150</v>
      </c>
      <c r="S3237" t="s">
        <v>145</v>
      </c>
      <c r="U3237">
        <v>0</v>
      </c>
      <c r="V3237" t="s">
        <v>544</v>
      </c>
      <c r="W3237" t="s">
        <v>546</v>
      </c>
      <c r="X3237" s="784">
        <v>4754985988.6004429</v>
      </c>
    </row>
    <row r="3238" spans="1:24">
      <c r="A3238" t="s">
        <v>358</v>
      </c>
      <c r="B3238" t="s">
        <v>658</v>
      </c>
      <c r="C3238" t="s">
        <v>262</v>
      </c>
      <c r="D3238" t="s">
        <v>127</v>
      </c>
      <c r="E3238" t="s">
        <v>377</v>
      </c>
      <c r="F3238" t="s">
        <v>384</v>
      </c>
      <c r="G3238" t="s">
        <v>336</v>
      </c>
      <c r="H3238" t="s">
        <v>749</v>
      </c>
      <c r="I3238">
        <v>2021</v>
      </c>
      <c r="J3238" t="s">
        <v>379</v>
      </c>
      <c r="K3238" t="s">
        <v>546</v>
      </c>
      <c r="L3238" s="784">
        <v>0</v>
      </c>
      <c r="M3238" t="s">
        <v>745</v>
      </c>
      <c r="N3238" s="784" t="s">
        <v>575</v>
      </c>
      <c r="O3238" t="s">
        <v>737</v>
      </c>
      <c r="P3238" t="s">
        <v>1887</v>
      </c>
      <c r="R3238" t="s">
        <v>550</v>
      </c>
      <c r="S3238" t="s">
        <v>146</v>
      </c>
      <c r="U3238">
        <v>0</v>
      </c>
      <c r="V3238" t="s">
        <v>544</v>
      </c>
      <c r="W3238" t="s">
        <v>575</v>
      </c>
      <c r="X3238" s="784">
        <v>26422210443.037273</v>
      </c>
    </row>
    <row r="3239" spans="1:24">
      <c r="A3239" t="s">
        <v>358</v>
      </c>
      <c r="B3239" t="s">
        <v>659</v>
      </c>
      <c r="C3239" t="s">
        <v>151</v>
      </c>
      <c r="D3239" t="s">
        <v>127</v>
      </c>
      <c r="E3239" t="s">
        <v>377</v>
      </c>
      <c r="F3239" t="s">
        <v>384</v>
      </c>
      <c r="G3239" t="s">
        <v>336</v>
      </c>
      <c r="H3239" t="s">
        <v>749</v>
      </c>
      <c r="I3239">
        <v>2021</v>
      </c>
      <c r="J3239" t="s">
        <v>379</v>
      </c>
      <c r="K3239" t="s">
        <v>546</v>
      </c>
      <c r="L3239" s="784">
        <v>0</v>
      </c>
      <c r="M3239" t="s">
        <v>745</v>
      </c>
      <c r="N3239" s="784" t="s">
        <v>575</v>
      </c>
      <c r="O3239" t="s">
        <v>737</v>
      </c>
      <c r="P3239" t="s">
        <v>1887</v>
      </c>
      <c r="R3239" t="s">
        <v>152</v>
      </c>
      <c r="S3239" t="s">
        <v>146</v>
      </c>
      <c r="U3239">
        <v>0</v>
      </c>
      <c r="V3239" t="s">
        <v>544</v>
      </c>
      <c r="W3239" t="s">
        <v>575</v>
      </c>
      <c r="X3239" s="784">
        <v>10696495313.15033</v>
      </c>
    </row>
    <row r="3240" spans="1:24">
      <c r="A3240" t="s">
        <v>358</v>
      </c>
      <c r="B3240" t="s">
        <v>660</v>
      </c>
      <c r="C3240" t="s">
        <v>263</v>
      </c>
      <c r="D3240" t="s">
        <v>127</v>
      </c>
      <c r="E3240" t="s">
        <v>377</v>
      </c>
      <c r="F3240" t="s">
        <v>384</v>
      </c>
      <c r="G3240" t="s">
        <v>336</v>
      </c>
      <c r="H3240" t="s">
        <v>749</v>
      </c>
      <c r="I3240">
        <v>2021</v>
      </c>
      <c r="J3240" t="s">
        <v>379</v>
      </c>
      <c r="K3240" t="s">
        <v>546</v>
      </c>
      <c r="L3240" s="784">
        <v>0</v>
      </c>
      <c r="M3240" t="s">
        <v>745</v>
      </c>
      <c r="N3240" s="784" t="s">
        <v>575</v>
      </c>
      <c r="O3240" t="s">
        <v>737</v>
      </c>
      <c r="P3240" t="s">
        <v>1887</v>
      </c>
      <c r="R3240" t="s">
        <v>152</v>
      </c>
      <c r="S3240" t="s">
        <v>146</v>
      </c>
      <c r="U3240">
        <v>0</v>
      </c>
      <c r="V3240" t="s">
        <v>544</v>
      </c>
      <c r="W3240" t="s">
        <v>575</v>
      </c>
      <c r="X3240" s="784">
        <v>52769713433.240509</v>
      </c>
    </row>
    <row r="3241" spans="1:24">
      <c r="A3241" t="s">
        <v>358</v>
      </c>
      <c r="B3241" t="s">
        <v>661</v>
      </c>
      <c r="C3241" t="s">
        <v>264</v>
      </c>
      <c r="D3241" t="s">
        <v>128</v>
      </c>
      <c r="E3241" t="s">
        <v>377</v>
      </c>
      <c r="F3241" t="s">
        <v>384</v>
      </c>
      <c r="G3241" t="s">
        <v>336</v>
      </c>
      <c r="H3241" t="s">
        <v>749</v>
      </c>
      <c r="I3241">
        <v>2021</v>
      </c>
      <c r="J3241" t="s">
        <v>379</v>
      </c>
      <c r="K3241" t="s">
        <v>546</v>
      </c>
      <c r="L3241" s="784">
        <v>0</v>
      </c>
      <c r="M3241" t="s">
        <v>745</v>
      </c>
      <c r="N3241" s="784" t="s">
        <v>575</v>
      </c>
      <c r="O3241" t="s">
        <v>737</v>
      </c>
      <c r="P3241" t="s">
        <v>1887</v>
      </c>
      <c r="R3241" t="s">
        <v>148</v>
      </c>
      <c r="S3241" t="s">
        <v>145</v>
      </c>
      <c r="U3241">
        <v>0</v>
      </c>
      <c r="V3241" t="s">
        <v>544</v>
      </c>
      <c r="W3241" t="s">
        <v>562</v>
      </c>
      <c r="X3241" s="784">
        <v>225799814.51943746</v>
      </c>
    </row>
    <row r="3242" spans="1:24">
      <c r="A3242" t="s">
        <v>358</v>
      </c>
      <c r="B3242" t="s">
        <v>662</v>
      </c>
      <c r="C3242" t="s">
        <v>265</v>
      </c>
      <c r="D3242" t="s">
        <v>126</v>
      </c>
      <c r="E3242" t="s">
        <v>377</v>
      </c>
      <c r="F3242" t="s">
        <v>384</v>
      </c>
      <c r="G3242" t="s">
        <v>336</v>
      </c>
      <c r="H3242" t="s">
        <v>749</v>
      </c>
      <c r="I3242">
        <v>2021</v>
      </c>
      <c r="J3242" t="s">
        <v>379</v>
      </c>
      <c r="K3242" t="s">
        <v>546</v>
      </c>
      <c r="L3242" s="784">
        <v>0</v>
      </c>
      <c r="M3242" t="s">
        <v>745</v>
      </c>
      <c r="N3242" s="784" t="s">
        <v>575</v>
      </c>
      <c r="O3242" t="s">
        <v>737</v>
      </c>
      <c r="P3242" t="s">
        <v>1887</v>
      </c>
      <c r="R3242" t="s">
        <v>150</v>
      </c>
      <c r="S3242" t="s">
        <v>145</v>
      </c>
      <c r="U3242">
        <v>0</v>
      </c>
      <c r="V3242" t="s">
        <v>541</v>
      </c>
      <c r="W3242" t="s">
        <v>542</v>
      </c>
      <c r="X3242" s="784">
        <v>32192988.027009469</v>
      </c>
    </row>
    <row r="3243" spans="1:24">
      <c r="A3243" t="s">
        <v>358</v>
      </c>
      <c r="B3243" t="s">
        <v>663</v>
      </c>
      <c r="C3243" t="s">
        <v>266</v>
      </c>
      <c r="D3243" t="s">
        <v>129</v>
      </c>
      <c r="E3243" t="s">
        <v>377</v>
      </c>
      <c r="F3243" t="s">
        <v>384</v>
      </c>
      <c r="G3243" t="s">
        <v>336</v>
      </c>
      <c r="H3243" t="s">
        <v>749</v>
      </c>
      <c r="I3243">
        <v>2021</v>
      </c>
      <c r="J3243" t="s">
        <v>379</v>
      </c>
      <c r="K3243" t="s">
        <v>546</v>
      </c>
      <c r="L3243" s="784">
        <v>0</v>
      </c>
      <c r="M3243" t="s">
        <v>745</v>
      </c>
      <c r="N3243" s="784" t="s">
        <v>575</v>
      </c>
      <c r="O3243" t="s">
        <v>737</v>
      </c>
      <c r="P3243" t="s">
        <v>1887</v>
      </c>
      <c r="R3243" t="s">
        <v>150</v>
      </c>
      <c r="S3243" t="s">
        <v>145</v>
      </c>
      <c r="U3243">
        <v>0</v>
      </c>
      <c r="V3243" t="s">
        <v>541</v>
      </c>
      <c r="W3243" t="s">
        <v>583</v>
      </c>
      <c r="X3243" s="784">
        <v>11633535.136477679</v>
      </c>
    </row>
    <row r="3244" spans="1:24">
      <c r="A3244" t="s">
        <v>358</v>
      </c>
      <c r="B3244" t="s">
        <v>664</v>
      </c>
      <c r="C3244" t="s">
        <v>267</v>
      </c>
      <c r="D3244" t="s">
        <v>129</v>
      </c>
      <c r="E3244" t="s">
        <v>377</v>
      </c>
      <c r="F3244" t="s">
        <v>384</v>
      </c>
      <c r="G3244" t="s">
        <v>336</v>
      </c>
      <c r="H3244" t="s">
        <v>749</v>
      </c>
      <c r="I3244">
        <v>2021</v>
      </c>
      <c r="J3244" t="s">
        <v>379</v>
      </c>
      <c r="K3244" t="s">
        <v>546</v>
      </c>
      <c r="L3244" s="784">
        <v>0</v>
      </c>
      <c r="M3244" t="s">
        <v>745</v>
      </c>
      <c r="N3244" s="784" t="s">
        <v>575</v>
      </c>
      <c r="O3244" t="s">
        <v>737</v>
      </c>
      <c r="P3244" t="s">
        <v>1887</v>
      </c>
      <c r="R3244" t="s">
        <v>150</v>
      </c>
      <c r="S3244" t="s">
        <v>145</v>
      </c>
      <c r="U3244">
        <v>2</v>
      </c>
      <c r="V3244" t="s">
        <v>544</v>
      </c>
      <c r="W3244" t="s">
        <v>562</v>
      </c>
      <c r="X3244" s="784">
        <v>222008693.93354639</v>
      </c>
    </row>
    <row r="3245" spans="1:24">
      <c r="A3245" t="s">
        <v>358</v>
      </c>
      <c r="B3245" t="s">
        <v>665</v>
      </c>
      <c r="C3245" t="s">
        <v>153</v>
      </c>
      <c r="D3245" t="s">
        <v>127</v>
      </c>
      <c r="E3245" t="s">
        <v>377</v>
      </c>
      <c r="F3245" t="s">
        <v>384</v>
      </c>
      <c r="G3245" t="s">
        <v>336</v>
      </c>
      <c r="H3245" t="s">
        <v>749</v>
      </c>
      <c r="I3245">
        <v>2021</v>
      </c>
      <c r="J3245" t="s">
        <v>379</v>
      </c>
      <c r="K3245" t="s">
        <v>546</v>
      </c>
      <c r="L3245" s="784">
        <v>0</v>
      </c>
      <c r="M3245" t="s">
        <v>745</v>
      </c>
      <c r="N3245" s="784" t="s">
        <v>575</v>
      </c>
      <c r="O3245" t="s">
        <v>737</v>
      </c>
      <c r="P3245" t="s">
        <v>1887</v>
      </c>
      <c r="R3245" t="s">
        <v>152</v>
      </c>
      <c r="S3245" t="s">
        <v>146</v>
      </c>
      <c r="U3245">
        <v>0</v>
      </c>
      <c r="V3245" t="s">
        <v>544</v>
      </c>
      <c r="W3245" t="s">
        <v>575</v>
      </c>
      <c r="X3245" s="784">
        <v>2564993795.1894679</v>
      </c>
    </row>
    <row r="3246" spans="1:24">
      <c r="A3246" t="s">
        <v>358</v>
      </c>
      <c r="B3246" t="s">
        <v>666</v>
      </c>
      <c r="C3246" t="s">
        <v>268</v>
      </c>
      <c r="D3246" t="s">
        <v>128</v>
      </c>
      <c r="E3246" t="s">
        <v>377</v>
      </c>
      <c r="F3246" t="s">
        <v>384</v>
      </c>
      <c r="G3246" t="s">
        <v>336</v>
      </c>
      <c r="H3246" t="s">
        <v>749</v>
      </c>
      <c r="I3246">
        <v>2021</v>
      </c>
      <c r="J3246" t="s">
        <v>379</v>
      </c>
      <c r="K3246" t="s">
        <v>546</v>
      </c>
      <c r="L3246" s="784">
        <v>0</v>
      </c>
      <c r="M3246" t="s">
        <v>745</v>
      </c>
      <c r="N3246" s="784" t="s">
        <v>575</v>
      </c>
      <c r="O3246" t="s">
        <v>737</v>
      </c>
      <c r="P3246" t="s">
        <v>1887</v>
      </c>
      <c r="R3246" t="s">
        <v>550</v>
      </c>
      <c r="S3246" t="s">
        <v>146</v>
      </c>
      <c r="U3246">
        <v>0</v>
      </c>
      <c r="V3246" t="s">
        <v>541</v>
      </c>
      <c r="W3246" t="s">
        <v>546</v>
      </c>
      <c r="X3246" s="784">
        <v>60237542.945069775</v>
      </c>
    </row>
    <row r="3247" spans="1:24">
      <c r="A3247" t="s">
        <v>358</v>
      </c>
      <c r="B3247" t="s">
        <v>667</v>
      </c>
      <c r="C3247" t="s">
        <v>269</v>
      </c>
      <c r="D3247" t="s">
        <v>129</v>
      </c>
      <c r="E3247" t="s">
        <v>377</v>
      </c>
      <c r="F3247" t="s">
        <v>384</v>
      </c>
      <c r="G3247" t="s">
        <v>336</v>
      </c>
      <c r="H3247" t="s">
        <v>749</v>
      </c>
      <c r="I3247">
        <v>2021</v>
      </c>
      <c r="J3247" t="s">
        <v>379</v>
      </c>
      <c r="K3247" t="s">
        <v>546</v>
      </c>
      <c r="L3247" s="784">
        <v>0</v>
      </c>
      <c r="M3247" t="s">
        <v>745</v>
      </c>
      <c r="N3247" s="784" t="s">
        <v>575</v>
      </c>
      <c r="O3247" t="s">
        <v>737</v>
      </c>
      <c r="P3247" t="s">
        <v>1887</v>
      </c>
      <c r="R3247" t="s">
        <v>148</v>
      </c>
      <c r="S3247" t="s">
        <v>145</v>
      </c>
      <c r="U3247">
        <v>0</v>
      </c>
      <c r="V3247" t="s">
        <v>544</v>
      </c>
      <c r="W3247" t="s">
        <v>542</v>
      </c>
      <c r="X3247" s="784">
        <v>63738640.538260505</v>
      </c>
    </row>
    <row r="3248" spans="1:24">
      <c r="A3248" t="s">
        <v>358</v>
      </c>
      <c r="B3248" t="s">
        <v>668</v>
      </c>
      <c r="C3248" t="s">
        <v>270</v>
      </c>
      <c r="D3248" t="s">
        <v>126</v>
      </c>
      <c r="E3248" t="s">
        <v>377</v>
      </c>
      <c r="F3248" t="s">
        <v>384</v>
      </c>
      <c r="G3248" t="s">
        <v>336</v>
      </c>
      <c r="H3248" t="s">
        <v>749</v>
      </c>
      <c r="I3248">
        <v>2021</v>
      </c>
      <c r="J3248" t="s">
        <v>379</v>
      </c>
      <c r="K3248" t="s">
        <v>546</v>
      </c>
      <c r="L3248" s="784">
        <v>0</v>
      </c>
      <c r="M3248" t="s">
        <v>745</v>
      </c>
      <c r="N3248" s="784" t="s">
        <v>575</v>
      </c>
      <c r="O3248" t="s">
        <v>737</v>
      </c>
      <c r="P3248" t="s">
        <v>1887</v>
      </c>
      <c r="R3248" t="s">
        <v>150</v>
      </c>
      <c r="S3248" t="s">
        <v>145</v>
      </c>
      <c r="U3248">
        <v>0</v>
      </c>
      <c r="V3248" t="s">
        <v>541</v>
      </c>
      <c r="W3248" t="s">
        <v>562</v>
      </c>
      <c r="X3248" s="784">
        <v>49012774.055630356</v>
      </c>
    </row>
    <row r="3249" spans="1:24">
      <c r="A3249" t="s">
        <v>358</v>
      </c>
      <c r="B3249" t="s">
        <v>669</v>
      </c>
      <c r="C3249" t="s">
        <v>271</v>
      </c>
      <c r="D3249" t="s">
        <v>128</v>
      </c>
      <c r="E3249" t="s">
        <v>377</v>
      </c>
      <c r="F3249" t="s">
        <v>384</v>
      </c>
      <c r="G3249" t="s">
        <v>336</v>
      </c>
      <c r="H3249" t="s">
        <v>749</v>
      </c>
      <c r="I3249">
        <v>2021</v>
      </c>
      <c r="J3249" t="s">
        <v>379</v>
      </c>
      <c r="K3249" t="s">
        <v>546</v>
      </c>
      <c r="L3249" s="784">
        <v>0</v>
      </c>
      <c r="M3249" t="s">
        <v>745</v>
      </c>
      <c r="N3249" s="784" t="s">
        <v>575</v>
      </c>
      <c r="O3249" t="s">
        <v>737</v>
      </c>
      <c r="P3249" t="s">
        <v>1887</v>
      </c>
      <c r="R3249" t="s">
        <v>148</v>
      </c>
      <c r="S3249" t="s">
        <v>145</v>
      </c>
      <c r="U3249">
        <v>1</v>
      </c>
      <c r="V3249" t="s">
        <v>544</v>
      </c>
      <c r="W3249" t="s">
        <v>583</v>
      </c>
      <c r="X3249" s="784" t="s">
        <v>575</v>
      </c>
    </row>
    <row r="3250" spans="1:24">
      <c r="A3250" t="s">
        <v>358</v>
      </c>
      <c r="B3250" t="s">
        <v>670</v>
      </c>
      <c r="C3250" t="s">
        <v>272</v>
      </c>
      <c r="D3250" t="s">
        <v>128</v>
      </c>
      <c r="E3250" t="s">
        <v>377</v>
      </c>
      <c r="F3250" t="s">
        <v>384</v>
      </c>
      <c r="G3250" t="s">
        <v>336</v>
      </c>
      <c r="H3250" t="s">
        <v>749</v>
      </c>
      <c r="I3250">
        <v>2021</v>
      </c>
      <c r="J3250" t="s">
        <v>379</v>
      </c>
      <c r="K3250" t="s">
        <v>546</v>
      </c>
      <c r="L3250" s="784">
        <v>0</v>
      </c>
      <c r="M3250" t="s">
        <v>745</v>
      </c>
      <c r="N3250" s="784" t="s">
        <v>575</v>
      </c>
      <c r="O3250" t="s">
        <v>737</v>
      </c>
      <c r="P3250" t="s">
        <v>1887</v>
      </c>
      <c r="R3250" t="s">
        <v>152</v>
      </c>
      <c r="S3250" t="s">
        <v>146</v>
      </c>
      <c r="U3250">
        <v>0</v>
      </c>
      <c r="V3250" t="s">
        <v>544</v>
      </c>
      <c r="W3250" t="s">
        <v>546</v>
      </c>
      <c r="X3250" s="784">
        <v>16429121142.784708</v>
      </c>
    </row>
    <row r="3251" spans="1:24">
      <c r="A3251" t="s">
        <v>358</v>
      </c>
      <c r="B3251" t="s">
        <v>671</v>
      </c>
      <c r="C3251" t="s">
        <v>273</v>
      </c>
      <c r="D3251" t="s">
        <v>128</v>
      </c>
      <c r="E3251" t="s">
        <v>377</v>
      </c>
      <c r="F3251" t="s">
        <v>384</v>
      </c>
      <c r="G3251" t="s">
        <v>336</v>
      </c>
      <c r="H3251" t="s">
        <v>749</v>
      </c>
      <c r="I3251">
        <v>2021</v>
      </c>
      <c r="J3251" t="s">
        <v>379</v>
      </c>
      <c r="K3251" t="s">
        <v>546</v>
      </c>
      <c r="L3251" s="784">
        <v>0</v>
      </c>
      <c r="M3251" t="s">
        <v>745</v>
      </c>
      <c r="N3251" s="784" t="s">
        <v>575</v>
      </c>
      <c r="O3251" t="s">
        <v>737</v>
      </c>
      <c r="P3251" t="s">
        <v>1887</v>
      </c>
      <c r="R3251" t="s">
        <v>148</v>
      </c>
      <c r="S3251" t="s">
        <v>145</v>
      </c>
      <c r="U3251">
        <v>1</v>
      </c>
      <c r="V3251" t="s">
        <v>544</v>
      </c>
      <c r="W3251" t="s">
        <v>542</v>
      </c>
      <c r="X3251" s="784">
        <v>31684581.76217727</v>
      </c>
    </row>
    <row r="3252" spans="1:24">
      <c r="A3252" t="s">
        <v>358</v>
      </c>
      <c r="B3252" t="s">
        <v>672</v>
      </c>
      <c r="C3252" t="s">
        <v>274</v>
      </c>
      <c r="D3252" t="s">
        <v>132</v>
      </c>
      <c r="E3252" t="s">
        <v>377</v>
      </c>
      <c r="F3252" t="s">
        <v>384</v>
      </c>
      <c r="G3252" t="s">
        <v>336</v>
      </c>
      <c r="H3252" t="s">
        <v>749</v>
      </c>
      <c r="I3252">
        <v>2021</v>
      </c>
      <c r="J3252" t="s">
        <v>379</v>
      </c>
      <c r="K3252" t="s">
        <v>546</v>
      </c>
      <c r="L3252" s="784">
        <v>0</v>
      </c>
      <c r="M3252" t="s">
        <v>745</v>
      </c>
      <c r="N3252" s="784" t="s">
        <v>575</v>
      </c>
      <c r="O3252" t="s">
        <v>737</v>
      </c>
      <c r="P3252" t="s">
        <v>1887</v>
      </c>
      <c r="R3252" t="s">
        <v>150</v>
      </c>
      <c r="S3252" t="s">
        <v>145</v>
      </c>
      <c r="U3252">
        <v>0</v>
      </c>
      <c r="V3252" t="s">
        <v>544</v>
      </c>
      <c r="W3252" t="s">
        <v>546</v>
      </c>
      <c r="X3252" s="784">
        <v>1373621563.5182886</v>
      </c>
    </row>
    <row r="3253" spans="1:24">
      <c r="A3253" t="s">
        <v>358</v>
      </c>
      <c r="B3253" t="s">
        <v>673</v>
      </c>
      <c r="C3253" t="s">
        <v>275</v>
      </c>
      <c r="D3253" t="s">
        <v>130</v>
      </c>
      <c r="E3253" t="s">
        <v>377</v>
      </c>
      <c r="F3253" t="s">
        <v>384</v>
      </c>
      <c r="G3253" t="s">
        <v>336</v>
      </c>
      <c r="H3253" t="s">
        <v>749</v>
      </c>
      <c r="I3253">
        <v>2021</v>
      </c>
      <c r="J3253" t="s">
        <v>379</v>
      </c>
      <c r="K3253" t="s">
        <v>546</v>
      </c>
      <c r="L3253" s="784">
        <v>0</v>
      </c>
      <c r="M3253" t="s">
        <v>745</v>
      </c>
      <c r="N3253" s="784" t="s">
        <v>575</v>
      </c>
      <c r="O3253" t="s">
        <v>737</v>
      </c>
      <c r="P3253" t="s">
        <v>1887</v>
      </c>
      <c r="R3253" t="s">
        <v>550</v>
      </c>
      <c r="S3253" t="s">
        <v>146</v>
      </c>
      <c r="U3253">
        <v>0</v>
      </c>
      <c r="V3253" t="s">
        <v>541</v>
      </c>
      <c r="W3253" t="s">
        <v>575</v>
      </c>
      <c r="X3253" s="784">
        <v>24214370.889062837</v>
      </c>
    </row>
    <row r="3254" spans="1:24">
      <c r="A3254" t="s">
        <v>358</v>
      </c>
      <c r="B3254" t="s">
        <v>674</v>
      </c>
      <c r="C3254" t="s">
        <v>154</v>
      </c>
      <c r="D3254" t="s">
        <v>130</v>
      </c>
      <c r="E3254" t="s">
        <v>377</v>
      </c>
      <c r="F3254" t="s">
        <v>384</v>
      </c>
      <c r="G3254" t="s">
        <v>336</v>
      </c>
      <c r="H3254" t="s">
        <v>749</v>
      </c>
      <c r="I3254">
        <v>2021</v>
      </c>
      <c r="J3254" t="s">
        <v>379</v>
      </c>
      <c r="K3254" t="s">
        <v>546</v>
      </c>
      <c r="L3254" s="784">
        <v>0</v>
      </c>
      <c r="M3254" t="s">
        <v>745</v>
      </c>
      <c r="N3254" s="784" t="s">
        <v>575</v>
      </c>
      <c r="O3254" t="s">
        <v>737</v>
      </c>
      <c r="P3254" t="s">
        <v>1887</v>
      </c>
      <c r="R3254" t="s">
        <v>152</v>
      </c>
      <c r="S3254" t="s">
        <v>145</v>
      </c>
      <c r="U3254">
        <v>0</v>
      </c>
      <c r="V3254" t="s">
        <v>541</v>
      </c>
      <c r="W3254" t="s">
        <v>548</v>
      </c>
      <c r="X3254" s="784">
        <v>39941279.609447442</v>
      </c>
    </row>
    <row r="3255" spans="1:24">
      <c r="A3255" t="s">
        <v>358</v>
      </c>
      <c r="B3255" t="s">
        <v>675</v>
      </c>
      <c r="C3255" t="s">
        <v>155</v>
      </c>
      <c r="D3255" t="s">
        <v>130</v>
      </c>
      <c r="E3255" t="s">
        <v>377</v>
      </c>
      <c r="F3255" t="s">
        <v>384</v>
      </c>
      <c r="G3255" t="s">
        <v>336</v>
      </c>
      <c r="H3255" t="s">
        <v>749</v>
      </c>
      <c r="I3255">
        <v>2021</v>
      </c>
      <c r="J3255" t="s">
        <v>379</v>
      </c>
      <c r="K3255" t="s">
        <v>546</v>
      </c>
      <c r="L3255" s="784">
        <v>0</v>
      </c>
      <c r="M3255" t="s">
        <v>745</v>
      </c>
      <c r="N3255" s="784" t="s">
        <v>575</v>
      </c>
      <c r="O3255" t="s">
        <v>737</v>
      </c>
      <c r="P3255" t="s">
        <v>1887</v>
      </c>
      <c r="R3255" t="s">
        <v>152</v>
      </c>
      <c r="S3255" t="s">
        <v>145</v>
      </c>
      <c r="U3255">
        <v>0</v>
      </c>
      <c r="V3255" t="s">
        <v>541</v>
      </c>
      <c r="W3255" t="s">
        <v>542</v>
      </c>
      <c r="X3255" s="784">
        <v>24761675.260059897</v>
      </c>
    </row>
    <row r="3256" spans="1:24">
      <c r="A3256" t="s">
        <v>358</v>
      </c>
      <c r="B3256" t="s">
        <v>676</v>
      </c>
      <c r="C3256" t="s">
        <v>276</v>
      </c>
      <c r="D3256" t="s">
        <v>131</v>
      </c>
      <c r="E3256" t="s">
        <v>377</v>
      </c>
      <c r="F3256" t="s">
        <v>384</v>
      </c>
      <c r="G3256" t="s">
        <v>336</v>
      </c>
      <c r="H3256" t="s">
        <v>749</v>
      </c>
      <c r="I3256">
        <v>2021</v>
      </c>
      <c r="J3256" t="s">
        <v>379</v>
      </c>
      <c r="K3256" t="s">
        <v>546</v>
      </c>
      <c r="L3256" s="784">
        <v>0</v>
      </c>
      <c r="M3256" t="s">
        <v>745</v>
      </c>
      <c r="N3256" s="784" t="s">
        <v>575</v>
      </c>
      <c r="O3256" t="s">
        <v>737</v>
      </c>
      <c r="P3256" t="s">
        <v>1887</v>
      </c>
      <c r="R3256" t="s">
        <v>150</v>
      </c>
      <c r="S3256" t="s">
        <v>145</v>
      </c>
      <c r="U3256">
        <v>0</v>
      </c>
      <c r="V3256" t="s">
        <v>544</v>
      </c>
      <c r="W3256" t="s">
        <v>546</v>
      </c>
      <c r="X3256" s="784" t="s">
        <v>575</v>
      </c>
    </row>
    <row r="3257" spans="1:24">
      <c r="A3257" t="s">
        <v>358</v>
      </c>
      <c r="B3257" t="s">
        <v>677</v>
      </c>
      <c r="C3257" t="s">
        <v>277</v>
      </c>
      <c r="D3257" t="s">
        <v>131</v>
      </c>
      <c r="E3257" t="s">
        <v>377</v>
      </c>
      <c r="F3257" t="s">
        <v>384</v>
      </c>
      <c r="G3257" t="s">
        <v>336</v>
      </c>
      <c r="H3257" t="s">
        <v>749</v>
      </c>
      <c r="I3257">
        <v>2021</v>
      </c>
      <c r="J3257" t="s">
        <v>379</v>
      </c>
      <c r="K3257" t="s">
        <v>546</v>
      </c>
      <c r="L3257" s="784">
        <v>0</v>
      </c>
      <c r="M3257" t="s">
        <v>745</v>
      </c>
      <c r="N3257" s="784" t="s">
        <v>575</v>
      </c>
      <c r="O3257" t="s">
        <v>737</v>
      </c>
      <c r="P3257" t="s">
        <v>1887</v>
      </c>
      <c r="R3257" t="s">
        <v>148</v>
      </c>
      <c r="S3257" t="s">
        <v>145</v>
      </c>
      <c r="U3257">
        <v>1</v>
      </c>
      <c r="V3257" t="s">
        <v>544</v>
      </c>
      <c r="W3257" t="s">
        <v>546</v>
      </c>
      <c r="X3257" s="784">
        <v>577156172.71229994</v>
      </c>
    </row>
    <row r="3258" spans="1:24">
      <c r="A3258" t="s">
        <v>358</v>
      </c>
      <c r="B3258" t="s">
        <v>678</v>
      </c>
      <c r="C3258" t="s">
        <v>278</v>
      </c>
      <c r="D3258" t="s">
        <v>126</v>
      </c>
      <c r="E3258" t="s">
        <v>377</v>
      </c>
      <c r="F3258" t="s">
        <v>384</v>
      </c>
      <c r="G3258" t="s">
        <v>336</v>
      </c>
      <c r="H3258" t="s">
        <v>749</v>
      </c>
      <c r="I3258">
        <v>2021</v>
      </c>
      <c r="J3258" t="s">
        <v>379</v>
      </c>
      <c r="K3258" t="s">
        <v>546</v>
      </c>
      <c r="L3258" s="784">
        <v>0</v>
      </c>
      <c r="M3258" t="s">
        <v>745</v>
      </c>
      <c r="N3258" s="784" t="s">
        <v>575</v>
      </c>
      <c r="O3258" t="s">
        <v>737</v>
      </c>
      <c r="P3258" t="s">
        <v>1887</v>
      </c>
      <c r="R3258" t="s">
        <v>152</v>
      </c>
      <c r="S3258" t="s">
        <v>146</v>
      </c>
      <c r="U3258">
        <v>0</v>
      </c>
      <c r="V3258" t="s">
        <v>541</v>
      </c>
      <c r="W3258" t="s">
        <v>575</v>
      </c>
      <c r="X3258" s="784">
        <v>180052034.19851837</v>
      </c>
    </row>
    <row r="3259" spans="1:24">
      <c r="A3259" t="s">
        <v>358</v>
      </c>
      <c r="B3259" t="s">
        <v>679</v>
      </c>
      <c r="C3259" t="s">
        <v>279</v>
      </c>
      <c r="D3259" t="s">
        <v>131</v>
      </c>
      <c r="E3259" t="s">
        <v>377</v>
      </c>
      <c r="F3259" t="s">
        <v>384</v>
      </c>
      <c r="G3259" t="s">
        <v>336</v>
      </c>
      <c r="H3259" t="s">
        <v>749</v>
      </c>
      <c r="I3259">
        <v>2021</v>
      </c>
      <c r="J3259" t="s">
        <v>379</v>
      </c>
      <c r="K3259" t="s">
        <v>546</v>
      </c>
      <c r="L3259" s="784">
        <v>0</v>
      </c>
      <c r="M3259" t="s">
        <v>745</v>
      </c>
      <c r="N3259" s="784" t="s">
        <v>575</v>
      </c>
      <c r="O3259" t="s">
        <v>737</v>
      </c>
      <c r="P3259" t="s">
        <v>1887</v>
      </c>
      <c r="R3259" t="s">
        <v>148</v>
      </c>
      <c r="S3259" t="s">
        <v>145</v>
      </c>
      <c r="U3259">
        <v>1</v>
      </c>
      <c r="V3259" t="s">
        <v>544</v>
      </c>
      <c r="W3259" t="s">
        <v>546</v>
      </c>
      <c r="X3259" s="784" t="s">
        <v>575</v>
      </c>
    </row>
    <row r="3260" spans="1:24">
      <c r="A3260" t="s">
        <v>358</v>
      </c>
      <c r="B3260" t="s">
        <v>680</v>
      </c>
      <c r="C3260" t="s">
        <v>280</v>
      </c>
      <c r="D3260" t="s">
        <v>127</v>
      </c>
      <c r="E3260" t="s">
        <v>377</v>
      </c>
      <c r="F3260" t="s">
        <v>384</v>
      </c>
      <c r="G3260" t="s">
        <v>336</v>
      </c>
      <c r="H3260" t="s">
        <v>749</v>
      </c>
      <c r="I3260">
        <v>2021</v>
      </c>
      <c r="J3260" t="s">
        <v>379</v>
      </c>
      <c r="K3260" t="s">
        <v>546</v>
      </c>
      <c r="L3260" s="784">
        <v>0</v>
      </c>
      <c r="M3260" t="s">
        <v>745</v>
      </c>
      <c r="N3260" s="784" t="s">
        <v>575</v>
      </c>
      <c r="O3260" t="s">
        <v>737</v>
      </c>
      <c r="P3260" t="s">
        <v>1887</v>
      </c>
      <c r="R3260" t="s">
        <v>150</v>
      </c>
      <c r="S3260" t="s">
        <v>145</v>
      </c>
      <c r="U3260">
        <v>0</v>
      </c>
      <c r="V3260" t="s">
        <v>544</v>
      </c>
      <c r="W3260" t="s">
        <v>542</v>
      </c>
      <c r="X3260" s="784">
        <v>147296124.32232863</v>
      </c>
    </row>
    <row r="3261" spans="1:24">
      <c r="A3261" t="s">
        <v>358</v>
      </c>
      <c r="B3261" t="s">
        <v>681</v>
      </c>
      <c r="C3261" t="s">
        <v>156</v>
      </c>
      <c r="D3261" t="s">
        <v>128</v>
      </c>
      <c r="E3261" t="s">
        <v>377</v>
      </c>
      <c r="F3261" t="s">
        <v>384</v>
      </c>
      <c r="G3261" t="s">
        <v>336</v>
      </c>
      <c r="H3261" t="s">
        <v>749</v>
      </c>
      <c r="I3261">
        <v>2021</v>
      </c>
      <c r="J3261" t="s">
        <v>379</v>
      </c>
      <c r="K3261" t="s">
        <v>546</v>
      </c>
      <c r="L3261" s="784">
        <v>0</v>
      </c>
      <c r="M3261" t="s">
        <v>745</v>
      </c>
      <c r="N3261" s="784" t="s">
        <v>575</v>
      </c>
      <c r="O3261" t="s">
        <v>737</v>
      </c>
      <c r="P3261" t="s">
        <v>1887</v>
      </c>
      <c r="R3261" t="s">
        <v>150</v>
      </c>
      <c r="S3261" t="s">
        <v>145</v>
      </c>
      <c r="U3261">
        <v>0</v>
      </c>
      <c r="V3261" t="s">
        <v>544</v>
      </c>
      <c r="W3261" t="s">
        <v>548</v>
      </c>
      <c r="X3261" s="784">
        <v>890576536.83065879</v>
      </c>
    </row>
    <row r="3262" spans="1:24">
      <c r="A3262" t="s">
        <v>358</v>
      </c>
      <c r="B3262" t="s">
        <v>682</v>
      </c>
      <c r="C3262" t="s">
        <v>157</v>
      </c>
      <c r="D3262" t="s">
        <v>126</v>
      </c>
      <c r="E3262" t="s">
        <v>377</v>
      </c>
      <c r="F3262" t="s">
        <v>384</v>
      </c>
      <c r="G3262" t="s">
        <v>336</v>
      </c>
      <c r="H3262" t="s">
        <v>749</v>
      </c>
      <c r="I3262">
        <v>2021</v>
      </c>
      <c r="J3262" t="s">
        <v>379</v>
      </c>
      <c r="K3262" t="s">
        <v>546</v>
      </c>
      <c r="L3262" s="784">
        <v>0</v>
      </c>
      <c r="M3262" t="s">
        <v>745</v>
      </c>
      <c r="N3262" s="784" t="s">
        <v>575</v>
      </c>
      <c r="O3262" t="s">
        <v>737</v>
      </c>
      <c r="P3262" t="s">
        <v>1887</v>
      </c>
      <c r="R3262" t="s">
        <v>152</v>
      </c>
      <c r="S3262" t="s">
        <v>146</v>
      </c>
      <c r="U3262">
        <v>0</v>
      </c>
      <c r="V3262" t="s">
        <v>544</v>
      </c>
      <c r="W3262" t="s">
        <v>575</v>
      </c>
      <c r="X3262" s="784">
        <v>14611129792.346064</v>
      </c>
    </row>
    <row r="3263" spans="1:24">
      <c r="A3263" t="s">
        <v>358</v>
      </c>
      <c r="B3263" t="s">
        <v>683</v>
      </c>
      <c r="C3263" t="s">
        <v>281</v>
      </c>
      <c r="D3263" t="s">
        <v>126</v>
      </c>
      <c r="E3263" t="s">
        <v>377</v>
      </c>
      <c r="F3263" t="s">
        <v>384</v>
      </c>
      <c r="G3263" t="s">
        <v>336</v>
      </c>
      <c r="H3263" t="s">
        <v>749</v>
      </c>
      <c r="I3263">
        <v>2021</v>
      </c>
      <c r="J3263" t="s">
        <v>379</v>
      </c>
      <c r="K3263" t="s">
        <v>546</v>
      </c>
      <c r="L3263" s="784">
        <v>0</v>
      </c>
      <c r="M3263" t="s">
        <v>745</v>
      </c>
      <c r="N3263" s="784" t="s">
        <v>575</v>
      </c>
      <c r="O3263" t="s">
        <v>737</v>
      </c>
      <c r="P3263" t="s">
        <v>1887</v>
      </c>
      <c r="R3263" t="s">
        <v>150</v>
      </c>
      <c r="S3263" t="s">
        <v>145</v>
      </c>
      <c r="U3263">
        <v>0</v>
      </c>
      <c r="V3263" t="s">
        <v>541</v>
      </c>
      <c r="W3263" t="s">
        <v>558</v>
      </c>
      <c r="X3263" s="784">
        <v>72046877.233008593</v>
      </c>
    </row>
    <row r="3264" spans="1:24">
      <c r="A3264" t="s">
        <v>358</v>
      </c>
      <c r="B3264" t="s">
        <v>684</v>
      </c>
      <c r="C3264" t="s">
        <v>282</v>
      </c>
      <c r="D3264" t="s">
        <v>129</v>
      </c>
      <c r="E3264" t="s">
        <v>377</v>
      </c>
      <c r="F3264" t="s">
        <v>384</v>
      </c>
      <c r="G3264" t="s">
        <v>336</v>
      </c>
      <c r="H3264" t="s">
        <v>749</v>
      </c>
      <c r="I3264">
        <v>2021</v>
      </c>
      <c r="J3264" t="s">
        <v>379</v>
      </c>
      <c r="K3264" t="s">
        <v>546</v>
      </c>
      <c r="L3264" s="784">
        <v>0</v>
      </c>
      <c r="M3264" t="s">
        <v>745</v>
      </c>
      <c r="N3264" s="784" t="s">
        <v>575</v>
      </c>
      <c r="O3264" t="s">
        <v>737</v>
      </c>
      <c r="P3264" t="s">
        <v>1887</v>
      </c>
      <c r="R3264" t="s">
        <v>148</v>
      </c>
      <c r="S3264" t="s">
        <v>145</v>
      </c>
      <c r="U3264">
        <v>0</v>
      </c>
      <c r="V3264" t="s">
        <v>544</v>
      </c>
      <c r="W3264" t="s">
        <v>542</v>
      </c>
      <c r="X3264" s="784">
        <v>56248139.267255567</v>
      </c>
    </row>
    <row r="3265" spans="1:24">
      <c r="A3265" t="s">
        <v>358</v>
      </c>
      <c r="B3265" t="s">
        <v>685</v>
      </c>
      <c r="C3265" t="s">
        <v>283</v>
      </c>
      <c r="D3265" t="s">
        <v>126</v>
      </c>
      <c r="E3265" t="s">
        <v>377</v>
      </c>
      <c r="F3265" t="s">
        <v>384</v>
      </c>
      <c r="G3265" t="s">
        <v>336</v>
      </c>
      <c r="H3265" t="s">
        <v>749</v>
      </c>
      <c r="I3265">
        <v>2021</v>
      </c>
      <c r="J3265" t="s">
        <v>379</v>
      </c>
      <c r="K3265" t="s">
        <v>546</v>
      </c>
      <c r="L3265" s="784">
        <v>0</v>
      </c>
      <c r="M3265" t="s">
        <v>745</v>
      </c>
      <c r="N3265" s="784" t="s">
        <v>575</v>
      </c>
      <c r="O3265" t="s">
        <v>737</v>
      </c>
      <c r="P3265" t="s">
        <v>1887</v>
      </c>
      <c r="R3265" t="s">
        <v>152</v>
      </c>
      <c r="S3265" t="s">
        <v>145</v>
      </c>
      <c r="U3265">
        <v>0</v>
      </c>
      <c r="V3265" t="s">
        <v>541</v>
      </c>
      <c r="W3265" t="s">
        <v>542</v>
      </c>
      <c r="X3265" s="784">
        <v>15464031.712942109</v>
      </c>
    </row>
    <row r="3266" spans="1:24">
      <c r="A3266" t="s">
        <v>358</v>
      </c>
      <c r="B3266" t="s">
        <v>686</v>
      </c>
      <c r="C3266" t="s">
        <v>284</v>
      </c>
      <c r="D3266" t="s">
        <v>130</v>
      </c>
      <c r="E3266" t="s">
        <v>377</v>
      </c>
      <c r="F3266" t="s">
        <v>384</v>
      </c>
      <c r="G3266" t="s">
        <v>336</v>
      </c>
      <c r="H3266" t="s">
        <v>749</v>
      </c>
      <c r="I3266">
        <v>2021</v>
      </c>
      <c r="J3266" t="s">
        <v>379</v>
      </c>
      <c r="K3266" t="s">
        <v>546</v>
      </c>
      <c r="L3266" s="784">
        <v>0</v>
      </c>
      <c r="M3266" t="s">
        <v>745</v>
      </c>
      <c r="N3266" s="784" t="s">
        <v>575</v>
      </c>
      <c r="O3266" t="s">
        <v>737</v>
      </c>
      <c r="P3266" t="s">
        <v>1887</v>
      </c>
      <c r="R3266" t="s">
        <v>550</v>
      </c>
      <c r="S3266" t="s">
        <v>146</v>
      </c>
      <c r="U3266">
        <v>0</v>
      </c>
      <c r="V3266" t="s">
        <v>541</v>
      </c>
      <c r="W3266" t="s">
        <v>546</v>
      </c>
      <c r="X3266" s="784">
        <v>769564399.33249676</v>
      </c>
    </row>
    <row r="3267" spans="1:24">
      <c r="A3267" t="s">
        <v>358</v>
      </c>
      <c r="B3267" t="s">
        <v>687</v>
      </c>
      <c r="C3267" t="s">
        <v>285</v>
      </c>
      <c r="D3267" t="s">
        <v>131</v>
      </c>
      <c r="E3267" t="s">
        <v>377</v>
      </c>
      <c r="F3267" t="s">
        <v>384</v>
      </c>
      <c r="G3267" t="s">
        <v>336</v>
      </c>
      <c r="H3267" t="s">
        <v>749</v>
      </c>
      <c r="I3267">
        <v>2021</v>
      </c>
      <c r="J3267" t="s">
        <v>379</v>
      </c>
      <c r="K3267" t="s">
        <v>546</v>
      </c>
      <c r="L3267" s="784">
        <v>0</v>
      </c>
      <c r="M3267" t="s">
        <v>745</v>
      </c>
      <c r="N3267" s="784" t="s">
        <v>575</v>
      </c>
      <c r="O3267" t="s">
        <v>737</v>
      </c>
      <c r="P3267" t="s">
        <v>1887</v>
      </c>
      <c r="R3267" t="s">
        <v>150</v>
      </c>
      <c r="S3267" t="s">
        <v>145</v>
      </c>
      <c r="U3267">
        <v>0</v>
      </c>
      <c r="V3267" t="s">
        <v>544</v>
      </c>
      <c r="W3267" t="s">
        <v>546</v>
      </c>
      <c r="X3267" s="784">
        <v>1668954539.7630196</v>
      </c>
    </row>
    <row r="3268" spans="1:24">
      <c r="A3268" t="s">
        <v>358</v>
      </c>
      <c r="B3268" t="s">
        <v>688</v>
      </c>
      <c r="C3268" t="s">
        <v>286</v>
      </c>
      <c r="D3268" t="s">
        <v>127</v>
      </c>
      <c r="E3268" t="s">
        <v>377</v>
      </c>
      <c r="F3268" t="s">
        <v>384</v>
      </c>
      <c r="G3268" t="s">
        <v>336</v>
      </c>
      <c r="H3268" t="s">
        <v>749</v>
      </c>
      <c r="I3268">
        <v>2021</v>
      </c>
      <c r="J3268" t="s">
        <v>379</v>
      </c>
      <c r="K3268" t="s">
        <v>546</v>
      </c>
      <c r="L3268" s="784">
        <v>0</v>
      </c>
      <c r="M3268" t="s">
        <v>745</v>
      </c>
      <c r="N3268" s="784" t="s">
        <v>575</v>
      </c>
      <c r="O3268" t="s">
        <v>737</v>
      </c>
      <c r="P3268" t="s">
        <v>1887</v>
      </c>
      <c r="R3268" t="s">
        <v>152</v>
      </c>
      <c r="S3268" t="s">
        <v>146</v>
      </c>
      <c r="U3268">
        <v>0</v>
      </c>
      <c r="V3268" t="s">
        <v>544</v>
      </c>
      <c r="W3268" t="s">
        <v>575</v>
      </c>
      <c r="X3268" s="784">
        <v>24840920016.18832</v>
      </c>
    </row>
    <row r="3269" spans="1:24">
      <c r="A3269" t="s">
        <v>358</v>
      </c>
      <c r="B3269" t="s">
        <v>689</v>
      </c>
      <c r="C3269" t="s">
        <v>287</v>
      </c>
      <c r="D3269" t="s">
        <v>127</v>
      </c>
      <c r="E3269" t="s">
        <v>377</v>
      </c>
      <c r="F3269" t="s">
        <v>384</v>
      </c>
      <c r="G3269" t="s">
        <v>336</v>
      </c>
      <c r="H3269" t="s">
        <v>749</v>
      </c>
      <c r="I3269">
        <v>2021</v>
      </c>
      <c r="J3269" t="s">
        <v>379</v>
      </c>
      <c r="K3269" t="s">
        <v>546</v>
      </c>
      <c r="L3269" s="784">
        <v>0</v>
      </c>
      <c r="M3269" t="s">
        <v>745</v>
      </c>
      <c r="N3269" s="784" t="s">
        <v>575</v>
      </c>
      <c r="O3269" t="s">
        <v>737</v>
      </c>
      <c r="P3269" t="s">
        <v>1887</v>
      </c>
      <c r="R3269" t="s">
        <v>152</v>
      </c>
      <c r="S3269" t="s">
        <v>146</v>
      </c>
      <c r="U3269">
        <v>0</v>
      </c>
      <c r="V3269" t="s">
        <v>544</v>
      </c>
      <c r="W3269" t="s">
        <v>546</v>
      </c>
      <c r="X3269" s="784">
        <v>487888462.83720118</v>
      </c>
    </row>
    <row r="3270" spans="1:24">
      <c r="A3270" t="s">
        <v>358</v>
      </c>
      <c r="B3270" t="s">
        <v>690</v>
      </c>
      <c r="C3270" t="s">
        <v>288</v>
      </c>
      <c r="D3270" t="s">
        <v>126</v>
      </c>
      <c r="E3270" t="s">
        <v>377</v>
      </c>
      <c r="F3270" t="s">
        <v>384</v>
      </c>
      <c r="G3270" t="s">
        <v>336</v>
      </c>
      <c r="H3270" t="s">
        <v>749</v>
      </c>
      <c r="I3270">
        <v>2021</v>
      </c>
      <c r="J3270" t="s">
        <v>379</v>
      </c>
      <c r="K3270" t="s">
        <v>546</v>
      </c>
      <c r="L3270" s="784">
        <v>0</v>
      </c>
      <c r="M3270" t="s">
        <v>745</v>
      </c>
      <c r="N3270" s="784" t="s">
        <v>575</v>
      </c>
      <c r="O3270" t="s">
        <v>737</v>
      </c>
      <c r="P3270" t="s">
        <v>1887</v>
      </c>
      <c r="R3270" t="s">
        <v>152</v>
      </c>
      <c r="S3270" t="s">
        <v>145</v>
      </c>
      <c r="U3270">
        <v>0</v>
      </c>
      <c r="V3270" t="s">
        <v>541</v>
      </c>
      <c r="W3270" t="s">
        <v>548</v>
      </c>
      <c r="X3270" s="784">
        <v>6365061.1736073596</v>
      </c>
    </row>
    <row r="3271" spans="1:24">
      <c r="A3271" t="s">
        <v>358</v>
      </c>
      <c r="B3271" t="s">
        <v>691</v>
      </c>
      <c r="C3271" t="s">
        <v>289</v>
      </c>
      <c r="D3271" t="s">
        <v>128</v>
      </c>
      <c r="E3271" t="s">
        <v>377</v>
      </c>
      <c r="F3271" t="s">
        <v>384</v>
      </c>
      <c r="G3271" t="s">
        <v>336</v>
      </c>
      <c r="H3271" t="s">
        <v>749</v>
      </c>
      <c r="I3271">
        <v>2021</v>
      </c>
      <c r="J3271" t="s">
        <v>379</v>
      </c>
      <c r="K3271" t="s">
        <v>546</v>
      </c>
      <c r="L3271" s="784">
        <v>0</v>
      </c>
      <c r="M3271" t="s">
        <v>745</v>
      </c>
      <c r="N3271" s="784" t="s">
        <v>575</v>
      </c>
      <c r="O3271" t="s">
        <v>737</v>
      </c>
      <c r="P3271" t="s">
        <v>1887</v>
      </c>
      <c r="R3271" t="s">
        <v>148</v>
      </c>
      <c r="S3271" t="s">
        <v>145</v>
      </c>
      <c r="U3271">
        <v>2</v>
      </c>
      <c r="V3271" t="s">
        <v>544</v>
      </c>
      <c r="W3271" t="s">
        <v>558</v>
      </c>
      <c r="X3271" s="784">
        <v>291799092.90196139</v>
      </c>
    </row>
    <row r="3272" spans="1:24">
      <c r="A3272" t="s">
        <v>358</v>
      </c>
      <c r="B3272" t="s">
        <v>692</v>
      </c>
      <c r="C3272" t="s">
        <v>290</v>
      </c>
      <c r="D3272" t="s">
        <v>127</v>
      </c>
      <c r="E3272" t="s">
        <v>377</v>
      </c>
      <c r="F3272" t="s">
        <v>384</v>
      </c>
      <c r="G3272" t="s">
        <v>336</v>
      </c>
      <c r="H3272" t="s">
        <v>749</v>
      </c>
      <c r="I3272">
        <v>2021</v>
      </c>
      <c r="J3272" t="s">
        <v>379</v>
      </c>
      <c r="K3272" t="s">
        <v>546</v>
      </c>
      <c r="L3272" s="784">
        <v>0</v>
      </c>
      <c r="M3272" t="s">
        <v>745</v>
      </c>
      <c r="N3272" s="784" t="s">
        <v>575</v>
      </c>
      <c r="O3272" t="s">
        <v>737</v>
      </c>
      <c r="P3272" t="s">
        <v>1887</v>
      </c>
      <c r="R3272" t="s">
        <v>150</v>
      </c>
      <c r="S3272" t="s">
        <v>145</v>
      </c>
      <c r="U3272">
        <v>0</v>
      </c>
      <c r="V3272" t="s">
        <v>544</v>
      </c>
      <c r="W3272" t="s">
        <v>546</v>
      </c>
      <c r="X3272" s="784">
        <v>4844815340.2135534</v>
      </c>
    </row>
    <row r="3273" spans="1:24">
      <c r="A3273" t="s">
        <v>358</v>
      </c>
      <c r="B3273" t="s">
        <v>693</v>
      </c>
      <c r="C3273" t="s">
        <v>291</v>
      </c>
      <c r="D3273" t="s">
        <v>130</v>
      </c>
      <c r="E3273" t="s">
        <v>377</v>
      </c>
      <c r="F3273" t="s">
        <v>384</v>
      </c>
      <c r="G3273" t="s">
        <v>336</v>
      </c>
      <c r="H3273" t="s">
        <v>749</v>
      </c>
      <c r="I3273">
        <v>2021</v>
      </c>
      <c r="J3273" t="s">
        <v>379</v>
      </c>
      <c r="K3273" t="s">
        <v>546</v>
      </c>
      <c r="L3273" s="784">
        <v>0</v>
      </c>
      <c r="M3273" t="s">
        <v>745</v>
      </c>
      <c r="N3273" s="784" t="s">
        <v>575</v>
      </c>
      <c r="O3273" t="s">
        <v>737</v>
      </c>
      <c r="P3273" t="s">
        <v>1887</v>
      </c>
      <c r="R3273" t="s">
        <v>550</v>
      </c>
      <c r="S3273" t="s">
        <v>146</v>
      </c>
      <c r="U3273">
        <v>0</v>
      </c>
      <c r="V3273" t="s">
        <v>544</v>
      </c>
      <c r="W3273" t="s">
        <v>575</v>
      </c>
      <c r="X3273" s="784">
        <v>4001891446.6871672</v>
      </c>
    </row>
    <row r="3274" spans="1:24">
      <c r="A3274" t="s">
        <v>358</v>
      </c>
      <c r="B3274" t="s">
        <v>694</v>
      </c>
      <c r="C3274" t="s">
        <v>292</v>
      </c>
      <c r="D3274" t="s">
        <v>127</v>
      </c>
      <c r="E3274" t="s">
        <v>377</v>
      </c>
      <c r="F3274" t="s">
        <v>384</v>
      </c>
      <c r="G3274" t="s">
        <v>336</v>
      </c>
      <c r="H3274" t="s">
        <v>749</v>
      </c>
      <c r="I3274">
        <v>2021</v>
      </c>
      <c r="J3274" t="s">
        <v>379</v>
      </c>
      <c r="K3274" t="s">
        <v>546</v>
      </c>
      <c r="L3274" s="784">
        <v>0</v>
      </c>
      <c r="M3274" t="s">
        <v>745</v>
      </c>
      <c r="N3274" s="784" t="s">
        <v>575</v>
      </c>
      <c r="O3274" t="s">
        <v>737</v>
      </c>
      <c r="P3274" t="s">
        <v>1887</v>
      </c>
      <c r="R3274" t="s">
        <v>150</v>
      </c>
      <c r="S3274" t="s">
        <v>145</v>
      </c>
      <c r="U3274">
        <v>0</v>
      </c>
      <c r="V3274" t="s">
        <v>544</v>
      </c>
      <c r="W3274" t="s">
        <v>558</v>
      </c>
      <c r="X3274" s="784">
        <v>1019800630.5853213</v>
      </c>
    </row>
    <row r="3275" spans="1:24">
      <c r="A3275" t="s">
        <v>358</v>
      </c>
      <c r="B3275" t="s">
        <v>695</v>
      </c>
      <c r="C3275" t="s">
        <v>293</v>
      </c>
      <c r="D3275" t="s">
        <v>126</v>
      </c>
      <c r="E3275" t="s">
        <v>377</v>
      </c>
      <c r="F3275" t="s">
        <v>384</v>
      </c>
      <c r="G3275" t="s">
        <v>336</v>
      </c>
      <c r="H3275" t="s">
        <v>749</v>
      </c>
      <c r="I3275">
        <v>2021</v>
      </c>
      <c r="J3275" t="s">
        <v>379</v>
      </c>
      <c r="K3275" t="s">
        <v>546</v>
      </c>
      <c r="L3275" s="784">
        <v>0</v>
      </c>
      <c r="M3275" t="s">
        <v>745</v>
      </c>
      <c r="N3275" s="784" t="s">
        <v>575</v>
      </c>
      <c r="O3275" t="s">
        <v>737</v>
      </c>
      <c r="P3275" t="s">
        <v>1887</v>
      </c>
      <c r="R3275" t="s">
        <v>150</v>
      </c>
      <c r="S3275" t="s">
        <v>145</v>
      </c>
      <c r="U3275">
        <v>0</v>
      </c>
      <c r="V3275" t="s">
        <v>541</v>
      </c>
      <c r="W3275" t="s">
        <v>562</v>
      </c>
      <c r="X3275" s="784">
        <v>19578671.310841195</v>
      </c>
    </row>
    <row r="3276" spans="1:24">
      <c r="A3276" t="s">
        <v>358</v>
      </c>
      <c r="B3276" t="s">
        <v>696</v>
      </c>
      <c r="C3276" t="s">
        <v>294</v>
      </c>
      <c r="D3276" t="s">
        <v>130</v>
      </c>
      <c r="E3276" t="s">
        <v>377</v>
      </c>
      <c r="F3276" t="s">
        <v>384</v>
      </c>
      <c r="G3276" t="s">
        <v>336</v>
      </c>
      <c r="H3276" t="s">
        <v>749</v>
      </c>
      <c r="I3276">
        <v>2021</v>
      </c>
      <c r="J3276" t="s">
        <v>379</v>
      </c>
      <c r="K3276" t="s">
        <v>546</v>
      </c>
      <c r="L3276" s="784">
        <v>0</v>
      </c>
      <c r="M3276" t="s">
        <v>745</v>
      </c>
      <c r="N3276" s="784" t="s">
        <v>575</v>
      </c>
      <c r="O3276" t="s">
        <v>737</v>
      </c>
      <c r="P3276" t="s">
        <v>1887</v>
      </c>
      <c r="R3276" t="s">
        <v>322</v>
      </c>
      <c r="S3276" t="s">
        <v>146</v>
      </c>
      <c r="U3276">
        <v>0</v>
      </c>
      <c r="V3276" t="s">
        <v>544</v>
      </c>
      <c r="W3276" t="s">
        <v>546</v>
      </c>
      <c r="X3276" s="784">
        <v>3551452001.0684834</v>
      </c>
    </row>
    <row r="3277" spans="1:24">
      <c r="A3277" t="s">
        <v>358</v>
      </c>
      <c r="B3277" t="s">
        <v>697</v>
      </c>
      <c r="C3277" t="s">
        <v>295</v>
      </c>
      <c r="D3277" t="s">
        <v>126</v>
      </c>
      <c r="E3277" t="s">
        <v>377</v>
      </c>
      <c r="F3277" t="s">
        <v>384</v>
      </c>
      <c r="G3277" t="s">
        <v>336</v>
      </c>
      <c r="H3277" t="s">
        <v>749</v>
      </c>
      <c r="I3277">
        <v>2021</v>
      </c>
      <c r="J3277" t="s">
        <v>379</v>
      </c>
      <c r="K3277" t="s">
        <v>546</v>
      </c>
      <c r="L3277" s="784">
        <v>0</v>
      </c>
      <c r="M3277" t="s">
        <v>745</v>
      </c>
      <c r="N3277" s="784" t="s">
        <v>575</v>
      </c>
      <c r="O3277" t="s">
        <v>737</v>
      </c>
      <c r="P3277" t="s">
        <v>1887</v>
      </c>
      <c r="R3277" t="s">
        <v>150</v>
      </c>
      <c r="S3277" t="s">
        <v>145</v>
      </c>
      <c r="U3277">
        <v>0</v>
      </c>
      <c r="V3277" t="s">
        <v>544</v>
      </c>
      <c r="W3277" t="s">
        <v>546</v>
      </c>
      <c r="X3277" s="784">
        <v>6603048821.7575006</v>
      </c>
    </row>
    <row r="3278" spans="1:24">
      <c r="A3278" t="s">
        <v>358</v>
      </c>
      <c r="B3278" t="s">
        <v>698</v>
      </c>
      <c r="C3278" t="s">
        <v>296</v>
      </c>
      <c r="D3278" t="s">
        <v>131</v>
      </c>
      <c r="E3278" t="s">
        <v>377</v>
      </c>
      <c r="F3278" t="s">
        <v>384</v>
      </c>
      <c r="G3278" t="s">
        <v>336</v>
      </c>
      <c r="H3278" t="s">
        <v>749</v>
      </c>
      <c r="I3278">
        <v>2021</v>
      </c>
      <c r="J3278" t="s">
        <v>379</v>
      </c>
      <c r="K3278" t="s">
        <v>546</v>
      </c>
      <c r="L3278" s="784">
        <v>0</v>
      </c>
      <c r="M3278" t="s">
        <v>745</v>
      </c>
      <c r="N3278" s="784" t="s">
        <v>575</v>
      </c>
      <c r="O3278" t="s">
        <v>737</v>
      </c>
      <c r="P3278" t="s">
        <v>1887</v>
      </c>
      <c r="R3278" t="s">
        <v>148</v>
      </c>
      <c r="S3278" t="s">
        <v>145</v>
      </c>
      <c r="U3278">
        <v>1</v>
      </c>
      <c r="V3278" t="s">
        <v>544</v>
      </c>
      <c r="W3278" t="s">
        <v>548</v>
      </c>
      <c r="X3278" s="784" t="s">
        <v>575</v>
      </c>
    </row>
    <row r="3279" spans="1:24">
      <c r="A3279" t="s">
        <v>358</v>
      </c>
      <c r="B3279" t="s">
        <v>699</v>
      </c>
      <c r="C3279" t="s">
        <v>297</v>
      </c>
      <c r="D3279" t="s">
        <v>128</v>
      </c>
      <c r="E3279" t="s">
        <v>377</v>
      </c>
      <c r="F3279" t="s">
        <v>384</v>
      </c>
      <c r="G3279" t="s">
        <v>336</v>
      </c>
      <c r="H3279" t="s">
        <v>749</v>
      </c>
      <c r="I3279">
        <v>2021</v>
      </c>
      <c r="J3279" t="s">
        <v>379</v>
      </c>
      <c r="K3279" t="s">
        <v>546</v>
      </c>
      <c r="L3279" s="784">
        <v>0</v>
      </c>
      <c r="M3279" t="s">
        <v>745</v>
      </c>
      <c r="N3279" s="784" t="s">
        <v>575</v>
      </c>
      <c r="O3279" t="s">
        <v>737</v>
      </c>
      <c r="P3279" t="s">
        <v>1887</v>
      </c>
      <c r="R3279" t="s">
        <v>150</v>
      </c>
      <c r="S3279" t="s">
        <v>145</v>
      </c>
      <c r="U3279">
        <v>0</v>
      </c>
      <c r="V3279" t="s">
        <v>544</v>
      </c>
      <c r="W3279" t="s">
        <v>542</v>
      </c>
      <c r="X3279" s="784">
        <v>515352723.9821828</v>
      </c>
    </row>
    <row r="3280" spans="1:24">
      <c r="A3280" t="s">
        <v>358</v>
      </c>
      <c r="B3280" t="s">
        <v>700</v>
      </c>
      <c r="C3280" t="s">
        <v>298</v>
      </c>
      <c r="D3280" t="s">
        <v>128</v>
      </c>
      <c r="E3280" t="s">
        <v>377</v>
      </c>
      <c r="F3280" t="s">
        <v>384</v>
      </c>
      <c r="G3280" t="s">
        <v>336</v>
      </c>
      <c r="H3280" t="s">
        <v>749</v>
      </c>
      <c r="I3280">
        <v>2021</v>
      </c>
      <c r="J3280" t="s">
        <v>379</v>
      </c>
      <c r="K3280" t="s">
        <v>546</v>
      </c>
      <c r="L3280" s="784">
        <v>0</v>
      </c>
      <c r="M3280" t="s">
        <v>745</v>
      </c>
      <c r="N3280" s="784" t="s">
        <v>575</v>
      </c>
      <c r="O3280" t="s">
        <v>737</v>
      </c>
      <c r="P3280" t="s">
        <v>1887</v>
      </c>
      <c r="R3280" t="s">
        <v>150</v>
      </c>
      <c r="S3280" t="s">
        <v>145</v>
      </c>
      <c r="U3280">
        <v>0</v>
      </c>
      <c r="V3280" t="s">
        <v>544</v>
      </c>
      <c r="W3280" t="s">
        <v>546</v>
      </c>
      <c r="X3280" s="784">
        <v>566711742.22428358</v>
      </c>
    </row>
    <row r="3281" spans="1:24">
      <c r="A3281" t="s">
        <v>358</v>
      </c>
      <c r="B3281" t="s">
        <v>540</v>
      </c>
      <c r="C3281" t="s">
        <v>160</v>
      </c>
      <c r="D3281" t="s">
        <v>132</v>
      </c>
      <c r="E3281" t="s">
        <v>377</v>
      </c>
      <c r="F3281" t="s">
        <v>385</v>
      </c>
      <c r="G3281" t="s">
        <v>346</v>
      </c>
      <c r="H3281" t="s">
        <v>749</v>
      </c>
      <c r="I3281" t="s">
        <v>743</v>
      </c>
      <c r="J3281" t="s">
        <v>379</v>
      </c>
      <c r="K3281" t="s">
        <v>546</v>
      </c>
      <c r="L3281" s="784">
        <v>0</v>
      </c>
      <c r="M3281" t="s">
        <v>745</v>
      </c>
      <c r="N3281" s="784" t="s">
        <v>575</v>
      </c>
      <c r="O3281" t="s">
        <v>737</v>
      </c>
      <c r="P3281" t="s">
        <v>1887</v>
      </c>
      <c r="R3281" t="s">
        <v>148</v>
      </c>
      <c r="S3281" t="s">
        <v>145</v>
      </c>
      <c r="U3281">
        <v>1</v>
      </c>
      <c r="V3281" t="s">
        <v>544</v>
      </c>
      <c r="W3281" t="s">
        <v>542</v>
      </c>
      <c r="X3281" s="784">
        <v>95829480.719269618</v>
      </c>
    </row>
    <row r="3282" spans="1:24">
      <c r="A3282" t="s">
        <v>358</v>
      </c>
      <c r="B3282" t="s">
        <v>543</v>
      </c>
      <c r="C3282" t="s">
        <v>161</v>
      </c>
      <c r="D3282" t="s">
        <v>127</v>
      </c>
      <c r="E3282" t="s">
        <v>377</v>
      </c>
      <c r="F3282" t="s">
        <v>385</v>
      </c>
      <c r="G3282" t="s">
        <v>346</v>
      </c>
      <c r="H3282" t="s">
        <v>749</v>
      </c>
      <c r="I3282" t="s">
        <v>743</v>
      </c>
      <c r="J3282" t="s">
        <v>379</v>
      </c>
      <c r="K3282" t="s">
        <v>546</v>
      </c>
      <c r="L3282" s="784">
        <v>0</v>
      </c>
      <c r="M3282" t="s">
        <v>745</v>
      </c>
      <c r="N3282" s="784" t="s">
        <v>575</v>
      </c>
      <c r="O3282" t="s">
        <v>737</v>
      </c>
      <c r="P3282" t="s">
        <v>1887</v>
      </c>
      <c r="R3282" t="s">
        <v>152</v>
      </c>
      <c r="S3282" t="s">
        <v>146</v>
      </c>
      <c r="U3282">
        <v>0</v>
      </c>
      <c r="V3282" t="s">
        <v>544</v>
      </c>
      <c r="W3282" t="s">
        <v>575</v>
      </c>
      <c r="X3282" s="784">
        <v>427904035.52443534</v>
      </c>
    </row>
    <row r="3283" spans="1:24">
      <c r="A3283" t="s">
        <v>358</v>
      </c>
      <c r="B3283" t="s">
        <v>545</v>
      </c>
      <c r="C3283" t="s">
        <v>143</v>
      </c>
      <c r="D3283" t="s">
        <v>131</v>
      </c>
      <c r="E3283" t="s">
        <v>377</v>
      </c>
      <c r="F3283" t="s">
        <v>385</v>
      </c>
      <c r="G3283" t="s">
        <v>346</v>
      </c>
      <c r="H3283" t="s">
        <v>749</v>
      </c>
      <c r="I3283" t="s">
        <v>743</v>
      </c>
      <c r="J3283" t="s">
        <v>379</v>
      </c>
      <c r="K3283" t="s">
        <v>546</v>
      </c>
      <c r="L3283" s="784">
        <v>0</v>
      </c>
      <c r="M3283" t="s">
        <v>745</v>
      </c>
      <c r="N3283" s="784" t="s">
        <v>575</v>
      </c>
      <c r="O3283" t="s">
        <v>737</v>
      </c>
      <c r="P3283" t="s">
        <v>1887</v>
      </c>
      <c r="R3283" t="s">
        <v>150</v>
      </c>
      <c r="S3283" t="s">
        <v>145</v>
      </c>
      <c r="U3283">
        <v>0</v>
      </c>
      <c r="V3283" t="s">
        <v>544</v>
      </c>
      <c r="W3283" t="s">
        <v>546</v>
      </c>
      <c r="X3283" s="784">
        <v>7113361022.7267885</v>
      </c>
    </row>
    <row r="3284" spans="1:24">
      <c r="A3284" t="s">
        <v>358</v>
      </c>
      <c r="B3284" t="s">
        <v>547</v>
      </c>
      <c r="C3284" t="s">
        <v>162</v>
      </c>
      <c r="D3284" t="s">
        <v>128</v>
      </c>
      <c r="E3284" t="s">
        <v>377</v>
      </c>
      <c r="F3284" t="s">
        <v>385</v>
      </c>
      <c r="G3284" t="s">
        <v>346</v>
      </c>
      <c r="H3284" t="s">
        <v>749</v>
      </c>
      <c r="I3284" t="s">
        <v>743</v>
      </c>
      <c r="J3284" t="s">
        <v>379</v>
      </c>
      <c r="K3284" t="s">
        <v>546</v>
      </c>
      <c r="L3284" s="784">
        <v>0</v>
      </c>
      <c r="M3284" t="s">
        <v>745</v>
      </c>
      <c r="N3284" s="784" t="s">
        <v>575</v>
      </c>
      <c r="O3284" t="s">
        <v>737</v>
      </c>
      <c r="P3284" t="s">
        <v>1887</v>
      </c>
      <c r="R3284" t="s">
        <v>150</v>
      </c>
      <c r="S3284" t="s">
        <v>145</v>
      </c>
      <c r="U3284">
        <v>0</v>
      </c>
      <c r="V3284" t="s">
        <v>544</v>
      </c>
      <c r="W3284" t="s">
        <v>548</v>
      </c>
      <c r="X3284" s="784">
        <v>1131865946.5875781</v>
      </c>
    </row>
    <row r="3285" spans="1:24">
      <c r="A3285" t="s">
        <v>358</v>
      </c>
      <c r="B3285" t="s">
        <v>549</v>
      </c>
      <c r="C3285" t="s">
        <v>163</v>
      </c>
      <c r="D3285" t="s">
        <v>130</v>
      </c>
      <c r="E3285" t="s">
        <v>377</v>
      </c>
      <c r="F3285" t="s">
        <v>385</v>
      </c>
      <c r="G3285" t="s">
        <v>346</v>
      </c>
      <c r="H3285" t="s">
        <v>749</v>
      </c>
      <c r="I3285" t="s">
        <v>743</v>
      </c>
      <c r="J3285" t="s">
        <v>379</v>
      </c>
      <c r="K3285" t="s">
        <v>546</v>
      </c>
      <c r="L3285" s="784">
        <v>0</v>
      </c>
      <c r="M3285" t="s">
        <v>745</v>
      </c>
      <c r="N3285" s="784" t="s">
        <v>575</v>
      </c>
      <c r="O3285" t="s">
        <v>737</v>
      </c>
      <c r="P3285" t="s">
        <v>1887</v>
      </c>
      <c r="R3285" t="s">
        <v>550</v>
      </c>
      <c r="S3285" t="s">
        <v>146</v>
      </c>
      <c r="U3285">
        <v>0</v>
      </c>
      <c r="V3285" t="s">
        <v>541</v>
      </c>
      <c r="W3285" t="s">
        <v>575</v>
      </c>
      <c r="X3285" s="784">
        <v>46777779.823447868</v>
      </c>
    </row>
    <row r="3286" spans="1:24">
      <c r="A3286" t="s">
        <v>358</v>
      </c>
      <c r="B3286" t="s">
        <v>551</v>
      </c>
      <c r="C3286" t="s">
        <v>164</v>
      </c>
      <c r="D3286" t="s">
        <v>130</v>
      </c>
      <c r="E3286" t="s">
        <v>377</v>
      </c>
      <c r="F3286" t="s">
        <v>385</v>
      </c>
      <c r="G3286" t="s">
        <v>346</v>
      </c>
      <c r="H3286" t="s">
        <v>749</v>
      </c>
      <c r="I3286" t="s">
        <v>743</v>
      </c>
      <c r="J3286" t="s">
        <v>379</v>
      </c>
      <c r="K3286" t="s">
        <v>546</v>
      </c>
      <c r="L3286" s="784">
        <v>0</v>
      </c>
      <c r="M3286" t="s">
        <v>745</v>
      </c>
      <c r="N3286" s="784" t="s">
        <v>575</v>
      </c>
      <c r="O3286" t="s">
        <v>737</v>
      </c>
      <c r="P3286" t="s">
        <v>1887</v>
      </c>
      <c r="R3286" t="s">
        <v>152</v>
      </c>
      <c r="S3286" t="s">
        <v>146</v>
      </c>
      <c r="U3286">
        <v>0</v>
      </c>
      <c r="V3286" t="s">
        <v>544</v>
      </c>
      <c r="W3286" t="s">
        <v>575</v>
      </c>
      <c r="X3286" s="784">
        <v>30725305777.596794</v>
      </c>
    </row>
    <row r="3287" spans="1:24">
      <c r="A3287" t="s">
        <v>358</v>
      </c>
      <c r="B3287" t="s">
        <v>553</v>
      </c>
      <c r="C3287" t="s">
        <v>165</v>
      </c>
      <c r="D3287" t="s">
        <v>127</v>
      </c>
      <c r="E3287" t="s">
        <v>377</v>
      </c>
      <c r="F3287" t="s">
        <v>385</v>
      </c>
      <c r="G3287" t="s">
        <v>346</v>
      </c>
      <c r="H3287" t="s">
        <v>749</v>
      </c>
      <c r="I3287" t="s">
        <v>743</v>
      </c>
      <c r="J3287" t="s">
        <v>379</v>
      </c>
      <c r="K3287" t="s">
        <v>546</v>
      </c>
      <c r="L3287" s="784">
        <v>0</v>
      </c>
      <c r="M3287" t="s">
        <v>745</v>
      </c>
      <c r="N3287" s="784" t="s">
        <v>575</v>
      </c>
      <c r="O3287" t="s">
        <v>737</v>
      </c>
      <c r="P3287" t="s">
        <v>1887</v>
      </c>
      <c r="R3287" t="s">
        <v>152</v>
      </c>
      <c r="S3287" t="s">
        <v>146</v>
      </c>
      <c r="U3287">
        <v>0</v>
      </c>
      <c r="V3287" t="s">
        <v>544</v>
      </c>
      <c r="W3287" t="s">
        <v>575</v>
      </c>
      <c r="X3287" s="784">
        <v>153815827.8380394</v>
      </c>
    </row>
    <row r="3288" spans="1:24">
      <c r="A3288" t="s">
        <v>358</v>
      </c>
      <c r="B3288" t="s">
        <v>554</v>
      </c>
      <c r="C3288" t="s">
        <v>166</v>
      </c>
      <c r="D3288" t="s">
        <v>127</v>
      </c>
      <c r="E3288" t="s">
        <v>377</v>
      </c>
      <c r="F3288" t="s">
        <v>385</v>
      </c>
      <c r="G3288" t="s">
        <v>346</v>
      </c>
      <c r="H3288" t="s">
        <v>749</v>
      </c>
      <c r="I3288" t="s">
        <v>743</v>
      </c>
      <c r="J3288" t="s">
        <v>379</v>
      </c>
      <c r="K3288" t="s">
        <v>546</v>
      </c>
      <c r="L3288" s="784">
        <v>0</v>
      </c>
      <c r="M3288" t="s">
        <v>745</v>
      </c>
      <c r="N3288" s="784" t="s">
        <v>575</v>
      </c>
      <c r="O3288" t="s">
        <v>737</v>
      </c>
      <c r="P3288" t="s">
        <v>1887</v>
      </c>
      <c r="R3288" t="s">
        <v>152</v>
      </c>
      <c r="S3288" t="s">
        <v>146</v>
      </c>
      <c r="U3288">
        <v>0</v>
      </c>
      <c r="V3288" t="s">
        <v>544</v>
      </c>
      <c r="W3288" t="s">
        <v>546</v>
      </c>
      <c r="X3288" s="784">
        <v>437525105.31216973</v>
      </c>
    </row>
    <row r="3289" spans="1:24">
      <c r="A3289" t="s">
        <v>358</v>
      </c>
      <c r="B3289" t="s">
        <v>555</v>
      </c>
      <c r="C3289" t="s">
        <v>556</v>
      </c>
      <c r="D3289" t="s">
        <v>130</v>
      </c>
      <c r="E3289" t="s">
        <v>377</v>
      </c>
      <c r="F3289" t="s">
        <v>385</v>
      </c>
      <c r="G3289" t="s">
        <v>346</v>
      </c>
      <c r="H3289" t="s">
        <v>749</v>
      </c>
      <c r="I3289" t="s">
        <v>743</v>
      </c>
      <c r="J3289" t="s">
        <v>379</v>
      </c>
      <c r="K3289" t="s">
        <v>546</v>
      </c>
      <c r="L3289" s="784">
        <v>0</v>
      </c>
      <c r="M3289" t="s">
        <v>745</v>
      </c>
      <c r="N3289" s="784" t="s">
        <v>575</v>
      </c>
      <c r="O3289" t="s">
        <v>737</v>
      </c>
      <c r="P3289" t="s">
        <v>1887</v>
      </c>
      <c r="R3289" t="s">
        <v>550</v>
      </c>
      <c r="S3289" t="s">
        <v>146</v>
      </c>
      <c r="U3289">
        <v>0</v>
      </c>
      <c r="V3289" t="s">
        <v>541</v>
      </c>
      <c r="W3289" t="s">
        <v>575</v>
      </c>
      <c r="X3289" s="784">
        <v>149463302.00602186</v>
      </c>
    </row>
    <row r="3290" spans="1:24">
      <c r="A3290" t="s">
        <v>358</v>
      </c>
      <c r="B3290" t="s">
        <v>557</v>
      </c>
      <c r="C3290" t="s">
        <v>167</v>
      </c>
      <c r="D3290" t="s">
        <v>132</v>
      </c>
      <c r="E3290" t="s">
        <v>377</v>
      </c>
      <c r="F3290" t="s">
        <v>385</v>
      </c>
      <c r="G3290" t="s">
        <v>346</v>
      </c>
      <c r="H3290" t="s">
        <v>749</v>
      </c>
      <c r="I3290" t="s">
        <v>743</v>
      </c>
      <c r="J3290" t="s">
        <v>379</v>
      </c>
      <c r="K3290" t="s">
        <v>546</v>
      </c>
      <c r="L3290" s="784">
        <v>0</v>
      </c>
      <c r="M3290" t="s">
        <v>745</v>
      </c>
      <c r="N3290" s="784" t="s">
        <v>575</v>
      </c>
      <c r="O3290" t="s">
        <v>737</v>
      </c>
      <c r="P3290" t="s">
        <v>1887</v>
      </c>
      <c r="R3290" t="s">
        <v>150</v>
      </c>
      <c r="S3290" t="s">
        <v>145</v>
      </c>
      <c r="U3290">
        <v>0</v>
      </c>
      <c r="V3290" t="s">
        <v>544</v>
      </c>
      <c r="W3290" t="s">
        <v>558</v>
      </c>
      <c r="X3290" s="784">
        <v>1148322593.9600098</v>
      </c>
    </row>
    <row r="3291" spans="1:24">
      <c r="A3291" t="s">
        <v>358</v>
      </c>
      <c r="B3291" t="s">
        <v>559</v>
      </c>
      <c r="C3291" t="s">
        <v>168</v>
      </c>
      <c r="D3291" t="s">
        <v>127</v>
      </c>
      <c r="E3291" t="s">
        <v>377</v>
      </c>
      <c r="F3291" t="s">
        <v>385</v>
      </c>
      <c r="G3291" t="s">
        <v>346</v>
      </c>
      <c r="H3291" t="s">
        <v>749</v>
      </c>
      <c r="I3291" t="s">
        <v>743</v>
      </c>
      <c r="J3291" t="s">
        <v>379</v>
      </c>
      <c r="K3291" t="s">
        <v>546</v>
      </c>
      <c r="L3291" s="784">
        <v>0</v>
      </c>
      <c r="M3291" t="s">
        <v>745</v>
      </c>
      <c r="N3291" s="784" t="s">
        <v>575</v>
      </c>
      <c r="O3291" t="s">
        <v>737</v>
      </c>
      <c r="P3291" t="s">
        <v>1887</v>
      </c>
      <c r="R3291" t="s">
        <v>152</v>
      </c>
      <c r="S3291" t="s">
        <v>146</v>
      </c>
      <c r="U3291">
        <v>0</v>
      </c>
      <c r="V3291" t="s">
        <v>544</v>
      </c>
      <c r="W3291" t="s">
        <v>575</v>
      </c>
      <c r="X3291" s="784">
        <v>2371102058.1093163</v>
      </c>
    </row>
    <row r="3292" spans="1:24">
      <c r="A3292" t="s">
        <v>358</v>
      </c>
      <c r="B3292" t="s">
        <v>560</v>
      </c>
      <c r="C3292" t="s">
        <v>169</v>
      </c>
      <c r="D3292" t="s">
        <v>130</v>
      </c>
      <c r="E3292" t="s">
        <v>377</v>
      </c>
      <c r="F3292" t="s">
        <v>385</v>
      </c>
      <c r="G3292" t="s">
        <v>346</v>
      </c>
      <c r="H3292" t="s">
        <v>749</v>
      </c>
      <c r="I3292" t="s">
        <v>743</v>
      </c>
      <c r="J3292" t="s">
        <v>379</v>
      </c>
      <c r="K3292" t="s">
        <v>546</v>
      </c>
      <c r="L3292" s="784">
        <v>0</v>
      </c>
      <c r="M3292" t="s">
        <v>745</v>
      </c>
      <c r="N3292" s="784" t="s">
        <v>575</v>
      </c>
      <c r="O3292" t="s">
        <v>737</v>
      </c>
      <c r="P3292" t="s">
        <v>1887</v>
      </c>
      <c r="R3292" t="s">
        <v>150</v>
      </c>
      <c r="S3292" t="s">
        <v>146</v>
      </c>
      <c r="U3292">
        <v>0</v>
      </c>
      <c r="V3292" t="s">
        <v>541</v>
      </c>
      <c r="W3292" t="s">
        <v>546</v>
      </c>
      <c r="X3292" s="784">
        <v>75151620.005215243</v>
      </c>
    </row>
    <row r="3293" spans="1:24">
      <c r="A3293" t="s">
        <v>358</v>
      </c>
      <c r="B3293" t="s">
        <v>561</v>
      </c>
      <c r="C3293" t="s">
        <v>170</v>
      </c>
      <c r="D3293" t="s">
        <v>129</v>
      </c>
      <c r="E3293" t="s">
        <v>377</v>
      </c>
      <c r="F3293" t="s">
        <v>385</v>
      </c>
      <c r="G3293" t="s">
        <v>346</v>
      </c>
      <c r="H3293" t="s">
        <v>749</v>
      </c>
      <c r="I3293" t="s">
        <v>743</v>
      </c>
      <c r="J3293" t="s">
        <v>379</v>
      </c>
      <c r="K3293" t="s">
        <v>546</v>
      </c>
      <c r="L3293" s="784">
        <v>0</v>
      </c>
      <c r="M3293" t="s">
        <v>745</v>
      </c>
      <c r="N3293" s="784" t="s">
        <v>575</v>
      </c>
      <c r="O3293" t="s">
        <v>737</v>
      </c>
      <c r="P3293" t="s">
        <v>1887</v>
      </c>
      <c r="R3293" t="s">
        <v>150</v>
      </c>
      <c r="S3293" t="s">
        <v>145</v>
      </c>
      <c r="U3293">
        <v>0</v>
      </c>
      <c r="V3293" t="s">
        <v>544</v>
      </c>
      <c r="W3293" t="s">
        <v>562</v>
      </c>
      <c r="X3293" s="784">
        <v>69958487.197715744</v>
      </c>
    </row>
    <row r="3294" spans="1:24">
      <c r="A3294" t="s">
        <v>358</v>
      </c>
      <c r="B3294" t="s">
        <v>563</v>
      </c>
      <c r="C3294" t="s">
        <v>171</v>
      </c>
      <c r="D3294" t="s">
        <v>132</v>
      </c>
      <c r="E3294" t="s">
        <v>377</v>
      </c>
      <c r="F3294" t="s">
        <v>385</v>
      </c>
      <c r="G3294" t="s">
        <v>346</v>
      </c>
      <c r="H3294" t="s">
        <v>749</v>
      </c>
      <c r="I3294" t="s">
        <v>743</v>
      </c>
      <c r="J3294" t="s">
        <v>379</v>
      </c>
      <c r="K3294" t="s">
        <v>546</v>
      </c>
      <c r="L3294" s="784">
        <v>0</v>
      </c>
      <c r="M3294" t="s">
        <v>745</v>
      </c>
      <c r="N3294" s="784" t="s">
        <v>575</v>
      </c>
      <c r="O3294" t="s">
        <v>737</v>
      </c>
      <c r="P3294" t="s">
        <v>1887</v>
      </c>
      <c r="R3294" t="s">
        <v>150</v>
      </c>
      <c r="S3294" t="s">
        <v>145</v>
      </c>
      <c r="U3294">
        <v>0</v>
      </c>
      <c r="V3294" t="s">
        <v>544</v>
      </c>
      <c r="W3294" t="s">
        <v>548</v>
      </c>
      <c r="X3294" s="784">
        <v>61654608.560629159</v>
      </c>
    </row>
    <row r="3295" spans="1:24">
      <c r="A3295" t="s">
        <v>358</v>
      </c>
      <c r="B3295" t="s">
        <v>564</v>
      </c>
      <c r="C3295" t="s">
        <v>172</v>
      </c>
      <c r="D3295" t="s">
        <v>130</v>
      </c>
      <c r="E3295" t="s">
        <v>377</v>
      </c>
      <c r="F3295" t="s">
        <v>385</v>
      </c>
      <c r="G3295" t="s">
        <v>346</v>
      </c>
      <c r="H3295" t="s">
        <v>749</v>
      </c>
      <c r="I3295" t="s">
        <v>743</v>
      </c>
      <c r="J3295" t="s">
        <v>379</v>
      </c>
      <c r="K3295" t="s">
        <v>546</v>
      </c>
      <c r="L3295" s="784">
        <v>0</v>
      </c>
      <c r="M3295" t="s">
        <v>745</v>
      </c>
      <c r="N3295" s="784" t="s">
        <v>575</v>
      </c>
      <c r="O3295" t="s">
        <v>737</v>
      </c>
      <c r="P3295" t="s">
        <v>1887</v>
      </c>
      <c r="R3295" t="s">
        <v>150</v>
      </c>
      <c r="S3295" t="s">
        <v>145</v>
      </c>
      <c r="U3295">
        <v>0</v>
      </c>
      <c r="V3295" t="s">
        <v>544</v>
      </c>
      <c r="W3295" t="s">
        <v>546</v>
      </c>
      <c r="X3295" s="784">
        <v>1806638707.7615163</v>
      </c>
    </row>
    <row r="3296" spans="1:24">
      <c r="A3296" t="s">
        <v>358</v>
      </c>
      <c r="B3296" t="s">
        <v>565</v>
      </c>
      <c r="C3296" t="s">
        <v>174</v>
      </c>
      <c r="D3296" t="s">
        <v>127</v>
      </c>
      <c r="E3296" t="s">
        <v>377</v>
      </c>
      <c r="F3296" t="s">
        <v>385</v>
      </c>
      <c r="G3296" t="s">
        <v>346</v>
      </c>
      <c r="H3296" t="s">
        <v>749</v>
      </c>
      <c r="I3296" t="s">
        <v>743</v>
      </c>
      <c r="J3296" t="s">
        <v>379</v>
      </c>
      <c r="K3296" t="s">
        <v>546</v>
      </c>
      <c r="L3296" s="784">
        <v>0</v>
      </c>
      <c r="M3296" t="s">
        <v>745</v>
      </c>
      <c r="N3296" s="784" t="s">
        <v>575</v>
      </c>
      <c r="O3296" t="s">
        <v>737</v>
      </c>
      <c r="P3296" t="s">
        <v>1887</v>
      </c>
      <c r="R3296" t="s">
        <v>152</v>
      </c>
      <c r="S3296" t="s">
        <v>146</v>
      </c>
      <c r="U3296">
        <v>0</v>
      </c>
      <c r="V3296" t="s">
        <v>544</v>
      </c>
      <c r="W3296" t="s">
        <v>546</v>
      </c>
      <c r="X3296" s="784">
        <v>1252696525.0627904</v>
      </c>
    </row>
    <row r="3297" spans="1:24">
      <c r="A3297" t="s">
        <v>358</v>
      </c>
      <c r="B3297" t="s">
        <v>566</v>
      </c>
      <c r="C3297" t="s">
        <v>175</v>
      </c>
      <c r="D3297" t="s">
        <v>128</v>
      </c>
      <c r="E3297" t="s">
        <v>377</v>
      </c>
      <c r="F3297" t="s">
        <v>385</v>
      </c>
      <c r="G3297" t="s">
        <v>346</v>
      </c>
      <c r="H3297" t="s">
        <v>749</v>
      </c>
      <c r="I3297" t="s">
        <v>743</v>
      </c>
      <c r="J3297" t="s">
        <v>379</v>
      </c>
      <c r="K3297" t="s">
        <v>546</v>
      </c>
      <c r="L3297" s="784">
        <v>0</v>
      </c>
      <c r="M3297" t="s">
        <v>745</v>
      </c>
      <c r="N3297" s="784" t="s">
        <v>575</v>
      </c>
      <c r="O3297" t="s">
        <v>737</v>
      </c>
      <c r="P3297" t="s">
        <v>1887</v>
      </c>
      <c r="R3297" t="s">
        <v>152</v>
      </c>
      <c r="S3297" t="s">
        <v>146</v>
      </c>
      <c r="U3297">
        <v>0</v>
      </c>
      <c r="V3297" t="s">
        <v>544</v>
      </c>
      <c r="W3297" t="s">
        <v>575</v>
      </c>
      <c r="X3297" s="784">
        <v>843425084.07334602</v>
      </c>
    </row>
    <row r="3298" spans="1:24">
      <c r="A3298" t="s">
        <v>358</v>
      </c>
      <c r="B3298" t="s">
        <v>567</v>
      </c>
      <c r="C3298" t="s">
        <v>144</v>
      </c>
      <c r="D3298" t="s">
        <v>130</v>
      </c>
      <c r="E3298" t="s">
        <v>377</v>
      </c>
      <c r="F3298" t="s">
        <v>385</v>
      </c>
      <c r="G3298" t="s">
        <v>346</v>
      </c>
      <c r="H3298" t="s">
        <v>749</v>
      </c>
      <c r="I3298" t="s">
        <v>743</v>
      </c>
      <c r="J3298" t="s">
        <v>379</v>
      </c>
      <c r="K3298" t="s">
        <v>546</v>
      </c>
      <c r="L3298" s="784">
        <v>0</v>
      </c>
      <c r="M3298" t="s">
        <v>745</v>
      </c>
      <c r="N3298" s="784" t="s">
        <v>575</v>
      </c>
      <c r="O3298" t="s">
        <v>737</v>
      </c>
      <c r="P3298" t="s">
        <v>1887</v>
      </c>
      <c r="R3298" t="s">
        <v>152</v>
      </c>
      <c r="S3298" t="s">
        <v>146</v>
      </c>
      <c r="U3298">
        <v>0</v>
      </c>
      <c r="V3298" t="s">
        <v>544</v>
      </c>
      <c r="W3298" t="s">
        <v>546</v>
      </c>
      <c r="X3298" s="784">
        <v>74055620038.853683</v>
      </c>
    </row>
    <row r="3299" spans="1:24">
      <c r="A3299" t="s">
        <v>358</v>
      </c>
      <c r="B3299" t="s">
        <v>568</v>
      </c>
      <c r="C3299" t="s">
        <v>176</v>
      </c>
      <c r="D3299" t="s">
        <v>127</v>
      </c>
      <c r="E3299" t="s">
        <v>377</v>
      </c>
      <c r="F3299" t="s">
        <v>385</v>
      </c>
      <c r="G3299" t="s">
        <v>346</v>
      </c>
      <c r="H3299" t="s">
        <v>749</v>
      </c>
      <c r="I3299" t="s">
        <v>743</v>
      </c>
      <c r="J3299" t="s">
        <v>379</v>
      </c>
      <c r="K3299" t="s">
        <v>546</v>
      </c>
      <c r="L3299" s="784">
        <v>0</v>
      </c>
      <c r="M3299" t="s">
        <v>745</v>
      </c>
      <c r="N3299" s="784" t="s">
        <v>575</v>
      </c>
      <c r="O3299" t="s">
        <v>737</v>
      </c>
      <c r="P3299" t="s">
        <v>1887</v>
      </c>
      <c r="R3299" t="s">
        <v>152</v>
      </c>
      <c r="S3299" t="s">
        <v>146</v>
      </c>
      <c r="U3299">
        <v>0</v>
      </c>
      <c r="V3299" t="s">
        <v>544</v>
      </c>
      <c r="W3299" t="s">
        <v>575</v>
      </c>
      <c r="X3299" s="784">
        <v>2803357765.5888777</v>
      </c>
    </row>
    <row r="3300" spans="1:24">
      <c r="A3300" t="s">
        <v>358</v>
      </c>
      <c r="B3300" t="s">
        <v>569</v>
      </c>
      <c r="C3300" t="s">
        <v>177</v>
      </c>
      <c r="D3300" t="s">
        <v>129</v>
      </c>
      <c r="E3300" t="s">
        <v>377</v>
      </c>
      <c r="F3300" t="s">
        <v>385</v>
      </c>
      <c r="G3300" t="s">
        <v>346</v>
      </c>
      <c r="H3300" t="s">
        <v>749</v>
      </c>
      <c r="I3300" t="s">
        <v>743</v>
      </c>
      <c r="J3300" t="s">
        <v>379</v>
      </c>
      <c r="K3300" t="s">
        <v>546</v>
      </c>
      <c r="L3300" s="784">
        <v>1110635</v>
      </c>
      <c r="M3300" t="s">
        <v>745</v>
      </c>
      <c r="N3300" s="784" t="s">
        <v>575</v>
      </c>
      <c r="O3300" t="s">
        <v>737</v>
      </c>
      <c r="P3300" t="s">
        <v>1887</v>
      </c>
      <c r="R3300" t="s">
        <v>148</v>
      </c>
      <c r="S3300" t="s">
        <v>145</v>
      </c>
      <c r="U3300">
        <v>2</v>
      </c>
      <c r="V3300" t="s">
        <v>544</v>
      </c>
      <c r="W3300" t="s">
        <v>562</v>
      </c>
      <c r="X3300" s="784">
        <v>337927779.25510043</v>
      </c>
    </row>
    <row r="3301" spans="1:24">
      <c r="A3301" t="s">
        <v>358</v>
      </c>
      <c r="B3301" t="s">
        <v>570</v>
      </c>
      <c r="C3301" t="s">
        <v>178</v>
      </c>
      <c r="D3301" t="s">
        <v>128</v>
      </c>
      <c r="E3301" t="s">
        <v>377</v>
      </c>
      <c r="F3301" t="s">
        <v>385</v>
      </c>
      <c r="G3301" t="s">
        <v>346</v>
      </c>
      <c r="H3301" t="s">
        <v>749</v>
      </c>
      <c r="I3301" t="s">
        <v>743</v>
      </c>
      <c r="J3301" t="s">
        <v>379</v>
      </c>
      <c r="K3301" t="s">
        <v>546</v>
      </c>
      <c r="L3301" s="784">
        <v>0</v>
      </c>
      <c r="M3301" t="s">
        <v>745</v>
      </c>
      <c r="N3301" s="784" t="s">
        <v>575</v>
      </c>
      <c r="O3301" t="s">
        <v>737</v>
      </c>
      <c r="P3301" t="s">
        <v>1887</v>
      </c>
      <c r="R3301" t="s">
        <v>148</v>
      </c>
      <c r="S3301" t="s">
        <v>145</v>
      </c>
      <c r="U3301">
        <v>2</v>
      </c>
      <c r="V3301" t="s">
        <v>544</v>
      </c>
      <c r="W3301" t="s">
        <v>548</v>
      </c>
      <c r="X3301" s="784">
        <v>65979512.47399316</v>
      </c>
    </row>
    <row r="3302" spans="1:24">
      <c r="A3302" t="s">
        <v>358</v>
      </c>
      <c r="B3302" t="s">
        <v>571</v>
      </c>
      <c r="C3302" t="s">
        <v>179</v>
      </c>
      <c r="D3302" t="s">
        <v>129</v>
      </c>
      <c r="E3302" t="s">
        <v>377</v>
      </c>
      <c r="F3302" t="s">
        <v>385</v>
      </c>
      <c r="G3302" t="s">
        <v>346</v>
      </c>
      <c r="H3302" t="s">
        <v>749</v>
      </c>
      <c r="I3302" t="s">
        <v>743</v>
      </c>
      <c r="J3302" t="s">
        <v>379</v>
      </c>
      <c r="K3302" t="s">
        <v>546</v>
      </c>
      <c r="L3302" s="784">
        <v>0</v>
      </c>
      <c r="M3302" t="s">
        <v>745</v>
      </c>
      <c r="N3302" s="784" t="s">
        <v>575</v>
      </c>
      <c r="O3302" t="s">
        <v>737</v>
      </c>
      <c r="P3302" t="s">
        <v>1887</v>
      </c>
      <c r="R3302" t="s">
        <v>150</v>
      </c>
      <c r="S3302" t="s">
        <v>145</v>
      </c>
      <c r="U3302">
        <v>0</v>
      </c>
      <c r="V3302" t="s">
        <v>541</v>
      </c>
      <c r="W3302" t="s">
        <v>542</v>
      </c>
      <c r="X3302" s="784">
        <v>63748362.778827004</v>
      </c>
    </row>
    <row r="3303" spans="1:24">
      <c r="A3303" t="s">
        <v>358</v>
      </c>
      <c r="B3303" t="s">
        <v>572</v>
      </c>
      <c r="C3303" t="s">
        <v>180</v>
      </c>
      <c r="D3303" t="s">
        <v>126</v>
      </c>
      <c r="E3303" t="s">
        <v>377</v>
      </c>
      <c r="F3303" t="s">
        <v>385</v>
      </c>
      <c r="G3303" t="s">
        <v>346</v>
      </c>
      <c r="H3303" t="s">
        <v>749</v>
      </c>
      <c r="I3303" t="s">
        <v>743</v>
      </c>
      <c r="J3303" t="s">
        <v>379</v>
      </c>
      <c r="K3303" t="s">
        <v>546</v>
      </c>
      <c r="L3303" s="784">
        <v>0</v>
      </c>
      <c r="M3303" t="s">
        <v>745</v>
      </c>
      <c r="N3303" s="784" t="s">
        <v>575</v>
      </c>
      <c r="O3303" t="s">
        <v>737</v>
      </c>
      <c r="P3303" t="s">
        <v>1887</v>
      </c>
      <c r="R3303" t="s">
        <v>150</v>
      </c>
      <c r="S3303" t="s">
        <v>145</v>
      </c>
      <c r="U3303">
        <v>0</v>
      </c>
      <c r="V3303" t="s">
        <v>544</v>
      </c>
      <c r="W3303" t="s">
        <v>558</v>
      </c>
      <c r="X3303" s="784">
        <v>313039649.45369786</v>
      </c>
    </row>
    <row r="3304" spans="1:24">
      <c r="A3304" t="s">
        <v>358</v>
      </c>
      <c r="B3304" t="s">
        <v>573</v>
      </c>
      <c r="C3304" t="s">
        <v>181</v>
      </c>
      <c r="D3304" t="s">
        <v>129</v>
      </c>
      <c r="E3304" t="s">
        <v>377</v>
      </c>
      <c r="F3304" t="s">
        <v>385</v>
      </c>
      <c r="G3304" t="s">
        <v>346</v>
      </c>
      <c r="H3304" t="s">
        <v>749</v>
      </c>
      <c r="I3304" t="s">
        <v>743</v>
      </c>
      <c r="J3304" t="s">
        <v>379</v>
      </c>
      <c r="K3304" t="s">
        <v>546</v>
      </c>
      <c r="L3304" s="784">
        <v>0</v>
      </c>
      <c r="M3304" t="s">
        <v>745</v>
      </c>
      <c r="N3304" s="784" t="s">
        <v>575</v>
      </c>
      <c r="O3304" t="s">
        <v>737</v>
      </c>
      <c r="P3304" t="s">
        <v>1887</v>
      </c>
      <c r="R3304" t="s">
        <v>150</v>
      </c>
      <c r="S3304" t="s">
        <v>145</v>
      </c>
      <c r="U3304">
        <v>2</v>
      </c>
      <c r="V3304" t="s">
        <v>544</v>
      </c>
      <c r="W3304" t="s">
        <v>542</v>
      </c>
      <c r="X3304" s="784">
        <v>81361801.477472037</v>
      </c>
    </row>
    <row r="3305" spans="1:24">
      <c r="A3305" t="s">
        <v>358</v>
      </c>
      <c r="B3305" t="s">
        <v>574</v>
      </c>
      <c r="C3305" t="s">
        <v>182</v>
      </c>
      <c r="D3305" t="s">
        <v>129</v>
      </c>
      <c r="E3305" t="s">
        <v>377</v>
      </c>
      <c r="F3305" t="s">
        <v>385</v>
      </c>
      <c r="G3305" t="s">
        <v>346</v>
      </c>
      <c r="H3305" t="s">
        <v>749</v>
      </c>
      <c r="I3305" t="s">
        <v>743</v>
      </c>
      <c r="J3305" t="s">
        <v>379</v>
      </c>
      <c r="K3305" t="s">
        <v>546</v>
      </c>
      <c r="L3305" s="784">
        <v>1110635</v>
      </c>
      <c r="M3305" t="s">
        <v>745</v>
      </c>
      <c r="N3305" s="784" t="s">
        <v>575</v>
      </c>
      <c r="O3305" t="s">
        <v>737</v>
      </c>
      <c r="P3305" t="s">
        <v>1887</v>
      </c>
      <c r="R3305" t="s">
        <v>148</v>
      </c>
      <c r="S3305" t="s">
        <v>145</v>
      </c>
      <c r="U3305">
        <v>1</v>
      </c>
      <c r="V3305" t="s">
        <v>544</v>
      </c>
      <c r="W3305" t="s">
        <v>542</v>
      </c>
      <c r="X3305" s="784" t="s">
        <v>575</v>
      </c>
    </row>
    <row r="3306" spans="1:24">
      <c r="A3306" t="s">
        <v>358</v>
      </c>
      <c r="B3306" t="s">
        <v>576</v>
      </c>
      <c r="C3306" t="s">
        <v>183</v>
      </c>
      <c r="D3306" t="s">
        <v>129</v>
      </c>
      <c r="E3306" t="s">
        <v>377</v>
      </c>
      <c r="F3306" t="s">
        <v>385</v>
      </c>
      <c r="G3306" t="s">
        <v>346</v>
      </c>
      <c r="H3306" t="s">
        <v>749</v>
      </c>
      <c r="I3306" t="s">
        <v>743</v>
      </c>
      <c r="J3306" t="s">
        <v>379</v>
      </c>
      <c r="K3306" t="s">
        <v>546</v>
      </c>
      <c r="L3306" s="784">
        <v>0</v>
      </c>
      <c r="M3306" t="s">
        <v>745</v>
      </c>
      <c r="N3306" s="784" t="s">
        <v>575</v>
      </c>
      <c r="O3306" t="s">
        <v>737</v>
      </c>
      <c r="P3306" t="s">
        <v>1887</v>
      </c>
      <c r="R3306" t="s">
        <v>148</v>
      </c>
      <c r="S3306" t="s">
        <v>145</v>
      </c>
      <c r="U3306">
        <v>1</v>
      </c>
      <c r="V3306" t="s">
        <v>544</v>
      </c>
      <c r="W3306" t="s">
        <v>542</v>
      </c>
      <c r="X3306" s="784">
        <v>76939306.715636879</v>
      </c>
    </row>
    <row r="3307" spans="1:24">
      <c r="A3307" t="s">
        <v>358</v>
      </c>
      <c r="B3307" t="s">
        <v>577</v>
      </c>
      <c r="C3307" t="s">
        <v>184</v>
      </c>
      <c r="D3307" t="s">
        <v>130</v>
      </c>
      <c r="E3307" t="s">
        <v>377</v>
      </c>
      <c r="F3307" t="s">
        <v>385</v>
      </c>
      <c r="G3307" t="s">
        <v>346</v>
      </c>
      <c r="H3307" t="s">
        <v>749</v>
      </c>
      <c r="I3307" t="s">
        <v>743</v>
      </c>
      <c r="J3307" t="s">
        <v>379</v>
      </c>
      <c r="K3307" t="s">
        <v>546</v>
      </c>
      <c r="L3307" s="784">
        <v>0</v>
      </c>
      <c r="M3307" t="s">
        <v>745</v>
      </c>
      <c r="N3307" s="784" t="s">
        <v>575</v>
      </c>
      <c r="O3307" t="s">
        <v>737</v>
      </c>
      <c r="P3307" t="s">
        <v>1887</v>
      </c>
      <c r="R3307" t="s">
        <v>550</v>
      </c>
      <c r="S3307" t="s">
        <v>146</v>
      </c>
      <c r="U3307">
        <v>0</v>
      </c>
      <c r="V3307" t="s">
        <v>544</v>
      </c>
      <c r="W3307" t="s">
        <v>575</v>
      </c>
      <c r="X3307" s="784">
        <v>13859708717.682571</v>
      </c>
    </row>
    <row r="3308" spans="1:24">
      <c r="A3308" t="s">
        <v>358</v>
      </c>
      <c r="B3308" t="s">
        <v>578</v>
      </c>
      <c r="C3308" t="s">
        <v>185</v>
      </c>
      <c r="D3308" t="s">
        <v>126</v>
      </c>
      <c r="E3308" t="s">
        <v>377</v>
      </c>
      <c r="F3308" t="s">
        <v>385</v>
      </c>
      <c r="G3308" t="s">
        <v>346</v>
      </c>
      <c r="H3308" t="s">
        <v>749</v>
      </c>
      <c r="I3308" t="s">
        <v>743</v>
      </c>
      <c r="J3308" t="s">
        <v>379</v>
      </c>
      <c r="K3308" t="s">
        <v>546</v>
      </c>
      <c r="L3308" s="784">
        <v>0</v>
      </c>
      <c r="M3308" t="s">
        <v>745</v>
      </c>
      <c r="N3308" s="784" t="s">
        <v>575</v>
      </c>
      <c r="O3308" t="s">
        <v>737</v>
      </c>
      <c r="P3308" t="s">
        <v>1887</v>
      </c>
      <c r="R3308" t="s">
        <v>152</v>
      </c>
      <c r="S3308" t="s">
        <v>146</v>
      </c>
      <c r="U3308">
        <v>0</v>
      </c>
      <c r="V3308" t="s">
        <v>544</v>
      </c>
      <c r="W3308" t="s">
        <v>575</v>
      </c>
      <c r="X3308" s="784">
        <v>403567160707.7016</v>
      </c>
    </row>
    <row r="3309" spans="1:24">
      <c r="A3309" t="s">
        <v>358</v>
      </c>
      <c r="B3309" t="s">
        <v>579</v>
      </c>
      <c r="C3309" t="s">
        <v>186</v>
      </c>
      <c r="D3309" t="s">
        <v>130</v>
      </c>
      <c r="E3309" t="s">
        <v>377</v>
      </c>
      <c r="F3309" t="s">
        <v>385</v>
      </c>
      <c r="G3309" t="s">
        <v>346</v>
      </c>
      <c r="H3309" t="s">
        <v>749</v>
      </c>
      <c r="I3309" t="s">
        <v>743</v>
      </c>
      <c r="J3309" t="s">
        <v>379</v>
      </c>
      <c r="K3309" t="s">
        <v>546</v>
      </c>
      <c r="L3309" s="784">
        <v>0</v>
      </c>
      <c r="M3309" t="s">
        <v>745</v>
      </c>
      <c r="N3309" s="784" t="s">
        <v>575</v>
      </c>
      <c r="O3309" t="s">
        <v>737</v>
      </c>
      <c r="P3309" t="s">
        <v>1887</v>
      </c>
      <c r="R3309" t="s">
        <v>152</v>
      </c>
      <c r="S3309" t="s">
        <v>146</v>
      </c>
      <c r="U3309">
        <v>0</v>
      </c>
      <c r="V3309" t="s">
        <v>544</v>
      </c>
      <c r="W3309" t="s">
        <v>575</v>
      </c>
      <c r="X3309" s="784">
        <v>18250225995.972618</v>
      </c>
    </row>
    <row r="3310" spans="1:24">
      <c r="A3310" t="s">
        <v>358</v>
      </c>
      <c r="B3310" t="s">
        <v>580</v>
      </c>
      <c r="C3310" t="s">
        <v>187</v>
      </c>
      <c r="D3310" t="s">
        <v>128</v>
      </c>
      <c r="E3310" t="s">
        <v>377</v>
      </c>
      <c r="F3310" t="s">
        <v>385</v>
      </c>
      <c r="G3310" t="s">
        <v>346</v>
      </c>
      <c r="H3310" t="s">
        <v>749</v>
      </c>
      <c r="I3310" t="s">
        <v>743</v>
      </c>
      <c r="J3310" t="s">
        <v>379</v>
      </c>
      <c r="K3310" t="s">
        <v>546</v>
      </c>
      <c r="L3310" s="784">
        <v>0</v>
      </c>
      <c r="M3310" t="s">
        <v>745</v>
      </c>
      <c r="N3310" s="784" t="s">
        <v>575</v>
      </c>
      <c r="O3310" t="s">
        <v>737</v>
      </c>
      <c r="P3310" t="s">
        <v>1887</v>
      </c>
      <c r="R3310" t="s">
        <v>150</v>
      </c>
      <c r="S3310" t="s">
        <v>145</v>
      </c>
      <c r="U3310">
        <v>0</v>
      </c>
      <c r="V3310" t="s">
        <v>541</v>
      </c>
      <c r="W3310" t="s">
        <v>562</v>
      </c>
      <c r="X3310" s="784">
        <v>5027591.1682657599</v>
      </c>
    </row>
    <row r="3311" spans="1:24">
      <c r="A3311" t="s">
        <v>358</v>
      </c>
      <c r="B3311" t="s">
        <v>581</v>
      </c>
      <c r="C3311" t="s">
        <v>188</v>
      </c>
      <c r="D3311" t="s">
        <v>129</v>
      </c>
      <c r="E3311" t="s">
        <v>377</v>
      </c>
      <c r="F3311" t="s">
        <v>385</v>
      </c>
      <c r="G3311" t="s">
        <v>346</v>
      </c>
      <c r="H3311" t="s">
        <v>749</v>
      </c>
      <c r="I3311" t="s">
        <v>743</v>
      </c>
      <c r="J3311" t="s">
        <v>379</v>
      </c>
      <c r="K3311" t="s">
        <v>546</v>
      </c>
      <c r="L3311" s="784">
        <v>1693999</v>
      </c>
      <c r="M3311" t="s">
        <v>745</v>
      </c>
      <c r="N3311" s="784" t="s">
        <v>575</v>
      </c>
      <c r="O3311" t="s">
        <v>737</v>
      </c>
      <c r="P3311" t="s">
        <v>1887</v>
      </c>
      <c r="R3311" t="s">
        <v>148</v>
      </c>
      <c r="S3311" t="s">
        <v>145</v>
      </c>
      <c r="U3311">
        <v>3</v>
      </c>
      <c r="V3311" t="s">
        <v>544</v>
      </c>
      <c r="W3311" t="s">
        <v>562</v>
      </c>
      <c r="X3311" s="784">
        <v>234645958.63289919</v>
      </c>
    </row>
    <row r="3312" spans="1:24">
      <c r="A3312" t="s">
        <v>358</v>
      </c>
      <c r="B3312" t="s">
        <v>582</v>
      </c>
      <c r="C3312" t="s">
        <v>189</v>
      </c>
      <c r="D3312" t="s">
        <v>129</v>
      </c>
      <c r="E3312" t="s">
        <v>377</v>
      </c>
      <c r="F3312" t="s">
        <v>385</v>
      </c>
      <c r="G3312" t="s">
        <v>346</v>
      </c>
      <c r="H3312" t="s">
        <v>749</v>
      </c>
      <c r="I3312" t="s">
        <v>743</v>
      </c>
      <c r="J3312" t="s">
        <v>379</v>
      </c>
      <c r="K3312" t="s">
        <v>546</v>
      </c>
      <c r="L3312" s="784">
        <v>0</v>
      </c>
      <c r="M3312" t="s">
        <v>745</v>
      </c>
      <c r="N3312" s="784" t="s">
        <v>575</v>
      </c>
      <c r="O3312" t="s">
        <v>737</v>
      </c>
      <c r="P3312" t="s">
        <v>1887</v>
      </c>
      <c r="R3312" t="s">
        <v>150</v>
      </c>
      <c r="S3312" t="s">
        <v>145</v>
      </c>
      <c r="U3312">
        <v>2</v>
      </c>
      <c r="V3312" t="s">
        <v>544</v>
      </c>
      <c r="W3312" t="s">
        <v>583</v>
      </c>
      <c r="X3312" s="784">
        <v>91590910.247314155</v>
      </c>
    </row>
    <row r="3313" spans="1:24">
      <c r="A3313" t="s">
        <v>358</v>
      </c>
      <c r="B3313" t="s">
        <v>584</v>
      </c>
      <c r="C3313" t="s">
        <v>190</v>
      </c>
      <c r="D3313" t="s">
        <v>126</v>
      </c>
      <c r="E3313" t="s">
        <v>377</v>
      </c>
      <c r="F3313" t="s">
        <v>385</v>
      </c>
      <c r="G3313" t="s">
        <v>346</v>
      </c>
      <c r="H3313" t="s">
        <v>749</v>
      </c>
      <c r="I3313" t="s">
        <v>743</v>
      </c>
      <c r="J3313" t="s">
        <v>379</v>
      </c>
      <c r="K3313" t="s">
        <v>546</v>
      </c>
      <c r="L3313" s="784">
        <v>0</v>
      </c>
      <c r="M3313" t="s">
        <v>745</v>
      </c>
      <c r="N3313" s="784" t="s">
        <v>575</v>
      </c>
      <c r="O3313" t="s">
        <v>737</v>
      </c>
      <c r="P3313" t="s">
        <v>1887</v>
      </c>
      <c r="R3313" t="s">
        <v>322</v>
      </c>
      <c r="S3313" t="s">
        <v>146</v>
      </c>
      <c r="U3313">
        <v>0</v>
      </c>
      <c r="V3313" t="s">
        <v>541</v>
      </c>
      <c r="W3313" t="s">
        <v>546</v>
      </c>
      <c r="X3313" s="784">
        <v>8560012.8840167802</v>
      </c>
    </row>
    <row r="3314" spans="1:24">
      <c r="A3314" t="s">
        <v>358</v>
      </c>
      <c r="B3314" t="s">
        <v>585</v>
      </c>
      <c r="C3314" t="s">
        <v>191</v>
      </c>
      <c r="D3314" t="s">
        <v>130</v>
      </c>
      <c r="E3314" t="s">
        <v>377</v>
      </c>
      <c r="F3314" t="s">
        <v>385</v>
      </c>
      <c r="G3314" t="s">
        <v>346</v>
      </c>
      <c r="H3314" t="s">
        <v>749</v>
      </c>
      <c r="I3314" t="s">
        <v>743</v>
      </c>
      <c r="J3314" t="s">
        <v>379</v>
      </c>
      <c r="K3314" t="s">
        <v>546</v>
      </c>
      <c r="L3314" s="784">
        <v>0</v>
      </c>
      <c r="M3314" t="s">
        <v>745</v>
      </c>
      <c r="N3314" s="784" t="s">
        <v>575</v>
      </c>
      <c r="O3314" t="s">
        <v>737</v>
      </c>
      <c r="P3314" t="s">
        <v>1887</v>
      </c>
      <c r="R3314" t="s">
        <v>152</v>
      </c>
      <c r="S3314" t="s">
        <v>146</v>
      </c>
      <c r="U3314">
        <v>0</v>
      </c>
      <c r="V3314" t="s">
        <v>544</v>
      </c>
      <c r="W3314" t="s">
        <v>546</v>
      </c>
      <c r="X3314" s="784">
        <v>3292372960.3962669</v>
      </c>
    </row>
    <row r="3315" spans="1:24">
      <c r="A3315" t="s">
        <v>358</v>
      </c>
      <c r="B3315" t="s">
        <v>586</v>
      </c>
      <c r="C3315" t="s">
        <v>192</v>
      </c>
      <c r="D3315" t="s">
        <v>129</v>
      </c>
      <c r="E3315" t="s">
        <v>377</v>
      </c>
      <c r="F3315" t="s">
        <v>385</v>
      </c>
      <c r="G3315" t="s">
        <v>346</v>
      </c>
      <c r="H3315" t="s">
        <v>749</v>
      </c>
      <c r="I3315" t="s">
        <v>743</v>
      </c>
      <c r="J3315" t="s">
        <v>379</v>
      </c>
      <c r="K3315" t="s">
        <v>546</v>
      </c>
      <c r="L3315" s="784">
        <v>0</v>
      </c>
      <c r="M3315" t="s">
        <v>745</v>
      </c>
      <c r="N3315" s="784" t="s">
        <v>575</v>
      </c>
      <c r="O3315" t="s">
        <v>737</v>
      </c>
      <c r="P3315" t="s">
        <v>1887</v>
      </c>
      <c r="R3315" t="s">
        <v>150</v>
      </c>
      <c r="S3315" t="s">
        <v>145</v>
      </c>
      <c r="U3315">
        <v>0</v>
      </c>
      <c r="V3315" t="s">
        <v>544</v>
      </c>
      <c r="W3315" t="s">
        <v>562</v>
      </c>
      <c r="X3315" s="784">
        <v>519209981.22981054</v>
      </c>
    </row>
    <row r="3316" spans="1:24">
      <c r="A3316" t="s">
        <v>358</v>
      </c>
      <c r="B3316" t="s">
        <v>587</v>
      </c>
      <c r="C3316" t="s">
        <v>193</v>
      </c>
      <c r="D3316" t="s">
        <v>127</v>
      </c>
      <c r="E3316" t="s">
        <v>377</v>
      </c>
      <c r="F3316" t="s">
        <v>385</v>
      </c>
      <c r="G3316" t="s">
        <v>346</v>
      </c>
      <c r="H3316" t="s">
        <v>749</v>
      </c>
      <c r="I3316" t="s">
        <v>743</v>
      </c>
      <c r="J3316" t="s">
        <v>379</v>
      </c>
      <c r="K3316" t="s">
        <v>546</v>
      </c>
      <c r="L3316" s="784">
        <v>0</v>
      </c>
      <c r="M3316" t="s">
        <v>745</v>
      </c>
      <c r="N3316" s="784" t="s">
        <v>575</v>
      </c>
      <c r="O3316" t="s">
        <v>737</v>
      </c>
      <c r="P3316" t="s">
        <v>1887</v>
      </c>
      <c r="R3316" t="s">
        <v>550</v>
      </c>
      <c r="S3316" t="s">
        <v>146</v>
      </c>
      <c r="U3316">
        <v>0</v>
      </c>
      <c r="V3316" t="s">
        <v>544</v>
      </c>
      <c r="W3316" t="s">
        <v>575</v>
      </c>
      <c r="X3316" s="784">
        <v>3464739907.1604805</v>
      </c>
    </row>
    <row r="3317" spans="1:24">
      <c r="A3317" t="s">
        <v>358</v>
      </c>
      <c r="B3317" t="s">
        <v>588</v>
      </c>
      <c r="C3317" t="s">
        <v>147</v>
      </c>
      <c r="D3317" t="s">
        <v>130</v>
      </c>
      <c r="E3317" t="s">
        <v>377</v>
      </c>
      <c r="F3317" t="s">
        <v>385</v>
      </c>
      <c r="G3317" t="s">
        <v>346</v>
      </c>
      <c r="H3317" t="s">
        <v>749</v>
      </c>
      <c r="I3317" t="s">
        <v>743</v>
      </c>
      <c r="J3317" t="s">
        <v>379</v>
      </c>
      <c r="K3317" t="s">
        <v>546</v>
      </c>
      <c r="L3317" s="784">
        <v>0</v>
      </c>
      <c r="M3317" t="s">
        <v>745</v>
      </c>
      <c r="N3317" s="784" t="s">
        <v>575</v>
      </c>
      <c r="O3317" t="s">
        <v>737</v>
      </c>
      <c r="P3317" t="s">
        <v>1887</v>
      </c>
      <c r="R3317" t="s">
        <v>152</v>
      </c>
      <c r="S3317" t="s">
        <v>146</v>
      </c>
      <c r="U3317">
        <v>0</v>
      </c>
      <c r="V3317" t="s">
        <v>541</v>
      </c>
      <c r="W3317" t="s">
        <v>575</v>
      </c>
      <c r="X3317" s="784">
        <v>9948521252.2569065</v>
      </c>
    </row>
    <row r="3318" spans="1:24">
      <c r="A3318" t="s">
        <v>358</v>
      </c>
      <c r="B3318" t="s">
        <v>589</v>
      </c>
      <c r="C3318" t="s">
        <v>194</v>
      </c>
      <c r="D3318" t="s">
        <v>131</v>
      </c>
      <c r="E3318" t="s">
        <v>377</v>
      </c>
      <c r="F3318" t="s">
        <v>385</v>
      </c>
      <c r="G3318" t="s">
        <v>346</v>
      </c>
      <c r="H3318" t="s">
        <v>749</v>
      </c>
      <c r="I3318" t="s">
        <v>743</v>
      </c>
      <c r="J3318" t="s">
        <v>379</v>
      </c>
      <c r="K3318" t="s">
        <v>546</v>
      </c>
      <c r="L3318" s="784">
        <v>0</v>
      </c>
      <c r="M3318" t="s">
        <v>745</v>
      </c>
      <c r="N3318" s="784" t="s">
        <v>575</v>
      </c>
      <c r="O3318" t="s">
        <v>737</v>
      </c>
      <c r="P3318" t="s">
        <v>1887</v>
      </c>
      <c r="R3318" t="s">
        <v>150</v>
      </c>
      <c r="S3318" t="s">
        <v>145</v>
      </c>
      <c r="U3318">
        <v>1</v>
      </c>
      <c r="V3318" t="s">
        <v>544</v>
      </c>
      <c r="W3318" t="s">
        <v>542</v>
      </c>
      <c r="X3318" s="784">
        <v>33679192.765657313</v>
      </c>
    </row>
    <row r="3319" spans="1:24">
      <c r="A3319" t="s">
        <v>358</v>
      </c>
      <c r="B3319" t="s">
        <v>590</v>
      </c>
      <c r="C3319" t="s">
        <v>195</v>
      </c>
      <c r="D3319" t="s">
        <v>130</v>
      </c>
      <c r="E3319" t="s">
        <v>377</v>
      </c>
      <c r="F3319" t="s">
        <v>385</v>
      </c>
      <c r="G3319" t="s">
        <v>346</v>
      </c>
      <c r="H3319" t="s">
        <v>749</v>
      </c>
      <c r="I3319" t="s">
        <v>743</v>
      </c>
      <c r="J3319" t="s">
        <v>379</v>
      </c>
      <c r="K3319" t="s">
        <v>546</v>
      </c>
      <c r="L3319" s="784">
        <v>0</v>
      </c>
      <c r="M3319" t="s">
        <v>745</v>
      </c>
      <c r="N3319" s="784" t="s">
        <v>575</v>
      </c>
      <c r="O3319" t="s">
        <v>737</v>
      </c>
      <c r="P3319" t="s">
        <v>1887</v>
      </c>
      <c r="R3319" t="s">
        <v>152</v>
      </c>
      <c r="S3319" t="s">
        <v>145</v>
      </c>
      <c r="U3319">
        <v>0</v>
      </c>
      <c r="V3319" t="s">
        <v>541</v>
      </c>
      <c r="W3319" t="s">
        <v>548</v>
      </c>
      <c r="X3319" s="784">
        <v>22784494.365742501</v>
      </c>
    </row>
    <row r="3320" spans="1:24">
      <c r="A3320" t="s">
        <v>358</v>
      </c>
      <c r="B3320" t="s">
        <v>591</v>
      </c>
      <c r="C3320" t="s">
        <v>196</v>
      </c>
      <c r="D3320" t="s">
        <v>130</v>
      </c>
      <c r="E3320" t="s">
        <v>377</v>
      </c>
      <c r="F3320" t="s">
        <v>385</v>
      </c>
      <c r="G3320" t="s">
        <v>346</v>
      </c>
      <c r="H3320" t="s">
        <v>749</v>
      </c>
      <c r="I3320" t="s">
        <v>743</v>
      </c>
      <c r="J3320" t="s">
        <v>379</v>
      </c>
      <c r="K3320" t="s">
        <v>546</v>
      </c>
      <c r="L3320" s="784">
        <v>0</v>
      </c>
      <c r="M3320" t="s">
        <v>745</v>
      </c>
      <c r="N3320" s="784" t="s">
        <v>575</v>
      </c>
      <c r="O3320" t="s">
        <v>737</v>
      </c>
      <c r="P3320" t="s">
        <v>1887</v>
      </c>
      <c r="R3320" t="s">
        <v>152</v>
      </c>
      <c r="S3320" t="s">
        <v>146</v>
      </c>
      <c r="U3320">
        <v>0</v>
      </c>
      <c r="V3320" t="s">
        <v>541</v>
      </c>
      <c r="W3320" t="s">
        <v>575</v>
      </c>
      <c r="X3320" s="784">
        <v>2173208011.4858823</v>
      </c>
    </row>
    <row r="3321" spans="1:24">
      <c r="A3321" t="s">
        <v>358</v>
      </c>
      <c r="B3321" t="s">
        <v>592</v>
      </c>
      <c r="C3321" t="s">
        <v>197</v>
      </c>
      <c r="D3321" t="s">
        <v>130</v>
      </c>
      <c r="E3321" t="s">
        <v>377</v>
      </c>
      <c r="F3321" t="s">
        <v>385</v>
      </c>
      <c r="G3321" t="s">
        <v>346</v>
      </c>
      <c r="H3321" t="s">
        <v>749</v>
      </c>
      <c r="I3321" t="s">
        <v>743</v>
      </c>
      <c r="J3321" t="s">
        <v>379</v>
      </c>
      <c r="K3321" t="s">
        <v>546</v>
      </c>
      <c r="L3321" s="784">
        <v>0</v>
      </c>
      <c r="M3321" t="s">
        <v>745</v>
      </c>
      <c r="N3321" s="784" t="s">
        <v>575</v>
      </c>
      <c r="O3321" t="s">
        <v>737</v>
      </c>
      <c r="P3321" t="s">
        <v>1887</v>
      </c>
      <c r="R3321" t="s">
        <v>152</v>
      </c>
      <c r="S3321" t="s">
        <v>146</v>
      </c>
      <c r="U3321">
        <v>0</v>
      </c>
      <c r="V3321" t="s">
        <v>544</v>
      </c>
      <c r="W3321" t="s">
        <v>546</v>
      </c>
      <c r="X3321" s="784">
        <v>4585736158.8323269</v>
      </c>
    </row>
    <row r="3322" spans="1:24">
      <c r="A3322" t="s">
        <v>358</v>
      </c>
      <c r="B3322" t="s">
        <v>593</v>
      </c>
      <c r="C3322" t="s">
        <v>198</v>
      </c>
      <c r="D3322" t="s">
        <v>131</v>
      </c>
      <c r="E3322" t="s">
        <v>377</v>
      </c>
      <c r="F3322" t="s">
        <v>385</v>
      </c>
      <c r="G3322" t="s">
        <v>346</v>
      </c>
      <c r="H3322" t="s">
        <v>749</v>
      </c>
      <c r="I3322" t="s">
        <v>743</v>
      </c>
      <c r="J3322" t="s">
        <v>379</v>
      </c>
      <c r="K3322" t="s">
        <v>546</v>
      </c>
      <c r="L3322" s="784">
        <v>0</v>
      </c>
      <c r="M3322" t="s">
        <v>745</v>
      </c>
      <c r="N3322" s="784" t="s">
        <v>575</v>
      </c>
      <c r="O3322" t="s">
        <v>737</v>
      </c>
      <c r="P3322" t="s">
        <v>1887</v>
      </c>
      <c r="R3322" t="s">
        <v>150</v>
      </c>
      <c r="S3322" t="s">
        <v>145</v>
      </c>
      <c r="U3322">
        <v>0</v>
      </c>
      <c r="V3322" t="s">
        <v>544</v>
      </c>
      <c r="W3322" t="s">
        <v>546</v>
      </c>
      <c r="X3322" s="784">
        <v>3550291584.8645592</v>
      </c>
    </row>
    <row r="3323" spans="1:24">
      <c r="A3323" t="s">
        <v>358</v>
      </c>
      <c r="B3323" t="s">
        <v>594</v>
      </c>
      <c r="C3323" t="s">
        <v>199</v>
      </c>
      <c r="D3323" t="s">
        <v>130</v>
      </c>
      <c r="E3323" t="s">
        <v>377</v>
      </c>
      <c r="F3323" t="s">
        <v>385</v>
      </c>
      <c r="G3323" t="s">
        <v>346</v>
      </c>
      <c r="H3323" t="s">
        <v>749</v>
      </c>
      <c r="I3323" t="s">
        <v>743</v>
      </c>
      <c r="J3323" t="s">
        <v>379</v>
      </c>
      <c r="K3323" t="s">
        <v>546</v>
      </c>
      <c r="L3323" s="784">
        <v>0</v>
      </c>
      <c r="M3323" t="s">
        <v>745</v>
      </c>
      <c r="N3323" s="784" t="s">
        <v>575</v>
      </c>
      <c r="O3323" t="s">
        <v>737</v>
      </c>
      <c r="P3323" t="s">
        <v>1887</v>
      </c>
      <c r="R3323" t="s">
        <v>150</v>
      </c>
      <c r="S3323" t="s">
        <v>145</v>
      </c>
      <c r="U3323">
        <v>0</v>
      </c>
      <c r="V3323" t="s">
        <v>544</v>
      </c>
      <c r="W3323" t="s">
        <v>546</v>
      </c>
      <c r="X3323" s="784">
        <v>1182840319.0410969</v>
      </c>
    </row>
    <row r="3324" spans="1:24">
      <c r="A3324" t="s">
        <v>358</v>
      </c>
      <c r="B3324" t="s">
        <v>595</v>
      </c>
      <c r="C3324" t="s">
        <v>200</v>
      </c>
      <c r="D3324" t="s">
        <v>130</v>
      </c>
      <c r="E3324" t="s">
        <v>377</v>
      </c>
      <c r="F3324" t="s">
        <v>385</v>
      </c>
      <c r="G3324" t="s">
        <v>346</v>
      </c>
      <c r="H3324" t="s">
        <v>749</v>
      </c>
      <c r="I3324" t="s">
        <v>743</v>
      </c>
      <c r="J3324" t="s">
        <v>379</v>
      </c>
      <c r="K3324" t="s">
        <v>546</v>
      </c>
      <c r="L3324" s="784">
        <v>0</v>
      </c>
      <c r="M3324" t="s">
        <v>745</v>
      </c>
      <c r="N3324" s="784" t="s">
        <v>575</v>
      </c>
      <c r="O3324" t="s">
        <v>737</v>
      </c>
      <c r="P3324" t="s">
        <v>1887</v>
      </c>
      <c r="R3324" t="s">
        <v>152</v>
      </c>
      <c r="S3324" t="s">
        <v>146</v>
      </c>
      <c r="U3324">
        <v>0</v>
      </c>
      <c r="V3324" t="s">
        <v>544</v>
      </c>
      <c r="W3324" t="s">
        <v>575</v>
      </c>
      <c r="X3324" s="784">
        <v>81728347.604567245</v>
      </c>
    </row>
    <row r="3325" spans="1:24">
      <c r="A3325" t="s">
        <v>358</v>
      </c>
      <c r="B3325" t="s">
        <v>596</v>
      </c>
      <c r="C3325" t="s">
        <v>201</v>
      </c>
      <c r="D3325" t="s">
        <v>128</v>
      </c>
      <c r="E3325" t="s">
        <v>377</v>
      </c>
      <c r="F3325" t="s">
        <v>385</v>
      </c>
      <c r="G3325" t="s">
        <v>346</v>
      </c>
      <c r="H3325" t="s">
        <v>749</v>
      </c>
      <c r="I3325" t="s">
        <v>743</v>
      </c>
      <c r="J3325" t="s">
        <v>379</v>
      </c>
      <c r="K3325" t="s">
        <v>546</v>
      </c>
      <c r="L3325" s="784">
        <v>0</v>
      </c>
      <c r="M3325" t="s">
        <v>745</v>
      </c>
      <c r="N3325" s="784" t="s">
        <v>575</v>
      </c>
      <c r="O3325" t="s">
        <v>737</v>
      </c>
      <c r="P3325" t="s">
        <v>1887</v>
      </c>
      <c r="R3325" t="s">
        <v>148</v>
      </c>
      <c r="S3325" t="s">
        <v>145</v>
      </c>
      <c r="U3325">
        <v>2</v>
      </c>
      <c r="V3325" t="s">
        <v>544</v>
      </c>
      <c r="W3325" t="s">
        <v>546</v>
      </c>
      <c r="X3325" s="784">
        <v>12787914.977715338</v>
      </c>
    </row>
    <row r="3326" spans="1:24">
      <c r="A3326" t="s">
        <v>358</v>
      </c>
      <c r="B3326" t="s">
        <v>597</v>
      </c>
      <c r="C3326" t="s">
        <v>202</v>
      </c>
      <c r="D3326" t="s">
        <v>128</v>
      </c>
      <c r="E3326" t="s">
        <v>377</v>
      </c>
      <c r="F3326" t="s">
        <v>385</v>
      </c>
      <c r="G3326" t="s">
        <v>346</v>
      </c>
      <c r="H3326" t="s">
        <v>749</v>
      </c>
      <c r="I3326" t="s">
        <v>743</v>
      </c>
      <c r="J3326" t="s">
        <v>379</v>
      </c>
      <c r="K3326" t="s">
        <v>546</v>
      </c>
      <c r="L3326" s="784">
        <v>783159</v>
      </c>
      <c r="M3326" t="s">
        <v>745</v>
      </c>
      <c r="N3326" s="784" t="s">
        <v>575</v>
      </c>
      <c r="O3326" t="s">
        <v>737</v>
      </c>
      <c r="P3326" t="s">
        <v>1887</v>
      </c>
      <c r="R3326" t="s">
        <v>150</v>
      </c>
      <c r="S3326" t="s">
        <v>145</v>
      </c>
      <c r="U3326">
        <v>2</v>
      </c>
      <c r="V3326" t="s">
        <v>544</v>
      </c>
      <c r="W3326" t="s">
        <v>546</v>
      </c>
      <c r="X3326" s="784">
        <v>101271737.65410839</v>
      </c>
    </row>
    <row r="3327" spans="1:24">
      <c r="A3327" t="s">
        <v>358</v>
      </c>
      <c r="B3327" t="s">
        <v>598</v>
      </c>
      <c r="C3327" t="s">
        <v>203</v>
      </c>
      <c r="D3327" t="s">
        <v>128</v>
      </c>
      <c r="E3327" t="s">
        <v>377</v>
      </c>
      <c r="F3327" t="s">
        <v>385</v>
      </c>
      <c r="G3327" t="s">
        <v>346</v>
      </c>
      <c r="H3327" t="s">
        <v>749</v>
      </c>
      <c r="I3327" t="s">
        <v>743</v>
      </c>
      <c r="J3327" t="s">
        <v>379</v>
      </c>
      <c r="K3327" t="s">
        <v>546</v>
      </c>
      <c r="L3327" s="784">
        <v>2791137</v>
      </c>
      <c r="M3327" t="s">
        <v>745</v>
      </c>
      <c r="N3327" s="784" t="s">
        <v>575</v>
      </c>
      <c r="O3327" t="s">
        <v>737</v>
      </c>
      <c r="P3327" t="s">
        <v>1887</v>
      </c>
      <c r="R3327" t="s">
        <v>148</v>
      </c>
      <c r="S3327" t="s">
        <v>145</v>
      </c>
      <c r="U3327">
        <v>3</v>
      </c>
      <c r="V3327" t="s">
        <v>544</v>
      </c>
      <c r="W3327" t="s">
        <v>542</v>
      </c>
      <c r="X3327" s="784">
        <v>618344226.71759331</v>
      </c>
    </row>
    <row r="3328" spans="1:24">
      <c r="A3328" t="s">
        <v>358</v>
      </c>
      <c r="B3328" t="s">
        <v>599</v>
      </c>
      <c r="C3328" t="s">
        <v>204</v>
      </c>
      <c r="D3328" t="s">
        <v>126</v>
      </c>
      <c r="E3328" t="s">
        <v>377</v>
      </c>
      <c r="F3328" t="s">
        <v>385</v>
      </c>
      <c r="G3328" t="s">
        <v>346</v>
      </c>
      <c r="H3328" t="s">
        <v>749</v>
      </c>
      <c r="I3328" t="s">
        <v>743</v>
      </c>
      <c r="J3328" t="s">
        <v>379</v>
      </c>
      <c r="K3328" t="s">
        <v>546</v>
      </c>
      <c r="L3328" s="784">
        <v>0</v>
      </c>
      <c r="M3328" t="s">
        <v>745</v>
      </c>
      <c r="N3328" s="784" t="s">
        <v>575</v>
      </c>
      <c r="O3328" t="s">
        <v>737</v>
      </c>
      <c r="P3328" t="s">
        <v>1887</v>
      </c>
      <c r="R3328" t="s">
        <v>152</v>
      </c>
      <c r="S3328" t="s">
        <v>145</v>
      </c>
      <c r="U3328">
        <v>0</v>
      </c>
      <c r="V3328" t="s">
        <v>541</v>
      </c>
      <c r="W3328" t="s">
        <v>548</v>
      </c>
      <c r="X3328" s="784">
        <v>129483872.95906857</v>
      </c>
    </row>
    <row r="3329" spans="1:24">
      <c r="A3329" t="s">
        <v>358</v>
      </c>
      <c r="B3329" t="s">
        <v>600</v>
      </c>
      <c r="C3329" t="s">
        <v>205</v>
      </c>
      <c r="D3329" t="s">
        <v>129</v>
      </c>
      <c r="E3329" t="s">
        <v>377</v>
      </c>
      <c r="F3329" t="s">
        <v>385</v>
      </c>
      <c r="G3329" t="s">
        <v>346</v>
      </c>
      <c r="H3329" t="s">
        <v>749</v>
      </c>
      <c r="I3329" t="s">
        <v>743</v>
      </c>
      <c r="J3329" t="s">
        <v>379</v>
      </c>
      <c r="K3329" t="s">
        <v>546</v>
      </c>
      <c r="L3329" s="784">
        <v>0</v>
      </c>
      <c r="M3329" t="s">
        <v>745</v>
      </c>
      <c r="N3329" s="784" t="s">
        <v>575</v>
      </c>
      <c r="O3329" t="s">
        <v>737</v>
      </c>
      <c r="P3329" t="s">
        <v>1887</v>
      </c>
      <c r="R3329" t="s">
        <v>152</v>
      </c>
      <c r="S3329" t="s">
        <v>146</v>
      </c>
      <c r="U3329">
        <v>0</v>
      </c>
      <c r="V3329" t="s">
        <v>544</v>
      </c>
      <c r="W3329" t="s">
        <v>546</v>
      </c>
      <c r="X3329" s="784">
        <v>271184658.35014349</v>
      </c>
    </row>
    <row r="3330" spans="1:24">
      <c r="A3330" t="s">
        <v>358</v>
      </c>
      <c r="B3330" t="s">
        <v>601</v>
      </c>
      <c r="C3330" t="s">
        <v>206</v>
      </c>
      <c r="D3330" t="s">
        <v>129</v>
      </c>
      <c r="E3330" t="s">
        <v>377</v>
      </c>
      <c r="F3330" t="s">
        <v>385</v>
      </c>
      <c r="G3330" t="s">
        <v>346</v>
      </c>
      <c r="H3330" t="s">
        <v>749</v>
      </c>
      <c r="I3330" t="s">
        <v>743</v>
      </c>
      <c r="J3330" t="s">
        <v>379</v>
      </c>
      <c r="K3330" t="s">
        <v>546</v>
      </c>
      <c r="L3330" s="784">
        <v>0</v>
      </c>
      <c r="M3330" t="s">
        <v>745</v>
      </c>
      <c r="N3330" s="784" t="s">
        <v>575</v>
      </c>
      <c r="O3330" t="s">
        <v>737</v>
      </c>
      <c r="P3330" t="s">
        <v>1887</v>
      </c>
      <c r="R3330" t="s">
        <v>148</v>
      </c>
      <c r="S3330" t="s">
        <v>145</v>
      </c>
      <c r="U3330">
        <v>0</v>
      </c>
      <c r="V3330" t="s">
        <v>544</v>
      </c>
      <c r="W3330" t="s">
        <v>542</v>
      </c>
      <c r="X3330" s="784">
        <v>15455265.086884515</v>
      </c>
    </row>
    <row r="3331" spans="1:24">
      <c r="A3331" t="s">
        <v>358</v>
      </c>
      <c r="B3331" t="s">
        <v>602</v>
      </c>
      <c r="C3331" t="s">
        <v>207</v>
      </c>
      <c r="D3331" t="s">
        <v>127</v>
      </c>
      <c r="E3331" t="s">
        <v>377</v>
      </c>
      <c r="F3331" t="s">
        <v>385</v>
      </c>
      <c r="G3331" t="s">
        <v>346</v>
      </c>
      <c r="H3331" t="s">
        <v>749</v>
      </c>
      <c r="I3331" t="s">
        <v>743</v>
      </c>
      <c r="J3331" t="s">
        <v>379</v>
      </c>
      <c r="K3331" t="s">
        <v>546</v>
      </c>
      <c r="L3331" s="784">
        <v>0</v>
      </c>
      <c r="M3331" t="s">
        <v>745</v>
      </c>
      <c r="N3331" s="784" t="s">
        <v>575</v>
      </c>
      <c r="O3331" t="s">
        <v>737</v>
      </c>
      <c r="P3331" t="s">
        <v>1887</v>
      </c>
      <c r="R3331" t="s">
        <v>152</v>
      </c>
      <c r="S3331" t="s">
        <v>146</v>
      </c>
      <c r="U3331">
        <v>0</v>
      </c>
      <c r="V3331" t="s">
        <v>544</v>
      </c>
      <c r="W3331" t="s">
        <v>546</v>
      </c>
      <c r="X3331" s="784">
        <v>494021502.525527</v>
      </c>
    </row>
    <row r="3332" spans="1:24">
      <c r="A3332" t="s">
        <v>358</v>
      </c>
      <c r="B3332" t="s">
        <v>603</v>
      </c>
      <c r="C3332" t="s">
        <v>208</v>
      </c>
      <c r="D3332" t="s">
        <v>129</v>
      </c>
      <c r="E3332" t="s">
        <v>377</v>
      </c>
      <c r="F3332" t="s">
        <v>385</v>
      </c>
      <c r="G3332" t="s">
        <v>346</v>
      </c>
      <c r="H3332" t="s">
        <v>749</v>
      </c>
      <c r="I3332" t="s">
        <v>743</v>
      </c>
      <c r="J3332" t="s">
        <v>379</v>
      </c>
      <c r="K3332" t="s">
        <v>546</v>
      </c>
      <c r="L3332" s="784">
        <v>0</v>
      </c>
      <c r="M3332" t="s">
        <v>745</v>
      </c>
      <c r="N3332" s="784" t="s">
        <v>575</v>
      </c>
      <c r="O3332" t="s">
        <v>737</v>
      </c>
      <c r="P3332" t="s">
        <v>1887</v>
      </c>
      <c r="R3332" t="s">
        <v>150</v>
      </c>
      <c r="S3332" t="s">
        <v>145</v>
      </c>
      <c r="U3332">
        <v>0</v>
      </c>
      <c r="V3332" t="s">
        <v>544</v>
      </c>
      <c r="W3332" t="s">
        <v>542</v>
      </c>
      <c r="X3332" s="784">
        <v>902005621.73836684</v>
      </c>
    </row>
    <row r="3333" spans="1:24">
      <c r="A3333" t="s">
        <v>358</v>
      </c>
      <c r="B3333" t="s">
        <v>604</v>
      </c>
      <c r="C3333" t="s">
        <v>209</v>
      </c>
      <c r="D3333" t="s">
        <v>130</v>
      </c>
      <c r="E3333" t="s">
        <v>377</v>
      </c>
      <c r="F3333" t="s">
        <v>385</v>
      </c>
      <c r="G3333" t="s">
        <v>346</v>
      </c>
      <c r="H3333" t="s">
        <v>749</v>
      </c>
      <c r="I3333" t="s">
        <v>743</v>
      </c>
      <c r="J3333" t="s">
        <v>379</v>
      </c>
      <c r="K3333" t="s">
        <v>546</v>
      </c>
      <c r="L3333" s="784">
        <v>0</v>
      </c>
      <c r="M3333" t="s">
        <v>745</v>
      </c>
      <c r="N3333" s="784" t="s">
        <v>575</v>
      </c>
      <c r="O3333" t="s">
        <v>737</v>
      </c>
      <c r="P3333" t="s">
        <v>1887</v>
      </c>
      <c r="R3333" t="s">
        <v>152</v>
      </c>
      <c r="S3333" t="s">
        <v>145</v>
      </c>
      <c r="U3333">
        <v>0</v>
      </c>
      <c r="V3333" t="s">
        <v>541</v>
      </c>
      <c r="W3333" t="s">
        <v>583</v>
      </c>
      <c r="X3333" s="784">
        <v>20201670.142996579</v>
      </c>
    </row>
    <row r="3334" spans="1:24">
      <c r="A3334" t="s">
        <v>358</v>
      </c>
      <c r="B3334" t="s">
        <v>605</v>
      </c>
      <c r="C3334" t="s">
        <v>210</v>
      </c>
      <c r="D3334" t="s">
        <v>130</v>
      </c>
      <c r="E3334" t="s">
        <v>377</v>
      </c>
      <c r="F3334" t="s">
        <v>385</v>
      </c>
      <c r="G3334" t="s">
        <v>346</v>
      </c>
      <c r="H3334" t="s">
        <v>749</v>
      </c>
      <c r="I3334" t="s">
        <v>743</v>
      </c>
      <c r="J3334" t="s">
        <v>379</v>
      </c>
      <c r="K3334" t="s">
        <v>546</v>
      </c>
      <c r="L3334" s="784">
        <v>0</v>
      </c>
      <c r="M3334" t="s">
        <v>745</v>
      </c>
      <c r="N3334" s="784" t="s">
        <v>575</v>
      </c>
      <c r="O3334" t="s">
        <v>737</v>
      </c>
      <c r="P3334" t="s">
        <v>1887</v>
      </c>
      <c r="R3334" t="s">
        <v>152</v>
      </c>
      <c r="S3334" t="s">
        <v>146</v>
      </c>
      <c r="U3334">
        <v>0</v>
      </c>
      <c r="V3334" t="s">
        <v>544</v>
      </c>
      <c r="W3334" t="s">
        <v>575</v>
      </c>
      <c r="X3334" s="784">
        <v>1612434649.6948864</v>
      </c>
    </row>
    <row r="3335" spans="1:24">
      <c r="A3335" t="s">
        <v>358</v>
      </c>
      <c r="B3335" t="s">
        <v>606</v>
      </c>
      <c r="C3335" t="s">
        <v>211</v>
      </c>
      <c r="D3335" t="s">
        <v>129</v>
      </c>
      <c r="E3335" t="s">
        <v>377</v>
      </c>
      <c r="F3335" t="s">
        <v>385</v>
      </c>
      <c r="G3335" t="s">
        <v>346</v>
      </c>
      <c r="H3335" t="s">
        <v>749</v>
      </c>
      <c r="I3335" t="s">
        <v>743</v>
      </c>
      <c r="J3335" t="s">
        <v>379</v>
      </c>
      <c r="K3335" t="s">
        <v>546</v>
      </c>
      <c r="L3335" s="784">
        <v>0</v>
      </c>
      <c r="M3335" t="s">
        <v>745</v>
      </c>
      <c r="N3335" s="784" t="s">
        <v>575</v>
      </c>
      <c r="O3335" t="s">
        <v>737</v>
      </c>
      <c r="P3335" t="s">
        <v>1887</v>
      </c>
      <c r="R3335" t="s">
        <v>148</v>
      </c>
      <c r="S3335" t="s">
        <v>145</v>
      </c>
      <c r="U3335">
        <v>0</v>
      </c>
      <c r="V3335" t="s">
        <v>544</v>
      </c>
      <c r="W3335" t="s">
        <v>562</v>
      </c>
      <c r="X3335" s="784">
        <v>78203134.118229344</v>
      </c>
    </row>
    <row r="3336" spans="1:24">
      <c r="A3336" t="s">
        <v>358</v>
      </c>
      <c r="B3336" t="s">
        <v>607</v>
      </c>
      <c r="C3336" t="s">
        <v>212</v>
      </c>
      <c r="D3336" t="s">
        <v>129</v>
      </c>
      <c r="E3336" t="s">
        <v>377</v>
      </c>
      <c r="F3336" t="s">
        <v>385</v>
      </c>
      <c r="G3336" t="s">
        <v>346</v>
      </c>
      <c r="H3336" t="s">
        <v>749</v>
      </c>
      <c r="I3336" t="s">
        <v>743</v>
      </c>
      <c r="J3336" t="s">
        <v>379</v>
      </c>
      <c r="K3336" t="s">
        <v>546</v>
      </c>
      <c r="L3336" s="784">
        <v>0</v>
      </c>
      <c r="M3336" t="s">
        <v>745</v>
      </c>
      <c r="N3336" s="784" t="s">
        <v>575</v>
      </c>
      <c r="O3336" t="s">
        <v>737</v>
      </c>
      <c r="P3336" t="s">
        <v>1887</v>
      </c>
      <c r="R3336" t="s">
        <v>148</v>
      </c>
      <c r="S3336" t="s">
        <v>145</v>
      </c>
      <c r="U3336">
        <v>2</v>
      </c>
      <c r="V3336" t="s">
        <v>541</v>
      </c>
      <c r="W3336" t="s">
        <v>542</v>
      </c>
      <c r="X3336" s="784">
        <v>9151637.7411015611</v>
      </c>
    </row>
    <row r="3337" spans="1:24">
      <c r="A3337" t="s">
        <v>358</v>
      </c>
      <c r="B3337" t="s">
        <v>608</v>
      </c>
      <c r="C3337" t="s">
        <v>213</v>
      </c>
      <c r="D3337" t="s">
        <v>130</v>
      </c>
      <c r="E3337" t="s">
        <v>377</v>
      </c>
      <c r="F3337" t="s">
        <v>385</v>
      </c>
      <c r="G3337" t="s">
        <v>346</v>
      </c>
      <c r="H3337" t="s">
        <v>749</v>
      </c>
      <c r="I3337" t="s">
        <v>743</v>
      </c>
      <c r="J3337" t="s">
        <v>379</v>
      </c>
      <c r="K3337" t="s">
        <v>546</v>
      </c>
      <c r="L3337" s="784">
        <v>0</v>
      </c>
      <c r="M3337" t="s">
        <v>745</v>
      </c>
      <c r="N3337" s="784" t="s">
        <v>575</v>
      </c>
      <c r="O3337" t="s">
        <v>737</v>
      </c>
      <c r="P3337" t="s">
        <v>1887</v>
      </c>
      <c r="R3337" t="s">
        <v>152</v>
      </c>
      <c r="S3337" t="s">
        <v>145</v>
      </c>
      <c r="U3337">
        <v>0</v>
      </c>
      <c r="V3337" t="s">
        <v>541</v>
      </c>
      <c r="W3337" t="s">
        <v>562</v>
      </c>
      <c r="X3337" s="784">
        <v>142455920.02856269</v>
      </c>
    </row>
    <row r="3338" spans="1:24">
      <c r="A3338" t="s">
        <v>358</v>
      </c>
      <c r="B3338" t="s">
        <v>609</v>
      </c>
      <c r="C3338" t="s">
        <v>214</v>
      </c>
      <c r="D3338" t="s">
        <v>130</v>
      </c>
      <c r="E3338" t="s">
        <v>377</v>
      </c>
      <c r="F3338" t="s">
        <v>385</v>
      </c>
      <c r="G3338" t="s">
        <v>346</v>
      </c>
      <c r="H3338" t="s">
        <v>749</v>
      </c>
      <c r="I3338" t="s">
        <v>743</v>
      </c>
      <c r="J3338" t="s">
        <v>379</v>
      </c>
      <c r="K3338" t="s">
        <v>546</v>
      </c>
      <c r="L3338" s="784">
        <v>0</v>
      </c>
      <c r="M3338" t="s">
        <v>745</v>
      </c>
      <c r="N3338" s="784" t="s">
        <v>575</v>
      </c>
      <c r="O3338" t="s">
        <v>737</v>
      </c>
      <c r="P3338" t="s">
        <v>1887</v>
      </c>
      <c r="R3338" t="s">
        <v>150</v>
      </c>
      <c r="S3338" t="s">
        <v>145</v>
      </c>
      <c r="U3338">
        <v>1</v>
      </c>
      <c r="V3338" t="s">
        <v>541</v>
      </c>
      <c r="W3338" t="s">
        <v>542</v>
      </c>
      <c r="X3338" s="784">
        <v>85611818.171245083</v>
      </c>
    </row>
    <row r="3339" spans="1:24">
      <c r="A3339" t="s">
        <v>358</v>
      </c>
      <c r="B3339" t="s">
        <v>610</v>
      </c>
      <c r="C3339" t="s">
        <v>215</v>
      </c>
      <c r="D3339" t="s">
        <v>130</v>
      </c>
      <c r="E3339" t="s">
        <v>377</v>
      </c>
      <c r="F3339" t="s">
        <v>385</v>
      </c>
      <c r="G3339" t="s">
        <v>346</v>
      </c>
      <c r="H3339" t="s">
        <v>749</v>
      </c>
      <c r="I3339" t="s">
        <v>743</v>
      </c>
      <c r="J3339" t="s">
        <v>379</v>
      </c>
      <c r="K3339" t="s">
        <v>546</v>
      </c>
      <c r="L3339" s="784">
        <v>0</v>
      </c>
      <c r="M3339" t="s">
        <v>745</v>
      </c>
      <c r="N3339" s="784" t="s">
        <v>575</v>
      </c>
      <c r="O3339" t="s">
        <v>737</v>
      </c>
      <c r="P3339" t="s">
        <v>1887</v>
      </c>
      <c r="R3339" t="s">
        <v>150</v>
      </c>
      <c r="S3339" t="s">
        <v>145</v>
      </c>
      <c r="U3339">
        <v>0</v>
      </c>
      <c r="V3339" t="s">
        <v>544</v>
      </c>
      <c r="W3339" t="s">
        <v>558</v>
      </c>
      <c r="X3339" s="784">
        <v>680289736.30082119</v>
      </c>
    </row>
    <row r="3340" spans="1:24">
      <c r="A3340" t="s">
        <v>358</v>
      </c>
      <c r="B3340" t="s">
        <v>611</v>
      </c>
      <c r="C3340" t="s">
        <v>216</v>
      </c>
      <c r="D3340" t="s">
        <v>132</v>
      </c>
      <c r="E3340" t="s">
        <v>377</v>
      </c>
      <c r="F3340" t="s">
        <v>385</v>
      </c>
      <c r="G3340" t="s">
        <v>346</v>
      </c>
      <c r="H3340" t="s">
        <v>749</v>
      </c>
      <c r="I3340" t="s">
        <v>743</v>
      </c>
      <c r="J3340" t="s">
        <v>379</v>
      </c>
      <c r="K3340" t="s">
        <v>546</v>
      </c>
      <c r="L3340" s="784">
        <v>0</v>
      </c>
      <c r="M3340" t="s">
        <v>745</v>
      </c>
      <c r="N3340" s="784" t="s">
        <v>575</v>
      </c>
      <c r="O3340" t="s">
        <v>737</v>
      </c>
      <c r="P3340" t="s">
        <v>1887</v>
      </c>
      <c r="R3340" t="s">
        <v>150</v>
      </c>
      <c r="S3340" t="s">
        <v>145</v>
      </c>
      <c r="U3340">
        <v>0</v>
      </c>
      <c r="V3340" t="s">
        <v>544</v>
      </c>
      <c r="W3340" t="s">
        <v>546</v>
      </c>
      <c r="X3340" s="784">
        <v>26554332750.47023</v>
      </c>
    </row>
    <row r="3341" spans="1:24">
      <c r="A3341" t="s">
        <v>358</v>
      </c>
      <c r="B3341" t="s">
        <v>612</v>
      </c>
      <c r="C3341" t="s">
        <v>217</v>
      </c>
      <c r="D3341" t="s">
        <v>126</v>
      </c>
      <c r="E3341" t="s">
        <v>377</v>
      </c>
      <c r="F3341" t="s">
        <v>385</v>
      </c>
      <c r="G3341" t="s">
        <v>346</v>
      </c>
      <c r="H3341" t="s">
        <v>749</v>
      </c>
      <c r="I3341" t="s">
        <v>743</v>
      </c>
      <c r="J3341" t="s">
        <v>379</v>
      </c>
      <c r="K3341" t="s">
        <v>546</v>
      </c>
      <c r="L3341" s="784">
        <v>0</v>
      </c>
      <c r="M3341" t="s">
        <v>745</v>
      </c>
      <c r="N3341" s="784" t="s">
        <v>575</v>
      </c>
      <c r="O3341" t="s">
        <v>737</v>
      </c>
      <c r="P3341" t="s">
        <v>1887</v>
      </c>
      <c r="R3341" t="s">
        <v>150</v>
      </c>
      <c r="S3341" t="s">
        <v>145</v>
      </c>
      <c r="U3341">
        <v>0</v>
      </c>
      <c r="V3341" t="s">
        <v>544</v>
      </c>
      <c r="W3341" t="s">
        <v>546</v>
      </c>
      <c r="X3341" s="784">
        <v>14745961064.890842</v>
      </c>
    </row>
    <row r="3342" spans="1:24">
      <c r="A3342" t="s">
        <v>358</v>
      </c>
      <c r="B3342" t="s">
        <v>613</v>
      </c>
      <c r="C3342" t="s">
        <v>149</v>
      </c>
      <c r="D3342" t="s">
        <v>131</v>
      </c>
      <c r="E3342" t="s">
        <v>377</v>
      </c>
      <c r="F3342" t="s">
        <v>385</v>
      </c>
      <c r="G3342" t="s">
        <v>346</v>
      </c>
      <c r="H3342" t="s">
        <v>749</v>
      </c>
      <c r="I3342" t="s">
        <v>743</v>
      </c>
      <c r="J3342" t="s">
        <v>379</v>
      </c>
      <c r="K3342" t="s">
        <v>546</v>
      </c>
      <c r="L3342" s="784">
        <v>0</v>
      </c>
      <c r="M3342" t="s">
        <v>745</v>
      </c>
      <c r="N3342" s="784" t="s">
        <v>575</v>
      </c>
      <c r="O3342" t="s">
        <v>737</v>
      </c>
      <c r="P3342" t="s">
        <v>1887</v>
      </c>
      <c r="R3342" t="s">
        <v>150</v>
      </c>
      <c r="S3342" t="s">
        <v>146</v>
      </c>
      <c r="U3342">
        <v>0</v>
      </c>
      <c r="V3342" t="s">
        <v>544</v>
      </c>
      <c r="W3342" t="s">
        <v>546</v>
      </c>
      <c r="X3342" s="784">
        <v>18194076299.786381</v>
      </c>
    </row>
    <row r="3343" spans="1:24">
      <c r="A3343" t="s">
        <v>358</v>
      </c>
      <c r="B3343" t="s">
        <v>614</v>
      </c>
      <c r="C3343" t="s">
        <v>218</v>
      </c>
      <c r="D3343" t="s">
        <v>131</v>
      </c>
      <c r="E3343" t="s">
        <v>377</v>
      </c>
      <c r="F3343" t="s">
        <v>385</v>
      </c>
      <c r="G3343" t="s">
        <v>346</v>
      </c>
      <c r="H3343" t="s">
        <v>749</v>
      </c>
      <c r="I3343" t="s">
        <v>743</v>
      </c>
      <c r="J3343" t="s">
        <v>379</v>
      </c>
      <c r="K3343" t="s">
        <v>546</v>
      </c>
      <c r="L3343" s="784">
        <v>0</v>
      </c>
      <c r="M3343" t="s">
        <v>745</v>
      </c>
      <c r="N3343" s="784" t="s">
        <v>575</v>
      </c>
      <c r="O3343" t="s">
        <v>737</v>
      </c>
      <c r="P3343" t="s">
        <v>1887</v>
      </c>
      <c r="R3343" t="s">
        <v>152</v>
      </c>
      <c r="S3343" t="s">
        <v>146</v>
      </c>
      <c r="U3343">
        <v>0</v>
      </c>
      <c r="V3343" t="s">
        <v>544</v>
      </c>
      <c r="W3343" t="s">
        <v>546</v>
      </c>
      <c r="X3343" s="784">
        <v>4428819387.769825</v>
      </c>
    </row>
    <row r="3344" spans="1:24">
      <c r="A3344" t="s">
        <v>358</v>
      </c>
      <c r="B3344" t="s">
        <v>615</v>
      </c>
      <c r="C3344" t="s">
        <v>219</v>
      </c>
      <c r="D3344" t="s">
        <v>130</v>
      </c>
      <c r="E3344" t="s">
        <v>377</v>
      </c>
      <c r="F3344" t="s">
        <v>385</v>
      </c>
      <c r="G3344" t="s">
        <v>346</v>
      </c>
      <c r="H3344" t="s">
        <v>749</v>
      </c>
      <c r="I3344" t="s">
        <v>743</v>
      </c>
      <c r="J3344" t="s">
        <v>379</v>
      </c>
      <c r="K3344" t="s">
        <v>546</v>
      </c>
      <c r="L3344" s="784">
        <v>0</v>
      </c>
      <c r="M3344" t="s">
        <v>745</v>
      </c>
      <c r="N3344" s="784" t="s">
        <v>575</v>
      </c>
      <c r="O3344" t="s">
        <v>737</v>
      </c>
      <c r="P3344" t="s">
        <v>1887</v>
      </c>
      <c r="R3344" t="s">
        <v>152</v>
      </c>
      <c r="S3344" t="s">
        <v>146</v>
      </c>
      <c r="U3344">
        <v>0</v>
      </c>
      <c r="V3344" t="s">
        <v>541</v>
      </c>
      <c r="W3344" t="s">
        <v>575</v>
      </c>
      <c r="X3344" s="784">
        <v>611739560.62679195</v>
      </c>
    </row>
    <row r="3345" spans="1:24">
      <c r="A3345" t="s">
        <v>358</v>
      </c>
      <c r="B3345" t="s">
        <v>616</v>
      </c>
      <c r="C3345" t="s">
        <v>220</v>
      </c>
      <c r="D3345" t="s">
        <v>131</v>
      </c>
      <c r="E3345" t="s">
        <v>377</v>
      </c>
      <c r="F3345" t="s">
        <v>385</v>
      </c>
      <c r="G3345" t="s">
        <v>346</v>
      </c>
      <c r="H3345" t="s">
        <v>749</v>
      </c>
      <c r="I3345" t="s">
        <v>743</v>
      </c>
      <c r="J3345" t="s">
        <v>379</v>
      </c>
      <c r="K3345" t="s">
        <v>546</v>
      </c>
      <c r="L3345" s="784">
        <v>0</v>
      </c>
      <c r="M3345" t="s">
        <v>745</v>
      </c>
      <c r="N3345" s="784" t="s">
        <v>575</v>
      </c>
      <c r="O3345" t="s">
        <v>737</v>
      </c>
      <c r="P3345" t="s">
        <v>1887</v>
      </c>
      <c r="R3345" t="s">
        <v>152</v>
      </c>
      <c r="S3345" t="s">
        <v>146</v>
      </c>
      <c r="U3345">
        <v>0</v>
      </c>
      <c r="V3345" t="s">
        <v>544</v>
      </c>
      <c r="W3345" t="s">
        <v>546</v>
      </c>
      <c r="X3345" s="784">
        <v>1617913383.0481031</v>
      </c>
    </row>
    <row r="3346" spans="1:24">
      <c r="A3346" t="s">
        <v>358</v>
      </c>
      <c r="B3346" t="s">
        <v>617</v>
      </c>
      <c r="C3346" t="s">
        <v>221</v>
      </c>
      <c r="D3346" t="s">
        <v>127</v>
      </c>
      <c r="E3346" t="s">
        <v>377</v>
      </c>
      <c r="F3346" t="s">
        <v>385</v>
      </c>
      <c r="G3346" t="s">
        <v>346</v>
      </c>
      <c r="H3346" t="s">
        <v>749</v>
      </c>
      <c r="I3346" t="s">
        <v>743</v>
      </c>
      <c r="J3346" t="s">
        <v>379</v>
      </c>
      <c r="K3346" t="s">
        <v>546</v>
      </c>
      <c r="L3346" s="784">
        <v>0</v>
      </c>
      <c r="M3346" t="s">
        <v>745</v>
      </c>
      <c r="N3346" s="784" t="s">
        <v>575</v>
      </c>
      <c r="O3346" t="s">
        <v>737</v>
      </c>
      <c r="P3346" t="s">
        <v>1887</v>
      </c>
      <c r="R3346" t="s">
        <v>152</v>
      </c>
      <c r="S3346" t="s">
        <v>146</v>
      </c>
      <c r="U3346">
        <v>0</v>
      </c>
      <c r="V3346" t="s">
        <v>544</v>
      </c>
      <c r="W3346" t="s">
        <v>575</v>
      </c>
      <c r="X3346" s="784">
        <v>3074419112.4562683</v>
      </c>
    </row>
    <row r="3347" spans="1:24">
      <c r="A3347" t="s">
        <v>358</v>
      </c>
      <c r="B3347" t="s">
        <v>618</v>
      </c>
      <c r="C3347" t="s">
        <v>222</v>
      </c>
      <c r="D3347" t="s">
        <v>128</v>
      </c>
      <c r="E3347" t="s">
        <v>377</v>
      </c>
      <c r="F3347" t="s">
        <v>385</v>
      </c>
      <c r="G3347" t="s">
        <v>346</v>
      </c>
      <c r="H3347" t="s">
        <v>749</v>
      </c>
      <c r="I3347" t="s">
        <v>743</v>
      </c>
      <c r="J3347" t="s">
        <v>379</v>
      </c>
      <c r="K3347" t="s">
        <v>546</v>
      </c>
      <c r="L3347" s="784">
        <v>0</v>
      </c>
      <c r="M3347" t="s">
        <v>745</v>
      </c>
      <c r="N3347" s="784" t="s">
        <v>575</v>
      </c>
      <c r="O3347" t="s">
        <v>737</v>
      </c>
      <c r="P3347" t="s">
        <v>1887</v>
      </c>
      <c r="R3347" t="s">
        <v>150</v>
      </c>
      <c r="S3347" t="s">
        <v>145</v>
      </c>
      <c r="U3347">
        <v>0</v>
      </c>
      <c r="V3347" t="s">
        <v>544</v>
      </c>
      <c r="W3347" t="s">
        <v>542</v>
      </c>
      <c r="X3347" s="784">
        <v>1914014279.8929913</v>
      </c>
    </row>
    <row r="3348" spans="1:24">
      <c r="A3348" t="s">
        <v>358</v>
      </c>
      <c r="B3348" t="s">
        <v>619</v>
      </c>
      <c r="C3348" t="s">
        <v>223</v>
      </c>
      <c r="D3348" t="s">
        <v>126</v>
      </c>
      <c r="E3348" t="s">
        <v>377</v>
      </c>
      <c r="F3348" t="s">
        <v>385</v>
      </c>
      <c r="G3348" t="s">
        <v>346</v>
      </c>
      <c r="H3348" t="s">
        <v>749</v>
      </c>
      <c r="I3348" t="s">
        <v>743</v>
      </c>
      <c r="J3348" t="s">
        <v>379</v>
      </c>
      <c r="K3348" t="s">
        <v>546</v>
      </c>
      <c r="L3348" s="784">
        <v>0</v>
      </c>
      <c r="M3348" t="s">
        <v>745</v>
      </c>
      <c r="N3348" s="784" t="s">
        <v>575</v>
      </c>
      <c r="O3348" t="s">
        <v>737</v>
      </c>
      <c r="P3348" t="s">
        <v>1887</v>
      </c>
      <c r="R3348" t="s">
        <v>150</v>
      </c>
      <c r="S3348" t="s">
        <v>145</v>
      </c>
      <c r="U3348">
        <v>0</v>
      </c>
      <c r="V3348" t="s">
        <v>541</v>
      </c>
      <c r="W3348" t="s">
        <v>542</v>
      </c>
      <c r="X3348" s="784">
        <v>17422005.762907442</v>
      </c>
    </row>
    <row r="3349" spans="1:24">
      <c r="A3349" t="s">
        <v>358</v>
      </c>
      <c r="B3349" t="s">
        <v>620</v>
      </c>
      <c r="C3349" t="s">
        <v>224</v>
      </c>
      <c r="D3349" t="s">
        <v>126</v>
      </c>
      <c r="E3349" t="s">
        <v>377</v>
      </c>
      <c r="F3349" t="s">
        <v>385</v>
      </c>
      <c r="G3349" t="s">
        <v>346</v>
      </c>
      <c r="H3349" t="s">
        <v>749</v>
      </c>
      <c r="I3349" t="s">
        <v>743</v>
      </c>
      <c r="J3349" t="s">
        <v>379</v>
      </c>
      <c r="K3349" t="s">
        <v>546</v>
      </c>
      <c r="L3349" s="784">
        <v>0</v>
      </c>
      <c r="M3349" t="s">
        <v>745</v>
      </c>
      <c r="N3349" s="784" t="s">
        <v>575</v>
      </c>
      <c r="O3349" t="s">
        <v>737</v>
      </c>
      <c r="P3349" t="s">
        <v>1887</v>
      </c>
      <c r="R3349" t="s">
        <v>148</v>
      </c>
      <c r="S3349" t="s">
        <v>145</v>
      </c>
      <c r="U3349">
        <v>0</v>
      </c>
      <c r="V3349" t="s">
        <v>544</v>
      </c>
      <c r="W3349" t="s">
        <v>546</v>
      </c>
      <c r="X3349" s="784" t="s">
        <v>575</v>
      </c>
    </row>
    <row r="3350" spans="1:24">
      <c r="A3350" t="s">
        <v>358</v>
      </c>
      <c r="B3350" t="s">
        <v>621</v>
      </c>
      <c r="C3350" t="s">
        <v>225</v>
      </c>
      <c r="D3350" t="s">
        <v>127</v>
      </c>
      <c r="E3350" t="s">
        <v>377</v>
      </c>
      <c r="F3350" t="s">
        <v>385</v>
      </c>
      <c r="G3350" t="s">
        <v>346</v>
      </c>
      <c r="H3350" t="s">
        <v>749</v>
      </c>
      <c r="I3350" t="s">
        <v>743</v>
      </c>
      <c r="J3350" t="s">
        <v>379</v>
      </c>
      <c r="K3350" t="s">
        <v>546</v>
      </c>
      <c r="L3350" s="784">
        <v>0</v>
      </c>
      <c r="M3350" t="s">
        <v>745</v>
      </c>
      <c r="N3350" s="784" t="s">
        <v>575</v>
      </c>
      <c r="O3350" t="s">
        <v>737</v>
      </c>
      <c r="P3350" t="s">
        <v>1887</v>
      </c>
      <c r="R3350" t="s">
        <v>152</v>
      </c>
      <c r="S3350" t="s">
        <v>145</v>
      </c>
      <c r="U3350">
        <v>0</v>
      </c>
      <c r="V3350" t="s">
        <v>544</v>
      </c>
      <c r="W3350" t="s">
        <v>548</v>
      </c>
      <c r="X3350" s="784" t="s">
        <v>575</v>
      </c>
    </row>
    <row r="3351" spans="1:24">
      <c r="A3351" t="s">
        <v>358</v>
      </c>
      <c r="B3351" t="s">
        <v>622</v>
      </c>
      <c r="C3351" t="s">
        <v>226</v>
      </c>
      <c r="D3351" t="s">
        <v>127</v>
      </c>
      <c r="E3351" t="s">
        <v>377</v>
      </c>
      <c r="F3351" t="s">
        <v>385</v>
      </c>
      <c r="G3351" t="s">
        <v>346</v>
      </c>
      <c r="H3351" t="s">
        <v>749</v>
      </c>
      <c r="I3351" t="s">
        <v>743</v>
      </c>
      <c r="J3351" t="s">
        <v>379</v>
      </c>
      <c r="K3351" t="s">
        <v>546</v>
      </c>
      <c r="L3351" s="784">
        <v>0</v>
      </c>
      <c r="M3351" t="s">
        <v>745</v>
      </c>
      <c r="N3351" s="784" t="s">
        <v>575</v>
      </c>
      <c r="O3351" t="s">
        <v>737</v>
      </c>
      <c r="P3351" t="s">
        <v>1887</v>
      </c>
      <c r="R3351" t="s">
        <v>150</v>
      </c>
      <c r="S3351" t="s">
        <v>145</v>
      </c>
      <c r="U3351">
        <v>2</v>
      </c>
      <c r="V3351" t="s">
        <v>544</v>
      </c>
      <c r="W3351" t="s">
        <v>562</v>
      </c>
      <c r="X3351" s="784">
        <v>231506834.84347546</v>
      </c>
    </row>
    <row r="3352" spans="1:24">
      <c r="A3352" t="s">
        <v>358</v>
      </c>
      <c r="B3352" t="s">
        <v>623</v>
      </c>
      <c r="C3352" t="s">
        <v>227</v>
      </c>
      <c r="D3352" t="s">
        <v>126</v>
      </c>
      <c r="E3352" t="s">
        <v>377</v>
      </c>
      <c r="F3352" t="s">
        <v>385</v>
      </c>
      <c r="G3352" t="s">
        <v>346</v>
      </c>
      <c r="H3352" t="s">
        <v>749</v>
      </c>
      <c r="I3352" t="s">
        <v>743</v>
      </c>
      <c r="J3352" t="s">
        <v>379</v>
      </c>
      <c r="K3352" t="s">
        <v>546</v>
      </c>
      <c r="L3352" s="784">
        <v>0</v>
      </c>
      <c r="M3352" t="s">
        <v>745</v>
      </c>
      <c r="N3352" s="784" t="s">
        <v>575</v>
      </c>
      <c r="O3352" t="s">
        <v>737</v>
      </c>
      <c r="P3352" t="s">
        <v>1887</v>
      </c>
      <c r="R3352" t="s">
        <v>150</v>
      </c>
      <c r="S3352" t="s">
        <v>145</v>
      </c>
      <c r="U3352">
        <v>0</v>
      </c>
      <c r="V3352" t="s">
        <v>544</v>
      </c>
      <c r="W3352" t="s">
        <v>542</v>
      </c>
      <c r="X3352" s="784">
        <v>156059428.62944782</v>
      </c>
    </row>
    <row r="3353" spans="1:24">
      <c r="A3353" t="s">
        <v>358</v>
      </c>
      <c r="B3353" t="s">
        <v>624</v>
      </c>
      <c r="C3353" t="s">
        <v>228</v>
      </c>
      <c r="D3353" t="s">
        <v>131</v>
      </c>
      <c r="E3353" t="s">
        <v>377</v>
      </c>
      <c r="F3353" t="s">
        <v>385</v>
      </c>
      <c r="G3353" t="s">
        <v>346</v>
      </c>
      <c r="H3353" t="s">
        <v>749</v>
      </c>
      <c r="I3353" t="s">
        <v>743</v>
      </c>
      <c r="J3353" t="s">
        <v>379</v>
      </c>
      <c r="K3353" t="s">
        <v>546</v>
      </c>
      <c r="L3353" s="784">
        <v>0</v>
      </c>
      <c r="M3353" t="s">
        <v>745</v>
      </c>
      <c r="N3353" s="784" t="s">
        <v>575</v>
      </c>
      <c r="O3353" t="s">
        <v>737</v>
      </c>
      <c r="P3353" t="s">
        <v>1887</v>
      </c>
      <c r="R3353" t="s">
        <v>152</v>
      </c>
      <c r="S3353" t="s">
        <v>146</v>
      </c>
      <c r="U3353">
        <v>0</v>
      </c>
      <c r="V3353" t="s">
        <v>544</v>
      </c>
      <c r="W3353" t="s">
        <v>546</v>
      </c>
      <c r="X3353" s="784">
        <v>2355391507.1635861</v>
      </c>
    </row>
    <row r="3354" spans="1:24">
      <c r="A3354" t="s">
        <v>358</v>
      </c>
      <c r="B3354" t="s">
        <v>625</v>
      </c>
      <c r="C3354" t="s">
        <v>229</v>
      </c>
      <c r="D3354" t="s">
        <v>128</v>
      </c>
      <c r="E3354" t="s">
        <v>377</v>
      </c>
      <c r="F3354" t="s">
        <v>385</v>
      </c>
      <c r="G3354" t="s">
        <v>346</v>
      </c>
      <c r="H3354" t="s">
        <v>749</v>
      </c>
      <c r="I3354" t="s">
        <v>743</v>
      </c>
      <c r="J3354" t="s">
        <v>379</v>
      </c>
      <c r="K3354" t="s">
        <v>546</v>
      </c>
      <c r="L3354" s="784">
        <v>679123</v>
      </c>
      <c r="M3354" t="s">
        <v>745</v>
      </c>
      <c r="N3354" s="784" t="s">
        <v>575</v>
      </c>
      <c r="O3354" t="s">
        <v>737</v>
      </c>
      <c r="P3354" t="s">
        <v>1887</v>
      </c>
      <c r="R3354" t="s">
        <v>150</v>
      </c>
      <c r="S3354" t="s">
        <v>145</v>
      </c>
      <c r="U3354">
        <v>0</v>
      </c>
      <c r="V3354" t="s">
        <v>544</v>
      </c>
      <c r="W3354" t="s">
        <v>562</v>
      </c>
      <c r="X3354" s="784">
        <v>152760919.7684873</v>
      </c>
    </row>
    <row r="3355" spans="1:24">
      <c r="A3355" t="s">
        <v>358</v>
      </c>
      <c r="B3355" t="s">
        <v>626</v>
      </c>
      <c r="C3355" t="s">
        <v>230</v>
      </c>
      <c r="D3355" t="s">
        <v>129</v>
      </c>
      <c r="E3355" t="s">
        <v>377</v>
      </c>
      <c r="F3355" t="s">
        <v>385</v>
      </c>
      <c r="G3355" t="s">
        <v>346</v>
      </c>
      <c r="H3355" t="s">
        <v>749</v>
      </c>
      <c r="I3355" t="s">
        <v>743</v>
      </c>
      <c r="J3355" t="s">
        <v>379</v>
      </c>
      <c r="K3355" t="s">
        <v>546</v>
      </c>
      <c r="L3355" s="784">
        <v>0</v>
      </c>
      <c r="M3355" t="s">
        <v>745</v>
      </c>
      <c r="N3355" s="784" t="s">
        <v>575</v>
      </c>
      <c r="O3355" t="s">
        <v>737</v>
      </c>
      <c r="P3355" t="s">
        <v>1887</v>
      </c>
      <c r="R3355" t="s">
        <v>148</v>
      </c>
      <c r="S3355" t="s">
        <v>145</v>
      </c>
      <c r="U3355">
        <v>0</v>
      </c>
      <c r="V3355" t="s">
        <v>544</v>
      </c>
      <c r="W3355" t="s">
        <v>542</v>
      </c>
      <c r="X3355" s="784">
        <v>55072006.864440605</v>
      </c>
    </row>
    <row r="3356" spans="1:24">
      <c r="A3356" t="s">
        <v>358</v>
      </c>
      <c r="B3356" t="s">
        <v>627</v>
      </c>
      <c r="C3356" t="s">
        <v>231</v>
      </c>
      <c r="D3356" t="s">
        <v>131</v>
      </c>
      <c r="E3356" t="s">
        <v>377</v>
      </c>
      <c r="F3356" t="s">
        <v>385</v>
      </c>
      <c r="G3356" t="s">
        <v>346</v>
      </c>
      <c r="H3356" t="s">
        <v>749</v>
      </c>
      <c r="I3356" t="s">
        <v>743</v>
      </c>
      <c r="J3356" t="s">
        <v>379</v>
      </c>
      <c r="K3356" t="s">
        <v>546</v>
      </c>
      <c r="L3356" s="784">
        <v>1789976</v>
      </c>
      <c r="M3356" t="s">
        <v>745</v>
      </c>
      <c r="N3356" s="784" t="s">
        <v>575</v>
      </c>
      <c r="O3356" t="s">
        <v>737</v>
      </c>
      <c r="P3356" t="s">
        <v>1887</v>
      </c>
      <c r="R3356" t="s">
        <v>152</v>
      </c>
      <c r="S3356" t="s">
        <v>146</v>
      </c>
      <c r="U3356">
        <v>0</v>
      </c>
      <c r="V3356" t="s">
        <v>544</v>
      </c>
      <c r="W3356" t="s">
        <v>546</v>
      </c>
      <c r="X3356" s="784" t="s">
        <v>575</v>
      </c>
    </row>
    <row r="3357" spans="1:24">
      <c r="A3357" t="s">
        <v>358</v>
      </c>
      <c r="B3357" t="s">
        <v>628</v>
      </c>
      <c r="C3357" t="s">
        <v>232</v>
      </c>
      <c r="D3357" t="s">
        <v>128</v>
      </c>
      <c r="E3357" t="s">
        <v>377</v>
      </c>
      <c r="F3357" t="s">
        <v>385</v>
      </c>
      <c r="G3357" t="s">
        <v>346</v>
      </c>
      <c r="H3357" t="s">
        <v>749</v>
      </c>
      <c r="I3357" t="s">
        <v>743</v>
      </c>
      <c r="J3357" t="s">
        <v>379</v>
      </c>
      <c r="K3357" t="s">
        <v>546</v>
      </c>
      <c r="L3357" s="784">
        <v>1064350</v>
      </c>
      <c r="M3357" t="s">
        <v>745</v>
      </c>
      <c r="N3357" s="784" t="s">
        <v>575</v>
      </c>
      <c r="O3357" t="s">
        <v>737</v>
      </c>
      <c r="P3357" t="s">
        <v>1887</v>
      </c>
      <c r="R3357" t="s">
        <v>148</v>
      </c>
      <c r="S3357" t="s">
        <v>145</v>
      </c>
      <c r="U3357">
        <v>2</v>
      </c>
      <c r="V3357" t="s">
        <v>544</v>
      </c>
      <c r="W3357" t="s">
        <v>562</v>
      </c>
      <c r="X3357" s="784">
        <v>206914157.05429548</v>
      </c>
    </row>
    <row r="3358" spans="1:24">
      <c r="A3358" t="s">
        <v>358</v>
      </c>
      <c r="B3358" t="s">
        <v>629</v>
      </c>
      <c r="C3358" t="s">
        <v>233</v>
      </c>
      <c r="D3358" t="s">
        <v>128</v>
      </c>
      <c r="E3358" t="s">
        <v>377</v>
      </c>
      <c r="F3358" t="s">
        <v>385</v>
      </c>
      <c r="G3358" t="s">
        <v>346</v>
      </c>
      <c r="H3358" t="s">
        <v>749</v>
      </c>
      <c r="I3358" t="s">
        <v>743</v>
      </c>
      <c r="J3358" t="s">
        <v>379</v>
      </c>
      <c r="K3358" t="s">
        <v>546</v>
      </c>
      <c r="L3358" s="784">
        <v>0</v>
      </c>
      <c r="M3358" t="s">
        <v>745</v>
      </c>
      <c r="N3358" s="784" t="s">
        <v>575</v>
      </c>
      <c r="O3358" t="s">
        <v>737</v>
      </c>
      <c r="P3358" t="s">
        <v>1887</v>
      </c>
      <c r="R3358" t="s">
        <v>148</v>
      </c>
      <c r="S3358" t="s">
        <v>145</v>
      </c>
      <c r="U3358">
        <v>2</v>
      </c>
      <c r="V3358" t="s">
        <v>544</v>
      </c>
      <c r="W3358" t="s">
        <v>542</v>
      </c>
      <c r="X3358" s="784">
        <v>185999915.02066413</v>
      </c>
    </row>
    <row r="3359" spans="1:24">
      <c r="A3359" t="s">
        <v>358</v>
      </c>
      <c r="B3359" t="s">
        <v>630</v>
      </c>
      <c r="C3359" t="s">
        <v>234</v>
      </c>
      <c r="D3359" t="s">
        <v>126</v>
      </c>
      <c r="E3359" t="s">
        <v>377</v>
      </c>
      <c r="F3359" t="s">
        <v>385</v>
      </c>
      <c r="G3359" t="s">
        <v>346</v>
      </c>
      <c r="H3359" t="s">
        <v>749</v>
      </c>
      <c r="I3359" t="s">
        <v>743</v>
      </c>
      <c r="J3359" t="s">
        <v>379</v>
      </c>
      <c r="K3359" t="s">
        <v>546</v>
      </c>
      <c r="L3359" s="784">
        <v>0</v>
      </c>
      <c r="M3359" t="s">
        <v>745</v>
      </c>
      <c r="N3359" s="784" t="s">
        <v>575</v>
      </c>
      <c r="O3359" t="s">
        <v>737</v>
      </c>
      <c r="P3359" t="s">
        <v>1887</v>
      </c>
      <c r="R3359" t="s">
        <v>152</v>
      </c>
      <c r="S3359" t="s">
        <v>146</v>
      </c>
      <c r="U3359">
        <v>0</v>
      </c>
      <c r="V3359" t="s">
        <v>544</v>
      </c>
      <c r="W3359" t="s">
        <v>575</v>
      </c>
      <c r="X3359" s="784">
        <v>6893755763.2501726</v>
      </c>
    </row>
    <row r="3360" spans="1:24">
      <c r="A3360" t="s">
        <v>358</v>
      </c>
      <c r="B3360" t="s">
        <v>631</v>
      </c>
      <c r="C3360" t="s">
        <v>235</v>
      </c>
      <c r="D3360" t="s">
        <v>132</v>
      </c>
      <c r="E3360" t="s">
        <v>377</v>
      </c>
      <c r="F3360" t="s">
        <v>385</v>
      </c>
      <c r="G3360" t="s">
        <v>346</v>
      </c>
      <c r="H3360" t="s">
        <v>749</v>
      </c>
      <c r="I3360" t="s">
        <v>743</v>
      </c>
      <c r="J3360" t="s">
        <v>379</v>
      </c>
      <c r="K3360" t="s">
        <v>546</v>
      </c>
      <c r="L3360" s="784">
        <v>0</v>
      </c>
      <c r="M3360" t="s">
        <v>745</v>
      </c>
      <c r="N3360" s="784" t="s">
        <v>575</v>
      </c>
      <c r="O3360" t="s">
        <v>737</v>
      </c>
      <c r="P3360" t="s">
        <v>1887</v>
      </c>
      <c r="R3360" t="s">
        <v>152</v>
      </c>
      <c r="S3360" t="s">
        <v>145</v>
      </c>
      <c r="U3360">
        <v>0</v>
      </c>
      <c r="V3360" t="s">
        <v>541</v>
      </c>
      <c r="W3360" t="s">
        <v>542</v>
      </c>
      <c r="X3360" s="784">
        <v>354560231.58276606</v>
      </c>
    </row>
    <row r="3361" spans="1:24">
      <c r="A3361" t="s">
        <v>358</v>
      </c>
      <c r="B3361" t="s">
        <v>632</v>
      </c>
      <c r="C3361" t="s">
        <v>236</v>
      </c>
      <c r="D3361" t="s">
        <v>129</v>
      </c>
      <c r="E3361" t="s">
        <v>377</v>
      </c>
      <c r="F3361" t="s">
        <v>385</v>
      </c>
      <c r="G3361" t="s">
        <v>346</v>
      </c>
      <c r="H3361" t="s">
        <v>749</v>
      </c>
      <c r="I3361" t="s">
        <v>743</v>
      </c>
      <c r="J3361" t="s">
        <v>379</v>
      </c>
      <c r="K3361" t="s">
        <v>546</v>
      </c>
      <c r="L3361" s="784">
        <v>1110635</v>
      </c>
      <c r="M3361" t="s">
        <v>745</v>
      </c>
      <c r="N3361" s="784" t="s">
        <v>575</v>
      </c>
      <c r="O3361" t="s">
        <v>737</v>
      </c>
      <c r="P3361" t="s">
        <v>1887</v>
      </c>
      <c r="R3361" t="s">
        <v>148</v>
      </c>
      <c r="S3361" t="s">
        <v>145</v>
      </c>
      <c r="U3361">
        <v>1</v>
      </c>
      <c r="V3361" t="s">
        <v>544</v>
      </c>
      <c r="W3361" t="s">
        <v>562</v>
      </c>
      <c r="X3361" s="784">
        <v>188169167.56540567</v>
      </c>
    </row>
    <row r="3362" spans="1:24">
      <c r="A3362" t="s">
        <v>358</v>
      </c>
      <c r="B3362" t="s">
        <v>633</v>
      </c>
      <c r="C3362" t="s">
        <v>237</v>
      </c>
      <c r="D3362" t="s">
        <v>126</v>
      </c>
      <c r="E3362" t="s">
        <v>377</v>
      </c>
      <c r="F3362" t="s">
        <v>385</v>
      </c>
      <c r="G3362" t="s">
        <v>346</v>
      </c>
      <c r="H3362" t="s">
        <v>749</v>
      </c>
      <c r="I3362" t="s">
        <v>743</v>
      </c>
      <c r="J3362" t="s">
        <v>379</v>
      </c>
      <c r="K3362" t="s">
        <v>546</v>
      </c>
      <c r="L3362" s="784">
        <v>0</v>
      </c>
      <c r="M3362" t="s">
        <v>745</v>
      </c>
      <c r="N3362" s="784" t="s">
        <v>575</v>
      </c>
      <c r="O3362" t="s">
        <v>737</v>
      </c>
      <c r="P3362" t="s">
        <v>1887</v>
      </c>
      <c r="R3362" t="s">
        <v>152</v>
      </c>
      <c r="S3362" t="s">
        <v>145</v>
      </c>
      <c r="U3362">
        <v>0</v>
      </c>
      <c r="V3362" t="s">
        <v>541</v>
      </c>
      <c r="W3362" t="s">
        <v>575</v>
      </c>
      <c r="X3362" s="784">
        <v>16312106.556340856</v>
      </c>
    </row>
    <row r="3363" spans="1:24">
      <c r="A3363" t="s">
        <v>358</v>
      </c>
      <c r="B3363" t="s">
        <v>634</v>
      </c>
      <c r="C3363" t="s">
        <v>238</v>
      </c>
      <c r="D3363" t="s">
        <v>129</v>
      </c>
      <c r="E3363" t="s">
        <v>377</v>
      </c>
      <c r="F3363" t="s">
        <v>385</v>
      </c>
      <c r="G3363" t="s">
        <v>346</v>
      </c>
      <c r="H3363" t="s">
        <v>749</v>
      </c>
      <c r="I3363" t="s">
        <v>743</v>
      </c>
      <c r="J3363" t="s">
        <v>379</v>
      </c>
      <c r="K3363" t="s">
        <v>546</v>
      </c>
      <c r="L3363" s="784">
        <v>0</v>
      </c>
      <c r="M3363" t="s">
        <v>745</v>
      </c>
      <c r="N3363" s="784" t="s">
        <v>575</v>
      </c>
      <c r="O3363" t="s">
        <v>737</v>
      </c>
      <c r="P3363" t="s">
        <v>1887</v>
      </c>
      <c r="R3363" t="s">
        <v>150</v>
      </c>
      <c r="S3363" t="s">
        <v>145</v>
      </c>
      <c r="U3363">
        <v>2</v>
      </c>
      <c r="V3363" t="s">
        <v>544</v>
      </c>
      <c r="W3363" t="s">
        <v>542</v>
      </c>
      <c r="X3363" s="784">
        <v>86083833.534053758</v>
      </c>
    </row>
    <row r="3364" spans="1:24">
      <c r="A3364" t="s">
        <v>358</v>
      </c>
      <c r="B3364" t="s">
        <v>635</v>
      </c>
      <c r="C3364" t="s">
        <v>239</v>
      </c>
      <c r="D3364" t="s">
        <v>128</v>
      </c>
      <c r="E3364" t="s">
        <v>377</v>
      </c>
      <c r="F3364" t="s">
        <v>385</v>
      </c>
      <c r="G3364" t="s">
        <v>346</v>
      </c>
      <c r="H3364" t="s">
        <v>749</v>
      </c>
      <c r="I3364" t="s">
        <v>743</v>
      </c>
      <c r="J3364" t="s">
        <v>379</v>
      </c>
      <c r="K3364" t="s">
        <v>546</v>
      </c>
      <c r="L3364" s="784">
        <v>0</v>
      </c>
      <c r="M3364" t="s">
        <v>745</v>
      </c>
      <c r="N3364" s="784" t="s">
        <v>575</v>
      </c>
      <c r="O3364" t="s">
        <v>737</v>
      </c>
      <c r="P3364" t="s">
        <v>1887</v>
      </c>
      <c r="R3364" t="s">
        <v>152</v>
      </c>
      <c r="S3364" t="s">
        <v>146</v>
      </c>
      <c r="U3364">
        <v>0</v>
      </c>
      <c r="V3364" t="s">
        <v>541</v>
      </c>
      <c r="W3364" t="s">
        <v>546</v>
      </c>
      <c r="X3364" s="784">
        <v>357220835.93762809</v>
      </c>
    </row>
    <row r="3365" spans="1:24">
      <c r="A3365" t="s">
        <v>358</v>
      </c>
      <c r="B3365" t="s">
        <v>636</v>
      </c>
      <c r="C3365" t="s">
        <v>240</v>
      </c>
      <c r="D3365" t="s">
        <v>130</v>
      </c>
      <c r="E3365" t="s">
        <v>377</v>
      </c>
      <c r="F3365" t="s">
        <v>385</v>
      </c>
      <c r="G3365" t="s">
        <v>346</v>
      </c>
      <c r="H3365" t="s">
        <v>749</v>
      </c>
      <c r="I3365" t="s">
        <v>743</v>
      </c>
      <c r="J3365" t="s">
        <v>379</v>
      </c>
      <c r="K3365" t="s">
        <v>546</v>
      </c>
      <c r="L3365" s="784">
        <v>0</v>
      </c>
      <c r="M3365" t="s">
        <v>745</v>
      </c>
      <c r="N3365" s="784" t="s">
        <v>575</v>
      </c>
      <c r="O3365" t="s">
        <v>737</v>
      </c>
      <c r="P3365" t="s">
        <v>1887</v>
      </c>
      <c r="R3365" t="s">
        <v>152</v>
      </c>
      <c r="S3365" t="s">
        <v>146</v>
      </c>
      <c r="U3365">
        <v>0</v>
      </c>
      <c r="V3365" t="s">
        <v>544</v>
      </c>
      <c r="W3365" t="s">
        <v>575</v>
      </c>
      <c r="X3365" s="784">
        <v>32831598153.796387</v>
      </c>
    </row>
    <row r="3366" spans="1:24">
      <c r="A3366" t="s">
        <v>358</v>
      </c>
      <c r="B3366" t="s">
        <v>637</v>
      </c>
      <c r="C3366" t="s">
        <v>241</v>
      </c>
      <c r="D3366" t="s">
        <v>126</v>
      </c>
      <c r="E3366" t="s">
        <v>377</v>
      </c>
      <c r="F3366" t="s">
        <v>385</v>
      </c>
      <c r="G3366" t="s">
        <v>346</v>
      </c>
      <c r="H3366" t="s">
        <v>749</v>
      </c>
      <c r="I3366" t="s">
        <v>743</v>
      </c>
      <c r="J3366" t="s">
        <v>379</v>
      </c>
      <c r="K3366" t="s">
        <v>546</v>
      </c>
      <c r="L3366" s="784">
        <v>0</v>
      </c>
      <c r="M3366" t="s">
        <v>745</v>
      </c>
      <c r="N3366" s="784" t="s">
        <v>575</v>
      </c>
      <c r="O3366" t="s">
        <v>737</v>
      </c>
      <c r="P3366" t="s">
        <v>1887</v>
      </c>
      <c r="R3366" t="s">
        <v>150</v>
      </c>
      <c r="S3366" t="s">
        <v>145</v>
      </c>
      <c r="U3366">
        <v>0</v>
      </c>
      <c r="V3366" t="s">
        <v>541</v>
      </c>
      <c r="W3366" t="s">
        <v>542</v>
      </c>
      <c r="X3366" s="784">
        <v>12329056.093798399</v>
      </c>
    </row>
    <row r="3367" spans="1:24">
      <c r="A3367" t="s">
        <v>358</v>
      </c>
      <c r="B3367" t="s">
        <v>638</v>
      </c>
      <c r="C3367" t="s">
        <v>242</v>
      </c>
      <c r="D3367" t="s">
        <v>127</v>
      </c>
      <c r="E3367" t="s">
        <v>377</v>
      </c>
      <c r="F3367" t="s">
        <v>385</v>
      </c>
      <c r="G3367" t="s">
        <v>346</v>
      </c>
      <c r="H3367" t="s">
        <v>749</v>
      </c>
      <c r="I3367" t="s">
        <v>743</v>
      </c>
      <c r="J3367" t="s">
        <v>379</v>
      </c>
      <c r="K3367" t="s">
        <v>546</v>
      </c>
      <c r="L3367" s="784">
        <v>0</v>
      </c>
      <c r="M3367" t="s">
        <v>745</v>
      </c>
      <c r="N3367" s="784" t="s">
        <v>575</v>
      </c>
      <c r="O3367" t="s">
        <v>737</v>
      </c>
      <c r="P3367" t="s">
        <v>1887</v>
      </c>
      <c r="R3367" t="s">
        <v>152</v>
      </c>
      <c r="S3367" t="s">
        <v>145</v>
      </c>
      <c r="U3367">
        <v>0</v>
      </c>
      <c r="V3367" t="s">
        <v>544</v>
      </c>
      <c r="W3367" t="s">
        <v>558</v>
      </c>
      <c r="X3367" s="784">
        <v>426639742.85328001</v>
      </c>
    </row>
    <row r="3368" spans="1:24">
      <c r="A3368" t="s">
        <v>358</v>
      </c>
      <c r="B3368" t="s">
        <v>639</v>
      </c>
      <c r="C3368" t="s">
        <v>243</v>
      </c>
      <c r="D3368" t="s">
        <v>126</v>
      </c>
      <c r="E3368" t="s">
        <v>377</v>
      </c>
      <c r="F3368" t="s">
        <v>385</v>
      </c>
      <c r="G3368" t="s">
        <v>346</v>
      </c>
      <c r="H3368" t="s">
        <v>749</v>
      </c>
      <c r="I3368" t="s">
        <v>743</v>
      </c>
      <c r="J3368" t="s">
        <v>379</v>
      </c>
      <c r="K3368" t="s">
        <v>546</v>
      </c>
      <c r="L3368" s="784">
        <v>0</v>
      </c>
      <c r="M3368" t="s">
        <v>745</v>
      </c>
      <c r="N3368" s="784" t="s">
        <v>575</v>
      </c>
      <c r="O3368" t="s">
        <v>737</v>
      </c>
      <c r="P3368" t="s">
        <v>1887</v>
      </c>
      <c r="R3368" t="s">
        <v>150</v>
      </c>
      <c r="S3368" t="s">
        <v>145</v>
      </c>
      <c r="U3368">
        <v>0</v>
      </c>
      <c r="V3368" t="s">
        <v>544</v>
      </c>
      <c r="W3368" t="s">
        <v>548</v>
      </c>
      <c r="X3368" s="784">
        <v>288519671.85870522</v>
      </c>
    </row>
    <row r="3369" spans="1:24">
      <c r="A3369" t="s">
        <v>358</v>
      </c>
      <c r="B3369" t="s">
        <v>640</v>
      </c>
      <c r="C3369" t="s">
        <v>244</v>
      </c>
      <c r="D3369" t="s">
        <v>127</v>
      </c>
      <c r="E3369" t="s">
        <v>377</v>
      </c>
      <c r="F3369" t="s">
        <v>385</v>
      </c>
      <c r="G3369" t="s">
        <v>346</v>
      </c>
      <c r="H3369" t="s">
        <v>749</v>
      </c>
      <c r="I3369" t="s">
        <v>743</v>
      </c>
      <c r="J3369" t="s">
        <v>379</v>
      </c>
      <c r="K3369" t="s">
        <v>546</v>
      </c>
      <c r="L3369" s="784">
        <v>0</v>
      </c>
      <c r="M3369" t="s">
        <v>745</v>
      </c>
      <c r="N3369" s="784" t="s">
        <v>575</v>
      </c>
      <c r="O3369" t="s">
        <v>737</v>
      </c>
      <c r="P3369" t="s">
        <v>1887</v>
      </c>
      <c r="R3369" t="s">
        <v>152</v>
      </c>
      <c r="S3369" t="s">
        <v>146</v>
      </c>
      <c r="U3369">
        <v>0</v>
      </c>
      <c r="V3369" t="s">
        <v>544</v>
      </c>
      <c r="W3369" t="s">
        <v>546</v>
      </c>
      <c r="X3369" s="784">
        <v>275606560.78491527</v>
      </c>
    </row>
    <row r="3370" spans="1:24">
      <c r="A3370" t="s">
        <v>358</v>
      </c>
      <c r="B3370" t="s">
        <v>641</v>
      </c>
      <c r="C3370" t="s">
        <v>245</v>
      </c>
      <c r="D3370" t="s">
        <v>131</v>
      </c>
      <c r="E3370" t="s">
        <v>377</v>
      </c>
      <c r="F3370" t="s">
        <v>385</v>
      </c>
      <c r="G3370" t="s">
        <v>346</v>
      </c>
      <c r="H3370" t="s">
        <v>749</v>
      </c>
      <c r="I3370" t="s">
        <v>743</v>
      </c>
      <c r="J3370" t="s">
        <v>379</v>
      </c>
      <c r="K3370" t="s">
        <v>546</v>
      </c>
      <c r="L3370" s="784">
        <v>0</v>
      </c>
      <c r="M3370" t="s">
        <v>745</v>
      </c>
      <c r="N3370" s="784" t="s">
        <v>575</v>
      </c>
      <c r="O3370" t="s">
        <v>737</v>
      </c>
      <c r="P3370" t="s">
        <v>1887</v>
      </c>
      <c r="R3370" t="s">
        <v>150</v>
      </c>
      <c r="S3370" t="s">
        <v>145</v>
      </c>
      <c r="U3370">
        <v>0</v>
      </c>
      <c r="V3370" t="s">
        <v>544</v>
      </c>
      <c r="W3370" t="s">
        <v>546</v>
      </c>
      <c r="X3370" s="784">
        <v>2530937679.3725696</v>
      </c>
    </row>
    <row r="3371" spans="1:24">
      <c r="A3371" t="s">
        <v>358</v>
      </c>
      <c r="B3371" t="s">
        <v>642</v>
      </c>
      <c r="C3371" t="s">
        <v>246</v>
      </c>
      <c r="D3371" t="s">
        <v>128</v>
      </c>
      <c r="E3371" t="s">
        <v>377</v>
      </c>
      <c r="F3371" t="s">
        <v>385</v>
      </c>
      <c r="G3371" t="s">
        <v>346</v>
      </c>
      <c r="H3371" t="s">
        <v>749</v>
      </c>
      <c r="I3371" t="s">
        <v>743</v>
      </c>
      <c r="J3371" t="s">
        <v>379</v>
      </c>
      <c r="K3371" t="s">
        <v>546</v>
      </c>
      <c r="L3371" s="784">
        <v>0</v>
      </c>
      <c r="M3371" t="s">
        <v>745</v>
      </c>
      <c r="N3371" s="784" t="s">
        <v>575</v>
      </c>
      <c r="O3371" t="s">
        <v>737</v>
      </c>
      <c r="P3371" t="s">
        <v>1887</v>
      </c>
      <c r="R3371" t="s">
        <v>148</v>
      </c>
      <c r="S3371" t="s">
        <v>145</v>
      </c>
      <c r="U3371">
        <v>0</v>
      </c>
      <c r="V3371" t="s">
        <v>544</v>
      </c>
      <c r="W3371" t="s">
        <v>583</v>
      </c>
      <c r="X3371" s="784">
        <v>251432156.86255455</v>
      </c>
    </row>
    <row r="3372" spans="1:24">
      <c r="A3372" t="s">
        <v>358</v>
      </c>
      <c r="B3372" t="s">
        <v>643</v>
      </c>
      <c r="C3372" t="s">
        <v>247</v>
      </c>
      <c r="D3372" t="s">
        <v>126</v>
      </c>
      <c r="E3372" t="s">
        <v>377</v>
      </c>
      <c r="F3372" t="s">
        <v>385</v>
      </c>
      <c r="G3372" t="s">
        <v>346</v>
      </c>
      <c r="H3372" t="s">
        <v>749</v>
      </c>
      <c r="I3372" t="s">
        <v>743</v>
      </c>
      <c r="J3372" t="s">
        <v>379</v>
      </c>
      <c r="K3372" t="s">
        <v>546</v>
      </c>
      <c r="L3372" s="784">
        <v>0</v>
      </c>
      <c r="M3372" t="s">
        <v>745</v>
      </c>
      <c r="N3372" s="784" t="s">
        <v>575</v>
      </c>
      <c r="O3372" t="s">
        <v>737</v>
      </c>
      <c r="P3372" t="s">
        <v>1887</v>
      </c>
      <c r="R3372" t="s">
        <v>150</v>
      </c>
      <c r="S3372" t="s">
        <v>145</v>
      </c>
      <c r="U3372">
        <v>0</v>
      </c>
      <c r="V3372" t="s">
        <v>544</v>
      </c>
      <c r="W3372" t="s">
        <v>558</v>
      </c>
      <c r="X3372" s="784">
        <v>471534500.60109437</v>
      </c>
    </row>
    <row r="3373" spans="1:24">
      <c r="A3373" t="s">
        <v>358</v>
      </c>
      <c r="B3373" t="s">
        <v>644</v>
      </c>
      <c r="C3373" t="s">
        <v>248</v>
      </c>
      <c r="D3373" t="s">
        <v>128</v>
      </c>
      <c r="E3373" t="s">
        <v>377</v>
      </c>
      <c r="F3373" t="s">
        <v>385</v>
      </c>
      <c r="G3373" t="s">
        <v>346</v>
      </c>
      <c r="H3373" t="s">
        <v>749</v>
      </c>
      <c r="I3373" t="s">
        <v>743</v>
      </c>
      <c r="J3373" t="s">
        <v>379</v>
      </c>
      <c r="K3373" t="s">
        <v>546</v>
      </c>
      <c r="L3373" s="784">
        <v>0</v>
      </c>
      <c r="M3373" t="s">
        <v>745</v>
      </c>
      <c r="N3373" s="784" t="s">
        <v>575</v>
      </c>
      <c r="O3373" t="s">
        <v>737</v>
      </c>
      <c r="P3373" t="s">
        <v>1887</v>
      </c>
      <c r="R3373" t="s">
        <v>152</v>
      </c>
      <c r="S3373" t="s">
        <v>146</v>
      </c>
      <c r="U3373">
        <v>0</v>
      </c>
      <c r="V3373" t="s">
        <v>544</v>
      </c>
      <c r="W3373" t="s">
        <v>575</v>
      </c>
      <c r="X3373" s="784">
        <v>531677611.80447447</v>
      </c>
    </row>
    <row r="3374" spans="1:24">
      <c r="A3374" t="s">
        <v>358</v>
      </c>
      <c r="B3374" t="s">
        <v>645</v>
      </c>
      <c r="C3374" t="s">
        <v>249</v>
      </c>
      <c r="D3374" t="s">
        <v>126</v>
      </c>
      <c r="E3374" t="s">
        <v>377</v>
      </c>
      <c r="F3374" t="s">
        <v>385</v>
      </c>
      <c r="G3374" t="s">
        <v>346</v>
      </c>
      <c r="H3374" t="s">
        <v>749</v>
      </c>
      <c r="I3374" t="s">
        <v>743</v>
      </c>
      <c r="J3374" t="s">
        <v>379</v>
      </c>
      <c r="K3374" t="s">
        <v>546</v>
      </c>
      <c r="L3374" s="784">
        <v>0</v>
      </c>
      <c r="M3374" t="s">
        <v>745</v>
      </c>
      <c r="N3374" s="784" t="s">
        <v>575</v>
      </c>
      <c r="O3374" t="s">
        <v>737</v>
      </c>
      <c r="P3374" t="s">
        <v>1887</v>
      </c>
      <c r="R3374" t="s">
        <v>550</v>
      </c>
      <c r="S3374" t="s">
        <v>146</v>
      </c>
      <c r="U3374">
        <v>0</v>
      </c>
      <c r="V3374" t="s">
        <v>541</v>
      </c>
      <c r="W3374" t="s">
        <v>575</v>
      </c>
      <c r="X3374" s="784">
        <v>8528751.6418357007</v>
      </c>
    </row>
    <row r="3375" spans="1:24">
      <c r="A3375" t="s">
        <v>358</v>
      </c>
      <c r="B3375" t="s">
        <v>646</v>
      </c>
      <c r="C3375" t="s">
        <v>250</v>
      </c>
      <c r="D3375" t="s">
        <v>132</v>
      </c>
      <c r="E3375" t="s">
        <v>377</v>
      </c>
      <c r="F3375" t="s">
        <v>385</v>
      </c>
      <c r="G3375" t="s">
        <v>346</v>
      </c>
      <c r="H3375" t="s">
        <v>749</v>
      </c>
      <c r="I3375" t="s">
        <v>743</v>
      </c>
      <c r="J3375" t="s">
        <v>379</v>
      </c>
      <c r="K3375" t="s">
        <v>546</v>
      </c>
      <c r="L3375" s="784">
        <v>0</v>
      </c>
      <c r="M3375" t="s">
        <v>745</v>
      </c>
      <c r="N3375" s="784" t="s">
        <v>575</v>
      </c>
      <c r="O3375" t="s">
        <v>737</v>
      </c>
      <c r="P3375" t="s">
        <v>1887</v>
      </c>
      <c r="R3375" t="s">
        <v>150</v>
      </c>
      <c r="S3375" t="s">
        <v>145</v>
      </c>
      <c r="U3375">
        <v>0</v>
      </c>
      <c r="V3375" t="s">
        <v>544</v>
      </c>
      <c r="W3375" t="s">
        <v>558</v>
      </c>
      <c r="X3375" s="784">
        <v>407084543.19089872</v>
      </c>
    </row>
    <row r="3376" spans="1:24">
      <c r="A3376" t="s">
        <v>358</v>
      </c>
      <c r="B3376" t="s">
        <v>647</v>
      </c>
      <c r="C3376" t="s">
        <v>251</v>
      </c>
      <c r="D3376" t="s">
        <v>130</v>
      </c>
      <c r="E3376" t="s">
        <v>377</v>
      </c>
      <c r="F3376" t="s">
        <v>385</v>
      </c>
      <c r="G3376" t="s">
        <v>346</v>
      </c>
      <c r="H3376" t="s">
        <v>749</v>
      </c>
      <c r="I3376" t="s">
        <v>743</v>
      </c>
      <c r="J3376" t="s">
        <v>379</v>
      </c>
      <c r="K3376" t="s">
        <v>546</v>
      </c>
      <c r="L3376" s="784">
        <v>0</v>
      </c>
      <c r="M3376" t="s">
        <v>745</v>
      </c>
      <c r="N3376" s="784" t="s">
        <v>575</v>
      </c>
      <c r="O3376" t="s">
        <v>737</v>
      </c>
      <c r="P3376" t="s">
        <v>1887</v>
      </c>
      <c r="R3376" t="s">
        <v>150</v>
      </c>
      <c r="S3376" t="s">
        <v>145</v>
      </c>
      <c r="U3376">
        <v>0</v>
      </c>
      <c r="V3376" t="s">
        <v>544</v>
      </c>
      <c r="W3376" t="s">
        <v>562</v>
      </c>
      <c r="X3376" s="784">
        <v>671998341.93592453</v>
      </c>
    </row>
    <row r="3377" spans="1:24">
      <c r="A3377" t="s">
        <v>358</v>
      </c>
      <c r="B3377" t="s">
        <v>648</v>
      </c>
      <c r="C3377" t="s">
        <v>252</v>
      </c>
      <c r="D3377" t="s">
        <v>129</v>
      </c>
      <c r="E3377" t="s">
        <v>377</v>
      </c>
      <c r="F3377" t="s">
        <v>385</v>
      </c>
      <c r="G3377" t="s">
        <v>346</v>
      </c>
      <c r="H3377" t="s">
        <v>749</v>
      </c>
      <c r="I3377" t="s">
        <v>743</v>
      </c>
      <c r="J3377" t="s">
        <v>379</v>
      </c>
      <c r="K3377" t="s">
        <v>546</v>
      </c>
      <c r="L3377" s="784">
        <v>0</v>
      </c>
      <c r="M3377" t="s">
        <v>745</v>
      </c>
      <c r="N3377" s="784" t="s">
        <v>575</v>
      </c>
      <c r="O3377" t="s">
        <v>737</v>
      </c>
      <c r="P3377" t="s">
        <v>1887</v>
      </c>
      <c r="R3377" t="s">
        <v>148</v>
      </c>
      <c r="S3377" t="s">
        <v>145</v>
      </c>
      <c r="U3377">
        <v>1</v>
      </c>
      <c r="V3377" t="s">
        <v>544</v>
      </c>
      <c r="W3377" t="s">
        <v>562</v>
      </c>
      <c r="X3377" s="784">
        <v>226203289.67158964</v>
      </c>
    </row>
    <row r="3378" spans="1:24">
      <c r="A3378" t="s">
        <v>358</v>
      </c>
      <c r="B3378" t="s">
        <v>649</v>
      </c>
      <c r="C3378" t="s">
        <v>253</v>
      </c>
      <c r="D3378" t="s">
        <v>129</v>
      </c>
      <c r="E3378" t="s">
        <v>377</v>
      </c>
      <c r="F3378" t="s">
        <v>385</v>
      </c>
      <c r="G3378" t="s">
        <v>346</v>
      </c>
      <c r="H3378" t="s">
        <v>749</v>
      </c>
      <c r="I3378" t="s">
        <v>743</v>
      </c>
      <c r="J3378" t="s">
        <v>379</v>
      </c>
      <c r="K3378" t="s">
        <v>546</v>
      </c>
      <c r="L3378" s="784">
        <v>1693999</v>
      </c>
      <c r="M3378" t="s">
        <v>745</v>
      </c>
      <c r="N3378" s="784" t="s">
        <v>575</v>
      </c>
      <c r="O3378" t="s">
        <v>737</v>
      </c>
      <c r="P3378" t="s">
        <v>1887</v>
      </c>
      <c r="R3378" t="s">
        <v>150</v>
      </c>
      <c r="S3378" t="s">
        <v>145</v>
      </c>
      <c r="U3378">
        <v>3</v>
      </c>
      <c r="V3378" t="s">
        <v>544</v>
      </c>
      <c r="W3378" t="s">
        <v>548</v>
      </c>
      <c r="X3378" s="784">
        <v>2438881113.1244688</v>
      </c>
    </row>
    <row r="3379" spans="1:24">
      <c r="A3379" t="s">
        <v>358</v>
      </c>
      <c r="B3379" t="s">
        <v>650</v>
      </c>
      <c r="C3379" t="s">
        <v>254</v>
      </c>
      <c r="D3379" t="s">
        <v>127</v>
      </c>
      <c r="E3379" t="s">
        <v>377</v>
      </c>
      <c r="F3379" t="s">
        <v>385</v>
      </c>
      <c r="G3379" t="s">
        <v>346</v>
      </c>
      <c r="H3379" t="s">
        <v>749</v>
      </c>
      <c r="I3379" t="s">
        <v>743</v>
      </c>
      <c r="J3379" t="s">
        <v>379</v>
      </c>
      <c r="K3379" t="s">
        <v>546</v>
      </c>
      <c r="L3379" s="784">
        <v>0</v>
      </c>
      <c r="M3379" t="s">
        <v>745</v>
      </c>
      <c r="N3379" s="784" t="s">
        <v>575</v>
      </c>
      <c r="O3379" t="s">
        <v>737</v>
      </c>
      <c r="P3379" t="s">
        <v>1887</v>
      </c>
      <c r="R3379" t="s">
        <v>152</v>
      </c>
      <c r="S3379" t="s">
        <v>146</v>
      </c>
      <c r="U3379">
        <v>0</v>
      </c>
      <c r="V3379" t="s">
        <v>544</v>
      </c>
      <c r="W3379" t="s">
        <v>575</v>
      </c>
      <c r="X3379" s="784">
        <v>476517795.73174149</v>
      </c>
    </row>
    <row r="3380" spans="1:24">
      <c r="A3380" t="s">
        <v>358</v>
      </c>
      <c r="B3380" t="s">
        <v>651</v>
      </c>
      <c r="C3380" t="s">
        <v>255</v>
      </c>
      <c r="D3380" t="s">
        <v>132</v>
      </c>
      <c r="E3380" t="s">
        <v>377</v>
      </c>
      <c r="F3380" t="s">
        <v>385</v>
      </c>
      <c r="G3380" t="s">
        <v>346</v>
      </c>
      <c r="H3380" t="s">
        <v>749</v>
      </c>
      <c r="I3380" t="s">
        <v>743</v>
      </c>
      <c r="J3380" t="s">
        <v>379</v>
      </c>
      <c r="K3380" t="s">
        <v>546</v>
      </c>
      <c r="L3380" s="784">
        <v>0</v>
      </c>
      <c r="M3380" t="s">
        <v>745</v>
      </c>
      <c r="N3380" s="784" t="s">
        <v>575</v>
      </c>
      <c r="O3380" t="s">
        <v>737</v>
      </c>
      <c r="P3380" t="s">
        <v>1887</v>
      </c>
      <c r="R3380" t="s">
        <v>150</v>
      </c>
      <c r="S3380" t="s">
        <v>145</v>
      </c>
      <c r="U3380">
        <v>0</v>
      </c>
      <c r="V3380" t="s">
        <v>544</v>
      </c>
      <c r="W3380" t="s">
        <v>548</v>
      </c>
      <c r="X3380" s="784">
        <v>3233351297.7679496</v>
      </c>
    </row>
    <row r="3381" spans="1:24">
      <c r="A3381" t="s">
        <v>358</v>
      </c>
      <c r="B3381" t="s">
        <v>652</v>
      </c>
      <c r="C3381" t="s">
        <v>256</v>
      </c>
      <c r="D3381" t="s">
        <v>130</v>
      </c>
      <c r="E3381" t="s">
        <v>377</v>
      </c>
      <c r="F3381" t="s">
        <v>385</v>
      </c>
      <c r="G3381" t="s">
        <v>346</v>
      </c>
      <c r="H3381" t="s">
        <v>749</v>
      </c>
      <c r="I3381" t="s">
        <v>743</v>
      </c>
      <c r="J3381" t="s">
        <v>379</v>
      </c>
      <c r="K3381" t="s">
        <v>546</v>
      </c>
      <c r="L3381" s="784">
        <v>0</v>
      </c>
      <c r="M3381" t="s">
        <v>745</v>
      </c>
      <c r="N3381" s="784" t="s">
        <v>575</v>
      </c>
      <c r="O3381" t="s">
        <v>737</v>
      </c>
      <c r="P3381" t="s">
        <v>1887</v>
      </c>
      <c r="R3381" t="s">
        <v>550</v>
      </c>
      <c r="S3381" t="s">
        <v>146</v>
      </c>
      <c r="U3381">
        <v>0</v>
      </c>
      <c r="V3381" t="s">
        <v>541</v>
      </c>
      <c r="W3381" t="s">
        <v>575</v>
      </c>
      <c r="X3381" s="784">
        <v>18180646.808608256</v>
      </c>
    </row>
    <row r="3382" spans="1:24">
      <c r="A3382" t="s">
        <v>358</v>
      </c>
      <c r="B3382" t="s">
        <v>653</v>
      </c>
      <c r="C3382" t="s">
        <v>257</v>
      </c>
      <c r="D3382" t="s">
        <v>130</v>
      </c>
      <c r="E3382" t="s">
        <v>377</v>
      </c>
      <c r="F3382" t="s">
        <v>385</v>
      </c>
      <c r="G3382" t="s">
        <v>346</v>
      </c>
      <c r="H3382" t="s">
        <v>749</v>
      </c>
      <c r="I3382" t="s">
        <v>743</v>
      </c>
      <c r="J3382" t="s">
        <v>379</v>
      </c>
      <c r="K3382" t="s">
        <v>546</v>
      </c>
      <c r="L3382" s="784">
        <v>0</v>
      </c>
      <c r="M3382" t="s">
        <v>745</v>
      </c>
      <c r="N3382" s="784" t="s">
        <v>575</v>
      </c>
      <c r="O3382" t="s">
        <v>737</v>
      </c>
      <c r="P3382" t="s">
        <v>1887</v>
      </c>
      <c r="R3382" t="s">
        <v>152</v>
      </c>
      <c r="S3382" t="s">
        <v>146</v>
      </c>
      <c r="U3382">
        <v>0</v>
      </c>
      <c r="V3382" t="s">
        <v>544</v>
      </c>
      <c r="W3382" t="s">
        <v>546</v>
      </c>
      <c r="X3382" s="784">
        <v>3020530707.3485303</v>
      </c>
    </row>
    <row r="3383" spans="1:24">
      <c r="A3383" t="s">
        <v>358</v>
      </c>
      <c r="B3383" t="s">
        <v>654</v>
      </c>
      <c r="C3383" t="s">
        <v>258</v>
      </c>
      <c r="D3383" t="s">
        <v>126</v>
      </c>
      <c r="E3383" t="s">
        <v>377</v>
      </c>
      <c r="F3383" t="s">
        <v>385</v>
      </c>
      <c r="G3383" t="s">
        <v>346</v>
      </c>
      <c r="H3383" t="s">
        <v>749</v>
      </c>
      <c r="I3383" t="s">
        <v>743</v>
      </c>
      <c r="J3383" t="s">
        <v>379</v>
      </c>
      <c r="K3383" t="s">
        <v>546</v>
      </c>
      <c r="L3383" s="784">
        <v>0</v>
      </c>
      <c r="M3383" t="s">
        <v>745</v>
      </c>
      <c r="N3383" s="784" t="s">
        <v>575</v>
      </c>
      <c r="O3383" t="s">
        <v>737</v>
      </c>
      <c r="P3383" t="s">
        <v>1887</v>
      </c>
      <c r="R3383" t="s">
        <v>150</v>
      </c>
      <c r="S3383" t="s">
        <v>145</v>
      </c>
      <c r="U3383">
        <v>1</v>
      </c>
      <c r="V3383" t="s">
        <v>541</v>
      </c>
      <c r="W3383" t="s">
        <v>542</v>
      </c>
      <c r="X3383" s="784">
        <v>384406316.46074712</v>
      </c>
    </row>
    <row r="3384" spans="1:24">
      <c r="A3384" t="s">
        <v>358</v>
      </c>
      <c r="B3384" t="s">
        <v>655</v>
      </c>
      <c r="C3384" t="s">
        <v>259</v>
      </c>
      <c r="D3384" t="s">
        <v>130</v>
      </c>
      <c r="E3384" t="s">
        <v>377</v>
      </c>
      <c r="F3384" t="s">
        <v>385</v>
      </c>
      <c r="G3384" t="s">
        <v>346</v>
      </c>
      <c r="H3384" t="s">
        <v>749</v>
      </c>
      <c r="I3384" t="s">
        <v>743</v>
      </c>
      <c r="J3384" t="s">
        <v>379</v>
      </c>
      <c r="K3384" t="s">
        <v>546</v>
      </c>
      <c r="L3384" s="784">
        <v>0</v>
      </c>
      <c r="M3384" t="s">
        <v>745</v>
      </c>
      <c r="N3384" s="784" t="s">
        <v>575</v>
      </c>
      <c r="O3384" t="s">
        <v>737</v>
      </c>
      <c r="P3384" t="s">
        <v>1887</v>
      </c>
      <c r="R3384" t="s">
        <v>152</v>
      </c>
      <c r="S3384" t="s">
        <v>146</v>
      </c>
      <c r="U3384">
        <v>0</v>
      </c>
      <c r="V3384" t="s">
        <v>544</v>
      </c>
      <c r="W3384" t="s">
        <v>575</v>
      </c>
      <c r="X3384" s="784">
        <v>1218747108.9554784</v>
      </c>
    </row>
    <row r="3385" spans="1:24">
      <c r="A3385" t="s">
        <v>358</v>
      </c>
      <c r="B3385" t="s">
        <v>656</v>
      </c>
      <c r="C3385" t="s">
        <v>260</v>
      </c>
      <c r="D3385" t="s">
        <v>130</v>
      </c>
      <c r="E3385" t="s">
        <v>377</v>
      </c>
      <c r="F3385" t="s">
        <v>385</v>
      </c>
      <c r="G3385" t="s">
        <v>346</v>
      </c>
      <c r="H3385" t="s">
        <v>749</v>
      </c>
      <c r="I3385" t="s">
        <v>743</v>
      </c>
      <c r="J3385" t="s">
        <v>379</v>
      </c>
      <c r="K3385" t="s">
        <v>546</v>
      </c>
      <c r="L3385" s="784">
        <v>0</v>
      </c>
      <c r="M3385" t="s">
        <v>745</v>
      </c>
      <c r="N3385" s="784" t="s">
        <v>575</v>
      </c>
      <c r="O3385" t="s">
        <v>737</v>
      </c>
      <c r="P3385" t="s">
        <v>1887</v>
      </c>
      <c r="R3385" t="s">
        <v>152</v>
      </c>
      <c r="S3385" t="s">
        <v>146</v>
      </c>
      <c r="U3385">
        <v>0</v>
      </c>
      <c r="V3385" t="s">
        <v>544</v>
      </c>
      <c r="W3385" t="s">
        <v>575</v>
      </c>
      <c r="X3385" s="784">
        <v>7392665952.5895758</v>
      </c>
    </row>
    <row r="3386" spans="1:24">
      <c r="A3386" t="s">
        <v>358</v>
      </c>
      <c r="B3386" t="s">
        <v>657</v>
      </c>
      <c r="C3386" t="s">
        <v>261</v>
      </c>
      <c r="D3386" t="s">
        <v>126</v>
      </c>
      <c r="E3386" t="s">
        <v>377</v>
      </c>
      <c r="F3386" t="s">
        <v>385</v>
      </c>
      <c r="G3386" t="s">
        <v>346</v>
      </c>
      <c r="H3386" t="s">
        <v>749</v>
      </c>
      <c r="I3386" t="s">
        <v>743</v>
      </c>
      <c r="J3386" t="s">
        <v>379</v>
      </c>
      <c r="K3386" t="s">
        <v>546</v>
      </c>
      <c r="L3386" s="784">
        <v>0</v>
      </c>
      <c r="M3386" t="s">
        <v>745</v>
      </c>
      <c r="N3386" s="784" t="s">
        <v>575</v>
      </c>
      <c r="O3386" t="s">
        <v>737</v>
      </c>
      <c r="P3386" t="s">
        <v>1887</v>
      </c>
      <c r="R3386" t="s">
        <v>150</v>
      </c>
      <c r="S3386" t="s">
        <v>145</v>
      </c>
      <c r="U3386">
        <v>0</v>
      </c>
      <c r="V3386" t="s">
        <v>544</v>
      </c>
      <c r="W3386" t="s">
        <v>546</v>
      </c>
      <c r="X3386" s="784">
        <v>4754985988.6004429</v>
      </c>
    </row>
    <row r="3387" spans="1:24">
      <c r="A3387" t="s">
        <v>358</v>
      </c>
      <c r="B3387" t="s">
        <v>658</v>
      </c>
      <c r="C3387" t="s">
        <v>262</v>
      </c>
      <c r="D3387" t="s">
        <v>127</v>
      </c>
      <c r="E3387" t="s">
        <v>377</v>
      </c>
      <c r="F3387" t="s">
        <v>385</v>
      </c>
      <c r="G3387" t="s">
        <v>346</v>
      </c>
      <c r="H3387" t="s">
        <v>749</v>
      </c>
      <c r="I3387" t="s">
        <v>743</v>
      </c>
      <c r="J3387" t="s">
        <v>379</v>
      </c>
      <c r="K3387" t="s">
        <v>546</v>
      </c>
      <c r="L3387" s="784">
        <v>0</v>
      </c>
      <c r="M3387" t="s">
        <v>745</v>
      </c>
      <c r="N3387" s="784" t="s">
        <v>575</v>
      </c>
      <c r="O3387" t="s">
        <v>737</v>
      </c>
      <c r="P3387" t="s">
        <v>1887</v>
      </c>
      <c r="R3387" t="s">
        <v>550</v>
      </c>
      <c r="S3387" t="s">
        <v>146</v>
      </c>
      <c r="U3387">
        <v>0</v>
      </c>
      <c r="V3387" t="s">
        <v>544</v>
      </c>
      <c r="W3387" t="s">
        <v>575</v>
      </c>
      <c r="X3387" s="784">
        <v>26422210443.037273</v>
      </c>
    </row>
    <row r="3388" spans="1:24">
      <c r="A3388" t="s">
        <v>358</v>
      </c>
      <c r="B3388" t="s">
        <v>659</v>
      </c>
      <c r="C3388" t="s">
        <v>151</v>
      </c>
      <c r="D3388" t="s">
        <v>127</v>
      </c>
      <c r="E3388" t="s">
        <v>377</v>
      </c>
      <c r="F3388" t="s">
        <v>385</v>
      </c>
      <c r="G3388" t="s">
        <v>346</v>
      </c>
      <c r="H3388" t="s">
        <v>749</v>
      </c>
      <c r="I3388" t="s">
        <v>743</v>
      </c>
      <c r="J3388" t="s">
        <v>379</v>
      </c>
      <c r="K3388" t="s">
        <v>546</v>
      </c>
      <c r="L3388" s="784">
        <v>0</v>
      </c>
      <c r="M3388" t="s">
        <v>745</v>
      </c>
      <c r="N3388" s="784" t="s">
        <v>575</v>
      </c>
      <c r="O3388" t="s">
        <v>737</v>
      </c>
      <c r="P3388" t="s">
        <v>1887</v>
      </c>
      <c r="R3388" t="s">
        <v>152</v>
      </c>
      <c r="S3388" t="s">
        <v>146</v>
      </c>
      <c r="U3388">
        <v>0</v>
      </c>
      <c r="V3388" t="s">
        <v>544</v>
      </c>
      <c r="W3388" t="s">
        <v>575</v>
      </c>
      <c r="X3388" s="784">
        <v>10696495313.15033</v>
      </c>
    </row>
    <row r="3389" spans="1:24">
      <c r="A3389" t="s">
        <v>358</v>
      </c>
      <c r="B3389" t="s">
        <v>660</v>
      </c>
      <c r="C3389" t="s">
        <v>263</v>
      </c>
      <c r="D3389" t="s">
        <v>127</v>
      </c>
      <c r="E3389" t="s">
        <v>377</v>
      </c>
      <c r="F3389" t="s">
        <v>385</v>
      </c>
      <c r="G3389" t="s">
        <v>346</v>
      </c>
      <c r="H3389" t="s">
        <v>749</v>
      </c>
      <c r="I3389" t="s">
        <v>743</v>
      </c>
      <c r="J3389" t="s">
        <v>379</v>
      </c>
      <c r="K3389" t="s">
        <v>546</v>
      </c>
      <c r="L3389" s="784">
        <v>0</v>
      </c>
      <c r="M3389" t="s">
        <v>745</v>
      </c>
      <c r="N3389" s="784" t="s">
        <v>575</v>
      </c>
      <c r="O3389" t="s">
        <v>737</v>
      </c>
      <c r="P3389" t="s">
        <v>1887</v>
      </c>
      <c r="R3389" t="s">
        <v>152</v>
      </c>
      <c r="S3389" t="s">
        <v>146</v>
      </c>
      <c r="U3389">
        <v>0</v>
      </c>
      <c r="V3389" t="s">
        <v>544</v>
      </c>
      <c r="W3389" t="s">
        <v>575</v>
      </c>
      <c r="X3389" s="784">
        <v>52769713433.240509</v>
      </c>
    </row>
    <row r="3390" spans="1:24">
      <c r="A3390" t="s">
        <v>358</v>
      </c>
      <c r="B3390" t="s">
        <v>661</v>
      </c>
      <c r="C3390" t="s">
        <v>264</v>
      </c>
      <c r="D3390" t="s">
        <v>128</v>
      </c>
      <c r="E3390" t="s">
        <v>377</v>
      </c>
      <c r="F3390" t="s">
        <v>385</v>
      </c>
      <c r="G3390" t="s">
        <v>346</v>
      </c>
      <c r="H3390" t="s">
        <v>749</v>
      </c>
      <c r="I3390" t="s">
        <v>743</v>
      </c>
      <c r="J3390" t="s">
        <v>379</v>
      </c>
      <c r="K3390" t="s">
        <v>546</v>
      </c>
      <c r="L3390" s="784">
        <v>0</v>
      </c>
      <c r="M3390" t="s">
        <v>745</v>
      </c>
      <c r="N3390" s="784" t="s">
        <v>575</v>
      </c>
      <c r="O3390" t="s">
        <v>737</v>
      </c>
      <c r="P3390" t="s">
        <v>1887</v>
      </c>
      <c r="R3390" t="s">
        <v>148</v>
      </c>
      <c r="S3390" t="s">
        <v>145</v>
      </c>
      <c r="U3390">
        <v>0</v>
      </c>
      <c r="V3390" t="s">
        <v>544</v>
      </c>
      <c r="W3390" t="s">
        <v>562</v>
      </c>
      <c r="X3390" s="784">
        <v>225799814.51943746</v>
      </c>
    </row>
    <row r="3391" spans="1:24">
      <c r="A3391" t="s">
        <v>358</v>
      </c>
      <c r="B3391" t="s">
        <v>662</v>
      </c>
      <c r="C3391" t="s">
        <v>265</v>
      </c>
      <c r="D3391" t="s">
        <v>126</v>
      </c>
      <c r="E3391" t="s">
        <v>377</v>
      </c>
      <c r="F3391" t="s">
        <v>385</v>
      </c>
      <c r="G3391" t="s">
        <v>346</v>
      </c>
      <c r="H3391" t="s">
        <v>749</v>
      </c>
      <c r="I3391" t="s">
        <v>743</v>
      </c>
      <c r="J3391" t="s">
        <v>379</v>
      </c>
      <c r="K3391" t="s">
        <v>546</v>
      </c>
      <c r="L3391" s="784">
        <v>0</v>
      </c>
      <c r="M3391" t="s">
        <v>745</v>
      </c>
      <c r="N3391" s="784" t="s">
        <v>575</v>
      </c>
      <c r="O3391" t="s">
        <v>737</v>
      </c>
      <c r="P3391" t="s">
        <v>1887</v>
      </c>
      <c r="R3391" t="s">
        <v>150</v>
      </c>
      <c r="S3391" t="s">
        <v>145</v>
      </c>
      <c r="U3391">
        <v>0</v>
      </c>
      <c r="V3391" t="s">
        <v>541</v>
      </c>
      <c r="W3391" t="s">
        <v>542</v>
      </c>
      <c r="X3391" s="784">
        <v>32192988.027009469</v>
      </c>
    </row>
    <row r="3392" spans="1:24">
      <c r="A3392" t="s">
        <v>358</v>
      </c>
      <c r="B3392" t="s">
        <v>663</v>
      </c>
      <c r="C3392" t="s">
        <v>266</v>
      </c>
      <c r="D3392" t="s">
        <v>129</v>
      </c>
      <c r="E3392" t="s">
        <v>377</v>
      </c>
      <c r="F3392" t="s">
        <v>385</v>
      </c>
      <c r="G3392" t="s">
        <v>346</v>
      </c>
      <c r="H3392" t="s">
        <v>749</v>
      </c>
      <c r="I3392" t="s">
        <v>743</v>
      </c>
      <c r="J3392" t="s">
        <v>379</v>
      </c>
      <c r="K3392" t="s">
        <v>546</v>
      </c>
      <c r="L3392" s="784">
        <v>0</v>
      </c>
      <c r="M3392" t="s">
        <v>745</v>
      </c>
      <c r="N3392" s="784" t="s">
        <v>575</v>
      </c>
      <c r="O3392" t="s">
        <v>737</v>
      </c>
      <c r="P3392" t="s">
        <v>1887</v>
      </c>
      <c r="R3392" t="s">
        <v>150</v>
      </c>
      <c r="S3392" t="s">
        <v>145</v>
      </c>
      <c r="U3392">
        <v>0</v>
      </c>
      <c r="V3392" t="s">
        <v>541</v>
      </c>
      <c r="W3392" t="s">
        <v>583</v>
      </c>
      <c r="X3392" s="784">
        <v>11633535.136477679</v>
      </c>
    </row>
    <row r="3393" spans="1:24">
      <c r="A3393" t="s">
        <v>358</v>
      </c>
      <c r="B3393" t="s">
        <v>664</v>
      </c>
      <c r="C3393" t="s">
        <v>267</v>
      </c>
      <c r="D3393" t="s">
        <v>129</v>
      </c>
      <c r="E3393" t="s">
        <v>377</v>
      </c>
      <c r="F3393" t="s">
        <v>385</v>
      </c>
      <c r="G3393" t="s">
        <v>346</v>
      </c>
      <c r="H3393" t="s">
        <v>749</v>
      </c>
      <c r="I3393" t="s">
        <v>743</v>
      </c>
      <c r="J3393" t="s">
        <v>379</v>
      </c>
      <c r="K3393" t="s">
        <v>546</v>
      </c>
      <c r="L3393" s="784">
        <v>0</v>
      </c>
      <c r="M3393" t="s">
        <v>745</v>
      </c>
      <c r="N3393" s="784" t="s">
        <v>575</v>
      </c>
      <c r="O3393" t="s">
        <v>737</v>
      </c>
      <c r="P3393" t="s">
        <v>1887</v>
      </c>
      <c r="R3393" t="s">
        <v>150</v>
      </c>
      <c r="S3393" t="s">
        <v>145</v>
      </c>
      <c r="U3393">
        <v>2</v>
      </c>
      <c r="V3393" t="s">
        <v>544</v>
      </c>
      <c r="W3393" t="s">
        <v>562</v>
      </c>
      <c r="X3393" s="784">
        <v>222008693.93354639</v>
      </c>
    </row>
    <row r="3394" spans="1:24">
      <c r="A3394" t="s">
        <v>358</v>
      </c>
      <c r="B3394" t="s">
        <v>665</v>
      </c>
      <c r="C3394" t="s">
        <v>153</v>
      </c>
      <c r="D3394" t="s">
        <v>127</v>
      </c>
      <c r="E3394" t="s">
        <v>377</v>
      </c>
      <c r="F3394" t="s">
        <v>385</v>
      </c>
      <c r="G3394" t="s">
        <v>346</v>
      </c>
      <c r="H3394" t="s">
        <v>749</v>
      </c>
      <c r="I3394" t="s">
        <v>743</v>
      </c>
      <c r="J3394" t="s">
        <v>379</v>
      </c>
      <c r="K3394" t="s">
        <v>546</v>
      </c>
      <c r="L3394" s="784">
        <v>0</v>
      </c>
      <c r="M3394" t="s">
        <v>745</v>
      </c>
      <c r="N3394" s="784" t="s">
        <v>575</v>
      </c>
      <c r="O3394" t="s">
        <v>737</v>
      </c>
      <c r="P3394" t="s">
        <v>1887</v>
      </c>
      <c r="R3394" t="s">
        <v>152</v>
      </c>
      <c r="S3394" t="s">
        <v>146</v>
      </c>
      <c r="U3394">
        <v>0</v>
      </c>
      <c r="V3394" t="s">
        <v>544</v>
      </c>
      <c r="W3394" t="s">
        <v>575</v>
      </c>
      <c r="X3394" s="784">
        <v>2564993795.1894679</v>
      </c>
    </row>
    <row r="3395" spans="1:24">
      <c r="A3395" t="s">
        <v>358</v>
      </c>
      <c r="B3395" t="s">
        <v>666</v>
      </c>
      <c r="C3395" t="s">
        <v>268</v>
      </c>
      <c r="D3395" t="s">
        <v>128</v>
      </c>
      <c r="E3395" t="s">
        <v>377</v>
      </c>
      <c r="F3395" t="s">
        <v>385</v>
      </c>
      <c r="G3395" t="s">
        <v>346</v>
      </c>
      <c r="H3395" t="s">
        <v>749</v>
      </c>
      <c r="I3395" t="s">
        <v>743</v>
      </c>
      <c r="J3395" t="s">
        <v>379</v>
      </c>
      <c r="K3395" t="s">
        <v>546</v>
      </c>
      <c r="L3395" s="784">
        <v>0</v>
      </c>
      <c r="M3395" t="s">
        <v>745</v>
      </c>
      <c r="N3395" s="784" t="s">
        <v>575</v>
      </c>
      <c r="O3395" t="s">
        <v>737</v>
      </c>
      <c r="P3395" t="s">
        <v>1887</v>
      </c>
      <c r="R3395" t="s">
        <v>550</v>
      </c>
      <c r="S3395" t="s">
        <v>146</v>
      </c>
      <c r="U3395">
        <v>0</v>
      </c>
      <c r="V3395" t="s">
        <v>541</v>
      </c>
      <c r="W3395" t="s">
        <v>546</v>
      </c>
      <c r="X3395" s="784">
        <v>60237542.945069775</v>
      </c>
    </row>
    <row r="3396" spans="1:24">
      <c r="A3396" t="s">
        <v>358</v>
      </c>
      <c r="B3396" t="s">
        <v>667</v>
      </c>
      <c r="C3396" t="s">
        <v>269</v>
      </c>
      <c r="D3396" t="s">
        <v>129</v>
      </c>
      <c r="E3396" t="s">
        <v>377</v>
      </c>
      <c r="F3396" t="s">
        <v>385</v>
      </c>
      <c r="G3396" t="s">
        <v>346</v>
      </c>
      <c r="H3396" t="s">
        <v>749</v>
      </c>
      <c r="I3396" t="s">
        <v>743</v>
      </c>
      <c r="J3396" t="s">
        <v>379</v>
      </c>
      <c r="K3396" t="s">
        <v>546</v>
      </c>
      <c r="L3396" s="784">
        <v>0</v>
      </c>
      <c r="M3396" t="s">
        <v>745</v>
      </c>
      <c r="N3396" s="784" t="s">
        <v>575</v>
      </c>
      <c r="O3396" t="s">
        <v>737</v>
      </c>
      <c r="P3396" t="s">
        <v>1887</v>
      </c>
      <c r="R3396" t="s">
        <v>148</v>
      </c>
      <c r="S3396" t="s">
        <v>145</v>
      </c>
      <c r="U3396">
        <v>0</v>
      </c>
      <c r="V3396" t="s">
        <v>544</v>
      </c>
      <c r="W3396" t="s">
        <v>542</v>
      </c>
      <c r="X3396" s="784">
        <v>63738640.538260505</v>
      </c>
    </row>
    <row r="3397" spans="1:24">
      <c r="A3397" t="s">
        <v>358</v>
      </c>
      <c r="B3397" t="s">
        <v>668</v>
      </c>
      <c r="C3397" t="s">
        <v>270</v>
      </c>
      <c r="D3397" t="s">
        <v>126</v>
      </c>
      <c r="E3397" t="s">
        <v>377</v>
      </c>
      <c r="F3397" t="s">
        <v>385</v>
      </c>
      <c r="G3397" t="s">
        <v>346</v>
      </c>
      <c r="H3397" t="s">
        <v>749</v>
      </c>
      <c r="I3397" t="s">
        <v>743</v>
      </c>
      <c r="J3397" t="s">
        <v>379</v>
      </c>
      <c r="K3397" t="s">
        <v>546</v>
      </c>
      <c r="L3397" s="784">
        <v>0</v>
      </c>
      <c r="M3397" t="s">
        <v>745</v>
      </c>
      <c r="N3397" s="784" t="s">
        <v>575</v>
      </c>
      <c r="O3397" t="s">
        <v>737</v>
      </c>
      <c r="P3397" t="s">
        <v>1887</v>
      </c>
      <c r="R3397" t="s">
        <v>150</v>
      </c>
      <c r="S3397" t="s">
        <v>145</v>
      </c>
      <c r="U3397">
        <v>0</v>
      </c>
      <c r="V3397" t="s">
        <v>541</v>
      </c>
      <c r="W3397" t="s">
        <v>562</v>
      </c>
      <c r="X3397" s="784">
        <v>49012774.055630356</v>
      </c>
    </row>
    <row r="3398" spans="1:24">
      <c r="A3398" t="s">
        <v>358</v>
      </c>
      <c r="B3398" t="s">
        <v>669</v>
      </c>
      <c r="C3398" t="s">
        <v>271</v>
      </c>
      <c r="D3398" t="s">
        <v>128</v>
      </c>
      <c r="E3398" t="s">
        <v>377</v>
      </c>
      <c r="F3398" t="s">
        <v>385</v>
      </c>
      <c r="G3398" t="s">
        <v>346</v>
      </c>
      <c r="H3398" t="s">
        <v>749</v>
      </c>
      <c r="I3398" t="s">
        <v>743</v>
      </c>
      <c r="J3398" t="s">
        <v>379</v>
      </c>
      <c r="K3398" t="s">
        <v>546</v>
      </c>
      <c r="L3398" s="784">
        <v>0</v>
      </c>
      <c r="M3398" t="s">
        <v>745</v>
      </c>
      <c r="N3398" s="784" t="s">
        <v>575</v>
      </c>
      <c r="O3398" t="s">
        <v>737</v>
      </c>
      <c r="P3398" t="s">
        <v>1887</v>
      </c>
      <c r="R3398" t="s">
        <v>148</v>
      </c>
      <c r="S3398" t="s">
        <v>145</v>
      </c>
      <c r="U3398">
        <v>1</v>
      </c>
      <c r="V3398" t="s">
        <v>544</v>
      </c>
      <c r="W3398" t="s">
        <v>583</v>
      </c>
      <c r="X3398" s="784" t="s">
        <v>575</v>
      </c>
    </row>
    <row r="3399" spans="1:24">
      <c r="A3399" t="s">
        <v>358</v>
      </c>
      <c r="B3399" t="s">
        <v>670</v>
      </c>
      <c r="C3399" t="s">
        <v>272</v>
      </c>
      <c r="D3399" t="s">
        <v>128</v>
      </c>
      <c r="E3399" t="s">
        <v>377</v>
      </c>
      <c r="F3399" t="s">
        <v>385</v>
      </c>
      <c r="G3399" t="s">
        <v>346</v>
      </c>
      <c r="H3399" t="s">
        <v>749</v>
      </c>
      <c r="I3399" t="s">
        <v>743</v>
      </c>
      <c r="J3399" t="s">
        <v>379</v>
      </c>
      <c r="K3399" t="s">
        <v>546</v>
      </c>
      <c r="L3399" s="784">
        <v>0</v>
      </c>
      <c r="M3399" t="s">
        <v>745</v>
      </c>
      <c r="N3399" s="784" t="s">
        <v>575</v>
      </c>
      <c r="O3399" t="s">
        <v>737</v>
      </c>
      <c r="P3399" t="s">
        <v>1887</v>
      </c>
      <c r="R3399" t="s">
        <v>152</v>
      </c>
      <c r="S3399" t="s">
        <v>146</v>
      </c>
      <c r="U3399">
        <v>0</v>
      </c>
      <c r="V3399" t="s">
        <v>544</v>
      </c>
      <c r="W3399" t="s">
        <v>546</v>
      </c>
      <c r="X3399" s="784">
        <v>16429121142.784708</v>
      </c>
    </row>
    <row r="3400" spans="1:24">
      <c r="A3400" t="s">
        <v>358</v>
      </c>
      <c r="B3400" t="s">
        <v>671</v>
      </c>
      <c r="C3400" t="s">
        <v>273</v>
      </c>
      <c r="D3400" t="s">
        <v>128</v>
      </c>
      <c r="E3400" t="s">
        <v>377</v>
      </c>
      <c r="F3400" t="s">
        <v>385</v>
      </c>
      <c r="G3400" t="s">
        <v>346</v>
      </c>
      <c r="H3400" t="s">
        <v>749</v>
      </c>
      <c r="I3400" t="s">
        <v>743</v>
      </c>
      <c r="J3400" t="s">
        <v>379</v>
      </c>
      <c r="K3400" t="s">
        <v>546</v>
      </c>
      <c r="L3400" s="784">
        <v>1620781</v>
      </c>
      <c r="M3400" t="s">
        <v>745</v>
      </c>
      <c r="N3400" s="784" t="s">
        <v>575</v>
      </c>
      <c r="O3400" t="s">
        <v>737</v>
      </c>
      <c r="P3400" t="s">
        <v>1887</v>
      </c>
      <c r="R3400" t="s">
        <v>148</v>
      </c>
      <c r="S3400" t="s">
        <v>145</v>
      </c>
      <c r="U3400">
        <v>1</v>
      </c>
      <c r="V3400" t="s">
        <v>544</v>
      </c>
      <c r="W3400" t="s">
        <v>542</v>
      </c>
      <c r="X3400" s="784">
        <v>31684581.76217727</v>
      </c>
    </row>
    <row r="3401" spans="1:24">
      <c r="A3401" t="s">
        <v>358</v>
      </c>
      <c r="B3401" t="s">
        <v>672</v>
      </c>
      <c r="C3401" t="s">
        <v>274</v>
      </c>
      <c r="D3401" t="s">
        <v>132</v>
      </c>
      <c r="E3401" t="s">
        <v>377</v>
      </c>
      <c r="F3401" t="s">
        <v>385</v>
      </c>
      <c r="G3401" t="s">
        <v>346</v>
      </c>
      <c r="H3401" t="s">
        <v>749</v>
      </c>
      <c r="I3401" t="s">
        <v>743</v>
      </c>
      <c r="J3401" t="s">
        <v>379</v>
      </c>
      <c r="K3401" t="s">
        <v>546</v>
      </c>
      <c r="L3401" s="784">
        <v>0</v>
      </c>
      <c r="M3401" t="s">
        <v>745</v>
      </c>
      <c r="N3401" s="784" t="s">
        <v>575</v>
      </c>
      <c r="O3401" t="s">
        <v>737</v>
      </c>
      <c r="P3401" t="s">
        <v>1887</v>
      </c>
      <c r="R3401" t="s">
        <v>150</v>
      </c>
      <c r="S3401" t="s">
        <v>145</v>
      </c>
      <c r="U3401">
        <v>0</v>
      </c>
      <c r="V3401" t="s">
        <v>544</v>
      </c>
      <c r="W3401" t="s">
        <v>546</v>
      </c>
      <c r="X3401" s="784">
        <v>1373621563.5182886</v>
      </c>
    </row>
    <row r="3402" spans="1:24">
      <c r="A3402" t="s">
        <v>358</v>
      </c>
      <c r="B3402" t="s">
        <v>673</v>
      </c>
      <c r="C3402" t="s">
        <v>275</v>
      </c>
      <c r="D3402" t="s">
        <v>130</v>
      </c>
      <c r="E3402" t="s">
        <v>377</v>
      </c>
      <c r="F3402" t="s">
        <v>385</v>
      </c>
      <c r="G3402" t="s">
        <v>346</v>
      </c>
      <c r="H3402" t="s">
        <v>749</v>
      </c>
      <c r="I3402" t="s">
        <v>743</v>
      </c>
      <c r="J3402" t="s">
        <v>379</v>
      </c>
      <c r="K3402" t="s">
        <v>546</v>
      </c>
      <c r="L3402" s="784">
        <v>0</v>
      </c>
      <c r="M3402" t="s">
        <v>745</v>
      </c>
      <c r="N3402" s="784" t="s">
        <v>575</v>
      </c>
      <c r="O3402" t="s">
        <v>737</v>
      </c>
      <c r="P3402" t="s">
        <v>1887</v>
      </c>
      <c r="R3402" t="s">
        <v>550</v>
      </c>
      <c r="S3402" t="s">
        <v>146</v>
      </c>
      <c r="U3402">
        <v>0</v>
      </c>
      <c r="V3402" t="s">
        <v>541</v>
      </c>
      <c r="W3402" t="s">
        <v>575</v>
      </c>
      <c r="X3402" s="784">
        <v>24214370.889062837</v>
      </c>
    </row>
    <row r="3403" spans="1:24">
      <c r="A3403" t="s">
        <v>358</v>
      </c>
      <c r="B3403" t="s">
        <v>674</v>
      </c>
      <c r="C3403" t="s">
        <v>154</v>
      </c>
      <c r="D3403" t="s">
        <v>130</v>
      </c>
      <c r="E3403" t="s">
        <v>377</v>
      </c>
      <c r="F3403" t="s">
        <v>385</v>
      </c>
      <c r="G3403" t="s">
        <v>346</v>
      </c>
      <c r="H3403" t="s">
        <v>749</v>
      </c>
      <c r="I3403" t="s">
        <v>743</v>
      </c>
      <c r="J3403" t="s">
        <v>379</v>
      </c>
      <c r="K3403" t="s">
        <v>546</v>
      </c>
      <c r="L3403" s="784">
        <v>0</v>
      </c>
      <c r="M3403" t="s">
        <v>745</v>
      </c>
      <c r="N3403" s="784" t="s">
        <v>575</v>
      </c>
      <c r="O3403" t="s">
        <v>737</v>
      </c>
      <c r="P3403" t="s">
        <v>1887</v>
      </c>
      <c r="R3403" t="s">
        <v>152</v>
      </c>
      <c r="S3403" t="s">
        <v>145</v>
      </c>
      <c r="U3403">
        <v>0</v>
      </c>
      <c r="V3403" t="s">
        <v>541</v>
      </c>
      <c r="W3403" t="s">
        <v>548</v>
      </c>
      <c r="X3403" s="784">
        <v>39941279.609447442</v>
      </c>
    </row>
    <row r="3404" spans="1:24">
      <c r="A3404" t="s">
        <v>358</v>
      </c>
      <c r="B3404" t="s">
        <v>675</v>
      </c>
      <c r="C3404" t="s">
        <v>155</v>
      </c>
      <c r="D3404" t="s">
        <v>130</v>
      </c>
      <c r="E3404" t="s">
        <v>377</v>
      </c>
      <c r="F3404" t="s">
        <v>385</v>
      </c>
      <c r="G3404" t="s">
        <v>346</v>
      </c>
      <c r="H3404" t="s">
        <v>749</v>
      </c>
      <c r="I3404" t="s">
        <v>743</v>
      </c>
      <c r="J3404" t="s">
        <v>379</v>
      </c>
      <c r="K3404" t="s">
        <v>546</v>
      </c>
      <c r="L3404" s="784">
        <v>0</v>
      </c>
      <c r="M3404" t="s">
        <v>745</v>
      </c>
      <c r="N3404" s="784" t="s">
        <v>575</v>
      </c>
      <c r="O3404" t="s">
        <v>737</v>
      </c>
      <c r="P3404" t="s">
        <v>1887</v>
      </c>
      <c r="R3404" t="s">
        <v>152</v>
      </c>
      <c r="S3404" t="s">
        <v>145</v>
      </c>
      <c r="U3404">
        <v>0</v>
      </c>
      <c r="V3404" t="s">
        <v>541</v>
      </c>
      <c r="W3404" t="s">
        <v>542</v>
      </c>
      <c r="X3404" s="784">
        <v>24761675.260059897</v>
      </c>
    </row>
    <row r="3405" spans="1:24">
      <c r="A3405" t="s">
        <v>358</v>
      </c>
      <c r="B3405" t="s">
        <v>676</v>
      </c>
      <c r="C3405" t="s">
        <v>276</v>
      </c>
      <c r="D3405" t="s">
        <v>131</v>
      </c>
      <c r="E3405" t="s">
        <v>377</v>
      </c>
      <c r="F3405" t="s">
        <v>385</v>
      </c>
      <c r="G3405" t="s">
        <v>346</v>
      </c>
      <c r="H3405" t="s">
        <v>749</v>
      </c>
      <c r="I3405" t="s">
        <v>743</v>
      </c>
      <c r="J3405" t="s">
        <v>379</v>
      </c>
      <c r="K3405" t="s">
        <v>546</v>
      </c>
      <c r="L3405" s="784">
        <v>0</v>
      </c>
      <c r="M3405" t="s">
        <v>745</v>
      </c>
      <c r="N3405" s="784" t="s">
        <v>575</v>
      </c>
      <c r="O3405" t="s">
        <v>737</v>
      </c>
      <c r="P3405" t="s">
        <v>1887</v>
      </c>
      <c r="R3405" t="s">
        <v>150</v>
      </c>
      <c r="S3405" t="s">
        <v>145</v>
      </c>
      <c r="U3405">
        <v>0</v>
      </c>
      <c r="V3405" t="s">
        <v>544</v>
      </c>
      <c r="W3405" t="s">
        <v>546</v>
      </c>
      <c r="X3405" s="784" t="s">
        <v>575</v>
      </c>
    </row>
    <row r="3406" spans="1:24">
      <c r="A3406" t="s">
        <v>358</v>
      </c>
      <c r="B3406" t="s">
        <v>677</v>
      </c>
      <c r="C3406" t="s">
        <v>277</v>
      </c>
      <c r="D3406" t="s">
        <v>131</v>
      </c>
      <c r="E3406" t="s">
        <v>377</v>
      </c>
      <c r="F3406" t="s">
        <v>385</v>
      </c>
      <c r="G3406" t="s">
        <v>346</v>
      </c>
      <c r="H3406" t="s">
        <v>749</v>
      </c>
      <c r="I3406" t="s">
        <v>743</v>
      </c>
      <c r="J3406" t="s">
        <v>379</v>
      </c>
      <c r="K3406" t="s">
        <v>546</v>
      </c>
      <c r="L3406" s="784">
        <v>0</v>
      </c>
      <c r="M3406" t="s">
        <v>745</v>
      </c>
      <c r="N3406" s="784" t="s">
        <v>575</v>
      </c>
      <c r="O3406" t="s">
        <v>737</v>
      </c>
      <c r="P3406" t="s">
        <v>1887</v>
      </c>
      <c r="R3406" t="s">
        <v>148</v>
      </c>
      <c r="S3406" t="s">
        <v>145</v>
      </c>
      <c r="U3406">
        <v>1</v>
      </c>
      <c r="V3406" t="s">
        <v>544</v>
      </c>
      <c r="W3406" t="s">
        <v>546</v>
      </c>
      <c r="X3406" s="784">
        <v>577156172.71229994</v>
      </c>
    </row>
    <row r="3407" spans="1:24">
      <c r="A3407" t="s">
        <v>358</v>
      </c>
      <c r="B3407" t="s">
        <v>678</v>
      </c>
      <c r="C3407" t="s">
        <v>278</v>
      </c>
      <c r="D3407" t="s">
        <v>126</v>
      </c>
      <c r="E3407" t="s">
        <v>377</v>
      </c>
      <c r="F3407" t="s">
        <v>385</v>
      </c>
      <c r="G3407" t="s">
        <v>346</v>
      </c>
      <c r="H3407" t="s">
        <v>749</v>
      </c>
      <c r="I3407" t="s">
        <v>743</v>
      </c>
      <c r="J3407" t="s">
        <v>379</v>
      </c>
      <c r="K3407" t="s">
        <v>546</v>
      </c>
      <c r="L3407" s="784">
        <v>0</v>
      </c>
      <c r="M3407" t="s">
        <v>745</v>
      </c>
      <c r="N3407" s="784" t="s">
        <v>575</v>
      </c>
      <c r="O3407" t="s">
        <v>737</v>
      </c>
      <c r="P3407" t="s">
        <v>1887</v>
      </c>
      <c r="R3407" t="s">
        <v>152</v>
      </c>
      <c r="S3407" t="s">
        <v>146</v>
      </c>
      <c r="U3407">
        <v>0</v>
      </c>
      <c r="V3407" t="s">
        <v>541</v>
      </c>
      <c r="W3407" t="s">
        <v>575</v>
      </c>
      <c r="X3407" s="784">
        <v>180052034.19851837</v>
      </c>
    </row>
    <row r="3408" spans="1:24">
      <c r="A3408" t="s">
        <v>358</v>
      </c>
      <c r="B3408" t="s">
        <v>679</v>
      </c>
      <c r="C3408" t="s">
        <v>279</v>
      </c>
      <c r="D3408" t="s">
        <v>131</v>
      </c>
      <c r="E3408" t="s">
        <v>377</v>
      </c>
      <c r="F3408" t="s">
        <v>385</v>
      </c>
      <c r="G3408" t="s">
        <v>346</v>
      </c>
      <c r="H3408" t="s">
        <v>749</v>
      </c>
      <c r="I3408" t="s">
        <v>743</v>
      </c>
      <c r="J3408" t="s">
        <v>379</v>
      </c>
      <c r="K3408" t="s">
        <v>546</v>
      </c>
      <c r="L3408" s="784">
        <v>0</v>
      </c>
      <c r="M3408" t="s">
        <v>745</v>
      </c>
      <c r="N3408" s="784" t="s">
        <v>575</v>
      </c>
      <c r="O3408" t="s">
        <v>737</v>
      </c>
      <c r="P3408" t="s">
        <v>1887</v>
      </c>
      <c r="R3408" t="s">
        <v>148</v>
      </c>
      <c r="S3408" t="s">
        <v>145</v>
      </c>
      <c r="U3408">
        <v>1</v>
      </c>
      <c r="V3408" t="s">
        <v>544</v>
      </c>
      <c r="W3408" t="s">
        <v>546</v>
      </c>
      <c r="X3408" s="784" t="s">
        <v>575</v>
      </c>
    </row>
    <row r="3409" spans="1:24">
      <c r="A3409" t="s">
        <v>358</v>
      </c>
      <c r="B3409" t="s">
        <v>680</v>
      </c>
      <c r="C3409" t="s">
        <v>280</v>
      </c>
      <c r="D3409" t="s">
        <v>127</v>
      </c>
      <c r="E3409" t="s">
        <v>377</v>
      </c>
      <c r="F3409" t="s">
        <v>385</v>
      </c>
      <c r="G3409" t="s">
        <v>346</v>
      </c>
      <c r="H3409" t="s">
        <v>749</v>
      </c>
      <c r="I3409" t="s">
        <v>743</v>
      </c>
      <c r="J3409" t="s">
        <v>379</v>
      </c>
      <c r="K3409" t="s">
        <v>546</v>
      </c>
      <c r="L3409" s="784">
        <v>0</v>
      </c>
      <c r="M3409" t="s">
        <v>745</v>
      </c>
      <c r="N3409" s="784" t="s">
        <v>575</v>
      </c>
      <c r="O3409" t="s">
        <v>737</v>
      </c>
      <c r="P3409" t="s">
        <v>1887</v>
      </c>
      <c r="R3409" t="s">
        <v>150</v>
      </c>
      <c r="S3409" t="s">
        <v>145</v>
      </c>
      <c r="U3409">
        <v>0</v>
      </c>
      <c r="V3409" t="s">
        <v>544</v>
      </c>
      <c r="W3409" t="s">
        <v>542</v>
      </c>
      <c r="X3409" s="784">
        <v>147296124.32232863</v>
      </c>
    </row>
    <row r="3410" spans="1:24">
      <c r="A3410" t="s">
        <v>358</v>
      </c>
      <c r="B3410" t="s">
        <v>681</v>
      </c>
      <c r="C3410" t="s">
        <v>156</v>
      </c>
      <c r="D3410" t="s">
        <v>128</v>
      </c>
      <c r="E3410" t="s">
        <v>377</v>
      </c>
      <c r="F3410" t="s">
        <v>385</v>
      </c>
      <c r="G3410" t="s">
        <v>346</v>
      </c>
      <c r="H3410" t="s">
        <v>749</v>
      </c>
      <c r="I3410" t="s">
        <v>743</v>
      </c>
      <c r="J3410" t="s">
        <v>379</v>
      </c>
      <c r="K3410" t="s">
        <v>546</v>
      </c>
      <c r="L3410" s="784">
        <v>0</v>
      </c>
      <c r="M3410" t="s">
        <v>745</v>
      </c>
      <c r="N3410" s="784" t="s">
        <v>575</v>
      </c>
      <c r="O3410" t="s">
        <v>737</v>
      </c>
      <c r="P3410" t="s">
        <v>1887</v>
      </c>
      <c r="R3410" t="s">
        <v>150</v>
      </c>
      <c r="S3410" t="s">
        <v>145</v>
      </c>
      <c r="U3410">
        <v>0</v>
      </c>
      <c r="V3410" t="s">
        <v>544</v>
      </c>
      <c r="W3410" t="s">
        <v>548</v>
      </c>
      <c r="X3410" s="784">
        <v>890576536.83065879</v>
      </c>
    </row>
    <row r="3411" spans="1:24">
      <c r="A3411" t="s">
        <v>358</v>
      </c>
      <c r="B3411" t="s">
        <v>682</v>
      </c>
      <c r="C3411" t="s">
        <v>157</v>
      </c>
      <c r="D3411" t="s">
        <v>126</v>
      </c>
      <c r="E3411" t="s">
        <v>377</v>
      </c>
      <c r="F3411" t="s">
        <v>385</v>
      </c>
      <c r="G3411" t="s">
        <v>346</v>
      </c>
      <c r="H3411" t="s">
        <v>749</v>
      </c>
      <c r="I3411" t="s">
        <v>743</v>
      </c>
      <c r="J3411" t="s">
        <v>379</v>
      </c>
      <c r="K3411" t="s">
        <v>546</v>
      </c>
      <c r="L3411" s="784">
        <v>0</v>
      </c>
      <c r="M3411" t="s">
        <v>745</v>
      </c>
      <c r="N3411" s="784" t="s">
        <v>575</v>
      </c>
      <c r="O3411" t="s">
        <v>737</v>
      </c>
      <c r="P3411" t="s">
        <v>1887</v>
      </c>
      <c r="R3411" t="s">
        <v>152</v>
      </c>
      <c r="S3411" t="s">
        <v>146</v>
      </c>
      <c r="U3411">
        <v>0</v>
      </c>
      <c r="V3411" t="s">
        <v>544</v>
      </c>
      <c r="W3411" t="s">
        <v>575</v>
      </c>
      <c r="X3411" s="784">
        <v>14611129792.346064</v>
      </c>
    </row>
    <row r="3412" spans="1:24">
      <c r="A3412" t="s">
        <v>358</v>
      </c>
      <c r="B3412" t="s">
        <v>683</v>
      </c>
      <c r="C3412" t="s">
        <v>281</v>
      </c>
      <c r="D3412" t="s">
        <v>126</v>
      </c>
      <c r="E3412" t="s">
        <v>377</v>
      </c>
      <c r="F3412" t="s">
        <v>385</v>
      </c>
      <c r="G3412" t="s">
        <v>346</v>
      </c>
      <c r="H3412" t="s">
        <v>749</v>
      </c>
      <c r="I3412" t="s">
        <v>743</v>
      </c>
      <c r="J3412" t="s">
        <v>379</v>
      </c>
      <c r="K3412" t="s">
        <v>546</v>
      </c>
      <c r="L3412" s="784">
        <v>0</v>
      </c>
      <c r="M3412" t="s">
        <v>745</v>
      </c>
      <c r="N3412" s="784" t="s">
        <v>575</v>
      </c>
      <c r="O3412" t="s">
        <v>737</v>
      </c>
      <c r="P3412" t="s">
        <v>1887</v>
      </c>
      <c r="R3412" t="s">
        <v>150</v>
      </c>
      <c r="S3412" t="s">
        <v>145</v>
      </c>
      <c r="U3412">
        <v>0</v>
      </c>
      <c r="V3412" t="s">
        <v>541</v>
      </c>
      <c r="W3412" t="s">
        <v>558</v>
      </c>
      <c r="X3412" s="784">
        <v>72046877.233008593</v>
      </c>
    </row>
    <row r="3413" spans="1:24">
      <c r="A3413" t="s">
        <v>358</v>
      </c>
      <c r="B3413" t="s">
        <v>684</v>
      </c>
      <c r="C3413" t="s">
        <v>282</v>
      </c>
      <c r="D3413" t="s">
        <v>129</v>
      </c>
      <c r="E3413" t="s">
        <v>377</v>
      </c>
      <c r="F3413" t="s">
        <v>385</v>
      </c>
      <c r="G3413" t="s">
        <v>346</v>
      </c>
      <c r="H3413" t="s">
        <v>749</v>
      </c>
      <c r="I3413" t="s">
        <v>743</v>
      </c>
      <c r="J3413" t="s">
        <v>379</v>
      </c>
      <c r="K3413" t="s">
        <v>546</v>
      </c>
      <c r="L3413" s="784">
        <v>0</v>
      </c>
      <c r="M3413" t="s">
        <v>745</v>
      </c>
      <c r="N3413" s="784" t="s">
        <v>575</v>
      </c>
      <c r="O3413" t="s">
        <v>737</v>
      </c>
      <c r="P3413" t="s">
        <v>1887</v>
      </c>
      <c r="R3413" t="s">
        <v>148</v>
      </c>
      <c r="S3413" t="s">
        <v>145</v>
      </c>
      <c r="U3413">
        <v>0</v>
      </c>
      <c r="V3413" t="s">
        <v>544</v>
      </c>
      <c r="W3413" t="s">
        <v>542</v>
      </c>
      <c r="X3413" s="784">
        <v>56248139.267255567</v>
      </c>
    </row>
    <row r="3414" spans="1:24">
      <c r="A3414" t="s">
        <v>358</v>
      </c>
      <c r="B3414" t="s">
        <v>685</v>
      </c>
      <c r="C3414" t="s">
        <v>283</v>
      </c>
      <c r="D3414" t="s">
        <v>126</v>
      </c>
      <c r="E3414" t="s">
        <v>377</v>
      </c>
      <c r="F3414" t="s">
        <v>385</v>
      </c>
      <c r="G3414" t="s">
        <v>346</v>
      </c>
      <c r="H3414" t="s">
        <v>749</v>
      </c>
      <c r="I3414" t="s">
        <v>743</v>
      </c>
      <c r="J3414" t="s">
        <v>379</v>
      </c>
      <c r="K3414" t="s">
        <v>546</v>
      </c>
      <c r="L3414" s="784">
        <v>0</v>
      </c>
      <c r="M3414" t="s">
        <v>745</v>
      </c>
      <c r="N3414" s="784" t="s">
        <v>575</v>
      </c>
      <c r="O3414" t="s">
        <v>737</v>
      </c>
      <c r="P3414" t="s">
        <v>1887</v>
      </c>
      <c r="R3414" t="s">
        <v>152</v>
      </c>
      <c r="S3414" t="s">
        <v>145</v>
      </c>
      <c r="U3414">
        <v>0</v>
      </c>
      <c r="V3414" t="s">
        <v>541</v>
      </c>
      <c r="W3414" t="s">
        <v>542</v>
      </c>
      <c r="X3414" s="784">
        <v>15464031.712942109</v>
      </c>
    </row>
    <row r="3415" spans="1:24">
      <c r="A3415" t="s">
        <v>358</v>
      </c>
      <c r="B3415" t="s">
        <v>686</v>
      </c>
      <c r="C3415" t="s">
        <v>284</v>
      </c>
      <c r="D3415" t="s">
        <v>130</v>
      </c>
      <c r="E3415" t="s">
        <v>377</v>
      </c>
      <c r="F3415" t="s">
        <v>385</v>
      </c>
      <c r="G3415" t="s">
        <v>346</v>
      </c>
      <c r="H3415" t="s">
        <v>749</v>
      </c>
      <c r="I3415" t="s">
        <v>743</v>
      </c>
      <c r="J3415" t="s">
        <v>379</v>
      </c>
      <c r="K3415" t="s">
        <v>546</v>
      </c>
      <c r="L3415" s="784">
        <v>0</v>
      </c>
      <c r="M3415" t="s">
        <v>745</v>
      </c>
      <c r="N3415" s="784" t="s">
        <v>575</v>
      </c>
      <c r="O3415" t="s">
        <v>737</v>
      </c>
      <c r="P3415" t="s">
        <v>1887</v>
      </c>
      <c r="R3415" t="s">
        <v>550</v>
      </c>
      <c r="S3415" t="s">
        <v>146</v>
      </c>
      <c r="U3415">
        <v>0</v>
      </c>
      <c r="V3415" t="s">
        <v>541</v>
      </c>
      <c r="W3415" t="s">
        <v>546</v>
      </c>
      <c r="X3415" s="784">
        <v>769564399.33249676</v>
      </c>
    </row>
    <row r="3416" spans="1:24">
      <c r="A3416" t="s">
        <v>358</v>
      </c>
      <c r="B3416" t="s">
        <v>687</v>
      </c>
      <c r="C3416" t="s">
        <v>285</v>
      </c>
      <c r="D3416" t="s">
        <v>131</v>
      </c>
      <c r="E3416" t="s">
        <v>377</v>
      </c>
      <c r="F3416" t="s">
        <v>385</v>
      </c>
      <c r="G3416" t="s">
        <v>346</v>
      </c>
      <c r="H3416" t="s">
        <v>749</v>
      </c>
      <c r="I3416" t="s">
        <v>743</v>
      </c>
      <c r="J3416" t="s">
        <v>379</v>
      </c>
      <c r="K3416" t="s">
        <v>546</v>
      </c>
      <c r="L3416" s="784">
        <v>0</v>
      </c>
      <c r="M3416" t="s">
        <v>745</v>
      </c>
      <c r="N3416" s="784" t="s">
        <v>575</v>
      </c>
      <c r="O3416" t="s">
        <v>737</v>
      </c>
      <c r="P3416" t="s">
        <v>1887</v>
      </c>
      <c r="R3416" t="s">
        <v>150</v>
      </c>
      <c r="S3416" t="s">
        <v>145</v>
      </c>
      <c r="U3416">
        <v>0</v>
      </c>
      <c r="V3416" t="s">
        <v>544</v>
      </c>
      <c r="W3416" t="s">
        <v>546</v>
      </c>
      <c r="X3416" s="784">
        <v>1668954539.7630196</v>
      </c>
    </row>
    <row r="3417" spans="1:24">
      <c r="A3417" t="s">
        <v>358</v>
      </c>
      <c r="B3417" t="s">
        <v>688</v>
      </c>
      <c r="C3417" t="s">
        <v>286</v>
      </c>
      <c r="D3417" t="s">
        <v>127</v>
      </c>
      <c r="E3417" t="s">
        <v>377</v>
      </c>
      <c r="F3417" t="s">
        <v>385</v>
      </c>
      <c r="G3417" t="s">
        <v>346</v>
      </c>
      <c r="H3417" t="s">
        <v>749</v>
      </c>
      <c r="I3417" t="s">
        <v>743</v>
      </c>
      <c r="J3417" t="s">
        <v>379</v>
      </c>
      <c r="K3417" t="s">
        <v>546</v>
      </c>
      <c r="L3417" s="784">
        <v>0</v>
      </c>
      <c r="M3417" t="s">
        <v>745</v>
      </c>
      <c r="N3417" s="784" t="s">
        <v>575</v>
      </c>
      <c r="O3417" t="s">
        <v>737</v>
      </c>
      <c r="P3417" t="s">
        <v>1887</v>
      </c>
      <c r="R3417" t="s">
        <v>152</v>
      </c>
      <c r="S3417" t="s">
        <v>146</v>
      </c>
      <c r="U3417">
        <v>0</v>
      </c>
      <c r="V3417" t="s">
        <v>544</v>
      </c>
      <c r="W3417" t="s">
        <v>575</v>
      </c>
      <c r="X3417" s="784">
        <v>24840920016.18832</v>
      </c>
    </row>
    <row r="3418" spans="1:24">
      <c r="A3418" t="s">
        <v>358</v>
      </c>
      <c r="B3418" t="s">
        <v>689</v>
      </c>
      <c r="C3418" t="s">
        <v>287</v>
      </c>
      <c r="D3418" t="s">
        <v>127</v>
      </c>
      <c r="E3418" t="s">
        <v>377</v>
      </c>
      <c r="F3418" t="s">
        <v>385</v>
      </c>
      <c r="G3418" t="s">
        <v>346</v>
      </c>
      <c r="H3418" t="s">
        <v>749</v>
      </c>
      <c r="I3418" t="s">
        <v>743</v>
      </c>
      <c r="J3418" t="s">
        <v>379</v>
      </c>
      <c r="K3418" t="s">
        <v>546</v>
      </c>
      <c r="L3418" s="784">
        <v>0</v>
      </c>
      <c r="M3418" t="s">
        <v>745</v>
      </c>
      <c r="N3418" s="784" t="s">
        <v>575</v>
      </c>
      <c r="O3418" t="s">
        <v>737</v>
      </c>
      <c r="P3418" t="s">
        <v>1887</v>
      </c>
      <c r="R3418" t="s">
        <v>152</v>
      </c>
      <c r="S3418" t="s">
        <v>146</v>
      </c>
      <c r="U3418">
        <v>0</v>
      </c>
      <c r="V3418" t="s">
        <v>544</v>
      </c>
      <c r="W3418" t="s">
        <v>546</v>
      </c>
      <c r="X3418" s="784">
        <v>487888462.83720118</v>
      </c>
    </row>
    <row r="3419" spans="1:24">
      <c r="A3419" t="s">
        <v>358</v>
      </c>
      <c r="B3419" t="s">
        <v>690</v>
      </c>
      <c r="C3419" t="s">
        <v>288</v>
      </c>
      <c r="D3419" t="s">
        <v>126</v>
      </c>
      <c r="E3419" t="s">
        <v>377</v>
      </c>
      <c r="F3419" t="s">
        <v>385</v>
      </c>
      <c r="G3419" t="s">
        <v>346</v>
      </c>
      <c r="H3419" t="s">
        <v>749</v>
      </c>
      <c r="I3419" t="s">
        <v>743</v>
      </c>
      <c r="J3419" t="s">
        <v>379</v>
      </c>
      <c r="K3419" t="s">
        <v>546</v>
      </c>
      <c r="L3419" s="784">
        <v>0</v>
      </c>
      <c r="M3419" t="s">
        <v>745</v>
      </c>
      <c r="N3419" s="784" t="s">
        <v>575</v>
      </c>
      <c r="O3419" t="s">
        <v>737</v>
      </c>
      <c r="P3419" t="s">
        <v>1887</v>
      </c>
      <c r="R3419" t="s">
        <v>152</v>
      </c>
      <c r="S3419" t="s">
        <v>145</v>
      </c>
      <c r="U3419">
        <v>0</v>
      </c>
      <c r="V3419" t="s">
        <v>541</v>
      </c>
      <c r="W3419" t="s">
        <v>548</v>
      </c>
      <c r="X3419" s="784">
        <v>6365061.1736073596</v>
      </c>
    </row>
    <row r="3420" spans="1:24">
      <c r="A3420" t="s">
        <v>358</v>
      </c>
      <c r="B3420" t="s">
        <v>691</v>
      </c>
      <c r="C3420" t="s">
        <v>289</v>
      </c>
      <c r="D3420" t="s">
        <v>128</v>
      </c>
      <c r="E3420" t="s">
        <v>377</v>
      </c>
      <c r="F3420" t="s">
        <v>385</v>
      </c>
      <c r="G3420" t="s">
        <v>346</v>
      </c>
      <c r="H3420" t="s">
        <v>749</v>
      </c>
      <c r="I3420" t="s">
        <v>743</v>
      </c>
      <c r="J3420" t="s">
        <v>379</v>
      </c>
      <c r="K3420" t="s">
        <v>546</v>
      </c>
      <c r="L3420" s="784">
        <v>929362</v>
      </c>
      <c r="M3420" t="s">
        <v>745</v>
      </c>
      <c r="N3420" s="784" t="s">
        <v>575</v>
      </c>
      <c r="O3420" t="s">
        <v>737</v>
      </c>
      <c r="P3420" t="s">
        <v>1887</v>
      </c>
      <c r="R3420" t="s">
        <v>148</v>
      </c>
      <c r="S3420" t="s">
        <v>145</v>
      </c>
      <c r="U3420">
        <v>2</v>
      </c>
      <c r="V3420" t="s">
        <v>544</v>
      </c>
      <c r="W3420" t="s">
        <v>558</v>
      </c>
      <c r="X3420" s="784">
        <v>291799092.90196139</v>
      </c>
    </row>
    <row r="3421" spans="1:24">
      <c r="A3421" t="s">
        <v>358</v>
      </c>
      <c r="B3421" t="s">
        <v>692</v>
      </c>
      <c r="C3421" t="s">
        <v>290</v>
      </c>
      <c r="D3421" t="s">
        <v>127</v>
      </c>
      <c r="E3421" t="s">
        <v>377</v>
      </c>
      <c r="F3421" t="s">
        <v>385</v>
      </c>
      <c r="G3421" t="s">
        <v>346</v>
      </c>
      <c r="H3421" t="s">
        <v>749</v>
      </c>
      <c r="I3421" t="s">
        <v>743</v>
      </c>
      <c r="J3421" t="s">
        <v>379</v>
      </c>
      <c r="K3421" t="s">
        <v>546</v>
      </c>
      <c r="L3421" s="784">
        <v>0</v>
      </c>
      <c r="M3421" t="s">
        <v>745</v>
      </c>
      <c r="N3421" s="784" t="s">
        <v>575</v>
      </c>
      <c r="O3421" t="s">
        <v>737</v>
      </c>
      <c r="P3421" t="s">
        <v>1887</v>
      </c>
      <c r="R3421" t="s">
        <v>150</v>
      </c>
      <c r="S3421" t="s">
        <v>145</v>
      </c>
      <c r="U3421">
        <v>0</v>
      </c>
      <c r="V3421" t="s">
        <v>544</v>
      </c>
      <c r="W3421" t="s">
        <v>546</v>
      </c>
      <c r="X3421" s="784">
        <v>4844815340.2135534</v>
      </c>
    </row>
    <row r="3422" spans="1:24">
      <c r="A3422" t="s">
        <v>358</v>
      </c>
      <c r="B3422" t="s">
        <v>693</v>
      </c>
      <c r="C3422" t="s">
        <v>291</v>
      </c>
      <c r="D3422" t="s">
        <v>130</v>
      </c>
      <c r="E3422" t="s">
        <v>377</v>
      </c>
      <c r="F3422" t="s">
        <v>385</v>
      </c>
      <c r="G3422" t="s">
        <v>346</v>
      </c>
      <c r="H3422" t="s">
        <v>749</v>
      </c>
      <c r="I3422" t="s">
        <v>743</v>
      </c>
      <c r="J3422" t="s">
        <v>379</v>
      </c>
      <c r="K3422" t="s">
        <v>546</v>
      </c>
      <c r="L3422" s="784">
        <v>0</v>
      </c>
      <c r="M3422" t="s">
        <v>745</v>
      </c>
      <c r="N3422" s="784" t="s">
        <v>575</v>
      </c>
      <c r="O3422" t="s">
        <v>737</v>
      </c>
      <c r="P3422" t="s">
        <v>1887</v>
      </c>
      <c r="R3422" t="s">
        <v>550</v>
      </c>
      <c r="S3422" t="s">
        <v>146</v>
      </c>
      <c r="U3422">
        <v>0</v>
      </c>
      <c r="V3422" t="s">
        <v>544</v>
      </c>
      <c r="W3422" t="s">
        <v>575</v>
      </c>
      <c r="X3422" s="784">
        <v>4001891446.6871672</v>
      </c>
    </row>
    <row r="3423" spans="1:24">
      <c r="A3423" t="s">
        <v>358</v>
      </c>
      <c r="B3423" t="s">
        <v>694</v>
      </c>
      <c r="C3423" t="s">
        <v>292</v>
      </c>
      <c r="D3423" t="s">
        <v>127</v>
      </c>
      <c r="E3423" t="s">
        <v>377</v>
      </c>
      <c r="F3423" t="s">
        <v>385</v>
      </c>
      <c r="G3423" t="s">
        <v>346</v>
      </c>
      <c r="H3423" t="s">
        <v>749</v>
      </c>
      <c r="I3423" t="s">
        <v>743</v>
      </c>
      <c r="J3423" t="s">
        <v>379</v>
      </c>
      <c r="K3423" t="s">
        <v>546</v>
      </c>
      <c r="L3423" s="784">
        <v>0</v>
      </c>
      <c r="M3423" t="s">
        <v>745</v>
      </c>
      <c r="N3423" s="784" t="s">
        <v>575</v>
      </c>
      <c r="O3423" t="s">
        <v>737</v>
      </c>
      <c r="P3423" t="s">
        <v>1887</v>
      </c>
      <c r="R3423" t="s">
        <v>150</v>
      </c>
      <c r="S3423" t="s">
        <v>145</v>
      </c>
      <c r="U3423">
        <v>0</v>
      </c>
      <c r="V3423" t="s">
        <v>544</v>
      </c>
      <c r="W3423" t="s">
        <v>558</v>
      </c>
      <c r="X3423" s="784">
        <v>1019800630.5853213</v>
      </c>
    </row>
    <row r="3424" spans="1:24">
      <c r="A3424" t="s">
        <v>358</v>
      </c>
      <c r="B3424" t="s">
        <v>695</v>
      </c>
      <c r="C3424" t="s">
        <v>293</v>
      </c>
      <c r="D3424" t="s">
        <v>126</v>
      </c>
      <c r="E3424" t="s">
        <v>377</v>
      </c>
      <c r="F3424" t="s">
        <v>385</v>
      </c>
      <c r="G3424" t="s">
        <v>346</v>
      </c>
      <c r="H3424" t="s">
        <v>749</v>
      </c>
      <c r="I3424" t="s">
        <v>743</v>
      </c>
      <c r="J3424" t="s">
        <v>379</v>
      </c>
      <c r="K3424" t="s">
        <v>546</v>
      </c>
      <c r="L3424" s="784">
        <v>0</v>
      </c>
      <c r="M3424" t="s">
        <v>745</v>
      </c>
      <c r="N3424" s="784" t="s">
        <v>575</v>
      </c>
      <c r="O3424" t="s">
        <v>737</v>
      </c>
      <c r="P3424" t="s">
        <v>1887</v>
      </c>
      <c r="R3424" t="s">
        <v>150</v>
      </c>
      <c r="S3424" t="s">
        <v>145</v>
      </c>
      <c r="U3424">
        <v>0</v>
      </c>
      <c r="V3424" t="s">
        <v>541</v>
      </c>
      <c r="W3424" t="s">
        <v>562</v>
      </c>
      <c r="X3424" s="784">
        <v>19578671.310841195</v>
      </c>
    </row>
    <row r="3425" spans="1:24">
      <c r="A3425" t="s">
        <v>358</v>
      </c>
      <c r="B3425" t="s">
        <v>696</v>
      </c>
      <c r="C3425" t="s">
        <v>294</v>
      </c>
      <c r="D3425" t="s">
        <v>130</v>
      </c>
      <c r="E3425" t="s">
        <v>377</v>
      </c>
      <c r="F3425" t="s">
        <v>385</v>
      </c>
      <c r="G3425" t="s">
        <v>346</v>
      </c>
      <c r="H3425" t="s">
        <v>749</v>
      </c>
      <c r="I3425" t="s">
        <v>743</v>
      </c>
      <c r="J3425" t="s">
        <v>379</v>
      </c>
      <c r="K3425" t="s">
        <v>546</v>
      </c>
      <c r="L3425" s="784">
        <v>0</v>
      </c>
      <c r="M3425" t="s">
        <v>745</v>
      </c>
      <c r="N3425" s="784" t="s">
        <v>575</v>
      </c>
      <c r="O3425" t="s">
        <v>737</v>
      </c>
      <c r="P3425" t="s">
        <v>1887</v>
      </c>
      <c r="R3425" t="s">
        <v>322</v>
      </c>
      <c r="S3425" t="s">
        <v>146</v>
      </c>
      <c r="U3425">
        <v>0</v>
      </c>
      <c r="V3425" t="s">
        <v>544</v>
      </c>
      <c r="W3425" t="s">
        <v>546</v>
      </c>
      <c r="X3425" s="784">
        <v>3551452001.0684834</v>
      </c>
    </row>
    <row r="3426" spans="1:24">
      <c r="A3426" t="s">
        <v>358</v>
      </c>
      <c r="B3426" t="s">
        <v>697</v>
      </c>
      <c r="C3426" t="s">
        <v>295</v>
      </c>
      <c r="D3426" t="s">
        <v>126</v>
      </c>
      <c r="E3426" t="s">
        <v>377</v>
      </c>
      <c r="F3426" t="s">
        <v>385</v>
      </c>
      <c r="G3426" t="s">
        <v>346</v>
      </c>
      <c r="H3426" t="s">
        <v>749</v>
      </c>
      <c r="I3426" t="s">
        <v>743</v>
      </c>
      <c r="J3426" t="s">
        <v>379</v>
      </c>
      <c r="K3426" t="s">
        <v>546</v>
      </c>
      <c r="L3426" s="784">
        <v>0</v>
      </c>
      <c r="M3426" t="s">
        <v>745</v>
      </c>
      <c r="N3426" s="784" t="s">
        <v>575</v>
      </c>
      <c r="O3426" t="s">
        <v>737</v>
      </c>
      <c r="P3426" t="s">
        <v>1887</v>
      </c>
      <c r="R3426" t="s">
        <v>150</v>
      </c>
      <c r="S3426" t="s">
        <v>145</v>
      </c>
      <c r="U3426">
        <v>0</v>
      </c>
      <c r="V3426" t="s">
        <v>544</v>
      </c>
      <c r="W3426" t="s">
        <v>546</v>
      </c>
      <c r="X3426" s="784">
        <v>6603048821.7575006</v>
      </c>
    </row>
    <row r="3427" spans="1:24">
      <c r="A3427" t="s">
        <v>358</v>
      </c>
      <c r="B3427" t="s">
        <v>698</v>
      </c>
      <c r="C3427" t="s">
        <v>296</v>
      </c>
      <c r="D3427" t="s">
        <v>131</v>
      </c>
      <c r="E3427" t="s">
        <v>377</v>
      </c>
      <c r="F3427" t="s">
        <v>385</v>
      </c>
      <c r="G3427" t="s">
        <v>346</v>
      </c>
      <c r="H3427" t="s">
        <v>749</v>
      </c>
      <c r="I3427" t="s">
        <v>743</v>
      </c>
      <c r="J3427" t="s">
        <v>379</v>
      </c>
      <c r="K3427" t="s">
        <v>546</v>
      </c>
      <c r="L3427" s="784">
        <v>0</v>
      </c>
      <c r="M3427" t="s">
        <v>745</v>
      </c>
      <c r="N3427" s="784" t="s">
        <v>575</v>
      </c>
      <c r="O3427" t="s">
        <v>737</v>
      </c>
      <c r="P3427" t="s">
        <v>1887</v>
      </c>
      <c r="R3427" t="s">
        <v>148</v>
      </c>
      <c r="S3427" t="s">
        <v>145</v>
      </c>
      <c r="U3427">
        <v>1</v>
      </c>
      <c r="V3427" t="s">
        <v>544</v>
      </c>
      <c r="W3427" t="s">
        <v>548</v>
      </c>
      <c r="X3427" s="784" t="s">
        <v>575</v>
      </c>
    </row>
    <row r="3428" spans="1:24">
      <c r="A3428" t="s">
        <v>358</v>
      </c>
      <c r="B3428" t="s">
        <v>699</v>
      </c>
      <c r="C3428" t="s">
        <v>297</v>
      </c>
      <c r="D3428" t="s">
        <v>128</v>
      </c>
      <c r="E3428" t="s">
        <v>377</v>
      </c>
      <c r="F3428" t="s">
        <v>385</v>
      </c>
      <c r="G3428" t="s">
        <v>346</v>
      </c>
      <c r="H3428" t="s">
        <v>749</v>
      </c>
      <c r="I3428" t="s">
        <v>743</v>
      </c>
      <c r="J3428" t="s">
        <v>379</v>
      </c>
      <c r="K3428" t="s">
        <v>546</v>
      </c>
      <c r="L3428" s="784">
        <v>0</v>
      </c>
      <c r="M3428" t="s">
        <v>745</v>
      </c>
      <c r="N3428" s="784" t="s">
        <v>575</v>
      </c>
      <c r="O3428" t="s">
        <v>737</v>
      </c>
      <c r="P3428" t="s">
        <v>1887</v>
      </c>
      <c r="R3428" t="s">
        <v>150</v>
      </c>
      <c r="S3428" t="s">
        <v>145</v>
      </c>
      <c r="U3428">
        <v>0</v>
      </c>
      <c r="V3428" t="s">
        <v>544</v>
      </c>
      <c r="W3428" t="s">
        <v>542</v>
      </c>
      <c r="X3428" s="784">
        <v>515352723.9821828</v>
      </c>
    </row>
    <row r="3429" spans="1:24">
      <c r="A3429" t="s">
        <v>358</v>
      </c>
      <c r="B3429" t="s">
        <v>700</v>
      </c>
      <c r="C3429" t="s">
        <v>298</v>
      </c>
      <c r="D3429" t="s">
        <v>128</v>
      </c>
      <c r="E3429" t="s">
        <v>377</v>
      </c>
      <c r="F3429" t="s">
        <v>385</v>
      </c>
      <c r="G3429" t="s">
        <v>346</v>
      </c>
      <c r="H3429" t="s">
        <v>749</v>
      </c>
      <c r="I3429" t="s">
        <v>743</v>
      </c>
      <c r="J3429" t="s">
        <v>379</v>
      </c>
      <c r="K3429" t="s">
        <v>546</v>
      </c>
      <c r="L3429" s="784">
        <v>903950</v>
      </c>
      <c r="M3429" t="s">
        <v>745</v>
      </c>
      <c r="N3429" s="784" t="s">
        <v>575</v>
      </c>
      <c r="O3429" t="s">
        <v>737</v>
      </c>
      <c r="P3429" t="s">
        <v>1887</v>
      </c>
      <c r="R3429" t="s">
        <v>150</v>
      </c>
      <c r="S3429" t="s">
        <v>145</v>
      </c>
      <c r="U3429">
        <v>0</v>
      </c>
      <c r="V3429" t="s">
        <v>544</v>
      </c>
      <c r="W3429" t="s">
        <v>546</v>
      </c>
      <c r="X3429" s="784">
        <v>566711742.22428358</v>
      </c>
    </row>
    <row r="3430" spans="1:24">
      <c r="A3430" t="s">
        <v>358</v>
      </c>
      <c r="B3430" t="s">
        <v>540</v>
      </c>
      <c r="C3430" t="s">
        <v>160</v>
      </c>
      <c r="D3430" t="s">
        <v>132</v>
      </c>
      <c r="E3430" t="s">
        <v>377</v>
      </c>
      <c r="F3430" t="s">
        <v>384</v>
      </c>
      <c r="G3430" t="s">
        <v>337</v>
      </c>
      <c r="H3430" t="s">
        <v>749</v>
      </c>
      <c r="I3430" t="s">
        <v>743</v>
      </c>
      <c r="J3430" t="s">
        <v>379</v>
      </c>
      <c r="K3430" t="s">
        <v>748</v>
      </c>
      <c r="L3430" s="784">
        <v>0</v>
      </c>
      <c r="M3430" t="s">
        <v>745</v>
      </c>
      <c r="N3430" s="784" t="s">
        <v>575</v>
      </c>
      <c r="O3430" t="s">
        <v>737</v>
      </c>
      <c r="P3430" t="s">
        <v>1887</v>
      </c>
      <c r="R3430" t="s">
        <v>148</v>
      </c>
      <c r="S3430" t="s">
        <v>145</v>
      </c>
      <c r="U3430">
        <v>1</v>
      </c>
      <c r="V3430" t="s">
        <v>544</v>
      </c>
      <c r="W3430" t="s">
        <v>542</v>
      </c>
      <c r="X3430" s="784">
        <v>95829480.719269618</v>
      </c>
    </row>
    <row r="3431" spans="1:24">
      <c r="A3431" t="s">
        <v>358</v>
      </c>
      <c r="B3431" t="s">
        <v>543</v>
      </c>
      <c r="C3431" t="s">
        <v>161</v>
      </c>
      <c r="D3431" t="s">
        <v>127</v>
      </c>
      <c r="E3431" t="s">
        <v>377</v>
      </c>
      <c r="F3431" t="s">
        <v>384</v>
      </c>
      <c r="G3431" t="s">
        <v>337</v>
      </c>
      <c r="H3431" t="s">
        <v>749</v>
      </c>
      <c r="I3431" t="s">
        <v>743</v>
      </c>
      <c r="J3431" t="s">
        <v>379</v>
      </c>
      <c r="K3431" t="s">
        <v>748</v>
      </c>
      <c r="L3431" s="784">
        <v>0</v>
      </c>
      <c r="M3431" t="s">
        <v>745</v>
      </c>
      <c r="N3431" s="784" t="s">
        <v>575</v>
      </c>
      <c r="O3431" t="s">
        <v>737</v>
      </c>
      <c r="P3431" t="s">
        <v>1887</v>
      </c>
      <c r="R3431" t="s">
        <v>152</v>
      </c>
      <c r="S3431" t="s">
        <v>146</v>
      </c>
      <c r="U3431">
        <v>0</v>
      </c>
      <c r="V3431" t="s">
        <v>544</v>
      </c>
      <c r="W3431" t="s">
        <v>575</v>
      </c>
      <c r="X3431" s="784">
        <v>427904035.52443534</v>
      </c>
    </row>
    <row r="3432" spans="1:24">
      <c r="A3432" t="s">
        <v>358</v>
      </c>
      <c r="B3432" t="s">
        <v>545</v>
      </c>
      <c r="C3432" t="s">
        <v>143</v>
      </c>
      <c r="D3432" t="s">
        <v>131</v>
      </c>
      <c r="E3432" t="s">
        <v>377</v>
      </c>
      <c r="F3432" t="s">
        <v>384</v>
      </c>
      <c r="G3432" t="s">
        <v>337</v>
      </c>
      <c r="H3432" t="s">
        <v>749</v>
      </c>
      <c r="I3432" t="s">
        <v>743</v>
      </c>
      <c r="J3432" t="s">
        <v>379</v>
      </c>
      <c r="K3432" t="s">
        <v>748</v>
      </c>
      <c r="L3432" s="784">
        <v>625566</v>
      </c>
      <c r="M3432" t="s">
        <v>745</v>
      </c>
      <c r="N3432" s="784" t="s">
        <v>575</v>
      </c>
      <c r="O3432" t="s">
        <v>737</v>
      </c>
      <c r="P3432" t="s">
        <v>1887</v>
      </c>
      <c r="R3432" t="s">
        <v>150</v>
      </c>
      <c r="S3432" t="s">
        <v>145</v>
      </c>
      <c r="U3432">
        <v>0</v>
      </c>
      <c r="V3432" t="s">
        <v>544</v>
      </c>
      <c r="W3432" t="s">
        <v>546</v>
      </c>
      <c r="X3432" s="784">
        <v>7113361022.7267885</v>
      </c>
    </row>
    <row r="3433" spans="1:24">
      <c r="A3433" t="s">
        <v>358</v>
      </c>
      <c r="B3433" t="s">
        <v>547</v>
      </c>
      <c r="C3433" t="s">
        <v>162</v>
      </c>
      <c r="D3433" t="s">
        <v>128</v>
      </c>
      <c r="E3433" t="s">
        <v>377</v>
      </c>
      <c r="F3433" t="s">
        <v>384</v>
      </c>
      <c r="G3433" t="s">
        <v>337</v>
      </c>
      <c r="H3433" t="s">
        <v>749</v>
      </c>
      <c r="I3433" t="s">
        <v>743</v>
      </c>
      <c r="J3433" t="s">
        <v>379</v>
      </c>
      <c r="K3433" t="s">
        <v>748</v>
      </c>
      <c r="L3433" s="784">
        <v>412890</v>
      </c>
      <c r="M3433" t="s">
        <v>745</v>
      </c>
      <c r="N3433" s="784" t="s">
        <v>575</v>
      </c>
      <c r="O3433" t="s">
        <v>737</v>
      </c>
      <c r="P3433" t="s">
        <v>1887</v>
      </c>
      <c r="R3433" t="s">
        <v>150</v>
      </c>
      <c r="S3433" t="s">
        <v>145</v>
      </c>
      <c r="U3433">
        <v>0</v>
      </c>
      <c r="V3433" t="s">
        <v>544</v>
      </c>
      <c r="W3433" t="s">
        <v>548</v>
      </c>
      <c r="X3433" s="784">
        <v>1131865946.5875781</v>
      </c>
    </row>
    <row r="3434" spans="1:24">
      <c r="A3434" t="s">
        <v>358</v>
      </c>
      <c r="B3434" t="s">
        <v>549</v>
      </c>
      <c r="C3434" t="s">
        <v>163</v>
      </c>
      <c r="D3434" t="s">
        <v>130</v>
      </c>
      <c r="E3434" t="s">
        <v>377</v>
      </c>
      <c r="F3434" t="s">
        <v>384</v>
      </c>
      <c r="G3434" t="s">
        <v>337</v>
      </c>
      <c r="H3434" t="s">
        <v>749</v>
      </c>
      <c r="I3434" t="s">
        <v>743</v>
      </c>
      <c r="J3434" t="s">
        <v>379</v>
      </c>
      <c r="K3434" t="s">
        <v>748</v>
      </c>
      <c r="L3434" s="784">
        <v>0</v>
      </c>
      <c r="M3434" t="s">
        <v>745</v>
      </c>
      <c r="N3434" s="784" t="s">
        <v>575</v>
      </c>
      <c r="O3434" t="s">
        <v>737</v>
      </c>
      <c r="P3434" t="s">
        <v>1887</v>
      </c>
      <c r="R3434" t="s">
        <v>550</v>
      </c>
      <c r="S3434" t="s">
        <v>146</v>
      </c>
      <c r="U3434">
        <v>0</v>
      </c>
      <c r="V3434" t="s">
        <v>541</v>
      </c>
      <c r="W3434" t="s">
        <v>575</v>
      </c>
      <c r="X3434" s="784">
        <v>46777779.823447868</v>
      </c>
    </row>
    <row r="3435" spans="1:24">
      <c r="A3435" t="s">
        <v>358</v>
      </c>
      <c r="B3435" t="s">
        <v>551</v>
      </c>
      <c r="C3435" t="s">
        <v>164</v>
      </c>
      <c r="D3435" t="s">
        <v>130</v>
      </c>
      <c r="E3435" t="s">
        <v>377</v>
      </c>
      <c r="F3435" t="s">
        <v>384</v>
      </c>
      <c r="G3435" t="s">
        <v>337</v>
      </c>
      <c r="H3435" t="s">
        <v>749</v>
      </c>
      <c r="I3435" t="s">
        <v>743</v>
      </c>
      <c r="J3435" t="s">
        <v>379</v>
      </c>
      <c r="K3435" t="s">
        <v>748</v>
      </c>
      <c r="L3435" s="784">
        <v>0</v>
      </c>
      <c r="M3435" t="s">
        <v>745</v>
      </c>
      <c r="N3435" s="784" t="s">
        <v>575</v>
      </c>
      <c r="O3435" t="s">
        <v>737</v>
      </c>
      <c r="P3435" t="s">
        <v>1887</v>
      </c>
      <c r="R3435" t="s">
        <v>152</v>
      </c>
      <c r="S3435" t="s">
        <v>146</v>
      </c>
      <c r="U3435">
        <v>0</v>
      </c>
      <c r="V3435" t="s">
        <v>544</v>
      </c>
      <c r="W3435" t="s">
        <v>575</v>
      </c>
      <c r="X3435" s="784">
        <v>30725305777.596794</v>
      </c>
    </row>
    <row r="3436" spans="1:24">
      <c r="A3436" t="s">
        <v>358</v>
      </c>
      <c r="B3436" t="s">
        <v>553</v>
      </c>
      <c r="C3436" t="s">
        <v>165</v>
      </c>
      <c r="D3436" t="s">
        <v>127</v>
      </c>
      <c r="E3436" t="s">
        <v>377</v>
      </c>
      <c r="F3436" t="s">
        <v>384</v>
      </c>
      <c r="G3436" t="s">
        <v>337</v>
      </c>
      <c r="H3436" t="s">
        <v>749</v>
      </c>
      <c r="I3436" t="s">
        <v>743</v>
      </c>
      <c r="J3436" t="s">
        <v>379</v>
      </c>
      <c r="K3436" t="s">
        <v>748</v>
      </c>
      <c r="L3436" s="784">
        <v>0</v>
      </c>
      <c r="M3436" t="s">
        <v>745</v>
      </c>
      <c r="N3436" s="784" t="s">
        <v>575</v>
      </c>
      <c r="O3436" t="s">
        <v>737</v>
      </c>
      <c r="P3436" t="s">
        <v>1887</v>
      </c>
      <c r="R3436" t="s">
        <v>152</v>
      </c>
      <c r="S3436" t="s">
        <v>146</v>
      </c>
      <c r="U3436">
        <v>0</v>
      </c>
      <c r="V3436" t="s">
        <v>544</v>
      </c>
      <c r="W3436" t="s">
        <v>575</v>
      </c>
      <c r="X3436" s="784">
        <v>153815827.8380394</v>
      </c>
    </row>
    <row r="3437" spans="1:24">
      <c r="A3437" t="s">
        <v>358</v>
      </c>
      <c r="B3437" t="s">
        <v>554</v>
      </c>
      <c r="C3437" t="s">
        <v>166</v>
      </c>
      <c r="D3437" t="s">
        <v>127</v>
      </c>
      <c r="E3437" t="s">
        <v>377</v>
      </c>
      <c r="F3437" t="s">
        <v>384</v>
      </c>
      <c r="G3437" t="s">
        <v>337</v>
      </c>
      <c r="H3437" t="s">
        <v>749</v>
      </c>
      <c r="I3437" t="s">
        <v>743</v>
      </c>
      <c r="J3437" t="s">
        <v>379</v>
      </c>
      <c r="K3437" t="s">
        <v>748</v>
      </c>
      <c r="L3437" s="784">
        <v>0</v>
      </c>
      <c r="M3437" t="s">
        <v>745</v>
      </c>
      <c r="N3437" s="784" t="s">
        <v>575</v>
      </c>
      <c r="O3437" t="s">
        <v>737</v>
      </c>
      <c r="P3437" t="s">
        <v>1887</v>
      </c>
      <c r="R3437" t="s">
        <v>152</v>
      </c>
      <c r="S3437" t="s">
        <v>146</v>
      </c>
      <c r="U3437">
        <v>0</v>
      </c>
      <c r="V3437" t="s">
        <v>544</v>
      </c>
      <c r="W3437" t="s">
        <v>546</v>
      </c>
      <c r="X3437" s="784">
        <v>437525105.31216973</v>
      </c>
    </row>
    <row r="3438" spans="1:24">
      <c r="A3438" t="s">
        <v>358</v>
      </c>
      <c r="B3438" t="s">
        <v>555</v>
      </c>
      <c r="C3438" t="s">
        <v>556</v>
      </c>
      <c r="D3438" t="s">
        <v>130</v>
      </c>
      <c r="E3438" t="s">
        <v>377</v>
      </c>
      <c r="F3438" t="s">
        <v>384</v>
      </c>
      <c r="G3438" t="s">
        <v>337</v>
      </c>
      <c r="H3438" t="s">
        <v>749</v>
      </c>
      <c r="I3438" t="s">
        <v>743</v>
      </c>
      <c r="J3438" t="s">
        <v>379</v>
      </c>
      <c r="K3438" t="s">
        <v>748</v>
      </c>
      <c r="L3438" s="784">
        <v>0</v>
      </c>
      <c r="M3438" t="s">
        <v>745</v>
      </c>
      <c r="N3438" s="784" t="s">
        <v>575</v>
      </c>
      <c r="O3438" t="s">
        <v>737</v>
      </c>
      <c r="P3438" t="s">
        <v>1887</v>
      </c>
      <c r="R3438" t="s">
        <v>550</v>
      </c>
      <c r="S3438" t="s">
        <v>146</v>
      </c>
      <c r="U3438">
        <v>0</v>
      </c>
      <c r="V3438" t="s">
        <v>541</v>
      </c>
      <c r="W3438" t="s">
        <v>575</v>
      </c>
      <c r="X3438" s="784">
        <v>149463302.00602186</v>
      </c>
    </row>
    <row r="3439" spans="1:24">
      <c r="A3439" t="s">
        <v>358</v>
      </c>
      <c r="B3439" t="s">
        <v>557</v>
      </c>
      <c r="C3439" t="s">
        <v>167</v>
      </c>
      <c r="D3439" t="s">
        <v>132</v>
      </c>
      <c r="E3439" t="s">
        <v>377</v>
      </c>
      <c r="F3439" t="s">
        <v>384</v>
      </c>
      <c r="G3439" t="s">
        <v>337</v>
      </c>
      <c r="H3439" t="s">
        <v>749</v>
      </c>
      <c r="I3439" t="s">
        <v>743</v>
      </c>
      <c r="J3439" t="s">
        <v>379</v>
      </c>
      <c r="K3439" t="s">
        <v>748</v>
      </c>
      <c r="L3439" s="784">
        <v>0</v>
      </c>
      <c r="M3439" t="s">
        <v>745</v>
      </c>
      <c r="N3439" s="784" t="s">
        <v>575</v>
      </c>
      <c r="O3439" t="s">
        <v>737</v>
      </c>
      <c r="P3439" t="s">
        <v>1887</v>
      </c>
      <c r="R3439" t="s">
        <v>150</v>
      </c>
      <c r="S3439" t="s">
        <v>145</v>
      </c>
      <c r="U3439">
        <v>0</v>
      </c>
      <c r="V3439" t="s">
        <v>544</v>
      </c>
      <c r="W3439" t="s">
        <v>558</v>
      </c>
      <c r="X3439" s="784">
        <v>1148322593.9600098</v>
      </c>
    </row>
    <row r="3440" spans="1:24">
      <c r="A3440" t="s">
        <v>358</v>
      </c>
      <c r="B3440" t="s">
        <v>559</v>
      </c>
      <c r="C3440" t="s">
        <v>168</v>
      </c>
      <c r="D3440" t="s">
        <v>127</v>
      </c>
      <c r="E3440" t="s">
        <v>377</v>
      </c>
      <c r="F3440" t="s">
        <v>384</v>
      </c>
      <c r="G3440" t="s">
        <v>337</v>
      </c>
      <c r="H3440" t="s">
        <v>749</v>
      </c>
      <c r="I3440" t="s">
        <v>743</v>
      </c>
      <c r="J3440" t="s">
        <v>379</v>
      </c>
      <c r="K3440" t="s">
        <v>748</v>
      </c>
      <c r="L3440" s="784">
        <v>0</v>
      </c>
      <c r="M3440" t="s">
        <v>745</v>
      </c>
      <c r="N3440" s="784" t="s">
        <v>575</v>
      </c>
      <c r="O3440" t="s">
        <v>737</v>
      </c>
      <c r="P3440" t="s">
        <v>1887</v>
      </c>
      <c r="R3440" t="s">
        <v>152</v>
      </c>
      <c r="S3440" t="s">
        <v>146</v>
      </c>
      <c r="U3440">
        <v>0</v>
      </c>
      <c r="V3440" t="s">
        <v>544</v>
      </c>
      <c r="W3440" t="s">
        <v>575</v>
      </c>
      <c r="X3440" s="784">
        <v>2371102058.1093163</v>
      </c>
    </row>
    <row r="3441" spans="1:24">
      <c r="A3441" t="s">
        <v>358</v>
      </c>
      <c r="B3441" t="s">
        <v>560</v>
      </c>
      <c r="C3441" t="s">
        <v>169</v>
      </c>
      <c r="D3441" t="s">
        <v>130</v>
      </c>
      <c r="E3441" t="s">
        <v>377</v>
      </c>
      <c r="F3441" t="s">
        <v>384</v>
      </c>
      <c r="G3441" t="s">
        <v>337</v>
      </c>
      <c r="H3441" t="s">
        <v>749</v>
      </c>
      <c r="I3441" t="s">
        <v>743</v>
      </c>
      <c r="J3441" t="s">
        <v>379</v>
      </c>
      <c r="K3441" t="s">
        <v>748</v>
      </c>
      <c r="L3441" s="784">
        <v>0</v>
      </c>
      <c r="M3441" t="s">
        <v>745</v>
      </c>
      <c r="N3441" s="784" t="s">
        <v>575</v>
      </c>
      <c r="O3441" t="s">
        <v>737</v>
      </c>
      <c r="P3441" t="s">
        <v>1887</v>
      </c>
      <c r="R3441" t="s">
        <v>150</v>
      </c>
      <c r="S3441" t="s">
        <v>146</v>
      </c>
      <c r="U3441">
        <v>0</v>
      </c>
      <c r="V3441" t="s">
        <v>541</v>
      </c>
      <c r="W3441" t="s">
        <v>546</v>
      </c>
      <c r="X3441" s="784">
        <v>75151620.005215243</v>
      </c>
    </row>
    <row r="3442" spans="1:24">
      <c r="A3442" t="s">
        <v>358</v>
      </c>
      <c r="B3442" t="s">
        <v>561</v>
      </c>
      <c r="C3442" t="s">
        <v>170</v>
      </c>
      <c r="D3442" t="s">
        <v>129</v>
      </c>
      <c r="E3442" t="s">
        <v>377</v>
      </c>
      <c r="F3442" t="s">
        <v>384</v>
      </c>
      <c r="G3442" t="s">
        <v>337</v>
      </c>
      <c r="H3442" t="s">
        <v>749</v>
      </c>
      <c r="I3442" t="s">
        <v>743</v>
      </c>
      <c r="J3442" t="s">
        <v>379</v>
      </c>
      <c r="K3442" t="s">
        <v>748</v>
      </c>
      <c r="L3442" s="784">
        <v>0</v>
      </c>
      <c r="M3442" t="s">
        <v>745</v>
      </c>
      <c r="N3442" s="784" t="s">
        <v>575</v>
      </c>
      <c r="O3442" t="s">
        <v>737</v>
      </c>
      <c r="P3442" t="s">
        <v>1887</v>
      </c>
      <c r="R3442" t="s">
        <v>150</v>
      </c>
      <c r="S3442" t="s">
        <v>145</v>
      </c>
      <c r="U3442">
        <v>0</v>
      </c>
      <c r="V3442" t="s">
        <v>544</v>
      </c>
      <c r="W3442" t="s">
        <v>562</v>
      </c>
      <c r="X3442" s="784">
        <v>69958487.197715744</v>
      </c>
    </row>
    <row r="3443" spans="1:24">
      <c r="A3443" t="s">
        <v>358</v>
      </c>
      <c r="B3443" t="s">
        <v>563</v>
      </c>
      <c r="C3443" t="s">
        <v>171</v>
      </c>
      <c r="D3443" t="s">
        <v>132</v>
      </c>
      <c r="E3443" t="s">
        <v>377</v>
      </c>
      <c r="F3443" t="s">
        <v>384</v>
      </c>
      <c r="G3443" t="s">
        <v>337</v>
      </c>
      <c r="H3443" t="s">
        <v>749</v>
      </c>
      <c r="I3443" t="s">
        <v>743</v>
      </c>
      <c r="J3443" t="s">
        <v>379</v>
      </c>
      <c r="K3443" t="s">
        <v>748</v>
      </c>
      <c r="L3443" s="784">
        <v>923174</v>
      </c>
      <c r="M3443" t="s">
        <v>745</v>
      </c>
      <c r="N3443" s="784" t="s">
        <v>575</v>
      </c>
      <c r="O3443" t="s">
        <v>737</v>
      </c>
      <c r="P3443" t="s">
        <v>1887</v>
      </c>
      <c r="R3443" t="s">
        <v>150</v>
      </c>
      <c r="S3443" t="s">
        <v>145</v>
      </c>
      <c r="U3443">
        <v>0</v>
      </c>
      <c r="V3443" t="s">
        <v>544</v>
      </c>
      <c r="W3443" t="s">
        <v>548</v>
      </c>
      <c r="X3443" s="784">
        <v>61654608.560629159</v>
      </c>
    </row>
    <row r="3444" spans="1:24">
      <c r="A3444" t="s">
        <v>358</v>
      </c>
      <c r="B3444" t="s">
        <v>564</v>
      </c>
      <c r="C3444" t="s">
        <v>172</v>
      </c>
      <c r="D3444" t="s">
        <v>130</v>
      </c>
      <c r="E3444" t="s">
        <v>377</v>
      </c>
      <c r="F3444" t="s">
        <v>384</v>
      </c>
      <c r="G3444" t="s">
        <v>337</v>
      </c>
      <c r="H3444" t="s">
        <v>749</v>
      </c>
      <c r="I3444" t="s">
        <v>743</v>
      </c>
      <c r="J3444" t="s">
        <v>379</v>
      </c>
      <c r="K3444" t="s">
        <v>748</v>
      </c>
      <c r="L3444" s="784">
        <v>0</v>
      </c>
      <c r="M3444" t="s">
        <v>745</v>
      </c>
      <c r="N3444" s="784" t="s">
        <v>575</v>
      </c>
      <c r="O3444" t="s">
        <v>737</v>
      </c>
      <c r="P3444" t="s">
        <v>1887</v>
      </c>
      <c r="R3444" t="s">
        <v>150</v>
      </c>
      <c r="S3444" t="s">
        <v>145</v>
      </c>
      <c r="U3444">
        <v>0</v>
      </c>
      <c r="V3444" t="s">
        <v>544</v>
      </c>
      <c r="W3444" t="s">
        <v>546</v>
      </c>
      <c r="X3444" s="784">
        <v>1806638707.7615163</v>
      </c>
    </row>
    <row r="3445" spans="1:24">
      <c r="A3445" t="s">
        <v>358</v>
      </c>
      <c r="B3445" t="s">
        <v>565</v>
      </c>
      <c r="C3445" t="s">
        <v>174</v>
      </c>
      <c r="D3445" t="s">
        <v>127</v>
      </c>
      <c r="E3445" t="s">
        <v>377</v>
      </c>
      <c r="F3445" t="s">
        <v>384</v>
      </c>
      <c r="G3445" t="s">
        <v>337</v>
      </c>
      <c r="H3445" t="s">
        <v>749</v>
      </c>
      <c r="I3445" t="s">
        <v>743</v>
      </c>
      <c r="J3445" t="s">
        <v>379</v>
      </c>
      <c r="K3445" t="s">
        <v>748</v>
      </c>
      <c r="L3445" s="784">
        <v>0</v>
      </c>
      <c r="M3445" t="s">
        <v>745</v>
      </c>
      <c r="N3445" s="784" t="s">
        <v>575</v>
      </c>
      <c r="O3445" t="s">
        <v>737</v>
      </c>
      <c r="P3445" t="s">
        <v>1887</v>
      </c>
      <c r="R3445" t="s">
        <v>152</v>
      </c>
      <c r="S3445" t="s">
        <v>146</v>
      </c>
      <c r="U3445">
        <v>0</v>
      </c>
      <c r="V3445" t="s">
        <v>544</v>
      </c>
      <c r="W3445" t="s">
        <v>546</v>
      </c>
      <c r="X3445" s="784">
        <v>1252696525.0627904</v>
      </c>
    </row>
    <row r="3446" spans="1:24">
      <c r="A3446" t="s">
        <v>358</v>
      </c>
      <c r="B3446" t="s">
        <v>566</v>
      </c>
      <c r="C3446" t="s">
        <v>175</v>
      </c>
      <c r="D3446" t="s">
        <v>128</v>
      </c>
      <c r="E3446" t="s">
        <v>377</v>
      </c>
      <c r="F3446" t="s">
        <v>384</v>
      </c>
      <c r="G3446" t="s">
        <v>337</v>
      </c>
      <c r="H3446" t="s">
        <v>749</v>
      </c>
      <c r="I3446" t="s">
        <v>743</v>
      </c>
      <c r="J3446" t="s">
        <v>379</v>
      </c>
      <c r="K3446" t="s">
        <v>748</v>
      </c>
      <c r="L3446" s="784">
        <v>0</v>
      </c>
      <c r="M3446" t="s">
        <v>745</v>
      </c>
      <c r="N3446" s="784" t="s">
        <v>575</v>
      </c>
      <c r="O3446" t="s">
        <v>737</v>
      </c>
      <c r="P3446" t="s">
        <v>1887</v>
      </c>
      <c r="R3446" t="s">
        <v>152</v>
      </c>
      <c r="S3446" t="s">
        <v>146</v>
      </c>
      <c r="U3446">
        <v>0</v>
      </c>
      <c r="V3446" t="s">
        <v>544</v>
      </c>
      <c r="W3446" t="s">
        <v>575</v>
      </c>
      <c r="X3446" s="784">
        <v>843425084.07334602</v>
      </c>
    </row>
    <row r="3447" spans="1:24">
      <c r="A3447" t="s">
        <v>358</v>
      </c>
      <c r="B3447" t="s">
        <v>567</v>
      </c>
      <c r="C3447" t="s">
        <v>144</v>
      </c>
      <c r="D3447" t="s">
        <v>130</v>
      </c>
      <c r="E3447" t="s">
        <v>377</v>
      </c>
      <c r="F3447" t="s">
        <v>384</v>
      </c>
      <c r="G3447" t="s">
        <v>337</v>
      </c>
      <c r="H3447" t="s">
        <v>749</v>
      </c>
      <c r="I3447" t="s">
        <v>743</v>
      </c>
      <c r="J3447" t="s">
        <v>379</v>
      </c>
      <c r="K3447" t="s">
        <v>748</v>
      </c>
      <c r="L3447" s="784">
        <v>0</v>
      </c>
      <c r="M3447" t="s">
        <v>745</v>
      </c>
      <c r="N3447" s="784" t="s">
        <v>575</v>
      </c>
      <c r="O3447" t="s">
        <v>737</v>
      </c>
      <c r="P3447" t="s">
        <v>1887</v>
      </c>
      <c r="R3447" t="s">
        <v>152</v>
      </c>
      <c r="S3447" t="s">
        <v>146</v>
      </c>
      <c r="U3447">
        <v>0</v>
      </c>
      <c r="V3447" t="s">
        <v>544</v>
      </c>
      <c r="W3447" t="s">
        <v>546</v>
      </c>
      <c r="X3447" s="784">
        <v>74055620038.853683</v>
      </c>
    </row>
    <row r="3448" spans="1:24">
      <c r="A3448" t="s">
        <v>358</v>
      </c>
      <c r="B3448" t="s">
        <v>568</v>
      </c>
      <c r="C3448" t="s">
        <v>176</v>
      </c>
      <c r="D3448" t="s">
        <v>127</v>
      </c>
      <c r="E3448" t="s">
        <v>377</v>
      </c>
      <c r="F3448" t="s">
        <v>384</v>
      </c>
      <c r="G3448" t="s">
        <v>337</v>
      </c>
      <c r="H3448" t="s">
        <v>749</v>
      </c>
      <c r="I3448" t="s">
        <v>743</v>
      </c>
      <c r="J3448" t="s">
        <v>379</v>
      </c>
      <c r="K3448" t="s">
        <v>748</v>
      </c>
      <c r="L3448" s="784">
        <v>0</v>
      </c>
      <c r="M3448" t="s">
        <v>745</v>
      </c>
      <c r="N3448" s="784" t="s">
        <v>575</v>
      </c>
      <c r="O3448" t="s">
        <v>737</v>
      </c>
      <c r="P3448" t="s">
        <v>1887</v>
      </c>
      <c r="R3448" t="s">
        <v>152</v>
      </c>
      <c r="S3448" t="s">
        <v>146</v>
      </c>
      <c r="U3448">
        <v>0</v>
      </c>
      <c r="V3448" t="s">
        <v>544</v>
      </c>
      <c r="W3448" t="s">
        <v>575</v>
      </c>
      <c r="X3448" s="784">
        <v>2803357765.5888777</v>
      </c>
    </row>
    <row r="3449" spans="1:24">
      <c r="A3449" t="s">
        <v>358</v>
      </c>
      <c r="B3449" t="s">
        <v>569</v>
      </c>
      <c r="C3449" t="s">
        <v>177</v>
      </c>
      <c r="D3449" t="s">
        <v>129</v>
      </c>
      <c r="E3449" t="s">
        <v>377</v>
      </c>
      <c r="F3449" t="s">
        <v>384</v>
      </c>
      <c r="G3449" t="s">
        <v>337</v>
      </c>
      <c r="H3449" t="s">
        <v>749</v>
      </c>
      <c r="I3449" t="s">
        <v>743</v>
      </c>
      <c r="J3449" t="s">
        <v>379</v>
      </c>
      <c r="K3449" t="s">
        <v>748</v>
      </c>
      <c r="L3449" s="784">
        <v>0</v>
      </c>
      <c r="M3449" t="s">
        <v>745</v>
      </c>
      <c r="N3449" s="784" t="s">
        <v>575</v>
      </c>
      <c r="O3449" t="s">
        <v>737</v>
      </c>
      <c r="P3449" t="s">
        <v>1887</v>
      </c>
      <c r="R3449" t="s">
        <v>148</v>
      </c>
      <c r="S3449" t="s">
        <v>145</v>
      </c>
      <c r="U3449">
        <v>2</v>
      </c>
      <c r="V3449" t="s">
        <v>544</v>
      </c>
      <c r="W3449" t="s">
        <v>562</v>
      </c>
      <c r="X3449" s="784">
        <v>337927779.25510043</v>
      </c>
    </row>
    <row r="3450" spans="1:24">
      <c r="A3450" t="s">
        <v>358</v>
      </c>
      <c r="B3450" t="s">
        <v>570</v>
      </c>
      <c r="C3450" t="s">
        <v>178</v>
      </c>
      <c r="D3450" t="s">
        <v>128</v>
      </c>
      <c r="E3450" t="s">
        <v>377</v>
      </c>
      <c r="F3450" t="s">
        <v>384</v>
      </c>
      <c r="G3450" t="s">
        <v>337</v>
      </c>
      <c r="H3450" t="s">
        <v>749</v>
      </c>
      <c r="I3450" t="s">
        <v>743</v>
      </c>
      <c r="J3450" t="s">
        <v>379</v>
      </c>
      <c r="K3450" t="s">
        <v>748</v>
      </c>
      <c r="L3450" s="784">
        <v>0</v>
      </c>
      <c r="M3450" t="s">
        <v>745</v>
      </c>
      <c r="N3450" s="784" t="s">
        <v>575</v>
      </c>
      <c r="O3450" t="s">
        <v>737</v>
      </c>
      <c r="P3450" t="s">
        <v>1887</v>
      </c>
      <c r="R3450" t="s">
        <v>148</v>
      </c>
      <c r="S3450" t="s">
        <v>145</v>
      </c>
      <c r="U3450">
        <v>2</v>
      </c>
      <c r="V3450" t="s">
        <v>544</v>
      </c>
      <c r="W3450" t="s">
        <v>548</v>
      </c>
      <c r="X3450" s="784">
        <v>65979512.47399316</v>
      </c>
    </row>
    <row r="3451" spans="1:24">
      <c r="A3451" t="s">
        <v>358</v>
      </c>
      <c r="B3451" t="s">
        <v>571</v>
      </c>
      <c r="C3451" t="s">
        <v>179</v>
      </c>
      <c r="D3451" t="s">
        <v>129</v>
      </c>
      <c r="E3451" t="s">
        <v>377</v>
      </c>
      <c r="F3451" t="s">
        <v>384</v>
      </c>
      <c r="G3451" t="s">
        <v>337</v>
      </c>
      <c r="H3451" t="s">
        <v>749</v>
      </c>
      <c r="I3451" t="s">
        <v>743</v>
      </c>
      <c r="J3451" t="s">
        <v>379</v>
      </c>
      <c r="K3451" t="s">
        <v>748</v>
      </c>
      <c r="L3451" s="784">
        <v>0</v>
      </c>
      <c r="M3451" t="s">
        <v>745</v>
      </c>
      <c r="N3451" s="784" t="s">
        <v>575</v>
      </c>
      <c r="O3451" t="s">
        <v>737</v>
      </c>
      <c r="P3451" t="s">
        <v>1887</v>
      </c>
      <c r="R3451" t="s">
        <v>150</v>
      </c>
      <c r="S3451" t="s">
        <v>145</v>
      </c>
      <c r="U3451">
        <v>0</v>
      </c>
      <c r="V3451" t="s">
        <v>541</v>
      </c>
      <c r="W3451" t="s">
        <v>542</v>
      </c>
      <c r="X3451" s="784">
        <v>63748362.778827004</v>
      </c>
    </row>
    <row r="3452" spans="1:24">
      <c r="A3452" t="s">
        <v>358</v>
      </c>
      <c r="B3452" t="s">
        <v>572</v>
      </c>
      <c r="C3452" t="s">
        <v>180</v>
      </c>
      <c r="D3452" t="s">
        <v>126</v>
      </c>
      <c r="E3452" t="s">
        <v>377</v>
      </c>
      <c r="F3452" t="s">
        <v>384</v>
      </c>
      <c r="G3452" t="s">
        <v>337</v>
      </c>
      <c r="H3452" t="s">
        <v>749</v>
      </c>
      <c r="I3452" t="s">
        <v>743</v>
      </c>
      <c r="J3452" t="s">
        <v>379</v>
      </c>
      <c r="K3452" t="s">
        <v>748</v>
      </c>
      <c r="L3452" s="784">
        <v>615359</v>
      </c>
      <c r="M3452" t="s">
        <v>745</v>
      </c>
      <c r="N3452" s="784" t="s">
        <v>575</v>
      </c>
      <c r="O3452" t="s">
        <v>737</v>
      </c>
      <c r="P3452" t="s">
        <v>1887</v>
      </c>
      <c r="R3452" t="s">
        <v>150</v>
      </c>
      <c r="S3452" t="s">
        <v>145</v>
      </c>
      <c r="U3452">
        <v>0</v>
      </c>
      <c r="V3452" t="s">
        <v>544</v>
      </c>
      <c r="W3452" t="s">
        <v>558</v>
      </c>
      <c r="X3452" s="784">
        <v>313039649.45369786</v>
      </c>
    </row>
    <row r="3453" spans="1:24">
      <c r="A3453" t="s">
        <v>358</v>
      </c>
      <c r="B3453" t="s">
        <v>573</v>
      </c>
      <c r="C3453" t="s">
        <v>181</v>
      </c>
      <c r="D3453" t="s">
        <v>129</v>
      </c>
      <c r="E3453" t="s">
        <v>377</v>
      </c>
      <c r="F3453" t="s">
        <v>384</v>
      </c>
      <c r="G3453" t="s">
        <v>337</v>
      </c>
      <c r="H3453" t="s">
        <v>749</v>
      </c>
      <c r="I3453" t="s">
        <v>743</v>
      </c>
      <c r="J3453" t="s">
        <v>379</v>
      </c>
      <c r="K3453" t="s">
        <v>748</v>
      </c>
      <c r="L3453" s="784">
        <v>925640</v>
      </c>
      <c r="M3453" t="s">
        <v>745</v>
      </c>
      <c r="N3453" s="784" t="s">
        <v>575</v>
      </c>
      <c r="O3453" t="s">
        <v>737</v>
      </c>
      <c r="P3453" t="s">
        <v>1887</v>
      </c>
      <c r="R3453" t="s">
        <v>150</v>
      </c>
      <c r="S3453" t="s">
        <v>145</v>
      </c>
      <c r="U3453">
        <v>2</v>
      </c>
      <c r="V3453" t="s">
        <v>544</v>
      </c>
      <c r="W3453" t="s">
        <v>542</v>
      </c>
      <c r="X3453" s="784">
        <v>81361801.477472037</v>
      </c>
    </row>
    <row r="3454" spans="1:24">
      <c r="A3454" t="s">
        <v>358</v>
      </c>
      <c r="B3454" t="s">
        <v>574</v>
      </c>
      <c r="C3454" t="s">
        <v>182</v>
      </c>
      <c r="D3454" t="s">
        <v>129</v>
      </c>
      <c r="E3454" t="s">
        <v>377</v>
      </c>
      <c r="F3454" t="s">
        <v>384</v>
      </c>
      <c r="G3454" t="s">
        <v>337</v>
      </c>
      <c r="H3454" t="s">
        <v>749</v>
      </c>
      <c r="I3454" t="s">
        <v>743</v>
      </c>
      <c r="J3454" t="s">
        <v>379</v>
      </c>
      <c r="K3454" t="s">
        <v>748</v>
      </c>
      <c r="L3454" s="784">
        <v>0</v>
      </c>
      <c r="M3454" t="s">
        <v>745</v>
      </c>
      <c r="N3454" s="784" t="s">
        <v>575</v>
      </c>
      <c r="O3454" t="s">
        <v>737</v>
      </c>
      <c r="P3454" t="s">
        <v>1887</v>
      </c>
      <c r="R3454" t="s">
        <v>148</v>
      </c>
      <c r="S3454" t="s">
        <v>145</v>
      </c>
      <c r="U3454">
        <v>1</v>
      </c>
      <c r="V3454" t="s">
        <v>544</v>
      </c>
      <c r="W3454" t="s">
        <v>542</v>
      </c>
      <c r="X3454" s="784" t="s">
        <v>575</v>
      </c>
    </row>
    <row r="3455" spans="1:24">
      <c r="A3455" t="s">
        <v>358</v>
      </c>
      <c r="B3455" t="s">
        <v>576</v>
      </c>
      <c r="C3455" t="s">
        <v>183</v>
      </c>
      <c r="D3455" t="s">
        <v>129</v>
      </c>
      <c r="E3455" t="s">
        <v>377</v>
      </c>
      <c r="F3455" t="s">
        <v>384</v>
      </c>
      <c r="G3455" t="s">
        <v>337</v>
      </c>
      <c r="H3455" t="s">
        <v>749</v>
      </c>
      <c r="I3455" t="s">
        <v>743</v>
      </c>
      <c r="J3455" t="s">
        <v>379</v>
      </c>
      <c r="K3455" t="s">
        <v>748</v>
      </c>
      <c r="L3455" s="784">
        <v>0</v>
      </c>
      <c r="M3455" t="s">
        <v>745</v>
      </c>
      <c r="N3455" s="784" t="s">
        <v>575</v>
      </c>
      <c r="O3455" t="s">
        <v>737</v>
      </c>
      <c r="P3455" t="s">
        <v>1887</v>
      </c>
      <c r="R3455" t="s">
        <v>148</v>
      </c>
      <c r="S3455" t="s">
        <v>145</v>
      </c>
      <c r="U3455">
        <v>1</v>
      </c>
      <c r="V3455" t="s">
        <v>544</v>
      </c>
      <c r="W3455" t="s">
        <v>542</v>
      </c>
      <c r="X3455" s="784">
        <v>76939306.715636879</v>
      </c>
    </row>
    <row r="3456" spans="1:24">
      <c r="A3456" t="s">
        <v>358</v>
      </c>
      <c r="B3456" t="s">
        <v>577</v>
      </c>
      <c r="C3456" t="s">
        <v>184</v>
      </c>
      <c r="D3456" t="s">
        <v>130</v>
      </c>
      <c r="E3456" t="s">
        <v>377</v>
      </c>
      <c r="F3456" t="s">
        <v>384</v>
      </c>
      <c r="G3456" t="s">
        <v>337</v>
      </c>
      <c r="H3456" t="s">
        <v>749</v>
      </c>
      <c r="I3456" t="s">
        <v>743</v>
      </c>
      <c r="J3456" t="s">
        <v>379</v>
      </c>
      <c r="K3456" t="s">
        <v>748</v>
      </c>
      <c r="L3456" s="784">
        <v>0</v>
      </c>
      <c r="M3456" t="s">
        <v>745</v>
      </c>
      <c r="N3456" s="784" t="s">
        <v>575</v>
      </c>
      <c r="O3456" t="s">
        <v>737</v>
      </c>
      <c r="P3456" t="s">
        <v>1887</v>
      </c>
      <c r="R3456" t="s">
        <v>550</v>
      </c>
      <c r="S3456" t="s">
        <v>146</v>
      </c>
      <c r="U3456">
        <v>0</v>
      </c>
      <c r="V3456" t="s">
        <v>544</v>
      </c>
      <c r="W3456" t="s">
        <v>575</v>
      </c>
      <c r="X3456" s="784">
        <v>13859708717.682571</v>
      </c>
    </row>
    <row r="3457" spans="1:24">
      <c r="A3457" t="s">
        <v>358</v>
      </c>
      <c r="B3457" t="s">
        <v>578</v>
      </c>
      <c r="C3457" t="s">
        <v>185</v>
      </c>
      <c r="D3457" t="s">
        <v>126</v>
      </c>
      <c r="E3457" t="s">
        <v>377</v>
      </c>
      <c r="F3457" t="s">
        <v>384</v>
      </c>
      <c r="G3457" t="s">
        <v>337</v>
      </c>
      <c r="H3457" t="s">
        <v>749</v>
      </c>
      <c r="I3457" t="s">
        <v>743</v>
      </c>
      <c r="J3457" t="s">
        <v>379</v>
      </c>
      <c r="K3457" t="s">
        <v>748</v>
      </c>
      <c r="L3457" s="784">
        <v>0</v>
      </c>
      <c r="M3457" t="s">
        <v>745</v>
      </c>
      <c r="N3457" s="784" t="s">
        <v>575</v>
      </c>
      <c r="O3457" t="s">
        <v>737</v>
      </c>
      <c r="P3457" t="s">
        <v>1887</v>
      </c>
      <c r="R3457" t="s">
        <v>152</v>
      </c>
      <c r="S3457" t="s">
        <v>146</v>
      </c>
      <c r="U3457">
        <v>0</v>
      </c>
      <c r="V3457" t="s">
        <v>544</v>
      </c>
      <c r="W3457" t="s">
        <v>575</v>
      </c>
      <c r="X3457" s="784">
        <v>403567160707.7016</v>
      </c>
    </row>
    <row r="3458" spans="1:24">
      <c r="A3458" t="s">
        <v>358</v>
      </c>
      <c r="B3458" t="s">
        <v>579</v>
      </c>
      <c r="C3458" t="s">
        <v>186</v>
      </c>
      <c r="D3458" t="s">
        <v>130</v>
      </c>
      <c r="E3458" t="s">
        <v>377</v>
      </c>
      <c r="F3458" t="s">
        <v>384</v>
      </c>
      <c r="G3458" t="s">
        <v>337</v>
      </c>
      <c r="H3458" t="s">
        <v>749</v>
      </c>
      <c r="I3458" t="s">
        <v>743</v>
      </c>
      <c r="J3458" t="s">
        <v>379</v>
      </c>
      <c r="K3458" t="s">
        <v>748</v>
      </c>
      <c r="L3458" s="784">
        <v>0</v>
      </c>
      <c r="M3458" t="s">
        <v>745</v>
      </c>
      <c r="N3458" s="784" t="s">
        <v>575</v>
      </c>
      <c r="O3458" t="s">
        <v>737</v>
      </c>
      <c r="P3458" t="s">
        <v>1887</v>
      </c>
      <c r="R3458" t="s">
        <v>152</v>
      </c>
      <c r="S3458" t="s">
        <v>146</v>
      </c>
      <c r="U3458">
        <v>0</v>
      </c>
      <c r="V3458" t="s">
        <v>544</v>
      </c>
      <c r="W3458" t="s">
        <v>575</v>
      </c>
      <c r="X3458" s="784">
        <v>18250225995.972618</v>
      </c>
    </row>
    <row r="3459" spans="1:24">
      <c r="A3459" t="s">
        <v>358</v>
      </c>
      <c r="B3459" t="s">
        <v>580</v>
      </c>
      <c r="C3459" t="s">
        <v>187</v>
      </c>
      <c r="D3459" t="s">
        <v>128</v>
      </c>
      <c r="E3459" t="s">
        <v>377</v>
      </c>
      <c r="F3459" t="s">
        <v>384</v>
      </c>
      <c r="G3459" t="s">
        <v>337</v>
      </c>
      <c r="H3459" t="s">
        <v>749</v>
      </c>
      <c r="I3459" t="s">
        <v>743</v>
      </c>
      <c r="J3459" t="s">
        <v>379</v>
      </c>
      <c r="K3459" t="s">
        <v>748</v>
      </c>
      <c r="L3459" s="784">
        <v>0</v>
      </c>
      <c r="M3459" t="s">
        <v>745</v>
      </c>
      <c r="N3459" s="784" t="s">
        <v>575</v>
      </c>
      <c r="O3459" t="s">
        <v>737</v>
      </c>
      <c r="P3459" t="s">
        <v>1887</v>
      </c>
      <c r="R3459" t="s">
        <v>150</v>
      </c>
      <c r="S3459" t="s">
        <v>145</v>
      </c>
      <c r="U3459">
        <v>0</v>
      </c>
      <c r="V3459" t="s">
        <v>541</v>
      </c>
      <c r="W3459" t="s">
        <v>562</v>
      </c>
      <c r="X3459" s="784">
        <v>5027591.1682657599</v>
      </c>
    </row>
    <row r="3460" spans="1:24">
      <c r="A3460" t="s">
        <v>358</v>
      </c>
      <c r="B3460" t="s">
        <v>581</v>
      </c>
      <c r="C3460" t="s">
        <v>188</v>
      </c>
      <c r="D3460" t="s">
        <v>129</v>
      </c>
      <c r="E3460" t="s">
        <v>377</v>
      </c>
      <c r="F3460" t="s">
        <v>384</v>
      </c>
      <c r="G3460" t="s">
        <v>337</v>
      </c>
      <c r="H3460" t="s">
        <v>749</v>
      </c>
      <c r="I3460" t="s">
        <v>743</v>
      </c>
      <c r="J3460" t="s">
        <v>379</v>
      </c>
      <c r="K3460" t="s">
        <v>748</v>
      </c>
      <c r="L3460" s="784">
        <v>2313812</v>
      </c>
      <c r="M3460" t="s">
        <v>745</v>
      </c>
      <c r="N3460" s="784" t="s">
        <v>575</v>
      </c>
      <c r="O3460" t="s">
        <v>737</v>
      </c>
      <c r="P3460" t="s">
        <v>1887</v>
      </c>
      <c r="R3460" t="s">
        <v>148</v>
      </c>
      <c r="S3460" t="s">
        <v>145</v>
      </c>
      <c r="U3460">
        <v>3</v>
      </c>
      <c r="V3460" t="s">
        <v>544</v>
      </c>
      <c r="W3460" t="s">
        <v>562</v>
      </c>
      <c r="X3460" s="784">
        <v>234645958.63289919</v>
      </c>
    </row>
    <row r="3461" spans="1:24">
      <c r="A3461" t="s">
        <v>358</v>
      </c>
      <c r="B3461" t="s">
        <v>582</v>
      </c>
      <c r="C3461" t="s">
        <v>189</v>
      </c>
      <c r="D3461" t="s">
        <v>129</v>
      </c>
      <c r="E3461" t="s">
        <v>377</v>
      </c>
      <c r="F3461" t="s">
        <v>384</v>
      </c>
      <c r="G3461" t="s">
        <v>337</v>
      </c>
      <c r="H3461" t="s">
        <v>749</v>
      </c>
      <c r="I3461" t="s">
        <v>743</v>
      </c>
      <c r="J3461" t="s">
        <v>379</v>
      </c>
      <c r="K3461" t="s">
        <v>748</v>
      </c>
      <c r="L3461" s="784">
        <v>0</v>
      </c>
      <c r="M3461" t="s">
        <v>745</v>
      </c>
      <c r="N3461" s="784" t="s">
        <v>575</v>
      </c>
      <c r="O3461" t="s">
        <v>737</v>
      </c>
      <c r="P3461" t="s">
        <v>1887</v>
      </c>
      <c r="R3461" t="s">
        <v>150</v>
      </c>
      <c r="S3461" t="s">
        <v>145</v>
      </c>
      <c r="U3461">
        <v>2</v>
      </c>
      <c r="V3461" t="s">
        <v>544</v>
      </c>
      <c r="W3461" t="s">
        <v>583</v>
      </c>
      <c r="X3461" s="784">
        <v>91590910.247314155</v>
      </c>
    </row>
    <row r="3462" spans="1:24">
      <c r="A3462" t="s">
        <v>358</v>
      </c>
      <c r="B3462" t="s">
        <v>584</v>
      </c>
      <c r="C3462" t="s">
        <v>190</v>
      </c>
      <c r="D3462" t="s">
        <v>126</v>
      </c>
      <c r="E3462" t="s">
        <v>377</v>
      </c>
      <c r="F3462" t="s">
        <v>384</v>
      </c>
      <c r="G3462" t="s">
        <v>337</v>
      </c>
      <c r="H3462" t="s">
        <v>749</v>
      </c>
      <c r="I3462" t="s">
        <v>743</v>
      </c>
      <c r="J3462" t="s">
        <v>379</v>
      </c>
      <c r="K3462" t="s">
        <v>748</v>
      </c>
      <c r="L3462" s="784">
        <v>198193</v>
      </c>
      <c r="M3462" t="s">
        <v>745</v>
      </c>
      <c r="N3462" s="784" t="s">
        <v>575</v>
      </c>
      <c r="O3462" t="s">
        <v>737</v>
      </c>
      <c r="P3462" t="s">
        <v>1887</v>
      </c>
      <c r="R3462" t="s">
        <v>322</v>
      </c>
      <c r="S3462" t="s">
        <v>146</v>
      </c>
      <c r="U3462">
        <v>0</v>
      </c>
      <c r="V3462" t="s">
        <v>541</v>
      </c>
      <c r="W3462" t="s">
        <v>546</v>
      </c>
      <c r="X3462" s="784">
        <v>8560012.8840167802</v>
      </c>
    </row>
    <row r="3463" spans="1:24">
      <c r="A3463" t="s">
        <v>358</v>
      </c>
      <c r="B3463" t="s">
        <v>585</v>
      </c>
      <c r="C3463" t="s">
        <v>191</v>
      </c>
      <c r="D3463" t="s">
        <v>130</v>
      </c>
      <c r="E3463" t="s">
        <v>377</v>
      </c>
      <c r="F3463" t="s">
        <v>384</v>
      </c>
      <c r="G3463" t="s">
        <v>337</v>
      </c>
      <c r="H3463" t="s">
        <v>749</v>
      </c>
      <c r="I3463" t="s">
        <v>743</v>
      </c>
      <c r="J3463" t="s">
        <v>379</v>
      </c>
      <c r="K3463" t="s">
        <v>748</v>
      </c>
      <c r="L3463" s="784">
        <v>0</v>
      </c>
      <c r="M3463" t="s">
        <v>745</v>
      </c>
      <c r="N3463" s="784" t="s">
        <v>575</v>
      </c>
      <c r="O3463" t="s">
        <v>737</v>
      </c>
      <c r="P3463" t="s">
        <v>1887</v>
      </c>
      <c r="R3463" t="s">
        <v>152</v>
      </c>
      <c r="S3463" t="s">
        <v>146</v>
      </c>
      <c r="U3463">
        <v>0</v>
      </c>
      <c r="V3463" t="s">
        <v>544</v>
      </c>
      <c r="W3463" t="s">
        <v>546</v>
      </c>
      <c r="X3463" s="784">
        <v>3292372960.3962669</v>
      </c>
    </row>
    <row r="3464" spans="1:24">
      <c r="A3464" t="s">
        <v>358</v>
      </c>
      <c r="B3464" t="s">
        <v>586</v>
      </c>
      <c r="C3464" t="s">
        <v>192</v>
      </c>
      <c r="D3464" t="s">
        <v>129</v>
      </c>
      <c r="E3464" t="s">
        <v>377</v>
      </c>
      <c r="F3464" t="s">
        <v>384</v>
      </c>
      <c r="G3464" t="s">
        <v>337</v>
      </c>
      <c r="H3464" t="s">
        <v>749</v>
      </c>
      <c r="I3464" t="s">
        <v>743</v>
      </c>
      <c r="J3464" t="s">
        <v>379</v>
      </c>
      <c r="K3464" t="s">
        <v>748</v>
      </c>
      <c r="L3464" s="784">
        <v>0</v>
      </c>
      <c r="M3464" t="s">
        <v>745</v>
      </c>
      <c r="N3464" s="784" t="s">
        <v>575</v>
      </c>
      <c r="O3464" t="s">
        <v>737</v>
      </c>
      <c r="P3464" t="s">
        <v>1887</v>
      </c>
      <c r="R3464" t="s">
        <v>150</v>
      </c>
      <c r="S3464" t="s">
        <v>145</v>
      </c>
      <c r="U3464">
        <v>0</v>
      </c>
      <c r="V3464" t="s">
        <v>544</v>
      </c>
      <c r="W3464" t="s">
        <v>562</v>
      </c>
      <c r="X3464" s="784">
        <v>519209981.22981054</v>
      </c>
    </row>
    <row r="3465" spans="1:24">
      <c r="A3465" t="s">
        <v>358</v>
      </c>
      <c r="B3465" t="s">
        <v>587</v>
      </c>
      <c r="C3465" t="s">
        <v>193</v>
      </c>
      <c r="D3465" t="s">
        <v>127</v>
      </c>
      <c r="E3465" t="s">
        <v>377</v>
      </c>
      <c r="F3465" t="s">
        <v>384</v>
      </c>
      <c r="G3465" t="s">
        <v>337</v>
      </c>
      <c r="H3465" t="s">
        <v>749</v>
      </c>
      <c r="I3465" t="s">
        <v>743</v>
      </c>
      <c r="J3465" t="s">
        <v>379</v>
      </c>
      <c r="K3465" t="s">
        <v>748</v>
      </c>
      <c r="L3465" s="784">
        <v>0</v>
      </c>
      <c r="M3465" t="s">
        <v>745</v>
      </c>
      <c r="N3465" s="784" t="s">
        <v>575</v>
      </c>
      <c r="O3465" t="s">
        <v>737</v>
      </c>
      <c r="P3465" t="s">
        <v>1887</v>
      </c>
      <c r="R3465" t="s">
        <v>550</v>
      </c>
      <c r="S3465" t="s">
        <v>146</v>
      </c>
      <c r="U3465">
        <v>0</v>
      </c>
      <c r="V3465" t="s">
        <v>544</v>
      </c>
      <c r="W3465" t="s">
        <v>575</v>
      </c>
      <c r="X3465" s="784">
        <v>3464739907.1604805</v>
      </c>
    </row>
    <row r="3466" spans="1:24">
      <c r="A3466" t="s">
        <v>358</v>
      </c>
      <c r="B3466" t="s">
        <v>588</v>
      </c>
      <c r="C3466" t="s">
        <v>147</v>
      </c>
      <c r="D3466" t="s">
        <v>130</v>
      </c>
      <c r="E3466" t="s">
        <v>377</v>
      </c>
      <c r="F3466" t="s">
        <v>384</v>
      </c>
      <c r="G3466" t="s">
        <v>337</v>
      </c>
      <c r="H3466" t="s">
        <v>749</v>
      </c>
      <c r="I3466" t="s">
        <v>743</v>
      </c>
      <c r="J3466" t="s">
        <v>379</v>
      </c>
      <c r="K3466" t="s">
        <v>748</v>
      </c>
      <c r="L3466" s="784">
        <v>0</v>
      </c>
      <c r="M3466" t="s">
        <v>745</v>
      </c>
      <c r="N3466" s="784" t="s">
        <v>575</v>
      </c>
      <c r="O3466" t="s">
        <v>737</v>
      </c>
      <c r="P3466" t="s">
        <v>1887</v>
      </c>
      <c r="R3466" t="s">
        <v>152</v>
      </c>
      <c r="S3466" t="s">
        <v>146</v>
      </c>
      <c r="U3466">
        <v>0</v>
      </c>
      <c r="V3466" t="s">
        <v>541</v>
      </c>
      <c r="W3466" t="s">
        <v>575</v>
      </c>
      <c r="X3466" s="784">
        <v>9948521252.2569065</v>
      </c>
    </row>
    <row r="3467" spans="1:24">
      <c r="A3467" t="s">
        <v>358</v>
      </c>
      <c r="B3467" t="s">
        <v>589</v>
      </c>
      <c r="C3467" t="s">
        <v>194</v>
      </c>
      <c r="D3467" t="s">
        <v>131</v>
      </c>
      <c r="E3467" t="s">
        <v>377</v>
      </c>
      <c r="F3467" t="s">
        <v>384</v>
      </c>
      <c r="G3467" t="s">
        <v>337</v>
      </c>
      <c r="H3467" t="s">
        <v>749</v>
      </c>
      <c r="I3467" t="s">
        <v>743</v>
      </c>
      <c r="J3467" t="s">
        <v>379</v>
      </c>
      <c r="K3467" t="s">
        <v>748</v>
      </c>
      <c r="L3467" s="784">
        <v>92553</v>
      </c>
      <c r="M3467" t="s">
        <v>745</v>
      </c>
      <c r="N3467" s="784" t="s">
        <v>575</v>
      </c>
      <c r="O3467" t="s">
        <v>737</v>
      </c>
      <c r="P3467" t="s">
        <v>1887</v>
      </c>
      <c r="R3467" t="s">
        <v>150</v>
      </c>
      <c r="S3467" t="s">
        <v>145</v>
      </c>
      <c r="U3467">
        <v>1</v>
      </c>
      <c r="V3467" t="s">
        <v>544</v>
      </c>
      <c r="W3467" t="s">
        <v>542</v>
      </c>
      <c r="X3467" s="784">
        <v>33679192.765657313</v>
      </c>
    </row>
    <row r="3468" spans="1:24">
      <c r="A3468" t="s">
        <v>358</v>
      </c>
      <c r="B3468" t="s">
        <v>590</v>
      </c>
      <c r="C3468" t="s">
        <v>195</v>
      </c>
      <c r="D3468" t="s">
        <v>130</v>
      </c>
      <c r="E3468" t="s">
        <v>377</v>
      </c>
      <c r="F3468" t="s">
        <v>384</v>
      </c>
      <c r="G3468" t="s">
        <v>337</v>
      </c>
      <c r="H3468" t="s">
        <v>749</v>
      </c>
      <c r="I3468" t="s">
        <v>743</v>
      </c>
      <c r="J3468" t="s">
        <v>379</v>
      </c>
      <c r="K3468" t="s">
        <v>748</v>
      </c>
      <c r="L3468" s="784">
        <v>0</v>
      </c>
      <c r="M3468" t="s">
        <v>745</v>
      </c>
      <c r="N3468" s="784" t="s">
        <v>575</v>
      </c>
      <c r="O3468" t="s">
        <v>737</v>
      </c>
      <c r="P3468" t="s">
        <v>1887</v>
      </c>
      <c r="R3468" t="s">
        <v>152</v>
      </c>
      <c r="S3468" t="s">
        <v>145</v>
      </c>
      <c r="U3468">
        <v>0</v>
      </c>
      <c r="V3468" t="s">
        <v>541</v>
      </c>
      <c r="W3468" t="s">
        <v>548</v>
      </c>
      <c r="X3468" s="784">
        <v>22784494.365742501</v>
      </c>
    </row>
    <row r="3469" spans="1:24">
      <c r="A3469" t="s">
        <v>358</v>
      </c>
      <c r="B3469" t="s">
        <v>591</v>
      </c>
      <c r="C3469" t="s">
        <v>196</v>
      </c>
      <c r="D3469" t="s">
        <v>130</v>
      </c>
      <c r="E3469" t="s">
        <v>377</v>
      </c>
      <c r="F3469" t="s">
        <v>384</v>
      </c>
      <c r="G3469" t="s">
        <v>337</v>
      </c>
      <c r="H3469" t="s">
        <v>749</v>
      </c>
      <c r="I3469" t="s">
        <v>743</v>
      </c>
      <c r="J3469" t="s">
        <v>379</v>
      </c>
      <c r="K3469" t="s">
        <v>748</v>
      </c>
      <c r="L3469" s="784">
        <v>0</v>
      </c>
      <c r="M3469" t="s">
        <v>745</v>
      </c>
      <c r="N3469" s="784" t="s">
        <v>575</v>
      </c>
      <c r="O3469" t="s">
        <v>737</v>
      </c>
      <c r="P3469" t="s">
        <v>1887</v>
      </c>
      <c r="R3469" t="s">
        <v>152</v>
      </c>
      <c r="S3469" t="s">
        <v>146</v>
      </c>
      <c r="U3469">
        <v>0</v>
      </c>
      <c r="V3469" t="s">
        <v>541</v>
      </c>
      <c r="W3469" t="s">
        <v>575</v>
      </c>
      <c r="X3469" s="784">
        <v>2173208011.4858823</v>
      </c>
    </row>
    <row r="3470" spans="1:24">
      <c r="A3470" t="s">
        <v>358</v>
      </c>
      <c r="B3470" t="s">
        <v>592</v>
      </c>
      <c r="C3470" t="s">
        <v>197</v>
      </c>
      <c r="D3470" t="s">
        <v>130</v>
      </c>
      <c r="E3470" t="s">
        <v>377</v>
      </c>
      <c r="F3470" t="s">
        <v>384</v>
      </c>
      <c r="G3470" t="s">
        <v>337</v>
      </c>
      <c r="H3470" t="s">
        <v>749</v>
      </c>
      <c r="I3470" t="s">
        <v>743</v>
      </c>
      <c r="J3470" t="s">
        <v>379</v>
      </c>
      <c r="K3470" t="s">
        <v>748</v>
      </c>
      <c r="L3470" s="784">
        <v>0</v>
      </c>
      <c r="M3470" t="s">
        <v>745</v>
      </c>
      <c r="N3470" s="784" t="s">
        <v>575</v>
      </c>
      <c r="O3470" t="s">
        <v>737</v>
      </c>
      <c r="P3470" t="s">
        <v>1887</v>
      </c>
      <c r="R3470" t="s">
        <v>152</v>
      </c>
      <c r="S3470" t="s">
        <v>146</v>
      </c>
      <c r="U3470">
        <v>0</v>
      </c>
      <c r="V3470" t="s">
        <v>544</v>
      </c>
      <c r="W3470" t="s">
        <v>546</v>
      </c>
      <c r="X3470" s="784">
        <v>4585736158.8323269</v>
      </c>
    </row>
    <row r="3471" spans="1:24">
      <c r="A3471" t="s">
        <v>358</v>
      </c>
      <c r="B3471" t="s">
        <v>593</v>
      </c>
      <c r="C3471" t="s">
        <v>198</v>
      </c>
      <c r="D3471" t="s">
        <v>131</v>
      </c>
      <c r="E3471" t="s">
        <v>377</v>
      </c>
      <c r="F3471" t="s">
        <v>384</v>
      </c>
      <c r="G3471" t="s">
        <v>337</v>
      </c>
      <c r="H3471" t="s">
        <v>749</v>
      </c>
      <c r="I3471" t="s">
        <v>743</v>
      </c>
      <c r="J3471" t="s">
        <v>379</v>
      </c>
      <c r="K3471" t="s">
        <v>748</v>
      </c>
      <c r="L3471" s="784">
        <v>1546200</v>
      </c>
      <c r="M3471" t="s">
        <v>745</v>
      </c>
      <c r="N3471" s="784" t="s">
        <v>575</v>
      </c>
      <c r="O3471" t="s">
        <v>737</v>
      </c>
      <c r="P3471" t="s">
        <v>1887</v>
      </c>
      <c r="R3471" t="s">
        <v>150</v>
      </c>
      <c r="S3471" t="s">
        <v>145</v>
      </c>
      <c r="U3471">
        <v>0</v>
      </c>
      <c r="V3471" t="s">
        <v>544</v>
      </c>
      <c r="W3471" t="s">
        <v>546</v>
      </c>
      <c r="X3471" s="784">
        <v>3550291584.8645592</v>
      </c>
    </row>
    <row r="3472" spans="1:24">
      <c r="A3472" t="s">
        <v>358</v>
      </c>
      <c r="B3472" t="s">
        <v>594</v>
      </c>
      <c r="C3472" t="s">
        <v>199</v>
      </c>
      <c r="D3472" t="s">
        <v>130</v>
      </c>
      <c r="E3472" t="s">
        <v>377</v>
      </c>
      <c r="F3472" t="s">
        <v>384</v>
      </c>
      <c r="G3472" t="s">
        <v>337</v>
      </c>
      <c r="H3472" t="s">
        <v>749</v>
      </c>
      <c r="I3472" t="s">
        <v>743</v>
      </c>
      <c r="J3472" t="s">
        <v>379</v>
      </c>
      <c r="K3472" t="s">
        <v>748</v>
      </c>
      <c r="L3472" s="784">
        <v>0</v>
      </c>
      <c r="M3472" t="s">
        <v>745</v>
      </c>
      <c r="N3472" s="784" t="s">
        <v>575</v>
      </c>
      <c r="O3472" t="s">
        <v>737</v>
      </c>
      <c r="P3472" t="s">
        <v>1887</v>
      </c>
      <c r="R3472" t="s">
        <v>150</v>
      </c>
      <c r="S3472" t="s">
        <v>145</v>
      </c>
      <c r="U3472">
        <v>0</v>
      </c>
      <c r="V3472" t="s">
        <v>544</v>
      </c>
      <c r="W3472" t="s">
        <v>546</v>
      </c>
      <c r="X3472" s="784">
        <v>1182840319.0410969</v>
      </c>
    </row>
    <row r="3473" spans="1:24">
      <c r="A3473" t="s">
        <v>358</v>
      </c>
      <c r="B3473" t="s">
        <v>595</v>
      </c>
      <c r="C3473" t="s">
        <v>200</v>
      </c>
      <c r="D3473" t="s">
        <v>130</v>
      </c>
      <c r="E3473" t="s">
        <v>377</v>
      </c>
      <c r="F3473" t="s">
        <v>384</v>
      </c>
      <c r="G3473" t="s">
        <v>337</v>
      </c>
      <c r="H3473" t="s">
        <v>749</v>
      </c>
      <c r="I3473" t="s">
        <v>743</v>
      </c>
      <c r="J3473" t="s">
        <v>379</v>
      </c>
      <c r="K3473" t="s">
        <v>748</v>
      </c>
      <c r="L3473" s="784">
        <v>0</v>
      </c>
      <c r="M3473" t="s">
        <v>745</v>
      </c>
      <c r="N3473" s="784" t="s">
        <v>575</v>
      </c>
      <c r="O3473" t="s">
        <v>737</v>
      </c>
      <c r="P3473" t="s">
        <v>1887</v>
      </c>
      <c r="R3473" t="s">
        <v>152</v>
      </c>
      <c r="S3473" t="s">
        <v>146</v>
      </c>
      <c r="U3473">
        <v>0</v>
      </c>
      <c r="V3473" t="s">
        <v>544</v>
      </c>
      <c r="W3473" t="s">
        <v>575</v>
      </c>
      <c r="X3473" s="784">
        <v>81728347.604567245</v>
      </c>
    </row>
    <row r="3474" spans="1:24">
      <c r="A3474" t="s">
        <v>358</v>
      </c>
      <c r="B3474" t="s">
        <v>596</v>
      </c>
      <c r="C3474" t="s">
        <v>201</v>
      </c>
      <c r="D3474" t="s">
        <v>128</v>
      </c>
      <c r="E3474" t="s">
        <v>377</v>
      </c>
      <c r="F3474" t="s">
        <v>384</v>
      </c>
      <c r="G3474" t="s">
        <v>337</v>
      </c>
      <c r="H3474" t="s">
        <v>749</v>
      </c>
      <c r="I3474" t="s">
        <v>743</v>
      </c>
      <c r="J3474" t="s">
        <v>379</v>
      </c>
      <c r="K3474" t="s">
        <v>748</v>
      </c>
      <c r="L3474" s="784">
        <v>0</v>
      </c>
      <c r="M3474" t="s">
        <v>745</v>
      </c>
      <c r="N3474" s="784" t="s">
        <v>575</v>
      </c>
      <c r="O3474" t="s">
        <v>737</v>
      </c>
      <c r="P3474" t="s">
        <v>1887</v>
      </c>
      <c r="R3474" t="s">
        <v>148</v>
      </c>
      <c r="S3474" t="s">
        <v>145</v>
      </c>
      <c r="U3474">
        <v>2</v>
      </c>
      <c r="V3474" t="s">
        <v>544</v>
      </c>
      <c r="W3474" t="s">
        <v>546</v>
      </c>
      <c r="X3474" s="784">
        <v>12787914.977715338</v>
      </c>
    </row>
    <row r="3475" spans="1:24">
      <c r="A3475" t="s">
        <v>358</v>
      </c>
      <c r="B3475" t="s">
        <v>597</v>
      </c>
      <c r="C3475" t="s">
        <v>202</v>
      </c>
      <c r="D3475" t="s">
        <v>128</v>
      </c>
      <c r="E3475" t="s">
        <v>377</v>
      </c>
      <c r="F3475" t="s">
        <v>384</v>
      </c>
      <c r="G3475" t="s">
        <v>337</v>
      </c>
      <c r="H3475" t="s">
        <v>749</v>
      </c>
      <c r="I3475" t="s">
        <v>743</v>
      </c>
      <c r="J3475" t="s">
        <v>379</v>
      </c>
      <c r="K3475" t="s">
        <v>748</v>
      </c>
      <c r="L3475" s="784">
        <v>109293</v>
      </c>
      <c r="M3475" t="s">
        <v>745</v>
      </c>
      <c r="N3475" s="784" t="s">
        <v>575</v>
      </c>
      <c r="O3475" t="s">
        <v>737</v>
      </c>
      <c r="P3475" t="s">
        <v>1887</v>
      </c>
      <c r="R3475" t="s">
        <v>150</v>
      </c>
      <c r="S3475" t="s">
        <v>145</v>
      </c>
      <c r="U3475">
        <v>2</v>
      </c>
      <c r="V3475" t="s">
        <v>544</v>
      </c>
      <c r="W3475" t="s">
        <v>546</v>
      </c>
      <c r="X3475" s="784">
        <v>101271737.65410839</v>
      </c>
    </row>
    <row r="3476" spans="1:24">
      <c r="A3476" t="s">
        <v>358</v>
      </c>
      <c r="B3476" t="s">
        <v>598</v>
      </c>
      <c r="C3476" t="s">
        <v>203</v>
      </c>
      <c r="D3476" t="s">
        <v>128</v>
      </c>
      <c r="E3476" t="s">
        <v>377</v>
      </c>
      <c r="F3476" t="s">
        <v>384</v>
      </c>
      <c r="G3476" t="s">
        <v>337</v>
      </c>
      <c r="H3476" t="s">
        <v>749</v>
      </c>
      <c r="I3476" t="s">
        <v>743</v>
      </c>
      <c r="J3476" t="s">
        <v>379</v>
      </c>
      <c r="K3476" t="s">
        <v>748</v>
      </c>
      <c r="L3476" s="784">
        <v>1343285</v>
      </c>
      <c r="M3476" t="s">
        <v>745</v>
      </c>
      <c r="N3476" s="784" t="s">
        <v>575</v>
      </c>
      <c r="O3476" t="s">
        <v>737</v>
      </c>
      <c r="P3476" t="s">
        <v>1887</v>
      </c>
      <c r="R3476" t="s">
        <v>148</v>
      </c>
      <c r="S3476" t="s">
        <v>145</v>
      </c>
      <c r="U3476">
        <v>3</v>
      </c>
      <c r="V3476" t="s">
        <v>544</v>
      </c>
      <c r="W3476" t="s">
        <v>542</v>
      </c>
      <c r="X3476" s="784">
        <v>618344226.71759331</v>
      </c>
    </row>
    <row r="3477" spans="1:24">
      <c r="A3477" t="s">
        <v>358</v>
      </c>
      <c r="B3477" t="s">
        <v>599</v>
      </c>
      <c r="C3477" t="s">
        <v>204</v>
      </c>
      <c r="D3477" t="s">
        <v>126</v>
      </c>
      <c r="E3477" t="s">
        <v>377</v>
      </c>
      <c r="F3477" t="s">
        <v>384</v>
      </c>
      <c r="G3477" t="s">
        <v>337</v>
      </c>
      <c r="H3477" t="s">
        <v>749</v>
      </c>
      <c r="I3477" t="s">
        <v>743</v>
      </c>
      <c r="J3477" t="s">
        <v>379</v>
      </c>
      <c r="K3477" t="s">
        <v>748</v>
      </c>
      <c r="L3477" s="784">
        <v>639730</v>
      </c>
      <c r="M3477" t="s">
        <v>745</v>
      </c>
      <c r="N3477" s="784" t="s">
        <v>575</v>
      </c>
      <c r="O3477" t="s">
        <v>737</v>
      </c>
      <c r="P3477" t="s">
        <v>1887</v>
      </c>
      <c r="R3477" t="s">
        <v>152</v>
      </c>
      <c r="S3477" t="s">
        <v>145</v>
      </c>
      <c r="U3477">
        <v>0</v>
      </c>
      <c r="V3477" t="s">
        <v>541</v>
      </c>
      <c r="W3477" t="s">
        <v>548</v>
      </c>
      <c r="X3477" s="784">
        <v>129483872.95906857</v>
      </c>
    </row>
    <row r="3478" spans="1:24">
      <c r="A3478" t="s">
        <v>358</v>
      </c>
      <c r="B3478" t="s">
        <v>600</v>
      </c>
      <c r="C3478" t="s">
        <v>205</v>
      </c>
      <c r="D3478" t="s">
        <v>129</v>
      </c>
      <c r="E3478" t="s">
        <v>377</v>
      </c>
      <c r="F3478" t="s">
        <v>384</v>
      </c>
      <c r="G3478" t="s">
        <v>337</v>
      </c>
      <c r="H3478" t="s">
        <v>749</v>
      </c>
      <c r="I3478" t="s">
        <v>743</v>
      </c>
      <c r="J3478" t="s">
        <v>379</v>
      </c>
      <c r="K3478" t="s">
        <v>748</v>
      </c>
      <c r="L3478" s="784">
        <v>0</v>
      </c>
      <c r="M3478" t="s">
        <v>745</v>
      </c>
      <c r="N3478" s="784" t="s">
        <v>575</v>
      </c>
      <c r="O3478" t="s">
        <v>737</v>
      </c>
      <c r="P3478" t="s">
        <v>1887</v>
      </c>
      <c r="R3478" t="s">
        <v>152</v>
      </c>
      <c r="S3478" t="s">
        <v>146</v>
      </c>
      <c r="U3478">
        <v>0</v>
      </c>
      <c r="V3478" t="s">
        <v>544</v>
      </c>
      <c r="W3478" t="s">
        <v>546</v>
      </c>
      <c r="X3478" s="784">
        <v>271184658.35014349</v>
      </c>
    </row>
    <row r="3479" spans="1:24">
      <c r="A3479" t="s">
        <v>358</v>
      </c>
      <c r="B3479" t="s">
        <v>601</v>
      </c>
      <c r="C3479" t="s">
        <v>206</v>
      </c>
      <c r="D3479" t="s">
        <v>129</v>
      </c>
      <c r="E3479" t="s">
        <v>377</v>
      </c>
      <c r="F3479" t="s">
        <v>384</v>
      </c>
      <c r="G3479" t="s">
        <v>337</v>
      </c>
      <c r="H3479" t="s">
        <v>749</v>
      </c>
      <c r="I3479" t="s">
        <v>743</v>
      </c>
      <c r="J3479" t="s">
        <v>379</v>
      </c>
      <c r="K3479" t="s">
        <v>748</v>
      </c>
      <c r="L3479" s="784">
        <v>0</v>
      </c>
      <c r="M3479" t="s">
        <v>745</v>
      </c>
      <c r="N3479" s="784" t="s">
        <v>575</v>
      </c>
      <c r="O3479" t="s">
        <v>737</v>
      </c>
      <c r="P3479" t="s">
        <v>1887</v>
      </c>
      <c r="R3479" t="s">
        <v>148</v>
      </c>
      <c r="S3479" t="s">
        <v>145</v>
      </c>
      <c r="U3479">
        <v>0</v>
      </c>
      <c r="V3479" t="s">
        <v>544</v>
      </c>
      <c r="W3479" t="s">
        <v>542</v>
      </c>
      <c r="X3479" s="784">
        <v>15455265.086884515</v>
      </c>
    </row>
    <row r="3480" spans="1:24">
      <c r="A3480" t="s">
        <v>358</v>
      </c>
      <c r="B3480" t="s">
        <v>602</v>
      </c>
      <c r="C3480" t="s">
        <v>207</v>
      </c>
      <c r="D3480" t="s">
        <v>127</v>
      </c>
      <c r="E3480" t="s">
        <v>377</v>
      </c>
      <c r="F3480" t="s">
        <v>384</v>
      </c>
      <c r="G3480" t="s">
        <v>337</v>
      </c>
      <c r="H3480" t="s">
        <v>749</v>
      </c>
      <c r="I3480" t="s">
        <v>743</v>
      </c>
      <c r="J3480" t="s">
        <v>379</v>
      </c>
      <c r="K3480" t="s">
        <v>748</v>
      </c>
      <c r="L3480" s="784">
        <v>0</v>
      </c>
      <c r="M3480" t="s">
        <v>745</v>
      </c>
      <c r="N3480" s="784" t="s">
        <v>575</v>
      </c>
      <c r="O3480" t="s">
        <v>737</v>
      </c>
      <c r="P3480" t="s">
        <v>1887</v>
      </c>
      <c r="R3480" t="s">
        <v>152</v>
      </c>
      <c r="S3480" t="s">
        <v>146</v>
      </c>
      <c r="U3480">
        <v>0</v>
      </c>
      <c r="V3480" t="s">
        <v>544</v>
      </c>
      <c r="W3480" t="s">
        <v>546</v>
      </c>
      <c r="X3480" s="784">
        <v>494021502.525527</v>
      </c>
    </row>
    <row r="3481" spans="1:24">
      <c r="A3481" t="s">
        <v>358</v>
      </c>
      <c r="B3481" t="s">
        <v>603</v>
      </c>
      <c r="C3481" t="s">
        <v>208</v>
      </c>
      <c r="D3481" t="s">
        <v>129</v>
      </c>
      <c r="E3481" t="s">
        <v>377</v>
      </c>
      <c r="F3481" t="s">
        <v>384</v>
      </c>
      <c r="G3481" t="s">
        <v>337</v>
      </c>
      <c r="H3481" t="s">
        <v>749</v>
      </c>
      <c r="I3481" t="s">
        <v>743</v>
      </c>
      <c r="J3481" t="s">
        <v>379</v>
      </c>
      <c r="K3481" t="s">
        <v>748</v>
      </c>
      <c r="L3481" s="784">
        <v>925925</v>
      </c>
      <c r="M3481" t="s">
        <v>745</v>
      </c>
      <c r="N3481" s="784" t="s">
        <v>575</v>
      </c>
      <c r="O3481" t="s">
        <v>737</v>
      </c>
      <c r="P3481" t="s">
        <v>1887</v>
      </c>
      <c r="R3481" t="s">
        <v>150</v>
      </c>
      <c r="S3481" t="s">
        <v>145</v>
      </c>
      <c r="U3481">
        <v>0</v>
      </c>
      <c r="V3481" t="s">
        <v>544</v>
      </c>
      <c r="W3481" t="s">
        <v>542</v>
      </c>
      <c r="X3481" s="784">
        <v>902005621.73836684</v>
      </c>
    </row>
    <row r="3482" spans="1:24">
      <c r="A3482" t="s">
        <v>358</v>
      </c>
      <c r="B3482" t="s">
        <v>604</v>
      </c>
      <c r="C3482" t="s">
        <v>209</v>
      </c>
      <c r="D3482" t="s">
        <v>130</v>
      </c>
      <c r="E3482" t="s">
        <v>377</v>
      </c>
      <c r="F3482" t="s">
        <v>384</v>
      </c>
      <c r="G3482" t="s">
        <v>337</v>
      </c>
      <c r="H3482" t="s">
        <v>749</v>
      </c>
      <c r="I3482" t="s">
        <v>743</v>
      </c>
      <c r="J3482" t="s">
        <v>379</v>
      </c>
      <c r="K3482" t="s">
        <v>748</v>
      </c>
      <c r="L3482" s="784">
        <v>0</v>
      </c>
      <c r="M3482" t="s">
        <v>745</v>
      </c>
      <c r="N3482" s="784" t="s">
        <v>575</v>
      </c>
      <c r="O3482" t="s">
        <v>737</v>
      </c>
      <c r="P3482" t="s">
        <v>1887</v>
      </c>
      <c r="R3482" t="s">
        <v>152</v>
      </c>
      <c r="S3482" t="s">
        <v>145</v>
      </c>
      <c r="U3482">
        <v>0</v>
      </c>
      <c r="V3482" t="s">
        <v>541</v>
      </c>
      <c r="W3482" t="s">
        <v>583</v>
      </c>
      <c r="X3482" s="784">
        <v>20201670.142996579</v>
      </c>
    </row>
    <row r="3483" spans="1:24">
      <c r="A3483" t="s">
        <v>358</v>
      </c>
      <c r="B3483" t="s">
        <v>605</v>
      </c>
      <c r="C3483" t="s">
        <v>210</v>
      </c>
      <c r="D3483" t="s">
        <v>130</v>
      </c>
      <c r="E3483" t="s">
        <v>377</v>
      </c>
      <c r="F3483" t="s">
        <v>384</v>
      </c>
      <c r="G3483" t="s">
        <v>337</v>
      </c>
      <c r="H3483" t="s">
        <v>749</v>
      </c>
      <c r="I3483" t="s">
        <v>743</v>
      </c>
      <c r="J3483" t="s">
        <v>379</v>
      </c>
      <c r="K3483" t="s">
        <v>748</v>
      </c>
      <c r="L3483" s="784">
        <v>1388889</v>
      </c>
      <c r="M3483" t="s">
        <v>745</v>
      </c>
      <c r="N3483" s="784" t="s">
        <v>575</v>
      </c>
      <c r="O3483" t="s">
        <v>737</v>
      </c>
      <c r="P3483" t="s">
        <v>1887</v>
      </c>
      <c r="R3483" t="s">
        <v>152</v>
      </c>
      <c r="S3483" t="s">
        <v>146</v>
      </c>
      <c r="U3483">
        <v>0</v>
      </c>
      <c r="V3483" t="s">
        <v>544</v>
      </c>
      <c r="W3483" t="s">
        <v>575</v>
      </c>
      <c r="X3483" s="784">
        <v>1612434649.6948864</v>
      </c>
    </row>
    <row r="3484" spans="1:24">
      <c r="A3484" t="s">
        <v>358</v>
      </c>
      <c r="B3484" t="s">
        <v>606</v>
      </c>
      <c r="C3484" t="s">
        <v>211</v>
      </c>
      <c r="D3484" t="s">
        <v>129</v>
      </c>
      <c r="E3484" t="s">
        <v>377</v>
      </c>
      <c r="F3484" t="s">
        <v>384</v>
      </c>
      <c r="G3484" t="s">
        <v>337</v>
      </c>
      <c r="H3484" t="s">
        <v>749</v>
      </c>
      <c r="I3484" t="s">
        <v>743</v>
      </c>
      <c r="J3484" t="s">
        <v>379</v>
      </c>
      <c r="K3484" t="s">
        <v>748</v>
      </c>
      <c r="L3484" s="784">
        <v>926346</v>
      </c>
      <c r="M3484" t="s">
        <v>745</v>
      </c>
      <c r="N3484" s="784" t="s">
        <v>575</v>
      </c>
      <c r="O3484" t="s">
        <v>737</v>
      </c>
      <c r="P3484" t="s">
        <v>1887</v>
      </c>
      <c r="R3484" t="s">
        <v>148</v>
      </c>
      <c r="S3484" t="s">
        <v>145</v>
      </c>
      <c r="U3484">
        <v>0</v>
      </c>
      <c r="V3484" t="s">
        <v>544</v>
      </c>
      <c r="W3484" t="s">
        <v>562</v>
      </c>
      <c r="X3484" s="784">
        <v>78203134.118229344</v>
      </c>
    </row>
    <row r="3485" spans="1:24">
      <c r="A3485" t="s">
        <v>358</v>
      </c>
      <c r="B3485" t="s">
        <v>607</v>
      </c>
      <c r="C3485" t="s">
        <v>212</v>
      </c>
      <c r="D3485" t="s">
        <v>129</v>
      </c>
      <c r="E3485" t="s">
        <v>377</v>
      </c>
      <c r="F3485" t="s">
        <v>384</v>
      </c>
      <c r="G3485" t="s">
        <v>337</v>
      </c>
      <c r="H3485" t="s">
        <v>749</v>
      </c>
      <c r="I3485" t="s">
        <v>743</v>
      </c>
      <c r="J3485" t="s">
        <v>379</v>
      </c>
      <c r="K3485" t="s">
        <v>748</v>
      </c>
      <c r="L3485" s="784">
        <v>0</v>
      </c>
      <c r="M3485" t="s">
        <v>745</v>
      </c>
      <c r="N3485" s="784" t="s">
        <v>575</v>
      </c>
      <c r="O3485" t="s">
        <v>737</v>
      </c>
      <c r="P3485" t="s">
        <v>1887</v>
      </c>
      <c r="R3485" t="s">
        <v>148</v>
      </c>
      <c r="S3485" t="s">
        <v>145</v>
      </c>
      <c r="U3485">
        <v>2</v>
      </c>
      <c r="V3485" t="s">
        <v>541</v>
      </c>
      <c r="W3485" t="s">
        <v>542</v>
      </c>
      <c r="X3485" s="784">
        <v>9151637.7411015611</v>
      </c>
    </row>
    <row r="3486" spans="1:24">
      <c r="A3486" t="s">
        <v>358</v>
      </c>
      <c r="B3486" t="s">
        <v>608</v>
      </c>
      <c r="C3486" t="s">
        <v>213</v>
      </c>
      <c r="D3486" t="s">
        <v>130</v>
      </c>
      <c r="E3486" t="s">
        <v>377</v>
      </c>
      <c r="F3486" t="s">
        <v>384</v>
      </c>
      <c r="G3486" t="s">
        <v>337</v>
      </c>
      <c r="H3486" t="s">
        <v>749</v>
      </c>
      <c r="I3486" t="s">
        <v>743</v>
      </c>
      <c r="J3486" t="s">
        <v>379</v>
      </c>
      <c r="K3486" t="s">
        <v>748</v>
      </c>
      <c r="L3486" s="784">
        <v>0</v>
      </c>
      <c r="M3486" t="s">
        <v>745</v>
      </c>
      <c r="N3486" s="784" t="s">
        <v>575</v>
      </c>
      <c r="O3486" t="s">
        <v>737</v>
      </c>
      <c r="P3486" t="s">
        <v>1887</v>
      </c>
      <c r="R3486" t="s">
        <v>152</v>
      </c>
      <c r="S3486" t="s">
        <v>145</v>
      </c>
      <c r="U3486">
        <v>0</v>
      </c>
      <c r="V3486" t="s">
        <v>541</v>
      </c>
      <c r="W3486" t="s">
        <v>562</v>
      </c>
      <c r="X3486" s="784">
        <v>142455920.02856269</v>
      </c>
    </row>
    <row r="3487" spans="1:24">
      <c r="A3487" t="s">
        <v>358</v>
      </c>
      <c r="B3487" t="s">
        <v>609</v>
      </c>
      <c r="C3487" t="s">
        <v>214</v>
      </c>
      <c r="D3487" t="s">
        <v>130</v>
      </c>
      <c r="E3487" t="s">
        <v>377</v>
      </c>
      <c r="F3487" t="s">
        <v>384</v>
      </c>
      <c r="G3487" t="s">
        <v>337</v>
      </c>
      <c r="H3487" t="s">
        <v>749</v>
      </c>
      <c r="I3487" t="s">
        <v>743</v>
      </c>
      <c r="J3487" t="s">
        <v>379</v>
      </c>
      <c r="K3487" t="s">
        <v>748</v>
      </c>
      <c r="L3487" s="784">
        <v>1851852</v>
      </c>
      <c r="M3487" t="s">
        <v>745</v>
      </c>
      <c r="N3487" s="784" t="s">
        <v>575</v>
      </c>
      <c r="O3487" t="s">
        <v>737</v>
      </c>
      <c r="P3487" t="s">
        <v>1887</v>
      </c>
      <c r="R3487" t="s">
        <v>150</v>
      </c>
      <c r="S3487" t="s">
        <v>145</v>
      </c>
      <c r="U3487">
        <v>1</v>
      </c>
      <c r="V3487" t="s">
        <v>541</v>
      </c>
      <c r="W3487" t="s">
        <v>542</v>
      </c>
      <c r="X3487" s="784">
        <v>85611818.171245083</v>
      </c>
    </row>
    <row r="3488" spans="1:24">
      <c r="A3488" t="s">
        <v>358</v>
      </c>
      <c r="B3488" t="s">
        <v>610</v>
      </c>
      <c r="C3488" t="s">
        <v>215</v>
      </c>
      <c r="D3488" t="s">
        <v>130</v>
      </c>
      <c r="E3488" t="s">
        <v>377</v>
      </c>
      <c r="F3488" t="s">
        <v>384</v>
      </c>
      <c r="G3488" t="s">
        <v>337</v>
      </c>
      <c r="H3488" t="s">
        <v>749</v>
      </c>
      <c r="I3488" t="s">
        <v>743</v>
      </c>
      <c r="J3488" t="s">
        <v>379</v>
      </c>
      <c r="K3488" t="s">
        <v>748</v>
      </c>
      <c r="L3488" s="784">
        <v>0</v>
      </c>
      <c r="M3488" t="s">
        <v>745</v>
      </c>
      <c r="N3488" s="784" t="s">
        <v>575</v>
      </c>
      <c r="O3488" t="s">
        <v>737</v>
      </c>
      <c r="P3488" t="s">
        <v>1887</v>
      </c>
      <c r="R3488" t="s">
        <v>150</v>
      </c>
      <c r="S3488" t="s">
        <v>145</v>
      </c>
      <c r="U3488">
        <v>0</v>
      </c>
      <c r="V3488" t="s">
        <v>544</v>
      </c>
      <c r="W3488" t="s">
        <v>558</v>
      </c>
      <c r="X3488" s="784">
        <v>680289736.30082119</v>
      </c>
    </row>
    <row r="3489" spans="1:24">
      <c r="A3489" t="s">
        <v>358</v>
      </c>
      <c r="B3489" t="s">
        <v>611</v>
      </c>
      <c r="C3489" t="s">
        <v>216</v>
      </c>
      <c r="D3489" t="s">
        <v>132</v>
      </c>
      <c r="E3489" t="s">
        <v>377</v>
      </c>
      <c r="F3489" t="s">
        <v>384</v>
      </c>
      <c r="G3489" t="s">
        <v>337</v>
      </c>
      <c r="H3489" t="s">
        <v>749</v>
      </c>
      <c r="I3489" t="s">
        <v>743</v>
      </c>
      <c r="J3489" t="s">
        <v>379</v>
      </c>
      <c r="K3489" t="s">
        <v>748</v>
      </c>
      <c r="L3489" s="784">
        <v>0</v>
      </c>
      <c r="M3489" t="s">
        <v>745</v>
      </c>
      <c r="N3489" s="784" t="s">
        <v>575</v>
      </c>
      <c r="O3489" t="s">
        <v>737</v>
      </c>
      <c r="P3489" t="s">
        <v>1887</v>
      </c>
      <c r="R3489" t="s">
        <v>150</v>
      </c>
      <c r="S3489" t="s">
        <v>145</v>
      </c>
      <c r="U3489">
        <v>0</v>
      </c>
      <c r="V3489" t="s">
        <v>544</v>
      </c>
      <c r="W3489" t="s">
        <v>546</v>
      </c>
      <c r="X3489" s="784">
        <v>26554332750.47023</v>
      </c>
    </row>
    <row r="3490" spans="1:24">
      <c r="A3490" t="s">
        <v>358</v>
      </c>
      <c r="B3490" t="s">
        <v>612</v>
      </c>
      <c r="C3490" t="s">
        <v>217</v>
      </c>
      <c r="D3490" t="s">
        <v>126</v>
      </c>
      <c r="E3490" t="s">
        <v>377</v>
      </c>
      <c r="F3490" t="s">
        <v>384</v>
      </c>
      <c r="G3490" t="s">
        <v>337</v>
      </c>
      <c r="H3490" t="s">
        <v>749</v>
      </c>
      <c r="I3490" t="s">
        <v>743</v>
      </c>
      <c r="J3490" t="s">
        <v>379</v>
      </c>
      <c r="K3490" t="s">
        <v>748</v>
      </c>
      <c r="L3490" s="784">
        <v>3751813</v>
      </c>
      <c r="M3490" t="s">
        <v>745</v>
      </c>
      <c r="N3490" s="784" t="s">
        <v>575</v>
      </c>
      <c r="O3490" t="s">
        <v>737</v>
      </c>
      <c r="P3490" t="s">
        <v>1887</v>
      </c>
      <c r="R3490" t="s">
        <v>150</v>
      </c>
      <c r="S3490" t="s">
        <v>145</v>
      </c>
      <c r="U3490">
        <v>0</v>
      </c>
      <c r="V3490" t="s">
        <v>544</v>
      </c>
      <c r="W3490" t="s">
        <v>546</v>
      </c>
      <c r="X3490" s="784">
        <v>14745961064.890842</v>
      </c>
    </row>
    <row r="3491" spans="1:24">
      <c r="A3491" t="s">
        <v>358</v>
      </c>
      <c r="B3491" t="s">
        <v>613</v>
      </c>
      <c r="C3491" t="s">
        <v>149</v>
      </c>
      <c r="D3491" t="s">
        <v>131</v>
      </c>
      <c r="E3491" t="s">
        <v>377</v>
      </c>
      <c r="F3491" t="s">
        <v>384</v>
      </c>
      <c r="G3491" t="s">
        <v>337</v>
      </c>
      <c r="H3491" t="s">
        <v>749</v>
      </c>
      <c r="I3491" t="s">
        <v>743</v>
      </c>
      <c r="J3491" t="s">
        <v>379</v>
      </c>
      <c r="K3491" t="s">
        <v>748</v>
      </c>
      <c r="L3491" s="784">
        <v>0</v>
      </c>
      <c r="M3491" t="s">
        <v>745</v>
      </c>
      <c r="N3491" s="784" t="s">
        <v>575</v>
      </c>
      <c r="O3491" t="s">
        <v>737</v>
      </c>
      <c r="P3491" t="s">
        <v>1887</v>
      </c>
      <c r="R3491" t="s">
        <v>150</v>
      </c>
      <c r="S3491" t="s">
        <v>146</v>
      </c>
      <c r="U3491">
        <v>0</v>
      </c>
      <c r="V3491" t="s">
        <v>544</v>
      </c>
      <c r="W3491" t="s">
        <v>546</v>
      </c>
      <c r="X3491" s="784">
        <v>18194076299.786381</v>
      </c>
    </row>
    <row r="3492" spans="1:24">
      <c r="A3492" t="s">
        <v>358</v>
      </c>
      <c r="B3492" t="s">
        <v>614</v>
      </c>
      <c r="C3492" t="s">
        <v>218</v>
      </c>
      <c r="D3492" t="s">
        <v>131</v>
      </c>
      <c r="E3492" t="s">
        <v>377</v>
      </c>
      <c r="F3492" t="s">
        <v>384</v>
      </c>
      <c r="G3492" t="s">
        <v>337</v>
      </c>
      <c r="H3492" t="s">
        <v>749</v>
      </c>
      <c r="I3492" t="s">
        <v>743</v>
      </c>
      <c r="J3492" t="s">
        <v>379</v>
      </c>
      <c r="K3492" t="s">
        <v>748</v>
      </c>
      <c r="L3492" s="784">
        <v>0</v>
      </c>
      <c r="M3492" t="s">
        <v>745</v>
      </c>
      <c r="N3492" s="784" t="s">
        <v>575</v>
      </c>
      <c r="O3492" t="s">
        <v>737</v>
      </c>
      <c r="P3492" t="s">
        <v>1887</v>
      </c>
      <c r="R3492" t="s">
        <v>152</v>
      </c>
      <c r="S3492" t="s">
        <v>146</v>
      </c>
      <c r="U3492">
        <v>0</v>
      </c>
      <c r="V3492" t="s">
        <v>544</v>
      </c>
      <c r="W3492" t="s">
        <v>546</v>
      </c>
      <c r="X3492" s="784">
        <v>4428819387.769825</v>
      </c>
    </row>
    <row r="3493" spans="1:24">
      <c r="A3493" t="s">
        <v>358</v>
      </c>
      <c r="B3493" t="s">
        <v>615</v>
      </c>
      <c r="C3493" t="s">
        <v>219</v>
      </c>
      <c r="D3493" t="s">
        <v>130</v>
      </c>
      <c r="E3493" t="s">
        <v>377</v>
      </c>
      <c r="F3493" t="s">
        <v>384</v>
      </c>
      <c r="G3493" t="s">
        <v>337</v>
      </c>
      <c r="H3493" t="s">
        <v>749</v>
      </c>
      <c r="I3493" t="s">
        <v>743</v>
      </c>
      <c r="J3493" t="s">
        <v>379</v>
      </c>
      <c r="K3493" t="s">
        <v>748</v>
      </c>
      <c r="L3493" s="784">
        <v>1129630</v>
      </c>
      <c r="M3493" t="s">
        <v>745</v>
      </c>
      <c r="N3493" s="784" t="s">
        <v>575</v>
      </c>
      <c r="O3493" t="s">
        <v>737</v>
      </c>
      <c r="P3493" t="s">
        <v>1887</v>
      </c>
      <c r="R3493" t="s">
        <v>152</v>
      </c>
      <c r="S3493" t="s">
        <v>146</v>
      </c>
      <c r="U3493">
        <v>0</v>
      </c>
      <c r="V3493" t="s">
        <v>541</v>
      </c>
      <c r="W3493" t="s">
        <v>575</v>
      </c>
      <c r="X3493" s="784">
        <v>611739560.62679195</v>
      </c>
    </row>
    <row r="3494" spans="1:24">
      <c r="A3494" t="s">
        <v>358</v>
      </c>
      <c r="B3494" t="s">
        <v>616</v>
      </c>
      <c r="C3494" t="s">
        <v>220</v>
      </c>
      <c r="D3494" t="s">
        <v>131</v>
      </c>
      <c r="E3494" t="s">
        <v>377</v>
      </c>
      <c r="F3494" t="s">
        <v>384</v>
      </c>
      <c r="G3494" t="s">
        <v>337</v>
      </c>
      <c r="H3494" t="s">
        <v>749</v>
      </c>
      <c r="I3494" t="s">
        <v>743</v>
      </c>
      <c r="J3494" t="s">
        <v>379</v>
      </c>
      <c r="K3494" t="s">
        <v>748</v>
      </c>
      <c r="L3494" s="784">
        <v>0</v>
      </c>
      <c r="M3494" t="s">
        <v>745</v>
      </c>
      <c r="N3494" s="784" t="s">
        <v>575</v>
      </c>
      <c r="O3494" t="s">
        <v>737</v>
      </c>
      <c r="P3494" t="s">
        <v>1887</v>
      </c>
      <c r="R3494" t="s">
        <v>152</v>
      </c>
      <c r="S3494" t="s">
        <v>146</v>
      </c>
      <c r="U3494">
        <v>0</v>
      </c>
      <c r="V3494" t="s">
        <v>544</v>
      </c>
      <c r="W3494" t="s">
        <v>546</v>
      </c>
      <c r="X3494" s="784">
        <v>1617913383.0481031</v>
      </c>
    </row>
    <row r="3495" spans="1:24">
      <c r="A3495" t="s">
        <v>358</v>
      </c>
      <c r="B3495" t="s">
        <v>617</v>
      </c>
      <c r="C3495" t="s">
        <v>221</v>
      </c>
      <c r="D3495" t="s">
        <v>127</v>
      </c>
      <c r="E3495" t="s">
        <v>377</v>
      </c>
      <c r="F3495" t="s">
        <v>384</v>
      </c>
      <c r="G3495" t="s">
        <v>337</v>
      </c>
      <c r="H3495" t="s">
        <v>749</v>
      </c>
      <c r="I3495" t="s">
        <v>743</v>
      </c>
      <c r="J3495" t="s">
        <v>379</v>
      </c>
      <c r="K3495" t="s">
        <v>748</v>
      </c>
      <c r="L3495" s="784">
        <v>0</v>
      </c>
      <c r="M3495" t="s">
        <v>745</v>
      </c>
      <c r="N3495" s="784" t="s">
        <v>575</v>
      </c>
      <c r="O3495" t="s">
        <v>737</v>
      </c>
      <c r="P3495" t="s">
        <v>1887</v>
      </c>
      <c r="R3495" t="s">
        <v>152</v>
      </c>
      <c r="S3495" t="s">
        <v>146</v>
      </c>
      <c r="U3495">
        <v>0</v>
      </c>
      <c r="V3495" t="s">
        <v>544</v>
      </c>
      <c r="W3495" t="s">
        <v>575</v>
      </c>
      <c r="X3495" s="784">
        <v>3074419112.4562683</v>
      </c>
    </row>
    <row r="3496" spans="1:24">
      <c r="A3496" t="s">
        <v>358</v>
      </c>
      <c r="B3496" t="s">
        <v>618</v>
      </c>
      <c r="C3496" t="s">
        <v>222</v>
      </c>
      <c r="D3496" t="s">
        <v>128</v>
      </c>
      <c r="E3496" t="s">
        <v>377</v>
      </c>
      <c r="F3496" t="s">
        <v>384</v>
      </c>
      <c r="G3496" t="s">
        <v>337</v>
      </c>
      <c r="H3496" t="s">
        <v>749</v>
      </c>
      <c r="I3496" t="s">
        <v>743</v>
      </c>
      <c r="J3496" t="s">
        <v>379</v>
      </c>
      <c r="K3496" t="s">
        <v>748</v>
      </c>
      <c r="L3496" s="784">
        <v>1337969</v>
      </c>
      <c r="M3496" t="s">
        <v>745</v>
      </c>
      <c r="N3496" s="784" t="s">
        <v>575</v>
      </c>
      <c r="O3496" t="s">
        <v>737</v>
      </c>
      <c r="P3496" t="s">
        <v>1887</v>
      </c>
      <c r="R3496" t="s">
        <v>150</v>
      </c>
      <c r="S3496" t="s">
        <v>145</v>
      </c>
      <c r="U3496">
        <v>0</v>
      </c>
      <c r="V3496" t="s">
        <v>544</v>
      </c>
      <c r="W3496" t="s">
        <v>542</v>
      </c>
      <c r="X3496" s="784">
        <v>1914014279.8929913</v>
      </c>
    </row>
    <row r="3497" spans="1:24">
      <c r="A3497" t="s">
        <v>358</v>
      </c>
      <c r="B3497" t="s">
        <v>619</v>
      </c>
      <c r="C3497" t="s">
        <v>223</v>
      </c>
      <c r="D3497" t="s">
        <v>126</v>
      </c>
      <c r="E3497" t="s">
        <v>377</v>
      </c>
      <c r="F3497" t="s">
        <v>384</v>
      </c>
      <c r="G3497" t="s">
        <v>337</v>
      </c>
      <c r="H3497" t="s">
        <v>749</v>
      </c>
      <c r="I3497" t="s">
        <v>743</v>
      </c>
      <c r="J3497" t="s">
        <v>379</v>
      </c>
      <c r="K3497" t="s">
        <v>748</v>
      </c>
      <c r="L3497" s="784">
        <v>0</v>
      </c>
      <c r="M3497" t="s">
        <v>745</v>
      </c>
      <c r="N3497" s="784" t="s">
        <v>575</v>
      </c>
      <c r="O3497" t="s">
        <v>737</v>
      </c>
      <c r="P3497" t="s">
        <v>1887</v>
      </c>
      <c r="R3497" t="s">
        <v>150</v>
      </c>
      <c r="S3497" t="s">
        <v>145</v>
      </c>
      <c r="U3497">
        <v>0</v>
      </c>
      <c r="V3497" t="s">
        <v>541</v>
      </c>
      <c r="W3497" t="s">
        <v>542</v>
      </c>
      <c r="X3497" s="784">
        <v>17422005.762907442</v>
      </c>
    </row>
    <row r="3498" spans="1:24">
      <c r="A3498" t="s">
        <v>358</v>
      </c>
      <c r="B3498" t="s">
        <v>620</v>
      </c>
      <c r="C3498" t="s">
        <v>224</v>
      </c>
      <c r="D3498" t="s">
        <v>126</v>
      </c>
      <c r="E3498" t="s">
        <v>377</v>
      </c>
      <c r="F3498" t="s">
        <v>384</v>
      </c>
      <c r="G3498" t="s">
        <v>337</v>
      </c>
      <c r="H3498" t="s">
        <v>749</v>
      </c>
      <c r="I3498" t="s">
        <v>743</v>
      </c>
      <c r="J3498" t="s">
        <v>379</v>
      </c>
      <c r="K3498" t="s">
        <v>748</v>
      </c>
      <c r="L3498" s="784">
        <v>0</v>
      </c>
      <c r="M3498" t="s">
        <v>745</v>
      </c>
      <c r="N3498" s="784" t="s">
        <v>575</v>
      </c>
      <c r="O3498" t="s">
        <v>737</v>
      </c>
      <c r="P3498" t="s">
        <v>1887</v>
      </c>
      <c r="R3498" t="s">
        <v>148</v>
      </c>
      <c r="S3498" t="s">
        <v>145</v>
      </c>
      <c r="U3498">
        <v>0</v>
      </c>
      <c r="V3498" t="s">
        <v>544</v>
      </c>
      <c r="W3498" t="s">
        <v>546</v>
      </c>
      <c r="X3498" s="784" t="s">
        <v>575</v>
      </c>
    </row>
    <row r="3499" spans="1:24">
      <c r="A3499" t="s">
        <v>358</v>
      </c>
      <c r="B3499" t="s">
        <v>621</v>
      </c>
      <c r="C3499" t="s">
        <v>225</v>
      </c>
      <c r="D3499" t="s">
        <v>127</v>
      </c>
      <c r="E3499" t="s">
        <v>377</v>
      </c>
      <c r="F3499" t="s">
        <v>384</v>
      </c>
      <c r="G3499" t="s">
        <v>337</v>
      </c>
      <c r="H3499" t="s">
        <v>749</v>
      </c>
      <c r="I3499" t="s">
        <v>743</v>
      </c>
      <c r="J3499" t="s">
        <v>379</v>
      </c>
      <c r="K3499" t="s">
        <v>748</v>
      </c>
      <c r="L3499" s="784">
        <v>0</v>
      </c>
      <c r="M3499" t="s">
        <v>745</v>
      </c>
      <c r="N3499" s="784" t="s">
        <v>575</v>
      </c>
      <c r="O3499" t="s">
        <v>737</v>
      </c>
      <c r="P3499" t="s">
        <v>1887</v>
      </c>
      <c r="R3499" t="s">
        <v>152</v>
      </c>
      <c r="S3499" t="s">
        <v>145</v>
      </c>
      <c r="U3499">
        <v>0</v>
      </c>
      <c r="V3499" t="s">
        <v>544</v>
      </c>
      <c r="W3499" t="s">
        <v>548</v>
      </c>
      <c r="X3499" s="784" t="s">
        <v>575</v>
      </c>
    </row>
    <row r="3500" spans="1:24">
      <c r="A3500" t="s">
        <v>358</v>
      </c>
      <c r="B3500" t="s">
        <v>622</v>
      </c>
      <c r="C3500" t="s">
        <v>226</v>
      </c>
      <c r="D3500" t="s">
        <v>127</v>
      </c>
      <c r="E3500" t="s">
        <v>377</v>
      </c>
      <c r="F3500" t="s">
        <v>384</v>
      </c>
      <c r="G3500" t="s">
        <v>337</v>
      </c>
      <c r="H3500" t="s">
        <v>749</v>
      </c>
      <c r="I3500" t="s">
        <v>743</v>
      </c>
      <c r="J3500" t="s">
        <v>379</v>
      </c>
      <c r="K3500" t="s">
        <v>748</v>
      </c>
      <c r="L3500" s="784">
        <v>0</v>
      </c>
      <c r="M3500" t="s">
        <v>745</v>
      </c>
      <c r="N3500" s="784" t="s">
        <v>575</v>
      </c>
      <c r="O3500" t="s">
        <v>737</v>
      </c>
      <c r="P3500" t="s">
        <v>1887</v>
      </c>
      <c r="R3500" t="s">
        <v>150</v>
      </c>
      <c r="S3500" t="s">
        <v>145</v>
      </c>
      <c r="U3500">
        <v>2</v>
      </c>
      <c r="V3500" t="s">
        <v>544</v>
      </c>
      <c r="W3500" t="s">
        <v>562</v>
      </c>
      <c r="X3500" s="784">
        <v>231506834.84347546</v>
      </c>
    </row>
    <row r="3501" spans="1:24">
      <c r="A3501" t="s">
        <v>358</v>
      </c>
      <c r="B3501" t="s">
        <v>623</v>
      </c>
      <c r="C3501" t="s">
        <v>227</v>
      </c>
      <c r="D3501" t="s">
        <v>126</v>
      </c>
      <c r="E3501" t="s">
        <v>377</v>
      </c>
      <c r="F3501" t="s">
        <v>384</v>
      </c>
      <c r="G3501" t="s">
        <v>337</v>
      </c>
      <c r="H3501" t="s">
        <v>749</v>
      </c>
      <c r="I3501" t="s">
        <v>743</v>
      </c>
      <c r="J3501" t="s">
        <v>379</v>
      </c>
      <c r="K3501" t="s">
        <v>748</v>
      </c>
      <c r="L3501" s="784">
        <v>1077479</v>
      </c>
      <c r="M3501" t="s">
        <v>745</v>
      </c>
      <c r="N3501" s="784" t="s">
        <v>575</v>
      </c>
      <c r="O3501" t="s">
        <v>737</v>
      </c>
      <c r="P3501" t="s">
        <v>1887</v>
      </c>
      <c r="R3501" t="s">
        <v>150</v>
      </c>
      <c r="S3501" t="s">
        <v>145</v>
      </c>
      <c r="U3501">
        <v>0</v>
      </c>
      <c r="V3501" t="s">
        <v>544</v>
      </c>
      <c r="W3501" t="s">
        <v>542</v>
      </c>
      <c r="X3501" s="784">
        <v>156059428.62944782</v>
      </c>
    </row>
    <row r="3502" spans="1:24">
      <c r="A3502" t="s">
        <v>358</v>
      </c>
      <c r="B3502" t="s">
        <v>624</v>
      </c>
      <c r="C3502" t="s">
        <v>228</v>
      </c>
      <c r="D3502" t="s">
        <v>131</v>
      </c>
      <c r="E3502" t="s">
        <v>377</v>
      </c>
      <c r="F3502" t="s">
        <v>384</v>
      </c>
      <c r="G3502" t="s">
        <v>337</v>
      </c>
      <c r="H3502" t="s">
        <v>749</v>
      </c>
      <c r="I3502" t="s">
        <v>743</v>
      </c>
      <c r="J3502" t="s">
        <v>379</v>
      </c>
      <c r="K3502" t="s">
        <v>748</v>
      </c>
      <c r="L3502" s="784">
        <v>0</v>
      </c>
      <c r="M3502" t="s">
        <v>745</v>
      </c>
      <c r="N3502" s="784" t="s">
        <v>575</v>
      </c>
      <c r="O3502" t="s">
        <v>737</v>
      </c>
      <c r="P3502" t="s">
        <v>1887</v>
      </c>
      <c r="R3502" t="s">
        <v>152</v>
      </c>
      <c r="S3502" t="s">
        <v>146</v>
      </c>
      <c r="U3502">
        <v>0</v>
      </c>
      <c r="V3502" t="s">
        <v>544</v>
      </c>
      <c r="W3502" t="s">
        <v>546</v>
      </c>
      <c r="X3502" s="784">
        <v>2355391507.1635861</v>
      </c>
    </row>
    <row r="3503" spans="1:24">
      <c r="A3503" t="s">
        <v>358</v>
      </c>
      <c r="B3503" t="s">
        <v>625</v>
      </c>
      <c r="C3503" t="s">
        <v>229</v>
      </c>
      <c r="D3503" t="s">
        <v>128</v>
      </c>
      <c r="E3503" t="s">
        <v>377</v>
      </c>
      <c r="F3503" t="s">
        <v>384</v>
      </c>
      <c r="G3503" t="s">
        <v>337</v>
      </c>
      <c r="H3503" t="s">
        <v>749</v>
      </c>
      <c r="I3503" t="s">
        <v>743</v>
      </c>
      <c r="J3503" t="s">
        <v>379</v>
      </c>
      <c r="K3503" t="s">
        <v>748</v>
      </c>
      <c r="L3503" s="784">
        <v>0</v>
      </c>
      <c r="M3503" t="s">
        <v>745</v>
      </c>
      <c r="N3503" s="784" t="s">
        <v>575</v>
      </c>
      <c r="O3503" t="s">
        <v>737</v>
      </c>
      <c r="P3503" t="s">
        <v>1887</v>
      </c>
      <c r="R3503" t="s">
        <v>150</v>
      </c>
      <c r="S3503" t="s">
        <v>145</v>
      </c>
      <c r="U3503">
        <v>0</v>
      </c>
      <c r="V3503" t="s">
        <v>544</v>
      </c>
      <c r="W3503" t="s">
        <v>562</v>
      </c>
      <c r="X3503" s="784">
        <v>152760919.7684873</v>
      </c>
    </row>
    <row r="3504" spans="1:24">
      <c r="A3504" t="s">
        <v>358</v>
      </c>
      <c r="B3504" t="s">
        <v>626</v>
      </c>
      <c r="C3504" t="s">
        <v>230</v>
      </c>
      <c r="D3504" t="s">
        <v>129</v>
      </c>
      <c r="E3504" t="s">
        <v>377</v>
      </c>
      <c r="F3504" t="s">
        <v>384</v>
      </c>
      <c r="G3504" t="s">
        <v>337</v>
      </c>
      <c r="H3504" t="s">
        <v>749</v>
      </c>
      <c r="I3504" t="s">
        <v>743</v>
      </c>
      <c r="J3504" t="s">
        <v>379</v>
      </c>
      <c r="K3504" t="s">
        <v>748</v>
      </c>
      <c r="L3504" s="784">
        <v>897224</v>
      </c>
      <c r="M3504" t="s">
        <v>745</v>
      </c>
      <c r="N3504" s="784" t="s">
        <v>575</v>
      </c>
      <c r="O3504" t="s">
        <v>737</v>
      </c>
      <c r="P3504" t="s">
        <v>1887</v>
      </c>
      <c r="R3504" t="s">
        <v>148</v>
      </c>
      <c r="S3504" t="s">
        <v>145</v>
      </c>
      <c r="U3504">
        <v>0</v>
      </c>
      <c r="V3504" t="s">
        <v>544</v>
      </c>
      <c r="W3504" t="s">
        <v>542</v>
      </c>
      <c r="X3504" s="784">
        <v>55072006.864440605</v>
      </c>
    </row>
    <row r="3505" spans="1:24">
      <c r="A3505" t="s">
        <v>358</v>
      </c>
      <c r="B3505" t="s">
        <v>627</v>
      </c>
      <c r="C3505" t="s">
        <v>231</v>
      </c>
      <c r="D3505" t="s">
        <v>131</v>
      </c>
      <c r="E3505" t="s">
        <v>377</v>
      </c>
      <c r="F3505" t="s">
        <v>384</v>
      </c>
      <c r="G3505" t="s">
        <v>337</v>
      </c>
      <c r="H3505" t="s">
        <v>749</v>
      </c>
      <c r="I3505" t="s">
        <v>743</v>
      </c>
      <c r="J3505" t="s">
        <v>379</v>
      </c>
      <c r="K3505" t="s">
        <v>748</v>
      </c>
      <c r="L3505" s="784">
        <v>833333</v>
      </c>
      <c r="M3505" t="s">
        <v>745</v>
      </c>
      <c r="N3505" s="784" t="s">
        <v>575</v>
      </c>
      <c r="O3505" t="s">
        <v>737</v>
      </c>
      <c r="P3505" t="s">
        <v>1887</v>
      </c>
      <c r="R3505" t="s">
        <v>152</v>
      </c>
      <c r="S3505" t="s">
        <v>146</v>
      </c>
      <c r="U3505">
        <v>0</v>
      </c>
      <c r="V3505" t="s">
        <v>544</v>
      </c>
      <c r="W3505" t="s">
        <v>546</v>
      </c>
      <c r="X3505" s="784" t="s">
        <v>575</v>
      </c>
    </row>
    <row r="3506" spans="1:24">
      <c r="A3506" t="s">
        <v>358</v>
      </c>
      <c r="B3506" t="s">
        <v>628</v>
      </c>
      <c r="C3506" t="s">
        <v>232</v>
      </c>
      <c r="D3506" t="s">
        <v>128</v>
      </c>
      <c r="E3506" t="s">
        <v>377</v>
      </c>
      <c r="F3506" t="s">
        <v>384</v>
      </c>
      <c r="G3506" t="s">
        <v>337</v>
      </c>
      <c r="H3506" t="s">
        <v>749</v>
      </c>
      <c r="I3506" t="s">
        <v>743</v>
      </c>
      <c r="J3506" t="s">
        <v>379</v>
      </c>
      <c r="K3506" t="s">
        <v>748</v>
      </c>
      <c r="L3506" s="784">
        <v>0</v>
      </c>
      <c r="M3506" t="s">
        <v>745</v>
      </c>
      <c r="N3506" s="784" t="s">
        <v>575</v>
      </c>
      <c r="O3506" t="s">
        <v>737</v>
      </c>
      <c r="P3506" t="s">
        <v>1887</v>
      </c>
      <c r="R3506" t="s">
        <v>148</v>
      </c>
      <c r="S3506" t="s">
        <v>145</v>
      </c>
      <c r="U3506">
        <v>2</v>
      </c>
      <c r="V3506" t="s">
        <v>544</v>
      </c>
      <c r="W3506" t="s">
        <v>562</v>
      </c>
      <c r="X3506" s="784">
        <v>206914157.05429548</v>
      </c>
    </row>
    <row r="3507" spans="1:24">
      <c r="A3507" t="s">
        <v>358</v>
      </c>
      <c r="B3507" t="s">
        <v>629</v>
      </c>
      <c r="C3507" t="s">
        <v>233</v>
      </c>
      <c r="D3507" t="s">
        <v>128</v>
      </c>
      <c r="E3507" t="s">
        <v>377</v>
      </c>
      <c r="F3507" t="s">
        <v>384</v>
      </c>
      <c r="G3507" t="s">
        <v>337</v>
      </c>
      <c r="H3507" t="s">
        <v>749</v>
      </c>
      <c r="I3507" t="s">
        <v>743</v>
      </c>
      <c r="J3507" t="s">
        <v>379</v>
      </c>
      <c r="K3507" t="s">
        <v>748</v>
      </c>
      <c r="L3507" s="784">
        <v>621248</v>
      </c>
      <c r="M3507" t="s">
        <v>745</v>
      </c>
      <c r="N3507" s="784" t="s">
        <v>575</v>
      </c>
      <c r="O3507" t="s">
        <v>737</v>
      </c>
      <c r="P3507" t="s">
        <v>1887</v>
      </c>
      <c r="R3507" t="s">
        <v>148</v>
      </c>
      <c r="S3507" t="s">
        <v>145</v>
      </c>
      <c r="U3507">
        <v>2</v>
      </c>
      <c r="V3507" t="s">
        <v>544</v>
      </c>
      <c r="W3507" t="s">
        <v>542</v>
      </c>
      <c r="X3507" s="784">
        <v>185999915.02066413</v>
      </c>
    </row>
    <row r="3508" spans="1:24">
      <c r="A3508" t="s">
        <v>358</v>
      </c>
      <c r="B3508" t="s">
        <v>630</v>
      </c>
      <c r="C3508" t="s">
        <v>234</v>
      </c>
      <c r="D3508" t="s">
        <v>126</v>
      </c>
      <c r="E3508" t="s">
        <v>377</v>
      </c>
      <c r="F3508" t="s">
        <v>384</v>
      </c>
      <c r="G3508" t="s">
        <v>337</v>
      </c>
      <c r="H3508" t="s">
        <v>749</v>
      </c>
      <c r="I3508" t="s">
        <v>743</v>
      </c>
      <c r="J3508" t="s">
        <v>379</v>
      </c>
      <c r="K3508" t="s">
        <v>748</v>
      </c>
      <c r="L3508" s="784">
        <v>1969467</v>
      </c>
      <c r="M3508" t="s">
        <v>745</v>
      </c>
      <c r="N3508" s="784" t="s">
        <v>575</v>
      </c>
      <c r="O3508" t="s">
        <v>737</v>
      </c>
      <c r="P3508" t="s">
        <v>1887</v>
      </c>
      <c r="R3508" t="s">
        <v>152</v>
      </c>
      <c r="S3508" t="s">
        <v>146</v>
      </c>
      <c r="U3508">
        <v>0</v>
      </c>
      <c r="V3508" t="s">
        <v>544</v>
      </c>
      <c r="W3508" t="s">
        <v>575</v>
      </c>
      <c r="X3508" s="784">
        <v>6893755763.2501726</v>
      </c>
    </row>
    <row r="3509" spans="1:24">
      <c r="A3509" t="s">
        <v>358</v>
      </c>
      <c r="B3509" t="s">
        <v>631</v>
      </c>
      <c r="C3509" t="s">
        <v>235</v>
      </c>
      <c r="D3509" t="s">
        <v>132</v>
      </c>
      <c r="E3509" t="s">
        <v>377</v>
      </c>
      <c r="F3509" t="s">
        <v>384</v>
      </c>
      <c r="G3509" t="s">
        <v>337</v>
      </c>
      <c r="H3509" t="s">
        <v>749</v>
      </c>
      <c r="I3509" t="s">
        <v>743</v>
      </c>
      <c r="J3509" t="s">
        <v>379</v>
      </c>
      <c r="K3509" t="s">
        <v>748</v>
      </c>
      <c r="L3509" s="784">
        <v>956222</v>
      </c>
      <c r="M3509" t="s">
        <v>745</v>
      </c>
      <c r="N3509" s="784" t="s">
        <v>575</v>
      </c>
      <c r="O3509" t="s">
        <v>737</v>
      </c>
      <c r="P3509" t="s">
        <v>1887</v>
      </c>
      <c r="R3509" t="s">
        <v>152</v>
      </c>
      <c r="S3509" t="s">
        <v>145</v>
      </c>
      <c r="U3509">
        <v>0</v>
      </c>
      <c r="V3509" t="s">
        <v>541</v>
      </c>
      <c r="W3509" t="s">
        <v>542</v>
      </c>
      <c r="X3509" s="784">
        <v>354560231.58276606</v>
      </c>
    </row>
    <row r="3510" spans="1:24">
      <c r="A3510" t="s">
        <v>358</v>
      </c>
      <c r="B3510" t="s">
        <v>632</v>
      </c>
      <c r="C3510" t="s">
        <v>236</v>
      </c>
      <c r="D3510" t="s">
        <v>129</v>
      </c>
      <c r="E3510" t="s">
        <v>377</v>
      </c>
      <c r="F3510" t="s">
        <v>384</v>
      </c>
      <c r="G3510" t="s">
        <v>337</v>
      </c>
      <c r="H3510" t="s">
        <v>749</v>
      </c>
      <c r="I3510" t="s">
        <v>743</v>
      </c>
      <c r="J3510" t="s">
        <v>379</v>
      </c>
      <c r="K3510" t="s">
        <v>748</v>
      </c>
      <c r="L3510" s="784">
        <v>925390</v>
      </c>
      <c r="M3510" t="s">
        <v>745</v>
      </c>
      <c r="N3510" s="784" t="s">
        <v>575</v>
      </c>
      <c r="O3510" t="s">
        <v>737</v>
      </c>
      <c r="P3510" t="s">
        <v>1887</v>
      </c>
      <c r="R3510" t="s">
        <v>148</v>
      </c>
      <c r="S3510" t="s">
        <v>145</v>
      </c>
      <c r="U3510">
        <v>1</v>
      </c>
      <c r="V3510" t="s">
        <v>544</v>
      </c>
      <c r="W3510" t="s">
        <v>562</v>
      </c>
      <c r="X3510" s="784">
        <v>188169167.56540567</v>
      </c>
    </row>
    <row r="3511" spans="1:24">
      <c r="A3511" t="s">
        <v>358</v>
      </c>
      <c r="B3511" t="s">
        <v>633</v>
      </c>
      <c r="C3511" t="s">
        <v>237</v>
      </c>
      <c r="D3511" t="s">
        <v>126</v>
      </c>
      <c r="E3511" t="s">
        <v>377</v>
      </c>
      <c r="F3511" t="s">
        <v>384</v>
      </c>
      <c r="G3511" t="s">
        <v>337</v>
      </c>
      <c r="H3511" t="s">
        <v>749</v>
      </c>
      <c r="I3511" t="s">
        <v>743</v>
      </c>
      <c r="J3511" t="s">
        <v>379</v>
      </c>
      <c r="K3511" t="s">
        <v>748</v>
      </c>
      <c r="L3511" s="784">
        <v>0</v>
      </c>
      <c r="M3511" t="s">
        <v>745</v>
      </c>
      <c r="N3511" s="784" t="s">
        <v>575</v>
      </c>
      <c r="O3511" t="s">
        <v>737</v>
      </c>
      <c r="P3511" t="s">
        <v>1887</v>
      </c>
      <c r="R3511" t="s">
        <v>152</v>
      </c>
      <c r="S3511" t="s">
        <v>145</v>
      </c>
      <c r="U3511">
        <v>0</v>
      </c>
      <c r="V3511" t="s">
        <v>541</v>
      </c>
      <c r="W3511" t="s">
        <v>575</v>
      </c>
      <c r="X3511" s="784">
        <v>16312106.556340856</v>
      </c>
    </row>
    <row r="3512" spans="1:24">
      <c r="A3512" t="s">
        <v>358</v>
      </c>
      <c r="B3512" t="s">
        <v>634</v>
      </c>
      <c r="C3512" t="s">
        <v>238</v>
      </c>
      <c r="D3512" t="s">
        <v>129</v>
      </c>
      <c r="E3512" t="s">
        <v>377</v>
      </c>
      <c r="F3512" t="s">
        <v>384</v>
      </c>
      <c r="G3512" t="s">
        <v>337</v>
      </c>
      <c r="H3512" t="s">
        <v>749</v>
      </c>
      <c r="I3512" t="s">
        <v>743</v>
      </c>
      <c r="J3512" t="s">
        <v>379</v>
      </c>
      <c r="K3512" t="s">
        <v>748</v>
      </c>
      <c r="L3512" s="784">
        <v>826642</v>
      </c>
      <c r="M3512" t="s">
        <v>745</v>
      </c>
      <c r="N3512" s="784" t="s">
        <v>575</v>
      </c>
      <c r="O3512" t="s">
        <v>737</v>
      </c>
      <c r="P3512" t="s">
        <v>1887</v>
      </c>
      <c r="R3512" t="s">
        <v>150</v>
      </c>
      <c r="S3512" t="s">
        <v>145</v>
      </c>
      <c r="U3512">
        <v>2</v>
      </c>
      <c r="V3512" t="s">
        <v>544</v>
      </c>
      <c r="W3512" t="s">
        <v>542</v>
      </c>
      <c r="X3512" s="784">
        <v>86083833.534053758</v>
      </c>
    </row>
    <row r="3513" spans="1:24">
      <c r="A3513" t="s">
        <v>358</v>
      </c>
      <c r="B3513" t="s">
        <v>635</v>
      </c>
      <c r="C3513" t="s">
        <v>239</v>
      </c>
      <c r="D3513" t="s">
        <v>128</v>
      </c>
      <c r="E3513" t="s">
        <v>377</v>
      </c>
      <c r="F3513" t="s">
        <v>384</v>
      </c>
      <c r="G3513" t="s">
        <v>337</v>
      </c>
      <c r="H3513" t="s">
        <v>749</v>
      </c>
      <c r="I3513" t="s">
        <v>743</v>
      </c>
      <c r="J3513" t="s">
        <v>379</v>
      </c>
      <c r="K3513" t="s">
        <v>748</v>
      </c>
      <c r="L3513" s="784">
        <v>0</v>
      </c>
      <c r="M3513" t="s">
        <v>745</v>
      </c>
      <c r="N3513" s="784" t="s">
        <v>575</v>
      </c>
      <c r="O3513" t="s">
        <v>737</v>
      </c>
      <c r="P3513" t="s">
        <v>1887</v>
      </c>
      <c r="R3513" t="s">
        <v>152</v>
      </c>
      <c r="S3513" t="s">
        <v>146</v>
      </c>
      <c r="U3513">
        <v>0</v>
      </c>
      <c r="V3513" t="s">
        <v>541</v>
      </c>
      <c r="W3513" t="s">
        <v>546</v>
      </c>
      <c r="X3513" s="784">
        <v>357220835.93762809</v>
      </c>
    </row>
    <row r="3514" spans="1:24">
      <c r="A3514" t="s">
        <v>358</v>
      </c>
      <c r="B3514" t="s">
        <v>636</v>
      </c>
      <c r="C3514" t="s">
        <v>240</v>
      </c>
      <c r="D3514" t="s">
        <v>130</v>
      </c>
      <c r="E3514" t="s">
        <v>377</v>
      </c>
      <c r="F3514" t="s">
        <v>384</v>
      </c>
      <c r="G3514" t="s">
        <v>337</v>
      </c>
      <c r="H3514" t="s">
        <v>749</v>
      </c>
      <c r="I3514" t="s">
        <v>743</v>
      </c>
      <c r="J3514" t="s">
        <v>379</v>
      </c>
      <c r="K3514" t="s">
        <v>748</v>
      </c>
      <c r="L3514" s="784">
        <v>0</v>
      </c>
      <c r="M3514" t="s">
        <v>745</v>
      </c>
      <c r="N3514" s="784" t="s">
        <v>575</v>
      </c>
      <c r="O3514" t="s">
        <v>737</v>
      </c>
      <c r="P3514" t="s">
        <v>1887</v>
      </c>
      <c r="R3514" t="s">
        <v>152</v>
      </c>
      <c r="S3514" t="s">
        <v>146</v>
      </c>
      <c r="U3514">
        <v>0</v>
      </c>
      <c r="V3514" t="s">
        <v>544</v>
      </c>
      <c r="W3514" t="s">
        <v>575</v>
      </c>
      <c r="X3514" s="784">
        <v>32831598153.796387</v>
      </c>
    </row>
    <row r="3515" spans="1:24">
      <c r="A3515" t="s">
        <v>358</v>
      </c>
      <c r="B3515" t="s">
        <v>637</v>
      </c>
      <c r="C3515" t="s">
        <v>241</v>
      </c>
      <c r="D3515" t="s">
        <v>126</v>
      </c>
      <c r="E3515" t="s">
        <v>377</v>
      </c>
      <c r="F3515" t="s">
        <v>384</v>
      </c>
      <c r="G3515" t="s">
        <v>337</v>
      </c>
      <c r="H3515" t="s">
        <v>749</v>
      </c>
      <c r="I3515" t="s">
        <v>743</v>
      </c>
      <c r="J3515" t="s">
        <v>379</v>
      </c>
      <c r="K3515" t="s">
        <v>748</v>
      </c>
      <c r="L3515" s="784">
        <v>136826</v>
      </c>
      <c r="M3515" t="s">
        <v>745</v>
      </c>
      <c r="N3515" s="784" t="s">
        <v>575</v>
      </c>
      <c r="O3515" t="s">
        <v>737</v>
      </c>
      <c r="P3515" t="s">
        <v>1887</v>
      </c>
      <c r="R3515" t="s">
        <v>150</v>
      </c>
      <c r="S3515" t="s">
        <v>145</v>
      </c>
      <c r="U3515">
        <v>0</v>
      </c>
      <c r="V3515" t="s">
        <v>541</v>
      </c>
      <c r="W3515" t="s">
        <v>542</v>
      </c>
      <c r="X3515" s="784">
        <v>12329056.093798399</v>
      </c>
    </row>
    <row r="3516" spans="1:24">
      <c r="A3516" t="s">
        <v>358</v>
      </c>
      <c r="B3516" t="s">
        <v>638</v>
      </c>
      <c r="C3516" t="s">
        <v>242</v>
      </c>
      <c r="D3516" t="s">
        <v>127</v>
      </c>
      <c r="E3516" t="s">
        <v>377</v>
      </c>
      <c r="F3516" t="s">
        <v>384</v>
      </c>
      <c r="G3516" t="s">
        <v>337</v>
      </c>
      <c r="H3516" t="s">
        <v>749</v>
      </c>
      <c r="I3516" t="s">
        <v>743</v>
      </c>
      <c r="J3516" t="s">
        <v>379</v>
      </c>
      <c r="K3516" t="s">
        <v>748</v>
      </c>
      <c r="L3516" s="784">
        <v>0</v>
      </c>
      <c r="M3516" t="s">
        <v>745</v>
      </c>
      <c r="N3516" s="784" t="s">
        <v>575</v>
      </c>
      <c r="O3516" t="s">
        <v>737</v>
      </c>
      <c r="P3516" t="s">
        <v>1887</v>
      </c>
      <c r="R3516" t="s">
        <v>152</v>
      </c>
      <c r="S3516" t="s">
        <v>145</v>
      </c>
      <c r="U3516">
        <v>0</v>
      </c>
      <c r="V3516" t="s">
        <v>544</v>
      </c>
      <c r="W3516" t="s">
        <v>558</v>
      </c>
      <c r="X3516" s="784">
        <v>426639742.85328001</v>
      </c>
    </row>
    <row r="3517" spans="1:24">
      <c r="A3517" t="s">
        <v>358</v>
      </c>
      <c r="B3517" t="s">
        <v>639</v>
      </c>
      <c r="C3517" t="s">
        <v>243</v>
      </c>
      <c r="D3517" t="s">
        <v>126</v>
      </c>
      <c r="E3517" t="s">
        <v>377</v>
      </c>
      <c r="F3517" t="s">
        <v>384</v>
      </c>
      <c r="G3517" t="s">
        <v>337</v>
      </c>
      <c r="H3517" t="s">
        <v>749</v>
      </c>
      <c r="I3517" t="s">
        <v>743</v>
      </c>
      <c r="J3517" t="s">
        <v>379</v>
      </c>
      <c r="K3517" t="s">
        <v>748</v>
      </c>
      <c r="L3517" s="784">
        <v>11111111</v>
      </c>
      <c r="M3517" t="s">
        <v>745</v>
      </c>
      <c r="N3517" s="784" t="s">
        <v>575</v>
      </c>
      <c r="O3517" t="s">
        <v>737</v>
      </c>
      <c r="P3517" t="s">
        <v>1887</v>
      </c>
      <c r="R3517" t="s">
        <v>150</v>
      </c>
      <c r="S3517" t="s">
        <v>145</v>
      </c>
      <c r="U3517">
        <v>0</v>
      </c>
      <c r="V3517" t="s">
        <v>544</v>
      </c>
      <c r="W3517" t="s">
        <v>548</v>
      </c>
      <c r="X3517" s="784">
        <v>288519671.85870522</v>
      </c>
    </row>
    <row r="3518" spans="1:24">
      <c r="A3518" t="s">
        <v>358</v>
      </c>
      <c r="B3518" t="s">
        <v>640</v>
      </c>
      <c r="C3518" t="s">
        <v>244</v>
      </c>
      <c r="D3518" t="s">
        <v>127</v>
      </c>
      <c r="E3518" t="s">
        <v>377</v>
      </c>
      <c r="F3518" t="s">
        <v>384</v>
      </c>
      <c r="G3518" t="s">
        <v>337</v>
      </c>
      <c r="H3518" t="s">
        <v>749</v>
      </c>
      <c r="I3518" t="s">
        <v>743</v>
      </c>
      <c r="J3518" t="s">
        <v>379</v>
      </c>
      <c r="K3518" t="s">
        <v>748</v>
      </c>
      <c r="L3518" s="784">
        <v>0</v>
      </c>
      <c r="M3518" t="s">
        <v>745</v>
      </c>
      <c r="N3518" s="784" t="s">
        <v>575</v>
      </c>
      <c r="O3518" t="s">
        <v>737</v>
      </c>
      <c r="P3518" t="s">
        <v>1887</v>
      </c>
      <c r="R3518" t="s">
        <v>152</v>
      </c>
      <c r="S3518" t="s">
        <v>146</v>
      </c>
      <c r="U3518">
        <v>0</v>
      </c>
      <c r="V3518" t="s">
        <v>544</v>
      </c>
      <c r="W3518" t="s">
        <v>546</v>
      </c>
      <c r="X3518" s="784">
        <v>275606560.78491527</v>
      </c>
    </row>
    <row r="3519" spans="1:24">
      <c r="A3519" t="s">
        <v>358</v>
      </c>
      <c r="B3519" t="s">
        <v>641</v>
      </c>
      <c r="C3519" t="s">
        <v>245</v>
      </c>
      <c r="D3519" t="s">
        <v>131</v>
      </c>
      <c r="E3519" t="s">
        <v>377</v>
      </c>
      <c r="F3519" t="s">
        <v>384</v>
      </c>
      <c r="G3519" t="s">
        <v>337</v>
      </c>
      <c r="H3519" t="s">
        <v>749</v>
      </c>
      <c r="I3519" t="s">
        <v>743</v>
      </c>
      <c r="J3519" t="s">
        <v>379</v>
      </c>
      <c r="K3519" t="s">
        <v>748</v>
      </c>
      <c r="L3519" s="784">
        <v>0</v>
      </c>
      <c r="M3519" t="s">
        <v>745</v>
      </c>
      <c r="N3519" s="784" t="s">
        <v>575</v>
      </c>
      <c r="O3519" t="s">
        <v>737</v>
      </c>
      <c r="P3519" t="s">
        <v>1887</v>
      </c>
      <c r="R3519" t="s">
        <v>150</v>
      </c>
      <c r="S3519" t="s">
        <v>145</v>
      </c>
      <c r="U3519">
        <v>0</v>
      </c>
      <c r="V3519" t="s">
        <v>544</v>
      </c>
      <c r="W3519" t="s">
        <v>546</v>
      </c>
      <c r="X3519" s="784">
        <v>2530937679.3725696</v>
      </c>
    </row>
    <row r="3520" spans="1:24">
      <c r="A3520" t="s">
        <v>358</v>
      </c>
      <c r="B3520" t="s">
        <v>642</v>
      </c>
      <c r="C3520" t="s">
        <v>246</v>
      </c>
      <c r="D3520" t="s">
        <v>128</v>
      </c>
      <c r="E3520" t="s">
        <v>377</v>
      </c>
      <c r="F3520" t="s">
        <v>384</v>
      </c>
      <c r="G3520" t="s">
        <v>337</v>
      </c>
      <c r="H3520" t="s">
        <v>749</v>
      </c>
      <c r="I3520" t="s">
        <v>743</v>
      </c>
      <c r="J3520" t="s">
        <v>379</v>
      </c>
      <c r="K3520" t="s">
        <v>748</v>
      </c>
      <c r="L3520" s="784">
        <v>669732</v>
      </c>
      <c r="M3520" t="s">
        <v>745</v>
      </c>
      <c r="N3520" s="784" t="s">
        <v>575</v>
      </c>
      <c r="O3520" t="s">
        <v>737</v>
      </c>
      <c r="P3520" t="s">
        <v>1887</v>
      </c>
      <c r="R3520" t="s">
        <v>148</v>
      </c>
      <c r="S3520" t="s">
        <v>145</v>
      </c>
      <c r="U3520">
        <v>0</v>
      </c>
      <c r="V3520" t="s">
        <v>544</v>
      </c>
      <c r="W3520" t="s">
        <v>583</v>
      </c>
      <c r="X3520" s="784">
        <v>251432156.86255455</v>
      </c>
    </row>
    <row r="3521" spans="1:24">
      <c r="A3521" t="s">
        <v>358</v>
      </c>
      <c r="B3521" t="s">
        <v>643</v>
      </c>
      <c r="C3521" t="s">
        <v>247</v>
      </c>
      <c r="D3521" t="s">
        <v>126</v>
      </c>
      <c r="E3521" t="s">
        <v>377</v>
      </c>
      <c r="F3521" t="s">
        <v>384</v>
      </c>
      <c r="G3521" t="s">
        <v>337</v>
      </c>
      <c r="H3521" t="s">
        <v>749</v>
      </c>
      <c r="I3521" t="s">
        <v>743</v>
      </c>
      <c r="J3521" t="s">
        <v>379</v>
      </c>
      <c r="K3521" t="s">
        <v>748</v>
      </c>
      <c r="L3521" s="784">
        <v>1773821</v>
      </c>
      <c r="M3521" t="s">
        <v>745</v>
      </c>
      <c r="N3521" s="784" t="s">
        <v>575</v>
      </c>
      <c r="O3521" t="s">
        <v>737</v>
      </c>
      <c r="P3521" t="s">
        <v>1887</v>
      </c>
      <c r="R3521" t="s">
        <v>150</v>
      </c>
      <c r="S3521" t="s">
        <v>145</v>
      </c>
      <c r="U3521">
        <v>0</v>
      </c>
      <c r="V3521" t="s">
        <v>544</v>
      </c>
      <c r="W3521" t="s">
        <v>558</v>
      </c>
      <c r="X3521" s="784">
        <v>471534500.60109437</v>
      </c>
    </row>
    <row r="3522" spans="1:24">
      <c r="A3522" t="s">
        <v>358</v>
      </c>
      <c r="B3522" t="s">
        <v>644</v>
      </c>
      <c r="C3522" t="s">
        <v>248</v>
      </c>
      <c r="D3522" t="s">
        <v>128</v>
      </c>
      <c r="E3522" t="s">
        <v>377</v>
      </c>
      <c r="F3522" t="s">
        <v>384</v>
      </c>
      <c r="G3522" t="s">
        <v>337</v>
      </c>
      <c r="H3522" t="s">
        <v>749</v>
      </c>
      <c r="I3522" t="s">
        <v>743</v>
      </c>
      <c r="J3522" t="s">
        <v>379</v>
      </c>
      <c r="K3522" t="s">
        <v>748</v>
      </c>
      <c r="L3522" s="784">
        <v>0</v>
      </c>
      <c r="M3522" t="s">
        <v>745</v>
      </c>
      <c r="N3522" s="784" t="s">
        <v>575</v>
      </c>
      <c r="O3522" t="s">
        <v>737</v>
      </c>
      <c r="P3522" t="s">
        <v>1887</v>
      </c>
      <c r="R3522" t="s">
        <v>152</v>
      </c>
      <c r="S3522" t="s">
        <v>146</v>
      </c>
      <c r="U3522">
        <v>0</v>
      </c>
      <c r="V3522" t="s">
        <v>544</v>
      </c>
      <c r="W3522" t="s">
        <v>575</v>
      </c>
      <c r="X3522" s="784">
        <v>531677611.80447447</v>
      </c>
    </row>
    <row r="3523" spans="1:24">
      <c r="A3523" t="s">
        <v>358</v>
      </c>
      <c r="B3523" t="s">
        <v>645</v>
      </c>
      <c r="C3523" t="s">
        <v>249</v>
      </c>
      <c r="D3523" t="s">
        <v>126</v>
      </c>
      <c r="E3523" t="s">
        <v>377</v>
      </c>
      <c r="F3523" t="s">
        <v>384</v>
      </c>
      <c r="G3523" t="s">
        <v>337</v>
      </c>
      <c r="H3523" t="s">
        <v>749</v>
      </c>
      <c r="I3523" t="s">
        <v>743</v>
      </c>
      <c r="J3523" t="s">
        <v>379</v>
      </c>
      <c r="K3523" t="s">
        <v>748</v>
      </c>
      <c r="L3523" s="784">
        <v>0</v>
      </c>
      <c r="M3523" t="s">
        <v>745</v>
      </c>
      <c r="N3523" s="784" t="s">
        <v>575</v>
      </c>
      <c r="O3523" t="s">
        <v>737</v>
      </c>
      <c r="P3523" t="s">
        <v>1887</v>
      </c>
      <c r="R3523" t="s">
        <v>550</v>
      </c>
      <c r="S3523" t="s">
        <v>146</v>
      </c>
      <c r="U3523">
        <v>0</v>
      </c>
      <c r="V3523" t="s">
        <v>541</v>
      </c>
      <c r="W3523" t="s">
        <v>575</v>
      </c>
      <c r="X3523" s="784">
        <v>8528751.6418357007</v>
      </c>
    </row>
    <row r="3524" spans="1:24">
      <c r="A3524" t="s">
        <v>358</v>
      </c>
      <c r="B3524" t="s">
        <v>646</v>
      </c>
      <c r="C3524" t="s">
        <v>250</v>
      </c>
      <c r="D3524" t="s">
        <v>132</v>
      </c>
      <c r="E3524" t="s">
        <v>377</v>
      </c>
      <c r="F3524" t="s">
        <v>384</v>
      </c>
      <c r="G3524" t="s">
        <v>337</v>
      </c>
      <c r="H3524" t="s">
        <v>749</v>
      </c>
      <c r="I3524" t="s">
        <v>743</v>
      </c>
      <c r="J3524" t="s">
        <v>379</v>
      </c>
      <c r="K3524" t="s">
        <v>748</v>
      </c>
      <c r="L3524" s="784">
        <v>1151337</v>
      </c>
      <c r="M3524" t="s">
        <v>745</v>
      </c>
      <c r="N3524" s="784" t="s">
        <v>575</v>
      </c>
      <c r="O3524" t="s">
        <v>737</v>
      </c>
      <c r="P3524" t="s">
        <v>1887</v>
      </c>
      <c r="R3524" t="s">
        <v>150</v>
      </c>
      <c r="S3524" t="s">
        <v>145</v>
      </c>
      <c r="U3524">
        <v>0</v>
      </c>
      <c r="V3524" t="s">
        <v>544</v>
      </c>
      <c r="W3524" t="s">
        <v>558</v>
      </c>
      <c r="X3524" s="784">
        <v>407084543.19089872</v>
      </c>
    </row>
    <row r="3525" spans="1:24">
      <c r="A3525" t="s">
        <v>358</v>
      </c>
      <c r="B3525" t="s">
        <v>647</v>
      </c>
      <c r="C3525" t="s">
        <v>251</v>
      </c>
      <c r="D3525" t="s">
        <v>130</v>
      </c>
      <c r="E3525" t="s">
        <v>377</v>
      </c>
      <c r="F3525" t="s">
        <v>384</v>
      </c>
      <c r="G3525" t="s">
        <v>337</v>
      </c>
      <c r="H3525" t="s">
        <v>749</v>
      </c>
      <c r="I3525" t="s">
        <v>743</v>
      </c>
      <c r="J3525" t="s">
        <v>379</v>
      </c>
      <c r="K3525" t="s">
        <v>748</v>
      </c>
      <c r="L3525" s="784">
        <v>1388889</v>
      </c>
      <c r="M3525" t="s">
        <v>745</v>
      </c>
      <c r="N3525" s="784" t="s">
        <v>575</v>
      </c>
      <c r="O3525" t="s">
        <v>737</v>
      </c>
      <c r="P3525" t="s">
        <v>1887</v>
      </c>
      <c r="R3525" t="s">
        <v>150</v>
      </c>
      <c r="S3525" t="s">
        <v>145</v>
      </c>
      <c r="U3525">
        <v>0</v>
      </c>
      <c r="V3525" t="s">
        <v>544</v>
      </c>
      <c r="W3525" t="s">
        <v>562</v>
      </c>
      <c r="X3525" s="784">
        <v>671998341.93592453</v>
      </c>
    </row>
    <row r="3526" spans="1:24">
      <c r="A3526" t="s">
        <v>358</v>
      </c>
      <c r="B3526" t="s">
        <v>648</v>
      </c>
      <c r="C3526" t="s">
        <v>252</v>
      </c>
      <c r="D3526" t="s">
        <v>129</v>
      </c>
      <c r="E3526" t="s">
        <v>377</v>
      </c>
      <c r="F3526" t="s">
        <v>384</v>
      </c>
      <c r="G3526" t="s">
        <v>337</v>
      </c>
      <c r="H3526" t="s">
        <v>749</v>
      </c>
      <c r="I3526" t="s">
        <v>743</v>
      </c>
      <c r="J3526" t="s">
        <v>379</v>
      </c>
      <c r="K3526" t="s">
        <v>748</v>
      </c>
      <c r="L3526" s="784">
        <v>0</v>
      </c>
      <c r="M3526" t="s">
        <v>745</v>
      </c>
      <c r="N3526" s="784" t="s">
        <v>575</v>
      </c>
      <c r="O3526" t="s">
        <v>737</v>
      </c>
      <c r="P3526" t="s">
        <v>1887</v>
      </c>
      <c r="R3526" t="s">
        <v>148</v>
      </c>
      <c r="S3526" t="s">
        <v>145</v>
      </c>
      <c r="U3526">
        <v>1</v>
      </c>
      <c r="V3526" t="s">
        <v>544</v>
      </c>
      <c r="W3526" t="s">
        <v>562</v>
      </c>
      <c r="X3526" s="784">
        <v>226203289.67158964</v>
      </c>
    </row>
    <row r="3527" spans="1:24">
      <c r="A3527" t="s">
        <v>358</v>
      </c>
      <c r="B3527" t="s">
        <v>649</v>
      </c>
      <c r="C3527" t="s">
        <v>253</v>
      </c>
      <c r="D3527" t="s">
        <v>129</v>
      </c>
      <c r="E3527" t="s">
        <v>377</v>
      </c>
      <c r="F3527" t="s">
        <v>384</v>
      </c>
      <c r="G3527" t="s">
        <v>337</v>
      </c>
      <c r="H3527" t="s">
        <v>749</v>
      </c>
      <c r="I3527" t="s">
        <v>743</v>
      </c>
      <c r="J3527" t="s">
        <v>379</v>
      </c>
      <c r="K3527" t="s">
        <v>748</v>
      </c>
      <c r="L3527" s="784">
        <v>2104378</v>
      </c>
      <c r="M3527" t="s">
        <v>745</v>
      </c>
      <c r="N3527" s="784" t="s">
        <v>575</v>
      </c>
      <c r="O3527" t="s">
        <v>737</v>
      </c>
      <c r="P3527" t="s">
        <v>1887</v>
      </c>
      <c r="R3527" t="s">
        <v>150</v>
      </c>
      <c r="S3527" t="s">
        <v>145</v>
      </c>
      <c r="U3527">
        <v>3</v>
      </c>
      <c r="V3527" t="s">
        <v>544</v>
      </c>
      <c r="W3527" t="s">
        <v>548</v>
      </c>
      <c r="X3527" s="784">
        <v>2438881113.1244688</v>
      </c>
    </row>
    <row r="3528" spans="1:24">
      <c r="A3528" t="s">
        <v>358</v>
      </c>
      <c r="B3528" t="s">
        <v>650</v>
      </c>
      <c r="C3528" t="s">
        <v>254</v>
      </c>
      <c r="D3528" t="s">
        <v>127</v>
      </c>
      <c r="E3528" t="s">
        <v>377</v>
      </c>
      <c r="F3528" t="s">
        <v>384</v>
      </c>
      <c r="G3528" t="s">
        <v>337</v>
      </c>
      <c r="H3528" t="s">
        <v>749</v>
      </c>
      <c r="I3528" t="s">
        <v>743</v>
      </c>
      <c r="J3528" t="s">
        <v>379</v>
      </c>
      <c r="K3528" t="s">
        <v>748</v>
      </c>
      <c r="L3528" s="784">
        <v>0</v>
      </c>
      <c r="M3528" t="s">
        <v>745</v>
      </c>
      <c r="N3528" s="784" t="s">
        <v>575</v>
      </c>
      <c r="O3528" t="s">
        <v>737</v>
      </c>
      <c r="P3528" t="s">
        <v>1887</v>
      </c>
      <c r="R3528" t="s">
        <v>152</v>
      </c>
      <c r="S3528" t="s">
        <v>146</v>
      </c>
      <c r="U3528">
        <v>0</v>
      </c>
      <c r="V3528" t="s">
        <v>544</v>
      </c>
      <c r="W3528" t="s">
        <v>575</v>
      </c>
      <c r="X3528" s="784">
        <v>476517795.73174149</v>
      </c>
    </row>
    <row r="3529" spans="1:24">
      <c r="A3529" t="s">
        <v>358</v>
      </c>
      <c r="B3529" t="s">
        <v>651</v>
      </c>
      <c r="C3529" t="s">
        <v>255</v>
      </c>
      <c r="D3529" t="s">
        <v>132</v>
      </c>
      <c r="E3529" t="s">
        <v>377</v>
      </c>
      <c r="F3529" t="s">
        <v>384</v>
      </c>
      <c r="G3529" t="s">
        <v>337</v>
      </c>
      <c r="H3529" t="s">
        <v>749</v>
      </c>
      <c r="I3529" t="s">
        <v>743</v>
      </c>
      <c r="J3529" t="s">
        <v>379</v>
      </c>
      <c r="K3529" t="s">
        <v>748</v>
      </c>
      <c r="L3529" s="784">
        <v>6106979</v>
      </c>
      <c r="M3529" t="s">
        <v>745</v>
      </c>
      <c r="N3529" s="784" t="s">
        <v>575</v>
      </c>
      <c r="O3529" t="s">
        <v>737</v>
      </c>
      <c r="P3529" t="s">
        <v>1887</v>
      </c>
      <c r="R3529" t="s">
        <v>150</v>
      </c>
      <c r="S3529" t="s">
        <v>145</v>
      </c>
      <c r="U3529">
        <v>0</v>
      </c>
      <c r="V3529" t="s">
        <v>544</v>
      </c>
      <c r="W3529" t="s">
        <v>548</v>
      </c>
      <c r="X3529" s="784">
        <v>3233351297.7679496</v>
      </c>
    </row>
    <row r="3530" spans="1:24">
      <c r="A3530" t="s">
        <v>358</v>
      </c>
      <c r="B3530" t="s">
        <v>652</v>
      </c>
      <c r="C3530" t="s">
        <v>256</v>
      </c>
      <c r="D3530" t="s">
        <v>130</v>
      </c>
      <c r="E3530" t="s">
        <v>377</v>
      </c>
      <c r="F3530" t="s">
        <v>384</v>
      </c>
      <c r="G3530" t="s">
        <v>337</v>
      </c>
      <c r="H3530" t="s">
        <v>749</v>
      </c>
      <c r="I3530" t="s">
        <v>743</v>
      </c>
      <c r="J3530" t="s">
        <v>379</v>
      </c>
      <c r="K3530" t="s">
        <v>748</v>
      </c>
      <c r="L3530" s="784">
        <v>0</v>
      </c>
      <c r="M3530" t="s">
        <v>745</v>
      </c>
      <c r="N3530" s="784" t="s">
        <v>575</v>
      </c>
      <c r="O3530" t="s">
        <v>737</v>
      </c>
      <c r="P3530" t="s">
        <v>1887</v>
      </c>
      <c r="R3530" t="s">
        <v>550</v>
      </c>
      <c r="S3530" t="s">
        <v>146</v>
      </c>
      <c r="U3530">
        <v>0</v>
      </c>
      <c r="V3530" t="s">
        <v>541</v>
      </c>
      <c r="W3530" t="s">
        <v>575</v>
      </c>
      <c r="X3530" s="784">
        <v>18180646.808608256</v>
      </c>
    </row>
    <row r="3531" spans="1:24">
      <c r="A3531" t="s">
        <v>358</v>
      </c>
      <c r="B3531" t="s">
        <v>653</v>
      </c>
      <c r="C3531" t="s">
        <v>257</v>
      </c>
      <c r="D3531" t="s">
        <v>130</v>
      </c>
      <c r="E3531" t="s">
        <v>377</v>
      </c>
      <c r="F3531" t="s">
        <v>384</v>
      </c>
      <c r="G3531" t="s">
        <v>337</v>
      </c>
      <c r="H3531" t="s">
        <v>749</v>
      </c>
      <c r="I3531" t="s">
        <v>743</v>
      </c>
      <c r="J3531" t="s">
        <v>379</v>
      </c>
      <c r="K3531" t="s">
        <v>748</v>
      </c>
      <c r="L3531" s="784">
        <v>0</v>
      </c>
      <c r="M3531" t="s">
        <v>745</v>
      </c>
      <c r="N3531" s="784" t="s">
        <v>575</v>
      </c>
      <c r="O3531" t="s">
        <v>737</v>
      </c>
      <c r="P3531" t="s">
        <v>1887</v>
      </c>
      <c r="R3531" t="s">
        <v>152</v>
      </c>
      <c r="S3531" t="s">
        <v>146</v>
      </c>
      <c r="U3531">
        <v>0</v>
      </c>
      <c r="V3531" t="s">
        <v>544</v>
      </c>
      <c r="W3531" t="s">
        <v>546</v>
      </c>
      <c r="X3531" s="784">
        <v>3020530707.3485303</v>
      </c>
    </row>
    <row r="3532" spans="1:24">
      <c r="A3532" t="s">
        <v>358</v>
      </c>
      <c r="B3532" t="s">
        <v>654</v>
      </c>
      <c r="C3532" t="s">
        <v>258</v>
      </c>
      <c r="D3532" t="s">
        <v>126</v>
      </c>
      <c r="E3532" t="s">
        <v>377</v>
      </c>
      <c r="F3532" t="s">
        <v>384</v>
      </c>
      <c r="G3532" t="s">
        <v>337</v>
      </c>
      <c r="H3532" t="s">
        <v>749</v>
      </c>
      <c r="I3532" t="s">
        <v>743</v>
      </c>
      <c r="J3532" t="s">
        <v>379</v>
      </c>
      <c r="K3532" t="s">
        <v>748</v>
      </c>
      <c r="L3532" s="784">
        <v>7563717</v>
      </c>
      <c r="M3532" t="s">
        <v>745</v>
      </c>
      <c r="N3532" s="784" t="s">
        <v>575</v>
      </c>
      <c r="O3532" t="s">
        <v>737</v>
      </c>
      <c r="P3532" t="s">
        <v>1887</v>
      </c>
      <c r="R3532" t="s">
        <v>150</v>
      </c>
      <c r="S3532" t="s">
        <v>145</v>
      </c>
      <c r="U3532">
        <v>1</v>
      </c>
      <c r="V3532" t="s">
        <v>541</v>
      </c>
      <c r="W3532" t="s">
        <v>542</v>
      </c>
      <c r="X3532" s="784">
        <v>384406316.46074712</v>
      </c>
    </row>
    <row r="3533" spans="1:24">
      <c r="A3533" t="s">
        <v>358</v>
      </c>
      <c r="B3533" t="s">
        <v>655</v>
      </c>
      <c r="C3533" t="s">
        <v>259</v>
      </c>
      <c r="D3533" t="s">
        <v>130</v>
      </c>
      <c r="E3533" t="s">
        <v>377</v>
      </c>
      <c r="F3533" t="s">
        <v>384</v>
      </c>
      <c r="G3533" t="s">
        <v>337</v>
      </c>
      <c r="H3533" t="s">
        <v>749</v>
      </c>
      <c r="I3533" t="s">
        <v>743</v>
      </c>
      <c r="J3533" t="s">
        <v>379</v>
      </c>
      <c r="K3533" t="s">
        <v>748</v>
      </c>
      <c r="L3533" s="784">
        <v>1913888</v>
      </c>
      <c r="M3533" t="s">
        <v>745</v>
      </c>
      <c r="N3533" s="784" t="s">
        <v>575</v>
      </c>
      <c r="O3533" t="s">
        <v>737</v>
      </c>
      <c r="P3533" t="s">
        <v>1887</v>
      </c>
      <c r="R3533" t="s">
        <v>152</v>
      </c>
      <c r="S3533" t="s">
        <v>146</v>
      </c>
      <c r="U3533">
        <v>0</v>
      </c>
      <c r="V3533" t="s">
        <v>544</v>
      </c>
      <c r="W3533" t="s">
        <v>575</v>
      </c>
      <c r="X3533" s="784">
        <v>1218747108.9554784</v>
      </c>
    </row>
    <row r="3534" spans="1:24">
      <c r="A3534" t="s">
        <v>358</v>
      </c>
      <c r="B3534" t="s">
        <v>656</v>
      </c>
      <c r="C3534" t="s">
        <v>260</v>
      </c>
      <c r="D3534" t="s">
        <v>130</v>
      </c>
      <c r="E3534" t="s">
        <v>377</v>
      </c>
      <c r="F3534" t="s">
        <v>384</v>
      </c>
      <c r="G3534" t="s">
        <v>337</v>
      </c>
      <c r="H3534" t="s">
        <v>749</v>
      </c>
      <c r="I3534" t="s">
        <v>743</v>
      </c>
      <c r="J3534" t="s">
        <v>379</v>
      </c>
      <c r="K3534" t="s">
        <v>748</v>
      </c>
      <c r="L3534" s="784">
        <v>0</v>
      </c>
      <c r="M3534" t="s">
        <v>745</v>
      </c>
      <c r="N3534" s="784" t="s">
        <v>575</v>
      </c>
      <c r="O3534" t="s">
        <v>737</v>
      </c>
      <c r="P3534" t="s">
        <v>1887</v>
      </c>
      <c r="R3534" t="s">
        <v>152</v>
      </c>
      <c r="S3534" t="s">
        <v>146</v>
      </c>
      <c r="U3534">
        <v>0</v>
      </c>
      <c r="V3534" t="s">
        <v>544</v>
      </c>
      <c r="W3534" t="s">
        <v>575</v>
      </c>
      <c r="X3534" s="784">
        <v>7392665952.5895758</v>
      </c>
    </row>
    <row r="3535" spans="1:24">
      <c r="A3535" t="s">
        <v>358</v>
      </c>
      <c r="B3535" t="s">
        <v>657</v>
      </c>
      <c r="C3535" t="s">
        <v>261</v>
      </c>
      <c r="D3535" t="s">
        <v>126</v>
      </c>
      <c r="E3535" t="s">
        <v>377</v>
      </c>
      <c r="F3535" t="s">
        <v>384</v>
      </c>
      <c r="G3535" t="s">
        <v>337</v>
      </c>
      <c r="H3535" t="s">
        <v>749</v>
      </c>
      <c r="I3535" t="s">
        <v>743</v>
      </c>
      <c r="J3535" t="s">
        <v>379</v>
      </c>
      <c r="K3535" t="s">
        <v>748</v>
      </c>
      <c r="L3535" s="784">
        <v>3494059</v>
      </c>
      <c r="M3535" t="s">
        <v>745</v>
      </c>
      <c r="N3535" s="784" t="s">
        <v>575</v>
      </c>
      <c r="O3535" t="s">
        <v>737</v>
      </c>
      <c r="P3535" t="s">
        <v>1887</v>
      </c>
      <c r="R3535" t="s">
        <v>150</v>
      </c>
      <c r="S3535" t="s">
        <v>145</v>
      </c>
      <c r="U3535">
        <v>0</v>
      </c>
      <c r="V3535" t="s">
        <v>544</v>
      </c>
      <c r="W3535" t="s">
        <v>546</v>
      </c>
      <c r="X3535" s="784">
        <v>4754985988.6004429</v>
      </c>
    </row>
    <row r="3536" spans="1:24">
      <c r="A3536" t="s">
        <v>358</v>
      </c>
      <c r="B3536" t="s">
        <v>658</v>
      </c>
      <c r="C3536" t="s">
        <v>262</v>
      </c>
      <c r="D3536" t="s">
        <v>127</v>
      </c>
      <c r="E3536" t="s">
        <v>377</v>
      </c>
      <c r="F3536" t="s">
        <v>384</v>
      </c>
      <c r="G3536" t="s">
        <v>337</v>
      </c>
      <c r="H3536" t="s">
        <v>749</v>
      </c>
      <c r="I3536" t="s">
        <v>743</v>
      </c>
      <c r="J3536" t="s">
        <v>379</v>
      </c>
      <c r="K3536" t="s">
        <v>748</v>
      </c>
      <c r="L3536" s="784">
        <v>0</v>
      </c>
      <c r="M3536" t="s">
        <v>745</v>
      </c>
      <c r="N3536" s="784" t="s">
        <v>575</v>
      </c>
      <c r="O3536" t="s">
        <v>737</v>
      </c>
      <c r="P3536" t="s">
        <v>1887</v>
      </c>
      <c r="R3536" t="s">
        <v>550</v>
      </c>
      <c r="S3536" t="s">
        <v>146</v>
      </c>
      <c r="U3536">
        <v>0</v>
      </c>
      <c r="V3536" t="s">
        <v>544</v>
      </c>
      <c r="W3536" t="s">
        <v>575</v>
      </c>
      <c r="X3536" s="784">
        <v>26422210443.037273</v>
      </c>
    </row>
    <row r="3537" spans="1:24">
      <c r="A3537" t="s">
        <v>358</v>
      </c>
      <c r="B3537" t="s">
        <v>659</v>
      </c>
      <c r="C3537" t="s">
        <v>151</v>
      </c>
      <c r="D3537" t="s">
        <v>127</v>
      </c>
      <c r="E3537" t="s">
        <v>377</v>
      </c>
      <c r="F3537" t="s">
        <v>384</v>
      </c>
      <c r="G3537" t="s">
        <v>337</v>
      </c>
      <c r="H3537" t="s">
        <v>749</v>
      </c>
      <c r="I3537" t="s">
        <v>743</v>
      </c>
      <c r="J3537" t="s">
        <v>379</v>
      </c>
      <c r="K3537" t="s">
        <v>748</v>
      </c>
      <c r="L3537" s="784">
        <v>0</v>
      </c>
      <c r="M3537" t="s">
        <v>745</v>
      </c>
      <c r="N3537" s="784" t="s">
        <v>575</v>
      </c>
      <c r="O3537" t="s">
        <v>737</v>
      </c>
      <c r="P3537" t="s">
        <v>1887</v>
      </c>
      <c r="R3537" t="s">
        <v>152</v>
      </c>
      <c r="S3537" t="s">
        <v>146</v>
      </c>
      <c r="U3537">
        <v>0</v>
      </c>
      <c r="V3537" t="s">
        <v>544</v>
      </c>
      <c r="W3537" t="s">
        <v>575</v>
      </c>
      <c r="X3537" s="784">
        <v>10696495313.15033</v>
      </c>
    </row>
    <row r="3538" spans="1:24">
      <c r="A3538" t="s">
        <v>358</v>
      </c>
      <c r="B3538" t="s">
        <v>660</v>
      </c>
      <c r="C3538" t="s">
        <v>263</v>
      </c>
      <c r="D3538" t="s">
        <v>127</v>
      </c>
      <c r="E3538" t="s">
        <v>377</v>
      </c>
      <c r="F3538" t="s">
        <v>384</v>
      </c>
      <c r="G3538" t="s">
        <v>337</v>
      </c>
      <c r="H3538" t="s">
        <v>749</v>
      </c>
      <c r="I3538" t="s">
        <v>743</v>
      </c>
      <c r="J3538" t="s">
        <v>379</v>
      </c>
      <c r="K3538" t="s">
        <v>748</v>
      </c>
      <c r="L3538" s="784">
        <v>0</v>
      </c>
      <c r="M3538" t="s">
        <v>745</v>
      </c>
      <c r="N3538" s="784" t="s">
        <v>575</v>
      </c>
      <c r="O3538" t="s">
        <v>737</v>
      </c>
      <c r="P3538" t="s">
        <v>1887</v>
      </c>
      <c r="R3538" t="s">
        <v>152</v>
      </c>
      <c r="S3538" t="s">
        <v>146</v>
      </c>
      <c r="U3538">
        <v>0</v>
      </c>
      <c r="V3538" t="s">
        <v>544</v>
      </c>
      <c r="W3538" t="s">
        <v>575</v>
      </c>
      <c r="X3538" s="784">
        <v>52769713433.240509</v>
      </c>
    </row>
    <row r="3539" spans="1:24">
      <c r="A3539" t="s">
        <v>358</v>
      </c>
      <c r="B3539" t="s">
        <v>661</v>
      </c>
      <c r="C3539" t="s">
        <v>264</v>
      </c>
      <c r="D3539" t="s">
        <v>128</v>
      </c>
      <c r="E3539" t="s">
        <v>377</v>
      </c>
      <c r="F3539" t="s">
        <v>384</v>
      </c>
      <c r="G3539" t="s">
        <v>337</v>
      </c>
      <c r="H3539" t="s">
        <v>749</v>
      </c>
      <c r="I3539" t="s">
        <v>743</v>
      </c>
      <c r="J3539" t="s">
        <v>379</v>
      </c>
      <c r="K3539" t="s">
        <v>748</v>
      </c>
      <c r="L3539" s="784">
        <v>0</v>
      </c>
      <c r="M3539" t="s">
        <v>745</v>
      </c>
      <c r="N3539" s="784" t="s">
        <v>575</v>
      </c>
      <c r="O3539" t="s">
        <v>737</v>
      </c>
      <c r="P3539" t="s">
        <v>1887</v>
      </c>
      <c r="R3539" t="s">
        <v>148</v>
      </c>
      <c r="S3539" t="s">
        <v>145</v>
      </c>
      <c r="U3539">
        <v>0</v>
      </c>
      <c r="V3539" t="s">
        <v>544</v>
      </c>
      <c r="W3539" t="s">
        <v>562</v>
      </c>
      <c r="X3539" s="784">
        <v>225799814.51943746</v>
      </c>
    </row>
    <row r="3540" spans="1:24">
      <c r="A3540" t="s">
        <v>358</v>
      </c>
      <c r="B3540" t="s">
        <v>662</v>
      </c>
      <c r="C3540" t="s">
        <v>265</v>
      </c>
      <c r="D3540" t="s">
        <v>126</v>
      </c>
      <c r="E3540" t="s">
        <v>377</v>
      </c>
      <c r="F3540" t="s">
        <v>384</v>
      </c>
      <c r="G3540" t="s">
        <v>337</v>
      </c>
      <c r="H3540" t="s">
        <v>749</v>
      </c>
      <c r="I3540" t="s">
        <v>743</v>
      </c>
      <c r="J3540" t="s">
        <v>379</v>
      </c>
      <c r="K3540" t="s">
        <v>748</v>
      </c>
      <c r="L3540" s="784">
        <v>126233</v>
      </c>
      <c r="M3540" t="s">
        <v>745</v>
      </c>
      <c r="N3540" s="784" t="s">
        <v>575</v>
      </c>
      <c r="O3540" t="s">
        <v>737</v>
      </c>
      <c r="P3540" t="s">
        <v>1887</v>
      </c>
      <c r="R3540" t="s">
        <v>150</v>
      </c>
      <c r="S3540" t="s">
        <v>145</v>
      </c>
      <c r="U3540">
        <v>0</v>
      </c>
      <c r="V3540" t="s">
        <v>541</v>
      </c>
      <c r="W3540" t="s">
        <v>542</v>
      </c>
      <c r="X3540" s="784">
        <v>32192988.027009469</v>
      </c>
    </row>
    <row r="3541" spans="1:24">
      <c r="A3541" t="s">
        <v>358</v>
      </c>
      <c r="B3541" t="s">
        <v>663</v>
      </c>
      <c r="C3541" t="s">
        <v>266</v>
      </c>
      <c r="D3541" t="s">
        <v>129</v>
      </c>
      <c r="E3541" t="s">
        <v>377</v>
      </c>
      <c r="F3541" t="s">
        <v>384</v>
      </c>
      <c r="G3541" t="s">
        <v>337</v>
      </c>
      <c r="H3541" t="s">
        <v>749</v>
      </c>
      <c r="I3541" t="s">
        <v>743</v>
      </c>
      <c r="J3541" t="s">
        <v>379</v>
      </c>
      <c r="K3541" t="s">
        <v>748</v>
      </c>
      <c r="L3541" s="784">
        <v>0</v>
      </c>
      <c r="M3541" t="s">
        <v>745</v>
      </c>
      <c r="N3541" s="784" t="s">
        <v>575</v>
      </c>
      <c r="O3541" t="s">
        <v>737</v>
      </c>
      <c r="P3541" t="s">
        <v>1887</v>
      </c>
      <c r="R3541" t="s">
        <v>150</v>
      </c>
      <c r="S3541" t="s">
        <v>145</v>
      </c>
      <c r="U3541">
        <v>0</v>
      </c>
      <c r="V3541" t="s">
        <v>541</v>
      </c>
      <c r="W3541" t="s">
        <v>583</v>
      </c>
      <c r="X3541" s="784">
        <v>11633535.136477679</v>
      </c>
    </row>
    <row r="3542" spans="1:24">
      <c r="A3542" t="s">
        <v>358</v>
      </c>
      <c r="B3542" t="s">
        <v>664</v>
      </c>
      <c r="C3542" t="s">
        <v>267</v>
      </c>
      <c r="D3542" t="s">
        <v>129</v>
      </c>
      <c r="E3542" t="s">
        <v>377</v>
      </c>
      <c r="F3542" t="s">
        <v>384</v>
      </c>
      <c r="G3542" t="s">
        <v>337</v>
      </c>
      <c r="H3542" t="s">
        <v>749</v>
      </c>
      <c r="I3542" t="s">
        <v>743</v>
      </c>
      <c r="J3542" t="s">
        <v>379</v>
      </c>
      <c r="K3542" t="s">
        <v>748</v>
      </c>
      <c r="L3542" s="784">
        <v>891000</v>
      </c>
      <c r="M3542" t="s">
        <v>745</v>
      </c>
      <c r="N3542" s="784" t="s">
        <v>575</v>
      </c>
      <c r="O3542" t="s">
        <v>737</v>
      </c>
      <c r="P3542" t="s">
        <v>1887</v>
      </c>
      <c r="R3542" t="s">
        <v>150</v>
      </c>
      <c r="S3542" t="s">
        <v>145</v>
      </c>
      <c r="U3542">
        <v>2</v>
      </c>
      <c r="V3542" t="s">
        <v>544</v>
      </c>
      <c r="W3542" t="s">
        <v>562</v>
      </c>
      <c r="X3542" s="784">
        <v>222008693.93354639</v>
      </c>
    </row>
    <row r="3543" spans="1:24">
      <c r="A3543" t="s">
        <v>358</v>
      </c>
      <c r="B3543" t="s">
        <v>665</v>
      </c>
      <c r="C3543" t="s">
        <v>153</v>
      </c>
      <c r="D3543" t="s">
        <v>127</v>
      </c>
      <c r="E3543" t="s">
        <v>377</v>
      </c>
      <c r="F3543" t="s">
        <v>384</v>
      </c>
      <c r="G3543" t="s">
        <v>337</v>
      </c>
      <c r="H3543" t="s">
        <v>749</v>
      </c>
      <c r="I3543" t="s">
        <v>743</v>
      </c>
      <c r="J3543" t="s">
        <v>379</v>
      </c>
      <c r="K3543" t="s">
        <v>748</v>
      </c>
      <c r="L3543" s="784">
        <v>0</v>
      </c>
      <c r="M3543" t="s">
        <v>745</v>
      </c>
      <c r="N3543" s="784" t="s">
        <v>575</v>
      </c>
      <c r="O3543" t="s">
        <v>737</v>
      </c>
      <c r="P3543" t="s">
        <v>1887</v>
      </c>
      <c r="R3543" t="s">
        <v>152</v>
      </c>
      <c r="S3543" t="s">
        <v>146</v>
      </c>
      <c r="U3543">
        <v>0</v>
      </c>
      <c r="V3543" t="s">
        <v>544</v>
      </c>
      <c r="W3543" t="s">
        <v>575</v>
      </c>
      <c r="X3543" s="784">
        <v>2564993795.1894679</v>
      </c>
    </row>
    <row r="3544" spans="1:24">
      <c r="A3544" t="s">
        <v>358</v>
      </c>
      <c r="B3544" t="s">
        <v>666</v>
      </c>
      <c r="C3544" t="s">
        <v>268</v>
      </c>
      <c r="D3544" t="s">
        <v>128</v>
      </c>
      <c r="E3544" t="s">
        <v>377</v>
      </c>
      <c r="F3544" t="s">
        <v>384</v>
      </c>
      <c r="G3544" t="s">
        <v>337</v>
      </c>
      <c r="H3544" t="s">
        <v>749</v>
      </c>
      <c r="I3544" t="s">
        <v>743</v>
      </c>
      <c r="J3544" t="s">
        <v>379</v>
      </c>
      <c r="K3544" t="s">
        <v>748</v>
      </c>
      <c r="L3544" s="784">
        <v>0</v>
      </c>
      <c r="M3544" t="s">
        <v>745</v>
      </c>
      <c r="N3544" s="784" t="s">
        <v>575</v>
      </c>
      <c r="O3544" t="s">
        <v>737</v>
      </c>
      <c r="P3544" t="s">
        <v>1887</v>
      </c>
      <c r="R3544" t="s">
        <v>550</v>
      </c>
      <c r="S3544" t="s">
        <v>146</v>
      </c>
      <c r="U3544">
        <v>0</v>
      </c>
      <c r="V3544" t="s">
        <v>541</v>
      </c>
      <c r="W3544" t="s">
        <v>546</v>
      </c>
      <c r="X3544" s="784">
        <v>60237542.945069775</v>
      </c>
    </row>
    <row r="3545" spans="1:24">
      <c r="A3545" t="s">
        <v>358</v>
      </c>
      <c r="B3545" t="s">
        <v>667</v>
      </c>
      <c r="C3545" t="s">
        <v>269</v>
      </c>
      <c r="D3545" t="s">
        <v>129</v>
      </c>
      <c r="E3545" t="s">
        <v>377</v>
      </c>
      <c r="F3545" t="s">
        <v>384</v>
      </c>
      <c r="G3545" t="s">
        <v>337</v>
      </c>
      <c r="H3545" t="s">
        <v>749</v>
      </c>
      <c r="I3545" t="s">
        <v>743</v>
      </c>
      <c r="J3545" t="s">
        <v>379</v>
      </c>
      <c r="K3545" t="s">
        <v>748</v>
      </c>
      <c r="L3545" s="784">
        <v>0</v>
      </c>
      <c r="M3545" t="s">
        <v>745</v>
      </c>
      <c r="N3545" s="784" t="s">
        <v>575</v>
      </c>
      <c r="O3545" t="s">
        <v>737</v>
      </c>
      <c r="P3545" t="s">
        <v>1887</v>
      </c>
      <c r="R3545" t="s">
        <v>148</v>
      </c>
      <c r="S3545" t="s">
        <v>145</v>
      </c>
      <c r="U3545">
        <v>0</v>
      </c>
      <c r="V3545" t="s">
        <v>544</v>
      </c>
      <c r="W3545" t="s">
        <v>542</v>
      </c>
      <c r="X3545" s="784">
        <v>63738640.538260505</v>
      </c>
    </row>
    <row r="3546" spans="1:24">
      <c r="A3546" t="s">
        <v>358</v>
      </c>
      <c r="B3546" t="s">
        <v>668</v>
      </c>
      <c r="C3546" t="s">
        <v>270</v>
      </c>
      <c r="D3546" t="s">
        <v>126</v>
      </c>
      <c r="E3546" t="s">
        <v>377</v>
      </c>
      <c r="F3546" t="s">
        <v>384</v>
      </c>
      <c r="G3546" t="s">
        <v>337</v>
      </c>
      <c r="H3546" t="s">
        <v>749</v>
      </c>
      <c r="I3546" t="s">
        <v>743</v>
      </c>
      <c r="J3546" t="s">
        <v>379</v>
      </c>
      <c r="K3546" t="s">
        <v>748</v>
      </c>
      <c r="L3546" s="784">
        <v>3316389</v>
      </c>
      <c r="M3546" t="s">
        <v>745</v>
      </c>
      <c r="N3546" s="784" t="s">
        <v>575</v>
      </c>
      <c r="O3546" t="s">
        <v>737</v>
      </c>
      <c r="P3546" t="s">
        <v>1887</v>
      </c>
      <c r="R3546" t="s">
        <v>150</v>
      </c>
      <c r="S3546" t="s">
        <v>145</v>
      </c>
      <c r="U3546">
        <v>0</v>
      </c>
      <c r="V3546" t="s">
        <v>541</v>
      </c>
      <c r="W3546" t="s">
        <v>562</v>
      </c>
      <c r="X3546" s="784">
        <v>49012774.055630356</v>
      </c>
    </row>
    <row r="3547" spans="1:24">
      <c r="A3547" t="s">
        <v>358</v>
      </c>
      <c r="B3547" t="s">
        <v>669</v>
      </c>
      <c r="C3547" t="s">
        <v>271</v>
      </c>
      <c r="D3547" t="s">
        <v>128</v>
      </c>
      <c r="E3547" t="s">
        <v>377</v>
      </c>
      <c r="F3547" t="s">
        <v>384</v>
      </c>
      <c r="G3547" t="s">
        <v>337</v>
      </c>
      <c r="H3547" t="s">
        <v>749</v>
      </c>
      <c r="I3547" t="s">
        <v>743</v>
      </c>
      <c r="J3547" t="s">
        <v>379</v>
      </c>
      <c r="K3547" t="s">
        <v>748</v>
      </c>
      <c r="L3547" s="784">
        <v>815580</v>
      </c>
      <c r="M3547" t="s">
        <v>745</v>
      </c>
      <c r="N3547" s="784" t="s">
        <v>575</v>
      </c>
      <c r="O3547" t="s">
        <v>737</v>
      </c>
      <c r="P3547" t="s">
        <v>1887</v>
      </c>
      <c r="R3547" t="s">
        <v>148</v>
      </c>
      <c r="S3547" t="s">
        <v>145</v>
      </c>
      <c r="U3547">
        <v>1</v>
      </c>
      <c r="V3547" t="s">
        <v>544</v>
      </c>
      <c r="W3547" t="s">
        <v>583</v>
      </c>
      <c r="X3547" s="784" t="s">
        <v>575</v>
      </c>
    </row>
    <row r="3548" spans="1:24">
      <c r="A3548" t="s">
        <v>358</v>
      </c>
      <c r="B3548" t="s">
        <v>670</v>
      </c>
      <c r="C3548" t="s">
        <v>272</v>
      </c>
      <c r="D3548" t="s">
        <v>128</v>
      </c>
      <c r="E3548" t="s">
        <v>377</v>
      </c>
      <c r="F3548" t="s">
        <v>384</v>
      </c>
      <c r="G3548" t="s">
        <v>337</v>
      </c>
      <c r="H3548" t="s">
        <v>749</v>
      </c>
      <c r="I3548" t="s">
        <v>743</v>
      </c>
      <c r="J3548" t="s">
        <v>379</v>
      </c>
      <c r="K3548" t="s">
        <v>748</v>
      </c>
      <c r="L3548" s="784">
        <v>0</v>
      </c>
      <c r="M3548" t="s">
        <v>745</v>
      </c>
      <c r="N3548" s="784" t="s">
        <v>575</v>
      </c>
      <c r="O3548" t="s">
        <v>737</v>
      </c>
      <c r="P3548" t="s">
        <v>1887</v>
      </c>
      <c r="R3548" t="s">
        <v>152</v>
      </c>
      <c r="S3548" t="s">
        <v>146</v>
      </c>
      <c r="U3548">
        <v>0</v>
      </c>
      <c r="V3548" t="s">
        <v>544</v>
      </c>
      <c r="W3548" t="s">
        <v>546</v>
      </c>
      <c r="X3548" s="784">
        <v>16429121142.784708</v>
      </c>
    </row>
    <row r="3549" spans="1:24">
      <c r="A3549" t="s">
        <v>358</v>
      </c>
      <c r="B3549" t="s">
        <v>671</v>
      </c>
      <c r="C3549" t="s">
        <v>273</v>
      </c>
      <c r="D3549" t="s">
        <v>128</v>
      </c>
      <c r="E3549" t="s">
        <v>377</v>
      </c>
      <c r="F3549" t="s">
        <v>384</v>
      </c>
      <c r="G3549" t="s">
        <v>337</v>
      </c>
      <c r="H3549" t="s">
        <v>749</v>
      </c>
      <c r="I3549" t="s">
        <v>743</v>
      </c>
      <c r="J3549" t="s">
        <v>379</v>
      </c>
      <c r="K3549" t="s">
        <v>748</v>
      </c>
      <c r="L3549" s="784">
        <v>1005223</v>
      </c>
      <c r="M3549" t="s">
        <v>745</v>
      </c>
      <c r="N3549" s="784" t="s">
        <v>575</v>
      </c>
      <c r="O3549" t="s">
        <v>737</v>
      </c>
      <c r="P3549" t="s">
        <v>1887</v>
      </c>
      <c r="R3549" t="s">
        <v>148</v>
      </c>
      <c r="S3549" t="s">
        <v>145</v>
      </c>
      <c r="U3549">
        <v>1</v>
      </c>
      <c r="V3549" t="s">
        <v>544</v>
      </c>
      <c r="W3549" t="s">
        <v>542</v>
      </c>
      <c r="X3549" s="784">
        <v>31684581.76217727</v>
      </c>
    </row>
    <row r="3550" spans="1:24">
      <c r="A3550" t="s">
        <v>358</v>
      </c>
      <c r="B3550" t="s">
        <v>672</v>
      </c>
      <c r="C3550" t="s">
        <v>274</v>
      </c>
      <c r="D3550" t="s">
        <v>132</v>
      </c>
      <c r="E3550" t="s">
        <v>377</v>
      </c>
      <c r="F3550" t="s">
        <v>384</v>
      </c>
      <c r="G3550" t="s">
        <v>337</v>
      </c>
      <c r="H3550" t="s">
        <v>749</v>
      </c>
      <c r="I3550" t="s">
        <v>743</v>
      </c>
      <c r="J3550" t="s">
        <v>379</v>
      </c>
      <c r="K3550" t="s">
        <v>748</v>
      </c>
      <c r="L3550" s="784">
        <v>2166298</v>
      </c>
      <c r="M3550" t="s">
        <v>745</v>
      </c>
      <c r="N3550" s="784" t="s">
        <v>575</v>
      </c>
      <c r="O3550" t="s">
        <v>737</v>
      </c>
      <c r="P3550" t="s">
        <v>1887</v>
      </c>
      <c r="R3550" t="s">
        <v>150</v>
      </c>
      <c r="S3550" t="s">
        <v>145</v>
      </c>
      <c r="U3550">
        <v>0</v>
      </c>
      <c r="V3550" t="s">
        <v>544</v>
      </c>
      <c r="W3550" t="s">
        <v>546</v>
      </c>
      <c r="X3550" s="784">
        <v>1373621563.5182886</v>
      </c>
    </row>
    <row r="3551" spans="1:24">
      <c r="A3551" t="s">
        <v>358</v>
      </c>
      <c r="B3551" t="s">
        <v>673</v>
      </c>
      <c r="C3551" t="s">
        <v>275</v>
      </c>
      <c r="D3551" t="s">
        <v>130</v>
      </c>
      <c r="E3551" t="s">
        <v>377</v>
      </c>
      <c r="F3551" t="s">
        <v>384</v>
      </c>
      <c r="G3551" t="s">
        <v>337</v>
      </c>
      <c r="H3551" t="s">
        <v>749</v>
      </c>
      <c r="I3551" t="s">
        <v>743</v>
      </c>
      <c r="J3551" t="s">
        <v>379</v>
      </c>
      <c r="K3551" t="s">
        <v>748</v>
      </c>
      <c r="L3551" s="784">
        <v>0</v>
      </c>
      <c r="M3551" t="s">
        <v>745</v>
      </c>
      <c r="N3551" s="784" t="s">
        <v>575</v>
      </c>
      <c r="O3551" t="s">
        <v>737</v>
      </c>
      <c r="P3551" t="s">
        <v>1887</v>
      </c>
      <c r="R3551" t="s">
        <v>550</v>
      </c>
      <c r="S3551" t="s">
        <v>146</v>
      </c>
      <c r="U3551">
        <v>0</v>
      </c>
      <c r="V3551" t="s">
        <v>541</v>
      </c>
      <c r="W3551" t="s">
        <v>575</v>
      </c>
      <c r="X3551" s="784">
        <v>24214370.889062837</v>
      </c>
    </row>
    <row r="3552" spans="1:24">
      <c r="A3552" t="s">
        <v>358</v>
      </c>
      <c r="B3552" t="s">
        <v>674</v>
      </c>
      <c r="C3552" t="s">
        <v>154</v>
      </c>
      <c r="D3552" t="s">
        <v>130</v>
      </c>
      <c r="E3552" t="s">
        <v>377</v>
      </c>
      <c r="F3552" t="s">
        <v>384</v>
      </c>
      <c r="G3552" t="s">
        <v>337</v>
      </c>
      <c r="H3552" t="s">
        <v>749</v>
      </c>
      <c r="I3552" t="s">
        <v>743</v>
      </c>
      <c r="J3552" t="s">
        <v>379</v>
      </c>
      <c r="K3552" t="s">
        <v>748</v>
      </c>
      <c r="L3552" s="784">
        <v>0</v>
      </c>
      <c r="M3552" t="s">
        <v>745</v>
      </c>
      <c r="N3552" s="784" t="s">
        <v>575</v>
      </c>
      <c r="O3552" t="s">
        <v>737</v>
      </c>
      <c r="P3552" t="s">
        <v>1887</v>
      </c>
      <c r="R3552" t="s">
        <v>152</v>
      </c>
      <c r="S3552" t="s">
        <v>145</v>
      </c>
      <c r="U3552">
        <v>0</v>
      </c>
      <c r="V3552" t="s">
        <v>541</v>
      </c>
      <c r="W3552" t="s">
        <v>548</v>
      </c>
      <c r="X3552" s="784">
        <v>39941279.609447442</v>
      </c>
    </row>
    <row r="3553" spans="1:24">
      <c r="A3553" t="s">
        <v>358</v>
      </c>
      <c r="B3553" t="s">
        <v>675</v>
      </c>
      <c r="C3553" t="s">
        <v>155</v>
      </c>
      <c r="D3553" t="s">
        <v>130</v>
      </c>
      <c r="E3553" t="s">
        <v>377</v>
      </c>
      <c r="F3553" t="s">
        <v>384</v>
      </c>
      <c r="G3553" t="s">
        <v>337</v>
      </c>
      <c r="H3553" t="s">
        <v>749</v>
      </c>
      <c r="I3553" t="s">
        <v>743</v>
      </c>
      <c r="J3553" t="s">
        <v>379</v>
      </c>
      <c r="K3553" t="s">
        <v>748</v>
      </c>
      <c r="L3553" s="784">
        <v>0</v>
      </c>
      <c r="M3553" t="s">
        <v>745</v>
      </c>
      <c r="N3553" s="784" t="s">
        <v>575</v>
      </c>
      <c r="O3553" t="s">
        <v>737</v>
      </c>
      <c r="P3553" t="s">
        <v>1887</v>
      </c>
      <c r="R3553" t="s">
        <v>152</v>
      </c>
      <c r="S3553" t="s">
        <v>145</v>
      </c>
      <c r="U3553">
        <v>0</v>
      </c>
      <c r="V3553" t="s">
        <v>541</v>
      </c>
      <c r="W3553" t="s">
        <v>542</v>
      </c>
      <c r="X3553" s="784">
        <v>24761675.260059897</v>
      </c>
    </row>
    <row r="3554" spans="1:24">
      <c r="A3554" t="s">
        <v>358</v>
      </c>
      <c r="B3554" t="s">
        <v>676</v>
      </c>
      <c r="C3554" t="s">
        <v>276</v>
      </c>
      <c r="D3554" t="s">
        <v>131</v>
      </c>
      <c r="E3554" t="s">
        <v>377</v>
      </c>
      <c r="F3554" t="s">
        <v>384</v>
      </c>
      <c r="G3554" t="s">
        <v>337</v>
      </c>
      <c r="H3554" t="s">
        <v>749</v>
      </c>
      <c r="I3554" t="s">
        <v>743</v>
      </c>
      <c r="J3554" t="s">
        <v>379</v>
      </c>
      <c r="K3554" t="s">
        <v>748</v>
      </c>
      <c r="L3554" s="784">
        <v>0</v>
      </c>
      <c r="M3554" t="s">
        <v>745</v>
      </c>
      <c r="N3554" s="784" t="s">
        <v>575</v>
      </c>
      <c r="O3554" t="s">
        <v>737</v>
      </c>
      <c r="P3554" t="s">
        <v>1887</v>
      </c>
      <c r="R3554" t="s">
        <v>150</v>
      </c>
      <c r="S3554" t="s">
        <v>145</v>
      </c>
      <c r="U3554">
        <v>0</v>
      </c>
      <c r="V3554" t="s">
        <v>544</v>
      </c>
      <c r="W3554" t="s">
        <v>546</v>
      </c>
      <c r="X3554" s="784" t="s">
        <v>575</v>
      </c>
    </row>
    <row r="3555" spans="1:24">
      <c r="A3555" t="s">
        <v>358</v>
      </c>
      <c r="B3555" t="s">
        <v>677</v>
      </c>
      <c r="C3555" t="s">
        <v>277</v>
      </c>
      <c r="D3555" t="s">
        <v>131</v>
      </c>
      <c r="E3555" t="s">
        <v>377</v>
      </c>
      <c r="F3555" t="s">
        <v>384</v>
      </c>
      <c r="G3555" t="s">
        <v>337</v>
      </c>
      <c r="H3555" t="s">
        <v>749</v>
      </c>
      <c r="I3555" t="s">
        <v>743</v>
      </c>
      <c r="J3555" t="s">
        <v>379</v>
      </c>
      <c r="K3555" t="s">
        <v>748</v>
      </c>
      <c r="L3555" s="784">
        <v>0</v>
      </c>
      <c r="M3555" t="s">
        <v>745</v>
      </c>
      <c r="N3555" s="784" t="s">
        <v>575</v>
      </c>
      <c r="O3555" t="s">
        <v>737</v>
      </c>
      <c r="P3555" t="s">
        <v>1887</v>
      </c>
      <c r="R3555" t="s">
        <v>148</v>
      </c>
      <c r="S3555" t="s">
        <v>145</v>
      </c>
      <c r="U3555">
        <v>1</v>
      </c>
      <c r="V3555" t="s">
        <v>544</v>
      </c>
      <c r="W3555" t="s">
        <v>546</v>
      </c>
      <c r="X3555" s="784">
        <v>577156172.71229994</v>
      </c>
    </row>
    <row r="3556" spans="1:24">
      <c r="A3556" t="s">
        <v>358</v>
      </c>
      <c r="B3556" t="s">
        <v>678</v>
      </c>
      <c r="C3556" t="s">
        <v>278</v>
      </c>
      <c r="D3556" t="s">
        <v>126</v>
      </c>
      <c r="E3556" t="s">
        <v>377</v>
      </c>
      <c r="F3556" t="s">
        <v>384</v>
      </c>
      <c r="G3556" t="s">
        <v>337</v>
      </c>
      <c r="H3556" t="s">
        <v>749</v>
      </c>
      <c r="I3556" t="s">
        <v>743</v>
      </c>
      <c r="J3556" t="s">
        <v>379</v>
      </c>
      <c r="K3556" t="s">
        <v>748</v>
      </c>
      <c r="L3556" s="784">
        <v>0</v>
      </c>
      <c r="M3556" t="s">
        <v>745</v>
      </c>
      <c r="N3556" s="784" t="s">
        <v>575</v>
      </c>
      <c r="O3556" t="s">
        <v>737</v>
      </c>
      <c r="P3556" t="s">
        <v>1887</v>
      </c>
      <c r="R3556" t="s">
        <v>152</v>
      </c>
      <c r="S3556" t="s">
        <v>146</v>
      </c>
      <c r="U3556">
        <v>0</v>
      </c>
      <c r="V3556" t="s">
        <v>541</v>
      </c>
      <c r="W3556" t="s">
        <v>575</v>
      </c>
      <c r="X3556" s="784">
        <v>180052034.19851837</v>
      </c>
    </row>
    <row r="3557" spans="1:24">
      <c r="A3557" t="s">
        <v>358</v>
      </c>
      <c r="B3557" t="s">
        <v>679</v>
      </c>
      <c r="C3557" t="s">
        <v>279</v>
      </c>
      <c r="D3557" t="s">
        <v>131</v>
      </c>
      <c r="E3557" t="s">
        <v>377</v>
      </c>
      <c r="F3557" t="s">
        <v>384</v>
      </c>
      <c r="G3557" t="s">
        <v>337</v>
      </c>
      <c r="H3557" t="s">
        <v>749</v>
      </c>
      <c r="I3557" t="s">
        <v>743</v>
      </c>
      <c r="J3557" t="s">
        <v>379</v>
      </c>
      <c r="K3557" t="s">
        <v>748</v>
      </c>
      <c r="L3557" s="784">
        <v>0</v>
      </c>
      <c r="M3557" t="s">
        <v>745</v>
      </c>
      <c r="N3557" s="784" t="s">
        <v>575</v>
      </c>
      <c r="O3557" t="s">
        <v>737</v>
      </c>
      <c r="P3557" t="s">
        <v>1887</v>
      </c>
      <c r="R3557" t="s">
        <v>148</v>
      </c>
      <c r="S3557" t="s">
        <v>145</v>
      </c>
      <c r="U3557">
        <v>1</v>
      </c>
      <c r="V3557" t="s">
        <v>544</v>
      </c>
      <c r="W3557" t="s">
        <v>546</v>
      </c>
      <c r="X3557" s="784" t="s">
        <v>575</v>
      </c>
    </row>
    <row r="3558" spans="1:24">
      <c r="A3558" t="s">
        <v>358</v>
      </c>
      <c r="B3558" t="s">
        <v>680</v>
      </c>
      <c r="C3558" t="s">
        <v>280</v>
      </c>
      <c r="D3558" t="s">
        <v>127</v>
      </c>
      <c r="E3558" t="s">
        <v>377</v>
      </c>
      <c r="F3558" t="s">
        <v>384</v>
      </c>
      <c r="G3558" t="s">
        <v>337</v>
      </c>
      <c r="H3558" t="s">
        <v>749</v>
      </c>
      <c r="I3558" t="s">
        <v>743</v>
      </c>
      <c r="J3558" t="s">
        <v>379</v>
      </c>
      <c r="K3558" t="s">
        <v>748</v>
      </c>
      <c r="L3558" s="784">
        <v>0</v>
      </c>
      <c r="M3558" t="s">
        <v>745</v>
      </c>
      <c r="N3558" s="784" t="s">
        <v>575</v>
      </c>
      <c r="O3558" t="s">
        <v>737</v>
      </c>
      <c r="P3558" t="s">
        <v>1887</v>
      </c>
      <c r="R3558" t="s">
        <v>150</v>
      </c>
      <c r="S3558" t="s">
        <v>145</v>
      </c>
      <c r="U3558">
        <v>0</v>
      </c>
      <c r="V3558" t="s">
        <v>544</v>
      </c>
      <c r="W3558" t="s">
        <v>542</v>
      </c>
      <c r="X3558" s="784">
        <v>147296124.32232863</v>
      </c>
    </row>
    <row r="3559" spans="1:24">
      <c r="A3559" t="s">
        <v>358</v>
      </c>
      <c r="B3559" t="s">
        <v>681</v>
      </c>
      <c r="C3559" t="s">
        <v>156</v>
      </c>
      <c r="D3559" t="s">
        <v>128</v>
      </c>
      <c r="E3559" t="s">
        <v>377</v>
      </c>
      <c r="F3559" t="s">
        <v>384</v>
      </c>
      <c r="G3559" t="s">
        <v>337</v>
      </c>
      <c r="H3559" t="s">
        <v>749</v>
      </c>
      <c r="I3559" t="s">
        <v>743</v>
      </c>
      <c r="J3559" t="s">
        <v>379</v>
      </c>
      <c r="K3559" t="s">
        <v>748</v>
      </c>
      <c r="L3559" s="784">
        <v>0</v>
      </c>
      <c r="M3559" t="s">
        <v>745</v>
      </c>
      <c r="N3559" s="784" t="s">
        <v>575</v>
      </c>
      <c r="O3559" t="s">
        <v>737</v>
      </c>
      <c r="P3559" t="s">
        <v>1887</v>
      </c>
      <c r="R3559" t="s">
        <v>150</v>
      </c>
      <c r="S3559" t="s">
        <v>145</v>
      </c>
      <c r="U3559">
        <v>0</v>
      </c>
      <c r="V3559" t="s">
        <v>544</v>
      </c>
      <c r="W3559" t="s">
        <v>548</v>
      </c>
      <c r="X3559" s="784">
        <v>890576536.83065879</v>
      </c>
    </row>
    <row r="3560" spans="1:24">
      <c r="A3560" t="s">
        <v>358</v>
      </c>
      <c r="B3560" t="s">
        <v>682</v>
      </c>
      <c r="C3560" t="s">
        <v>157</v>
      </c>
      <c r="D3560" t="s">
        <v>126</v>
      </c>
      <c r="E3560" t="s">
        <v>377</v>
      </c>
      <c r="F3560" t="s">
        <v>384</v>
      </c>
      <c r="G3560" t="s">
        <v>337</v>
      </c>
      <c r="H3560" t="s">
        <v>749</v>
      </c>
      <c r="I3560" t="s">
        <v>743</v>
      </c>
      <c r="J3560" t="s">
        <v>379</v>
      </c>
      <c r="K3560" t="s">
        <v>748</v>
      </c>
      <c r="L3560" s="784">
        <v>693880</v>
      </c>
      <c r="M3560" t="s">
        <v>745</v>
      </c>
      <c r="N3560" s="784" t="s">
        <v>575</v>
      </c>
      <c r="O3560" t="s">
        <v>737</v>
      </c>
      <c r="P3560" t="s">
        <v>1887</v>
      </c>
      <c r="R3560" t="s">
        <v>152</v>
      </c>
      <c r="S3560" t="s">
        <v>146</v>
      </c>
      <c r="U3560">
        <v>0</v>
      </c>
      <c r="V3560" t="s">
        <v>544</v>
      </c>
      <c r="W3560" t="s">
        <v>575</v>
      </c>
      <c r="X3560" s="784">
        <v>14611129792.346064</v>
      </c>
    </row>
    <row r="3561" spans="1:24">
      <c r="A3561" t="s">
        <v>358</v>
      </c>
      <c r="B3561" t="s">
        <v>683</v>
      </c>
      <c r="C3561" t="s">
        <v>281</v>
      </c>
      <c r="D3561" t="s">
        <v>126</v>
      </c>
      <c r="E3561" t="s">
        <v>377</v>
      </c>
      <c r="F3561" t="s">
        <v>384</v>
      </c>
      <c r="G3561" t="s">
        <v>337</v>
      </c>
      <c r="H3561" t="s">
        <v>749</v>
      </c>
      <c r="I3561" t="s">
        <v>743</v>
      </c>
      <c r="J3561" t="s">
        <v>379</v>
      </c>
      <c r="K3561" t="s">
        <v>748</v>
      </c>
      <c r="L3561" s="784">
        <v>1135520</v>
      </c>
      <c r="M3561" t="s">
        <v>745</v>
      </c>
      <c r="N3561" s="784" t="s">
        <v>575</v>
      </c>
      <c r="O3561" t="s">
        <v>737</v>
      </c>
      <c r="P3561" t="s">
        <v>1887</v>
      </c>
      <c r="R3561" t="s">
        <v>150</v>
      </c>
      <c r="S3561" t="s">
        <v>145</v>
      </c>
      <c r="U3561">
        <v>0</v>
      </c>
      <c r="V3561" t="s">
        <v>541</v>
      </c>
      <c r="W3561" t="s">
        <v>558</v>
      </c>
      <c r="X3561" s="784">
        <v>72046877.233008593</v>
      </c>
    </row>
    <row r="3562" spans="1:24">
      <c r="A3562" t="s">
        <v>358</v>
      </c>
      <c r="B3562" t="s">
        <v>684</v>
      </c>
      <c r="C3562" t="s">
        <v>282</v>
      </c>
      <c r="D3562" t="s">
        <v>129</v>
      </c>
      <c r="E3562" t="s">
        <v>377</v>
      </c>
      <c r="F3562" t="s">
        <v>384</v>
      </c>
      <c r="G3562" t="s">
        <v>337</v>
      </c>
      <c r="H3562" t="s">
        <v>749</v>
      </c>
      <c r="I3562" t="s">
        <v>743</v>
      </c>
      <c r="J3562" t="s">
        <v>379</v>
      </c>
      <c r="K3562" t="s">
        <v>748</v>
      </c>
      <c r="L3562" s="784">
        <v>0</v>
      </c>
      <c r="M3562" t="s">
        <v>745</v>
      </c>
      <c r="N3562" s="784" t="s">
        <v>575</v>
      </c>
      <c r="O3562" t="s">
        <v>737</v>
      </c>
      <c r="P3562" t="s">
        <v>1887</v>
      </c>
      <c r="R3562" t="s">
        <v>148</v>
      </c>
      <c r="S3562" t="s">
        <v>145</v>
      </c>
      <c r="U3562">
        <v>0</v>
      </c>
      <c r="V3562" t="s">
        <v>544</v>
      </c>
      <c r="W3562" t="s">
        <v>542</v>
      </c>
      <c r="X3562" s="784">
        <v>56248139.267255567</v>
      </c>
    </row>
    <row r="3563" spans="1:24">
      <c r="A3563" t="s">
        <v>358</v>
      </c>
      <c r="B3563" t="s">
        <v>685</v>
      </c>
      <c r="C3563" t="s">
        <v>283</v>
      </c>
      <c r="D3563" t="s">
        <v>126</v>
      </c>
      <c r="E3563" t="s">
        <v>377</v>
      </c>
      <c r="F3563" t="s">
        <v>384</v>
      </c>
      <c r="G3563" t="s">
        <v>337</v>
      </c>
      <c r="H3563" t="s">
        <v>749</v>
      </c>
      <c r="I3563" t="s">
        <v>743</v>
      </c>
      <c r="J3563" t="s">
        <v>379</v>
      </c>
      <c r="K3563" t="s">
        <v>748</v>
      </c>
      <c r="L3563" s="784">
        <v>498460</v>
      </c>
      <c r="M3563" t="s">
        <v>745</v>
      </c>
      <c r="N3563" s="784" t="s">
        <v>575</v>
      </c>
      <c r="O3563" t="s">
        <v>737</v>
      </c>
      <c r="P3563" t="s">
        <v>1887</v>
      </c>
      <c r="R3563" t="s">
        <v>152</v>
      </c>
      <c r="S3563" t="s">
        <v>145</v>
      </c>
      <c r="U3563">
        <v>0</v>
      </c>
      <c r="V3563" t="s">
        <v>541</v>
      </c>
      <c r="W3563" t="s">
        <v>542</v>
      </c>
      <c r="X3563" s="784">
        <v>15464031.712942109</v>
      </c>
    </row>
    <row r="3564" spans="1:24">
      <c r="A3564" t="s">
        <v>358</v>
      </c>
      <c r="B3564" t="s">
        <v>686</v>
      </c>
      <c r="C3564" t="s">
        <v>284</v>
      </c>
      <c r="D3564" t="s">
        <v>130</v>
      </c>
      <c r="E3564" t="s">
        <v>377</v>
      </c>
      <c r="F3564" t="s">
        <v>384</v>
      </c>
      <c r="G3564" t="s">
        <v>337</v>
      </c>
      <c r="H3564" t="s">
        <v>749</v>
      </c>
      <c r="I3564" t="s">
        <v>743</v>
      </c>
      <c r="J3564" t="s">
        <v>379</v>
      </c>
      <c r="K3564" t="s">
        <v>748</v>
      </c>
      <c r="L3564" s="784">
        <v>0</v>
      </c>
      <c r="M3564" t="s">
        <v>745</v>
      </c>
      <c r="N3564" s="784" t="s">
        <v>575</v>
      </c>
      <c r="O3564" t="s">
        <v>737</v>
      </c>
      <c r="P3564" t="s">
        <v>1887</v>
      </c>
      <c r="R3564" t="s">
        <v>550</v>
      </c>
      <c r="S3564" t="s">
        <v>146</v>
      </c>
      <c r="U3564">
        <v>0</v>
      </c>
      <c r="V3564" t="s">
        <v>541</v>
      </c>
      <c r="W3564" t="s">
        <v>546</v>
      </c>
      <c r="X3564" s="784">
        <v>769564399.33249676</v>
      </c>
    </row>
    <row r="3565" spans="1:24">
      <c r="A3565" t="s">
        <v>358</v>
      </c>
      <c r="B3565" t="s">
        <v>687</v>
      </c>
      <c r="C3565" t="s">
        <v>285</v>
      </c>
      <c r="D3565" t="s">
        <v>131</v>
      </c>
      <c r="E3565" t="s">
        <v>377</v>
      </c>
      <c r="F3565" t="s">
        <v>384</v>
      </c>
      <c r="G3565" t="s">
        <v>337</v>
      </c>
      <c r="H3565" t="s">
        <v>749</v>
      </c>
      <c r="I3565" t="s">
        <v>743</v>
      </c>
      <c r="J3565" t="s">
        <v>379</v>
      </c>
      <c r="K3565" t="s">
        <v>748</v>
      </c>
      <c r="L3565" s="784">
        <v>650000</v>
      </c>
      <c r="M3565" t="s">
        <v>745</v>
      </c>
      <c r="N3565" s="784" t="s">
        <v>575</v>
      </c>
      <c r="O3565" t="s">
        <v>737</v>
      </c>
      <c r="P3565" t="s">
        <v>1887</v>
      </c>
      <c r="R3565" t="s">
        <v>150</v>
      </c>
      <c r="S3565" t="s">
        <v>145</v>
      </c>
      <c r="U3565">
        <v>0</v>
      </c>
      <c r="V3565" t="s">
        <v>544</v>
      </c>
      <c r="W3565" t="s">
        <v>546</v>
      </c>
      <c r="X3565" s="784">
        <v>1668954539.7630196</v>
      </c>
    </row>
    <row r="3566" spans="1:24">
      <c r="A3566" t="s">
        <v>358</v>
      </c>
      <c r="B3566" t="s">
        <v>688</v>
      </c>
      <c r="C3566" t="s">
        <v>286</v>
      </c>
      <c r="D3566" t="s">
        <v>127</v>
      </c>
      <c r="E3566" t="s">
        <v>377</v>
      </c>
      <c r="F3566" t="s">
        <v>384</v>
      </c>
      <c r="G3566" t="s">
        <v>337</v>
      </c>
      <c r="H3566" t="s">
        <v>749</v>
      </c>
      <c r="I3566" t="s">
        <v>743</v>
      </c>
      <c r="J3566" t="s">
        <v>379</v>
      </c>
      <c r="K3566" t="s">
        <v>748</v>
      </c>
      <c r="L3566" s="784">
        <v>0</v>
      </c>
      <c r="M3566" t="s">
        <v>745</v>
      </c>
      <c r="N3566" s="784" t="s">
        <v>575</v>
      </c>
      <c r="O3566" t="s">
        <v>737</v>
      </c>
      <c r="P3566" t="s">
        <v>1887</v>
      </c>
      <c r="R3566" t="s">
        <v>152</v>
      </c>
      <c r="S3566" t="s">
        <v>146</v>
      </c>
      <c r="U3566">
        <v>0</v>
      </c>
      <c r="V3566" t="s">
        <v>544</v>
      </c>
      <c r="W3566" t="s">
        <v>575</v>
      </c>
      <c r="X3566" s="784">
        <v>24840920016.18832</v>
      </c>
    </row>
    <row r="3567" spans="1:24">
      <c r="A3567" t="s">
        <v>358</v>
      </c>
      <c r="B3567" t="s">
        <v>689</v>
      </c>
      <c r="C3567" t="s">
        <v>287</v>
      </c>
      <c r="D3567" t="s">
        <v>127</v>
      </c>
      <c r="E3567" t="s">
        <v>377</v>
      </c>
      <c r="F3567" t="s">
        <v>384</v>
      </c>
      <c r="G3567" t="s">
        <v>337</v>
      </c>
      <c r="H3567" t="s">
        <v>749</v>
      </c>
      <c r="I3567" t="s">
        <v>743</v>
      </c>
      <c r="J3567" t="s">
        <v>379</v>
      </c>
      <c r="K3567" t="s">
        <v>748</v>
      </c>
      <c r="L3567" s="784">
        <v>0</v>
      </c>
      <c r="M3567" t="s">
        <v>745</v>
      </c>
      <c r="N3567" s="784" t="s">
        <v>575</v>
      </c>
      <c r="O3567" t="s">
        <v>737</v>
      </c>
      <c r="P3567" t="s">
        <v>1887</v>
      </c>
      <c r="R3567" t="s">
        <v>152</v>
      </c>
      <c r="S3567" t="s">
        <v>146</v>
      </c>
      <c r="U3567">
        <v>0</v>
      </c>
      <c r="V3567" t="s">
        <v>544</v>
      </c>
      <c r="W3567" t="s">
        <v>546</v>
      </c>
      <c r="X3567" s="784">
        <v>487888462.83720118</v>
      </c>
    </row>
    <row r="3568" spans="1:24">
      <c r="A3568" t="s">
        <v>358</v>
      </c>
      <c r="B3568" t="s">
        <v>690</v>
      </c>
      <c r="C3568" t="s">
        <v>288</v>
      </c>
      <c r="D3568" t="s">
        <v>126</v>
      </c>
      <c r="E3568" t="s">
        <v>377</v>
      </c>
      <c r="F3568" t="s">
        <v>384</v>
      </c>
      <c r="G3568" t="s">
        <v>337</v>
      </c>
      <c r="H3568" t="s">
        <v>749</v>
      </c>
      <c r="I3568" t="s">
        <v>743</v>
      </c>
      <c r="J3568" t="s">
        <v>379</v>
      </c>
      <c r="K3568" t="s">
        <v>748</v>
      </c>
      <c r="L3568" s="784">
        <v>133119</v>
      </c>
      <c r="M3568" t="s">
        <v>745</v>
      </c>
      <c r="N3568" s="784" t="s">
        <v>575</v>
      </c>
      <c r="O3568" t="s">
        <v>737</v>
      </c>
      <c r="P3568" t="s">
        <v>1887</v>
      </c>
      <c r="R3568" t="s">
        <v>152</v>
      </c>
      <c r="S3568" t="s">
        <v>145</v>
      </c>
      <c r="U3568">
        <v>0</v>
      </c>
      <c r="V3568" t="s">
        <v>541</v>
      </c>
      <c r="W3568" t="s">
        <v>548</v>
      </c>
      <c r="X3568" s="784">
        <v>6365061.1736073596</v>
      </c>
    </row>
    <row r="3569" spans="1:24">
      <c r="A3569" t="s">
        <v>358</v>
      </c>
      <c r="B3569" t="s">
        <v>691</v>
      </c>
      <c r="C3569" t="s">
        <v>289</v>
      </c>
      <c r="D3569" t="s">
        <v>128</v>
      </c>
      <c r="E3569" t="s">
        <v>377</v>
      </c>
      <c r="F3569" t="s">
        <v>384</v>
      </c>
      <c r="G3569" t="s">
        <v>337</v>
      </c>
      <c r="H3569" t="s">
        <v>749</v>
      </c>
      <c r="I3569" t="s">
        <v>743</v>
      </c>
      <c r="J3569" t="s">
        <v>379</v>
      </c>
      <c r="K3569" t="s">
        <v>748</v>
      </c>
      <c r="L3569" s="784">
        <v>1518928</v>
      </c>
      <c r="M3569" t="s">
        <v>745</v>
      </c>
      <c r="N3569" s="784" t="s">
        <v>575</v>
      </c>
      <c r="O3569" t="s">
        <v>737</v>
      </c>
      <c r="P3569" t="s">
        <v>1887</v>
      </c>
      <c r="R3569" t="s">
        <v>148</v>
      </c>
      <c r="S3569" t="s">
        <v>145</v>
      </c>
      <c r="U3569">
        <v>2</v>
      </c>
      <c r="V3569" t="s">
        <v>544</v>
      </c>
      <c r="W3569" t="s">
        <v>558</v>
      </c>
      <c r="X3569" s="784">
        <v>291799092.90196139</v>
      </c>
    </row>
    <row r="3570" spans="1:24">
      <c r="A3570" t="s">
        <v>358</v>
      </c>
      <c r="B3570" t="s">
        <v>692</v>
      </c>
      <c r="C3570" t="s">
        <v>290</v>
      </c>
      <c r="D3570" t="s">
        <v>127</v>
      </c>
      <c r="E3570" t="s">
        <v>377</v>
      </c>
      <c r="F3570" t="s">
        <v>384</v>
      </c>
      <c r="G3570" t="s">
        <v>337</v>
      </c>
      <c r="H3570" t="s">
        <v>749</v>
      </c>
      <c r="I3570" t="s">
        <v>743</v>
      </c>
      <c r="J3570" t="s">
        <v>379</v>
      </c>
      <c r="K3570" t="s">
        <v>748</v>
      </c>
      <c r="L3570" s="784">
        <v>0</v>
      </c>
      <c r="M3570" t="s">
        <v>745</v>
      </c>
      <c r="N3570" s="784" t="s">
        <v>575</v>
      </c>
      <c r="O3570" t="s">
        <v>737</v>
      </c>
      <c r="P3570" t="s">
        <v>1887</v>
      </c>
      <c r="R3570" t="s">
        <v>150</v>
      </c>
      <c r="S3570" t="s">
        <v>145</v>
      </c>
      <c r="U3570">
        <v>0</v>
      </c>
      <c r="V3570" t="s">
        <v>544</v>
      </c>
      <c r="W3570" t="s">
        <v>546</v>
      </c>
      <c r="X3570" s="784">
        <v>4844815340.2135534</v>
      </c>
    </row>
    <row r="3571" spans="1:24">
      <c r="A3571" t="s">
        <v>358</v>
      </c>
      <c r="B3571" t="s">
        <v>693</v>
      </c>
      <c r="C3571" t="s">
        <v>291</v>
      </c>
      <c r="D3571" t="s">
        <v>130</v>
      </c>
      <c r="E3571" t="s">
        <v>377</v>
      </c>
      <c r="F3571" t="s">
        <v>384</v>
      </c>
      <c r="G3571" t="s">
        <v>337</v>
      </c>
      <c r="H3571" t="s">
        <v>749</v>
      </c>
      <c r="I3571" t="s">
        <v>743</v>
      </c>
      <c r="J3571" t="s">
        <v>379</v>
      </c>
      <c r="K3571" t="s">
        <v>748</v>
      </c>
      <c r="L3571" s="784">
        <v>0</v>
      </c>
      <c r="M3571" t="s">
        <v>745</v>
      </c>
      <c r="N3571" s="784" t="s">
        <v>575</v>
      </c>
      <c r="O3571" t="s">
        <v>737</v>
      </c>
      <c r="P3571" t="s">
        <v>1887</v>
      </c>
      <c r="R3571" t="s">
        <v>550</v>
      </c>
      <c r="S3571" t="s">
        <v>146</v>
      </c>
      <c r="U3571">
        <v>0</v>
      </c>
      <c r="V3571" t="s">
        <v>544</v>
      </c>
      <c r="W3571" t="s">
        <v>575</v>
      </c>
      <c r="X3571" s="784">
        <v>4001891446.6871672</v>
      </c>
    </row>
    <row r="3572" spans="1:24">
      <c r="A3572" t="s">
        <v>358</v>
      </c>
      <c r="B3572" t="s">
        <v>694</v>
      </c>
      <c r="C3572" t="s">
        <v>292</v>
      </c>
      <c r="D3572" t="s">
        <v>127</v>
      </c>
      <c r="E3572" t="s">
        <v>377</v>
      </c>
      <c r="F3572" t="s">
        <v>384</v>
      </c>
      <c r="G3572" t="s">
        <v>337</v>
      </c>
      <c r="H3572" t="s">
        <v>749</v>
      </c>
      <c r="I3572" t="s">
        <v>743</v>
      </c>
      <c r="J3572" t="s">
        <v>379</v>
      </c>
      <c r="K3572" t="s">
        <v>748</v>
      </c>
      <c r="L3572" s="784">
        <v>0</v>
      </c>
      <c r="M3572" t="s">
        <v>745</v>
      </c>
      <c r="N3572" s="784" t="s">
        <v>575</v>
      </c>
      <c r="O3572" t="s">
        <v>737</v>
      </c>
      <c r="P3572" t="s">
        <v>1887</v>
      </c>
      <c r="R3572" t="s">
        <v>150</v>
      </c>
      <c r="S3572" t="s">
        <v>145</v>
      </c>
      <c r="U3572">
        <v>0</v>
      </c>
      <c r="V3572" t="s">
        <v>544</v>
      </c>
      <c r="W3572" t="s">
        <v>558</v>
      </c>
      <c r="X3572" s="784">
        <v>1019800630.5853213</v>
      </c>
    </row>
    <row r="3573" spans="1:24">
      <c r="A3573" t="s">
        <v>358</v>
      </c>
      <c r="B3573" t="s">
        <v>695</v>
      </c>
      <c r="C3573" t="s">
        <v>293</v>
      </c>
      <c r="D3573" t="s">
        <v>126</v>
      </c>
      <c r="E3573" t="s">
        <v>377</v>
      </c>
      <c r="F3573" t="s">
        <v>384</v>
      </c>
      <c r="G3573" t="s">
        <v>337</v>
      </c>
      <c r="H3573" t="s">
        <v>749</v>
      </c>
      <c r="I3573" t="s">
        <v>743</v>
      </c>
      <c r="J3573" t="s">
        <v>379</v>
      </c>
      <c r="K3573" t="s">
        <v>748</v>
      </c>
      <c r="L3573" s="784">
        <v>417188</v>
      </c>
      <c r="M3573" t="s">
        <v>745</v>
      </c>
      <c r="N3573" s="784" t="s">
        <v>575</v>
      </c>
      <c r="O3573" t="s">
        <v>737</v>
      </c>
      <c r="P3573" t="s">
        <v>1887</v>
      </c>
      <c r="R3573" t="s">
        <v>150</v>
      </c>
      <c r="S3573" t="s">
        <v>145</v>
      </c>
      <c r="U3573">
        <v>0</v>
      </c>
      <c r="V3573" t="s">
        <v>541</v>
      </c>
      <c r="W3573" t="s">
        <v>562</v>
      </c>
      <c r="X3573" s="784">
        <v>19578671.310841195</v>
      </c>
    </row>
    <row r="3574" spans="1:24">
      <c r="A3574" t="s">
        <v>358</v>
      </c>
      <c r="B3574" t="s">
        <v>696</v>
      </c>
      <c r="C3574" t="s">
        <v>294</v>
      </c>
      <c r="D3574" t="s">
        <v>130</v>
      </c>
      <c r="E3574" t="s">
        <v>377</v>
      </c>
      <c r="F3574" t="s">
        <v>384</v>
      </c>
      <c r="G3574" t="s">
        <v>337</v>
      </c>
      <c r="H3574" t="s">
        <v>749</v>
      </c>
      <c r="I3574" t="s">
        <v>743</v>
      </c>
      <c r="J3574" t="s">
        <v>379</v>
      </c>
      <c r="K3574" t="s">
        <v>748</v>
      </c>
      <c r="L3574" s="784">
        <v>2175926</v>
      </c>
      <c r="M3574" t="s">
        <v>745</v>
      </c>
      <c r="N3574" s="784" t="s">
        <v>575</v>
      </c>
      <c r="O3574" t="s">
        <v>737</v>
      </c>
      <c r="P3574" t="s">
        <v>1887</v>
      </c>
      <c r="R3574" t="s">
        <v>322</v>
      </c>
      <c r="S3574" t="s">
        <v>146</v>
      </c>
      <c r="U3574">
        <v>0</v>
      </c>
      <c r="V3574" t="s">
        <v>544</v>
      </c>
      <c r="W3574" t="s">
        <v>546</v>
      </c>
      <c r="X3574" s="784">
        <v>3551452001.0684834</v>
      </c>
    </row>
    <row r="3575" spans="1:24">
      <c r="A3575" t="s">
        <v>358</v>
      </c>
      <c r="B3575" t="s">
        <v>697</v>
      </c>
      <c r="C3575" t="s">
        <v>295</v>
      </c>
      <c r="D3575" t="s">
        <v>126</v>
      </c>
      <c r="E3575" t="s">
        <v>377</v>
      </c>
      <c r="F3575" t="s">
        <v>384</v>
      </c>
      <c r="G3575" t="s">
        <v>337</v>
      </c>
      <c r="H3575" t="s">
        <v>749</v>
      </c>
      <c r="I3575" t="s">
        <v>743</v>
      </c>
      <c r="J3575" t="s">
        <v>379</v>
      </c>
      <c r="K3575" t="s">
        <v>748</v>
      </c>
      <c r="L3575" s="784">
        <v>1690799</v>
      </c>
      <c r="M3575" t="s">
        <v>745</v>
      </c>
      <c r="N3575" s="784" t="s">
        <v>575</v>
      </c>
      <c r="O3575" t="s">
        <v>737</v>
      </c>
      <c r="P3575" t="s">
        <v>1887</v>
      </c>
      <c r="R3575" t="s">
        <v>150</v>
      </c>
      <c r="S3575" t="s">
        <v>145</v>
      </c>
      <c r="U3575">
        <v>0</v>
      </c>
      <c r="V3575" t="s">
        <v>544</v>
      </c>
      <c r="W3575" t="s">
        <v>546</v>
      </c>
      <c r="X3575" s="784">
        <v>6603048821.7575006</v>
      </c>
    </row>
    <row r="3576" spans="1:24">
      <c r="A3576" t="s">
        <v>358</v>
      </c>
      <c r="B3576" t="s">
        <v>698</v>
      </c>
      <c r="C3576" t="s">
        <v>296</v>
      </c>
      <c r="D3576" t="s">
        <v>131</v>
      </c>
      <c r="E3576" t="s">
        <v>377</v>
      </c>
      <c r="F3576" t="s">
        <v>384</v>
      </c>
      <c r="G3576" t="s">
        <v>337</v>
      </c>
      <c r="H3576" t="s">
        <v>749</v>
      </c>
      <c r="I3576" t="s">
        <v>743</v>
      </c>
      <c r="J3576" t="s">
        <v>379</v>
      </c>
      <c r="K3576" t="s">
        <v>748</v>
      </c>
      <c r="L3576" s="784">
        <v>0</v>
      </c>
      <c r="M3576" t="s">
        <v>745</v>
      </c>
      <c r="N3576" s="784" t="s">
        <v>575</v>
      </c>
      <c r="O3576" t="s">
        <v>737</v>
      </c>
      <c r="P3576" t="s">
        <v>1887</v>
      </c>
      <c r="R3576" t="s">
        <v>148</v>
      </c>
      <c r="S3576" t="s">
        <v>145</v>
      </c>
      <c r="U3576">
        <v>1</v>
      </c>
      <c r="V3576" t="s">
        <v>544</v>
      </c>
      <c r="W3576" t="s">
        <v>548</v>
      </c>
      <c r="X3576" s="784" t="s">
        <v>575</v>
      </c>
    </row>
    <row r="3577" spans="1:24">
      <c r="A3577" t="s">
        <v>358</v>
      </c>
      <c r="B3577" t="s">
        <v>699</v>
      </c>
      <c r="C3577" t="s">
        <v>297</v>
      </c>
      <c r="D3577" t="s">
        <v>128</v>
      </c>
      <c r="E3577" t="s">
        <v>377</v>
      </c>
      <c r="F3577" t="s">
        <v>384</v>
      </c>
      <c r="G3577" t="s">
        <v>337</v>
      </c>
      <c r="H3577" t="s">
        <v>749</v>
      </c>
      <c r="I3577" t="s">
        <v>743</v>
      </c>
      <c r="J3577" t="s">
        <v>379</v>
      </c>
      <c r="K3577" t="s">
        <v>748</v>
      </c>
      <c r="L3577" s="784">
        <v>1092669</v>
      </c>
      <c r="M3577" t="s">
        <v>745</v>
      </c>
      <c r="N3577" s="784" t="s">
        <v>575</v>
      </c>
      <c r="O3577" t="s">
        <v>737</v>
      </c>
      <c r="P3577" t="s">
        <v>1887</v>
      </c>
      <c r="R3577" t="s">
        <v>150</v>
      </c>
      <c r="S3577" t="s">
        <v>145</v>
      </c>
      <c r="U3577">
        <v>0</v>
      </c>
      <c r="V3577" t="s">
        <v>544</v>
      </c>
      <c r="W3577" t="s">
        <v>542</v>
      </c>
      <c r="X3577" s="784">
        <v>515352723.9821828</v>
      </c>
    </row>
    <row r="3578" spans="1:24">
      <c r="A3578" t="s">
        <v>358</v>
      </c>
      <c r="B3578" t="s">
        <v>700</v>
      </c>
      <c r="C3578" t="s">
        <v>298</v>
      </c>
      <c r="D3578" t="s">
        <v>128</v>
      </c>
      <c r="E3578" t="s">
        <v>377</v>
      </c>
      <c r="F3578" t="s">
        <v>384</v>
      </c>
      <c r="G3578" t="s">
        <v>337</v>
      </c>
      <c r="H3578" t="s">
        <v>749</v>
      </c>
      <c r="I3578" t="s">
        <v>743</v>
      </c>
      <c r="J3578" t="s">
        <v>379</v>
      </c>
      <c r="K3578" t="s">
        <v>748</v>
      </c>
      <c r="L3578" s="784">
        <v>610791</v>
      </c>
      <c r="M3578" t="s">
        <v>745</v>
      </c>
      <c r="N3578" s="784" t="s">
        <v>575</v>
      </c>
      <c r="O3578" t="s">
        <v>737</v>
      </c>
      <c r="P3578" t="s">
        <v>1887</v>
      </c>
      <c r="R3578" t="s">
        <v>150</v>
      </c>
      <c r="S3578" t="s">
        <v>145</v>
      </c>
      <c r="U3578">
        <v>0</v>
      </c>
      <c r="V3578" t="s">
        <v>544</v>
      </c>
      <c r="W3578" t="s">
        <v>546</v>
      </c>
      <c r="X3578" s="784">
        <v>566711742.22428358</v>
      </c>
    </row>
    <row r="3579" spans="1:24">
      <c r="A3579" t="s">
        <v>358</v>
      </c>
      <c r="B3579" t="s">
        <v>540</v>
      </c>
      <c r="C3579" t="s">
        <v>160</v>
      </c>
      <c r="D3579" t="s">
        <v>132</v>
      </c>
      <c r="E3579" t="s">
        <v>377</v>
      </c>
      <c r="F3579" t="s">
        <v>384</v>
      </c>
      <c r="G3579" t="s">
        <v>91</v>
      </c>
      <c r="H3579" t="s">
        <v>749</v>
      </c>
      <c r="I3579">
        <v>2021</v>
      </c>
      <c r="J3579" t="s">
        <v>379</v>
      </c>
      <c r="K3579" t="s">
        <v>546</v>
      </c>
      <c r="L3579" s="784">
        <v>0</v>
      </c>
      <c r="M3579" t="s">
        <v>745</v>
      </c>
      <c r="N3579" s="784" t="s">
        <v>575</v>
      </c>
      <c r="O3579" t="s">
        <v>737</v>
      </c>
      <c r="P3579" t="s">
        <v>1887</v>
      </c>
      <c r="R3579" t="s">
        <v>148</v>
      </c>
      <c r="S3579" t="s">
        <v>145</v>
      </c>
      <c r="U3579">
        <v>1</v>
      </c>
      <c r="V3579" t="s">
        <v>544</v>
      </c>
      <c r="W3579" t="s">
        <v>542</v>
      </c>
      <c r="X3579" s="784">
        <v>95829480.719269618</v>
      </c>
    </row>
    <row r="3580" spans="1:24">
      <c r="A3580" t="s">
        <v>358</v>
      </c>
      <c r="B3580" t="s">
        <v>543</v>
      </c>
      <c r="C3580" t="s">
        <v>161</v>
      </c>
      <c r="D3580" t="s">
        <v>127</v>
      </c>
      <c r="E3580" t="s">
        <v>377</v>
      </c>
      <c r="F3580" t="s">
        <v>384</v>
      </c>
      <c r="G3580" t="s">
        <v>91</v>
      </c>
      <c r="H3580" t="s">
        <v>749</v>
      </c>
      <c r="I3580">
        <v>2021</v>
      </c>
      <c r="J3580" t="s">
        <v>379</v>
      </c>
      <c r="K3580" t="s">
        <v>546</v>
      </c>
      <c r="L3580" s="784">
        <v>0</v>
      </c>
      <c r="M3580" t="s">
        <v>745</v>
      </c>
      <c r="N3580" s="784" t="s">
        <v>575</v>
      </c>
      <c r="O3580" t="s">
        <v>737</v>
      </c>
      <c r="P3580" t="s">
        <v>1887</v>
      </c>
      <c r="R3580" t="s">
        <v>152</v>
      </c>
      <c r="S3580" t="s">
        <v>146</v>
      </c>
      <c r="U3580">
        <v>0</v>
      </c>
      <c r="V3580" t="s">
        <v>544</v>
      </c>
      <c r="W3580" t="s">
        <v>575</v>
      </c>
      <c r="X3580" s="784">
        <v>427904035.52443534</v>
      </c>
    </row>
    <row r="3581" spans="1:24">
      <c r="A3581" t="s">
        <v>358</v>
      </c>
      <c r="B3581" t="s">
        <v>545</v>
      </c>
      <c r="C3581" t="s">
        <v>143</v>
      </c>
      <c r="D3581" t="s">
        <v>131</v>
      </c>
      <c r="E3581" t="s">
        <v>377</v>
      </c>
      <c r="F3581" t="s">
        <v>384</v>
      </c>
      <c r="G3581" t="s">
        <v>91</v>
      </c>
      <c r="H3581" t="s">
        <v>749</v>
      </c>
      <c r="I3581">
        <v>2021</v>
      </c>
      <c r="J3581" t="s">
        <v>379</v>
      </c>
      <c r="K3581" t="s">
        <v>546</v>
      </c>
      <c r="L3581" s="784">
        <v>0</v>
      </c>
      <c r="M3581" t="s">
        <v>745</v>
      </c>
      <c r="N3581" s="784" t="s">
        <v>575</v>
      </c>
      <c r="O3581" t="s">
        <v>737</v>
      </c>
      <c r="P3581" t="s">
        <v>1887</v>
      </c>
      <c r="R3581" t="s">
        <v>150</v>
      </c>
      <c r="S3581" t="s">
        <v>145</v>
      </c>
      <c r="U3581">
        <v>0</v>
      </c>
      <c r="V3581" t="s">
        <v>544</v>
      </c>
      <c r="W3581" t="s">
        <v>546</v>
      </c>
      <c r="X3581" s="784">
        <v>7113361022.7267885</v>
      </c>
    </row>
    <row r="3582" spans="1:24">
      <c r="A3582" t="s">
        <v>358</v>
      </c>
      <c r="B3582" t="s">
        <v>547</v>
      </c>
      <c r="C3582" t="s">
        <v>162</v>
      </c>
      <c r="D3582" t="s">
        <v>128</v>
      </c>
      <c r="E3582" t="s">
        <v>377</v>
      </c>
      <c r="F3582" t="s">
        <v>384</v>
      </c>
      <c r="G3582" t="s">
        <v>91</v>
      </c>
      <c r="H3582" t="s">
        <v>749</v>
      </c>
      <c r="I3582">
        <v>2021</v>
      </c>
      <c r="J3582" t="s">
        <v>379</v>
      </c>
      <c r="K3582" t="s">
        <v>546</v>
      </c>
      <c r="L3582" s="784">
        <v>0</v>
      </c>
      <c r="M3582" t="s">
        <v>745</v>
      </c>
      <c r="N3582" s="784" t="s">
        <v>575</v>
      </c>
      <c r="O3582" t="s">
        <v>737</v>
      </c>
      <c r="P3582" t="s">
        <v>1887</v>
      </c>
      <c r="R3582" t="s">
        <v>150</v>
      </c>
      <c r="S3582" t="s">
        <v>145</v>
      </c>
      <c r="U3582">
        <v>0</v>
      </c>
      <c r="V3582" t="s">
        <v>544</v>
      </c>
      <c r="W3582" t="s">
        <v>548</v>
      </c>
      <c r="X3582" s="784">
        <v>1131865946.5875781</v>
      </c>
    </row>
    <row r="3583" spans="1:24">
      <c r="A3583" t="s">
        <v>358</v>
      </c>
      <c r="B3583" t="s">
        <v>549</v>
      </c>
      <c r="C3583" t="s">
        <v>163</v>
      </c>
      <c r="D3583" t="s">
        <v>130</v>
      </c>
      <c r="E3583" t="s">
        <v>377</v>
      </c>
      <c r="F3583" t="s">
        <v>384</v>
      </c>
      <c r="G3583" t="s">
        <v>91</v>
      </c>
      <c r="H3583" t="s">
        <v>749</v>
      </c>
      <c r="I3583">
        <v>2021</v>
      </c>
      <c r="J3583" t="s">
        <v>379</v>
      </c>
      <c r="K3583" t="s">
        <v>546</v>
      </c>
      <c r="L3583" s="784">
        <v>0</v>
      </c>
      <c r="M3583" t="s">
        <v>745</v>
      </c>
      <c r="N3583" s="784" t="s">
        <v>575</v>
      </c>
      <c r="O3583" t="s">
        <v>737</v>
      </c>
      <c r="P3583" t="s">
        <v>1887</v>
      </c>
      <c r="R3583" t="s">
        <v>550</v>
      </c>
      <c r="S3583" t="s">
        <v>146</v>
      </c>
      <c r="U3583">
        <v>0</v>
      </c>
      <c r="V3583" t="s">
        <v>541</v>
      </c>
      <c r="W3583" t="s">
        <v>575</v>
      </c>
      <c r="X3583" s="784">
        <v>46777779.823447868</v>
      </c>
    </row>
    <row r="3584" spans="1:24">
      <c r="A3584" t="s">
        <v>358</v>
      </c>
      <c r="B3584" t="s">
        <v>551</v>
      </c>
      <c r="C3584" t="s">
        <v>164</v>
      </c>
      <c r="D3584" t="s">
        <v>130</v>
      </c>
      <c r="E3584" t="s">
        <v>377</v>
      </c>
      <c r="F3584" t="s">
        <v>384</v>
      </c>
      <c r="G3584" t="s">
        <v>91</v>
      </c>
      <c r="H3584" t="s">
        <v>749</v>
      </c>
      <c r="I3584">
        <v>2021</v>
      </c>
      <c r="J3584" t="s">
        <v>379</v>
      </c>
      <c r="K3584" t="s">
        <v>546</v>
      </c>
      <c r="L3584" s="784">
        <v>0</v>
      </c>
      <c r="M3584" t="s">
        <v>745</v>
      </c>
      <c r="N3584" s="784" t="s">
        <v>575</v>
      </c>
      <c r="O3584" t="s">
        <v>737</v>
      </c>
      <c r="P3584" t="s">
        <v>1887</v>
      </c>
      <c r="R3584" t="s">
        <v>152</v>
      </c>
      <c r="S3584" t="s">
        <v>146</v>
      </c>
      <c r="U3584">
        <v>0</v>
      </c>
      <c r="V3584" t="s">
        <v>544</v>
      </c>
      <c r="W3584" t="s">
        <v>575</v>
      </c>
      <c r="X3584" s="784">
        <v>30725305777.596794</v>
      </c>
    </row>
    <row r="3585" spans="1:24">
      <c r="A3585" t="s">
        <v>358</v>
      </c>
      <c r="B3585" t="s">
        <v>553</v>
      </c>
      <c r="C3585" t="s">
        <v>165</v>
      </c>
      <c r="D3585" t="s">
        <v>127</v>
      </c>
      <c r="E3585" t="s">
        <v>377</v>
      </c>
      <c r="F3585" t="s">
        <v>384</v>
      </c>
      <c r="G3585" t="s">
        <v>91</v>
      </c>
      <c r="H3585" t="s">
        <v>749</v>
      </c>
      <c r="I3585">
        <v>2021</v>
      </c>
      <c r="J3585" t="s">
        <v>379</v>
      </c>
      <c r="K3585" t="s">
        <v>546</v>
      </c>
      <c r="L3585" s="784">
        <v>0</v>
      </c>
      <c r="M3585" t="s">
        <v>745</v>
      </c>
      <c r="N3585" s="784" t="s">
        <v>575</v>
      </c>
      <c r="O3585" t="s">
        <v>737</v>
      </c>
      <c r="P3585" t="s">
        <v>1887</v>
      </c>
      <c r="R3585" t="s">
        <v>152</v>
      </c>
      <c r="S3585" t="s">
        <v>146</v>
      </c>
      <c r="U3585">
        <v>0</v>
      </c>
      <c r="V3585" t="s">
        <v>544</v>
      </c>
      <c r="W3585" t="s">
        <v>575</v>
      </c>
      <c r="X3585" s="784">
        <v>153815827.8380394</v>
      </c>
    </row>
    <row r="3586" spans="1:24">
      <c r="A3586" t="s">
        <v>358</v>
      </c>
      <c r="B3586" t="s">
        <v>554</v>
      </c>
      <c r="C3586" t="s">
        <v>166</v>
      </c>
      <c r="D3586" t="s">
        <v>127</v>
      </c>
      <c r="E3586" t="s">
        <v>377</v>
      </c>
      <c r="F3586" t="s">
        <v>384</v>
      </c>
      <c r="G3586" t="s">
        <v>91</v>
      </c>
      <c r="H3586" t="s">
        <v>749</v>
      </c>
      <c r="I3586">
        <v>2021</v>
      </c>
      <c r="J3586" t="s">
        <v>379</v>
      </c>
      <c r="K3586" t="s">
        <v>546</v>
      </c>
      <c r="L3586" s="784">
        <v>0</v>
      </c>
      <c r="M3586" t="s">
        <v>745</v>
      </c>
      <c r="N3586" s="784" t="s">
        <v>575</v>
      </c>
      <c r="O3586" t="s">
        <v>737</v>
      </c>
      <c r="P3586" t="s">
        <v>1887</v>
      </c>
      <c r="R3586" t="s">
        <v>152</v>
      </c>
      <c r="S3586" t="s">
        <v>146</v>
      </c>
      <c r="U3586">
        <v>0</v>
      </c>
      <c r="V3586" t="s">
        <v>544</v>
      </c>
      <c r="W3586" t="s">
        <v>546</v>
      </c>
      <c r="X3586" s="784">
        <v>437525105.31216973</v>
      </c>
    </row>
    <row r="3587" spans="1:24">
      <c r="A3587" t="s">
        <v>358</v>
      </c>
      <c r="B3587" t="s">
        <v>555</v>
      </c>
      <c r="C3587" t="s">
        <v>556</v>
      </c>
      <c r="D3587" t="s">
        <v>130</v>
      </c>
      <c r="E3587" t="s">
        <v>377</v>
      </c>
      <c r="F3587" t="s">
        <v>384</v>
      </c>
      <c r="G3587" t="s">
        <v>91</v>
      </c>
      <c r="H3587" t="s">
        <v>749</v>
      </c>
      <c r="I3587">
        <v>2021</v>
      </c>
      <c r="J3587" t="s">
        <v>379</v>
      </c>
      <c r="K3587" t="s">
        <v>546</v>
      </c>
      <c r="L3587" s="784">
        <v>0</v>
      </c>
      <c r="M3587" t="s">
        <v>745</v>
      </c>
      <c r="N3587" s="784" t="s">
        <v>575</v>
      </c>
      <c r="O3587" t="s">
        <v>737</v>
      </c>
      <c r="P3587" t="s">
        <v>1887</v>
      </c>
      <c r="R3587" t="s">
        <v>550</v>
      </c>
      <c r="S3587" t="s">
        <v>146</v>
      </c>
      <c r="U3587">
        <v>0</v>
      </c>
      <c r="V3587" t="s">
        <v>541</v>
      </c>
      <c r="W3587" t="s">
        <v>575</v>
      </c>
      <c r="X3587" s="784">
        <v>149463302.00602186</v>
      </c>
    </row>
    <row r="3588" spans="1:24">
      <c r="A3588" t="s">
        <v>358</v>
      </c>
      <c r="B3588" t="s">
        <v>557</v>
      </c>
      <c r="C3588" t="s">
        <v>167</v>
      </c>
      <c r="D3588" t="s">
        <v>132</v>
      </c>
      <c r="E3588" t="s">
        <v>377</v>
      </c>
      <c r="F3588" t="s">
        <v>384</v>
      </c>
      <c r="G3588" t="s">
        <v>91</v>
      </c>
      <c r="H3588" t="s">
        <v>749</v>
      </c>
      <c r="I3588">
        <v>2021</v>
      </c>
      <c r="J3588" t="s">
        <v>379</v>
      </c>
      <c r="K3588" t="s">
        <v>546</v>
      </c>
      <c r="L3588" s="784">
        <v>4594003.5999999996</v>
      </c>
      <c r="M3588" t="s">
        <v>745</v>
      </c>
      <c r="N3588" s="784" t="s">
        <v>575</v>
      </c>
      <c r="O3588" t="s">
        <v>737</v>
      </c>
      <c r="P3588" t="s">
        <v>1887</v>
      </c>
      <c r="R3588" t="s">
        <v>150</v>
      </c>
      <c r="S3588" t="s">
        <v>145</v>
      </c>
      <c r="U3588">
        <v>0</v>
      </c>
      <c r="V3588" t="s">
        <v>544</v>
      </c>
      <c r="W3588" t="s">
        <v>558</v>
      </c>
      <c r="X3588" s="784">
        <v>1148322593.9600098</v>
      </c>
    </row>
    <row r="3589" spans="1:24">
      <c r="A3589" t="s">
        <v>358</v>
      </c>
      <c r="B3589" t="s">
        <v>559</v>
      </c>
      <c r="C3589" t="s">
        <v>168</v>
      </c>
      <c r="D3589" t="s">
        <v>127</v>
      </c>
      <c r="E3589" t="s">
        <v>377</v>
      </c>
      <c r="F3589" t="s">
        <v>384</v>
      </c>
      <c r="G3589" t="s">
        <v>91</v>
      </c>
      <c r="H3589" t="s">
        <v>749</v>
      </c>
      <c r="I3589">
        <v>2021</v>
      </c>
      <c r="J3589" t="s">
        <v>379</v>
      </c>
      <c r="K3589" t="s">
        <v>546</v>
      </c>
      <c r="L3589" s="784">
        <v>0</v>
      </c>
      <c r="M3589" t="s">
        <v>745</v>
      </c>
      <c r="N3589" s="784" t="s">
        <v>575</v>
      </c>
      <c r="O3589" t="s">
        <v>737</v>
      </c>
      <c r="P3589" t="s">
        <v>1887</v>
      </c>
      <c r="R3589" t="s">
        <v>152</v>
      </c>
      <c r="S3589" t="s">
        <v>146</v>
      </c>
      <c r="U3589">
        <v>0</v>
      </c>
      <c r="V3589" t="s">
        <v>544</v>
      </c>
      <c r="W3589" t="s">
        <v>575</v>
      </c>
      <c r="X3589" s="784">
        <v>2371102058.1093163</v>
      </c>
    </row>
    <row r="3590" spans="1:24">
      <c r="A3590" t="s">
        <v>358</v>
      </c>
      <c r="B3590" t="s">
        <v>560</v>
      </c>
      <c r="C3590" t="s">
        <v>169</v>
      </c>
      <c r="D3590" t="s">
        <v>130</v>
      </c>
      <c r="E3590" t="s">
        <v>377</v>
      </c>
      <c r="F3590" t="s">
        <v>384</v>
      </c>
      <c r="G3590" t="s">
        <v>91</v>
      </c>
      <c r="H3590" t="s">
        <v>749</v>
      </c>
      <c r="I3590">
        <v>2021</v>
      </c>
      <c r="J3590" t="s">
        <v>379</v>
      </c>
      <c r="K3590" t="s">
        <v>546</v>
      </c>
      <c r="L3590" s="784">
        <v>824765</v>
      </c>
      <c r="M3590" t="s">
        <v>745</v>
      </c>
      <c r="N3590" s="784" t="s">
        <v>575</v>
      </c>
      <c r="O3590" t="s">
        <v>737</v>
      </c>
      <c r="P3590" t="s">
        <v>1887</v>
      </c>
      <c r="R3590" t="s">
        <v>150</v>
      </c>
      <c r="S3590" t="s">
        <v>146</v>
      </c>
      <c r="U3590">
        <v>0</v>
      </c>
      <c r="V3590" t="s">
        <v>541</v>
      </c>
      <c r="W3590" t="s">
        <v>546</v>
      </c>
      <c r="X3590" s="784">
        <v>75151620.005215243</v>
      </c>
    </row>
    <row r="3591" spans="1:24">
      <c r="A3591" t="s">
        <v>358</v>
      </c>
      <c r="B3591" t="s">
        <v>561</v>
      </c>
      <c r="C3591" t="s">
        <v>170</v>
      </c>
      <c r="D3591" t="s">
        <v>129</v>
      </c>
      <c r="E3591" t="s">
        <v>377</v>
      </c>
      <c r="F3591" t="s">
        <v>384</v>
      </c>
      <c r="G3591" t="s">
        <v>91</v>
      </c>
      <c r="H3591" t="s">
        <v>749</v>
      </c>
      <c r="I3591">
        <v>2021</v>
      </c>
      <c r="J3591" t="s">
        <v>379</v>
      </c>
      <c r="K3591" t="s">
        <v>546</v>
      </c>
      <c r="L3591" s="784">
        <v>0</v>
      </c>
      <c r="M3591" t="s">
        <v>745</v>
      </c>
      <c r="N3591" s="784" t="s">
        <v>575</v>
      </c>
      <c r="O3591" t="s">
        <v>737</v>
      </c>
      <c r="P3591" t="s">
        <v>1887</v>
      </c>
      <c r="R3591" t="s">
        <v>150</v>
      </c>
      <c r="S3591" t="s">
        <v>145</v>
      </c>
      <c r="U3591">
        <v>0</v>
      </c>
      <c r="V3591" t="s">
        <v>544</v>
      </c>
      <c r="W3591" t="s">
        <v>562</v>
      </c>
      <c r="X3591" s="784">
        <v>69958487.197715744</v>
      </c>
    </row>
    <row r="3592" spans="1:24">
      <c r="A3592" t="s">
        <v>358</v>
      </c>
      <c r="B3592" t="s">
        <v>563</v>
      </c>
      <c r="C3592" t="s">
        <v>171</v>
      </c>
      <c r="D3592" t="s">
        <v>132</v>
      </c>
      <c r="E3592" t="s">
        <v>377</v>
      </c>
      <c r="F3592" t="s">
        <v>384</v>
      </c>
      <c r="G3592" t="s">
        <v>91</v>
      </c>
      <c r="H3592" t="s">
        <v>749</v>
      </c>
      <c r="I3592">
        <v>2021</v>
      </c>
      <c r="J3592" t="s">
        <v>379</v>
      </c>
      <c r="K3592" t="s">
        <v>546</v>
      </c>
      <c r="L3592" s="784">
        <v>0</v>
      </c>
      <c r="M3592" t="s">
        <v>745</v>
      </c>
      <c r="N3592" s="784" t="s">
        <v>575</v>
      </c>
      <c r="O3592" t="s">
        <v>737</v>
      </c>
      <c r="P3592" t="s">
        <v>1887</v>
      </c>
      <c r="R3592" t="s">
        <v>150</v>
      </c>
      <c r="S3592" t="s">
        <v>145</v>
      </c>
      <c r="U3592">
        <v>0</v>
      </c>
      <c r="V3592" t="s">
        <v>544</v>
      </c>
      <c r="W3592" t="s">
        <v>548</v>
      </c>
      <c r="X3592" s="784">
        <v>61654608.560629159</v>
      </c>
    </row>
    <row r="3593" spans="1:24">
      <c r="A3593" t="s">
        <v>358</v>
      </c>
      <c r="B3593" t="s">
        <v>564</v>
      </c>
      <c r="C3593" t="s">
        <v>172</v>
      </c>
      <c r="D3593" t="s">
        <v>130</v>
      </c>
      <c r="E3593" t="s">
        <v>377</v>
      </c>
      <c r="F3593" t="s">
        <v>384</v>
      </c>
      <c r="G3593" t="s">
        <v>91</v>
      </c>
      <c r="H3593" t="s">
        <v>749</v>
      </c>
      <c r="I3593">
        <v>2021</v>
      </c>
      <c r="J3593" t="s">
        <v>379</v>
      </c>
      <c r="K3593" t="s">
        <v>546</v>
      </c>
      <c r="L3593" s="784">
        <v>0</v>
      </c>
      <c r="M3593" t="s">
        <v>745</v>
      </c>
      <c r="N3593" s="784" t="s">
        <v>575</v>
      </c>
      <c r="O3593" t="s">
        <v>737</v>
      </c>
      <c r="P3593" t="s">
        <v>1887</v>
      </c>
      <c r="R3593" t="s">
        <v>150</v>
      </c>
      <c r="S3593" t="s">
        <v>145</v>
      </c>
      <c r="U3593">
        <v>0</v>
      </c>
      <c r="V3593" t="s">
        <v>544</v>
      </c>
      <c r="W3593" t="s">
        <v>546</v>
      </c>
      <c r="X3593" s="784">
        <v>1806638707.7615163</v>
      </c>
    </row>
    <row r="3594" spans="1:24">
      <c r="A3594" t="s">
        <v>358</v>
      </c>
      <c r="B3594" t="s">
        <v>565</v>
      </c>
      <c r="C3594" t="s">
        <v>174</v>
      </c>
      <c r="D3594" t="s">
        <v>127</v>
      </c>
      <c r="E3594" t="s">
        <v>377</v>
      </c>
      <c r="F3594" t="s">
        <v>384</v>
      </c>
      <c r="G3594" t="s">
        <v>91</v>
      </c>
      <c r="H3594" t="s">
        <v>749</v>
      </c>
      <c r="I3594">
        <v>2021</v>
      </c>
      <c r="J3594" t="s">
        <v>379</v>
      </c>
      <c r="K3594" t="s">
        <v>546</v>
      </c>
      <c r="L3594" s="784">
        <v>0</v>
      </c>
      <c r="M3594" t="s">
        <v>745</v>
      </c>
      <c r="N3594" s="784" t="s">
        <v>575</v>
      </c>
      <c r="O3594" t="s">
        <v>737</v>
      </c>
      <c r="P3594" t="s">
        <v>1887</v>
      </c>
      <c r="R3594" t="s">
        <v>152</v>
      </c>
      <c r="S3594" t="s">
        <v>146</v>
      </c>
      <c r="U3594">
        <v>0</v>
      </c>
      <c r="V3594" t="s">
        <v>544</v>
      </c>
      <c r="W3594" t="s">
        <v>546</v>
      </c>
      <c r="X3594" s="784">
        <v>1252696525.0627904</v>
      </c>
    </row>
    <row r="3595" spans="1:24">
      <c r="A3595" t="s">
        <v>358</v>
      </c>
      <c r="B3595" t="s">
        <v>566</v>
      </c>
      <c r="C3595" t="s">
        <v>175</v>
      </c>
      <c r="D3595" t="s">
        <v>128</v>
      </c>
      <c r="E3595" t="s">
        <v>377</v>
      </c>
      <c r="F3595" t="s">
        <v>384</v>
      </c>
      <c r="G3595" t="s">
        <v>91</v>
      </c>
      <c r="H3595" t="s">
        <v>749</v>
      </c>
      <c r="I3595">
        <v>2021</v>
      </c>
      <c r="J3595" t="s">
        <v>379</v>
      </c>
      <c r="K3595" t="s">
        <v>546</v>
      </c>
      <c r="L3595" s="784">
        <v>0</v>
      </c>
      <c r="M3595" t="s">
        <v>745</v>
      </c>
      <c r="N3595" s="784" t="s">
        <v>575</v>
      </c>
      <c r="O3595" t="s">
        <v>737</v>
      </c>
      <c r="P3595" t="s">
        <v>1887</v>
      </c>
      <c r="R3595" t="s">
        <v>152</v>
      </c>
      <c r="S3595" t="s">
        <v>146</v>
      </c>
      <c r="U3595">
        <v>0</v>
      </c>
      <c r="V3595" t="s">
        <v>544</v>
      </c>
      <c r="W3595" t="s">
        <v>575</v>
      </c>
      <c r="X3595" s="784">
        <v>843425084.07334602</v>
      </c>
    </row>
    <row r="3596" spans="1:24">
      <c r="A3596" t="s">
        <v>358</v>
      </c>
      <c r="B3596" t="s">
        <v>567</v>
      </c>
      <c r="C3596" t="s">
        <v>144</v>
      </c>
      <c r="D3596" t="s">
        <v>130</v>
      </c>
      <c r="E3596" t="s">
        <v>377</v>
      </c>
      <c r="F3596" t="s">
        <v>384</v>
      </c>
      <c r="G3596" t="s">
        <v>91</v>
      </c>
      <c r="H3596" t="s">
        <v>749</v>
      </c>
      <c r="I3596">
        <v>2021</v>
      </c>
      <c r="J3596" t="s">
        <v>379</v>
      </c>
      <c r="K3596" t="s">
        <v>546</v>
      </c>
      <c r="L3596" s="784">
        <v>0</v>
      </c>
      <c r="M3596" t="s">
        <v>745</v>
      </c>
      <c r="N3596" s="784" t="s">
        <v>575</v>
      </c>
      <c r="O3596" t="s">
        <v>737</v>
      </c>
      <c r="P3596" t="s">
        <v>1887</v>
      </c>
      <c r="R3596" t="s">
        <v>152</v>
      </c>
      <c r="S3596" t="s">
        <v>146</v>
      </c>
      <c r="U3596">
        <v>0</v>
      </c>
      <c r="V3596" t="s">
        <v>544</v>
      </c>
      <c r="W3596" t="s">
        <v>546</v>
      </c>
      <c r="X3596" s="784">
        <v>74055620038.853683</v>
      </c>
    </row>
    <row r="3597" spans="1:24">
      <c r="A3597" t="s">
        <v>358</v>
      </c>
      <c r="B3597" t="s">
        <v>568</v>
      </c>
      <c r="C3597" t="s">
        <v>176</v>
      </c>
      <c r="D3597" t="s">
        <v>127</v>
      </c>
      <c r="E3597" t="s">
        <v>377</v>
      </c>
      <c r="F3597" t="s">
        <v>384</v>
      </c>
      <c r="G3597" t="s">
        <v>91</v>
      </c>
      <c r="H3597" t="s">
        <v>749</v>
      </c>
      <c r="I3597">
        <v>2021</v>
      </c>
      <c r="J3597" t="s">
        <v>379</v>
      </c>
      <c r="K3597" t="s">
        <v>546</v>
      </c>
      <c r="L3597" s="784">
        <v>0</v>
      </c>
      <c r="M3597" t="s">
        <v>745</v>
      </c>
      <c r="N3597" s="784" t="s">
        <v>575</v>
      </c>
      <c r="O3597" t="s">
        <v>737</v>
      </c>
      <c r="P3597" t="s">
        <v>1887</v>
      </c>
      <c r="R3597" t="s">
        <v>152</v>
      </c>
      <c r="S3597" t="s">
        <v>146</v>
      </c>
      <c r="U3597">
        <v>0</v>
      </c>
      <c r="V3597" t="s">
        <v>544</v>
      </c>
      <c r="W3597" t="s">
        <v>575</v>
      </c>
      <c r="X3597" s="784">
        <v>2803357765.5888777</v>
      </c>
    </row>
    <row r="3598" spans="1:24">
      <c r="A3598" t="s">
        <v>358</v>
      </c>
      <c r="B3598" t="s">
        <v>569</v>
      </c>
      <c r="C3598" t="s">
        <v>177</v>
      </c>
      <c r="D3598" t="s">
        <v>129</v>
      </c>
      <c r="E3598" t="s">
        <v>377</v>
      </c>
      <c r="F3598" t="s">
        <v>384</v>
      </c>
      <c r="G3598" t="s">
        <v>91</v>
      </c>
      <c r="H3598" t="s">
        <v>749</v>
      </c>
      <c r="I3598">
        <v>2021</v>
      </c>
      <c r="J3598" t="s">
        <v>379</v>
      </c>
      <c r="K3598" t="s">
        <v>546</v>
      </c>
      <c r="L3598" s="784">
        <v>0</v>
      </c>
      <c r="M3598" t="s">
        <v>745</v>
      </c>
      <c r="N3598" s="784" t="s">
        <v>575</v>
      </c>
      <c r="O3598" t="s">
        <v>737</v>
      </c>
      <c r="P3598" t="s">
        <v>1887</v>
      </c>
      <c r="R3598" t="s">
        <v>148</v>
      </c>
      <c r="S3598" t="s">
        <v>145</v>
      </c>
      <c r="U3598">
        <v>2</v>
      </c>
      <c r="V3598" t="s">
        <v>544</v>
      </c>
      <c r="W3598" t="s">
        <v>562</v>
      </c>
      <c r="X3598" s="784">
        <v>337927779.25510043</v>
      </c>
    </row>
    <row r="3599" spans="1:24">
      <c r="A3599" t="s">
        <v>358</v>
      </c>
      <c r="B3599" t="s">
        <v>570</v>
      </c>
      <c r="C3599" t="s">
        <v>178</v>
      </c>
      <c r="D3599" t="s">
        <v>128</v>
      </c>
      <c r="E3599" t="s">
        <v>377</v>
      </c>
      <c r="F3599" t="s">
        <v>384</v>
      </c>
      <c r="G3599" t="s">
        <v>91</v>
      </c>
      <c r="H3599" t="s">
        <v>749</v>
      </c>
      <c r="I3599">
        <v>2021</v>
      </c>
      <c r="J3599" t="s">
        <v>379</v>
      </c>
      <c r="K3599" t="s">
        <v>546</v>
      </c>
      <c r="L3599" s="784">
        <v>0</v>
      </c>
      <c r="M3599" t="s">
        <v>745</v>
      </c>
      <c r="N3599" s="784" t="s">
        <v>575</v>
      </c>
      <c r="O3599" t="s">
        <v>737</v>
      </c>
      <c r="P3599" t="s">
        <v>1887</v>
      </c>
      <c r="R3599" t="s">
        <v>148</v>
      </c>
      <c r="S3599" t="s">
        <v>145</v>
      </c>
      <c r="U3599">
        <v>2</v>
      </c>
      <c r="V3599" t="s">
        <v>544</v>
      </c>
      <c r="W3599" t="s">
        <v>548</v>
      </c>
      <c r="X3599" s="784">
        <v>65979512.47399316</v>
      </c>
    </row>
    <row r="3600" spans="1:24">
      <c r="A3600" t="s">
        <v>358</v>
      </c>
      <c r="B3600" t="s">
        <v>571</v>
      </c>
      <c r="C3600" t="s">
        <v>179</v>
      </c>
      <c r="D3600" t="s">
        <v>129</v>
      </c>
      <c r="E3600" t="s">
        <v>377</v>
      </c>
      <c r="F3600" t="s">
        <v>384</v>
      </c>
      <c r="G3600" t="s">
        <v>91</v>
      </c>
      <c r="H3600" t="s">
        <v>749</v>
      </c>
      <c r="I3600">
        <v>2021</v>
      </c>
      <c r="J3600" t="s">
        <v>379</v>
      </c>
      <c r="K3600" t="s">
        <v>546</v>
      </c>
      <c r="L3600" s="784">
        <v>0</v>
      </c>
      <c r="M3600" t="s">
        <v>745</v>
      </c>
      <c r="N3600" s="784" t="s">
        <v>575</v>
      </c>
      <c r="O3600" t="s">
        <v>737</v>
      </c>
      <c r="P3600" t="s">
        <v>1887</v>
      </c>
      <c r="R3600" t="s">
        <v>150</v>
      </c>
      <c r="S3600" t="s">
        <v>145</v>
      </c>
      <c r="U3600">
        <v>0</v>
      </c>
      <c r="V3600" t="s">
        <v>541</v>
      </c>
      <c r="W3600" t="s">
        <v>542</v>
      </c>
      <c r="X3600" s="784">
        <v>63748362.778827004</v>
      </c>
    </row>
    <row r="3601" spans="1:24">
      <c r="A3601" t="s">
        <v>358</v>
      </c>
      <c r="B3601" t="s">
        <v>572</v>
      </c>
      <c r="C3601" t="s">
        <v>180</v>
      </c>
      <c r="D3601" t="s">
        <v>126</v>
      </c>
      <c r="E3601" t="s">
        <v>377</v>
      </c>
      <c r="F3601" t="s">
        <v>384</v>
      </c>
      <c r="G3601" t="s">
        <v>91</v>
      </c>
      <c r="H3601" t="s">
        <v>749</v>
      </c>
      <c r="I3601">
        <v>2021</v>
      </c>
      <c r="J3601" t="s">
        <v>379</v>
      </c>
      <c r="K3601" t="s">
        <v>546</v>
      </c>
      <c r="L3601" s="784">
        <v>0</v>
      </c>
      <c r="M3601" t="s">
        <v>745</v>
      </c>
      <c r="N3601" s="784" t="s">
        <v>575</v>
      </c>
      <c r="O3601" t="s">
        <v>737</v>
      </c>
      <c r="P3601" t="s">
        <v>1887</v>
      </c>
      <c r="R3601" t="s">
        <v>150</v>
      </c>
      <c r="S3601" t="s">
        <v>145</v>
      </c>
      <c r="U3601">
        <v>0</v>
      </c>
      <c r="V3601" t="s">
        <v>544</v>
      </c>
      <c r="W3601" t="s">
        <v>558</v>
      </c>
      <c r="X3601" s="784">
        <v>313039649.45369786</v>
      </c>
    </row>
    <row r="3602" spans="1:24">
      <c r="A3602" t="s">
        <v>358</v>
      </c>
      <c r="B3602" t="s">
        <v>573</v>
      </c>
      <c r="C3602" t="s">
        <v>181</v>
      </c>
      <c r="D3602" t="s">
        <v>129</v>
      </c>
      <c r="E3602" t="s">
        <v>377</v>
      </c>
      <c r="F3602" t="s">
        <v>384</v>
      </c>
      <c r="G3602" t="s">
        <v>91</v>
      </c>
      <c r="H3602" t="s">
        <v>749</v>
      </c>
      <c r="I3602">
        <v>2021</v>
      </c>
      <c r="J3602" t="s">
        <v>379</v>
      </c>
      <c r="K3602" t="s">
        <v>546</v>
      </c>
      <c r="L3602" s="784">
        <v>0</v>
      </c>
      <c r="M3602" t="s">
        <v>745</v>
      </c>
      <c r="N3602" s="784" t="s">
        <v>575</v>
      </c>
      <c r="O3602" t="s">
        <v>737</v>
      </c>
      <c r="P3602" t="s">
        <v>1887</v>
      </c>
      <c r="R3602" t="s">
        <v>150</v>
      </c>
      <c r="S3602" t="s">
        <v>145</v>
      </c>
      <c r="U3602">
        <v>2</v>
      </c>
      <c r="V3602" t="s">
        <v>544</v>
      </c>
      <c r="W3602" t="s">
        <v>542</v>
      </c>
      <c r="X3602" s="784">
        <v>81361801.477472037</v>
      </c>
    </row>
    <row r="3603" spans="1:24">
      <c r="A3603" t="s">
        <v>358</v>
      </c>
      <c r="B3603" t="s">
        <v>574</v>
      </c>
      <c r="C3603" t="s">
        <v>182</v>
      </c>
      <c r="D3603" t="s">
        <v>129</v>
      </c>
      <c r="E3603" t="s">
        <v>377</v>
      </c>
      <c r="F3603" t="s">
        <v>384</v>
      </c>
      <c r="G3603" t="s">
        <v>91</v>
      </c>
      <c r="H3603" t="s">
        <v>749</v>
      </c>
      <c r="I3603">
        <v>2021</v>
      </c>
      <c r="J3603" t="s">
        <v>379</v>
      </c>
      <c r="K3603" t="s">
        <v>546</v>
      </c>
      <c r="L3603" s="784">
        <v>0</v>
      </c>
      <c r="M3603" t="s">
        <v>745</v>
      </c>
      <c r="N3603" s="784" t="s">
        <v>575</v>
      </c>
      <c r="O3603" t="s">
        <v>737</v>
      </c>
      <c r="P3603" t="s">
        <v>1887</v>
      </c>
      <c r="R3603" t="s">
        <v>148</v>
      </c>
      <c r="S3603" t="s">
        <v>145</v>
      </c>
      <c r="U3603">
        <v>1</v>
      </c>
      <c r="V3603" t="s">
        <v>544</v>
      </c>
      <c r="W3603" t="s">
        <v>542</v>
      </c>
      <c r="X3603" s="784" t="s">
        <v>575</v>
      </c>
    </row>
    <row r="3604" spans="1:24">
      <c r="A3604" t="s">
        <v>358</v>
      </c>
      <c r="B3604" t="s">
        <v>576</v>
      </c>
      <c r="C3604" t="s">
        <v>183</v>
      </c>
      <c r="D3604" t="s">
        <v>129</v>
      </c>
      <c r="E3604" t="s">
        <v>377</v>
      </c>
      <c r="F3604" t="s">
        <v>384</v>
      </c>
      <c r="G3604" t="s">
        <v>91</v>
      </c>
      <c r="H3604" t="s">
        <v>749</v>
      </c>
      <c r="I3604">
        <v>2021</v>
      </c>
      <c r="J3604" t="s">
        <v>379</v>
      </c>
      <c r="K3604" t="s">
        <v>546</v>
      </c>
      <c r="L3604" s="784">
        <v>0</v>
      </c>
      <c r="M3604" t="s">
        <v>745</v>
      </c>
      <c r="N3604" s="784" t="s">
        <v>575</v>
      </c>
      <c r="O3604" t="s">
        <v>737</v>
      </c>
      <c r="P3604" t="s">
        <v>1887</v>
      </c>
      <c r="R3604" t="s">
        <v>148</v>
      </c>
      <c r="S3604" t="s">
        <v>145</v>
      </c>
      <c r="U3604">
        <v>1</v>
      </c>
      <c r="V3604" t="s">
        <v>544</v>
      </c>
      <c r="W3604" t="s">
        <v>542</v>
      </c>
      <c r="X3604" s="784">
        <v>76939306.715636879</v>
      </c>
    </row>
    <row r="3605" spans="1:24">
      <c r="A3605" t="s">
        <v>358</v>
      </c>
      <c r="B3605" t="s">
        <v>577</v>
      </c>
      <c r="C3605" t="s">
        <v>184</v>
      </c>
      <c r="D3605" t="s">
        <v>130</v>
      </c>
      <c r="E3605" t="s">
        <v>377</v>
      </c>
      <c r="F3605" t="s">
        <v>384</v>
      </c>
      <c r="G3605" t="s">
        <v>91</v>
      </c>
      <c r="H3605" t="s">
        <v>749</v>
      </c>
      <c r="I3605">
        <v>2021</v>
      </c>
      <c r="J3605" t="s">
        <v>379</v>
      </c>
      <c r="K3605" t="s">
        <v>546</v>
      </c>
      <c r="L3605" s="784">
        <v>0</v>
      </c>
      <c r="M3605" t="s">
        <v>745</v>
      </c>
      <c r="N3605" s="784" t="s">
        <v>575</v>
      </c>
      <c r="O3605" t="s">
        <v>737</v>
      </c>
      <c r="P3605" t="s">
        <v>1887</v>
      </c>
      <c r="R3605" t="s">
        <v>550</v>
      </c>
      <c r="S3605" t="s">
        <v>146</v>
      </c>
      <c r="U3605">
        <v>0</v>
      </c>
      <c r="V3605" t="s">
        <v>544</v>
      </c>
      <c r="W3605" t="s">
        <v>575</v>
      </c>
      <c r="X3605" s="784">
        <v>13859708717.682571</v>
      </c>
    </row>
    <row r="3606" spans="1:24">
      <c r="A3606" t="s">
        <v>358</v>
      </c>
      <c r="B3606" t="s">
        <v>578</v>
      </c>
      <c r="C3606" t="s">
        <v>185</v>
      </c>
      <c r="D3606" t="s">
        <v>126</v>
      </c>
      <c r="E3606" t="s">
        <v>377</v>
      </c>
      <c r="F3606" t="s">
        <v>384</v>
      </c>
      <c r="G3606" t="s">
        <v>91</v>
      </c>
      <c r="H3606" t="s">
        <v>749</v>
      </c>
      <c r="I3606">
        <v>2021</v>
      </c>
      <c r="J3606" t="s">
        <v>379</v>
      </c>
      <c r="K3606" t="s">
        <v>546</v>
      </c>
      <c r="L3606" s="784">
        <v>0</v>
      </c>
      <c r="M3606" t="s">
        <v>745</v>
      </c>
      <c r="N3606" s="784" t="s">
        <v>575</v>
      </c>
      <c r="O3606" t="s">
        <v>737</v>
      </c>
      <c r="P3606" t="s">
        <v>1887</v>
      </c>
      <c r="R3606" t="s">
        <v>152</v>
      </c>
      <c r="S3606" t="s">
        <v>146</v>
      </c>
      <c r="U3606">
        <v>0</v>
      </c>
      <c r="V3606" t="s">
        <v>544</v>
      </c>
      <c r="W3606" t="s">
        <v>575</v>
      </c>
      <c r="X3606" s="784">
        <v>403567160707.7016</v>
      </c>
    </row>
    <row r="3607" spans="1:24">
      <c r="A3607" t="s">
        <v>358</v>
      </c>
      <c r="B3607" t="s">
        <v>579</v>
      </c>
      <c r="C3607" t="s">
        <v>186</v>
      </c>
      <c r="D3607" t="s">
        <v>130</v>
      </c>
      <c r="E3607" t="s">
        <v>377</v>
      </c>
      <c r="F3607" t="s">
        <v>384</v>
      </c>
      <c r="G3607" t="s">
        <v>91</v>
      </c>
      <c r="H3607" t="s">
        <v>749</v>
      </c>
      <c r="I3607">
        <v>2021</v>
      </c>
      <c r="J3607" t="s">
        <v>379</v>
      </c>
      <c r="K3607" t="s">
        <v>546</v>
      </c>
      <c r="L3607" s="784">
        <v>0</v>
      </c>
      <c r="M3607" t="s">
        <v>745</v>
      </c>
      <c r="N3607" s="784" t="s">
        <v>575</v>
      </c>
      <c r="O3607" t="s">
        <v>737</v>
      </c>
      <c r="P3607" t="s">
        <v>1887</v>
      </c>
      <c r="R3607" t="s">
        <v>152</v>
      </c>
      <c r="S3607" t="s">
        <v>146</v>
      </c>
      <c r="U3607">
        <v>0</v>
      </c>
      <c r="V3607" t="s">
        <v>544</v>
      </c>
      <c r="W3607" t="s">
        <v>575</v>
      </c>
      <c r="X3607" s="784">
        <v>18250225995.972618</v>
      </c>
    </row>
    <row r="3608" spans="1:24">
      <c r="A3608" t="s">
        <v>358</v>
      </c>
      <c r="B3608" t="s">
        <v>580</v>
      </c>
      <c r="C3608" t="s">
        <v>187</v>
      </c>
      <c r="D3608" t="s">
        <v>128</v>
      </c>
      <c r="E3608" t="s">
        <v>377</v>
      </c>
      <c r="F3608" t="s">
        <v>384</v>
      </c>
      <c r="G3608" t="s">
        <v>91</v>
      </c>
      <c r="H3608" t="s">
        <v>749</v>
      </c>
      <c r="I3608">
        <v>2021</v>
      </c>
      <c r="J3608" t="s">
        <v>379</v>
      </c>
      <c r="K3608" t="s">
        <v>546</v>
      </c>
      <c r="L3608" s="784">
        <v>0</v>
      </c>
      <c r="M3608" t="s">
        <v>745</v>
      </c>
      <c r="N3608" s="784" t="s">
        <v>575</v>
      </c>
      <c r="O3608" t="s">
        <v>737</v>
      </c>
      <c r="P3608" t="s">
        <v>1887</v>
      </c>
      <c r="R3608" t="s">
        <v>150</v>
      </c>
      <c r="S3608" t="s">
        <v>145</v>
      </c>
      <c r="U3608">
        <v>0</v>
      </c>
      <c r="V3608" t="s">
        <v>541</v>
      </c>
      <c r="W3608" t="s">
        <v>562</v>
      </c>
      <c r="X3608" s="784">
        <v>5027591.1682657599</v>
      </c>
    </row>
    <row r="3609" spans="1:24">
      <c r="A3609" t="s">
        <v>358</v>
      </c>
      <c r="B3609" t="s">
        <v>581</v>
      </c>
      <c r="C3609" t="s">
        <v>188</v>
      </c>
      <c r="D3609" t="s">
        <v>129</v>
      </c>
      <c r="E3609" t="s">
        <v>377</v>
      </c>
      <c r="F3609" t="s">
        <v>384</v>
      </c>
      <c r="G3609" t="s">
        <v>91</v>
      </c>
      <c r="H3609" t="s">
        <v>749</v>
      </c>
      <c r="I3609">
        <v>2021</v>
      </c>
      <c r="J3609" t="s">
        <v>379</v>
      </c>
      <c r="K3609" t="s">
        <v>546</v>
      </c>
      <c r="L3609" s="784">
        <v>0</v>
      </c>
      <c r="M3609" t="s">
        <v>745</v>
      </c>
      <c r="N3609" s="784" t="s">
        <v>575</v>
      </c>
      <c r="O3609" t="s">
        <v>737</v>
      </c>
      <c r="P3609" t="s">
        <v>1887</v>
      </c>
      <c r="R3609" t="s">
        <v>148</v>
      </c>
      <c r="S3609" t="s">
        <v>145</v>
      </c>
      <c r="U3609">
        <v>3</v>
      </c>
      <c r="V3609" t="s">
        <v>544</v>
      </c>
      <c r="W3609" t="s">
        <v>562</v>
      </c>
      <c r="X3609" s="784">
        <v>234645958.63289919</v>
      </c>
    </row>
    <row r="3610" spans="1:24">
      <c r="A3610" t="s">
        <v>358</v>
      </c>
      <c r="B3610" t="s">
        <v>582</v>
      </c>
      <c r="C3610" t="s">
        <v>189</v>
      </c>
      <c r="D3610" t="s">
        <v>129</v>
      </c>
      <c r="E3610" t="s">
        <v>377</v>
      </c>
      <c r="F3610" t="s">
        <v>384</v>
      </c>
      <c r="G3610" t="s">
        <v>91</v>
      </c>
      <c r="H3610" t="s">
        <v>749</v>
      </c>
      <c r="I3610">
        <v>2021</v>
      </c>
      <c r="J3610" t="s">
        <v>379</v>
      </c>
      <c r="K3610" t="s">
        <v>546</v>
      </c>
      <c r="L3610" s="784">
        <v>0</v>
      </c>
      <c r="M3610" t="s">
        <v>745</v>
      </c>
      <c r="N3610" s="784" t="s">
        <v>575</v>
      </c>
      <c r="O3610" t="s">
        <v>737</v>
      </c>
      <c r="P3610" t="s">
        <v>1887</v>
      </c>
      <c r="R3610" t="s">
        <v>150</v>
      </c>
      <c r="S3610" t="s">
        <v>145</v>
      </c>
      <c r="U3610">
        <v>2</v>
      </c>
      <c r="V3610" t="s">
        <v>544</v>
      </c>
      <c r="W3610" t="s">
        <v>583</v>
      </c>
      <c r="X3610" s="784">
        <v>91590910.247314155</v>
      </c>
    </row>
    <row r="3611" spans="1:24">
      <c r="A3611" t="s">
        <v>358</v>
      </c>
      <c r="B3611" t="s">
        <v>584</v>
      </c>
      <c r="C3611" t="s">
        <v>190</v>
      </c>
      <c r="D3611" t="s">
        <v>126</v>
      </c>
      <c r="E3611" t="s">
        <v>377</v>
      </c>
      <c r="F3611" t="s">
        <v>384</v>
      </c>
      <c r="G3611" t="s">
        <v>91</v>
      </c>
      <c r="H3611" t="s">
        <v>749</v>
      </c>
      <c r="I3611">
        <v>2021</v>
      </c>
      <c r="J3611" t="s">
        <v>379</v>
      </c>
      <c r="K3611" t="s">
        <v>546</v>
      </c>
      <c r="L3611" s="784">
        <v>0</v>
      </c>
      <c r="M3611" t="s">
        <v>745</v>
      </c>
      <c r="N3611" s="784" t="s">
        <v>575</v>
      </c>
      <c r="O3611" t="s">
        <v>737</v>
      </c>
      <c r="P3611" t="s">
        <v>1887</v>
      </c>
      <c r="R3611" t="s">
        <v>322</v>
      </c>
      <c r="S3611" t="s">
        <v>146</v>
      </c>
      <c r="U3611">
        <v>0</v>
      </c>
      <c r="V3611" t="s">
        <v>541</v>
      </c>
      <c r="W3611" t="s">
        <v>546</v>
      </c>
      <c r="X3611" s="784">
        <v>8560012.8840167802</v>
      </c>
    </row>
    <row r="3612" spans="1:24">
      <c r="A3612" t="s">
        <v>358</v>
      </c>
      <c r="B3612" t="s">
        <v>585</v>
      </c>
      <c r="C3612" t="s">
        <v>191</v>
      </c>
      <c r="D3612" t="s">
        <v>130</v>
      </c>
      <c r="E3612" t="s">
        <v>377</v>
      </c>
      <c r="F3612" t="s">
        <v>384</v>
      </c>
      <c r="G3612" t="s">
        <v>91</v>
      </c>
      <c r="H3612" t="s">
        <v>749</v>
      </c>
      <c r="I3612">
        <v>2021</v>
      </c>
      <c r="J3612" t="s">
        <v>379</v>
      </c>
      <c r="K3612" t="s">
        <v>546</v>
      </c>
      <c r="L3612" s="784">
        <v>0</v>
      </c>
      <c r="M3612" t="s">
        <v>745</v>
      </c>
      <c r="N3612" s="784" t="s">
        <v>575</v>
      </c>
      <c r="O3612" t="s">
        <v>737</v>
      </c>
      <c r="P3612" t="s">
        <v>1887</v>
      </c>
      <c r="R3612" t="s">
        <v>152</v>
      </c>
      <c r="S3612" t="s">
        <v>146</v>
      </c>
      <c r="U3612">
        <v>0</v>
      </c>
      <c r="V3612" t="s">
        <v>544</v>
      </c>
      <c r="W3612" t="s">
        <v>546</v>
      </c>
      <c r="X3612" s="784">
        <v>3292372960.3962669</v>
      </c>
    </row>
    <row r="3613" spans="1:24">
      <c r="A3613" t="s">
        <v>358</v>
      </c>
      <c r="B3613" t="s">
        <v>586</v>
      </c>
      <c r="C3613" t="s">
        <v>192</v>
      </c>
      <c r="D3613" t="s">
        <v>129</v>
      </c>
      <c r="E3613" t="s">
        <v>377</v>
      </c>
      <c r="F3613" t="s">
        <v>384</v>
      </c>
      <c r="G3613" t="s">
        <v>91</v>
      </c>
      <c r="H3613" t="s">
        <v>749</v>
      </c>
      <c r="I3613">
        <v>2021</v>
      </c>
      <c r="J3613" t="s">
        <v>379</v>
      </c>
      <c r="K3613" t="s">
        <v>546</v>
      </c>
      <c r="L3613" s="784">
        <v>0</v>
      </c>
      <c r="M3613" t="s">
        <v>745</v>
      </c>
      <c r="N3613" s="784" t="s">
        <v>575</v>
      </c>
      <c r="O3613" t="s">
        <v>737</v>
      </c>
      <c r="P3613" t="s">
        <v>1887</v>
      </c>
      <c r="R3613" t="s">
        <v>150</v>
      </c>
      <c r="S3613" t="s">
        <v>145</v>
      </c>
      <c r="U3613">
        <v>0</v>
      </c>
      <c r="V3613" t="s">
        <v>544</v>
      </c>
      <c r="W3613" t="s">
        <v>562</v>
      </c>
      <c r="X3613" s="784">
        <v>519209981.22981054</v>
      </c>
    </row>
    <row r="3614" spans="1:24">
      <c r="A3614" t="s">
        <v>358</v>
      </c>
      <c r="B3614" t="s">
        <v>587</v>
      </c>
      <c r="C3614" t="s">
        <v>193</v>
      </c>
      <c r="D3614" t="s">
        <v>127</v>
      </c>
      <c r="E3614" t="s">
        <v>377</v>
      </c>
      <c r="F3614" t="s">
        <v>384</v>
      </c>
      <c r="G3614" t="s">
        <v>91</v>
      </c>
      <c r="H3614" t="s">
        <v>749</v>
      </c>
      <c r="I3614">
        <v>2021</v>
      </c>
      <c r="J3614" t="s">
        <v>379</v>
      </c>
      <c r="K3614" t="s">
        <v>546</v>
      </c>
      <c r="L3614" s="784">
        <v>0</v>
      </c>
      <c r="M3614" t="s">
        <v>745</v>
      </c>
      <c r="N3614" s="784" t="s">
        <v>575</v>
      </c>
      <c r="O3614" t="s">
        <v>737</v>
      </c>
      <c r="P3614" t="s">
        <v>1887</v>
      </c>
      <c r="R3614" t="s">
        <v>550</v>
      </c>
      <c r="S3614" t="s">
        <v>146</v>
      </c>
      <c r="U3614">
        <v>0</v>
      </c>
      <c r="V3614" t="s">
        <v>544</v>
      </c>
      <c r="W3614" t="s">
        <v>575</v>
      </c>
      <c r="X3614" s="784">
        <v>3464739907.1604805</v>
      </c>
    </row>
    <row r="3615" spans="1:24">
      <c r="A3615" t="s">
        <v>358</v>
      </c>
      <c r="B3615" t="s">
        <v>588</v>
      </c>
      <c r="C3615" t="s">
        <v>147</v>
      </c>
      <c r="D3615" t="s">
        <v>130</v>
      </c>
      <c r="E3615" t="s">
        <v>377</v>
      </c>
      <c r="F3615" t="s">
        <v>384</v>
      </c>
      <c r="G3615" t="s">
        <v>91</v>
      </c>
      <c r="H3615" t="s">
        <v>749</v>
      </c>
      <c r="I3615">
        <v>2021</v>
      </c>
      <c r="J3615" t="s">
        <v>379</v>
      </c>
      <c r="K3615" t="s">
        <v>546</v>
      </c>
      <c r="L3615" s="784">
        <v>715090</v>
      </c>
      <c r="M3615" t="s">
        <v>745</v>
      </c>
      <c r="N3615" s="784" t="s">
        <v>575</v>
      </c>
      <c r="O3615" t="s">
        <v>737</v>
      </c>
      <c r="P3615" t="s">
        <v>1887</v>
      </c>
      <c r="R3615" t="s">
        <v>152</v>
      </c>
      <c r="S3615" t="s">
        <v>146</v>
      </c>
      <c r="U3615">
        <v>0</v>
      </c>
      <c r="V3615" t="s">
        <v>541</v>
      </c>
      <c r="W3615" t="s">
        <v>575</v>
      </c>
      <c r="X3615" s="784">
        <v>9948521252.2569065</v>
      </c>
    </row>
    <row r="3616" spans="1:24">
      <c r="A3616" t="s">
        <v>358</v>
      </c>
      <c r="B3616" t="s">
        <v>589</v>
      </c>
      <c r="C3616" t="s">
        <v>194</v>
      </c>
      <c r="D3616" t="s">
        <v>131</v>
      </c>
      <c r="E3616" t="s">
        <v>377</v>
      </c>
      <c r="F3616" t="s">
        <v>384</v>
      </c>
      <c r="G3616" t="s">
        <v>91</v>
      </c>
      <c r="H3616" t="s">
        <v>749</v>
      </c>
      <c r="I3616">
        <v>2021</v>
      </c>
      <c r="J3616" t="s">
        <v>379</v>
      </c>
      <c r="K3616" t="s">
        <v>546</v>
      </c>
      <c r="L3616" s="784">
        <v>0</v>
      </c>
      <c r="M3616" t="s">
        <v>745</v>
      </c>
      <c r="N3616" s="784" t="s">
        <v>575</v>
      </c>
      <c r="O3616" t="s">
        <v>737</v>
      </c>
      <c r="P3616" t="s">
        <v>1887</v>
      </c>
      <c r="R3616" t="s">
        <v>150</v>
      </c>
      <c r="S3616" t="s">
        <v>145</v>
      </c>
      <c r="U3616">
        <v>1</v>
      </c>
      <c r="V3616" t="s">
        <v>544</v>
      </c>
      <c r="W3616" t="s">
        <v>542</v>
      </c>
      <c r="X3616" s="784">
        <v>33679192.765657313</v>
      </c>
    </row>
    <row r="3617" spans="1:24">
      <c r="A3617" t="s">
        <v>358</v>
      </c>
      <c r="B3617" t="s">
        <v>590</v>
      </c>
      <c r="C3617" t="s">
        <v>195</v>
      </c>
      <c r="D3617" t="s">
        <v>130</v>
      </c>
      <c r="E3617" t="s">
        <v>377</v>
      </c>
      <c r="F3617" t="s">
        <v>384</v>
      </c>
      <c r="G3617" t="s">
        <v>91</v>
      </c>
      <c r="H3617" t="s">
        <v>749</v>
      </c>
      <c r="I3617">
        <v>2021</v>
      </c>
      <c r="J3617" t="s">
        <v>379</v>
      </c>
      <c r="K3617" t="s">
        <v>546</v>
      </c>
      <c r="L3617" s="784">
        <v>0</v>
      </c>
      <c r="M3617" t="s">
        <v>745</v>
      </c>
      <c r="N3617" s="784" t="s">
        <v>575</v>
      </c>
      <c r="O3617" t="s">
        <v>737</v>
      </c>
      <c r="P3617" t="s">
        <v>1887</v>
      </c>
      <c r="R3617" t="s">
        <v>152</v>
      </c>
      <c r="S3617" t="s">
        <v>145</v>
      </c>
      <c r="U3617">
        <v>0</v>
      </c>
      <c r="V3617" t="s">
        <v>541</v>
      </c>
      <c r="W3617" t="s">
        <v>548</v>
      </c>
      <c r="X3617" s="784">
        <v>22784494.365742501</v>
      </c>
    </row>
    <row r="3618" spans="1:24">
      <c r="A3618" t="s">
        <v>358</v>
      </c>
      <c r="B3618" t="s">
        <v>591</v>
      </c>
      <c r="C3618" t="s">
        <v>196</v>
      </c>
      <c r="D3618" t="s">
        <v>130</v>
      </c>
      <c r="E3618" t="s">
        <v>377</v>
      </c>
      <c r="F3618" t="s">
        <v>384</v>
      </c>
      <c r="G3618" t="s">
        <v>91</v>
      </c>
      <c r="H3618" t="s">
        <v>749</v>
      </c>
      <c r="I3618">
        <v>2021</v>
      </c>
      <c r="J3618" t="s">
        <v>379</v>
      </c>
      <c r="K3618" t="s">
        <v>546</v>
      </c>
      <c r="L3618" s="784">
        <v>0</v>
      </c>
      <c r="M3618" t="s">
        <v>745</v>
      </c>
      <c r="N3618" s="784" t="s">
        <v>575</v>
      </c>
      <c r="O3618" t="s">
        <v>737</v>
      </c>
      <c r="P3618" t="s">
        <v>1887</v>
      </c>
      <c r="R3618" t="s">
        <v>152</v>
      </c>
      <c r="S3618" t="s">
        <v>146</v>
      </c>
      <c r="U3618">
        <v>0</v>
      </c>
      <c r="V3618" t="s">
        <v>541</v>
      </c>
      <c r="W3618" t="s">
        <v>575</v>
      </c>
      <c r="X3618" s="784">
        <v>2173208011.4858823</v>
      </c>
    </row>
    <row r="3619" spans="1:24">
      <c r="A3619" t="s">
        <v>358</v>
      </c>
      <c r="B3619" t="s">
        <v>592</v>
      </c>
      <c r="C3619" t="s">
        <v>197</v>
      </c>
      <c r="D3619" t="s">
        <v>130</v>
      </c>
      <c r="E3619" t="s">
        <v>377</v>
      </c>
      <c r="F3619" t="s">
        <v>384</v>
      </c>
      <c r="G3619" t="s">
        <v>91</v>
      </c>
      <c r="H3619" t="s">
        <v>749</v>
      </c>
      <c r="I3619">
        <v>2021</v>
      </c>
      <c r="J3619" t="s">
        <v>379</v>
      </c>
      <c r="K3619" t="s">
        <v>546</v>
      </c>
      <c r="L3619" s="784">
        <v>0</v>
      </c>
      <c r="M3619" t="s">
        <v>745</v>
      </c>
      <c r="N3619" s="784" t="s">
        <v>575</v>
      </c>
      <c r="O3619" t="s">
        <v>737</v>
      </c>
      <c r="P3619" t="s">
        <v>1887</v>
      </c>
      <c r="R3619" t="s">
        <v>152</v>
      </c>
      <c r="S3619" t="s">
        <v>146</v>
      </c>
      <c r="U3619">
        <v>0</v>
      </c>
      <c r="V3619" t="s">
        <v>544</v>
      </c>
      <c r="W3619" t="s">
        <v>546</v>
      </c>
      <c r="X3619" s="784">
        <v>4585736158.8323269</v>
      </c>
    </row>
    <row r="3620" spans="1:24">
      <c r="A3620" t="s">
        <v>358</v>
      </c>
      <c r="B3620" t="s">
        <v>593</v>
      </c>
      <c r="C3620" t="s">
        <v>198</v>
      </c>
      <c r="D3620" t="s">
        <v>131</v>
      </c>
      <c r="E3620" t="s">
        <v>377</v>
      </c>
      <c r="F3620" t="s">
        <v>384</v>
      </c>
      <c r="G3620" t="s">
        <v>91</v>
      </c>
      <c r="H3620" t="s">
        <v>749</v>
      </c>
      <c r="I3620">
        <v>2021</v>
      </c>
      <c r="J3620" t="s">
        <v>379</v>
      </c>
      <c r="K3620" t="s">
        <v>546</v>
      </c>
      <c r="L3620" s="784">
        <v>0</v>
      </c>
      <c r="M3620" t="s">
        <v>745</v>
      </c>
      <c r="N3620" s="784" t="s">
        <v>575</v>
      </c>
      <c r="O3620" t="s">
        <v>737</v>
      </c>
      <c r="P3620" t="s">
        <v>1887</v>
      </c>
      <c r="R3620" t="s">
        <v>150</v>
      </c>
      <c r="S3620" t="s">
        <v>145</v>
      </c>
      <c r="U3620">
        <v>0</v>
      </c>
      <c r="V3620" t="s">
        <v>544</v>
      </c>
      <c r="W3620" t="s">
        <v>546</v>
      </c>
      <c r="X3620" s="784">
        <v>3550291584.8645592</v>
      </c>
    </row>
    <row r="3621" spans="1:24">
      <c r="A3621" t="s">
        <v>358</v>
      </c>
      <c r="B3621" t="s">
        <v>594</v>
      </c>
      <c r="C3621" t="s">
        <v>199</v>
      </c>
      <c r="D3621" t="s">
        <v>130</v>
      </c>
      <c r="E3621" t="s">
        <v>377</v>
      </c>
      <c r="F3621" t="s">
        <v>384</v>
      </c>
      <c r="G3621" t="s">
        <v>91</v>
      </c>
      <c r="H3621" t="s">
        <v>749</v>
      </c>
      <c r="I3621">
        <v>2021</v>
      </c>
      <c r="J3621" t="s">
        <v>379</v>
      </c>
      <c r="K3621" t="s">
        <v>546</v>
      </c>
      <c r="L3621" s="784">
        <v>0</v>
      </c>
      <c r="M3621" t="s">
        <v>745</v>
      </c>
      <c r="N3621" s="784" t="s">
        <v>575</v>
      </c>
      <c r="O3621" t="s">
        <v>737</v>
      </c>
      <c r="P3621" t="s">
        <v>1887</v>
      </c>
      <c r="R3621" t="s">
        <v>150</v>
      </c>
      <c r="S3621" t="s">
        <v>145</v>
      </c>
      <c r="U3621">
        <v>0</v>
      </c>
      <c r="V3621" t="s">
        <v>544</v>
      </c>
      <c r="W3621" t="s">
        <v>546</v>
      </c>
      <c r="X3621" s="784">
        <v>1182840319.0410969</v>
      </c>
    </row>
    <row r="3622" spans="1:24">
      <c r="A3622" t="s">
        <v>358</v>
      </c>
      <c r="B3622" t="s">
        <v>595</v>
      </c>
      <c r="C3622" t="s">
        <v>200</v>
      </c>
      <c r="D3622" t="s">
        <v>130</v>
      </c>
      <c r="E3622" t="s">
        <v>377</v>
      </c>
      <c r="F3622" t="s">
        <v>384</v>
      </c>
      <c r="G3622" t="s">
        <v>91</v>
      </c>
      <c r="H3622" t="s">
        <v>749</v>
      </c>
      <c r="I3622">
        <v>2021</v>
      </c>
      <c r="J3622" t="s">
        <v>379</v>
      </c>
      <c r="K3622" t="s">
        <v>546</v>
      </c>
      <c r="L3622" s="784">
        <v>0</v>
      </c>
      <c r="M3622" t="s">
        <v>745</v>
      </c>
      <c r="N3622" s="784" t="s">
        <v>575</v>
      </c>
      <c r="O3622" t="s">
        <v>737</v>
      </c>
      <c r="P3622" t="s">
        <v>1887</v>
      </c>
      <c r="R3622" t="s">
        <v>152</v>
      </c>
      <c r="S3622" t="s">
        <v>146</v>
      </c>
      <c r="U3622">
        <v>0</v>
      </c>
      <c r="V3622" t="s">
        <v>544</v>
      </c>
      <c r="W3622" t="s">
        <v>575</v>
      </c>
      <c r="X3622" s="784">
        <v>81728347.604567245</v>
      </c>
    </row>
    <row r="3623" spans="1:24">
      <c r="A3623" t="s">
        <v>358</v>
      </c>
      <c r="B3623" t="s">
        <v>596</v>
      </c>
      <c r="C3623" t="s">
        <v>201</v>
      </c>
      <c r="D3623" t="s">
        <v>128</v>
      </c>
      <c r="E3623" t="s">
        <v>377</v>
      </c>
      <c r="F3623" t="s">
        <v>384</v>
      </c>
      <c r="G3623" t="s">
        <v>91</v>
      </c>
      <c r="H3623" t="s">
        <v>749</v>
      </c>
      <c r="I3623">
        <v>2021</v>
      </c>
      <c r="J3623" t="s">
        <v>379</v>
      </c>
      <c r="K3623" t="s">
        <v>546</v>
      </c>
      <c r="L3623" s="784">
        <v>0</v>
      </c>
      <c r="M3623" t="s">
        <v>745</v>
      </c>
      <c r="N3623" s="784" t="s">
        <v>575</v>
      </c>
      <c r="O3623" t="s">
        <v>737</v>
      </c>
      <c r="P3623" t="s">
        <v>1887</v>
      </c>
      <c r="R3623" t="s">
        <v>148</v>
      </c>
      <c r="S3623" t="s">
        <v>145</v>
      </c>
      <c r="U3623">
        <v>2</v>
      </c>
      <c r="V3623" t="s">
        <v>544</v>
      </c>
      <c r="W3623" t="s">
        <v>546</v>
      </c>
      <c r="X3623" s="784">
        <v>12787914.977715338</v>
      </c>
    </row>
    <row r="3624" spans="1:24">
      <c r="A3624" t="s">
        <v>358</v>
      </c>
      <c r="B3624" t="s">
        <v>597</v>
      </c>
      <c r="C3624" t="s">
        <v>202</v>
      </c>
      <c r="D3624" t="s">
        <v>128</v>
      </c>
      <c r="E3624" t="s">
        <v>377</v>
      </c>
      <c r="F3624" t="s">
        <v>384</v>
      </c>
      <c r="G3624" t="s">
        <v>91</v>
      </c>
      <c r="H3624" t="s">
        <v>749</v>
      </c>
      <c r="I3624">
        <v>2021</v>
      </c>
      <c r="J3624" t="s">
        <v>379</v>
      </c>
      <c r="K3624" t="s">
        <v>546</v>
      </c>
      <c r="L3624" s="784">
        <v>0</v>
      </c>
      <c r="M3624" t="s">
        <v>745</v>
      </c>
      <c r="N3624" s="784" t="s">
        <v>575</v>
      </c>
      <c r="O3624" t="s">
        <v>737</v>
      </c>
      <c r="P3624" t="s">
        <v>1887</v>
      </c>
      <c r="R3624" t="s">
        <v>150</v>
      </c>
      <c r="S3624" t="s">
        <v>145</v>
      </c>
      <c r="U3624">
        <v>2</v>
      </c>
      <c r="V3624" t="s">
        <v>544</v>
      </c>
      <c r="W3624" t="s">
        <v>546</v>
      </c>
      <c r="X3624" s="784">
        <v>101271737.65410839</v>
      </c>
    </row>
    <row r="3625" spans="1:24">
      <c r="A3625" t="s">
        <v>358</v>
      </c>
      <c r="B3625" t="s">
        <v>598</v>
      </c>
      <c r="C3625" t="s">
        <v>203</v>
      </c>
      <c r="D3625" t="s">
        <v>128</v>
      </c>
      <c r="E3625" t="s">
        <v>377</v>
      </c>
      <c r="F3625" t="s">
        <v>384</v>
      </c>
      <c r="G3625" t="s">
        <v>91</v>
      </c>
      <c r="H3625" t="s">
        <v>749</v>
      </c>
      <c r="I3625">
        <v>2021</v>
      </c>
      <c r="J3625" t="s">
        <v>379</v>
      </c>
      <c r="K3625" t="s">
        <v>546</v>
      </c>
      <c r="L3625" s="784">
        <v>0</v>
      </c>
      <c r="M3625" t="s">
        <v>745</v>
      </c>
      <c r="N3625" s="784" t="s">
        <v>575</v>
      </c>
      <c r="O3625" t="s">
        <v>737</v>
      </c>
      <c r="P3625" t="s">
        <v>1887</v>
      </c>
      <c r="R3625" t="s">
        <v>148</v>
      </c>
      <c r="S3625" t="s">
        <v>145</v>
      </c>
      <c r="U3625">
        <v>3</v>
      </c>
      <c r="V3625" t="s">
        <v>544</v>
      </c>
      <c r="W3625" t="s">
        <v>542</v>
      </c>
      <c r="X3625" s="784">
        <v>618344226.71759331</v>
      </c>
    </row>
    <row r="3626" spans="1:24">
      <c r="A3626" t="s">
        <v>358</v>
      </c>
      <c r="B3626" t="s">
        <v>599</v>
      </c>
      <c r="C3626" t="s">
        <v>204</v>
      </c>
      <c r="D3626" t="s">
        <v>126</v>
      </c>
      <c r="E3626" t="s">
        <v>377</v>
      </c>
      <c r="F3626" t="s">
        <v>384</v>
      </c>
      <c r="G3626" t="s">
        <v>91</v>
      </c>
      <c r="H3626" t="s">
        <v>749</v>
      </c>
      <c r="I3626">
        <v>2021</v>
      </c>
      <c r="J3626" t="s">
        <v>379</v>
      </c>
      <c r="K3626" t="s">
        <v>546</v>
      </c>
      <c r="L3626" s="784">
        <v>0</v>
      </c>
      <c r="M3626" t="s">
        <v>745</v>
      </c>
      <c r="N3626" s="784" t="s">
        <v>575</v>
      </c>
      <c r="O3626" t="s">
        <v>737</v>
      </c>
      <c r="P3626" t="s">
        <v>1887</v>
      </c>
      <c r="R3626" t="s">
        <v>152</v>
      </c>
      <c r="S3626" t="s">
        <v>145</v>
      </c>
      <c r="U3626">
        <v>0</v>
      </c>
      <c r="V3626" t="s">
        <v>541</v>
      </c>
      <c r="W3626" t="s">
        <v>548</v>
      </c>
      <c r="X3626" s="784">
        <v>129483872.95906857</v>
      </c>
    </row>
    <row r="3627" spans="1:24">
      <c r="A3627" t="s">
        <v>358</v>
      </c>
      <c r="B3627" t="s">
        <v>600</v>
      </c>
      <c r="C3627" t="s">
        <v>205</v>
      </c>
      <c r="D3627" t="s">
        <v>129</v>
      </c>
      <c r="E3627" t="s">
        <v>377</v>
      </c>
      <c r="F3627" t="s">
        <v>384</v>
      </c>
      <c r="G3627" t="s">
        <v>91</v>
      </c>
      <c r="H3627" t="s">
        <v>749</v>
      </c>
      <c r="I3627">
        <v>2021</v>
      </c>
      <c r="J3627" t="s">
        <v>379</v>
      </c>
      <c r="K3627" t="s">
        <v>546</v>
      </c>
      <c r="L3627" s="784">
        <v>0</v>
      </c>
      <c r="M3627" t="s">
        <v>745</v>
      </c>
      <c r="N3627" s="784" t="s">
        <v>575</v>
      </c>
      <c r="O3627" t="s">
        <v>737</v>
      </c>
      <c r="P3627" t="s">
        <v>1887</v>
      </c>
      <c r="R3627" t="s">
        <v>152</v>
      </c>
      <c r="S3627" t="s">
        <v>146</v>
      </c>
      <c r="U3627">
        <v>0</v>
      </c>
      <c r="V3627" t="s">
        <v>544</v>
      </c>
      <c r="W3627" t="s">
        <v>546</v>
      </c>
      <c r="X3627" s="784">
        <v>271184658.35014349</v>
      </c>
    </row>
    <row r="3628" spans="1:24">
      <c r="A3628" t="s">
        <v>358</v>
      </c>
      <c r="B3628" t="s">
        <v>601</v>
      </c>
      <c r="C3628" t="s">
        <v>206</v>
      </c>
      <c r="D3628" t="s">
        <v>129</v>
      </c>
      <c r="E3628" t="s">
        <v>377</v>
      </c>
      <c r="F3628" t="s">
        <v>384</v>
      </c>
      <c r="G3628" t="s">
        <v>91</v>
      </c>
      <c r="H3628" t="s">
        <v>749</v>
      </c>
      <c r="I3628">
        <v>2021</v>
      </c>
      <c r="J3628" t="s">
        <v>379</v>
      </c>
      <c r="K3628" t="s">
        <v>546</v>
      </c>
      <c r="L3628" s="784">
        <v>0</v>
      </c>
      <c r="M3628" t="s">
        <v>745</v>
      </c>
      <c r="N3628" s="784" t="s">
        <v>575</v>
      </c>
      <c r="O3628" t="s">
        <v>737</v>
      </c>
      <c r="P3628" t="s">
        <v>1887</v>
      </c>
      <c r="R3628" t="s">
        <v>148</v>
      </c>
      <c r="S3628" t="s">
        <v>145</v>
      </c>
      <c r="U3628">
        <v>0</v>
      </c>
      <c r="V3628" t="s">
        <v>544</v>
      </c>
      <c r="W3628" t="s">
        <v>542</v>
      </c>
      <c r="X3628" s="784">
        <v>15455265.086884515</v>
      </c>
    </row>
    <row r="3629" spans="1:24">
      <c r="A3629" t="s">
        <v>358</v>
      </c>
      <c r="B3629" t="s">
        <v>602</v>
      </c>
      <c r="C3629" t="s">
        <v>207</v>
      </c>
      <c r="D3629" t="s">
        <v>127</v>
      </c>
      <c r="E3629" t="s">
        <v>377</v>
      </c>
      <c r="F3629" t="s">
        <v>384</v>
      </c>
      <c r="G3629" t="s">
        <v>91</v>
      </c>
      <c r="H3629" t="s">
        <v>749</v>
      </c>
      <c r="I3629">
        <v>2021</v>
      </c>
      <c r="J3629" t="s">
        <v>379</v>
      </c>
      <c r="K3629" t="s">
        <v>546</v>
      </c>
      <c r="L3629" s="784">
        <v>0</v>
      </c>
      <c r="M3629" t="s">
        <v>745</v>
      </c>
      <c r="N3629" s="784" t="s">
        <v>575</v>
      </c>
      <c r="O3629" t="s">
        <v>737</v>
      </c>
      <c r="P3629" t="s">
        <v>1887</v>
      </c>
      <c r="R3629" t="s">
        <v>152</v>
      </c>
      <c r="S3629" t="s">
        <v>146</v>
      </c>
      <c r="U3629">
        <v>0</v>
      </c>
      <c r="V3629" t="s">
        <v>544</v>
      </c>
      <c r="W3629" t="s">
        <v>546</v>
      </c>
      <c r="X3629" s="784">
        <v>494021502.525527</v>
      </c>
    </row>
    <row r="3630" spans="1:24">
      <c r="A3630" t="s">
        <v>358</v>
      </c>
      <c r="B3630" t="s">
        <v>603</v>
      </c>
      <c r="C3630" t="s">
        <v>208</v>
      </c>
      <c r="D3630" t="s">
        <v>129</v>
      </c>
      <c r="E3630" t="s">
        <v>377</v>
      </c>
      <c r="F3630" t="s">
        <v>384</v>
      </c>
      <c r="G3630" t="s">
        <v>91</v>
      </c>
      <c r="H3630" t="s">
        <v>749</v>
      </c>
      <c r="I3630">
        <v>2021</v>
      </c>
      <c r="J3630" t="s">
        <v>379</v>
      </c>
      <c r="K3630" t="s">
        <v>546</v>
      </c>
      <c r="L3630" s="784">
        <v>0</v>
      </c>
      <c r="M3630" t="s">
        <v>745</v>
      </c>
      <c r="N3630" s="784" t="s">
        <v>575</v>
      </c>
      <c r="O3630" t="s">
        <v>737</v>
      </c>
      <c r="P3630" t="s">
        <v>1887</v>
      </c>
      <c r="R3630" t="s">
        <v>150</v>
      </c>
      <c r="S3630" t="s">
        <v>145</v>
      </c>
      <c r="U3630">
        <v>0</v>
      </c>
      <c r="V3630" t="s">
        <v>544</v>
      </c>
      <c r="W3630" t="s">
        <v>542</v>
      </c>
      <c r="X3630" s="784">
        <v>902005621.73836684</v>
      </c>
    </row>
    <row r="3631" spans="1:24">
      <c r="A3631" t="s">
        <v>358</v>
      </c>
      <c r="B3631" t="s">
        <v>604</v>
      </c>
      <c r="C3631" t="s">
        <v>209</v>
      </c>
      <c r="D3631" t="s">
        <v>130</v>
      </c>
      <c r="E3631" t="s">
        <v>377</v>
      </c>
      <c r="F3631" t="s">
        <v>384</v>
      </c>
      <c r="G3631" t="s">
        <v>91</v>
      </c>
      <c r="H3631" t="s">
        <v>749</v>
      </c>
      <c r="I3631">
        <v>2021</v>
      </c>
      <c r="J3631" t="s">
        <v>379</v>
      </c>
      <c r="K3631" t="s">
        <v>546</v>
      </c>
      <c r="L3631" s="784">
        <v>0</v>
      </c>
      <c r="M3631" t="s">
        <v>745</v>
      </c>
      <c r="N3631" s="784" t="s">
        <v>575</v>
      </c>
      <c r="O3631" t="s">
        <v>737</v>
      </c>
      <c r="P3631" t="s">
        <v>1887</v>
      </c>
      <c r="R3631" t="s">
        <v>152</v>
      </c>
      <c r="S3631" t="s">
        <v>145</v>
      </c>
      <c r="U3631">
        <v>0</v>
      </c>
      <c r="V3631" t="s">
        <v>541</v>
      </c>
      <c r="W3631" t="s">
        <v>583</v>
      </c>
      <c r="X3631" s="784">
        <v>20201670.142996579</v>
      </c>
    </row>
    <row r="3632" spans="1:24">
      <c r="A3632" t="s">
        <v>358</v>
      </c>
      <c r="B3632" t="s">
        <v>605</v>
      </c>
      <c r="C3632" t="s">
        <v>210</v>
      </c>
      <c r="D3632" t="s">
        <v>130</v>
      </c>
      <c r="E3632" t="s">
        <v>377</v>
      </c>
      <c r="F3632" t="s">
        <v>384</v>
      </c>
      <c r="G3632" t="s">
        <v>91</v>
      </c>
      <c r="H3632" t="s">
        <v>749</v>
      </c>
      <c r="I3632">
        <v>2021</v>
      </c>
      <c r="J3632" t="s">
        <v>379</v>
      </c>
      <c r="K3632" t="s">
        <v>546</v>
      </c>
      <c r="L3632" s="784">
        <v>0</v>
      </c>
      <c r="M3632" t="s">
        <v>745</v>
      </c>
      <c r="N3632" s="784" t="s">
        <v>575</v>
      </c>
      <c r="O3632" t="s">
        <v>737</v>
      </c>
      <c r="P3632" t="s">
        <v>1887</v>
      </c>
      <c r="R3632" t="s">
        <v>152</v>
      </c>
      <c r="S3632" t="s">
        <v>146</v>
      </c>
      <c r="U3632">
        <v>0</v>
      </c>
      <c r="V3632" t="s">
        <v>544</v>
      </c>
      <c r="W3632" t="s">
        <v>575</v>
      </c>
      <c r="X3632" s="784">
        <v>1612434649.6948864</v>
      </c>
    </row>
    <row r="3633" spans="1:24">
      <c r="A3633" t="s">
        <v>358</v>
      </c>
      <c r="B3633" t="s">
        <v>606</v>
      </c>
      <c r="C3633" t="s">
        <v>211</v>
      </c>
      <c r="D3633" t="s">
        <v>129</v>
      </c>
      <c r="E3633" t="s">
        <v>377</v>
      </c>
      <c r="F3633" t="s">
        <v>384</v>
      </c>
      <c r="G3633" t="s">
        <v>91</v>
      </c>
      <c r="H3633" t="s">
        <v>749</v>
      </c>
      <c r="I3633">
        <v>2021</v>
      </c>
      <c r="J3633" t="s">
        <v>379</v>
      </c>
      <c r="K3633" t="s">
        <v>546</v>
      </c>
      <c r="L3633" s="784">
        <v>0</v>
      </c>
      <c r="M3633" t="s">
        <v>745</v>
      </c>
      <c r="N3633" s="784" t="s">
        <v>575</v>
      </c>
      <c r="O3633" t="s">
        <v>737</v>
      </c>
      <c r="P3633" t="s">
        <v>1887</v>
      </c>
      <c r="R3633" t="s">
        <v>148</v>
      </c>
      <c r="S3633" t="s">
        <v>145</v>
      </c>
      <c r="U3633">
        <v>0</v>
      </c>
      <c r="V3633" t="s">
        <v>544</v>
      </c>
      <c r="W3633" t="s">
        <v>562</v>
      </c>
      <c r="X3633" s="784">
        <v>78203134.118229344</v>
      </c>
    </row>
    <row r="3634" spans="1:24">
      <c r="A3634" t="s">
        <v>358</v>
      </c>
      <c r="B3634" t="s">
        <v>607</v>
      </c>
      <c r="C3634" t="s">
        <v>212</v>
      </c>
      <c r="D3634" t="s">
        <v>129</v>
      </c>
      <c r="E3634" t="s">
        <v>377</v>
      </c>
      <c r="F3634" t="s">
        <v>384</v>
      </c>
      <c r="G3634" t="s">
        <v>91</v>
      </c>
      <c r="H3634" t="s">
        <v>749</v>
      </c>
      <c r="I3634">
        <v>2021</v>
      </c>
      <c r="J3634" t="s">
        <v>379</v>
      </c>
      <c r="K3634" t="s">
        <v>546</v>
      </c>
      <c r="L3634" s="784">
        <v>0</v>
      </c>
      <c r="M3634" t="s">
        <v>745</v>
      </c>
      <c r="N3634" s="784" t="s">
        <v>575</v>
      </c>
      <c r="O3634" t="s">
        <v>737</v>
      </c>
      <c r="P3634" t="s">
        <v>1887</v>
      </c>
      <c r="R3634" t="s">
        <v>148</v>
      </c>
      <c r="S3634" t="s">
        <v>145</v>
      </c>
      <c r="U3634">
        <v>2</v>
      </c>
      <c r="V3634" t="s">
        <v>541</v>
      </c>
      <c r="W3634" t="s">
        <v>542</v>
      </c>
      <c r="X3634" s="784">
        <v>9151637.7411015611</v>
      </c>
    </row>
    <row r="3635" spans="1:24">
      <c r="A3635" t="s">
        <v>358</v>
      </c>
      <c r="B3635" t="s">
        <v>608</v>
      </c>
      <c r="C3635" t="s">
        <v>213</v>
      </c>
      <c r="D3635" t="s">
        <v>130</v>
      </c>
      <c r="E3635" t="s">
        <v>377</v>
      </c>
      <c r="F3635" t="s">
        <v>384</v>
      </c>
      <c r="G3635" t="s">
        <v>91</v>
      </c>
      <c r="H3635" t="s">
        <v>749</v>
      </c>
      <c r="I3635">
        <v>2021</v>
      </c>
      <c r="J3635" t="s">
        <v>379</v>
      </c>
      <c r="K3635" t="s">
        <v>546</v>
      </c>
      <c r="L3635" s="784">
        <v>0</v>
      </c>
      <c r="M3635" t="s">
        <v>745</v>
      </c>
      <c r="N3635" s="784" t="s">
        <v>575</v>
      </c>
      <c r="O3635" t="s">
        <v>737</v>
      </c>
      <c r="P3635" t="s">
        <v>1887</v>
      </c>
      <c r="R3635" t="s">
        <v>152</v>
      </c>
      <c r="S3635" t="s">
        <v>145</v>
      </c>
      <c r="U3635">
        <v>0</v>
      </c>
      <c r="V3635" t="s">
        <v>541</v>
      </c>
      <c r="W3635" t="s">
        <v>562</v>
      </c>
      <c r="X3635" s="784">
        <v>142455920.02856269</v>
      </c>
    </row>
    <row r="3636" spans="1:24">
      <c r="A3636" t="s">
        <v>358</v>
      </c>
      <c r="B3636" t="s">
        <v>609</v>
      </c>
      <c r="C3636" t="s">
        <v>214</v>
      </c>
      <c r="D3636" t="s">
        <v>130</v>
      </c>
      <c r="E3636" t="s">
        <v>377</v>
      </c>
      <c r="F3636" t="s">
        <v>384</v>
      </c>
      <c r="G3636" t="s">
        <v>91</v>
      </c>
      <c r="H3636" t="s">
        <v>749</v>
      </c>
      <c r="I3636">
        <v>2021</v>
      </c>
      <c r="J3636" t="s">
        <v>379</v>
      </c>
      <c r="K3636" t="s">
        <v>546</v>
      </c>
      <c r="L3636" s="784">
        <v>4969926</v>
      </c>
      <c r="M3636" t="s">
        <v>745</v>
      </c>
      <c r="N3636" s="784" t="s">
        <v>575</v>
      </c>
      <c r="O3636" t="s">
        <v>737</v>
      </c>
      <c r="P3636" t="s">
        <v>1887</v>
      </c>
      <c r="R3636" t="s">
        <v>150</v>
      </c>
      <c r="S3636" t="s">
        <v>145</v>
      </c>
      <c r="U3636">
        <v>1</v>
      </c>
      <c r="V3636" t="s">
        <v>541</v>
      </c>
      <c r="W3636" t="s">
        <v>542</v>
      </c>
      <c r="X3636" s="784">
        <v>85611818.171245083</v>
      </c>
    </row>
    <row r="3637" spans="1:24">
      <c r="A3637" t="s">
        <v>358</v>
      </c>
      <c r="B3637" t="s">
        <v>610</v>
      </c>
      <c r="C3637" t="s">
        <v>215</v>
      </c>
      <c r="D3637" t="s">
        <v>130</v>
      </c>
      <c r="E3637" t="s">
        <v>377</v>
      </c>
      <c r="F3637" t="s">
        <v>384</v>
      </c>
      <c r="G3637" t="s">
        <v>91</v>
      </c>
      <c r="H3637" t="s">
        <v>749</v>
      </c>
      <c r="I3637">
        <v>2021</v>
      </c>
      <c r="J3637" t="s">
        <v>379</v>
      </c>
      <c r="K3637" t="s">
        <v>546</v>
      </c>
      <c r="L3637" s="784">
        <v>0</v>
      </c>
      <c r="M3637" t="s">
        <v>745</v>
      </c>
      <c r="N3637" s="784" t="s">
        <v>575</v>
      </c>
      <c r="O3637" t="s">
        <v>737</v>
      </c>
      <c r="P3637" t="s">
        <v>1887</v>
      </c>
      <c r="R3637" t="s">
        <v>150</v>
      </c>
      <c r="S3637" t="s">
        <v>145</v>
      </c>
      <c r="U3637">
        <v>0</v>
      </c>
      <c r="V3637" t="s">
        <v>544</v>
      </c>
      <c r="W3637" t="s">
        <v>558</v>
      </c>
      <c r="X3637" s="784">
        <v>680289736.30082119</v>
      </c>
    </row>
    <row r="3638" spans="1:24">
      <c r="A3638" t="s">
        <v>358</v>
      </c>
      <c r="B3638" t="s">
        <v>611</v>
      </c>
      <c r="C3638" t="s">
        <v>216</v>
      </c>
      <c r="D3638" t="s">
        <v>132</v>
      </c>
      <c r="E3638" t="s">
        <v>377</v>
      </c>
      <c r="F3638" t="s">
        <v>384</v>
      </c>
      <c r="G3638" t="s">
        <v>91</v>
      </c>
      <c r="H3638" t="s">
        <v>749</v>
      </c>
      <c r="I3638">
        <v>2021</v>
      </c>
      <c r="J3638" t="s">
        <v>379</v>
      </c>
      <c r="K3638" t="s">
        <v>546</v>
      </c>
      <c r="L3638" s="784">
        <v>1200000</v>
      </c>
      <c r="M3638" t="s">
        <v>745</v>
      </c>
      <c r="N3638" s="784" t="s">
        <v>575</v>
      </c>
      <c r="O3638" t="s">
        <v>737</v>
      </c>
      <c r="P3638" t="s">
        <v>1887</v>
      </c>
      <c r="R3638" t="s">
        <v>150</v>
      </c>
      <c r="S3638" t="s">
        <v>145</v>
      </c>
      <c r="U3638">
        <v>0</v>
      </c>
      <c r="V3638" t="s">
        <v>544</v>
      </c>
      <c r="W3638" t="s">
        <v>546</v>
      </c>
      <c r="X3638" s="784">
        <v>26554332750.47023</v>
      </c>
    </row>
    <row r="3639" spans="1:24">
      <c r="A3639" t="s">
        <v>358</v>
      </c>
      <c r="B3639" t="s">
        <v>612</v>
      </c>
      <c r="C3639" t="s">
        <v>217</v>
      </c>
      <c r="D3639" t="s">
        <v>126</v>
      </c>
      <c r="E3639" t="s">
        <v>377</v>
      </c>
      <c r="F3639" t="s">
        <v>384</v>
      </c>
      <c r="G3639" t="s">
        <v>91</v>
      </c>
      <c r="H3639" t="s">
        <v>749</v>
      </c>
      <c r="I3639">
        <v>2021</v>
      </c>
      <c r="J3639" t="s">
        <v>379</v>
      </c>
      <c r="K3639" t="s">
        <v>546</v>
      </c>
      <c r="L3639" s="784">
        <v>0</v>
      </c>
      <c r="M3639" t="s">
        <v>745</v>
      </c>
      <c r="N3639" s="784" t="s">
        <v>575</v>
      </c>
      <c r="O3639" t="s">
        <v>737</v>
      </c>
      <c r="P3639" t="s">
        <v>1887</v>
      </c>
      <c r="R3639" t="s">
        <v>150</v>
      </c>
      <c r="S3639" t="s">
        <v>145</v>
      </c>
      <c r="U3639">
        <v>0</v>
      </c>
      <c r="V3639" t="s">
        <v>544</v>
      </c>
      <c r="W3639" t="s">
        <v>546</v>
      </c>
      <c r="X3639" s="784">
        <v>14745961064.890842</v>
      </c>
    </row>
    <row r="3640" spans="1:24">
      <c r="A3640" t="s">
        <v>358</v>
      </c>
      <c r="B3640" t="s">
        <v>613</v>
      </c>
      <c r="C3640" t="s">
        <v>149</v>
      </c>
      <c r="D3640" t="s">
        <v>131</v>
      </c>
      <c r="E3640" t="s">
        <v>377</v>
      </c>
      <c r="F3640" t="s">
        <v>384</v>
      </c>
      <c r="G3640" t="s">
        <v>91</v>
      </c>
      <c r="H3640" t="s">
        <v>749</v>
      </c>
      <c r="I3640">
        <v>2021</v>
      </c>
      <c r="J3640" t="s">
        <v>379</v>
      </c>
      <c r="K3640" t="s">
        <v>546</v>
      </c>
      <c r="L3640" s="784">
        <v>0</v>
      </c>
      <c r="M3640" t="s">
        <v>745</v>
      </c>
      <c r="N3640" s="784" t="s">
        <v>575</v>
      </c>
      <c r="O3640" t="s">
        <v>737</v>
      </c>
      <c r="P3640" t="s">
        <v>1887</v>
      </c>
      <c r="R3640" t="s">
        <v>150</v>
      </c>
      <c r="S3640" t="s">
        <v>146</v>
      </c>
      <c r="U3640">
        <v>0</v>
      </c>
      <c r="V3640" t="s">
        <v>544</v>
      </c>
      <c r="W3640" t="s">
        <v>546</v>
      </c>
      <c r="X3640" s="784">
        <v>18194076299.786381</v>
      </c>
    </row>
    <row r="3641" spans="1:24">
      <c r="A3641" t="s">
        <v>358</v>
      </c>
      <c r="B3641" t="s">
        <v>614</v>
      </c>
      <c r="C3641" t="s">
        <v>218</v>
      </c>
      <c r="D3641" t="s">
        <v>131</v>
      </c>
      <c r="E3641" t="s">
        <v>377</v>
      </c>
      <c r="F3641" t="s">
        <v>384</v>
      </c>
      <c r="G3641" t="s">
        <v>91</v>
      </c>
      <c r="H3641" t="s">
        <v>749</v>
      </c>
      <c r="I3641">
        <v>2021</v>
      </c>
      <c r="J3641" t="s">
        <v>379</v>
      </c>
      <c r="K3641" t="s">
        <v>546</v>
      </c>
      <c r="L3641" s="784">
        <v>0</v>
      </c>
      <c r="M3641" t="s">
        <v>745</v>
      </c>
      <c r="N3641" s="784" t="s">
        <v>575</v>
      </c>
      <c r="O3641" t="s">
        <v>737</v>
      </c>
      <c r="P3641" t="s">
        <v>1887</v>
      </c>
      <c r="R3641" t="s">
        <v>152</v>
      </c>
      <c r="S3641" t="s">
        <v>146</v>
      </c>
      <c r="U3641">
        <v>0</v>
      </c>
      <c r="V3641" t="s">
        <v>544</v>
      </c>
      <c r="W3641" t="s">
        <v>546</v>
      </c>
      <c r="X3641" s="784">
        <v>4428819387.769825</v>
      </c>
    </row>
    <row r="3642" spans="1:24">
      <c r="A3642" t="s">
        <v>358</v>
      </c>
      <c r="B3642" t="s">
        <v>615</v>
      </c>
      <c r="C3642" t="s">
        <v>219</v>
      </c>
      <c r="D3642" t="s">
        <v>130</v>
      </c>
      <c r="E3642" t="s">
        <v>377</v>
      </c>
      <c r="F3642" t="s">
        <v>384</v>
      </c>
      <c r="G3642" t="s">
        <v>91</v>
      </c>
      <c r="H3642" t="s">
        <v>749</v>
      </c>
      <c r="I3642">
        <v>2021</v>
      </c>
      <c r="J3642" t="s">
        <v>379</v>
      </c>
      <c r="K3642" t="s">
        <v>546</v>
      </c>
      <c r="L3642" s="784">
        <v>0</v>
      </c>
      <c r="M3642" t="s">
        <v>745</v>
      </c>
      <c r="N3642" s="784" t="s">
        <v>575</v>
      </c>
      <c r="O3642" t="s">
        <v>737</v>
      </c>
      <c r="P3642" t="s">
        <v>1887</v>
      </c>
      <c r="R3642" t="s">
        <v>152</v>
      </c>
      <c r="S3642" t="s">
        <v>146</v>
      </c>
      <c r="U3642">
        <v>0</v>
      </c>
      <c r="V3642" t="s">
        <v>541</v>
      </c>
      <c r="W3642" t="s">
        <v>575</v>
      </c>
      <c r="X3642" s="784">
        <v>611739560.62679195</v>
      </c>
    </row>
    <row r="3643" spans="1:24">
      <c r="A3643" t="s">
        <v>358</v>
      </c>
      <c r="B3643" t="s">
        <v>616</v>
      </c>
      <c r="C3643" t="s">
        <v>220</v>
      </c>
      <c r="D3643" t="s">
        <v>131</v>
      </c>
      <c r="E3643" t="s">
        <v>377</v>
      </c>
      <c r="F3643" t="s">
        <v>384</v>
      </c>
      <c r="G3643" t="s">
        <v>91</v>
      </c>
      <c r="H3643" t="s">
        <v>749</v>
      </c>
      <c r="I3643">
        <v>2021</v>
      </c>
      <c r="J3643" t="s">
        <v>379</v>
      </c>
      <c r="K3643" t="s">
        <v>546</v>
      </c>
      <c r="L3643" s="784">
        <v>0</v>
      </c>
      <c r="M3643" t="s">
        <v>745</v>
      </c>
      <c r="N3643" s="784" t="s">
        <v>575</v>
      </c>
      <c r="O3643" t="s">
        <v>737</v>
      </c>
      <c r="P3643" t="s">
        <v>1887</v>
      </c>
      <c r="R3643" t="s">
        <v>152</v>
      </c>
      <c r="S3643" t="s">
        <v>146</v>
      </c>
      <c r="U3643">
        <v>0</v>
      </c>
      <c r="V3643" t="s">
        <v>544</v>
      </c>
      <c r="W3643" t="s">
        <v>546</v>
      </c>
      <c r="X3643" s="784">
        <v>1617913383.0481031</v>
      </c>
    </row>
    <row r="3644" spans="1:24">
      <c r="A3644" t="s">
        <v>358</v>
      </c>
      <c r="B3644" t="s">
        <v>617</v>
      </c>
      <c r="C3644" t="s">
        <v>221</v>
      </c>
      <c r="D3644" t="s">
        <v>127</v>
      </c>
      <c r="E3644" t="s">
        <v>377</v>
      </c>
      <c r="F3644" t="s">
        <v>384</v>
      </c>
      <c r="G3644" t="s">
        <v>91</v>
      </c>
      <c r="H3644" t="s">
        <v>749</v>
      </c>
      <c r="I3644">
        <v>2021</v>
      </c>
      <c r="J3644" t="s">
        <v>379</v>
      </c>
      <c r="K3644" t="s">
        <v>546</v>
      </c>
      <c r="L3644" s="784">
        <v>0</v>
      </c>
      <c r="M3644" t="s">
        <v>745</v>
      </c>
      <c r="N3644" s="784" t="s">
        <v>575</v>
      </c>
      <c r="O3644" t="s">
        <v>737</v>
      </c>
      <c r="P3644" t="s">
        <v>1887</v>
      </c>
      <c r="R3644" t="s">
        <v>152</v>
      </c>
      <c r="S3644" t="s">
        <v>146</v>
      </c>
      <c r="U3644">
        <v>0</v>
      </c>
      <c r="V3644" t="s">
        <v>544</v>
      </c>
      <c r="W3644" t="s">
        <v>575</v>
      </c>
      <c r="X3644" s="784">
        <v>3074419112.4562683</v>
      </c>
    </row>
    <row r="3645" spans="1:24">
      <c r="A3645" t="s">
        <v>358</v>
      </c>
      <c r="B3645" t="s">
        <v>618</v>
      </c>
      <c r="C3645" t="s">
        <v>222</v>
      </c>
      <c r="D3645" t="s">
        <v>128</v>
      </c>
      <c r="E3645" t="s">
        <v>377</v>
      </c>
      <c r="F3645" t="s">
        <v>384</v>
      </c>
      <c r="G3645" t="s">
        <v>91</v>
      </c>
      <c r="H3645" t="s">
        <v>749</v>
      </c>
      <c r="I3645">
        <v>2021</v>
      </c>
      <c r="J3645" t="s">
        <v>379</v>
      </c>
      <c r="K3645" t="s">
        <v>546</v>
      </c>
      <c r="L3645" s="784">
        <v>0</v>
      </c>
      <c r="M3645" t="s">
        <v>745</v>
      </c>
      <c r="N3645" s="784" t="s">
        <v>575</v>
      </c>
      <c r="O3645" t="s">
        <v>737</v>
      </c>
      <c r="P3645" t="s">
        <v>1887</v>
      </c>
      <c r="R3645" t="s">
        <v>150</v>
      </c>
      <c r="S3645" t="s">
        <v>145</v>
      </c>
      <c r="U3645">
        <v>0</v>
      </c>
      <c r="V3645" t="s">
        <v>544</v>
      </c>
      <c r="W3645" t="s">
        <v>542</v>
      </c>
      <c r="X3645" s="784">
        <v>1914014279.8929913</v>
      </c>
    </row>
    <row r="3646" spans="1:24">
      <c r="A3646" t="s">
        <v>358</v>
      </c>
      <c r="B3646" t="s">
        <v>619</v>
      </c>
      <c r="C3646" t="s">
        <v>223</v>
      </c>
      <c r="D3646" t="s">
        <v>126</v>
      </c>
      <c r="E3646" t="s">
        <v>377</v>
      </c>
      <c r="F3646" t="s">
        <v>384</v>
      </c>
      <c r="G3646" t="s">
        <v>91</v>
      </c>
      <c r="H3646" t="s">
        <v>749</v>
      </c>
      <c r="I3646">
        <v>2021</v>
      </c>
      <c r="J3646" t="s">
        <v>379</v>
      </c>
      <c r="K3646" t="s">
        <v>546</v>
      </c>
      <c r="L3646" s="784">
        <v>0</v>
      </c>
      <c r="M3646" t="s">
        <v>745</v>
      </c>
      <c r="N3646" s="784" t="s">
        <v>575</v>
      </c>
      <c r="O3646" t="s">
        <v>737</v>
      </c>
      <c r="P3646" t="s">
        <v>1887</v>
      </c>
      <c r="R3646" t="s">
        <v>150</v>
      </c>
      <c r="S3646" t="s">
        <v>145</v>
      </c>
      <c r="U3646">
        <v>0</v>
      </c>
      <c r="V3646" t="s">
        <v>541</v>
      </c>
      <c r="W3646" t="s">
        <v>542</v>
      </c>
      <c r="X3646" s="784">
        <v>17422005.762907442</v>
      </c>
    </row>
    <row r="3647" spans="1:24">
      <c r="A3647" t="s">
        <v>358</v>
      </c>
      <c r="B3647" t="s">
        <v>620</v>
      </c>
      <c r="C3647" t="s">
        <v>224</v>
      </c>
      <c r="D3647" t="s">
        <v>126</v>
      </c>
      <c r="E3647" t="s">
        <v>377</v>
      </c>
      <c r="F3647" t="s">
        <v>384</v>
      </c>
      <c r="G3647" t="s">
        <v>91</v>
      </c>
      <c r="H3647" t="s">
        <v>749</v>
      </c>
      <c r="I3647">
        <v>2021</v>
      </c>
      <c r="J3647" t="s">
        <v>379</v>
      </c>
      <c r="K3647" t="s">
        <v>546</v>
      </c>
      <c r="L3647" s="784">
        <v>0</v>
      </c>
      <c r="M3647" t="s">
        <v>745</v>
      </c>
      <c r="N3647" s="784" t="s">
        <v>575</v>
      </c>
      <c r="O3647" t="s">
        <v>737</v>
      </c>
      <c r="P3647" t="s">
        <v>1887</v>
      </c>
      <c r="R3647" t="s">
        <v>148</v>
      </c>
      <c r="S3647" t="s">
        <v>145</v>
      </c>
      <c r="U3647">
        <v>0</v>
      </c>
      <c r="V3647" t="s">
        <v>544</v>
      </c>
      <c r="W3647" t="s">
        <v>546</v>
      </c>
      <c r="X3647" s="784" t="s">
        <v>575</v>
      </c>
    </row>
    <row r="3648" spans="1:24">
      <c r="A3648" t="s">
        <v>358</v>
      </c>
      <c r="B3648" t="s">
        <v>621</v>
      </c>
      <c r="C3648" t="s">
        <v>225</v>
      </c>
      <c r="D3648" t="s">
        <v>127</v>
      </c>
      <c r="E3648" t="s">
        <v>377</v>
      </c>
      <c r="F3648" t="s">
        <v>384</v>
      </c>
      <c r="G3648" t="s">
        <v>91</v>
      </c>
      <c r="H3648" t="s">
        <v>749</v>
      </c>
      <c r="I3648">
        <v>2021</v>
      </c>
      <c r="J3648" t="s">
        <v>379</v>
      </c>
      <c r="K3648" t="s">
        <v>546</v>
      </c>
      <c r="L3648" s="784">
        <v>0</v>
      </c>
      <c r="M3648" t="s">
        <v>745</v>
      </c>
      <c r="N3648" s="784" t="s">
        <v>575</v>
      </c>
      <c r="O3648" t="s">
        <v>737</v>
      </c>
      <c r="P3648" t="s">
        <v>1887</v>
      </c>
      <c r="R3648" t="s">
        <v>152</v>
      </c>
      <c r="S3648" t="s">
        <v>145</v>
      </c>
      <c r="U3648">
        <v>0</v>
      </c>
      <c r="V3648" t="s">
        <v>544</v>
      </c>
      <c r="W3648" t="s">
        <v>548</v>
      </c>
      <c r="X3648" s="784" t="s">
        <v>575</v>
      </c>
    </row>
    <row r="3649" spans="1:24">
      <c r="A3649" t="s">
        <v>358</v>
      </c>
      <c r="B3649" t="s">
        <v>622</v>
      </c>
      <c r="C3649" t="s">
        <v>226</v>
      </c>
      <c r="D3649" t="s">
        <v>127</v>
      </c>
      <c r="E3649" t="s">
        <v>377</v>
      </c>
      <c r="F3649" t="s">
        <v>384</v>
      </c>
      <c r="G3649" t="s">
        <v>91</v>
      </c>
      <c r="H3649" t="s">
        <v>749</v>
      </c>
      <c r="I3649">
        <v>2021</v>
      </c>
      <c r="J3649" t="s">
        <v>379</v>
      </c>
      <c r="K3649" t="s">
        <v>546</v>
      </c>
      <c r="L3649" s="784">
        <v>0</v>
      </c>
      <c r="M3649" t="s">
        <v>745</v>
      </c>
      <c r="N3649" s="784" t="s">
        <v>575</v>
      </c>
      <c r="O3649" t="s">
        <v>737</v>
      </c>
      <c r="P3649" t="s">
        <v>1887</v>
      </c>
      <c r="R3649" t="s">
        <v>150</v>
      </c>
      <c r="S3649" t="s">
        <v>145</v>
      </c>
      <c r="U3649">
        <v>2</v>
      </c>
      <c r="V3649" t="s">
        <v>544</v>
      </c>
      <c r="W3649" t="s">
        <v>562</v>
      </c>
      <c r="X3649" s="784">
        <v>231506834.84347546</v>
      </c>
    </row>
    <row r="3650" spans="1:24">
      <c r="A3650" t="s">
        <v>358</v>
      </c>
      <c r="B3650" t="s">
        <v>623</v>
      </c>
      <c r="C3650" t="s">
        <v>227</v>
      </c>
      <c r="D3650" t="s">
        <v>126</v>
      </c>
      <c r="E3650" t="s">
        <v>377</v>
      </c>
      <c r="F3650" t="s">
        <v>384</v>
      </c>
      <c r="G3650" t="s">
        <v>91</v>
      </c>
      <c r="H3650" t="s">
        <v>749</v>
      </c>
      <c r="I3650">
        <v>2021</v>
      </c>
      <c r="J3650" t="s">
        <v>379</v>
      </c>
      <c r="K3650" t="s">
        <v>546</v>
      </c>
      <c r="L3650" s="784">
        <v>0</v>
      </c>
      <c r="M3650" t="s">
        <v>745</v>
      </c>
      <c r="N3650" s="784" t="s">
        <v>575</v>
      </c>
      <c r="O3650" t="s">
        <v>737</v>
      </c>
      <c r="P3650" t="s">
        <v>1887</v>
      </c>
      <c r="R3650" t="s">
        <v>150</v>
      </c>
      <c r="S3650" t="s">
        <v>145</v>
      </c>
      <c r="U3650">
        <v>0</v>
      </c>
      <c r="V3650" t="s">
        <v>544</v>
      </c>
      <c r="W3650" t="s">
        <v>542</v>
      </c>
      <c r="X3650" s="784">
        <v>156059428.62944782</v>
      </c>
    </row>
    <row r="3651" spans="1:24">
      <c r="A3651" t="s">
        <v>358</v>
      </c>
      <c r="B3651" t="s">
        <v>624</v>
      </c>
      <c r="C3651" t="s">
        <v>228</v>
      </c>
      <c r="D3651" t="s">
        <v>131</v>
      </c>
      <c r="E3651" t="s">
        <v>377</v>
      </c>
      <c r="F3651" t="s">
        <v>384</v>
      </c>
      <c r="G3651" t="s">
        <v>91</v>
      </c>
      <c r="H3651" t="s">
        <v>749</v>
      </c>
      <c r="I3651">
        <v>2021</v>
      </c>
      <c r="J3651" t="s">
        <v>379</v>
      </c>
      <c r="K3651" t="s">
        <v>546</v>
      </c>
      <c r="L3651" s="784">
        <v>0</v>
      </c>
      <c r="M3651" t="s">
        <v>745</v>
      </c>
      <c r="N3651" s="784" t="s">
        <v>575</v>
      </c>
      <c r="O3651" t="s">
        <v>737</v>
      </c>
      <c r="P3651" t="s">
        <v>1887</v>
      </c>
      <c r="R3651" t="s">
        <v>152</v>
      </c>
      <c r="S3651" t="s">
        <v>146</v>
      </c>
      <c r="U3651">
        <v>0</v>
      </c>
      <c r="V3651" t="s">
        <v>544</v>
      </c>
      <c r="W3651" t="s">
        <v>546</v>
      </c>
      <c r="X3651" s="784">
        <v>2355391507.1635861</v>
      </c>
    </row>
    <row r="3652" spans="1:24">
      <c r="A3652" t="s">
        <v>358</v>
      </c>
      <c r="B3652" t="s">
        <v>625</v>
      </c>
      <c r="C3652" t="s">
        <v>229</v>
      </c>
      <c r="D3652" t="s">
        <v>128</v>
      </c>
      <c r="E3652" t="s">
        <v>377</v>
      </c>
      <c r="F3652" t="s">
        <v>384</v>
      </c>
      <c r="G3652" t="s">
        <v>91</v>
      </c>
      <c r="H3652" t="s">
        <v>749</v>
      </c>
      <c r="I3652">
        <v>2021</v>
      </c>
      <c r="J3652" t="s">
        <v>379</v>
      </c>
      <c r="K3652" t="s">
        <v>546</v>
      </c>
      <c r="L3652" s="784">
        <v>0</v>
      </c>
      <c r="M3652" t="s">
        <v>745</v>
      </c>
      <c r="N3652" s="784" t="s">
        <v>575</v>
      </c>
      <c r="O3652" t="s">
        <v>737</v>
      </c>
      <c r="P3652" t="s">
        <v>1887</v>
      </c>
      <c r="R3652" t="s">
        <v>150</v>
      </c>
      <c r="S3652" t="s">
        <v>145</v>
      </c>
      <c r="U3652">
        <v>0</v>
      </c>
      <c r="V3652" t="s">
        <v>544</v>
      </c>
      <c r="W3652" t="s">
        <v>562</v>
      </c>
      <c r="X3652" s="784">
        <v>152760919.7684873</v>
      </c>
    </row>
    <row r="3653" spans="1:24">
      <c r="A3653" t="s">
        <v>358</v>
      </c>
      <c r="B3653" t="s">
        <v>626</v>
      </c>
      <c r="C3653" t="s">
        <v>230</v>
      </c>
      <c r="D3653" t="s">
        <v>129</v>
      </c>
      <c r="E3653" t="s">
        <v>377</v>
      </c>
      <c r="F3653" t="s">
        <v>384</v>
      </c>
      <c r="G3653" t="s">
        <v>91</v>
      </c>
      <c r="H3653" t="s">
        <v>749</v>
      </c>
      <c r="I3653">
        <v>2021</v>
      </c>
      <c r="J3653" t="s">
        <v>379</v>
      </c>
      <c r="K3653" t="s">
        <v>546</v>
      </c>
      <c r="L3653" s="784">
        <v>0</v>
      </c>
      <c r="M3653" t="s">
        <v>745</v>
      </c>
      <c r="N3653" s="784" t="s">
        <v>575</v>
      </c>
      <c r="O3653" t="s">
        <v>737</v>
      </c>
      <c r="P3653" t="s">
        <v>1887</v>
      </c>
      <c r="R3653" t="s">
        <v>148</v>
      </c>
      <c r="S3653" t="s">
        <v>145</v>
      </c>
      <c r="U3653">
        <v>0</v>
      </c>
      <c r="V3653" t="s">
        <v>544</v>
      </c>
      <c r="W3653" t="s">
        <v>542</v>
      </c>
      <c r="X3653" s="784">
        <v>55072006.864440605</v>
      </c>
    </row>
    <row r="3654" spans="1:24">
      <c r="A3654" t="s">
        <v>358</v>
      </c>
      <c r="B3654" t="s">
        <v>627</v>
      </c>
      <c r="C3654" t="s">
        <v>231</v>
      </c>
      <c r="D3654" t="s">
        <v>131</v>
      </c>
      <c r="E3654" t="s">
        <v>377</v>
      </c>
      <c r="F3654" t="s">
        <v>384</v>
      </c>
      <c r="G3654" t="s">
        <v>91</v>
      </c>
      <c r="H3654" t="s">
        <v>749</v>
      </c>
      <c r="I3654">
        <v>2021</v>
      </c>
      <c r="J3654" t="s">
        <v>379</v>
      </c>
      <c r="K3654" t="s">
        <v>546</v>
      </c>
      <c r="L3654" s="784">
        <v>0</v>
      </c>
      <c r="M3654" t="s">
        <v>745</v>
      </c>
      <c r="N3654" s="784" t="s">
        <v>575</v>
      </c>
      <c r="O3654" t="s">
        <v>737</v>
      </c>
      <c r="P3654" t="s">
        <v>1887</v>
      </c>
      <c r="R3654" t="s">
        <v>152</v>
      </c>
      <c r="S3654" t="s">
        <v>146</v>
      </c>
      <c r="U3654">
        <v>0</v>
      </c>
      <c r="V3654" t="s">
        <v>544</v>
      </c>
      <c r="W3654" t="s">
        <v>546</v>
      </c>
      <c r="X3654" s="784" t="s">
        <v>575</v>
      </c>
    </row>
    <row r="3655" spans="1:24">
      <c r="A3655" t="s">
        <v>358</v>
      </c>
      <c r="B3655" t="s">
        <v>628</v>
      </c>
      <c r="C3655" t="s">
        <v>232</v>
      </c>
      <c r="D3655" t="s">
        <v>128</v>
      </c>
      <c r="E3655" t="s">
        <v>377</v>
      </c>
      <c r="F3655" t="s">
        <v>384</v>
      </c>
      <c r="G3655" t="s">
        <v>91</v>
      </c>
      <c r="H3655" t="s">
        <v>749</v>
      </c>
      <c r="I3655">
        <v>2021</v>
      </c>
      <c r="J3655" t="s">
        <v>379</v>
      </c>
      <c r="K3655" t="s">
        <v>546</v>
      </c>
      <c r="L3655" s="784">
        <v>0</v>
      </c>
      <c r="M3655" t="s">
        <v>745</v>
      </c>
      <c r="N3655" s="784" t="s">
        <v>575</v>
      </c>
      <c r="O3655" t="s">
        <v>737</v>
      </c>
      <c r="P3655" t="s">
        <v>1887</v>
      </c>
      <c r="R3655" t="s">
        <v>148</v>
      </c>
      <c r="S3655" t="s">
        <v>145</v>
      </c>
      <c r="U3655">
        <v>2</v>
      </c>
      <c r="V3655" t="s">
        <v>544</v>
      </c>
      <c r="W3655" t="s">
        <v>562</v>
      </c>
      <c r="X3655" s="784">
        <v>206914157.05429548</v>
      </c>
    </row>
    <row r="3656" spans="1:24">
      <c r="A3656" t="s">
        <v>358</v>
      </c>
      <c r="B3656" t="s">
        <v>629</v>
      </c>
      <c r="C3656" t="s">
        <v>233</v>
      </c>
      <c r="D3656" t="s">
        <v>128</v>
      </c>
      <c r="E3656" t="s">
        <v>377</v>
      </c>
      <c r="F3656" t="s">
        <v>384</v>
      </c>
      <c r="G3656" t="s">
        <v>91</v>
      </c>
      <c r="H3656" t="s">
        <v>749</v>
      </c>
      <c r="I3656">
        <v>2021</v>
      </c>
      <c r="J3656" t="s">
        <v>379</v>
      </c>
      <c r="K3656" t="s">
        <v>546</v>
      </c>
      <c r="L3656" s="784">
        <v>0</v>
      </c>
      <c r="M3656" t="s">
        <v>745</v>
      </c>
      <c r="N3656" s="784" t="s">
        <v>575</v>
      </c>
      <c r="O3656" t="s">
        <v>737</v>
      </c>
      <c r="P3656" t="s">
        <v>1887</v>
      </c>
      <c r="R3656" t="s">
        <v>148</v>
      </c>
      <c r="S3656" t="s">
        <v>145</v>
      </c>
      <c r="U3656">
        <v>2</v>
      </c>
      <c r="V3656" t="s">
        <v>544</v>
      </c>
      <c r="W3656" t="s">
        <v>542</v>
      </c>
      <c r="X3656" s="784">
        <v>185999915.02066413</v>
      </c>
    </row>
    <row r="3657" spans="1:24">
      <c r="A3657" t="s">
        <v>358</v>
      </c>
      <c r="B3657" t="s">
        <v>630</v>
      </c>
      <c r="C3657" t="s">
        <v>234</v>
      </c>
      <c r="D3657" t="s">
        <v>126</v>
      </c>
      <c r="E3657" t="s">
        <v>377</v>
      </c>
      <c r="F3657" t="s">
        <v>384</v>
      </c>
      <c r="G3657" t="s">
        <v>91</v>
      </c>
      <c r="H3657" t="s">
        <v>749</v>
      </c>
      <c r="I3657">
        <v>2021</v>
      </c>
      <c r="J3657" t="s">
        <v>379</v>
      </c>
      <c r="K3657" t="s">
        <v>546</v>
      </c>
      <c r="L3657" s="784">
        <v>0</v>
      </c>
      <c r="M3657" t="s">
        <v>745</v>
      </c>
      <c r="N3657" s="784" t="s">
        <v>575</v>
      </c>
      <c r="O3657" t="s">
        <v>737</v>
      </c>
      <c r="P3657" t="s">
        <v>1887</v>
      </c>
      <c r="R3657" t="s">
        <v>152</v>
      </c>
      <c r="S3657" t="s">
        <v>146</v>
      </c>
      <c r="U3657">
        <v>0</v>
      </c>
      <c r="V3657" t="s">
        <v>544</v>
      </c>
      <c r="W3657" t="s">
        <v>575</v>
      </c>
      <c r="X3657" s="784">
        <v>6893755763.2501726</v>
      </c>
    </row>
    <row r="3658" spans="1:24">
      <c r="A3658" t="s">
        <v>358</v>
      </c>
      <c r="B3658" t="s">
        <v>631</v>
      </c>
      <c r="C3658" t="s">
        <v>235</v>
      </c>
      <c r="D3658" t="s">
        <v>132</v>
      </c>
      <c r="E3658" t="s">
        <v>377</v>
      </c>
      <c r="F3658" t="s">
        <v>384</v>
      </c>
      <c r="G3658" t="s">
        <v>91</v>
      </c>
      <c r="H3658" t="s">
        <v>749</v>
      </c>
      <c r="I3658">
        <v>2021</v>
      </c>
      <c r="J3658" t="s">
        <v>379</v>
      </c>
      <c r="K3658" t="s">
        <v>546</v>
      </c>
      <c r="L3658" s="784">
        <v>0</v>
      </c>
      <c r="M3658" t="s">
        <v>745</v>
      </c>
      <c r="N3658" s="784" t="s">
        <v>575</v>
      </c>
      <c r="O3658" t="s">
        <v>737</v>
      </c>
      <c r="P3658" t="s">
        <v>1887</v>
      </c>
      <c r="R3658" t="s">
        <v>152</v>
      </c>
      <c r="S3658" t="s">
        <v>145</v>
      </c>
      <c r="U3658">
        <v>0</v>
      </c>
      <c r="V3658" t="s">
        <v>541</v>
      </c>
      <c r="W3658" t="s">
        <v>542</v>
      </c>
      <c r="X3658" s="784">
        <v>354560231.58276606</v>
      </c>
    </row>
    <row r="3659" spans="1:24">
      <c r="A3659" t="s">
        <v>358</v>
      </c>
      <c r="B3659" t="s">
        <v>632</v>
      </c>
      <c r="C3659" t="s">
        <v>236</v>
      </c>
      <c r="D3659" t="s">
        <v>129</v>
      </c>
      <c r="E3659" t="s">
        <v>377</v>
      </c>
      <c r="F3659" t="s">
        <v>384</v>
      </c>
      <c r="G3659" t="s">
        <v>91</v>
      </c>
      <c r="H3659" t="s">
        <v>749</v>
      </c>
      <c r="I3659">
        <v>2021</v>
      </c>
      <c r="J3659" t="s">
        <v>379</v>
      </c>
      <c r="K3659" t="s">
        <v>546</v>
      </c>
      <c r="L3659" s="784">
        <v>0</v>
      </c>
      <c r="M3659" t="s">
        <v>745</v>
      </c>
      <c r="N3659" s="784" t="s">
        <v>575</v>
      </c>
      <c r="O3659" t="s">
        <v>737</v>
      </c>
      <c r="P3659" t="s">
        <v>1887</v>
      </c>
      <c r="R3659" t="s">
        <v>148</v>
      </c>
      <c r="S3659" t="s">
        <v>145</v>
      </c>
      <c r="U3659">
        <v>1</v>
      </c>
      <c r="V3659" t="s">
        <v>544</v>
      </c>
      <c r="W3659" t="s">
        <v>562</v>
      </c>
      <c r="X3659" s="784">
        <v>188169167.56540567</v>
      </c>
    </row>
    <row r="3660" spans="1:24">
      <c r="A3660" t="s">
        <v>358</v>
      </c>
      <c r="B3660" t="s">
        <v>633</v>
      </c>
      <c r="C3660" t="s">
        <v>237</v>
      </c>
      <c r="D3660" t="s">
        <v>126</v>
      </c>
      <c r="E3660" t="s">
        <v>377</v>
      </c>
      <c r="F3660" t="s">
        <v>384</v>
      </c>
      <c r="G3660" t="s">
        <v>91</v>
      </c>
      <c r="H3660" t="s">
        <v>749</v>
      </c>
      <c r="I3660">
        <v>2021</v>
      </c>
      <c r="J3660" t="s">
        <v>379</v>
      </c>
      <c r="K3660" t="s">
        <v>546</v>
      </c>
      <c r="L3660" s="784">
        <v>0</v>
      </c>
      <c r="M3660" t="s">
        <v>745</v>
      </c>
      <c r="N3660" s="784" t="s">
        <v>575</v>
      </c>
      <c r="O3660" t="s">
        <v>737</v>
      </c>
      <c r="P3660" t="s">
        <v>1887</v>
      </c>
      <c r="R3660" t="s">
        <v>152</v>
      </c>
      <c r="S3660" t="s">
        <v>145</v>
      </c>
      <c r="U3660">
        <v>0</v>
      </c>
      <c r="V3660" t="s">
        <v>541</v>
      </c>
      <c r="W3660" t="s">
        <v>575</v>
      </c>
      <c r="X3660" s="784">
        <v>16312106.556340856</v>
      </c>
    </row>
    <row r="3661" spans="1:24">
      <c r="A3661" t="s">
        <v>358</v>
      </c>
      <c r="B3661" t="s">
        <v>634</v>
      </c>
      <c r="C3661" t="s">
        <v>238</v>
      </c>
      <c r="D3661" t="s">
        <v>129</v>
      </c>
      <c r="E3661" t="s">
        <v>377</v>
      </c>
      <c r="F3661" t="s">
        <v>384</v>
      </c>
      <c r="G3661" t="s">
        <v>91</v>
      </c>
      <c r="H3661" t="s">
        <v>749</v>
      </c>
      <c r="I3661">
        <v>2021</v>
      </c>
      <c r="J3661" t="s">
        <v>379</v>
      </c>
      <c r="K3661" t="s">
        <v>546</v>
      </c>
      <c r="L3661" s="784">
        <v>0</v>
      </c>
      <c r="M3661" t="s">
        <v>745</v>
      </c>
      <c r="N3661" s="784" t="s">
        <v>575</v>
      </c>
      <c r="O3661" t="s">
        <v>737</v>
      </c>
      <c r="P3661" t="s">
        <v>1887</v>
      </c>
      <c r="R3661" t="s">
        <v>150</v>
      </c>
      <c r="S3661" t="s">
        <v>145</v>
      </c>
      <c r="U3661">
        <v>2</v>
      </c>
      <c r="V3661" t="s">
        <v>544</v>
      </c>
      <c r="W3661" t="s">
        <v>542</v>
      </c>
      <c r="X3661" s="784">
        <v>86083833.534053758</v>
      </c>
    </row>
    <row r="3662" spans="1:24">
      <c r="A3662" t="s">
        <v>358</v>
      </c>
      <c r="B3662" t="s">
        <v>635</v>
      </c>
      <c r="C3662" t="s">
        <v>239</v>
      </c>
      <c r="D3662" t="s">
        <v>128</v>
      </c>
      <c r="E3662" t="s">
        <v>377</v>
      </c>
      <c r="F3662" t="s">
        <v>384</v>
      </c>
      <c r="G3662" t="s">
        <v>91</v>
      </c>
      <c r="H3662" t="s">
        <v>749</v>
      </c>
      <c r="I3662">
        <v>2021</v>
      </c>
      <c r="J3662" t="s">
        <v>379</v>
      </c>
      <c r="K3662" t="s">
        <v>546</v>
      </c>
      <c r="L3662" s="784">
        <v>0</v>
      </c>
      <c r="M3662" t="s">
        <v>745</v>
      </c>
      <c r="N3662" s="784" t="s">
        <v>575</v>
      </c>
      <c r="O3662" t="s">
        <v>737</v>
      </c>
      <c r="P3662" t="s">
        <v>1887</v>
      </c>
      <c r="R3662" t="s">
        <v>152</v>
      </c>
      <c r="S3662" t="s">
        <v>146</v>
      </c>
      <c r="U3662">
        <v>0</v>
      </c>
      <c r="V3662" t="s">
        <v>541</v>
      </c>
      <c r="W3662" t="s">
        <v>546</v>
      </c>
      <c r="X3662" s="784">
        <v>357220835.93762809</v>
      </c>
    </row>
    <row r="3663" spans="1:24">
      <c r="A3663" t="s">
        <v>358</v>
      </c>
      <c r="B3663" t="s">
        <v>636</v>
      </c>
      <c r="C3663" t="s">
        <v>240</v>
      </c>
      <c r="D3663" t="s">
        <v>130</v>
      </c>
      <c r="E3663" t="s">
        <v>377</v>
      </c>
      <c r="F3663" t="s">
        <v>384</v>
      </c>
      <c r="G3663" t="s">
        <v>91</v>
      </c>
      <c r="H3663" t="s">
        <v>749</v>
      </c>
      <c r="I3663">
        <v>2021</v>
      </c>
      <c r="J3663" t="s">
        <v>379</v>
      </c>
      <c r="K3663" t="s">
        <v>546</v>
      </c>
      <c r="L3663" s="784">
        <v>0</v>
      </c>
      <c r="M3663" t="s">
        <v>745</v>
      </c>
      <c r="N3663" s="784" t="s">
        <v>575</v>
      </c>
      <c r="O3663" t="s">
        <v>737</v>
      </c>
      <c r="P3663" t="s">
        <v>1887</v>
      </c>
      <c r="R3663" t="s">
        <v>152</v>
      </c>
      <c r="S3663" t="s">
        <v>146</v>
      </c>
      <c r="U3663">
        <v>0</v>
      </c>
      <c r="V3663" t="s">
        <v>544</v>
      </c>
      <c r="W3663" t="s">
        <v>575</v>
      </c>
      <c r="X3663" s="784">
        <v>32831598153.796387</v>
      </c>
    </row>
    <row r="3664" spans="1:24">
      <c r="A3664" t="s">
        <v>358</v>
      </c>
      <c r="B3664" t="s">
        <v>637</v>
      </c>
      <c r="C3664" t="s">
        <v>241</v>
      </c>
      <c r="D3664" t="s">
        <v>126</v>
      </c>
      <c r="E3664" t="s">
        <v>377</v>
      </c>
      <c r="F3664" t="s">
        <v>384</v>
      </c>
      <c r="G3664" t="s">
        <v>91</v>
      </c>
      <c r="H3664" t="s">
        <v>749</v>
      </c>
      <c r="I3664">
        <v>2021</v>
      </c>
      <c r="J3664" t="s">
        <v>379</v>
      </c>
      <c r="K3664" t="s">
        <v>546</v>
      </c>
      <c r="L3664" s="784">
        <v>0</v>
      </c>
      <c r="M3664" t="s">
        <v>745</v>
      </c>
      <c r="N3664" s="784" t="s">
        <v>575</v>
      </c>
      <c r="O3664" t="s">
        <v>737</v>
      </c>
      <c r="P3664" t="s">
        <v>1887</v>
      </c>
      <c r="R3664" t="s">
        <v>150</v>
      </c>
      <c r="S3664" t="s">
        <v>145</v>
      </c>
      <c r="U3664">
        <v>0</v>
      </c>
      <c r="V3664" t="s">
        <v>541</v>
      </c>
      <c r="W3664" t="s">
        <v>542</v>
      </c>
      <c r="X3664" s="784">
        <v>12329056.093798399</v>
      </c>
    </row>
    <row r="3665" spans="1:24">
      <c r="A3665" t="s">
        <v>358</v>
      </c>
      <c r="B3665" t="s">
        <v>638</v>
      </c>
      <c r="C3665" t="s">
        <v>242</v>
      </c>
      <c r="D3665" t="s">
        <v>127</v>
      </c>
      <c r="E3665" t="s">
        <v>377</v>
      </c>
      <c r="F3665" t="s">
        <v>384</v>
      </c>
      <c r="G3665" t="s">
        <v>91</v>
      </c>
      <c r="H3665" t="s">
        <v>749</v>
      </c>
      <c r="I3665">
        <v>2021</v>
      </c>
      <c r="J3665" t="s">
        <v>379</v>
      </c>
      <c r="K3665" t="s">
        <v>546</v>
      </c>
      <c r="L3665" s="784">
        <v>0</v>
      </c>
      <c r="M3665" t="s">
        <v>745</v>
      </c>
      <c r="N3665" s="784" t="s">
        <v>575</v>
      </c>
      <c r="O3665" t="s">
        <v>737</v>
      </c>
      <c r="P3665" t="s">
        <v>1887</v>
      </c>
      <c r="R3665" t="s">
        <v>152</v>
      </c>
      <c r="S3665" t="s">
        <v>145</v>
      </c>
      <c r="U3665">
        <v>0</v>
      </c>
      <c r="V3665" t="s">
        <v>544</v>
      </c>
      <c r="W3665" t="s">
        <v>558</v>
      </c>
      <c r="X3665" s="784">
        <v>426639742.85328001</v>
      </c>
    </row>
    <row r="3666" spans="1:24">
      <c r="A3666" t="s">
        <v>358</v>
      </c>
      <c r="B3666" t="s">
        <v>639</v>
      </c>
      <c r="C3666" t="s">
        <v>243</v>
      </c>
      <c r="D3666" t="s">
        <v>126</v>
      </c>
      <c r="E3666" t="s">
        <v>377</v>
      </c>
      <c r="F3666" t="s">
        <v>384</v>
      </c>
      <c r="G3666" t="s">
        <v>91</v>
      </c>
      <c r="H3666" t="s">
        <v>749</v>
      </c>
      <c r="I3666">
        <v>2021</v>
      </c>
      <c r="J3666" t="s">
        <v>379</v>
      </c>
      <c r="K3666" t="s">
        <v>546</v>
      </c>
      <c r="L3666" s="784">
        <v>0</v>
      </c>
      <c r="M3666" t="s">
        <v>745</v>
      </c>
      <c r="N3666" s="784" t="s">
        <v>575</v>
      </c>
      <c r="O3666" t="s">
        <v>737</v>
      </c>
      <c r="P3666" t="s">
        <v>1887</v>
      </c>
      <c r="R3666" t="s">
        <v>150</v>
      </c>
      <c r="S3666" t="s">
        <v>145</v>
      </c>
      <c r="U3666">
        <v>0</v>
      </c>
      <c r="V3666" t="s">
        <v>544</v>
      </c>
      <c r="W3666" t="s">
        <v>548</v>
      </c>
      <c r="X3666" s="784">
        <v>288519671.85870522</v>
      </c>
    </row>
    <row r="3667" spans="1:24">
      <c r="A3667" t="s">
        <v>358</v>
      </c>
      <c r="B3667" t="s">
        <v>640</v>
      </c>
      <c r="C3667" t="s">
        <v>244</v>
      </c>
      <c r="D3667" t="s">
        <v>127</v>
      </c>
      <c r="E3667" t="s">
        <v>377</v>
      </c>
      <c r="F3667" t="s">
        <v>384</v>
      </c>
      <c r="G3667" t="s">
        <v>91</v>
      </c>
      <c r="H3667" t="s">
        <v>749</v>
      </c>
      <c r="I3667">
        <v>2021</v>
      </c>
      <c r="J3667" t="s">
        <v>379</v>
      </c>
      <c r="K3667" t="s">
        <v>546</v>
      </c>
      <c r="L3667" s="784">
        <v>0</v>
      </c>
      <c r="M3667" t="s">
        <v>745</v>
      </c>
      <c r="N3667" s="784" t="s">
        <v>575</v>
      </c>
      <c r="O3667" t="s">
        <v>737</v>
      </c>
      <c r="P3667" t="s">
        <v>1887</v>
      </c>
      <c r="R3667" t="s">
        <v>152</v>
      </c>
      <c r="S3667" t="s">
        <v>146</v>
      </c>
      <c r="U3667">
        <v>0</v>
      </c>
      <c r="V3667" t="s">
        <v>544</v>
      </c>
      <c r="W3667" t="s">
        <v>546</v>
      </c>
      <c r="X3667" s="784">
        <v>275606560.78491527</v>
      </c>
    </row>
    <row r="3668" spans="1:24">
      <c r="A3668" t="s">
        <v>358</v>
      </c>
      <c r="B3668" t="s">
        <v>641</v>
      </c>
      <c r="C3668" t="s">
        <v>245</v>
      </c>
      <c r="D3668" t="s">
        <v>131</v>
      </c>
      <c r="E3668" t="s">
        <v>377</v>
      </c>
      <c r="F3668" t="s">
        <v>384</v>
      </c>
      <c r="G3668" t="s">
        <v>91</v>
      </c>
      <c r="H3668" t="s">
        <v>749</v>
      </c>
      <c r="I3668">
        <v>2021</v>
      </c>
      <c r="J3668" t="s">
        <v>379</v>
      </c>
      <c r="K3668" t="s">
        <v>546</v>
      </c>
      <c r="L3668" s="784">
        <v>0</v>
      </c>
      <c r="M3668" t="s">
        <v>745</v>
      </c>
      <c r="N3668" s="784" t="s">
        <v>575</v>
      </c>
      <c r="O3668" t="s">
        <v>737</v>
      </c>
      <c r="P3668" t="s">
        <v>1887</v>
      </c>
      <c r="R3668" t="s">
        <v>150</v>
      </c>
      <c r="S3668" t="s">
        <v>145</v>
      </c>
      <c r="U3668">
        <v>0</v>
      </c>
      <c r="V3668" t="s">
        <v>544</v>
      </c>
      <c r="W3668" t="s">
        <v>546</v>
      </c>
      <c r="X3668" s="784">
        <v>2530937679.3725696</v>
      </c>
    </row>
    <row r="3669" spans="1:24">
      <c r="A3669" t="s">
        <v>358</v>
      </c>
      <c r="B3669" t="s">
        <v>642</v>
      </c>
      <c r="C3669" t="s">
        <v>246</v>
      </c>
      <c r="D3669" t="s">
        <v>128</v>
      </c>
      <c r="E3669" t="s">
        <v>377</v>
      </c>
      <c r="F3669" t="s">
        <v>384</v>
      </c>
      <c r="G3669" t="s">
        <v>91</v>
      </c>
      <c r="H3669" t="s">
        <v>749</v>
      </c>
      <c r="I3669">
        <v>2021</v>
      </c>
      <c r="J3669" t="s">
        <v>379</v>
      </c>
      <c r="K3669" t="s">
        <v>546</v>
      </c>
      <c r="L3669" s="784">
        <v>0</v>
      </c>
      <c r="M3669" t="s">
        <v>745</v>
      </c>
      <c r="N3669" s="784" t="s">
        <v>575</v>
      </c>
      <c r="O3669" t="s">
        <v>737</v>
      </c>
      <c r="P3669" t="s">
        <v>1887</v>
      </c>
      <c r="R3669" t="s">
        <v>148</v>
      </c>
      <c r="S3669" t="s">
        <v>145</v>
      </c>
      <c r="U3669">
        <v>0</v>
      </c>
      <c r="V3669" t="s">
        <v>544</v>
      </c>
      <c r="W3669" t="s">
        <v>583</v>
      </c>
      <c r="X3669" s="784">
        <v>251432156.86255455</v>
      </c>
    </row>
    <row r="3670" spans="1:24">
      <c r="A3670" t="s">
        <v>358</v>
      </c>
      <c r="B3670" t="s">
        <v>643</v>
      </c>
      <c r="C3670" t="s">
        <v>247</v>
      </c>
      <c r="D3670" t="s">
        <v>126</v>
      </c>
      <c r="E3670" t="s">
        <v>377</v>
      </c>
      <c r="F3670" t="s">
        <v>384</v>
      </c>
      <c r="G3670" t="s">
        <v>91</v>
      </c>
      <c r="H3670" t="s">
        <v>749</v>
      </c>
      <c r="I3670">
        <v>2021</v>
      </c>
      <c r="J3670" t="s">
        <v>379</v>
      </c>
      <c r="K3670" t="s">
        <v>546</v>
      </c>
      <c r="L3670" s="784">
        <v>0</v>
      </c>
      <c r="M3670" t="s">
        <v>745</v>
      </c>
      <c r="N3670" s="784" t="s">
        <v>575</v>
      </c>
      <c r="O3670" t="s">
        <v>737</v>
      </c>
      <c r="P3670" t="s">
        <v>1887</v>
      </c>
      <c r="R3670" t="s">
        <v>150</v>
      </c>
      <c r="S3670" t="s">
        <v>145</v>
      </c>
      <c r="U3670">
        <v>0</v>
      </c>
      <c r="V3670" t="s">
        <v>544</v>
      </c>
      <c r="W3670" t="s">
        <v>558</v>
      </c>
      <c r="X3670" s="784">
        <v>471534500.60109437</v>
      </c>
    </row>
    <row r="3671" spans="1:24">
      <c r="A3671" t="s">
        <v>358</v>
      </c>
      <c r="B3671" t="s">
        <v>644</v>
      </c>
      <c r="C3671" t="s">
        <v>248</v>
      </c>
      <c r="D3671" t="s">
        <v>128</v>
      </c>
      <c r="E3671" t="s">
        <v>377</v>
      </c>
      <c r="F3671" t="s">
        <v>384</v>
      </c>
      <c r="G3671" t="s">
        <v>91</v>
      </c>
      <c r="H3671" t="s">
        <v>749</v>
      </c>
      <c r="I3671">
        <v>2021</v>
      </c>
      <c r="J3671" t="s">
        <v>379</v>
      </c>
      <c r="K3671" t="s">
        <v>546</v>
      </c>
      <c r="L3671" s="784">
        <v>0</v>
      </c>
      <c r="M3671" t="s">
        <v>745</v>
      </c>
      <c r="N3671" s="784" t="s">
        <v>575</v>
      </c>
      <c r="O3671" t="s">
        <v>737</v>
      </c>
      <c r="P3671" t="s">
        <v>1887</v>
      </c>
      <c r="R3671" t="s">
        <v>152</v>
      </c>
      <c r="S3671" t="s">
        <v>146</v>
      </c>
      <c r="U3671">
        <v>0</v>
      </c>
      <c r="V3671" t="s">
        <v>544</v>
      </c>
      <c r="W3671" t="s">
        <v>575</v>
      </c>
      <c r="X3671" s="784">
        <v>531677611.80447447</v>
      </c>
    </row>
    <row r="3672" spans="1:24">
      <c r="A3672" t="s">
        <v>358</v>
      </c>
      <c r="B3672" t="s">
        <v>645</v>
      </c>
      <c r="C3672" t="s">
        <v>249</v>
      </c>
      <c r="D3672" t="s">
        <v>126</v>
      </c>
      <c r="E3672" t="s">
        <v>377</v>
      </c>
      <c r="F3672" t="s">
        <v>384</v>
      </c>
      <c r="G3672" t="s">
        <v>91</v>
      </c>
      <c r="H3672" t="s">
        <v>749</v>
      </c>
      <c r="I3672">
        <v>2021</v>
      </c>
      <c r="J3672" t="s">
        <v>379</v>
      </c>
      <c r="K3672" t="s">
        <v>546</v>
      </c>
      <c r="L3672" s="784">
        <v>0</v>
      </c>
      <c r="M3672" t="s">
        <v>745</v>
      </c>
      <c r="N3672" s="784" t="s">
        <v>575</v>
      </c>
      <c r="O3672" t="s">
        <v>737</v>
      </c>
      <c r="P3672" t="s">
        <v>1887</v>
      </c>
      <c r="R3672" t="s">
        <v>550</v>
      </c>
      <c r="S3672" t="s">
        <v>146</v>
      </c>
      <c r="U3672">
        <v>0</v>
      </c>
      <c r="V3672" t="s">
        <v>541</v>
      </c>
      <c r="W3672" t="s">
        <v>575</v>
      </c>
      <c r="X3672" s="784">
        <v>8528751.6418357007</v>
      </c>
    </row>
    <row r="3673" spans="1:24">
      <c r="A3673" t="s">
        <v>358</v>
      </c>
      <c r="B3673" t="s">
        <v>646</v>
      </c>
      <c r="C3673" t="s">
        <v>250</v>
      </c>
      <c r="D3673" t="s">
        <v>132</v>
      </c>
      <c r="E3673" t="s">
        <v>377</v>
      </c>
      <c r="F3673" t="s">
        <v>384</v>
      </c>
      <c r="G3673" t="s">
        <v>91</v>
      </c>
      <c r="H3673" t="s">
        <v>749</v>
      </c>
      <c r="I3673">
        <v>2021</v>
      </c>
      <c r="J3673" t="s">
        <v>379</v>
      </c>
      <c r="K3673" t="s">
        <v>546</v>
      </c>
      <c r="L3673" s="784">
        <v>175000</v>
      </c>
      <c r="M3673" t="s">
        <v>745</v>
      </c>
      <c r="N3673" s="784" t="s">
        <v>575</v>
      </c>
      <c r="O3673" t="s">
        <v>737</v>
      </c>
      <c r="P3673" t="s">
        <v>1887</v>
      </c>
      <c r="R3673" t="s">
        <v>150</v>
      </c>
      <c r="S3673" t="s">
        <v>145</v>
      </c>
      <c r="U3673">
        <v>0</v>
      </c>
      <c r="V3673" t="s">
        <v>544</v>
      </c>
      <c r="W3673" t="s">
        <v>558</v>
      </c>
      <c r="X3673" s="784">
        <v>407084543.19089872</v>
      </c>
    </row>
    <row r="3674" spans="1:24">
      <c r="A3674" t="s">
        <v>358</v>
      </c>
      <c r="B3674" t="s">
        <v>647</v>
      </c>
      <c r="C3674" t="s">
        <v>251</v>
      </c>
      <c r="D3674" t="s">
        <v>130</v>
      </c>
      <c r="E3674" t="s">
        <v>377</v>
      </c>
      <c r="F3674" t="s">
        <v>384</v>
      </c>
      <c r="G3674" t="s">
        <v>91</v>
      </c>
      <c r="H3674" t="s">
        <v>749</v>
      </c>
      <c r="I3674">
        <v>2021</v>
      </c>
      <c r="J3674" t="s">
        <v>379</v>
      </c>
      <c r="K3674" t="s">
        <v>546</v>
      </c>
      <c r="L3674" s="784">
        <v>1278918</v>
      </c>
      <c r="M3674" t="s">
        <v>745</v>
      </c>
      <c r="N3674" s="784" t="s">
        <v>575</v>
      </c>
      <c r="O3674" t="s">
        <v>737</v>
      </c>
      <c r="P3674" t="s">
        <v>1887</v>
      </c>
      <c r="R3674" t="s">
        <v>150</v>
      </c>
      <c r="S3674" t="s">
        <v>145</v>
      </c>
      <c r="U3674">
        <v>0</v>
      </c>
      <c r="V3674" t="s">
        <v>544</v>
      </c>
      <c r="W3674" t="s">
        <v>562</v>
      </c>
      <c r="X3674" s="784">
        <v>671998341.93592453</v>
      </c>
    </row>
    <row r="3675" spans="1:24">
      <c r="A3675" t="s">
        <v>358</v>
      </c>
      <c r="B3675" t="s">
        <v>648</v>
      </c>
      <c r="C3675" t="s">
        <v>252</v>
      </c>
      <c r="D3675" t="s">
        <v>129</v>
      </c>
      <c r="E3675" t="s">
        <v>377</v>
      </c>
      <c r="F3675" t="s">
        <v>384</v>
      </c>
      <c r="G3675" t="s">
        <v>91</v>
      </c>
      <c r="H3675" t="s">
        <v>749</v>
      </c>
      <c r="I3675">
        <v>2021</v>
      </c>
      <c r="J3675" t="s">
        <v>379</v>
      </c>
      <c r="K3675" t="s">
        <v>546</v>
      </c>
      <c r="L3675" s="784">
        <v>0</v>
      </c>
      <c r="M3675" t="s">
        <v>745</v>
      </c>
      <c r="N3675" s="784" t="s">
        <v>575</v>
      </c>
      <c r="O3675" t="s">
        <v>737</v>
      </c>
      <c r="P3675" t="s">
        <v>1887</v>
      </c>
      <c r="R3675" t="s">
        <v>148</v>
      </c>
      <c r="S3675" t="s">
        <v>145</v>
      </c>
      <c r="U3675">
        <v>1</v>
      </c>
      <c r="V3675" t="s">
        <v>544</v>
      </c>
      <c r="W3675" t="s">
        <v>562</v>
      </c>
      <c r="X3675" s="784">
        <v>226203289.67158964</v>
      </c>
    </row>
    <row r="3676" spans="1:24">
      <c r="A3676" t="s">
        <v>358</v>
      </c>
      <c r="B3676" t="s">
        <v>649</v>
      </c>
      <c r="C3676" t="s">
        <v>253</v>
      </c>
      <c r="D3676" t="s">
        <v>129</v>
      </c>
      <c r="E3676" t="s">
        <v>377</v>
      </c>
      <c r="F3676" t="s">
        <v>384</v>
      </c>
      <c r="G3676" t="s">
        <v>91</v>
      </c>
      <c r="H3676" t="s">
        <v>749</v>
      </c>
      <c r="I3676">
        <v>2021</v>
      </c>
      <c r="J3676" t="s">
        <v>379</v>
      </c>
      <c r="K3676" t="s">
        <v>546</v>
      </c>
      <c r="L3676" s="784">
        <v>0</v>
      </c>
      <c r="M3676" t="s">
        <v>745</v>
      </c>
      <c r="N3676" s="784" t="s">
        <v>575</v>
      </c>
      <c r="O3676" t="s">
        <v>737</v>
      </c>
      <c r="P3676" t="s">
        <v>1887</v>
      </c>
      <c r="R3676" t="s">
        <v>150</v>
      </c>
      <c r="S3676" t="s">
        <v>145</v>
      </c>
      <c r="U3676">
        <v>3</v>
      </c>
      <c r="V3676" t="s">
        <v>544</v>
      </c>
      <c r="W3676" t="s">
        <v>548</v>
      </c>
      <c r="X3676" s="784">
        <v>2438881113.1244688</v>
      </c>
    </row>
    <row r="3677" spans="1:24">
      <c r="A3677" t="s">
        <v>358</v>
      </c>
      <c r="B3677" t="s">
        <v>650</v>
      </c>
      <c r="C3677" t="s">
        <v>254</v>
      </c>
      <c r="D3677" t="s">
        <v>127</v>
      </c>
      <c r="E3677" t="s">
        <v>377</v>
      </c>
      <c r="F3677" t="s">
        <v>384</v>
      </c>
      <c r="G3677" t="s">
        <v>91</v>
      </c>
      <c r="H3677" t="s">
        <v>749</v>
      </c>
      <c r="I3677">
        <v>2021</v>
      </c>
      <c r="J3677" t="s">
        <v>379</v>
      </c>
      <c r="K3677" t="s">
        <v>546</v>
      </c>
      <c r="L3677" s="784">
        <v>0</v>
      </c>
      <c r="M3677" t="s">
        <v>745</v>
      </c>
      <c r="N3677" s="784" t="s">
        <v>575</v>
      </c>
      <c r="O3677" t="s">
        <v>737</v>
      </c>
      <c r="P3677" t="s">
        <v>1887</v>
      </c>
      <c r="R3677" t="s">
        <v>152</v>
      </c>
      <c r="S3677" t="s">
        <v>146</v>
      </c>
      <c r="U3677">
        <v>0</v>
      </c>
      <c r="V3677" t="s">
        <v>544</v>
      </c>
      <c r="W3677" t="s">
        <v>575</v>
      </c>
      <c r="X3677" s="784">
        <v>476517795.73174149</v>
      </c>
    </row>
    <row r="3678" spans="1:24">
      <c r="A3678" t="s">
        <v>358</v>
      </c>
      <c r="B3678" t="s">
        <v>651</v>
      </c>
      <c r="C3678" t="s">
        <v>255</v>
      </c>
      <c r="D3678" t="s">
        <v>132</v>
      </c>
      <c r="E3678" t="s">
        <v>377</v>
      </c>
      <c r="F3678" t="s">
        <v>384</v>
      </c>
      <c r="G3678" t="s">
        <v>91</v>
      </c>
      <c r="H3678" t="s">
        <v>749</v>
      </c>
      <c r="I3678">
        <v>2021</v>
      </c>
      <c r="J3678" t="s">
        <v>379</v>
      </c>
      <c r="K3678" t="s">
        <v>546</v>
      </c>
      <c r="L3678" s="784">
        <v>0</v>
      </c>
      <c r="M3678" t="s">
        <v>745</v>
      </c>
      <c r="N3678" s="784" t="s">
        <v>575</v>
      </c>
      <c r="O3678" t="s">
        <v>737</v>
      </c>
      <c r="P3678" t="s">
        <v>1887</v>
      </c>
      <c r="R3678" t="s">
        <v>150</v>
      </c>
      <c r="S3678" t="s">
        <v>145</v>
      </c>
      <c r="U3678">
        <v>0</v>
      </c>
      <c r="V3678" t="s">
        <v>544</v>
      </c>
      <c r="W3678" t="s">
        <v>548</v>
      </c>
      <c r="X3678" s="784">
        <v>3233351297.7679496</v>
      </c>
    </row>
    <row r="3679" spans="1:24">
      <c r="A3679" t="s">
        <v>358</v>
      </c>
      <c r="B3679" t="s">
        <v>652</v>
      </c>
      <c r="C3679" t="s">
        <v>256</v>
      </c>
      <c r="D3679" t="s">
        <v>130</v>
      </c>
      <c r="E3679" t="s">
        <v>377</v>
      </c>
      <c r="F3679" t="s">
        <v>384</v>
      </c>
      <c r="G3679" t="s">
        <v>91</v>
      </c>
      <c r="H3679" t="s">
        <v>749</v>
      </c>
      <c r="I3679">
        <v>2021</v>
      </c>
      <c r="J3679" t="s">
        <v>379</v>
      </c>
      <c r="K3679" t="s">
        <v>546</v>
      </c>
      <c r="L3679" s="784">
        <v>0</v>
      </c>
      <c r="M3679" t="s">
        <v>745</v>
      </c>
      <c r="N3679" s="784" t="s">
        <v>575</v>
      </c>
      <c r="O3679" t="s">
        <v>737</v>
      </c>
      <c r="P3679" t="s">
        <v>1887</v>
      </c>
      <c r="R3679" t="s">
        <v>550</v>
      </c>
      <c r="S3679" t="s">
        <v>146</v>
      </c>
      <c r="U3679">
        <v>0</v>
      </c>
      <c r="V3679" t="s">
        <v>541</v>
      </c>
      <c r="W3679" t="s">
        <v>575</v>
      </c>
      <c r="X3679" s="784">
        <v>18180646.808608256</v>
      </c>
    </row>
    <row r="3680" spans="1:24">
      <c r="A3680" t="s">
        <v>358</v>
      </c>
      <c r="B3680" t="s">
        <v>653</v>
      </c>
      <c r="C3680" t="s">
        <v>257</v>
      </c>
      <c r="D3680" t="s">
        <v>130</v>
      </c>
      <c r="E3680" t="s">
        <v>377</v>
      </c>
      <c r="F3680" t="s">
        <v>384</v>
      </c>
      <c r="G3680" t="s">
        <v>91</v>
      </c>
      <c r="H3680" t="s">
        <v>749</v>
      </c>
      <c r="I3680">
        <v>2021</v>
      </c>
      <c r="J3680" t="s">
        <v>379</v>
      </c>
      <c r="K3680" t="s">
        <v>546</v>
      </c>
      <c r="L3680" s="784">
        <v>0</v>
      </c>
      <c r="M3680" t="s">
        <v>745</v>
      </c>
      <c r="N3680" s="784" t="s">
        <v>575</v>
      </c>
      <c r="O3680" t="s">
        <v>737</v>
      </c>
      <c r="P3680" t="s">
        <v>1887</v>
      </c>
      <c r="R3680" t="s">
        <v>152</v>
      </c>
      <c r="S3680" t="s">
        <v>146</v>
      </c>
      <c r="U3680">
        <v>0</v>
      </c>
      <c r="V3680" t="s">
        <v>544</v>
      </c>
      <c r="W3680" t="s">
        <v>546</v>
      </c>
      <c r="X3680" s="784">
        <v>3020530707.3485303</v>
      </c>
    </row>
    <row r="3681" spans="1:24">
      <c r="A3681" t="s">
        <v>358</v>
      </c>
      <c r="B3681" t="s">
        <v>654</v>
      </c>
      <c r="C3681" t="s">
        <v>258</v>
      </c>
      <c r="D3681" t="s">
        <v>126</v>
      </c>
      <c r="E3681" t="s">
        <v>377</v>
      </c>
      <c r="F3681" t="s">
        <v>384</v>
      </c>
      <c r="G3681" t="s">
        <v>91</v>
      </c>
      <c r="H3681" t="s">
        <v>749</v>
      </c>
      <c r="I3681">
        <v>2021</v>
      </c>
      <c r="J3681" t="s">
        <v>379</v>
      </c>
      <c r="K3681" t="s">
        <v>546</v>
      </c>
      <c r="L3681" s="784">
        <v>0</v>
      </c>
      <c r="M3681" t="s">
        <v>745</v>
      </c>
      <c r="N3681" s="784" t="s">
        <v>575</v>
      </c>
      <c r="O3681" t="s">
        <v>737</v>
      </c>
      <c r="P3681" t="s">
        <v>1887</v>
      </c>
      <c r="R3681" t="s">
        <v>150</v>
      </c>
      <c r="S3681" t="s">
        <v>145</v>
      </c>
      <c r="U3681">
        <v>1</v>
      </c>
      <c r="V3681" t="s">
        <v>541</v>
      </c>
      <c r="W3681" t="s">
        <v>542</v>
      </c>
      <c r="X3681" s="784">
        <v>384406316.46074712</v>
      </c>
    </row>
    <row r="3682" spans="1:24">
      <c r="A3682" t="s">
        <v>358</v>
      </c>
      <c r="B3682" t="s">
        <v>655</v>
      </c>
      <c r="C3682" t="s">
        <v>259</v>
      </c>
      <c r="D3682" t="s">
        <v>130</v>
      </c>
      <c r="E3682" t="s">
        <v>377</v>
      </c>
      <c r="F3682" t="s">
        <v>384</v>
      </c>
      <c r="G3682" t="s">
        <v>91</v>
      </c>
      <c r="H3682" t="s">
        <v>749</v>
      </c>
      <c r="I3682">
        <v>2021</v>
      </c>
      <c r="J3682" t="s">
        <v>379</v>
      </c>
      <c r="K3682" t="s">
        <v>546</v>
      </c>
      <c r="L3682" s="784">
        <v>0</v>
      </c>
      <c r="M3682" t="s">
        <v>745</v>
      </c>
      <c r="N3682" s="784" t="s">
        <v>575</v>
      </c>
      <c r="O3682" t="s">
        <v>737</v>
      </c>
      <c r="P3682" t="s">
        <v>1887</v>
      </c>
      <c r="R3682" t="s">
        <v>152</v>
      </c>
      <c r="S3682" t="s">
        <v>146</v>
      </c>
      <c r="U3682">
        <v>0</v>
      </c>
      <c r="V3682" t="s">
        <v>544</v>
      </c>
      <c r="W3682" t="s">
        <v>575</v>
      </c>
      <c r="X3682" s="784">
        <v>1218747108.9554784</v>
      </c>
    </row>
    <row r="3683" spans="1:24">
      <c r="A3683" t="s">
        <v>358</v>
      </c>
      <c r="B3683" t="s">
        <v>656</v>
      </c>
      <c r="C3683" t="s">
        <v>260</v>
      </c>
      <c r="D3683" t="s">
        <v>130</v>
      </c>
      <c r="E3683" t="s">
        <v>377</v>
      </c>
      <c r="F3683" t="s">
        <v>384</v>
      </c>
      <c r="G3683" t="s">
        <v>91</v>
      </c>
      <c r="H3683" t="s">
        <v>749</v>
      </c>
      <c r="I3683">
        <v>2021</v>
      </c>
      <c r="J3683" t="s">
        <v>379</v>
      </c>
      <c r="K3683" t="s">
        <v>546</v>
      </c>
      <c r="L3683" s="784">
        <v>0</v>
      </c>
      <c r="M3683" t="s">
        <v>745</v>
      </c>
      <c r="N3683" s="784" t="s">
        <v>575</v>
      </c>
      <c r="O3683" t="s">
        <v>737</v>
      </c>
      <c r="P3683" t="s">
        <v>1887</v>
      </c>
      <c r="R3683" t="s">
        <v>152</v>
      </c>
      <c r="S3683" t="s">
        <v>146</v>
      </c>
      <c r="U3683">
        <v>0</v>
      </c>
      <c r="V3683" t="s">
        <v>544</v>
      </c>
      <c r="W3683" t="s">
        <v>575</v>
      </c>
      <c r="X3683" s="784">
        <v>7392665952.5895758</v>
      </c>
    </row>
    <row r="3684" spans="1:24">
      <c r="A3684" t="s">
        <v>358</v>
      </c>
      <c r="B3684" t="s">
        <v>657</v>
      </c>
      <c r="C3684" t="s">
        <v>261</v>
      </c>
      <c r="D3684" t="s">
        <v>126</v>
      </c>
      <c r="E3684" t="s">
        <v>377</v>
      </c>
      <c r="F3684" t="s">
        <v>384</v>
      </c>
      <c r="G3684" t="s">
        <v>91</v>
      </c>
      <c r="H3684" t="s">
        <v>749</v>
      </c>
      <c r="I3684">
        <v>2021</v>
      </c>
      <c r="J3684" t="s">
        <v>379</v>
      </c>
      <c r="K3684" t="s">
        <v>546</v>
      </c>
      <c r="L3684" s="784">
        <v>0</v>
      </c>
      <c r="M3684" t="s">
        <v>745</v>
      </c>
      <c r="N3684" s="784" t="s">
        <v>575</v>
      </c>
      <c r="O3684" t="s">
        <v>737</v>
      </c>
      <c r="P3684" t="s">
        <v>1887</v>
      </c>
      <c r="R3684" t="s">
        <v>150</v>
      </c>
      <c r="S3684" t="s">
        <v>145</v>
      </c>
      <c r="U3684">
        <v>0</v>
      </c>
      <c r="V3684" t="s">
        <v>544</v>
      </c>
      <c r="W3684" t="s">
        <v>546</v>
      </c>
      <c r="X3684" s="784">
        <v>4754985988.6004429</v>
      </c>
    </row>
    <row r="3685" spans="1:24">
      <c r="A3685" t="s">
        <v>358</v>
      </c>
      <c r="B3685" t="s">
        <v>658</v>
      </c>
      <c r="C3685" t="s">
        <v>262</v>
      </c>
      <c r="D3685" t="s">
        <v>127</v>
      </c>
      <c r="E3685" t="s">
        <v>377</v>
      </c>
      <c r="F3685" t="s">
        <v>384</v>
      </c>
      <c r="G3685" t="s">
        <v>91</v>
      </c>
      <c r="H3685" t="s">
        <v>749</v>
      </c>
      <c r="I3685">
        <v>2021</v>
      </c>
      <c r="J3685" t="s">
        <v>379</v>
      </c>
      <c r="K3685" t="s">
        <v>546</v>
      </c>
      <c r="L3685" s="784">
        <v>0</v>
      </c>
      <c r="M3685" t="s">
        <v>745</v>
      </c>
      <c r="N3685" s="784" t="s">
        <v>575</v>
      </c>
      <c r="O3685" t="s">
        <v>737</v>
      </c>
      <c r="P3685" t="s">
        <v>1887</v>
      </c>
      <c r="R3685" t="s">
        <v>550</v>
      </c>
      <c r="S3685" t="s">
        <v>146</v>
      </c>
      <c r="U3685">
        <v>0</v>
      </c>
      <c r="V3685" t="s">
        <v>544</v>
      </c>
      <c r="W3685" t="s">
        <v>575</v>
      </c>
      <c r="X3685" s="784">
        <v>26422210443.037273</v>
      </c>
    </row>
    <row r="3686" spans="1:24">
      <c r="A3686" t="s">
        <v>358</v>
      </c>
      <c r="B3686" t="s">
        <v>659</v>
      </c>
      <c r="C3686" t="s">
        <v>151</v>
      </c>
      <c r="D3686" t="s">
        <v>127</v>
      </c>
      <c r="E3686" t="s">
        <v>377</v>
      </c>
      <c r="F3686" t="s">
        <v>384</v>
      </c>
      <c r="G3686" t="s">
        <v>91</v>
      </c>
      <c r="H3686" t="s">
        <v>749</v>
      </c>
      <c r="I3686">
        <v>2021</v>
      </c>
      <c r="J3686" t="s">
        <v>379</v>
      </c>
      <c r="K3686" t="s">
        <v>546</v>
      </c>
      <c r="L3686" s="784">
        <v>0</v>
      </c>
      <c r="M3686" t="s">
        <v>745</v>
      </c>
      <c r="N3686" s="784" t="s">
        <v>575</v>
      </c>
      <c r="O3686" t="s">
        <v>737</v>
      </c>
      <c r="P3686" t="s">
        <v>1887</v>
      </c>
      <c r="R3686" t="s">
        <v>152</v>
      </c>
      <c r="S3686" t="s">
        <v>146</v>
      </c>
      <c r="U3686">
        <v>0</v>
      </c>
      <c r="V3686" t="s">
        <v>544</v>
      </c>
      <c r="W3686" t="s">
        <v>575</v>
      </c>
      <c r="X3686" s="784">
        <v>10696495313.15033</v>
      </c>
    </row>
    <row r="3687" spans="1:24">
      <c r="A3687" t="s">
        <v>358</v>
      </c>
      <c r="B3687" t="s">
        <v>660</v>
      </c>
      <c r="C3687" t="s">
        <v>263</v>
      </c>
      <c r="D3687" t="s">
        <v>127</v>
      </c>
      <c r="E3687" t="s">
        <v>377</v>
      </c>
      <c r="F3687" t="s">
        <v>384</v>
      </c>
      <c r="G3687" t="s">
        <v>91</v>
      </c>
      <c r="H3687" t="s">
        <v>749</v>
      </c>
      <c r="I3687">
        <v>2021</v>
      </c>
      <c r="J3687" t="s">
        <v>379</v>
      </c>
      <c r="K3687" t="s">
        <v>546</v>
      </c>
      <c r="L3687" s="784">
        <v>0</v>
      </c>
      <c r="M3687" t="s">
        <v>745</v>
      </c>
      <c r="N3687" s="784" t="s">
        <v>575</v>
      </c>
      <c r="O3687" t="s">
        <v>737</v>
      </c>
      <c r="P3687" t="s">
        <v>1887</v>
      </c>
      <c r="R3687" t="s">
        <v>152</v>
      </c>
      <c r="S3687" t="s">
        <v>146</v>
      </c>
      <c r="U3687">
        <v>0</v>
      </c>
      <c r="V3687" t="s">
        <v>544</v>
      </c>
      <c r="W3687" t="s">
        <v>575</v>
      </c>
      <c r="X3687" s="784">
        <v>52769713433.240509</v>
      </c>
    </row>
    <row r="3688" spans="1:24">
      <c r="A3688" t="s">
        <v>358</v>
      </c>
      <c r="B3688" t="s">
        <v>661</v>
      </c>
      <c r="C3688" t="s">
        <v>264</v>
      </c>
      <c r="D3688" t="s">
        <v>128</v>
      </c>
      <c r="E3688" t="s">
        <v>377</v>
      </c>
      <c r="F3688" t="s">
        <v>384</v>
      </c>
      <c r="G3688" t="s">
        <v>91</v>
      </c>
      <c r="H3688" t="s">
        <v>749</v>
      </c>
      <c r="I3688">
        <v>2021</v>
      </c>
      <c r="J3688" t="s">
        <v>379</v>
      </c>
      <c r="K3688" t="s">
        <v>546</v>
      </c>
      <c r="L3688" s="784">
        <v>0</v>
      </c>
      <c r="M3688" t="s">
        <v>745</v>
      </c>
      <c r="N3688" s="784" t="s">
        <v>575</v>
      </c>
      <c r="O3688" t="s">
        <v>737</v>
      </c>
      <c r="P3688" t="s">
        <v>1887</v>
      </c>
      <c r="R3688" t="s">
        <v>148</v>
      </c>
      <c r="S3688" t="s">
        <v>145</v>
      </c>
      <c r="U3688">
        <v>0</v>
      </c>
      <c r="V3688" t="s">
        <v>544</v>
      </c>
      <c r="W3688" t="s">
        <v>562</v>
      </c>
      <c r="X3688" s="784">
        <v>225799814.51943746</v>
      </c>
    </row>
    <row r="3689" spans="1:24">
      <c r="A3689" t="s">
        <v>358</v>
      </c>
      <c r="B3689" t="s">
        <v>662</v>
      </c>
      <c r="C3689" t="s">
        <v>265</v>
      </c>
      <c r="D3689" t="s">
        <v>126</v>
      </c>
      <c r="E3689" t="s">
        <v>377</v>
      </c>
      <c r="F3689" t="s">
        <v>384</v>
      </c>
      <c r="G3689" t="s">
        <v>91</v>
      </c>
      <c r="H3689" t="s">
        <v>749</v>
      </c>
      <c r="I3689">
        <v>2021</v>
      </c>
      <c r="J3689" t="s">
        <v>379</v>
      </c>
      <c r="K3689" t="s">
        <v>546</v>
      </c>
      <c r="L3689" s="784">
        <v>0</v>
      </c>
      <c r="M3689" t="s">
        <v>745</v>
      </c>
      <c r="N3689" s="784" t="s">
        <v>575</v>
      </c>
      <c r="O3689" t="s">
        <v>737</v>
      </c>
      <c r="P3689" t="s">
        <v>1887</v>
      </c>
      <c r="R3689" t="s">
        <v>150</v>
      </c>
      <c r="S3689" t="s">
        <v>145</v>
      </c>
      <c r="U3689">
        <v>0</v>
      </c>
      <c r="V3689" t="s">
        <v>541</v>
      </c>
      <c r="W3689" t="s">
        <v>542</v>
      </c>
      <c r="X3689" s="784">
        <v>32192988.027009469</v>
      </c>
    </row>
    <row r="3690" spans="1:24">
      <c r="A3690" t="s">
        <v>358</v>
      </c>
      <c r="B3690" t="s">
        <v>663</v>
      </c>
      <c r="C3690" t="s">
        <v>266</v>
      </c>
      <c r="D3690" t="s">
        <v>129</v>
      </c>
      <c r="E3690" t="s">
        <v>377</v>
      </c>
      <c r="F3690" t="s">
        <v>384</v>
      </c>
      <c r="G3690" t="s">
        <v>91</v>
      </c>
      <c r="H3690" t="s">
        <v>749</v>
      </c>
      <c r="I3690">
        <v>2021</v>
      </c>
      <c r="J3690" t="s">
        <v>379</v>
      </c>
      <c r="K3690" t="s">
        <v>546</v>
      </c>
      <c r="L3690" s="784">
        <v>0</v>
      </c>
      <c r="M3690" t="s">
        <v>745</v>
      </c>
      <c r="N3690" s="784" t="s">
        <v>575</v>
      </c>
      <c r="O3690" t="s">
        <v>737</v>
      </c>
      <c r="P3690" t="s">
        <v>1887</v>
      </c>
      <c r="R3690" t="s">
        <v>150</v>
      </c>
      <c r="S3690" t="s">
        <v>145</v>
      </c>
      <c r="U3690">
        <v>0</v>
      </c>
      <c r="V3690" t="s">
        <v>541</v>
      </c>
      <c r="W3690" t="s">
        <v>583</v>
      </c>
      <c r="X3690" s="784">
        <v>11633535.136477679</v>
      </c>
    </row>
    <row r="3691" spans="1:24">
      <c r="A3691" t="s">
        <v>358</v>
      </c>
      <c r="B3691" t="s">
        <v>664</v>
      </c>
      <c r="C3691" t="s">
        <v>267</v>
      </c>
      <c r="D3691" t="s">
        <v>129</v>
      </c>
      <c r="E3691" t="s">
        <v>377</v>
      </c>
      <c r="F3691" t="s">
        <v>384</v>
      </c>
      <c r="G3691" t="s">
        <v>91</v>
      </c>
      <c r="H3691" t="s">
        <v>749</v>
      </c>
      <c r="I3691">
        <v>2021</v>
      </c>
      <c r="J3691" t="s">
        <v>379</v>
      </c>
      <c r="K3691" t="s">
        <v>546</v>
      </c>
      <c r="L3691" s="784">
        <v>0</v>
      </c>
      <c r="M3691" t="s">
        <v>745</v>
      </c>
      <c r="N3691" s="784" t="s">
        <v>575</v>
      </c>
      <c r="O3691" t="s">
        <v>737</v>
      </c>
      <c r="P3691" t="s">
        <v>1887</v>
      </c>
      <c r="R3691" t="s">
        <v>150</v>
      </c>
      <c r="S3691" t="s">
        <v>145</v>
      </c>
      <c r="U3691">
        <v>2</v>
      </c>
      <c r="V3691" t="s">
        <v>544</v>
      </c>
      <c r="W3691" t="s">
        <v>562</v>
      </c>
      <c r="X3691" s="784">
        <v>222008693.93354639</v>
      </c>
    </row>
    <row r="3692" spans="1:24">
      <c r="A3692" t="s">
        <v>358</v>
      </c>
      <c r="B3692" t="s">
        <v>665</v>
      </c>
      <c r="C3692" t="s">
        <v>153</v>
      </c>
      <c r="D3692" t="s">
        <v>127</v>
      </c>
      <c r="E3692" t="s">
        <v>377</v>
      </c>
      <c r="F3692" t="s">
        <v>384</v>
      </c>
      <c r="G3692" t="s">
        <v>91</v>
      </c>
      <c r="H3692" t="s">
        <v>749</v>
      </c>
      <c r="I3692">
        <v>2021</v>
      </c>
      <c r="J3692" t="s">
        <v>379</v>
      </c>
      <c r="K3692" t="s">
        <v>546</v>
      </c>
      <c r="L3692" s="784">
        <v>0</v>
      </c>
      <c r="M3692" t="s">
        <v>745</v>
      </c>
      <c r="N3692" s="784" t="s">
        <v>575</v>
      </c>
      <c r="O3692" t="s">
        <v>737</v>
      </c>
      <c r="P3692" t="s">
        <v>1887</v>
      </c>
      <c r="R3692" t="s">
        <v>152</v>
      </c>
      <c r="S3692" t="s">
        <v>146</v>
      </c>
      <c r="U3692">
        <v>0</v>
      </c>
      <c r="V3692" t="s">
        <v>544</v>
      </c>
      <c r="W3692" t="s">
        <v>575</v>
      </c>
      <c r="X3692" s="784">
        <v>2564993795.1894679</v>
      </c>
    </row>
    <row r="3693" spans="1:24">
      <c r="A3693" t="s">
        <v>358</v>
      </c>
      <c r="B3693" t="s">
        <v>666</v>
      </c>
      <c r="C3693" t="s">
        <v>268</v>
      </c>
      <c r="D3693" t="s">
        <v>128</v>
      </c>
      <c r="E3693" t="s">
        <v>377</v>
      </c>
      <c r="F3693" t="s">
        <v>384</v>
      </c>
      <c r="G3693" t="s">
        <v>91</v>
      </c>
      <c r="H3693" t="s">
        <v>749</v>
      </c>
      <c r="I3693">
        <v>2021</v>
      </c>
      <c r="J3693" t="s">
        <v>379</v>
      </c>
      <c r="K3693" t="s">
        <v>546</v>
      </c>
      <c r="L3693" s="784">
        <v>0</v>
      </c>
      <c r="M3693" t="s">
        <v>745</v>
      </c>
      <c r="N3693" s="784" t="s">
        <v>575</v>
      </c>
      <c r="O3693" t="s">
        <v>737</v>
      </c>
      <c r="P3693" t="s">
        <v>1887</v>
      </c>
      <c r="R3693" t="s">
        <v>550</v>
      </c>
      <c r="S3693" t="s">
        <v>146</v>
      </c>
      <c r="U3693">
        <v>0</v>
      </c>
      <c r="V3693" t="s">
        <v>541</v>
      </c>
      <c r="W3693" t="s">
        <v>546</v>
      </c>
      <c r="X3693" s="784">
        <v>60237542.945069775</v>
      </c>
    </row>
    <row r="3694" spans="1:24">
      <c r="A3694" t="s">
        <v>358</v>
      </c>
      <c r="B3694" t="s">
        <v>667</v>
      </c>
      <c r="C3694" t="s">
        <v>269</v>
      </c>
      <c r="D3694" t="s">
        <v>129</v>
      </c>
      <c r="E3694" t="s">
        <v>377</v>
      </c>
      <c r="F3694" t="s">
        <v>384</v>
      </c>
      <c r="G3694" t="s">
        <v>91</v>
      </c>
      <c r="H3694" t="s">
        <v>749</v>
      </c>
      <c r="I3694">
        <v>2021</v>
      </c>
      <c r="J3694" t="s">
        <v>379</v>
      </c>
      <c r="K3694" t="s">
        <v>546</v>
      </c>
      <c r="L3694" s="784">
        <v>0</v>
      </c>
      <c r="M3694" t="s">
        <v>745</v>
      </c>
      <c r="N3694" s="784" t="s">
        <v>575</v>
      </c>
      <c r="O3694" t="s">
        <v>737</v>
      </c>
      <c r="P3694" t="s">
        <v>1887</v>
      </c>
      <c r="R3694" t="s">
        <v>148</v>
      </c>
      <c r="S3694" t="s">
        <v>145</v>
      </c>
      <c r="U3694">
        <v>0</v>
      </c>
      <c r="V3694" t="s">
        <v>544</v>
      </c>
      <c r="W3694" t="s">
        <v>542</v>
      </c>
      <c r="X3694" s="784">
        <v>63738640.538260505</v>
      </c>
    </row>
    <row r="3695" spans="1:24">
      <c r="A3695" t="s">
        <v>358</v>
      </c>
      <c r="B3695" t="s">
        <v>668</v>
      </c>
      <c r="C3695" t="s">
        <v>270</v>
      </c>
      <c r="D3695" t="s">
        <v>126</v>
      </c>
      <c r="E3695" t="s">
        <v>377</v>
      </c>
      <c r="F3695" t="s">
        <v>384</v>
      </c>
      <c r="G3695" t="s">
        <v>91</v>
      </c>
      <c r="H3695" t="s">
        <v>749</v>
      </c>
      <c r="I3695">
        <v>2021</v>
      </c>
      <c r="J3695" t="s">
        <v>379</v>
      </c>
      <c r="K3695" t="s">
        <v>546</v>
      </c>
      <c r="L3695" s="784">
        <v>0</v>
      </c>
      <c r="M3695" t="s">
        <v>745</v>
      </c>
      <c r="N3695" s="784" t="s">
        <v>575</v>
      </c>
      <c r="O3695" t="s">
        <v>737</v>
      </c>
      <c r="P3695" t="s">
        <v>1887</v>
      </c>
      <c r="R3695" t="s">
        <v>150</v>
      </c>
      <c r="S3695" t="s">
        <v>145</v>
      </c>
      <c r="U3695">
        <v>0</v>
      </c>
      <c r="V3695" t="s">
        <v>541</v>
      </c>
      <c r="W3695" t="s">
        <v>562</v>
      </c>
      <c r="X3695" s="784">
        <v>49012774.055630356</v>
      </c>
    </row>
    <row r="3696" spans="1:24">
      <c r="A3696" t="s">
        <v>358</v>
      </c>
      <c r="B3696" t="s">
        <v>669</v>
      </c>
      <c r="C3696" t="s">
        <v>271</v>
      </c>
      <c r="D3696" t="s">
        <v>128</v>
      </c>
      <c r="E3696" t="s">
        <v>377</v>
      </c>
      <c r="F3696" t="s">
        <v>384</v>
      </c>
      <c r="G3696" t="s">
        <v>91</v>
      </c>
      <c r="H3696" t="s">
        <v>749</v>
      </c>
      <c r="I3696">
        <v>2021</v>
      </c>
      <c r="J3696" t="s">
        <v>379</v>
      </c>
      <c r="K3696" t="s">
        <v>546</v>
      </c>
      <c r="L3696" s="784">
        <v>0</v>
      </c>
      <c r="M3696" t="s">
        <v>745</v>
      </c>
      <c r="N3696" s="784" t="s">
        <v>575</v>
      </c>
      <c r="O3696" t="s">
        <v>737</v>
      </c>
      <c r="P3696" t="s">
        <v>1887</v>
      </c>
      <c r="R3696" t="s">
        <v>148</v>
      </c>
      <c r="S3696" t="s">
        <v>145</v>
      </c>
      <c r="U3696">
        <v>1</v>
      </c>
      <c r="V3696" t="s">
        <v>544</v>
      </c>
      <c r="W3696" t="s">
        <v>583</v>
      </c>
      <c r="X3696" s="784" t="s">
        <v>575</v>
      </c>
    </row>
    <row r="3697" spans="1:24">
      <c r="A3697" t="s">
        <v>358</v>
      </c>
      <c r="B3697" t="s">
        <v>670</v>
      </c>
      <c r="C3697" t="s">
        <v>272</v>
      </c>
      <c r="D3697" t="s">
        <v>128</v>
      </c>
      <c r="E3697" t="s">
        <v>377</v>
      </c>
      <c r="F3697" t="s">
        <v>384</v>
      </c>
      <c r="G3697" t="s">
        <v>91</v>
      </c>
      <c r="H3697" t="s">
        <v>749</v>
      </c>
      <c r="I3697">
        <v>2021</v>
      </c>
      <c r="J3697" t="s">
        <v>379</v>
      </c>
      <c r="K3697" t="s">
        <v>546</v>
      </c>
      <c r="L3697" s="784">
        <v>0</v>
      </c>
      <c r="M3697" t="s">
        <v>745</v>
      </c>
      <c r="N3697" s="784" t="s">
        <v>575</v>
      </c>
      <c r="O3697" t="s">
        <v>737</v>
      </c>
      <c r="P3697" t="s">
        <v>1887</v>
      </c>
      <c r="R3697" t="s">
        <v>152</v>
      </c>
      <c r="S3697" t="s">
        <v>146</v>
      </c>
      <c r="U3697">
        <v>0</v>
      </c>
      <c r="V3697" t="s">
        <v>544</v>
      </c>
      <c r="W3697" t="s">
        <v>546</v>
      </c>
      <c r="X3697" s="784">
        <v>16429121142.784708</v>
      </c>
    </row>
    <row r="3698" spans="1:24">
      <c r="A3698" t="s">
        <v>358</v>
      </c>
      <c r="B3698" t="s">
        <v>671</v>
      </c>
      <c r="C3698" t="s">
        <v>273</v>
      </c>
      <c r="D3698" t="s">
        <v>128</v>
      </c>
      <c r="E3698" t="s">
        <v>377</v>
      </c>
      <c r="F3698" t="s">
        <v>384</v>
      </c>
      <c r="G3698" t="s">
        <v>91</v>
      </c>
      <c r="H3698" t="s">
        <v>749</v>
      </c>
      <c r="I3698">
        <v>2021</v>
      </c>
      <c r="J3698" t="s">
        <v>379</v>
      </c>
      <c r="K3698" t="s">
        <v>546</v>
      </c>
      <c r="L3698" s="784">
        <v>0</v>
      </c>
      <c r="M3698" t="s">
        <v>745</v>
      </c>
      <c r="N3698" s="784" t="s">
        <v>575</v>
      </c>
      <c r="O3698" t="s">
        <v>737</v>
      </c>
      <c r="P3698" t="s">
        <v>1887</v>
      </c>
      <c r="R3698" t="s">
        <v>148</v>
      </c>
      <c r="S3698" t="s">
        <v>145</v>
      </c>
      <c r="U3698">
        <v>1</v>
      </c>
      <c r="V3698" t="s">
        <v>544</v>
      </c>
      <c r="W3698" t="s">
        <v>542</v>
      </c>
      <c r="X3698" s="784">
        <v>31684581.76217727</v>
      </c>
    </row>
    <row r="3699" spans="1:24">
      <c r="A3699" t="s">
        <v>358</v>
      </c>
      <c r="B3699" t="s">
        <v>672</v>
      </c>
      <c r="C3699" t="s">
        <v>274</v>
      </c>
      <c r="D3699" t="s">
        <v>132</v>
      </c>
      <c r="E3699" t="s">
        <v>377</v>
      </c>
      <c r="F3699" t="s">
        <v>384</v>
      </c>
      <c r="G3699" t="s">
        <v>91</v>
      </c>
      <c r="H3699" t="s">
        <v>749</v>
      </c>
      <c r="I3699">
        <v>2021</v>
      </c>
      <c r="J3699" t="s">
        <v>379</v>
      </c>
      <c r="K3699" t="s">
        <v>546</v>
      </c>
      <c r="L3699" s="784">
        <v>0</v>
      </c>
      <c r="M3699" t="s">
        <v>745</v>
      </c>
      <c r="N3699" s="784" t="s">
        <v>575</v>
      </c>
      <c r="O3699" t="s">
        <v>737</v>
      </c>
      <c r="P3699" t="s">
        <v>1887</v>
      </c>
      <c r="R3699" t="s">
        <v>150</v>
      </c>
      <c r="S3699" t="s">
        <v>145</v>
      </c>
      <c r="U3699">
        <v>0</v>
      </c>
      <c r="V3699" t="s">
        <v>544</v>
      </c>
      <c r="W3699" t="s">
        <v>546</v>
      </c>
      <c r="X3699" s="784">
        <v>1373621563.5182886</v>
      </c>
    </row>
    <row r="3700" spans="1:24">
      <c r="A3700" t="s">
        <v>358</v>
      </c>
      <c r="B3700" t="s">
        <v>673</v>
      </c>
      <c r="C3700" t="s">
        <v>275</v>
      </c>
      <c r="D3700" t="s">
        <v>130</v>
      </c>
      <c r="E3700" t="s">
        <v>377</v>
      </c>
      <c r="F3700" t="s">
        <v>384</v>
      </c>
      <c r="G3700" t="s">
        <v>91</v>
      </c>
      <c r="H3700" t="s">
        <v>749</v>
      </c>
      <c r="I3700">
        <v>2021</v>
      </c>
      <c r="J3700" t="s">
        <v>379</v>
      </c>
      <c r="K3700" t="s">
        <v>546</v>
      </c>
      <c r="L3700" s="784">
        <v>0</v>
      </c>
      <c r="M3700" t="s">
        <v>745</v>
      </c>
      <c r="N3700" s="784" t="s">
        <v>575</v>
      </c>
      <c r="O3700" t="s">
        <v>737</v>
      </c>
      <c r="P3700" t="s">
        <v>1887</v>
      </c>
      <c r="R3700" t="s">
        <v>550</v>
      </c>
      <c r="S3700" t="s">
        <v>146</v>
      </c>
      <c r="U3700">
        <v>0</v>
      </c>
      <c r="V3700" t="s">
        <v>541</v>
      </c>
      <c r="W3700" t="s">
        <v>575</v>
      </c>
      <c r="X3700" s="784">
        <v>24214370.889062837</v>
      </c>
    </row>
    <row r="3701" spans="1:24">
      <c r="A3701" t="s">
        <v>358</v>
      </c>
      <c r="B3701" t="s">
        <v>674</v>
      </c>
      <c r="C3701" t="s">
        <v>154</v>
      </c>
      <c r="D3701" t="s">
        <v>130</v>
      </c>
      <c r="E3701" t="s">
        <v>377</v>
      </c>
      <c r="F3701" t="s">
        <v>384</v>
      </c>
      <c r="G3701" t="s">
        <v>91</v>
      </c>
      <c r="H3701" t="s">
        <v>749</v>
      </c>
      <c r="I3701">
        <v>2021</v>
      </c>
      <c r="J3701" t="s">
        <v>379</v>
      </c>
      <c r="K3701" t="s">
        <v>546</v>
      </c>
      <c r="L3701" s="784">
        <v>0</v>
      </c>
      <c r="M3701" t="s">
        <v>745</v>
      </c>
      <c r="N3701" s="784" t="s">
        <v>575</v>
      </c>
      <c r="O3701" t="s">
        <v>737</v>
      </c>
      <c r="P3701" t="s">
        <v>1887</v>
      </c>
      <c r="R3701" t="s">
        <v>152</v>
      </c>
      <c r="S3701" t="s">
        <v>145</v>
      </c>
      <c r="U3701">
        <v>0</v>
      </c>
      <c r="V3701" t="s">
        <v>541</v>
      </c>
      <c r="W3701" t="s">
        <v>548</v>
      </c>
      <c r="X3701" s="784">
        <v>39941279.609447442</v>
      </c>
    </row>
    <row r="3702" spans="1:24">
      <c r="A3702" t="s">
        <v>358</v>
      </c>
      <c r="B3702" t="s">
        <v>675</v>
      </c>
      <c r="C3702" t="s">
        <v>155</v>
      </c>
      <c r="D3702" t="s">
        <v>130</v>
      </c>
      <c r="E3702" t="s">
        <v>377</v>
      </c>
      <c r="F3702" t="s">
        <v>384</v>
      </c>
      <c r="G3702" t="s">
        <v>91</v>
      </c>
      <c r="H3702" t="s">
        <v>749</v>
      </c>
      <c r="I3702">
        <v>2021</v>
      </c>
      <c r="J3702" t="s">
        <v>379</v>
      </c>
      <c r="K3702" t="s">
        <v>546</v>
      </c>
      <c r="L3702" s="784">
        <v>0</v>
      </c>
      <c r="M3702" t="s">
        <v>745</v>
      </c>
      <c r="N3702" s="784" t="s">
        <v>575</v>
      </c>
      <c r="O3702" t="s">
        <v>737</v>
      </c>
      <c r="P3702" t="s">
        <v>1887</v>
      </c>
      <c r="R3702" t="s">
        <v>152</v>
      </c>
      <c r="S3702" t="s">
        <v>145</v>
      </c>
      <c r="U3702">
        <v>0</v>
      </c>
      <c r="V3702" t="s">
        <v>541</v>
      </c>
      <c r="W3702" t="s">
        <v>542</v>
      </c>
      <c r="X3702" s="784">
        <v>24761675.260059897</v>
      </c>
    </row>
    <row r="3703" spans="1:24">
      <c r="A3703" t="s">
        <v>358</v>
      </c>
      <c r="B3703" t="s">
        <v>676</v>
      </c>
      <c r="C3703" t="s">
        <v>276</v>
      </c>
      <c r="D3703" t="s">
        <v>131</v>
      </c>
      <c r="E3703" t="s">
        <v>377</v>
      </c>
      <c r="F3703" t="s">
        <v>384</v>
      </c>
      <c r="G3703" t="s">
        <v>91</v>
      </c>
      <c r="H3703" t="s">
        <v>749</v>
      </c>
      <c r="I3703">
        <v>2021</v>
      </c>
      <c r="J3703" t="s">
        <v>379</v>
      </c>
      <c r="K3703" t="s">
        <v>546</v>
      </c>
      <c r="L3703" s="784">
        <v>0</v>
      </c>
      <c r="M3703" t="s">
        <v>745</v>
      </c>
      <c r="N3703" s="784" t="s">
        <v>575</v>
      </c>
      <c r="O3703" t="s">
        <v>737</v>
      </c>
      <c r="P3703" t="s">
        <v>1887</v>
      </c>
      <c r="R3703" t="s">
        <v>150</v>
      </c>
      <c r="S3703" t="s">
        <v>145</v>
      </c>
      <c r="U3703">
        <v>0</v>
      </c>
      <c r="V3703" t="s">
        <v>544</v>
      </c>
      <c r="W3703" t="s">
        <v>546</v>
      </c>
      <c r="X3703" s="784" t="s">
        <v>575</v>
      </c>
    </row>
    <row r="3704" spans="1:24">
      <c r="A3704" t="s">
        <v>358</v>
      </c>
      <c r="B3704" t="s">
        <v>677</v>
      </c>
      <c r="C3704" t="s">
        <v>277</v>
      </c>
      <c r="D3704" t="s">
        <v>131</v>
      </c>
      <c r="E3704" t="s">
        <v>377</v>
      </c>
      <c r="F3704" t="s">
        <v>384</v>
      </c>
      <c r="G3704" t="s">
        <v>91</v>
      </c>
      <c r="H3704" t="s">
        <v>749</v>
      </c>
      <c r="I3704">
        <v>2021</v>
      </c>
      <c r="J3704" t="s">
        <v>379</v>
      </c>
      <c r="K3704" t="s">
        <v>546</v>
      </c>
      <c r="L3704" s="784">
        <v>0</v>
      </c>
      <c r="M3704" t="s">
        <v>745</v>
      </c>
      <c r="N3704" s="784" t="s">
        <v>575</v>
      </c>
      <c r="O3704" t="s">
        <v>737</v>
      </c>
      <c r="P3704" t="s">
        <v>1887</v>
      </c>
      <c r="R3704" t="s">
        <v>148</v>
      </c>
      <c r="S3704" t="s">
        <v>145</v>
      </c>
      <c r="U3704">
        <v>1</v>
      </c>
      <c r="V3704" t="s">
        <v>544</v>
      </c>
      <c r="W3704" t="s">
        <v>546</v>
      </c>
      <c r="X3704" s="784">
        <v>577156172.71229994</v>
      </c>
    </row>
    <row r="3705" spans="1:24">
      <c r="A3705" t="s">
        <v>358</v>
      </c>
      <c r="B3705" t="s">
        <v>678</v>
      </c>
      <c r="C3705" t="s">
        <v>278</v>
      </c>
      <c r="D3705" t="s">
        <v>126</v>
      </c>
      <c r="E3705" t="s">
        <v>377</v>
      </c>
      <c r="F3705" t="s">
        <v>384</v>
      </c>
      <c r="G3705" t="s">
        <v>91</v>
      </c>
      <c r="H3705" t="s">
        <v>749</v>
      </c>
      <c r="I3705">
        <v>2021</v>
      </c>
      <c r="J3705" t="s">
        <v>379</v>
      </c>
      <c r="K3705" t="s">
        <v>546</v>
      </c>
      <c r="L3705" s="784">
        <v>0</v>
      </c>
      <c r="M3705" t="s">
        <v>745</v>
      </c>
      <c r="N3705" s="784" t="s">
        <v>575</v>
      </c>
      <c r="O3705" t="s">
        <v>737</v>
      </c>
      <c r="P3705" t="s">
        <v>1887</v>
      </c>
      <c r="R3705" t="s">
        <v>152</v>
      </c>
      <c r="S3705" t="s">
        <v>146</v>
      </c>
      <c r="U3705">
        <v>0</v>
      </c>
      <c r="V3705" t="s">
        <v>541</v>
      </c>
      <c r="W3705" t="s">
        <v>575</v>
      </c>
      <c r="X3705" s="784">
        <v>180052034.19851837</v>
      </c>
    </row>
    <row r="3706" spans="1:24">
      <c r="A3706" t="s">
        <v>358</v>
      </c>
      <c r="B3706" t="s">
        <v>679</v>
      </c>
      <c r="C3706" t="s">
        <v>279</v>
      </c>
      <c r="D3706" t="s">
        <v>131</v>
      </c>
      <c r="E3706" t="s">
        <v>377</v>
      </c>
      <c r="F3706" t="s">
        <v>384</v>
      </c>
      <c r="G3706" t="s">
        <v>91</v>
      </c>
      <c r="H3706" t="s">
        <v>749</v>
      </c>
      <c r="I3706">
        <v>2021</v>
      </c>
      <c r="J3706" t="s">
        <v>379</v>
      </c>
      <c r="K3706" t="s">
        <v>546</v>
      </c>
      <c r="L3706" s="784">
        <v>0</v>
      </c>
      <c r="M3706" t="s">
        <v>745</v>
      </c>
      <c r="N3706" s="784" t="s">
        <v>575</v>
      </c>
      <c r="O3706" t="s">
        <v>737</v>
      </c>
      <c r="P3706" t="s">
        <v>1887</v>
      </c>
      <c r="R3706" t="s">
        <v>148</v>
      </c>
      <c r="S3706" t="s">
        <v>145</v>
      </c>
      <c r="U3706">
        <v>1</v>
      </c>
      <c r="V3706" t="s">
        <v>544</v>
      </c>
      <c r="W3706" t="s">
        <v>546</v>
      </c>
      <c r="X3706" s="784" t="s">
        <v>575</v>
      </c>
    </row>
    <row r="3707" spans="1:24">
      <c r="A3707" t="s">
        <v>358</v>
      </c>
      <c r="B3707" t="s">
        <v>680</v>
      </c>
      <c r="C3707" t="s">
        <v>280</v>
      </c>
      <c r="D3707" t="s">
        <v>127</v>
      </c>
      <c r="E3707" t="s">
        <v>377</v>
      </c>
      <c r="F3707" t="s">
        <v>384</v>
      </c>
      <c r="G3707" t="s">
        <v>91</v>
      </c>
      <c r="H3707" t="s">
        <v>749</v>
      </c>
      <c r="I3707">
        <v>2021</v>
      </c>
      <c r="J3707" t="s">
        <v>379</v>
      </c>
      <c r="K3707" t="s">
        <v>546</v>
      </c>
      <c r="L3707" s="784">
        <v>0</v>
      </c>
      <c r="M3707" t="s">
        <v>745</v>
      </c>
      <c r="N3707" s="784" t="s">
        <v>575</v>
      </c>
      <c r="O3707" t="s">
        <v>737</v>
      </c>
      <c r="P3707" t="s">
        <v>1887</v>
      </c>
      <c r="R3707" t="s">
        <v>150</v>
      </c>
      <c r="S3707" t="s">
        <v>145</v>
      </c>
      <c r="U3707">
        <v>0</v>
      </c>
      <c r="V3707" t="s">
        <v>544</v>
      </c>
      <c r="W3707" t="s">
        <v>542</v>
      </c>
      <c r="X3707" s="784">
        <v>147296124.32232863</v>
      </c>
    </row>
    <row r="3708" spans="1:24">
      <c r="A3708" t="s">
        <v>358</v>
      </c>
      <c r="B3708" t="s">
        <v>681</v>
      </c>
      <c r="C3708" t="s">
        <v>156</v>
      </c>
      <c r="D3708" t="s">
        <v>128</v>
      </c>
      <c r="E3708" t="s">
        <v>377</v>
      </c>
      <c r="F3708" t="s">
        <v>384</v>
      </c>
      <c r="G3708" t="s">
        <v>91</v>
      </c>
      <c r="H3708" t="s">
        <v>749</v>
      </c>
      <c r="I3708">
        <v>2021</v>
      </c>
      <c r="J3708" t="s">
        <v>379</v>
      </c>
      <c r="K3708" t="s">
        <v>546</v>
      </c>
      <c r="L3708" s="784">
        <v>0</v>
      </c>
      <c r="M3708" t="s">
        <v>745</v>
      </c>
      <c r="N3708" s="784" t="s">
        <v>575</v>
      </c>
      <c r="O3708" t="s">
        <v>737</v>
      </c>
      <c r="P3708" t="s">
        <v>1887</v>
      </c>
      <c r="R3708" t="s">
        <v>150</v>
      </c>
      <c r="S3708" t="s">
        <v>145</v>
      </c>
      <c r="U3708">
        <v>0</v>
      </c>
      <c r="V3708" t="s">
        <v>544</v>
      </c>
      <c r="W3708" t="s">
        <v>548</v>
      </c>
      <c r="X3708" s="784">
        <v>890576536.83065879</v>
      </c>
    </row>
    <row r="3709" spans="1:24">
      <c r="A3709" t="s">
        <v>358</v>
      </c>
      <c r="B3709" t="s">
        <v>682</v>
      </c>
      <c r="C3709" t="s">
        <v>157</v>
      </c>
      <c r="D3709" t="s">
        <v>126</v>
      </c>
      <c r="E3709" t="s">
        <v>377</v>
      </c>
      <c r="F3709" t="s">
        <v>384</v>
      </c>
      <c r="G3709" t="s">
        <v>91</v>
      </c>
      <c r="H3709" t="s">
        <v>749</v>
      </c>
      <c r="I3709">
        <v>2021</v>
      </c>
      <c r="J3709" t="s">
        <v>379</v>
      </c>
      <c r="K3709" t="s">
        <v>546</v>
      </c>
      <c r="L3709" s="784">
        <v>0</v>
      </c>
      <c r="M3709" t="s">
        <v>745</v>
      </c>
      <c r="N3709" s="784" t="s">
        <v>575</v>
      </c>
      <c r="O3709" t="s">
        <v>737</v>
      </c>
      <c r="P3709" t="s">
        <v>1887</v>
      </c>
      <c r="R3709" t="s">
        <v>152</v>
      </c>
      <c r="S3709" t="s">
        <v>146</v>
      </c>
      <c r="U3709">
        <v>0</v>
      </c>
      <c r="V3709" t="s">
        <v>544</v>
      </c>
      <c r="W3709" t="s">
        <v>575</v>
      </c>
      <c r="X3709" s="784">
        <v>14611129792.346064</v>
      </c>
    </row>
    <row r="3710" spans="1:24">
      <c r="A3710" t="s">
        <v>358</v>
      </c>
      <c r="B3710" t="s">
        <v>683</v>
      </c>
      <c r="C3710" t="s">
        <v>281</v>
      </c>
      <c r="D3710" t="s">
        <v>126</v>
      </c>
      <c r="E3710" t="s">
        <v>377</v>
      </c>
      <c r="F3710" t="s">
        <v>384</v>
      </c>
      <c r="G3710" t="s">
        <v>91</v>
      </c>
      <c r="H3710" t="s">
        <v>749</v>
      </c>
      <c r="I3710">
        <v>2021</v>
      </c>
      <c r="J3710" t="s">
        <v>379</v>
      </c>
      <c r="K3710" t="s">
        <v>546</v>
      </c>
      <c r="L3710" s="784">
        <v>0</v>
      </c>
      <c r="M3710" t="s">
        <v>745</v>
      </c>
      <c r="N3710" s="784" t="s">
        <v>575</v>
      </c>
      <c r="O3710" t="s">
        <v>737</v>
      </c>
      <c r="P3710" t="s">
        <v>1887</v>
      </c>
      <c r="R3710" t="s">
        <v>150</v>
      </c>
      <c r="S3710" t="s">
        <v>145</v>
      </c>
      <c r="U3710">
        <v>0</v>
      </c>
      <c r="V3710" t="s">
        <v>541</v>
      </c>
      <c r="W3710" t="s">
        <v>558</v>
      </c>
      <c r="X3710" s="784">
        <v>72046877.233008593</v>
      </c>
    </row>
    <row r="3711" spans="1:24">
      <c r="A3711" t="s">
        <v>358</v>
      </c>
      <c r="B3711" t="s">
        <v>684</v>
      </c>
      <c r="C3711" t="s">
        <v>282</v>
      </c>
      <c r="D3711" t="s">
        <v>129</v>
      </c>
      <c r="E3711" t="s">
        <v>377</v>
      </c>
      <c r="F3711" t="s">
        <v>384</v>
      </c>
      <c r="G3711" t="s">
        <v>91</v>
      </c>
      <c r="H3711" t="s">
        <v>749</v>
      </c>
      <c r="I3711">
        <v>2021</v>
      </c>
      <c r="J3711" t="s">
        <v>379</v>
      </c>
      <c r="K3711" t="s">
        <v>546</v>
      </c>
      <c r="L3711" s="784">
        <v>0</v>
      </c>
      <c r="M3711" t="s">
        <v>745</v>
      </c>
      <c r="N3711" s="784" t="s">
        <v>575</v>
      </c>
      <c r="O3711" t="s">
        <v>737</v>
      </c>
      <c r="P3711" t="s">
        <v>1887</v>
      </c>
      <c r="R3711" t="s">
        <v>148</v>
      </c>
      <c r="S3711" t="s">
        <v>145</v>
      </c>
      <c r="U3711">
        <v>0</v>
      </c>
      <c r="V3711" t="s">
        <v>544</v>
      </c>
      <c r="W3711" t="s">
        <v>542</v>
      </c>
      <c r="X3711" s="784">
        <v>56248139.267255567</v>
      </c>
    </row>
    <row r="3712" spans="1:24">
      <c r="A3712" t="s">
        <v>358</v>
      </c>
      <c r="B3712" t="s">
        <v>685</v>
      </c>
      <c r="C3712" t="s">
        <v>283</v>
      </c>
      <c r="D3712" t="s">
        <v>126</v>
      </c>
      <c r="E3712" t="s">
        <v>377</v>
      </c>
      <c r="F3712" t="s">
        <v>384</v>
      </c>
      <c r="G3712" t="s">
        <v>91</v>
      </c>
      <c r="H3712" t="s">
        <v>749</v>
      </c>
      <c r="I3712">
        <v>2021</v>
      </c>
      <c r="J3712" t="s">
        <v>379</v>
      </c>
      <c r="K3712" t="s">
        <v>546</v>
      </c>
      <c r="L3712" s="784">
        <v>0</v>
      </c>
      <c r="M3712" t="s">
        <v>745</v>
      </c>
      <c r="N3712" s="784" t="s">
        <v>575</v>
      </c>
      <c r="O3712" t="s">
        <v>737</v>
      </c>
      <c r="P3712" t="s">
        <v>1887</v>
      </c>
      <c r="R3712" t="s">
        <v>152</v>
      </c>
      <c r="S3712" t="s">
        <v>145</v>
      </c>
      <c r="U3712">
        <v>0</v>
      </c>
      <c r="V3712" t="s">
        <v>541</v>
      </c>
      <c r="W3712" t="s">
        <v>542</v>
      </c>
      <c r="X3712" s="784">
        <v>15464031.712942109</v>
      </c>
    </row>
    <row r="3713" spans="1:24">
      <c r="A3713" t="s">
        <v>358</v>
      </c>
      <c r="B3713" t="s">
        <v>686</v>
      </c>
      <c r="C3713" t="s">
        <v>284</v>
      </c>
      <c r="D3713" t="s">
        <v>130</v>
      </c>
      <c r="E3713" t="s">
        <v>377</v>
      </c>
      <c r="F3713" t="s">
        <v>384</v>
      </c>
      <c r="G3713" t="s">
        <v>91</v>
      </c>
      <c r="H3713" t="s">
        <v>749</v>
      </c>
      <c r="I3713">
        <v>2021</v>
      </c>
      <c r="J3713" t="s">
        <v>379</v>
      </c>
      <c r="K3713" t="s">
        <v>546</v>
      </c>
      <c r="L3713" s="784">
        <v>0</v>
      </c>
      <c r="M3713" t="s">
        <v>745</v>
      </c>
      <c r="N3713" s="784" t="s">
        <v>575</v>
      </c>
      <c r="O3713" t="s">
        <v>737</v>
      </c>
      <c r="P3713" t="s">
        <v>1887</v>
      </c>
      <c r="R3713" t="s">
        <v>550</v>
      </c>
      <c r="S3713" t="s">
        <v>146</v>
      </c>
      <c r="U3713">
        <v>0</v>
      </c>
      <c r="V3713" t="s">
        <v>541</v>
      </c>
      <c r="W3713" t="s">
        <v>546</v>
      </c>
      <c r="X3713" s="784">
        <v>769564399.33249676</v>
      </c>
    </row>
    <row r="3714" spans="1:24">
      <c r="A3714" t="s">
        <v>358</v>
      </c>
      <c r="B3714" t="s">
        <v>687</v>
      </c>
      <c r="C3714" t="s">
        <v>285</v>
      </c>
      <c r="D3714" t="s">
        <v>131</v>
      </c>
      <c r="E3714" t="s">
        <v>377</v>
      </c>
      <c r="F3714" t="s">
        <v>384</v>
      </c>
      <c r="G3714" t="s">
        <v>91</v>
      </c>
      <c r="H3714" t="s">
        <v>749</v>
      </c>
      <c r="I3714">
        <v>2021</v>
      </c>
      <c r="J3714" t="s">
        <v>379</v>
      </c>
      <c r="K3714" t="s">
        <v>546</v>
      </c>
      <c r="L3714" s="784">
        <v>0</v>
      </c>
      <c r="M3714" t="s">
        <v>745</v>
      </c>
      <c r="N3714" s="784" t="s">
        <v>575</v>
      </c>
      <c r="O3714" t="s">
        <v>737</v>
      </c>
      <c r="P3714" t="s">
        <v>1887</v>
      </c>
      <c r="R3714" t="s">
        <v>150</v>
      </c>
      <c r="S3714" t="s">
        <v>145</v>
      </c>
      <c r="U3714">
        <v>0</v>
      </c>
      <c r="V3714" t="s">
        <v>544</v>
      </c>
      <c r="W3714" t="s">
        <v>546</v>
      </c>
      <c r="X3714" s="784">
        <v>1668954539.7630196</v>
      </c>
    </row>
    <row r="3715" spans="1:24">
      <c r="A3715" t="s">
        <v>358</v>
      </c>
      <c r="B3715" t="s">
        <v>688</v>
      </c>
      <c r="C3715" t="s">
        <v>286</v>
      </c>
      <c r="D3715" t="s">
        <v>127</v>
      </c>
      <c r="E3715" t="s">
        <v>377</v>
      </c>
      <c r="F3715" t="s">
        <v>384</v>
      </c>
      <c r="G3715" t="s">
        <v>91</v>
      </c>
      <c r="H3715" t="s">
        <v>749</v>
      </c>
      <c r="I3715">
        <v>2021</v>
      </c>
      <c r="J3715" t="s">
        <v>379</v>
      </c>
      <c r="K3715" t="s">
        <v>546</v>
      </c>
      <c r="L3715" s="784">
        <v>0</v>
      </c>
      <c r="M3715" t="s">
        <v>745</v>
      </c>
      <c r="N3715" s="784" t="s">
        <v>575</v>
      </c>
      <c r="O3715" t="s">
        <v>737</v>
      </c>
      <c r="P3715" t="s">
        <v>1887</v>
      </c>
      <c r="R3715" t="s">
        <v>152</v>
      </c>
      <c r="S3715" t="s">
        <v>146</v>
      </c>
      <c r="U3715">
        <v>0</v>
      </c>
      <c r="V3715" t="s">
        <v>544</v>
      </c>
      <c r="W3715" t="s">
        <v>575</v>
      </c>
      <c r="X3715" s="784">
        <v>24840920016.18832</v>
      </c>
    </row>
    <row r="3716" spans="1:24">
      <c r="A3716" t="s">
        <v>358</v>
      </c>
      <c r="B3716" t="s">
        <v>689</v>
      </c>
      <c r="C3716" t="s">
        <v>287</v>
      </c>
      <c r="D3716" t="s">
        <v>127</v>
      </c>
      <c r="E3716" t="s">
        <v>377</v>
      </c>
      <c r="F3716" t="s">
        <v>384</v>
      </c>
      <c r="G3716" t="s">
        <v>91</v>
      </c>
      <c r="H3716" t="s">
        <v>749</v>
      </c>
      <c r="I3716">
        <v>2021</v>
      </c>
      <c r="J3716" t="s">
        <v>379</v>
      </c>
      <c r="K3716" t="s">
        <v>546</v>
      </c>
      <c r="L3716" s="784">
        <v>0</v>
      </c>
      <c r="M3716" t="s">
        <v>745</v>
      </c>
      <c r="N3716" s="784" t="s">
        <v>575</v>
      </c>
      <c r="O3716" t="s">
        <v>737</v>
      </c>
      <c r="P3716" t="s">
        <v>1887</v>
      </c>
      <c r="R3716" t="s">
        <v>152</v>
      </c>
      <c r="S3716" t="s">
        <v>146</v>
      </c>
      <c r="U3716">
        <v>0</v>
      </c>
      <c r="V3716" t="s">
        <v>544</v>
      </c>
      <c r="W3716" t="s">
        <v>546</v>
      </c>
      <c r="X3716" s="784">
        <v>487888462.83720118</v>
      </c>
    </row>
    <row r="3717" spans="1:24">
      <c r="A3717" t="s">
        <v>358</v>
      </c>
      <c r="B3717" t="s">
        <v>690</v>
      </c>
      <c r="C3717" t="s">
        <v>288</v>
      </c>
      <c r="D3717" t="s">
        <v>126</v>
      </c>
      <c r="E3717" t="s">
        <v>377</v>
      </c>
      <c r="F3717" t="s">
        <v>384</v>
      </c>
      <c r="G3717" t="s">
        <v>91</v>
      </c>
      <c r="H3717" t="s">
        <v>749</v>
      </c>
      <c r="I3717">
        <v>2021</v>
      </c>
      <c r="J3717" t="s">
        <v>379</v>
      </c>
      <c r="K3717" t="s">
        <v>546</v>
      </c>
      <c r="L3717" s="784">
        <v>0</v>
      </c>
      <c r="M3717" t="s">
        <v>745</v>
      </c>
      <c r="N3717" s="784" t="s">
        <v>575</v>
      </c>
      <c r="O3717" t="s">
        <v>737</v>
      </c>
      <c r="P3717" t="s">
        <v>1887</v>
      </c>
      <c r="R3717" t="s">
        <v>152</v>
      </c>
      <c r="S3717" t="s">
        <v>145</v>
      </c>
      <c r="U3717">
        <v>0</v>
      </c>
      <c r="V3717" t="s">
        <v>541</v>
      </c>
      <c r="W3717" t="s">
        <v>548</v>
      </c>
      <c r="X3717" s="784">
        <v>6365061.1736073596</v>
      </c>
    </row>
    <row r="3718" spans="1:24">
      <c r="A3718" t="s">
        <v>358</v>
      </c>
      <c r="B3718" t="s">
        <v>691</v>
      </c>
      <c r="C3718" t="s">
        <v>289</v>
      </c>
      <c r="D3718" t="s">
        <v>128</v>
      </c>
      <c r="E3718" t="s">
        <v>377</v>
      </c>
      <c r="F3718" t="s">
        <v>384</v>
      </c>
      <c r="G3718" t="s">
        <v>91</v>
      </c>
      <c r="H3718" t="s">
        <v>749</v>
      </c>
      <c r="I3718">
        <v>2021</v>
      </c>
      <c r="J3718" t="s">
        <v>379</v>
      </c>
      <c r="K3718" t="s">
        <v>546</v>
      </c>
      <c r="L3718" s="784">
        <v>0</v>
      </c>
      <c r="M3718" t="s">
        <v>745</v>
      </c>
      <c r="N3718" s="784" t="s">
        <v>575</v>
      </c>
      <c r="O3718" t="s">
        <v>737</v>
      </c>
      <c r="P3718" t="s">
        <v>1887</v>
      </c>
      <c r="R3718" t="s">
        <v>148</v>
      </c>
      <c r="S3718" t="s">
        <v>145</v>
      </c>
      <c r="U3718">
        <v>2</v>
      </c>
      <c r="V3718" t="s">
        <v>544</v>
      </c>
      <c r="W3718" t="s">
        <v>558</v>
      </c>
      <c r="X3718" s="784">
        <v>291799092.90196139</v>
      </c>
    </row>
    <row r="3719" spans="1:24">
      <c r="A3719" t="s">
        <v>358</v>
      </c>
      <c r="B3719" t="s">
        <v>692</v>
      </c>
      <c r="C3719" t="s">
        <v>290</v>
      </c>
      <c r="D3719" t="s">
        <v>127</v>
      </c>
      <c r="E3719" t="s">
        <v>377</v>
      </c>
      <c r="F3719" t="s">
        <v>384</v>
      </c>
      <c r="G3719" t="s">
        <v>91</v>
      </c>
      <c r="H3719" t="s">
        <v>749</v>
      </c>
      <c r="I3719">
        <v>2021</v>
      </c>
      <c r="J3719" t="s">
        <v>379</v>
      </c>
      <c r="K3719" t="s">
        <v>546</v>
      </c>
      <c r="L3719" s="784">
        <v>0</v>
      </c>
      <c r="M3719" t="s">
        <v>745</v>
      </c>
      <c r="N3719" s="784" t="s">
        <v>575</v>
      </c>
      <c r="O3719" t="s">
        <v>737</v>
      </c>
      <c r="P3719" t="s">
        <v>1887</v>
      </c>
      <c r="R3719" t="s">
        <v>150</v>
      </c>
      <c r="S3719" t="s">
        <v>145</v>
      </c>
      <c r="U3719">
        <v>0</v>
      </c>
      <c r="V3719" t="s">
        <v>544</v>
      </c>
      <c r="W3719" t="s">
        <v>546</v>
      </c>
      <c r="X3719" s="784">
        <v>4844815340.2135534</v>
      </c>
    </row>
    <row r="3720" spans="1:24">
      <c r="A3720" t="s">
        <v>358</v>
      </c>
      <c r="B3720" t="s">
        <v>693</v>
      </c>
      <c r="C3720" t="s">
        <v>291</v>
      </c>
      <c r="D3720" t="s">
        <v>130</v>
      </c>
      <c r="E3720" t="s">
        <v>377</v>
      </c>
      <c r="F3720" t="s">
        <v>384</v>
      </c>
      <c r="G3720" t="s">
        <v>91</v>
      </c>
      <c r="H3720" t="s">
        <v>749</v>
      </c>
      <c r="I3720">
        <v>2021</v>
      </c>
      <c r="J3720" t="s">
        <v>379</v>
      </c>
      <c r="K3720" t="s">
        <v>546</v>
      </c>
      <c r="L3720" s="784">
        <v>0</v>
      </c>
      <c r="M3720" t="s">
        <v>745</v>
      </c>
      <c r="N3720" s="784" t="s">
        <v>575</v>
      </c>
      <c r="O3720" t="s">
        <v>737</v>
      </c>
      <c r="P3720" t="s">
        <v>1887</v>
      </c>
      <c r="R3720" t="s">
        <v>550</v>
      </c>
      <c r="S3720" t="s">
        <v>146</v>
      </c>
      <c r="U3720">
        <v>0</v>
      </c>
      <c r="V3720" t="s">
        <v>544</v>
      </c>
      <c r="W3720" t="s">
        <v>575</v>
      </c>
      <c r="X3720" s="784">
        <v>4001891446.6871672</v>
      </c>
    </row>
    <row r="3721" spans="1:24">
      <c r="A3721" t="s">
        <v>358</v>
      </c>
      <c r="B3721" t="s">
        <v>694</v>
      </c>
      <c r="C3721" t="s">
        <v>292</v>
      </c>
      <c r="D3721" t="s">
        <v>127</v>
      </c>
      <c r="E3721" t="s">
        <v>377</v>
      </c>
      <c r="F3721" t="s">
        <v>384</v>
      </c>
      <c r="G3721" t="s">
        <v>91</v>
      </c>
      <c r="H3721" t="s">
        <v>749</v>
      </c>
      <c r="I3721">
        <v>2021</v>
      </c>
      <c r="J3721" t="s">
        <v>379</v>
      </c>
      <c r="K3721" t="s">
        <v>546</v>
      </c>
      <c r="L3721" s="784">
        <v>0</v>
      </c>
      <c r="M3721" t="s">
        <v>745</v>
      </c>
      <c r="N3721" s="784" t="s">
        <v>575</v>
      </c>
      <c r="O3721" t="s">
        <v>737</v>
      </c>
      <c r="P3721" t="s">
        <v>1887</v>
      </c>
      <c r="R3721" t="s">
        <v>150</v>
      </c>
      <c r="S3721" t="s">
        <v>145</v>
      </c>
      <c r="U3721">
        <v>0</v>
      </c>
      <c r="V3721" t="s">
        <v>544</v>
      </c>
      <c r="W3721" t="s">
        <v>558</v>
      </c>
      <c r="X3721" s="784">
        <v>1019800630.5853213</v>
      </c>
    </row>
    <row r="3722" spans="1:24">
      <c r="A3722" t="s">
        <v>358</v>
      </c>
      <c r="B3722" t="s">
        <v>695</v>
      </c>
      <c r="C3722" t="s">
        <v>293</v>
      </c>
      <c r="D3722" t="s">
        <v>126</v>
      </c>
      <c r="E3722" t="s">
        <v>377</v>
      </c>
      <c r="F3722" t="s">
        <v>384</v>
      </c>
      <c r="G3722" t="s">
        <v>91</v>
      </c>
      <c r="H3722" t="s">
        <v>749</v>
      </c>
      <c r="I3722">
        <v>2021</v>
      </c>
      <c r="J3722" t="s">
        <v>379</v>
      </c>
      <c r="K3722" t="s">
        <v>546</v>
      </c>
      <c r="L3722" s="784">
        <v>0</v>
      </c>
      <c r="M3722" t="s">
        <v>745</v>
      </c>
      <c r="N3722" s="784" t="s">
        <v>575</v>
      </c>
      <c r="O3722" t="s">
        <v>737</v>
      </c>
      <c r="P3722" t="s">
        <v>1887</v>
      </c>
      <c r="R3722" t="s">
        <v>150</v>
      </c>
      <c r="S3722" t="s">
        <v>145</v>
      </c>
      <c r="U3722">
        <v>0</v>
      </c>
      <c r="V3722" t="s">
        <v>541</v>
      </c>
      <c r="W3722" t="s">
        <v>562</v>
      </c>
      <c r="X3722" s="784">
        <v>19578671.310841195</v>
      </c>
    </row>
    <row r="3723" spans="1:24">
      <c r="A3723" t="s">
        <v>358</v>
      </c>
      <c r="B3723" t="s">
        <v>696</v>
      </c>
      <c r="C3723" t="s">
        <v>294</v>
      </c>
      <c r="D3723" t="s">
        <v>130</v>
      </c>
      <c r="E3723" t="s">
        <v>377</v>
      </c>
      <c r="F3723" t="s">
        <v>384</v>
      </c>
      <c r="G3723" t="s">
        <v>91</v>
      </c>
      <c r="H3723" t="s">
        <v>749</v>
      </c>
      <c r="I3723">
        <v>2021</v>
      </c>
      <c r="J3723" t="s">
        <v>379</v>
      </c>
      <c r="K3723" t="s">
        <v>546</v>
      </c>
      <c r="L3723" s="784">
        <v>6801213</v>
      </c>
      <c r="M3723" t="s">
        <v>745</v>
      </c>
      <c r="N3723" s="784" t="s">
        <v>575</v>
      </c>
      <c r="O3723" t="s">
        <v>737</v>
      </c>
      <c r="P3723" t="s">
        <v>1887</v>
      </c>
      <c r="R3723" t="s">
        <v>322</v>
      </c>
      <c r="S3723" t="s">
        <v>146</v>
      </c>
      <c r="U3723">
        <v>0</v>
      </c>
      <c r="V3723" t="s">
        <v>544</v>
      </c>
      <c r="W3723" t="s">
        <v>546</v>
      </c>
      <c r="X3723" s="784">
        <v>3551452001.0684834</v>
      </c>
    </row>
    <row r="3724" spans="1:24">
      <c r="A3724" t="s">
        <v>358</v>
      </c>
      <c r="B3724" t="s">
        <v>697</v>
      </c>
      <c r="C3724" t="s">
        <v>295</v>
      </c>
      <c r="D3724" t="s">
        <v>126</v>
      </c>
      <c r="E3724" t="s">
        <v>377</v>
      </c>
      <c r="F3724" t="s">
        <v>384</v>
      </c>
      <c r="G3724" t="s">
        <v>91</v>
      </c>
      <c r="H3724" t="s">
        <v>749</v>
      </c>
      <c r="I3724">
        <v>2021</v>
      </c>
      <c r="J3724" t="s">
        <v>379</v>
      </c>
      <c r="K3724" t="s">
        <v>546</v>
      </c>
      <c r="L3724" s="784">
        <v>0</v>
      </c>
      <c r="M3724" t="s">
        <v>745</v>
      </c>
      <c r="N3724" s="784" t="s">
        <v>575</v>
      </c>
      <c r="O3724" t="s">
        <v>737</v>
      </c>
      <c r="P3724" t="s">
        <v>1887</v>
      </c>
      <c r="R3724" t="s">
        <v>150</v>
      </c>
      <c r="S3724" t="s">
        <v>145</v>
      </c>
      <c r="U3724">
        <v>0</v>
      </c>
      <c r="V3724" t="s">
        <v>544</v>
      </c>
      <c r="W3724" t="s">
        <v>546</v>
      </c>
      <c r="X3724" s="784">
        <v>6603048821.7575006</v>
      </c>
    </row>
    <row r="3725" spans="1:24">
      <c r="A3725" t="s">
        <v>358</v>
      </c>
      <c r="B3725" t="s">
        <v>698</v>
      </c>
      <c r="C3725" t="s">
        <v>296</v>
      </c>
      <c r="D3725" t="s">
        <v>131</v>
      </c>
      <c r="E3725" t="s">
        <v>377</v>
      </c>
      <c r="F3725" t="s">
        <v>384</v>
      </c>
      <c r="G3725" t="s">
        <v>91</v>
      </c>
      <c r="H3725" t="s">
        <v>749</v>
      </c>
      <c r="I3725">
        <v>2021</v>
      </c>
      <c r="J3725" t="s">
        <v>379</v>
      </c>
      <c r="K3725" t="s">
        <v>546</v>
      </c>
      <c r="L3725" s="784">
        <v>0</v>
      </c>
      <c r="M3725" t="s">
        <v>745</v>
      </c>
      <c r="N3725" s="784" t="s">
        <v>575</v>
      </c>
      <c r="O3725" t="s">
        <v>737</v>
      </c>
      <c r="P3725" t="s">
        <v>1887</v>
      </c>
      <c r="R3725" t="s">
        <v>148</v>
      </c>
      <c r="S3725" t="s">
        <v>145</v>
      </c>
      <c r="U3725">
        <v>1</v>
      </c>
      <c r="V3725" t="s">
        <v>544</v>
      </c>
      <c r="W3725" t="s">
        <v>548</v>
      </c>
      <c r="X3725" s="784" t="s">
        <v>575</v>
      </c>
    </row>
    <row r="3726" spans="1:24">
      <c r="A3726" t="s">
        <v>358</v>
      </c>
      <c r="B3726" t="s">
        <v>699</v>
      </c>
      <c r="C3726" t="s">
        <v>297</v>
      </c>
      <c r="D3726" t="s">
        <v>128</v>
      </c>
      <c r="E3726" t="s">
        <v>377</v>
      </c>
      <c r="F3726" t="s">
        <v>384</v>
      </c>
      <c r="G3726" t="s">
        <v>91</v>
      </c>
      <c r="H3726" t="s">
        <v>749</v>
      </c>
      <c r="I3726">
        <v>2021</v>
      </c>
      <c r="J3726" t="s">
        <v>379</v>
      </c>
      <c r="K3726" t="s">
        <v>546</v>
      </c>
      <c r="L3726" s="784">
        <v>0</v>
      </c>
      <c r="M3726" t="s">
        <v>745</v>
      </c>
      <c r="N3726" s="784" t="s">
        <v>575</v>
      </c>
      <c r="O3726" t="s">
        <v>737</v>
      </c>
      <c r="P3726" t="s">
        <v>1887</v>
      </c>
      <c r="R3726" t="s">
        <v>150</v>
      </c>
      <c r="S3726" t="s">
        <v>145</v>
      </c>
      <c r="U3726">
        <v>0</v>
      </c>
      <c r="V3726" t="s">
        <v>544</v>
      </c>
      <c r="W3726" t="s">
        <v>542</v>
      </c>
      <c r="X3726" s="784">
        <v>515352723.9821828</v>
      </c>
    </row>
    <row r="3727" spans="1:24">
      <c r="A3727" t="s">
        <v>358</v>
      </c>
      <c r="B3727" t="s">
        <v>700</v>
      </c>
      <c r="C3727" t="s">
        <v>298</v>
      </c>
      <c r="D3727" t="s">
        <v>128</v>
      </c>
      <c r="E3727" t="s">
        <v>377</v>
      </c>
      <c r="F3727" t="s">
        <v>384</v>
      </c>
      <c r="G3727" t="s">
        <v>91</v>
      </c>
      <c r="H3727" t="s">
        <v>749</v>
      </c>
      <c r="I3727">
        <v>2021</v>
      </c>
      <c r="J3727" t="s">
        <v>379</v>
      </c>
      <c r="K3727" t="s">
        <v>546</v>
      </c>
      <c r="L3727" s="784">
        <v>0</v>
      </c>
      <c r="M3727" t="s">
        <v>745</v>
      </c>
      <c r="N3727" s="784" t="s">
        <v>575</v>
      </c>
      <c r="O3727" t="s">
        <v>737</v>
      </c>
      <c r="P3727" t="s">
        <v>1887</v>
      </c>
      <c r="R3727" t="s">
        <v>150</v>
      </c>
      <c r="S3727" t="s">
        <v>145</v>
      </c>
      <c r="U3727">
        <v>0</v>
      </c>
      <c r="V3727" t="s">
        <v>544</v>
      </c>
      <c r="W3727" t="s">
        <v>546</v>
      </c>
      <c r="X3727" s="784">
        <v>566711742.22428358</v>
      </c>
    </row>
    <row r="3728" spans="1:24">
      <c r="A3728" t="s">
        <v>358</v>
      </c>
      <c r="B3728" t="s">
        <v>540</v>
      </c>
      <c r="C3728" t="s">
        <v>160</v>
      </c>
      <c r="D3728" t="s">
        <v>132</v>
      </c>
      <c r="E3728" t="s">
        <v>377</v>
      </c>
      <c r="F3728" t="s">
        <v>384</v>
      </c>
      <c r="G3728" t="s">
        <v>58</v>
      </c>
      <c r="H3728" t="s">
        <v>58</v>
      </c>
      <c r="I3728" t="s">
        <v>743</v>
      </c>
      <c r="J3728" t="s">
        <v>379</v>
      </c>
      <c r="K3728" t="s">
        <v>546</v>
      </c>
      <c r="L3728" s="784">
        <v>4050000</v>
      </c>
      <c r="M3728" t="s">
        <v>745</v>
      </c>
      <c r="P3728" t="s">
        <v>1887</v>
      </c>
      <c r="R3728" t="s">
        <v>148</v>
      </c>
      <c r="S3728" t="s">
        <v>145</v>
      </c>
      <c r="U3728">
        <v>1</v>
      </c>
      <c r="V3728" t="s">
        <v>544</v>
      </c>
      <c r="W3728" t="s">
        <v>542</v>
      </c>
      <c r="X3728" s="784">
        <v>95829480.719269618</v>
      </c>
    </row>
    <row r="3729" spans="1:24">
      <c r="A3729" t="s">
        <v>358</v>
      </c>
      <c r="B3729" t="s">
        <v>543</v>
      </c>
      <c r="C3729" t="s">
        <v>161</v>
      </c>
      <c r="D3729" t="s">
        <v>127</v>
      </c>
      <c r="E3729" t="s">
        <v>377</v>
      </c>
      <c r="F3729" t="s">
        <v>384</v>
      </c>
      <c r="G3729" t="s">
        <v>58</v>
      </c>
      <c r="H3729" t="s">
        <v>58</v>
      </c>
      <c r="I3729" t="s">
        <v>743</v>
      </c>
      <c r="J3729" t="s">
        <v>379</v>
      </c>
      <c r="K3729" t="s">
        <v>546</v>
      </c>
      <c r="L3729" s="784">
        <v>500000</v>
      </c>
      <c r="M3729" t="s">
        <v>745</v>
      </c>
      <c r="P3729" t="s">
        <v>1887</v>
      </c>
      <c r="R3729" t="s">
        <v>152</v>
      </c>
      <c r="S3729" t="s">
        <v>146</v>
      </c>
      <c r="U3729">
        <v>0</v>
      </c>
      <c r="V3729" t="s">
        <v>544</v>
      </c>
      <c r="W3729" t="s">
        <v>575</v>
      </c>
      <c r="X3729" s="784">
        <v>427904035.52443534</v>
      </c>
    </row>
    <row r="3730" spans="1:24">
      <c r="A3730" t="s">
        <v>358</v>
      </c>
      <c r="B3730" t="s">
        <v>545</v>
      </c>
      <c r="C3730" t="s">
        <v>143</v>
      </c>
      <c r="D3730" t="s">
        <v>131</v>
      </c>
      <c r="E3730" t="s">
        <v>377</v>
      </c>
      <c r="F3730" t="s">
        <v>384</v>
      </c>
      <c r="G3730" t="s">
        <v>58</v>
      </c>
      <c r="H3730" t="s">
        <v>58</v>
      </c>
      <c r="I3730" t="s">
        <v>743</v>
      </c>
      <c r="J3730" t="s">
        <v>379</v>
      </c>
      <c r="K3730" t="s">
        <v>546</v>
      </c>
      <c r="L3730" s="784">
        <v>541945</v>
      </c>
      <c r="M3730" t="s">
        <v>745</v>
      </c>
      <c r="P3730" t="s">
        <v>1887</v>
      </c>
      <c r="R3730" t="s">
        <v>150</v>
      </c>
      <c r="S3730" t="s">
        <v>145</v>
      </c>
      <c r="U3730">
        <v>0</v>
      </c>
      <c r="V3730" t="s">
        <v>544</v>
      </c>
      <c r="W3730" t="s">
        <v>546</v>
      </c>
      <c r="X3730" s="784">
        <v>7113361022.7267885</v>
      </c>
    </row>
    <row r="3731" spans="1:24">
      <c r="A3731" t="s">
        <v>358</v>
      </c>
      <c r="B3731" t="s">
        <v>547</v>
      </c>
      <c r="C3731" t="s">
        <v>162</v>
      </c>
      <c r="D3731" t="s">
        <v>128</v>
      </c>
      <c r="E3731" t="s">
        <v>377</v>
      </c>
      <c r="F3731" t="s">
        <v>384</v>
      </c>
      <c r="G3731" t="s">
        <v>58</v>
      </c>
      <c r="H3731" t="s">
        <v>58</v>
      </c>
      <c r="I3731" t="s">
        <v>743</v>
      </c>
      <c r="J3731" t="s">
        <v>379</v>
      </c>
      <c r="K3731" t="s">
        <v>546</v>
      </c>
      <c r="L3731" s="784">
        <v>2218200</v>
      </c>
      <c r="M3731" t="s">
        <v>745</v>
      </c>
      <c r="P3731" t="s">
        <v>1887</v>
      </c>
      <c r="R3731" t="s">
        <v>150</v>
      </c>
      <c r="S3731" t="s">
        <v>145</v>
      </c>
      <c r="U3731">
        <v>0</v>
      </c>
      <c r="V3731" t="s">
        <v>544</v>
      </c>
      <c r="W3731" t="s">
        <v>548</v>
      </c>
      <c r="X3731" s="784">
        <v>1131865946.5875781</v>
      </c>
    </row>
    <row r="3732" spans="1:24">
      <c r="A3732" t="s">
        <v>358</v>
      </c>
      <c r="B3732" t="s">
        <v>549</v>
      </c>
      <c r="C3732" t="s">
        <v>163</v>
      </c>
      <c r="D3732" t="s">
        <v>130</v>
      </c>
      <c r="E3732" t="s">
        <v>377</v>
      </c>
      <c r="F3732" t="s">
        <v>384</v>
      </c>
      <c r="G3732" t="s">
        <v>58</v>
      </c>
      <c r="H3732" t="s">
        <v>58</v>
      </c>
      <c r="I3732" t="s">
        <v>743</v>
      </c>
      <c r="J3732" t="s">
        <v>379</v>
      </c>
      <c r="K3732" t="s">
        <v>546</v>
      </c>
      <c r="L3732" s="784" t="s">
        <v>575</v>
      </c>
      <c r="M3732" t="s">
        <v>745</v>
      </c>
      <c r="P3732" t="s">
        <v>1887</v>
      </c>
      <c r="R3732" t="s">
        <v>550</v>
      </c>
      <c r="S3732" t="s">
        <v>146</v>
      </c>
      <c r="U3732">
        <v>0</v>
      </c>
      <c r="V3732" t="s">
        <v>541</v>
      </c>
      <c r="W3732" t="s">
        <v>575</v>
      </c>
      <c r="X3732" s="784">
        <v>46777779.823447868</v>
      </c>
    </row>
    <row r="3733" spans="1:24">
      <c r="A3733" t="s">
        <v>358</v>
      </c>
      <c r="B3733" t="s">
        <v>551</v>
      </c>
      <c r="C3733" t="s">
        <v>164</v>
      </c>
      <c r="D3733" t="s">
        <v>130</v>
      </c>
      <c r="E3733" t="s">
        <v>377</v>
      </c>
      <c r="F3733" t="s">
        <v>384</v>
      </c>
      <c r="G3733" t="s">
        <v>58</v>
      </c>
      <c r="H3733" t="s">
        <v>58</v>
      </c>
      <c r="I3733" t="s">
        <v>743</v>
      </c>
      <c r="J3733" t="s">
        <v>379</v>
      </c>
      <c r="K3733" t="s">
        <v>546</v>
      </c>
      <c r="L3733" s="784" t="s">
        <v>575</v>
      </c>
      <c r="M3733" t="s">
        <v>745</v>
      </c>
      <c r="P3733" t="s">
        <v>1887</v>
      </c>
      <c r="R3733" t="s">
        <v>152</v>
      </c>
      <c r="S3733" t="s">
        <v>146</v>
      </c>
      <c r="U3733">
        <v>0</v>
      </c>
      <c r="V3733" t="s">
        <v>544</v>
      </c>
      <c r="W3733" t="s">
        <v>575</v>
      </c>
      <c r="X3733" s="784">
        <v>30725305777.596794</v>
      </c>
    </row>
    <row r="3734" spans="1:24">
      <c r="A3734" t="s">
        <v>358</v>
      </c>
      <c r="B3734" t="s">
        <v>553</v>
      </c>
      <c r="C3734" t="s">
        <v>165</v>
      </c>
      <c r="D3734" t="s">
        <v>127</v>
      </c>
      <c r="E3734" t="s">
        <v>377</v>
      </c>
      <c r="F3734" t="s">
        <v>384</v>
      </c>
      <c r="G3734" t="s">
        <v>58</v>
      </c>
      <c r="H3734" t="s">
        <v>58</v>
      </c>
      <c r="I3734" t="s">
        <v>743</v>
      </c>
      <c r="J3734" t="s">
        <v>379</v>
      </c>
      <c r="K3734" t="s">
        <v>546</v>
      </c>
      <c r="L3734" s="784">
        <v>2700000</v>
      </c>
      <c r="M3734" t="s">
        <v>745</v>
      </c>
      <c r="P3734" t="s">
        <v>1887</v>
      </c>
      <c r="R3734" t="s">
        <v>152</v>
      </c>
      <c r="S3734" t="s">
        <v>146</v>
      </c>
      <c r="U3734">
        <v>0</v>
      </c>
      <c r="V3734" t="s">
        <v>544</v>
      </c>
      <c r="W3734" t="s">
        <v>575</v>
      </c>
      <c r="X3734" s="784">
        <v>153815827.8380394</v>
      </c>
    </row>
    <row r="3735" spans="1:24">
      <c r="A3735" t="s">
        <v>358</v>
      </c>
      <c r="B3735" t="s">
        <v>554</v>
      </c>
      <c r="C3735" t="s">
        <v>166</v>
      </c>
      <c r="D3735" t="s">
        <v>127</v>
      </c>
      <c r="E3735" t="s">
        <v>377</v>
      </c>
      <c r="F3735" t="s">
        <v>384</v>
      </c>
      <c r="G3735" t="s">
        <v>58</v>
      </c>
      <c r="H3735" t="s">
        <v>58</v>
      </c>
      <c r="I3735" t="s">
        <v>743</v>
      </c>
      <c r="J3735" t="s">
        <v>379</v>
      </c>
      <c r="K3735" t="s">
        <v>546</v>
      </c>
      <c r="L3735" s="784">
        <v>1000000</v>
      </c>
      <c r="M3735" t="s">
        <v>745</v>
      </c>
      <c r="P3735" t="s">
        <v>1887</v>
      </c>
      <c r="R3735" t="s">
        <v>152</v>
      </c>
      <c r="S3735" t="s">
        <v>146</v>
      </c>
      <c r="U3735">
        <v>0</v>
      </c>
      <c r="V3735" t="s">
        <v>544</v>
      </c>
      <c r="W3735" t="s">
        <v>546</v>
      </c>
      <c r="X3735" s="784">
        <v>437525105.31216973</v>
      </c>
    </row>
    <row r="3736" spans="1:24">
      <c r="A3736" t="s">
        <v>358</v>
      </c>
      <c r="B3736" t="s">
        <v>555</v>
      </c>
      <c r="C3736" t="s">
        <v>556</v>
      </c>
      <c r="D3736" t="s">
        <v>130</v>
      </c>
      <c r="E3736" t="s">
        <v>377</v>
      </c>
      <c r="F3736" t="s">
        <v>384</v>
      </c>
      <c r="G3736" t="s">
        <v>58</v>
      </c>
      <c r="H3736" t="s">
        <v>58</v>
      </c>
      <c r="I3736" t="s">
        <v>743</v>
      </c>
      <c r="J3736" t="s">
        <v>379</v>
      </c>
      <c r="K3736" t="s">
        <v>546</v>
      </c>
      <c r="L3736" s="784">
        <v>0</v>
      </c>
      <c r="M3736" t="s">
        <v>745</v>
      </c>
      <c r="P3736" t="s">
        <v>1887</v>
      </c>
      <c r="R3736" t="s">
        <v>550</v>
      </c>
      <c r="S3736" t="s">
        <v>146</v>
      </c>
      <c r="U3736">
        <v>0</v>
      </c>
      <c r="V3736" t="s">
        <v>541</v>
      </c>
      <c r="W3736" t="s">
        <v>575</v>
      </c>
      <c r="X3736" s="784">
        <v>149463302.00602186</v>
      </c>
    </row>
    <row r="3737" spans="1:24">
      <c r="A3737" t="s">
        <v>358</v>
      </c>
      <c r="B3737" t="s">
        <v>557</v>
      </c>
      <c r="C3737" t="s">
        <v>167</v>
      </c>
      <c r="D3737" t="s">
        <v>132</v>
      </c>
      <c r="E3737" t="s">
        <v>377</v>
      </c>
      <c r="F3737" t="s">
        <v>384</v>
      </c>
      <c r="G3737" t="s">
        <v>58</v>
      </c>
      <c r="H3737" t="s">
        <v>58</v>
      </c>
      <c r="I3737" t="s">
        <v>743</v>
      </c>
      <c r="J3737" t="s">
        <v>379</v>
      </c>
      <c r="K3737" t="s">
        <v>546</v>
      </c>
      <c r="L3737" s="784">
        <v>3992811</v>
      </c>
      <c r="M3737" t="s">
        <v>745</v>
      </c>
      <c r="P3737" t="s">
        <v>1887</v>
      </c>
      <c r="R3737" t="s">
        <v>150</v>
      </c>
      <c r="S3737" t="s">
        <v>145</v>
      </c>
      <c r="U3737">
        <v>0</v>
      </c>
      <c r="V3737" t="s">
        <v>544</v>
      </c>
      <c r="W3737" t="s">
        <v>558</v>
      </c>
      <c r="X3737" s="784">
        <v>1148322593.9600098</v>
      </c>
    </row>
    <row r="3738" spans="1:24">
      <c r="A3738" t="s">
        <v>358</v>
      </c>
      <c r="B3738" t="s">
        <v>559</v>
      </c>
      <c r="C3738" t="s">
        <v>168</v>
      </c>
      <c r="D3738" t="s">
        <v>127</v>
      </c>
      <c r="E3738" t="s">
        <v>377</v>
      </c>
      <c r="F3738" t="s">
        <v>384</v>
      </c>
      <c r="G3738" t="s">
        <v>58</v>
      </c>
      <c r="H3738" t="s">
        <v>58</v>
      </c>
      <c r="I3738" t="s">
        <v>743</v>
      </c>
      <c r="J3738" t="s">
        <v>379</v>
      </c>
      <c r="K3738" t="s">
        <v>546</v>
      </c>
      <c r="L3738" s="784">
        <v>500000</v>
      </c>
      <c r="M3738" t="s">
        <v>745</v>
      </c>
      <c r="P3738" t="s">
        <v>1887</v>
      </c>
      <c r="R3738" t="s">
        <v>152</v>
      </c>
      <c r="S3738" t="s">
        <v>146</v>
      </c>
      <c r="U3738">
        <v>0</v>
      </c>
      <c r="V3738" t="s">
        <v>544</v>
      </c>
      <c r="W3738" t="s">
        <v>575</v>
      </c>
      <c r="X3738" s="784">
        <v>2371102058.1093163</v>
      </c>
    </row>
    <row r="3739" spans="1:24">
      <c r="A3739" t="s">
        <v>358</v>
      </c>
      <c r="B3739" t="s">
        <v>560</v>
      </c>
      <c r="C3739" t="s">
        <v>169</v>
      </c>
      <c r="D3739" t="s">
        <v>130</v>
      </c>
      <c r="E3739" t="s">
        <v>377</v>
      </c>
      <c r="F3739" t="s">
        <v>384</v>
      </c>
      <c r="G3739" t="s">
        <v>58</v>
      </c>
      <c r="H3739" t="s">
        <v>58</v>
      </c>
      <c r="I3739" t="s">
        <v>743</v>
      </c>
      <c r="J3739" t="s">
        <v>379</v>
      </c>
      <c r="K3739" t="s">
        <v>546</v>
      </c>
      <c r="L3739" s="784" t="s">
        <v>575</v>
      </c>
      <c r="M3739" t="s">
        <v>745</v>
      </c>
      <c r="P3739" t="s">
        <v>1887</v>
      </c>
      <c r="R3739" t="s">
        <v>150</v>
      </c>
      <c r="S3739" t="s">
        <v>146</v>
      </c>
      <c r="U3739">
        <v>0</v>
      </c>
      <c r="V3739" t="s">
        <v>541</v>
      </c>
      <c r="W3739" t="s">
        <v>546</v>
      </c>
      <c r="X3739" s="784">
        <v>75151620.005215243</v>
      </c>
    </row>
    <row r="3740" spans="1:24">
      <c r="A3740" t="s">
        <v>358</v>
      </c>
      <c r="B3740" t="s">
        <v>561</v>
      </c>
      <c r="C3740" t="s">
        <v>170</v>
      </c>
      <c r="D3740" t="s">
        <v>129</v>
      </c>
      <c r="E3740" t="s">
        <v>377</v>
      </c>
      <c r="F3740" t="s">
        <v>384</v>
      </c>
      <c r="G3740" t="s">
        <v>58</v>
      </c>
      <c r="H3740" t="s">
        <v>58</v>
      </c>
      <c r="I3740" t="s">
        <v>743</v>
      </c>
      <c r="J3740" t="s">
        <v>379</v>
      </c>
      <c r="K3740" t="s">
        <v>546</v>
      </c>
      <c r="L3740" s="784">
        <v>1810000</v>
      </c>
      <c r="M3740" t="s">
        <v>745</v>
      </c>
      <c r="P3740" t="s">
        <v>1887</v>
      </c>
      <c r="R3740" t="s">
        <v>150</v>
      </c>
      <c r="S3740" t="s">
        <v>145</v>
      </c>
      <c r="U3740">
        <v>0</v>
      </c>
      <c r="V3740" t="s">
        <v>544</v>
      </c>
      <c r="W3740" t="s">
        <v>562</v>
      </c>
      <c r="X3740" s="784">
        <v>69958487.197715744</v>
      </c>
    </row>
    <row r="3741" spans="1:24">
      <c r="A3741" t="s">
        <v>358</v>
      </c>
      <c r="B3741" t="s">
        <v>563</v>
      </c>
      <c r="C3741" t="s">
        <v>171</v>
      </c>
      <c r="D3741" t="s">
        <v>132</v>
      </c>
      <c r="E3741" t="s">
        <v>377</v>
      </c>
      <c r="F3741" t="s">
        <v>384</v>
      </c>
      <c r="G3741" t="s">
        <v>58</v>
      </c>
      <c r="H3741" t="s">
        <v>58</v>
      </c>
      <c r="I3741" t="s">
        <v>743</v>
      </c>
      <c r="J3741" t="s">
        <v>379</v>
      </c>
      <c r="K3741" t="s">
        <v>546</v>
      </c>
      <c r="L3741" s="784" t="s">
        <v>575</v>
      </c>
      <c r="M3741" t="s">
        <v>745</v>
      </c>
      <c r="P3741" t="s">
        <v>1887</v>
      </c>
      <c r="R3741" t="s">
        <v>150</v>
      </c>
      <c r="S3741" t="s">
        <v>145</v>
      </c>
      <c r="U3741">
        <v>0</v>
      </c>
      <c r="V3741" t="s">
        <v>544</v>
      </c>
      <c r="W3741" t="s">
        <v>548</v>
      </c>
      <c r="X3741" s="784">
        <v>61654608.560629159</v>
      </c>
    </row>
    <row r="3742" spans="1:24">
      <c r="A3742" t="s">
        <v>358</v>
      </c>
      <c r="B3742" t="s">
        <v>564</v>
      </c>
      <c r="C3742" t="s">
        <v>172</v>
      </c>
      <c r="D3742" t="s">
        <v>130</v>
      </c>
      <c r="E3742" t="s">
        <v>377</v>
      </c>
      <c r="F3742" t="s">
        <v>384</v>
      </c>
      <c r="G3742" t="s">
        <v>58</v>
      </c>
      <c r="H3742" t="s">
        <v>58</v>
      </c>
      <c r="I3742" t="s">
        <v>743</v>
      </c>
      <c r="J3742" t="s">
        <v>379</v>
      </c>
      <c r="K3742" t="s">
        <v>546</v>
      </c>
      <c r="L3742" s="784">
        <v>2700000</v>
      </c>
      <c r="M3742" t="s">
        <v>745</v>
      </c>
      <c r="P3742" t="s">
        <v>1887</v>
      </c>
      <c r="R3742" t="s">
        <v>150</v>
      </c>
      <c r="S3742" t="s">
        <v>145</v>
      </c>
      <c r="U3742">
        <v>0</v>
      </c>
      <c r="V3742" t="s">
        <v>544</v>
      </c>
      <c r="W3742" t="s">
        <v>546</v>
      </c>
      <c r="X3742" s="784">
        <v>1806638707.7615163</v>
      </c>
    </row>
    <row r="3743" spans="1:24">
      <c r="A3743" t="s">
        <v>358</v>
      </c>
      <c r="B3743" t="s">
        <v>565</v>
      </c>
      <c r="C3743" t="s">
        <v>174</v>
      </c>
      <c r="D3743" t="s">
        <v>127</v>
      </c>
      <c r="E3743" t="s">
        <v>377</v>
      </c>
      <c r="F3743" t="s">
        <v>384</v>
      </c>
      <c r="G3743" t="s">
        <v>58</v>
      </c>
      <c r="H3743" t="s">
        <v>58</v>
      </c>
      <c r="I3743" t="s">
        <v>743</v>
      </c>
      <c r="J3743" t="s">
        <v>379</v>
      </c>
      <c r="K3743" t="s">
        <v>546</v>
      </c>
      <c r="L3743" s="784">
        <v>2050000</v>
      </c>
      <c r="M3743" t="s">
        <v>745</v>
      </c>
      <c r="P3743" t="s">
        <v>1887</v>
      </c>
      <c r="R3743" t="s">
        <v>152</v>
      </c>
      <c r="S3743" t="s">
        <v>146</v>
      </c>
      <c r="U3743">
        <v>0</v>
      </c>
      <c r="V3743" t="s">
        <v>544</v>
      </c>
      <c r="W3743" t="s">
        <v>546</v>
      </c>
      <c r="X3743" s="784">
        <v>1252696525.0627904</v>
      </c>
    </row>
    <row r="3744" spans="1:24">
      <c r="A3744" t="s">
        <v>358</v>
      </c>
      <c r="B3744" t="s">
        <v>566</v>
      </c>
      <c r="C3744" t="s">
        <v>175</v>
      </c>
      <c r="D3744" t="s">
        <v>128</v>
      </c>
      <c r="E3744" t="s">
        <v>377</v>
      </c>
      <c r="F3744" t="s">
        <v>384</v>
      </c>
      <c r="G3744" t="s">
        <v>58</v>
      </c>
      <c r="H3744" t="s">
        <v>58</v>
      </c>
      <c r="I3744" t="s">
        <v>743</v>
      </c>
      <c r="J3744" t="s">
        <v>379</v>
      </c>
      <c r="K3744" t="s">
        <v>546</v>
      </c>
      <c r="L3744" s="784">
        <v>3555000</v>
      </c>
      <c r="M3744" t="s">
        <v>745</v>
      </c>
      <c r="P3744" t="s">
        <v>1887</v>
      </c>
      <c r="R3744" t="s">
        <v>152</v>
      </c>
      <c r="S3744" t="s">
        <v>146</v>
      </c>
      <c r="U3744">
        <v>0</v>
      </c>
      <c r="V3744" t="s">
        <v>544</v>
      </c>
      <c r="W3744" t="s">
        <v>575</v>
      </c>
      <c r="X3744" s="784">
        <v>843425084.07334602</v>
      </c>
    </row>
    <row r="3745" spans="1:24">
      <c r="A3745" t="s">
        <v>358</v>
      </c>
      <c r="B3745" t="s">
        <v>567</v>
      </c>
      <c r="C3745" t="s">
        <v>144</v>
      </c>
      <c r="D3745" t="s">
        <v>130</v>
      </c>
      <c r="E3745" t="s">
        <v>377</v>
      </c>
      <c r="F3745" t="s">
        <v>384</v>
      </c>
      <c r="G3745" t="s">
        <v>58</v>
      </c>
      <c r="H3745" t="s">
        <v>58</v>
      </c>
      <c r="I3745" t="s">
        <v>743</v>
      </c>
      <c r="J3745" t="s">
        <v>379</v>
      </c>
      <c r="K3745" t="s">
        <v>546</v>
      </c>
      <c r="L3745" s="784">
        <v>3750000</v>
      </c>
      <c r="M3745" t="s">
        <v>745</v>
      </c>
      <c r="P3745" t="s">
        <v>1887</v>
      </c>
      <c r="R3745" t="s">
        <v>152</v>
      </c>
      <c r="S3745" t="s">
        <v>146</v>
      </c>
      <c r="U3745">
        <v>0</v>
      </c>
      <c r="V3745" t="s">
        <v>544</v>
      </c>
      <c r="W3745" t="s">
        <v>546</v>
      </c>
      <c r="X3745" s="784">
        <v>74055620038.853683</v>
      </c>
    </row>
    <row r="3746" spans="1:24">
      <c r="A3746" t="s">
        <v>358</v>
      </c>
      <c r="B3746" t="s">
        <v>568</v>
      </c>
      <c r="C3746" t="s">
        <v>176</v>
      </c>
      <c r="D3746" t="s">
        <v>127</v>
      </c>
      <c r="E3746" t="s">
        <v>377</v>
      </c>
      <c r="F3746" t="s">
        <v>384</v>
      </c>
      <c r="G3746" t="s">
        <v>58</v>
      </c>
      <c r="H3746" t="s">
        <v>58</v>
      </c>
      <c r="I3746" t="s">
        <v>743</v>
      </c>
      <c r="J3746" t="s">
        <v>379</v>
      </c>
      <c r="K3746" t="s">
        <v>546</v>
      </c>
      <c r="L3746" s="784">
        <v>1300000</v>
      </c>
      <c r="M3746" t="s">
        <v>745</v>
      </c>
      <c r="P3746" t="s">
        <v>1887</v>
      </c>
      <c r="R3746" t="s">
        <v>152</v>
      </c>
      <c r="S3746" t="s">
        <v>146</v>
      </c>
      <c r="U3746">
        <v>0</v>
      </c>
      <c r="V3746" t="s">
        <v>544</v>
      </c>
      <c r="W3746" t="s">
        <v>575</v>
      </c>
      <c r="X3746" s="784">
        <v>2803357765.5888777</v>
      </c>
    </row>
    <row r="3747" spans="1:24">
      <c r="A3747" t="s">
        <v>358</v>
      </c>
      <c r="B3747" t="s">
        <v>569</v>
      </c>
      <c r="C3747" t="s">
        <v>177</v>
      </c>
      <c r="D3747" t="s">
        <v>129</v>
      </c>
      <c r="E3747" t="s">
        <v>377</v>
      </c>
      <c r="F3747" t="s">
        <v>384</v>
      </c>
      <c r="G3747" t="s">
        <v>58</v>
      </c>
      <c r="H3747" t="s">
        <v>58</v>
      </c>
      <c r="I3747" t="s">
        <v>743</v>
      </c>
      <c r="J3747" t="s">
        <v>379</v>
      </c>
      <c r="K3747" t="s">
        <v>546</v>
      </c>
      <c r="L3747" s="784">
        <v>2000000</v>
      </c>
      <c r="M3747" t="s">
        <v>745</v>
      </c>
      <c r="P3747" t="s">
        <v>1887</v>
      </c>
      <c r="R3747" t="s">
        <v>148</v>
      </c>
      <c r="S3747" t="s">
        <v>145</v>
      </c>
      <c r="U3747">
        <v>2</v>
      </c>
      <c r="V3747" t="s">
        <v>544</v>
      </c>
      <c r="W3747" t="s">
        <v>562</v>
      </c>
      <c r="X3747" s="784">
        <v>337927779.25510043</v>
      </c>
    </row>
    <row r="3748" spans="1:24">
      <c r="A3748" t="s">
        <v>358</v>
      </c>
      <c r="B3748" t="s">
        <v>570</v>
      </c>
      <c r="C3748" t="s">
        <v>178</v>
      </c>
      <c r="D3748" t="s">
        <v>128</v>
      </c>
      <c r="E3748" t="s">
        <v>377</v>
      </c>
      <c r="F3748" t="s">
        <v>384</v>
      </c>
      <c r="G3748" t="s">
        <v>58</v>
      </c>
      <c r="H3748" t="s">
        <v>58</v>
      </c>
      <c r="I3748" t="s">
        <v>743</v>
      </c>
      <c r="J3748" t="s">
        <v>379</v>
      </c>
      <c r="K3748" t="s">
        <v>546</v>
      </c>
      <c r="L3748" s="784">
        <v>1000000</v>
      </c>
      <c r="M3748" t="s">
        <v>745</v>
      </c>
      <c r="P3748" t="s">
        <v>1887</v>
      </c>
      <c r="R3748" t="s">
        <v>148</v>
      </c>
      <c r="S3748" t="s">
        <v>145</v>
      </c>
      <c r="U3748">
        <v>2</v>
      </c>
      <c r="V3748" t="s">
        <v>544</v>
      </c>
      <c r="W3748" t="s">
        <v>548</v>
      </c>
      <c r="X3748" s="784">
        <v>65979512.47399316</v>
      </c>
    </row>
    <row r="3749" spans="1:24">
      <c r="A3749" t="s">
        <v>358</v>
      </c>
      <c r="B3749" t="s">
        <v>571</v>
      </c>
      <c r="C3749" t="s">
        <v>179</v>
      </c>
      <c r="D3749" t="s">
        <v>129</v>
      </c>
      <c r="E3749" t="s">
        <v>377</v>
      </c>
      <c r="F3749" t="s">
        <v>384</v>
      </c>
      <c r="G3749" t="s">
        <v>58</v>
      </c>
      <c r="H3749" t="s">
        <v>58</v>
      </c>
      <c r="I3749" t="s">
        <v>743</v>
      </c>
      <c r="J3749" t="s">
        <v>379</v>
      </c>
      <c r="K3749" t="s">
        <v>546</v>
      </c>
      <c r="L3749" s="784">
        <v>500000</v>
      </c>
      <c r="M3749" t="s">
        <v>745</v>
      </c>
      <c r="P3749" t="s">
        <v>1887</v>
      </c>
      <c r="R3749" t="s">
        <v>150</v>
      </c>
      <c r="S3749" t="s">
        <v>145</v>
      </c>
      <c r="U3749">
        <v>0</v>
      </c>
      <c r="V3749" t="s">
        <v>541</v>
      </c>
      <c r="W3749" t="s">
        <v>542</v>
      </c>
      <c r="X3749" s="784">
        <v>63748362.778827004</v>
      </c>
    </row>
    <row r="3750" spans="1:24">
      <c r="A3750" t="s">
        <v>358</v>
      </c>
      <c r="B3750" t="s">
        <v>572</v>
      </c>
      <c r="C3750" t="s">
        <v>180</v>
      </c>
      <c r="D3750" t="s">
        <v>126</v>
      </c>
      <c r="E3750" t="s">
        <v>377</v>
      </c>
      <c r="F3750" t="s">
        <v>384</v>
      </c>
      <c r="G3750" t="s">
        <v>58</v>
      </c>
      <c r="H3750" t="s">
        <v>58</v>
      </c>
      <c r="I3750" t="s">
        <v>743</v>
      </c>
      <c r="J3750" t="s">
        <v>379</v>
      </c>
      <c r="K3750" t="s">
        <v>546</v>
      </c>
      <c r="L3750" s="784">
        <v>662222</v>
      </c>
      <c r="M3750" t="s">
        <v>745</v>
      </c>
      <c r="P3750" t="s">
        <v>1887</v>
      </c>
      <c r="R3750" t="s">
        <v>150</v>
      </c>
      <c r="S3750" t="s">
        <v>145</v>
      </c>
      <c r="U3750">
        <v>0</v>
      </c>
      <c r="V3750" t="s">
        <v>544</v>
      </c>
      <c r="W3750" t="s">
        <v>558</v>
      </c>
      <c r="X3750" s="784">
        <v>313039649.45369786</v>
      </c>
    </row>
    <row r="3751" spans="1:24">
      <c r="A3751" t="s">
        <v>358</v>
      </c>
      <c r="B3751" t="s">
        <v>573</v>
      </c>
      <c r="C3751" t="s">
        <v>181</v>
      </c>
      <c r="D3751" t="s">
        <v>129</v>
      </c>
      <c r="E3751" t="s">
        <v>377</v>
      </c>
      <c r="F3751" t="s">
        <v>384</v>
      </c>
      <c r="G3751" t="s">
        <v>58</v>
      </c>
      <c r="H3751" t="s">
        <v>58</v>
      </c>
      <c r="I3751" t="s">
        <v>743</v>
      </c>
      <c r="J3751" t="s">
        <v>379</v>
      </c>
      <c r="K3751" t="s">
        <v>546</v>
      </c>
      <c r="L3751" s="784">
        <v>1600000</v>
      </c>
      <c r="M3751" t="s">
        <v>745</v>
      </c>
      <c r="P3751" t="s">
        <v>1887</v>
      </c>
      <c r="R3751" t="s">
        <v>150</v>
      </c>
      <c r="S3751" t="s">
        <v>145</v>
      </c>
      <c r="U3751">
        <v>2</v>
      </c>
      <c r="V3751" t="s">
        <v>544</v>
      </c>
      <c r="W3751" t="s">
        <v>542</v>
      </c>
      <c r="X3751" s="784">
        <v>81361801.477472037</v>
      </c>
    </row>
    <row r="3752" spans="1:24">
      <c r="A3752" t="s">
        <v>358</v>
      </c>
      <c r="B3752" t="s">
        <v>574</v>
      </c>
      <c r="C3752" t="s">
        <v>182</v>
      </c>
      <c r="D3752" t="s">
        <v>129</v>
      </c>
      <c r="E3752" t="s">
        <v>377</v>
      </c>
      <c r="F3752" t="s">
        <v>384</v>
      </c>
      <c r="G3752" t="s">
        <v>58</v>
      </c>
      <c r="H3752" t="s">
        <v>58</v>
      </c>
      <c r="I3752" t="s">
        <v>743</v>
      </c>
      <c r="J3752" t="s">
        <v>379</v>
      </c>
      <c r="K3752" t="s">
        <v>546</v>
      </c>
      <c r="L3752" s="784">
        <v>1150000</v>
      </c>
      <c r="M3752" t="s">
        <v>745</v>
      </c>
      <c r="P3752" t="s">
        <v>1887</v>
      </c>
      <c r="R3752" t="s">
        <v>148</v>
      </c>
      <c r="S3752" t="s">
        <v>145</v>
      </c>
      <c r="U3752">
        <v>1</v>
      </c>
      <c r="V3752" t="s">
        <v>544</v>
      </c>
      <c r="W3752" t="s">
        <v>542</v>
      </c>
      <c r="X3752" s="784" t="s">
        <v>575</v>
      </c>
    </row>
    <row r="3753" spans="1:24">
      <c r="A3753" t="s">
        <v>358</v>
      </c>
      <c r="B3753" t="s">
        <v>576</v>
      </c>
      <c r="C3753" t="s">
        <v>183</v>
      </c>
      <c r="D3753" t="s">
        <v>129</v>
      </c>
      <c r="E3753" t="s">
        <v>377</v>
      </c>
      <c r="F3753" t="s">
        <v>384</v>
      </c>
      <c r="G3753" t="s">
        <v>58</v>
      </c>
      <c r="H3753" t="s">
        <v>58</v>
      </c>
      <c r="I3753" t="s">
        <v>743</v>
      </c>
      <c r="J3753" t="s">
        <v>379</v>
      </c>
      <c r="K3753" t="s">
        <v>546</v>
      </c>
      <c r="L3753" s="784" t="s">
        <v>575</v>
      </c>
      <c r="M3753" t="s">
        <v>745</v>
      </c>
      <c r="P3753" t="s">
        <v>1887</v>
      </c>
      <c r="R3753" t="s">
        <v>148</v>
      </c>
      <c r="S3753" t="s">
        <v>145</v>
      </c>
      <c r="U3753">
        <v>1</v>
      </c>
      <c r="V3753" t="s">
        <v>544</v>
      </c>
      <c r="W3753" t="s">
        <v>542</v>
      </c>
      <c r="X3753" s="784">
        <v>76939306.715636879</v>
      </c>
    </row>
    <row r="3754" spans="1:24">
      <c r="A3754" t="s">
        <v>358</v>
      </c>
      <c r="B3754" t="s">
        <v>577</v>
      </c>
      <c r="C3754" t="s">
        <v>184</v>
      </c>
      <c r="D3754" t="s">
        <v>130</v>
      </c>
      <c r="E3754" t="s">
        <v>377</v>
      </c>
      <c r="F3754" t="s">
        <v>384</v>
      </c>
      <c r="G3754" t="s">
        <v>58</v>
      </c>
      <c r="H3754" t="s">
        <v>58</v>
      </c>
      <c r="I3754" t="s">
        <v>743</v>
      </c>
      <c r="J3754" t="s">
        <v>379</v>
      </c>
      <c r="K3754" t="s">
        <v>546</v>
      </c>
      <c r="L3754" s="784" t="s">
        <v>575</v>
      </c>
      <c r="M3754" t="s">
        <v>745</v>
      </c>
      <c r="P3754" t="s">
        <v>1887</v>
      </c>
      <c r="R3754" t="s">
        <v>550</v>
      </c>
      <c r="S3754" t="s">
        <v>146</v>
      </c>
      <c r="U3754">
        <v>0</v>
      </c>
      <c r="V3754" t="s">
        <v>544</v>
      </c>
      <c r="W3754" t="s">
        <v>575</v>
      </c>
      <c r="X3754" s="784">
        <v>13859708717.682571</v>
      </c>
    </row>
    <row r="3755" spans="1:24">
      <c r="A3755" t="s">
        <v>358</v>
      </c>
      <c r="B3755" t="s">
        <v>578</v>
      </c>
      <c r="C3755" t="s">
        <v>185</v>
      </c>
      <c r="D3755" t="s">
        <v>126</v>
      </c>
      <c r="E3755" t="s">
        <v>377</v>
      </c>
      <c r="F3755" t="s">
        <v>384</v>
      </c>
      <c r="G3755" t="s">
        <v>58</v>
      </c>
      <c r="H3755" t="s">
        <v>58</v>
      </c>
      <c r="I3755" t="s">
        <v>743</v>
      </c>
      <c r="J3755" t="s">
        <v>379</v>
      </c>
      <c r="K3755" t="s">
        <v>546</v>
      </c>
      <c r="L3755" s="784" t="s">
        <v>575</v>
      </c>
      <c r="M3755" t="s">
        <v>745</v>
      </c>
      <c r="P3755" t="s">
        <v>1887</v>
      </c>
      <c r="R3755" t="s">
        <v>152</v>
      </c>
      <c r="S3755" t="s">
        <v>146</v>
      </c>
      <c r="U3755">
        <v>0</v>
      </c>
      <c r="V3755" t="s">
        <v>544</v>
      </c>
      <c r="W3755" t="s">
        <v>575</v>
      </c>
      <c r="X3755" s="784">
        <v>403567160707.7016</v>
      </c>
    </row>
    <row r="3756" spans="1:24">
      <c r="A3756" t="s">
        <v>358</v>
      </c>
      <c r="B3756" t="s">
        <v>579</v>
      </c>
      <c r="C3756" t="s">
        <v>186</v>
      </c>
      <c r="D3756" t="s">
        <v>130</v>
      </c>
      <c r="E3756" t="s">
        <v>377</v>
      </c>
      <c r="F3756" t="s">
        <v>384</v>
      </c>
      <c r="G3756" t="s">
        <v>58</v>
      </c>
      <c r="H3756" t="s">
        <v>58</v>
      </c>
      <c r="I3756" t="s">
        <v>743</v>
      </c>
      <c r="J3756" t="s">
        <v>379</v>
      </c>
      <c r="K3756" t="s">
        <v>546</v>
      </c>
      <c r="L3756" s="784">
        <v>11000000</v>
      </c>
      <c r="M3756" t="s">
        <v>745</v>
      </c>
      <c r="P3756" t="s">
        <v>1887</v>
      </c>
      <c r="R3756" t="s">
        <v>152</v>
      </c>
      <c r="S3756" t="s">
        <v>146</v>
      </c>
      <c r="U3756">
        <v>0</v>
      </c>
      <c r="V3756" t="s">
        <v>544</v>
      </c>
      <c r="W3756" t="s">
        <v>575</v>
      </c>
      <c r="X3756" s="784">
        <v>18250225995.972618</v>
      </c>
    </row>
    <row r="3757" spans="1:24">
      <c r="A3757" t="s">
        <v>358</v>
      </c>
      <c r="B3757" t="s">
        <v>580</v>
      </c>
      <c r="C3757" t="s">
        <v>187</v>
      </c>
      <c r="D3757" t="s">
        <v>128</v>
      </c>
      <c r="E3757" t="s">
        <v>377</v>
      </c>
      <c r="F3757" t="s">
        <v>384</v>
      </c>
      <c r="G3757" t="s">
        <v>58</v>
      </c>
      <c r="H3757" t="s">
        <v>58</v>
      </c>
      <c r="I3757" t="s">
        <v>743</v>
      </c>
      <c r="J3757" t="s">
        <v>379</v>
      </c>
      <c r="K3757" t="s">
        <v>546</v>
      </c>
      <c r="L3757" s="784">
        <v>100000</v>
      </c>
      <c r="M3757" t="s">
        <v>745</v>
      </c>
      <c r="P3757" t="s">
        <v>1887</v>
      </c>
      <c r="R3757" t="s">
        <v>150</v>
      </c>
      <c r="S3757" t="s">
        <v>145</v>
      </c>
      <c r="U3757">
        <v>0</v>
      </c>
      <c r="V3757" t="s">
        <v>541</v>
      </c>
      <c r="W3757" t="s">
        <v>562</v>
      </c>
      <c r="X3757" s="784">
        <v>5027591.1682657599</v>
      </c>
    </row>
    <row r="3758" spans="1:24">
      <c r="A3758" t="s">
        <v>358</v>
      </c>
      <c r="B3758" t="s">
        <v>581</v>
      </c>
      <c r="C3758" t="s">
        <v>188</v>
      </c>
      <c r="D3758" t="s">
        <v>129</v>
      </c>
      <c r="E3758" t="s">
        <v>377</v>
      </c>
      <c r="F3758" t="s">
        <v>384</v>
      </c>
      <c r="G3758" t="s">
        <v>58</v>
      </c>
      <c r="H3758" t="s">
        <v>58</v>
      </c>
      <c r="I3758" t="s">
        <v>743</v>
      </c>
      <c r="J3758" t="s">
        <v>379</v>
      </c>
      <c r="K3758" t="s">
        <v>546</v>
      </c>
      <c r="L3758" s="784">
        <v>5350000</v>
      </c>
      <c r="M3758" t="s">
        <v>745</v>
      </c>
      <c r="P3758" t="s">
        <v>1887</v>
      </c>
      <c r="R3758" t="s">
        <v>148</v>
      </c>
      <c r="S3758" t="s">
        <v>145</v>
      </c>
      <c r="U3758">
        <v>3</v>
      </c>
      <c r="V3758" t="s">
        <v>544</v>
      </c>
      <c r="W3758" t="s">
        <v>562</v>
      </c>
      <c r="X3758" s="784">
        <v>234645958.63289919</v>
      </c>
    </row>
    <row r="3759" spans="1:24">
      <c r="A3759" t="s">
        <v>358</v>
      </c>
      <c r="B3759" t="s">
        <v>582</v>
      </c>
      <c r="C3759" t="s">
        <v>189</v>
      </c>
      <c r="D3759" t="s">
        <v>129</v>
      </c>
      <c r="E3759" t="s">
        <v>377</v>
      </c>
      <c r="F3759" t="s">
        <v>384</v>
      </c>
      <c r="G3759" t="s">
        <v>58</v>
      </c>
      <c r="H3759" t="s">
        <v>58</v>
      </c>
      <c r="I3759" t="s">
        <v>743</v>
      </c>
      <c r="J3759" t="s">
        <v>379</v>
      </c>
      <c r="K3759" t="s">
        <v>546</v>
      </c>
      <c r="L3759" s="784">
        <v>1500000</v>
      </c>
      <c r="M3759" t="s">
        <v>745</v>
      </c>
      <c r="P3759" t="s">
        <v>1887</v>
      </c>
      <c r="R3759" t="s">
        <v>150</v>
      </c>
      <c r="S3759" t="s">
        <v>145</v>
      </c>
      <c r="U3759">
        <v>2</v>
      </c>
      <c r="V3759" t="s">
        <v>544</v>
      </c>
      <c r="W3759" t="s">
        <v>583</v>
      </c>
      <c r="X3759" s="784">
        <v>91590910.247314155</v>
      </c>
    </row>
    <row r="3760" spans="1:24">
      <c r="A3760" t="s">
        <v>358</v>
      </c>
      <c r="B3760" t="s">
        <v>584</v>
      </c>
      <c r="C3760" t="s">
        <v>190</v>
      </c>
      <c r="D3760" t="s">
        <v>126</v>
      </c>
      <c r="E3760" t="s">
        <v>377</v>
      </c>
      <c r="F3760" t="s">
        <v>384</v>
      </c>
      <c r="G3760" t="s">
        <v>58</v>
      </c>
      <c r="H3760" t="s">
        <v>58</v>
      </c>
      <c r="I3760" t="s">
        <v>743</v>
      </c>
      <c r="J3760" t="s">
        <v>379</v>
      </c>
      <c r="K3760" t="s">
        <v>546</v>
      </c>
      <c r="L3760" s="784" t="s">
        <v>575</v>
      </c>
      <c r="M3760" t="s">
        <v>745</v>
      </c>
      <c r="P3760" t="s">
        <v>1887</v>
      </c>
      <c r="R3760" t="s">
        <v>322</v>
      </c>
      <c r="S3760" t="s">
        <v>146</v>
      </c>
      <c r="U3760">
        <v>0</v>
      </c>
      <c r="V3760" t="s">
        <v>541</v>
      </c>
      <c r="W3760" t="s">
        <v>546</v>
      </c>
      <c r="X3760" s="784">
        <v>8560012.8840167802</v>
      </c>
    </row>
    <row r="3761" spans="1:24">
      <c r="A3761" t="s">
        <v>358</v>
      </c>
      <c r="B3761" t="s">
        <v>585</v>
      </c>
      <c r="C3761" t="s">
        <v>191</v>
      </c>
      <c r="D3761" t="s">
        <v>130</v>
      </c>
      <c r="E3761" t="s">
        <v>377</v>
      </c>
      <c r="F3761" t="s">
        <v>384</v>
      </c>
      <c r="G3761" t="s">
        <v>58</v>
      </c>
      <c r="H3761" t="s">
        <v>58</v>
      </c>
      <c r="I3761" t="s">
        <v>743</v>
      </c>
      <c r="J3761" t="s">
        <v>379</v>
      </c>
      <c r="K3761" t="s">
        <v>546</v>
      </c>
      <c r="L3761" s="784">
        <v>550000</v>
      </c>
      <c r="M3761" t="s">
        <v>745</v>
      </c>
      <c r="P3761" t="s">
        <v>1887</v>
      </c>
      <c r="R3761" t="s">
        <v>152</v>
      </c>
      <c r="S3761" t="s">
        <v>146</v>
      </c>
      <c r="U3761">
        <v>0</v>
      </c>
      <c r="V3761" t="s">
        <v>544</v>
      </c>
      <c r="W3761" t="s">
        <v>546</v>
      </c>
      <c r="X3761" s="784">
        <v>3292372960.3962669</v>
      </c>
    </row>
    <row r="3762" spans="1:24">
      <c r="A3762" t="s">
        <v>358</v>
      </c>
      <c r="B3762" t="s">
        <v>586</v>
      </c>
      <c r="C3762" t="s">
        <v>192</v>
      </c>
      <c r="D3762" t="s">
        <v>129</v>
      </c>
      <c r="E3762" t="s">
        <v>377</v>
      </c>
      <c r="F3762" t="s">
        <v>384</v>
      </c>
      <c r="G3762" t="s">
        <v>58</v>
      </c>
      <c r="H3762" t="s">
        <v>58</v>
      </c>
      <c r="I3762" t="s">
        <v>743</v>
      </c>
      <c r="J3762" t="s">
        <v>379</v>
      </c>
      <c r="K3762" t="s">
        <v>546</v>
      </c>
      <c r="L3762" s="784">
        <v>4476000</v>
      </c>
      <c r="M3762" t="s">
        <v>745</v>
      </c>
      <c r="P3762" t="s">
        <v>1887</v>
      </c>
      <c r="R3762" t="s">
        <v>150</v>
      </c>
      <c r="S3762" t="s">
        <v>145</v>
      </c>
      <c r="U3762">
        <v>0</v>
      </c>
      <c r="V3762" t="s">
        <v>544</v>
      </c>
      <c r="W3762" t="s">
        <v>562</v>
      </c>
      <c r="X3762" s="784">
        <v>519209981.22981054</v>
      </c>
    </row>
    <row r="3763" spans="1:24">
      <c r="A3763" t="s">
        <v>358</v>
      </c>
      <c r="B3763" t="s">
        <v>587</v>
      </c>
      <c r="C3763" t="s">
        <v>193</v>
      </c>
      <c r="D3763" t="s">
        <v>127</v>
      </c>
      <c r="E3763" t="s">
        <v>377</v>
      </c>
      <c r="F3763" t="s">
        <v>384</v>
      </c>
      <c r="G3763" t="s">
        <v>58</v>
      </c>
      <c r="H3763" t="s">
        <v>58</v>
      </c>
      <c r="I3763" t="s">
        <v>743</v>
      </c>
      <c r="J3763" t="s">
        <v>379</v>
      </c>
      <c r="K3763" t="s">
        <v>546</v>
      </c>
      <c r="L3763" s="784" t="s">
        <v>575</v>
      </c>
      <c r="M3763" t="s">
        <v>745</v>
      </c>
      <c r="P3763" t="s">
        <v>1887</v>
      </c>
      <c r="R3763" t="s">
        <v>550</v>
      </c>
      <c r="S3763" t="s">
        <v>146</v>
      </c>
      <c r="U3763">
        <v>0</v>
      </c>
      <c r="V3763" t="s">
        <v>544</v>
      </c>
      <c r="W3763" t="s">
        <v>575</v>
      </c>
      <c r="X3763" s="784">
        <v>3464739907.1604805</v>
      </c>
    </row>
    <row r="3764" spans="1:24">
      <c r="A3764" t="s">
        <v>358</v>
      </c>
      <c r="B3764" t="s">
        <v>588</v>
      </c>
      <c r="C3764" t="s">
        <v>147</v>
      </c>
      <c r="D3764" t="s">
        <v>130</v>
      </c>
      <c r="E3764" t="s">
        <v>377</v>
      </c>
      <c r="F3764" t="s">
        <v>384</v>
      </c>
      <c r="G3764" t="s">
        <v>58</v>
      </c>
      <c r="H3764" t="s">
        <v>58</v>
      </c>
      <c r="I3764" t="s">
        <v>743</v>
      </c>
      <c r="J3764" t="s">
        <v>379</v>
      </c>
      <c r="K3764" t="s">
        <v>546</v>
      </c>
      <c r="L3764" s="784" t="s">
        <v>575</v>
      </c>
      <c r="M3764" t="s">
        <v>745</v>
      </c>
      <c r="P3764" t="s">
        <v>1887</v>
      </c>
      <c r="R3764" t="s">
        <v>152</v>
      </c>
      <c r="S3764" t="s">
        <v>146</v>
      </c>
      <c r="U3764">
        <v>0</v>
      </c>
      <c r="V3764" t="s">
        <v>541</v>
      </c>
      <c r="W3764" t="s">
        <v>575</v>
      </c>
      <c r="X3764" s="784">
        <v>9948521252.2569065</v>
      </c>
    </row>
    <row r="3765" spans="1:24">
      <c r="A3765" t="s">
        <v>358</v>
      </c>
      <c r="B3765" t="s">
        <v>589</v>
      </c>
      <c r="C3765" t="s">
        <v>194</v>
      </c>
      <c r="D3765" t="s">
        <v>131</v>
      </c>
      <c r="E3765" t="s">
        <v>377</v>
      </c>
      <c r="F3765" t="s">
        <v>384</v>
      </c>
      <c r="G3765" t="s">
        <v>58</v>
      </c>
      <c r="H3765" t="s">
        <v>58</v>
      </c>
      <c r="I3765" t="s">
        <v>743</v>
      </c>
      <c r="J3765" t="s">
        <v>379</v>
      </c>
      <c r="K3765" t="s">
        <v>546</v>
      </c>
      <c r="L3765" s="784">
        <v>1100000</v>
      </c>
      <c r="M3765" t="s">
        <v>745</v>
      </c>
      <c r="P3765" t="s">
        <v>1887</v>
      </c>
      <c r="R3765" t="s">
        <v>150</v>
      </c>
      <c r="S3765" t="s">
        <v>145</v>
      </c>
      <c r="U3765">
        <v>1</v>
      </c>
      <c r="V3765" t="s">
        <v>544</v>
      </c>
      <c r="W3765" t="s">
        <v>542</v>
      </c>
      <c r="X3765" s="784">
        <v>33679192.765657313</v>
      </c>
    </row>
    <row r="3766" spans="1:24">
      <c r="A3766" t="s">
        <v>358</v>
      </c>
      <c r="B3766" t="s">
        <v>590</v>
      </c>
      <c r="C3766" t="s">
        <v>195</v>
      </c>
      <c r="D3766" t="s">
        <v>130</v>
      </c>
      <c r="E3766" t="s">
        <v>377</v>
      </c>
      <c r="F3766" t="s">
        <v>384</v>
      </c>
      <c r="G3766" t="s">
        <v>58</v>
      </c>
      <c r="H3766" t="s">
        <v>58</v>
      </c>
      <c r="I3766" t="s">
        <v>743</v>
      </c>
      <c r="J3766" t="s">
        <v>379</v>
      </c>
      <c r="K3766" t="s">
        <v>546</v>
      </c>
      <c r="L3766" s="784" t="s">
        <v>575</v>
      </c>
      <c r="M3766" t="s">
        <v>745</v>
      </c>
      <c r="P3766" t="s">
        <v>1887</v>
      </c>
      <c r="R3766" t="s">
        <v>152</v>
      </c>
      <c r="S3766" t="s">
        <v>145</v>
      </c>
      <c r="U3766">
        <v>0</v>
      </c>
      <c r="V3766" t="s">
        <v>541</v>
      </c>
      <c r="W3766" t="s">
        <v>548</v>
      </c>
      <c r="X3766" s="784">
        <v>22784494.365742501</v>
      </c>
    </row>
    <row r="3767" spans="1:24">
      <c r="A3767" t="s">
        <v>358</v>
      </c>
      <c r="B3767" t="s">
        <v>591</v>
      </c>
      <c r="C3767" t="s">
        <v>196</v>
      </c>
      <c r="D3767" t="s">
        <v>130</v>
      </c>
      <c r="E3767" t="s">
        <v>377</v>
      </c>
      <c r="F3767" t="s">
        <v>384</v>
      </c>
      <c r="G3767" t="s">
        <v>58</v>
      </c>
      <c r="H3767" t="s">
        <v>58</v>
      </c>
      <c r="I3767" t="s">
        <v>743</v>
      </c>
      <c r="J3767" t="s">
        <v>379</v>
      </c>
      <c r="K3767" t="s">
        <v>546</v>
      </c>
      <c r="L3767" s="784">
        <v>241451</v>
      </c>
      <c r="M3767" t="s">
        <v>745</v>
      </c>
      <c r="P3767" t="s">
        <v>1887</v>
      </c>
      <c r="R3767" t="s">
        <v>152</v>
      </c>
      <c r="S3767" t="s">
        <v>146</v>
      </c>
      <c r="U3767">
        <v>0</v>
      </c>
      <c r="V3767" t="s">
        <v>541</v>
      </c>
      <c r="W3767" t="s">
        <v>575</v>
      </c>
      <c r="X3767" s="784">
        <v>2173208011.4858823</v>
      </c>
    </row>
    <row r="3768" spans="1:24">
      <c r="A3768" t="s">
        <v>358</v>
      </c>
      <c r="B3768" t="s">
        <v>592</v>
      </c>
      <c r="C3768" t="s">
        <v>197</v>
      </c>
      <c r="D3768" t="s">
        <v>130</v>
      </c>
      <c r="E3768" t="s">
        <v>377</v>
      </c>
      <c r="F3768" t="s">
        <v>384</v>
      </c>
      <c r="G3768" t="s">
        <v>58</v>
      </c>
      <c r="H3768" t="s">
        <v>58</v>
      </c>
      <c r="I3768" t="s">
        <v>743</v>
      </c>
      <c r="J3768" t="s">
        <v>379</v>
      </c>
      <c r="K3768" t="s">
        <v>546</v>
      </c>
      <c r="L3768" s="784">
        <v>3320000</v>
      </c>
      <c r="M3768" t="s">
        <v>745</v>
      </c>
      <c r="P3768" t="s">
        <v>1887</v>
      </c>
      <c r="R3768" t="s">
        <v>152</v>
      </c>
      <c r="S3768" t="s">
        <v>146</v>
      </c>
      <c r="U3768">
        <v>0</v>
      </c>
      <c r="V3768" t="s">
        <v>544</v>
      </c>
      <c r="W3768" t="s">
        <v>546</v>
      </c>
      <c r="X3768" s="784">
        <v>4585736158.8323269</v>
      </c>
    </row>
    <row r="3769" spans="1:24">
      <c r="A3769" t="s">
        <v>358</v>
      </c>
      <c r="B3769" t="s">
        <v>593</v>
      </c>
      <c r="C3769" t="s">
        <v>198</v>
      </c>
      <c r="D3769" t="s">
        <v>131</v>
      </c>
      <c r="E3769" t="s">
        <v>377</v>
      </c>
      <c r="F3769" t="s">
        <v>384</v>
      </c>
      <c r="G3769" t="s">
        <v>58</v>
      </c>
      <c r="H3769" t="s">
        <v>58</v>
      </c>
      <c r="I3769" t="s">
        <v>743</v>
      </c>
      <c r="J3769" t="s">
        <v>379</v>
      </c>
      <c r="K3769" t="s">
        <v>546</v>
      </c>
      <c r="L3769" s="784">
        <v>5400000</v>
      </c>
      <c r="M3769" t="s">
        <v>745</v>
      </c>
      <c r="P3769" t="s">
        <v>1887</v>
      </c>
      <c r="R3769" t="s">
        <v>150</v>
      </c>
      <c r="S3769" t="s">
        <v>145</v>
      </c>
      <c r="U3769">
        <v>0</v>
      </c>
      <c r="V3769" t="s">
        <v>544</v>
      </c>
      <c r="W3769" t="s">
        <v>546</v>
      </c>
      <c r="X3769" s="784">
        <v>3550291584.8645592</v>
      </c>
    </row>
    <row r="3770" spans="1:24">
      <c r="A3770" t="s">
        <v>358</v>
      </c>
      <c r="B3770" t="s">
        <v>594</v>
      </c>
      <c r="C3770" t="s">
        <v>199</v>
      </c>
      <c r="D3770" t="s">
        <v>130</v>
      </c>
      <c r="E3770" t="s">
        <v>377</v>
      </c>
      <c r="F3770" t="s">
        <v>384</v>
      </c>
      <c r="G3770" t="s">
        <v>58</v>
      </c>
      <c r="H3770" t="s">
        <v>58</v>
      </c>
      <c r="I3770" t="s">
        <v>743</v>
      </c>
      <c r="J3770" t="s">
        <v>379</v>
      </c>
      <c r="K3770" t="s">
        <v>546</v>
      </c>
      <c r="L3770" s="784">
        <v>2800000</v>
      </c>
      <c r="M3770" t="s">
        <v>745</v>
      </c>
      <c r="P3770" t="s">
        <v>1887</v>
      </c>
      <c r="R3770" t="s">
        <v>150</v>
      </c>
      <c r="S3770" t="s">
        <v>145</v>
      </c>
      <c r="U3770">
        <v>0</v>
      </c>
      <c r="V3770" t="s">
        <v>544</v>
      </c>
      <c r="W3770" t="s">
        <v>546</v>
      </c>
      <c r="X3770" s="784">
        <v>1182840319.0410969</v>
      </c>
    </row>
    <row r="3771" spans="1:24">
      <c r="A3771" t="s">
        <v>358</v>
      </c>
      <c r="B3771" t="s">
        <v>595</v>
      </c>
      <c r="C3771" t="s">
        <v>200</v>
      </c>
      <c r="D3771" t="s">
        <v>130</v>
      </c>
      <c r="E3771" t="s">
        <v>377</v>
      </c>
      <c r="F3771" t="s">
        <v>384</v>
      </c>
      <c r="G3771" t="s">
        <v>58</v>
      </c>
      <c r="H3771" t="s">
        <v>58</v>
      </c>
      <c r="I3771" t="s">
        <v>743</v>
      </c>
      <c r="J3771" t="s">
        <v>379</v>
      </c>
      <c r="K3771" t="s">
        <v>546</v>
      </c>
      <c r="L3771" s="784" t="s">
        <v>575</v>
      </c>
      <c r="M3771" t="s">
        <v>745</v>
      </c>
      <c r="P3771" t="s">
        <v>1887</v>
      </c>
      <c r="R3771" t="s">
        <v>152</v>
      </c>
      <c r="S3771" t="s">
        <v>146</v>
      </c>
      <c r="U3771">
        <v>0</v>
      </c>
      <c r="V3771" t="s">
        <v>544</v>
      </c>
      <c r="W3771" t="s">
        <v>575</v>
      </c>
      <c r="X3771" s="784">
        <v>81728347.604567245</v>
      </c>
    </row>
    <row r="3772" spans="1:24">
      <c r="A3772" t="s">
        <v>358</v>
      </c>
      <c r="B3772" t="s">
        <v>596</v>
      </c>
      <c r="C3772" t="s">
        <v>201</v>
      </c>
      <c r="D3772" t="s">
        <v>128</v>
      </c>
      <c r="E3772" t="s">
        <v>377</v>
      </c>
      <c r="F3772" t="s">
        <v>384</v>
      </c>
      <c r="G3772" t="s">
        <v>58</v>
      </c>
      <c r="H3772" t="s">
        <v>58</v>
      </c>
      <c r="I3772" t="s">
        <v>743</v>
      </c>
      <c r="J3772" t="s">
        <v>379</v>
      </c>
      <c r="K3772" t="s">
        <v>546</v>
      </c>
      <c r="L3772" s="784" t="s">
        <v>575</v>
      </c>
      <c r="M3772" t="s">
        <v>745</v>
      </c>
      <c r="P3772" t="s">
        <v>1887</v>
      </c>
      <c r="R3772" t="s">
        <v>148</v>
      </c>
      <c r="S3772" t="s">
        <v>145</v>
      </c>
      <c r="U3772">
        <v>2</v>
      </c>
      <c r="V3772" t="s">
        <v>544</v>
      </c>
      <c r="W3772" t="s">
        <v>546</v>
      </c>
      <c r="X3772" s="784">
        <v>12787914.977715338</v>
      </c>
    </row>
    <row r="3773" spans="1:24">
      <c r="A3773" t="s">
        <v>358</v>
      </c>
      <c r="B3773" t="s">
        <v>597</v>
      </c>
      <c r="C3773" t="s">
        <v>202</v>
      </c>
      <c r="D3773" t="s">
        <v>128</v>
      </c>
      <c r="E3773" t="s">
        <v>377</v>
      </c>
      <c r="F3773" t="s">
        <v>384</v>
      </c>
      <c r="G3773" t="s">
        <v>58</v>
      </c>
      <c r="H3773" t="s">
        <v>58</v>
      </c>
      <c r="I3773" t="s">
        <v>743</v>
      </c>
      <c r="J3773" t="s">
        <v>379</v>
      </c>
      <c r="K3773" t="s">
        <v>546</v>
      </c>
      <c r="L3773" s="784">
        <v>2650000</v>
      </c>
      <c r="M3773" t="s">
        <v>745</v>
      </c>
      <c r="P3773" t="s">
        <v>1887</v>
      </c>
      <c r="R3773" t="s">
        <v>150</v>
      </c>
      <c r="S3773" t="s">
        <v>145</v>
      </c>
      <c r="U3773">
        <v>2</v>
      </c>
      <c r="V3773" t="s">
        <v>544</v>
      </c>
      <c r="W3773" t="s">
        <v>546</v>
      </c>
      <c r="X3773" s="784">
        <v>101271737.65410839</v>
      </c>
    </row>
    <row r="3774" spans="1:24">
      <c r="A3774" t="s">
        <v>358</v>
      </c>
      <c r="B3774" t="s">
        <v>598</v>
      </c>
      <c r="C3774" t="s">
        <v>203</v>
      </c>
      <c r="D3774" t="s">
        <v>128</v>
      </c>
      <c r="E3774" t="s">
        <v>377</v>
      </c>
      <c r="F3774" t="s">
        <v>384</v>
      </c>
      <c r="G3774" t="s">
        <v>58</v>
      </c>
      <c r="H3774" t="s">
        <v>58</v>
      </c>
      <c r="I3774" t="s">
        <v>743</v>
      </c>
      <c r="J3774" t="s">
        <v>379</v>
      </c>
      <c r="K3774" t="s">
        <v>546</v>
      </c>
      <c r="L3774" s="784">
        <v>6900000</v>
      </c>
      <c r="M3774" t="s">
        <v>745</v>
      </c>
      <c r="P3774" t="s">
        <v>1887</v>
      </c>
      <c r="R3774" t="s">
        <v>148</v>
      </c>
      <c r="S3774" t="s">
        <v>145</v>
      </c>
      <c r="U3774">
        <v>3</v>
      </c>
      <c r="V3774" t="s">
        <v>544</v>
      </c>
      <c r="W3774" t="s">
        <v>542</v>
      </c>
      <c r="X3774" s="784">
        <v>618344226.71759331</v>
      </c>
    </row>
    <row r="3775" spans="1:24">
      <c r="A3775" t="s">
        <v>358</v>
      </c>
      <c r="B3775" t="s">
        <v>599</v>
      </c>
      <c r="C3775" t="s">
        <v>204</v>
      </c>
      <c r="D3775" t="s">
        <v>126</v>
      </c>
      <c r="E3775" t="s">
        <v>377</v>
      </c>
      <c r="F3775" t="s">
        <v>384</v>
      </c>
      <c r="G3775" t="s">
        <v>58</v>
      </c>
      <c r="H3775" t="s">
        <v>58</v>
      </c>
      <c r="I3775" t="s">
        <v>743</v>
      </c>
      <c r="J3775" t="s">
        <v>379</v>
      </c>
      <c r="K3775" t="s">
        <v>546</v>
      </c>
      <c r="L3775" s="784">
        <v>1500000</v>
      </c>
      <c r="M3775" t="s">
        <v>745</v>
      </c>
      <c r="P3775" t="s">
        <v>1887</v>
      </c>
      <c r="R3775" t="s">
        <v>152</v>
      </c>
      <c r="S3775" t="s">
        <v>145</v>
      </c>
      <c r="U3775">
        <v>0</v>
      </c>
      <c r="V3775" t="s">
        <v>541</v>
      </c>
      <c r="W3775" t="s">
        <v>548</v>
      </c>
      <c r="X3775" s="784">
        <v>129483872.95906857</v>
      </c>
    </row>
    <row r="3776" spans="1:24">
      <c r="A3776" t="s">
        <v>358</v>
      </c>
      <c r="B3776" t="s">
        <v>600</v>
      </c>
      <c r="C3776" t="s">
        <v>205</v>
      </c>
      <c r="D3776" t="s">
        <v>129</v>
      </c>
      <c r="E3776" t="s">
        <v>377</v>
      </c>
      <c r="F3776" t="s">
        <v>384</v>
      </c>
      <c r="G3776" t="s">
        <v>58</v>
      </c>
      <c r="H3776" t="s">
        <v>58</v>
      </c>
      <c r="I3776" t="s">
        <v>743</v>
      </c>
      <c r="J3776" t="s">
        <v>379</v>
      </c>
      <c r="K3776" t="s">
        <v>546</v>
      </c>
      <c r="L3776" s="784">
        <v>300000</v>
      </c>
      <c r="M3776" t="s">
        <v>745</v>
      </c>
      <c r="P3776" t="s">
        <v>1887</v>
      </c>
      <c r="R3776" t="s">
        <v>152</v>
      </c>
      <c r="S3776" t="s">
        <v>146</v>
      </c>
      <c r="U3776">
        <v>0</v>
      </c>
      <c r="V3776" t="s">
        <v>544</v>
      </c>
      <c r="W3776" t="s">
        <v>546</v>
      </c>
      <c r="X3776" s="784">
        <v>271184658.35014349</v>
      </c>
    </row>
    <row r="3777" spans="1:24">
      <c r="A3777" t="s">
        <v>358</v>
      </c>
      <c r="B3777" t="s">
        <v>601</v>
      </c>
      <c r="C3777" t="s">
        <v>206</v>
      </c>
      <c r="D3777" t="s">
        <v>129</v>
      </c>
      <c r="E3777" t="s">
        <v>377</v>
      </c>
      <c r="F3777" t="s">
        <v>384</v>
      </c>
      <c r="G3777" t="s">
        <v>58</v>
      </c>
      <c r="H3777" t="s">
        <v>58</v>
      </c>
      <c r="I3777" t="s">
        <v>743</v>
      </c>
      <c r="J3777" t="s">
        <v>379</v>
      </c>
      <c r="K3777" t="s">
        <v>546</v>
      </c>
      <c r="L3777" s="784">
        <v>1085000</v>
      </c>
      <c r="M3777" t="s">
        <v>745</v>
      </c>
      <c r="P3777" t="s">
        <v>1887</v>
      </c>
      <c r="R3777" t="s">
        <v>148</v>
      </c>
      <c r="S3777" t="s">
        <v>145</v>
      </c>
      <c r="U3777">
        <v>0</v>
      </c>
      <c r="V3777" t="s">
        <v>544</v>
      </c>
      <c r="W3777" t="s">
        <v>542</v>
      </c>
      <c r="X3777" s="784">
        <v>15455265.086884515</v>
      </c>
    </row>
    <row r="3778" spans="1:24">
      <c r="A3778" t="s">
        <v>358</v>
      </c>
      <c r="B3778" t="s">
        <v>602</v>
      </c>
      <c r="C3778" t="s">
        <v>207</v>
      </c>
      <c r="D3778" t="s">
        <v>127</v>
      </c>
      <c r="E3778" t="s">
        <v>377</v>
      </c>
      <c r="F3778" t="s">
        <v>384</v>
      </c>
      <c r="G3778" t="s">
        <v>58</v>
      </c>
      <c r="H3778" t="s">
        <v>58</v>
      </c>
      <c r="I3778" t="s">
        <v>743</v>
      </c>
      <c r="J3778" t="s">
        <v>379</v>
      </c>
      <c r="K3778" t="s">
        <v>546</v>
      </c>
      <c r="L3778" s="784">
        <v>4400000</v>
      </c>
      <c r="M3778" t="s">
        <v>745</v>
      </c>
      <c r="P3778" t="s">
        <v>1887</v>
      </c>
      <c r="R3778" t="s">
        <v>152</v>
      </c>
      <c r="S3778" t="s">
        <v>146</v>
      </c>
      <c r="U3778">
        <v>0</v>
      </c>
      <c r="V3778" t="s">
        <v>544</v>
      </c>
      <c r="W3778" t="s">
        <v>546</v>
      </c>
      <c r="X3778" s="784">
        <v>494021502.525527</v>
      </c>
    </row>
    <row r="3779" spans="1:24">
      <c r="A3779" t="s">
        <v>358</v>
      </c>
      <c r="B3779" t="s">
        <v>603</v>
      </c>
      <c r="C3779" t="s">
        <v>208</v>
      </c>
      <c r="D3779" t="s">
        <v>129</v>
      </c>
      <c r="E3779" t="s">
        <v>377</v>
      </c>
      <c r="F3779" t="s">
        <v>384</v>
      </c>
      <c r="G3779" t="s">
        <v>58</v>
      </c>
      <c r="H3779" t="s">
        <v>58</v>
      </c>
      <c r="I3779" t="s">
        <v>743</v>
      </c>
      <c r="J3779" t="s">
        <v>379</v>
      </c>
      <c r="K3779" t="s">
        <v>546</v>
      </c>
      <c r="L3779" s="784">
        <v>2950000</v>
      </c>
      <c r="M3779" t="s">
        <v>745</v>
      </c>
      <c r="P3779" t="s">
        <v>1887</v>
      </c>
      <c r="R3779" t="s">
        <v>150</v>
      </c>
      <c r="S3779" t="s">
        <v>145</v>
      </c>
      <c r="U3779">
        <v>0</v>
      </c>
      <c r="V3779" t="s">
        <v>544</v>
      </c>
      <c r="W3779" t="s">
        <v>542</v>
      </c>
      <c r="X3779" s="784">
        <v>902005621.73836684</v>
      </c>
    </row>
    <row r="3780" spans="1:24">
      <c r="A3780" t="s">
        <v>358</v>
      </c>
      <c r="B3780" t="s">
        <v>604</v>
      </c>
      <c r="C3780" t="s">
        <v>209</v>
      </c>
      <c r="D3780" t="s">
        <v>130</v>
      </c>
      <c r="E3780" t="s">
        <v>377</v>
      </c>
      <c r="F3780" t="s">
        <v>384</v>
      </c>
      <c r="G3780" t="s">
        <v>58</v>
      </c>
      <c r="H3780" t="s">
        <v>58</v>
      </c>
      <c r="I3780" t="s">
        <v>743</v>
      </c>
      <c r="J3780" t="s">
        <v>379</v>
      </c>
      <c r="K3780" t="s">
        <v>546</v>
      </c>
      <c r="L3780" s="784" t="s">
        <v>575</v>
      </c>
      <c r="M3780" t="s">
        <v>745</v>
      </c>
      <c r="P3780" t="s">
        <v>1887</v>
      </c>
      <c r="R3780" t="s">
        <v>152</v>
      </c>
      <c r="S3780" t="s">
        <v>145</v>
      </c>
      <c r="U3780">
        <v>0</v>
      </c>
      <c r="V3780" t="s">
        <v>541</v>
      </c>
      <c r="W3780" t="s">
        <v>583</v>
      </c>
      <c r="X3780" s="784">
        <v>20201670.142996579</v>
      </c>
    </row>
    <row r="3781" spans="1:24">
      <c r="A3781" t="s">
        <v>358</v>
      </c>
      <c r="B3781" t="s">
        <v>605</v>
      </c>
      <c r="C3781" t="s">
        <v>210</v>
      </c>
      <c r="D3781" t="s">
        <v>130</v>
      </c>
      <c r="E3781" t="s">
        <v>377</v>
      </c>
      <c r="F3781" t="s">
        <v>384</v>
      </c>
      <c r="G3781" t="s">
        <v>58</v>
      </c>
      <c r="H3781" t="s">
        <v>58</v>
      </c>
      <c r="I3781" t="s">
        <v>743</v>
      </c>
      <c r="J3781" t="s">
        <v>379</v>
      </c>
      <c r="K3781" t="s">
        <v>546</v>
      </c>
      <c r="L3781" s="784">
        <v>5395000</v>
      </c>
      <c r="M3781" t="s">
        <v>745</v>
      </c>
      <c r="P3781" t="s">
        <v>1887</v>
      </c>
      <c r="R3781" t="s">
        <v>152</v>
      </c>
      <c r="S3781" t="s">
        <v>146</v>
      </c>
      <c r="U3781">
        <v>0</v>
      </c>
      <c r="V3781" t="s">
        <v>544</v>
      </c>
      <c r="W3781" t="s">
        <v>575</v>
      </c>
      <c r="X3781" s="784">
        <v>1612434649.6948864</v>
      </c>
    </row>
    <row r="3782" spans="1:24">
      <c r="A3782" t="s">
        <v>358</v>
      </c>
      <c r="B3782" t="s">
        <v>606</v>
      </c>
      <c r="C3782" t="s">
        <v>211</v>
      </c>
      <c r="D3782" t="s">
        <v>129</v>
      </c>
      <c r="E3782" t="s">
        <v>377</v>
      </c>
      <c r="F3782" t="s">
        <v>384</v>
      </c>
      <c r="G3782" t="s">
        <v>58</v>
      </c>
      <c r="H3782" t="s">
        <v>58</v>
      </c>
      <c r="I3782" t="s">
        <v>743</v>
      </c>
      <c r="J3782" t="s">
        <v>379</v>
      </c>
      <c r="K3782" t="s">
        <v>546</v>
      </c>
      <c r="L3782" s="784">
        <v>2900000</v>
      </c>
      <c r="M3782" t="s">
        <v>745</v>
      </c>
      <c r="P3782" t="s">
        <v>1887</v>
      </c>
      <c r="R3782" t="s">
        <v>148</v>
      </c>
      <c r="S3782" t="s">
        <v>145</v>
      </c>
      <c r="U3782">
        <v>0</v>
      </c>
      <c r="V3782" t="s">
        <v>544</v>
      </c>
      <c r="W3782" t="s">
        <v>562</v>
      </c>
      <c r="X3782" s="784">
        <v>78203134.118229344</v>
      </c>
    </row>
    <row r="3783" spans="1:24">
      <c r="A3783" t="s">
        <v>358</v>
      </c>
      <c r="B3783" t="s">
        <v>607</v>
      </c>
      <c r="C3783" t="s">
        <v>212</v>
      </c>
      <c r="D3783" t="s">
        <v>129</v>
      </c>
      <c r="E3783" t="s">
        <v>377</v>
      </c>
      <c r="F3783" t="s">
        <v>384</v>
      </c>
      <c r="G3783" t="s">
        <v>58</v>
      </c>
      <c r="H3783" t="s">
        <v>58</v>
      </c>
      <c r="I3783" t="s">
        <v>743</v>
      </c>
      <c r="J3783" t="s">
        <v>379</v>
      </c>
      <c r="K3783" t="s">
        <v>546</v>
      </c>
      <c r="L3783" s="784">
        <v>200000</v>
      </c>
      <c r="M3783" t="s">
        <v>745</v>
      </c>
      <c r="P3783" t="s">
        <v>1887</v>
      </c>
      <c r="R3783" t="s">
        <v>148</v>
      </c>
      <c r="S3783" t="s">
        <v>145</v>
      </c>
      <c r="U3783">
        <v>2</v>
      </c>
      <c r="V3783" t="s">
        <v>541</v>
      </c>
      <c r="W3783" t="s">
        <v>542</v>
      </c>
      <c r="X3783" s="784">
        <v>9151637.7411015611</v>
      </c>
    </row>
    <row r="3784" spans="1:24">
      <c r="A3784" t="s">
        <v>358</v>
      </c>
      <c r="B3784" t="s">
        <v>608</v>
      </c>
      <c r="C3784" t="s">
        <v>213</v>
      </c>
      <c r="D3784" t="s">
        <v>130</v>
      </c>
      <c r="E3784" t="s">
        <v>377</v>
      </c>
      <c r="F3784" t="s">
        <v>384</v>
      </c>
      <c r="G3784" t="s">
        <v>58</v>
      </c>
      <c r="H3784" t="s">
        <v>58</v>
      </c>
      <c r="I3784" t="s">
        <v>743</v>
      </c>
      <c r="J3784" t="s">
        <v>379</v>
      </c>
      <c r="K3784" t="s">
        <v>546</v>
      </c>
      <c r="L3784" s="784">
        <v>705800</v>
      </c>
      <c r="M3784" t="s">
        <v>745</v>
      </c>
      <c r="P3784" t="s">
        <v>1887</v>
      </c>
      <c r="R3784" t="s">
        <v>152</v>
      </c>
      <c r="S3784" t="s">
        <v>145</v>
      </c>
      <c r="U3784">
        <v>0</v>
      </c>
      <c r="V3784" t="s">
        <v>541</v>
      </c>
      <c r="W3784" t="s">
        <v>562</v>
      </c>
      <c r="X3784" s="784">
        <v>142455920.02856269</v>
      </c>
    </row>
    <row r="3785" spans="1:24">
      <c r="A3785" t="s">
        <v>358</v>
      </c>
      <c r="B3785" t="s">
        <v>609</v>
      </c>
      <c r="C3785" t="s">
        <v>214</v>
      </c>
      <c r="D3785" t="s">
        <v>130</v>
      </c>
      <c r="E3785" t="s">
        <v>377</v>
      </c>
      <c r="F3785" t="s">
        <v>384</v>
      </c>
      <c r="G3785" t="s">
        <v>58</v>
      </c>
      <c r="H3785" t="s">
        <v>58</v>
      </c>
      <c r="I3785" t="s">
        <v>743</v>
      </c>
      <c r="J3785" t="s">
        <v>379</v>
      </c>
      <c r="K3785" t="s">
        <v>546</v>
      </c>
      <c r="L3785" s="784">
        <v>2650000</v>
      </c>
      <c r="M3785" t="s">
        <v>745</v>
      </c>
      <c r="P3785" t="s">
        <v>1887</v>
      </c>
      <c r="R3785" t="s">
        <v>150</v>
      </c>
      <c r="S3785" t="s">
        <v>145</v>
      </c>
      <c r="U3785">
        <v>1</v>
      </c>
      <c r="V3785" t="s">
        <v>541</v>
      </c>
      <c r="W3785" t="s">
        <v>542</v>
      </c>
      <c r="X3785" s="784">
        <v>85611818.171245083</v>
      </c>
    </row>
    <row r="3786" spans="1:24">
      <c r="A3786" t="s">
        <v>358</v>
      </c>
      <c r="B3786" t="s">
        <v>610</v>
      </c>
      <c r="C3786" t="s">
        <v>215</v>
      </c>
      <c r="D3786" t="s">
        <v>130</v>
      </c>
      <c r="E3786" t="s">
        <v>377</v>
      </c>
      <c r="F3786" t="s">
        <v>384</v>
      </c>
      <c r="G3786" t="s">
        <v>58</v>
      </c>
      <c r="H3786" t="s">
        <v>58</v>
      </c>
      <c r="I3786" t="s">
        <v>743</v>
      </c>
      <c r="J3786" t="s">
        <v>379</v>
      </c>
      <c r="K3786" t="s">
        <v>546</v>
      </c>
      <c r="L3786" s="784">
        <v>4652400</v>
      </c>
      <c r="M3786" t="s">
        <v>745</v>
      </c>
      <c r="P3786" t="s">
        <v>1887</v>
      </c>
      <c r="R3786" t="s">
        <v>150</v>
      </c>
      <c r="S3786" t="s">
        <v>145</v>
      </c>
      <c r="U3786">
        <v>0</v>
      </c>
      <c r="V3786" t="s">
        <v>544</v>
      </c>
      <c r="W3786" t="s">
        <v>558</v>
      </c>
      <c r="X3786" s="784">
        <v>680289736.30082119</v>
      </c>
    </row>
    <row r="3787" spans="1:24">
      <c r="A3787" t="s">
        <v>358</v>
      </c>
      <c r="B3787" t="s">
        <v>611</v>
      </c>
      <c r="C3787" t="s">
        <v>216</v>
      </c>
      <c r="D3787" t="s">
        <v>132</v>
      </c>
      <c r="E3787" t="s">
        <v>377</v>
      </c>
      <c r="F3787" t="s">
        <v>384</v>
      </c>
      <c r="G3787" t="s">
        <v>58</v>
      </c>
      <c r="H3787" t="s">
        <v>58</v>
      </c>
      <c r="I3787" t="s">
        <v>743</v>
      </c>
      <c r="J3787" t="s">
        <v>379</v>
      </c>
      <c r="K3787" t="s">
        <v>546</v>
      </c>
      <c r="L3787" s="784">
        <v>36840139</v>
      </c>
      <c r="M3787" t="s">
        <v>745</v>
      </c>
      <c r="P3787" t="s">
        <v>1887</v>
      </c>
      <c r="R3787" t="s">
        <v>150</v>
      </c>
      <c r="S3787" t="s">
        <v>145</v>
      </c>
      <c r="U3787">
        <v>0</v>
      </c>
      <c r="V3787" t="s">
        <v>544</v>
      </c>
      <c r="W3787" t="s">
        <v>546</v>
      </c>
      <c r="X3787" s="784">
        <v>26554332750.47023</v>
      </c>
    </row>
    <row r="3788" spans="1:24">
      <c r="A3788" t="s">
        <v>358</v>
      </c>
      <c r="B3788" t="s">
        <v>612</v>
      </c>
      <c r="C3788" t="s">
        <v>217</v>
      </c>
      <c r="D3788" t="s">
        <v>126</v>
      </c>
      <c r="E3788" t="s">
        <v>377</v>
      </c>
      <c r="F3788" t="s">
        <v>384</v>
      </c>
      <c r="G3788" t="s">
        <v>58</v>
      </c>
      <c r="H3788" t="s">
        <v>58</v>
      </c>
      <c r="I3788" t="s">
        <v>743</v>
      </c>
      <c r="J3788" t="s">
        <v>379</v>
      </c>
      <c r="K3788" t="s">
        <v>546</v>
      </c>
      <c r="L3788" s="784">
        <v>13950000</v>
      </c>
      <c r="M3788" t="s">
        <v>745</v>
      </c>
      <c r="P3788" t="s">
        <v>1887</v>
      </c>
      <c r="R3788" t="s">
        <v>150</v>
      </c>
      <c r="S3788" t="s">
        <v>145</v>
      </c>
      <c r="U3788">
        <v>0</v>
      </c>
      <c r="V3788" t="s">
        <v>544</v>
      </c>
      <c r="W3788" t="s">
        <v>546</v>
      </c>
      <c r="X3788" s="784">
        <v>14745961064.890842</v>
      </c>
    </row>
    <row r="3789" spans="1:24">
      <c r="A3789" t="s">
        <v>358</v>
      </c>
      <c r="B3789" t="s">
        <v>613</v>
      </c>
      <c r="C3789" t="s">
        <v>149</v>
      </c>
      <c r="D3789" t="s">
        <v>131</v>
      </c>
      <c r="E3789" t="s">
        <v>377</v>
      </c>
      <c r="F3789" t="s">
        <v>384</v>
      </c>
      <c r="G3789" t="s">
        <v>58</v>
      </c>
      <c r="H3789" t="s">
        <v>58</v>
      </c>
      <c r="I3789" t="s">
        <v>743</v>
      </c>
      <c r="J3789" t="s">
        <v>379</v>
      </c>
      <c r="K3789" t="s">
        <v>546</v>
      </c>
      <c r="L3789" s="784" t="s">
        <v>575</v>
      </c>
      <c r="M3789" t="s">
        <v>745</v>
      </c>
      <c r="P3789" t="s">
        <v>1887</v>
      </c>
      <c r="R3789" t="s">
        <v>150</v>
      </c>
      <c r="S3789" t="s">
        <v>146</v>
      </c>
      <c r="U3789">
        <v>0</v>
      </c>
      <c r="V3789" t="s">
        <v>544</v>
      </c>
      <c r="W3789" t="s">
        <v>546</v>
      </c>
      <c r="X3789" s="784">
        <v>18194076299.786381</v>
      </c>
    </row>
    <row r="3790" spans="1:24">
      <c r="A3790" t="s">
        <v>358</v>
      </c>
      <c r="B3790" t="s">
        <v>614</v>
      </c>
      <c r="C3790" t="s">
        <v>218</v>
      </c>
      <c r="D3790" t="s">
        <v>131</v>
      </c>
      <c r="E3790" t="s">
        <v>377</v>
      </c>
      <c r="F3790" t="s">
        <v>384</v>
      </c>
      <c r="G3790" t="s">
        <v>58</v>
      </c>
      <c r="H3790" t="s">
        <v>58</v>
      </c>
      <c r="I3790" t="s">
        <v>743</v>
      </c>
      <c r="J3790" t="s">
        <v>379</v>
      </c>
      <c r="K3790" t="s">
        <v>546</v>
      </c>
      <c r="L3790" s="784">
        <v>1534768</v>
      </c>
      <c r="M3790" t="s">
        <v>745</v>
      </c>
      <c r="P3790" t="s">
        <v>1887</v>
      </c>
      <c r="R3790" t="s">
        <v>152</v>
      </c>
      <c r="S3790" t="s">
        <v>146</v>
      </c>
      <c r="U3790">
        <v>0</v>
      </c>
      <c r="V3790" t="s">
        <v>544</v>
      </c>
      <c r="W3790" t="s">
        <v>546</v>
      </c>
      <c r="X3790" s="784">
        <v>4428819387.769825</v>
      </c>
    </row>
    <row r="3791" spans="1:24">
      <c r="A3791" t="s">
        <v>358</v>
      </c>
      <c r="B3791" t="s">
        <v>615</v>
      </c>
      <c r="C3791" t="s">
        <v>219</v>
      </c>
      <c r="D3791" t="s">
        <v>130</v>
      </c>
      <c r="E3791" t="s">
        <v>377</v>
      </c>
      <c r="F3791" t="s">
        <v>384</v>
      </c>
      <c r="G3791" t="s">
        <v>58</v>
      </c>
      <c r="H3791" t="s">
        <v>58</v>
      </c>
      <c r="I3791" t="s">
        <v>743</v>
      </c>
      <c r="J3791" t="s">
        <v>379</v>
      </c>
      <c r="K3791" t="s">
        <v>546</v>
      </c>
      <c r="L3791" s="784">
        <v>3450000</v>
      </c>
      <c r="M3791" t="s">
        <v>745</v>
      </c>
      <c r="P3791" t="s">
        <v>1887</v>
      </c>
      <c r="R3791" t="s">
        <v>152</v>
      </c>
      <c r="S3791" t="s">
        <v>146</v>
      </c>
      <c r="U3791">
        <v>0</v>
      </c>
      <c r="V3791" t="s">
        <v>541</v>
      </c>
      <c r="W3791" t="s">
        <v>575</v>
      </c>
      <c r="X3791" s="784">
        <v>611739560.62679195</v>
      </c>
    </row>
    <row r="3792" spans="1:24">
      <c r="A3792" t="s">
        <v>358</v>
      </c>
      <c r="B3792" t="s">
        <v>616</v>
      </c>
      <c r="C3792" t="s">
        <v>220</v>
      </c>
      <c r="D3792" t="s">
        <v>131</v>
      </c>
      <c r="E3792" t="s">
        <v>377</v>
      </c>
      <c r="F3792" t="s">
        <v>384</v>
      </c>
      <c r="G3792" t="s">
        <v>58</v>
      </c>
      <c r="H3792" t="s">
        <v>58</v>
      </c>
      <c r="I3792" t="s">
        <v>743</v>
      </c>
      <c r="J3792" t="s">
        <v>379</v>
      </c>
      <c r="K3792" t="s">
        <v>546</v>
      </c>
      <c r="L3792" s="784">
        <v>2979126</v>
      </c>
      <c r="M3792" t="s">
        <v>745</v>
      </c>
      <c r="P3792" t="s">
        <v>1887</v>
      </c>
      <c r="R3792" t="s">
        <v>152</v>
      </c>
      <c r="S3792" t="s">
        <v>146</v>
      </c>
      <c r="U3792">
        <v>0</v>
      </c>
      <c r="V3792" t="s">
        <v>544</v>
      </c>
      <c r="W3792" t="s">
        <v>546</v>
      </c>
      <c r="X3792" s="784">
        <v>1617913383.0481031</v>
      </c>
    </row>
    <row r="3793" spans="1:24">
      <c r="A3793" t="s">
        <v>358</v>
      </c>
      <c r="B3793" t="s">
        <v>617</v>
      </c>
      <c r="C3793" t="s">
        <v>221</v>
      </c>
      <c r="D3793" t="s">
        <v>127</v>
      </c>
      <c r="E3793" t="s">
        <v>377</v>
      </c>
      <c r="F3793" t="s">
        <v>384</v>
      </c>
      <c r="G3793" t="s">
        <v>58</v>
      </c>
      <c r="H3793" t="s">
        <v>58</v>
      </c>
      <c r="I3793" t="s">
        <v>743</v>
      </c>
      <c r="J3793" t="s">
        <v>379</v>
      </c>
      <c r="K3793" t="s">
        <v>546</v>
      </c>
      <c r="L3793" s="784">
        <v>2450000</v>
      </c>
      <c r="M3793" t="s">
        <v>745</v>
      </c>
      <c r="P3793" t="s">
        <v>1887</v>
      </c>
      <c r="R3793" t="s">
        <v>152</v>
      </c>
      <c r="S3793" t="s">
        <v>146</v>
      </c>
      <c r="U3793">
        <v>0</v>
      </c>
      <c r="V3793" t="s">
        <v>544</v>
      </c>
      <c r="W3793" t="s">
        <v>575</v>
      </c>
      <c r="X3793" s="784">
        <v>3074419112.4562683</v>
      </c>
    </row>
    <row r="3794" spans="1:24">
      <c r="A3794" t="s">
        <v>358</v>
      </c>
      <c r="B3794" t="s">
        <v>618</v>
      </c>
      <c r="C3794" t="s">
        <v>222</v>
      </c>
      <c r="D3794" t="s">
        <v>128</v>
      </c>
      <c r="E3794" t="s">
        <v>377</v>
      </c>
      <c r="F3794" t="s">
        <v>384</v>
      </c>
      <c r="G3794" t="s">
        <v>58</v>
      </c>
      <c r="H3794" t="s">
        <v>58</v>
      </c>
      <c r="I3794" t="s">
        <v>743</v>
      </c>
      <c r="J3794" t="s">
        <v>379</v>
      </c>
      <c r="K3794" t="s">
        <v>546</v>
      </c>
      <c r="L3794" s="784">
        <v>3850000</v>
      </c>
      <c r="M3794" t="s">
        <v>745</v>
      </c>
      <c r="P3794" t="s">
        <v>1887</v>
      </c>
      <c r="R3794" t="s">
        <v>150</v>
      </c>
      <c r="S3794" t="s">
        <v>145</v>
      </c>
      <c r="U3794">
        <v>0</v>
      </c>
      <c r="V3794" t="s">
        <v>544</v>
      </c>
      <c r="W3794" t="s">
        <v>542</v>
      </c>
      <c r="X3794" s="784">
        <v>1914014279.8929913</v>
      </c>
    </row>
    <row r="3795" spans="1:24">
      <c r="A3795" t="s">
        <v>358</v>
      </c>
      <c r="B3795" t="s">
        <v>619</v>
      </c>
      <c r="C3795" t="s">
        <v>223</v>
      </c>
      <c r="D3795" t="s">
        <v>126</v>
      </c>
      <c r="E3795" t="s">
        <v>377</v>
      </c>
      <c r="F3795" t="s">
        <v>384</v>
      </c>
      <c r="G3795" t="s">
        <v>58</v>
      </c>
      <c r="H3795" t="s">
        <v>58</v>
      </c>
      <c r="I3795" t="s">
        <v>743</v>
      </c>
      <c r="J3795" t="s">
        <v>379</v>
      </c>
      <c r="K3795" t="s">
        <v>546</v>
      </c>
      <c r="L3795" s="784" t="s">
        <v>575</v>
      </c>
      <c r="M3795" t="s">
        <v>745</v>
      </c>
      <c r="P3795" t="s">
        <v>1887</v>
      </c>
      <c r="R3795" t="s">
        <v>150</v>
      </c>
      <c r="S3795" t="s">
        <v>145</v>
      </c>
      <c r="U3795">
        <v>0</v>
      </c>
      <c r="V3795" t="s">
        <v>541</v>
      </c>
      <c r="W3795" t="s">
        <v>542</v>
      </c>
      <c r="X3795" s="784">
        <v>17422005.762907442</v>
      </c>
    </row>
    <row r="3796" spans="1:24">
      <c r="A3796" t="s">
        <v>358</v>
      </c>
      <c r="B3796" t="s">
        <v>620</v>
      </c>
      <c r="C3796" t="s">
        <v>224</v>
      </c>
      <c r="D3796" t="s">
        <v>126</v>
      </c>
      <c r="E3796" t="s">
        <v>377</v>
      </c>
      <c r="F3796" t="s">
        <v>384</v>
      </c>
      <c r="G3796" t="s">
        <v>58</v>
      </c>
      <c r="H3796" t="s">
        <v>58</v>
      </c>
      <c r="I3796" t="s">
        <v>743</v>
      </c>
      <c r="J3796" t="s">
        <v>379</v>
      </c>
      <c r="K3796" t="s">
        <v>546</v>
      </c>
      <c r="L3796" s="784" t="s">
        <v>575</v>
      </c>
      <c r="M3796" t="s">
        <v>745</v>
      </c>
      <c r="P3796" t="s">
        <v>1887</v>
      </c>
      <c r="R3796" t="s">
        <v>148</v>
      </c>
      <c r="S3796" t="s">
        <v>145</v>
      </c>
      <c r="U3796">
        <v>0</v>
      </c>
      <c r="V3796" t="s">
        <v>544</v>
      </c>
      <c r="W3796" t="s">
        <v>546</v>
      </c>
      <c r="X3796" s="784" t="s">
        <v>575</v>
      </c>
    </row>
    <row r="3797" spans="1:24">
      <c r="A3797" t="s">
        <v>358</v>
      </c>
      <c r="B3797" t="s">
        <v>621</v>
      </c>
      <c r="C3797" t="s">
        <v>225</v>
      </c>
      <c r="D3797" t="s">
        <v>127</v>
      </c>
      <c r="E3797" t="s">
        <v>377</v>
      </c>
      <c r="F3797" t="s">
        <v>384</v>
      </c>
      <c r="G3797" t="s">
        <v>58</v>
      </c>
      <c r="H3797" t="s">
        <v>58</v>
      </c>
      <c r="I3797" t="s">
        <v>743</v>
      </c>
      <c r="J3797" t="s">
        <v>379</v>
      </c>
      <c r="K3797" t="s">
        <v>546</v>
      </c>
      <c r="L3797" s="784">
        <v>2500000</v>
      </c>
      <c r="M3797" t="s">
        <v>745</v>
      </c>
      <c r="P3797" t="s">
        <v>1887</v>
      </c>
      <c r="R3797" t="s">
        <v>152</v>
      </c>
      <c r="S3797" t="s">
        <v>145</v>
      </c>
      <c r="U3797">
        <v>0</v>
      </c>
      <c r="V3797" t="s">
        <v>544</v>
      </c>
      <c r="W3797" t="s">
        <v>548</v>
      </c>
      <c r="X3797" s="784" t="s">
        <v>575</v>
      </c>
    </row>
    <row r="3798" spans="1:24">
      <c r="A3798" t="s">
        <v>358</v>
      </c>
      <c r="B3798" t="s">
        <v>622</v>
      </c>
      <c r="C3798" t="s">
        <v>226</v>
      </c>
      <c r="D3798" t="s">
        <v>127</v>
      </c>
      <c r="E3798" t="s">
        <v>377</v>
      </c>
      <c r="F3798" t="s">
        <v>384</v>
      </c>
      <c r="G3798" t="s">
        <v>58</v>
      </c>
      <c r="H3798" t="s">
        <v>58</v>
      </c>
      <c r="I3798" t="s">
        <v>743</v>
      </c>
      <c r="J3798" t="s">
        <v>379</v>
      </c>
      <c r="K3798" t="s">
        <v>546</v>
      </c>
      <c r="L3798" s="784">
        <v>3000000</v>
      </c>
      <c r="M3798" t="s">
        <v>745</v>
      </c>
      <c r="P3798" t="s">
        <v>1887</v>
      </c>
      <c r="R3798" t="s">
        <v>150</v>
      </c>
      <c r="S3798" t="s">
        <v>145</v>
      </c>
      <c r="U3798">
        <v>2</v>
      </c>
      <c r="V3798" t="s">
        <v>544</v>
      </c>
      <c r="W3798" t="s">
        <v>562</v>
      </c>
      <c r="X3798" s="784">
        <v>231506834.84347546</v>
      </c>
    </row>
    <row r="3799" spans="1:24">
      <c r="A3799" t="s">
        <v>358</v>
      </c>
      <c r="B3799" t="s">
        <v>623</v>
      </c>
      <c r="C3799" t="s">
        <v>227</v>
      </c>
      <c r="D3799" t="s">
        <v>126</v>
      </c>
      <c r="E3799" t="s">
        <v>377</v>
      </c>
      <c r="F3799" t="s">
        <v>384</v>
      </c>
      <c r="G3799" t="s">
        <v>58</v>
      </c>
      <c r="H3799" t="s">
        <v>58</v>
      </c>
      <c r="I3799" t="s">
        <v>743</v>
      </c>
      <c r="J3799" t="s">
        <v>379</v>
      </c>
      <c r="K3799" t="s">
        <v>546</v>
      </c>
      <c r="L3799" s="784">
        <v>2900000</v>
      </c>
      <c r="M3799" t="s">
        <v>745</v>
      </c>
      <c r="P3799" t="s">
        <v>1887</v>
      </c>
      <c r="R3799" t="s">
        <v>150</v>
      </c>
      <c r="S3799" t="s">
        <v>145</v>
      </c>
      <c r="U3799">
        <v>0</v>
      </c>
      <c r="V3799" t="s">
        <v>544</v>
      </c>
      <c r="W3799" t="s">
        <v>542</v>
      </c>
      <c r="X3799" s="784">
        <v>156059428.62944782</v>
      </c>
    </row>
    <row r="3800" spans="1:24">
      <c r="A3800" t="s">
        <v>358</v>
      </c>
      <c r="B3800" t="s">
        <v>624</v>
      </c>
      <c r="C3800" t="s">
        <v>228</v>
      </c>
      <c r="D3800" t="s">
        <v>131</v>
      </c>
      <c r="E3800" t="s">
        <v>377</v>
      </c>
      <c r="F3800" t="s">
        <v>384</v>
      </c>
      <c r="G3800" t="s">
        <v>58</v>
      </c>
      <c r="H3800" t="s">
        <v>58</v>
      </c>
      <c r="I3800" t="s">
        <v>743</v>
      </c>
      <c r="J3800" t="s">
        <v>379</v>
      </c>
      <c r="K3800" t="s">
        <v>546</v>
      </c>
      <c r="L3800" s="784">
        <v>3150000</v>
      </c>
      <c r="M3800" t="s">
        <v>745</v>
      </c>
      <c r="P3800" t="s">
        <v>1887</v>
      </c>
      <c r="R3800" t="s">
        <v>152</v>
      </c>
      <c r="S3800" t="s">
        <v>146</v>
      </c>
      <c r="U3800">
        <v>0</v>
      </c>
      <c r="V3800" t="s">
        <v>544</v>
      </c>
      <c r="W3800" t="s">
        <v>546</v>
      </c>
      <c r="X3800" s="784">
        <v>2355391507.1635861</v>
      </c>
    </row>
    <row r="3801" spans="1:24">
      <c r="A3801" t="s">
        <v>358</v>
      </c>
      <c r="B3801" t="s">
        <v>625</v>
      </c>
      <c r="C3801" t="s">
        <v>229</v>
      </c>
      <c r="D3801" t="s">
        <v>128</v>
      </c>
      <c r="E3801" t="s">
        <v>377</v>
      </c>
      <c r="F3801" t="s">
        <v>384</v>
      </c>
      <c r="G3801" t="s">
        <v>58</v>
      </c>
      <c r="H3801" t="s">
        <v>58</v>
      </c>
      <c r="I3801" t="s">
        <v>743</v>
      </c>
      <c r="J3801" t="s">
        <v>379</v>
      </c>
      <c r="K3801" t="s">
        <v>546</v>
      </c>
      <c r="L3801" s="784">
        <v>1860000</v>
      </c>
      <c r="M3801" t="s">
        <v>745</v>
      </c>
      <c r="P3801" t="s">
        <v>1887</v>
      </c>
      <c r="R3801" t="s">
        <v>150</v>
      </c>
      <c r="S3801" t="s">
        <v>145</v>
      </c>
      <c r="U3801">
        <v>0</v>
      </c>
      <c r="V3801" t="s">
        <v>544</v>
      </c>
      <c r="W3801" t="s">
        <v>562</v>
      </c>
      <c r="X3801" s="784">
        <v>152760919.7684873</v>
      </c>
    </row>
    <row r="3802" spans="1:24">
      <c r="A3802" t="s">
        <v>358</v>
      </c>
      <c r="B3802" t="s">
        <v>626</v>
      </c>
      <c r="C3802" t="s">
        <v>230</v>
      </c>
      <c r="D3802" t="s">
        <v>129</v>
      </c>
      <c r="E3802" t="s">
        <v>377</v>
      </c>
      <c r="F3802" t="s">
        <v>384</v>
      </c>
      <c r="G3802" t="s">
        <v>58</v>
      </c>
      <c r="H3802" t="s">
        <v>58</v>
      </c>
      <c r="I3802" t="s">
        <v>743</v>
      </c>
      <c r="J3802" t="s">
        <v>379</v>
      </c>
      <c r="K3802" t="s">
        <v>546</v>
      </c>
      <c r="L3802" s="784">
        <v>1900000</v>
      </c>
      <c r="M3802" t="s">
        <v>745</v>
      </c>
      <c r="P3802" t="s">
        <v>1887</v>
      </c>
      <c r="R3802" t="s">
        <v>148</v>
      </c>
      <c r="S3802" t="s">
        <v>145</v>
      </c>
      <c r="U3802">
        <v>0</v>
      </c>
      <c r="V3802" t="s">
        <v>544</v>
      </c>
      <c r="W3802" t="s">
        <v>542</v>
      </c>
      <c r="X3802" s="784">
        <v>55072006.864440605</v>
      </c>
    </row>
    <row r="3803" spans="1:24">
      <c r="A3803" t="s">
        <v>358</v>
      </c>
      <c r="B3803" t="s">
        <v>627</v>
      </c>
      <c r="C3803" t="s">
        <v>231</v>
      </c>
      <c r="D3803" t="s">
        <v>131</v>
      </c>
      <c r="E3803" t="s">
        <v>377</v>
      </c>
      <c r="F3803" t="s">
        <v>384</v>
      </c>
      <c r="G3803" t="s">
        <v>58</v>
      </c>
      <c r="H3803" t="s">
        <v>58</v>
      </c>
      <c r="I3803" t="s">
        <v>743</v>
      </c>
      <c r="J3803" t="s">
        <v>379</v>
      </c>
      <c r="K3803" t="s">
        <v>546</v>
      </c>
      <c r="L3803" s="784">
        <v>1716264</v>
      </c>
      <c r="M3803" t="s">
        <v>745</v>
      </c>
      <c r="P3803" t="s">
        <v>1887</v>
      </c>
      <c r="R3803" t="s">
        <v>152</v>
      </c>
      <c r="S3803" t="s">
        <v>146</v>
      </c>
      <c r="U3803">
        <v>0</v>
      </c>
      <c r="V3803" t="s">
        <v>544</v>
      </c>
      <c r="W3803" t="s">
        <v>546</v>
      </c>
      <c r="X3803" s="784" t="s">
        <v>575</v>
      </c>
    </row>
    <row r="3804" spans="1:24">
      <c r="A3804" t="s">
        <v>358</v>
      </c>
      <c r="B3804" t="s">
        <v>628</v>
      </c>
      <c r="C3804" t="s">
        <v>232</v>
      </c>
      <c r="D3804" t="s">
        <v>128</v>
      </c>
      <c r="E3804" t="s">
        <v>377</v>
      </c>
      <c r="F3804" t="s">
        <v>384</v>
      </c>
      <c r="G3804" t="s">
        <v>58</v>
      </c>
      <c r="H3804" t="s">
        <v>58</v>
      </c>
      <c r="I3804" t="s">
        <v>743</v>
      </c>
      <c r="J3804" t="s">
        <v>379</v>
      </c>
      <c r="K3804" t="s">
        <v>546</v>
      </c>
      <c r="L3804" s="784">
        <v>2650000</v>
      </c>
      <c r="M3804" t="s">
        <v>745</v>
      </c>
      <c r="P3804" t="s">
        <v>1887</v>
      </c>
      <c r="R3804" t="s">
        <v>148</v>
      </c>
      <c r="S3804" t="s">
        <v>145</v>
      </c>
      <c r="U3804">
        <v>2</v>
      </c>
      <c r="V3804" t="s">
        <v>544</v>
      </c>
      <c r="W3804" t="s">
        <v>562</v>
      </c>
      <c r="X3804" s="784">
        <v>206914157.05429548</v>
      </c>
    </row>
    <row r="3805" spans="1:24">
      <c r="A3805" t="s">
        <v>358</v>
      </c>
      <c r="B3805" t="s">
        <v>629</v>
      </c>
      <c r="C3805" t="s">
        <v>233</v>
      </c>
      <c r="D3805" t="s">
        <v>128</v>
      </c>
      <c r="E3805" t="s">
        <v>377</v>
      </c>
      <c r="F3805" t="s">
        <v>384</v>
      </c>
      <c r="G3805" t="s">
        <v>58</v>
      </c>
      <c r="H3805" t="s">
        <v>58</v>
      </c>
      <c r="I3805" t="s">
        <v>743</v>
      </c>
      <c r="J3805" t="s">
        <v>379</v>
      </c>
      <c r="K3805" t="s">
        <v>546</v>
      </c>
      <c r="L3805" s="784" t="s">
        <v>575</v>
      </c>
      <c r="M3805" t="s">
        <v>745</v>
      </c>
      <c r="P3805" t="s">
        <v>1887</v>
      </c>
      <c r="R3805" t="s">
        <v>148</v>
      </c>
      <c r="S3805" t="s">
        <v>145</v>
      </c>
      <c r="U3805">
        <v>2</v>
      </c>
      <c r="V3805" t="s">
        <v>544</v>
      </c>
      <c r="W3805" t="s">
        <v>542</v>
      </c>
      <c r="X3805" s="784">
        <v>185999915.02066413</v>
      </c>
    </row>
    <row r="3806" spans="1:24">
      <c r="A3806" t="s">
        <v>358</v>
      </c>
      <c r="B3806" t="s">
        <v>630</v>
      </c>
      <c r="C3806" t="s">
        <v>234</v>
      </c>
      <c r="D3806" t="s">
        <v>126</v>
      </c>
      <c r="E3806" t="s">
        <v>377</v>
      </c>
      <c r="F3806" t="s">
        <v>384</v>
      </c>
      <c r="G3806" t="s">
        <v>58</v>
      </c>
      <c r="H3806" t="s">
        <v>58</v>
      </c>
      <c r="I3806" t="s">
        <v>743</v>
      </c>
      <c r="J3806" t="s">
        <v>379</v>
      </c>
      <c r="K3806" t="s">
        <v>546</v>
      </c>
      <c r="L3806" s="784">
        <v>218600</v>
      </c>
      <c r="M3806" t="s">
        <v>745</v>
      </c>
      <c r="P3806" t="s">
        <v>1887</v>
      </c>
      <c r="R3806" t="s">
        <v>152</v>
      </c>
      <c r="S3806" t="s">
        <v>146</v>
      </c>
      <c r="U3806">
        <v>0</v>
      </c>
      <c r="V3806" t="s">
        <v>544</v>
      </c>
      <c r="W3806" t="s">
        <v>575</v>
      </c>
      <c r="X3806" s="784">
        <v>6893755763.2501726</v>
      </c>
    </row>
    <row r="3807" spans="1:24">
      <c r="A3807" t="s">
        <v>358</v>
      </c>
      <c r="B3807" t="s">
        <v>631</v>
      </c>
      <c r="C3807" t="s">
        <v>235</v>
      </c>
      <c r="D3807" t="s">
        <v>132</v>
      </c>
      <c r="E3807" t="s">
        <v>377</v>
      </c>
      <c r="F3807" t="s">
        <v>384</v>
      </c>
      <c r="G3807" t="s">
        <v>58</v>
      </c>
      <c r="H3807" t="s">
        <v>58</v>
      </c>
      <c r="I3807" t="s">
        <v>743</v>
      </c>
      <c r="J3807" t="s">
        <v>379</v>
      </c>
      <c r="K3807" t="s">
        <v>546</v>
      </c>
      <c r="L3807" s="784">
        <v>1000000</v>
      </c>
      <c r="M3807" t="s">
        <v>745</v>
      </c>
      <c r="P3807" t="s">
        <v>1887</v>
      </c>
      <c r="R3807" t="s">
        <v>152</v>
      </c>
      <c r="S3807" t="s">
        <v>145</v>
      </c>
      <c r="U3807">
        <v>0</v>
      </c>
      <c r="V3807" t="s">
        <v>541</v>
      </c>
      <c r="W3807" t="s">
        <v>542</v>
      </c>
      <c r="X3807" s="784">
        <v>354560231.58276606</v>
      </c>
    </row>
    <row r="3808" spans="1:24">
      <c r="A3808" t="s">
        <v>358</v>
      </c>
      <c r="B3808" t="s">
        <v>632</v>
      </c>
      <c r="C3808" t="s">
        <v>236</v>
      </c>
      <c r="D3808" t="s">
        <v>129</v>
      </c>
      <c r="E3808" t="s">
        <v>377</v>
      </c>
      <c r="F3808" t="s">
        <v>384</v>
      </c>
      <c r="G3808" t="s">
        <v>58</v>
      </c>
      <c r="H3808" t="s">
        <v>58</v>
      </c>
      <c r="I3808" t="s">
        <v>743</v>
      </c>
      <c r="J3808" t="s">
        <v>379</v>
      </c>
      <c r="K3808" t="s">
        <v>546</v>
      </c>
      <c r="L3808" s="784">
        <v>3100000</v>
      </c>
      <c r="M3808" t="s">
        <v>745</v>
      </c>
      <c r="P3808" t="s">
        <v>1887</v>
      </c>
      <c r="R3808" t="s">
        <v>148</v>
      </c>
      <c r="S3808" t="s">
        <v>145</v>
      </c>
      <c r="U3808">
        <v>1</v>
      </c>
      <c r="V3808" t="s">
        <v>544</v>
      </c>
      <c r="W3808" t="s">
        <v>562</v>
      </c>
      <c r="X3808" s="784">
        <v>188169167.56540567</v>
      </c>
    </row>
    <row r="3809" spans="1:24">
      <c r="A3809" t="s">
        <v>358</v>
      </c>
      <c r="B3809" t="s">
        <v>633</v>
      </c>
      <c r="C3809" t="s">
        <v>237</v>
      </c>
      <c r="D3809" t="s">
        <v>126</v>
      </c>
      <c r="E3809" t="s">
        <v>377</v>
      </c>
      <c r="F3809" t="s">
        <v>384</v>
      </c>
      <c r="G3809" t="s">
        <v>58</v>
      </c>
      <c r="H3809" t="s">
        <v>58</v>
      </c>
      <c r="I3809" t="s">
        <v>743</v>
      </c>
      <c r="J3809" t="s">
        <v>379</v>
      </c>
      <c r="K3809" t="s">
        <v>546</v>
      </c>
      <c r="L3809" s="784" t="s">
        <v>575</v>
      </c>
      <c r="M3809" t="s">
        <v>745</v>
      </c>
      <c r="P3809" t="s">
        <v>1887</v>
      </c>
      <c r="R3809" t="s">
        <v>152</v>
      </c>
      <c r="S3809" t="s">
        <v>145</v>
      </c>
      <c r="U3809">
        <v>0</v>
      </c>
      <c r="V3809" t="s">
        <v>541</v>
      </c>
      <c r="W3809" t="s">
        <v>575</v>
      </c>
      <c r="X3809" s="784">
        <v>16312106.556340856</v>
      </c>
    </row>
    <row r="3810" spans="1:24">
      <c r="A3810" t="s">
        <v>358</v>
      </c>
      <c r="B3810" t="s">
        <v>634</v>
      </c>
      <c r="C3810" t="s">
        <v>238</v>
      </c>
      <c r="D3810" t="s">
        <v>129</v>
      </c>
      <c r="E3810" t="s">
        <v>377</v>
      </c>
      <c r="F3810" t="s">
        <v>384</v>
      </c>
      <c r="G3810" t="s">
        <v>58</v>
      </c>
      <c r="H3810" t="s">
        <v>58</v>
      </c>
      <c r="I3810" t="s">
        <v>743</v>
      </c>
      <c r="J3810" t="s">
        <v>379</v>
      </c>
      <c r="K3810" t="s">
        <v>546</v>
      </c>
      <c r="L3810" s="784">
        <v>862839</v>
      </c>
      <c r="M3810" t="s">
        <v>745</v>
      </c>
      <c r="P3810" t="s">
        <v>1887</v>
      </c>
      <c r="R3810" t="s">
        <v>150</v>
      </c>
      <c r="S3810" t="s">
        <v>145</v>
      </c>
      <c r="U3810">
        <v>2</v>
      </c>
      <c r="V3810" t="s">
        <v>544</v>
      </c>
      <c r="W3810" t="s">
        <v>542</v>
      </c>
      <c r="X3810" s="784">
        <v>86083833.534053758</v>
      </c>
    </row>
    <row r="3811" spans="1:24">
      <c r="A3811" t="s">
        <v>358</v>
      </c>
      <c r="B3811" t="s">
        <v>635</v>
      </c>
      <c r="C3811" t="s">
        <v>239</v>
      </c>
      <c r="D3811" t="s">
        <v>128</v>
      </c>
      <c r="E3811" t="s">
        <v>377</v>
      </c>
      <c r="F3811" t="s">
        <v>384</v>
      </c>
      <c r="G3811" t="s">
        <v>58</v>
      </c>
      <c r="H3811" t="s">
        <v>58</v>
      </c>
      <c r="I3811" t="s">
        <v>743</v>
      </c>
      <c r="J3811" t="s">
        <v>379</v>
      </c>
      <c r="K3811" t="s">
        <v>546</v>
      </c>
      <c r="L3811" s="784">
        <v>250000</v>
      </c>
      <c r="M3811" t="s">
        <v>745</v>
      </c>
      <c r="P3811" t="s">
        <v>1887</v>
      </c>
      <c r="R3811" t="s">
        <v>152</v>
      </c>
      <c r="S3811" t="s">
        <v>146</v>
      </c>
      <c r="U3811">
        <v>0</v>
      </c>
      <c r="V3811" t="s">
        <v>541</v>
      </c>
      <c r="W3811" t="s">
        <v>546</v>
      </c>
      <c r="X3811" s="784">
        <v>357220835.93762809</v>
      </c>
    </row>
    <row r="3812" spans="1:24">
      <c r="A3812" t="s">
        <v>358</v>
      </c>
      <c r="B3812" t="s">
        <v>636</v>
      </c>
      <c r="C3812" t="s">
        <v>240</v>
      </c>
      <c r="D3812" t="s">
        <v>130</v>
      </c>
      <c r="E3812" t="s">
        <v>377</v>
      </c>
      <c r="F3812" t="s">
        <v>384</v>
      </c>
      <c r="G3812" t="s">
        <v>58</v>
      </c>
      <c r="H3812" t="s">
        <v>58</v>
      </c>
      <c r="I3812" t="s">
        <v>743</v>
      </c>
      <c r="J3812" t="s">
        <v>379</v>
      </c>
      <c r="K3812" t="s">
        <v>546</v>
      </c>
      <c r="L3812" s="784" t="s">
        <v>575</v>
      </c>
      <c r="M3812" t="s">
        <v>745</v>
      </c>
      <c r="P3812" t="s">
        <v>1887</v>
      </c>
      <c r="R3812" t="s">
        <v>152</v>
      </c>
      <c r="S3812" t="s">
        <v>146</v>
      </c>
      <c r="U3812">
        <v>0</v>
      </c>
      <c r="V3812" t="s">
        <v>544</v>
      </c>
      <c r="W3812" t="s">
        <v>575</v>
      </c>
      <c r="X3812" s="784">
        <v>32831598153.796387</v>
      </c>
    </row>
    <row r="3813" spans="1:24">
      <c r="A3813" t="s">
        <v>358</v>
      </c>
      <c r="B3813" t="s">
        <v>637</v>
      </c>
      <c r="C3813" t="s">
        <v>241</v>
      </c>
      <c r="D3813" t="s">
        <v>126</v>
      </c>
      <c r="E3813" t="s">
        <v>377</v>
      </c>
      <c r="F3813" t="s">
        <v>384</v>
      </c>
      <c r="G3813" t="s">
        <v>58</v>
      </c>
      <c r="H3813" t="s">
        <v>58</v>
      </c>
      <c r="I3813" t="s">
        <v>743</v>
      </c>
      <c r="J3813" t="s">
        <v>379</v>
      </c>
      <c r="K3813" t="s">
        <v>546</v>
      </c>
      <c r="L3813" s="784" t="s">
        <v>575</v>
      </c>
      <c r="M3813" t="s">
        <v>745</v>
      </c>
      <c r="P3813" t="s">
        <v>1887</v>
      </c>
      <c r="R3813" t="s">
        <v>150</v>
      </c>
      <c r="S3813" t="s">
        <v>145</v>
      </c>
      <c r="U3813">
        <v>0</v>
      </c>
      <c r="V3813" t="s">
        <v>541</v>
      </c>
      <c r="W3813" t="s">
        <v>542</v>
      </c>
      <c r="X3813" s="784">
        <v>12329056.093798399</v>
      </c>
    </row>
    <row r="3814" spans="1:24">
      <c r="A3814" t="s">
        <v>358</v>
      </c>
      <c r="B3814" t="s">
        <v>638</v>
      </c>
      <c r="C3814" t="s">
        <v>242</v>
      </c>
      <c r="D3814" t="s">
        <v>127</v>
      </c>
      <c r="E3814" t="s">
        <v>377</v>
      </c>
      <c r="F3814" t="s">
        <v>384</v>
      </c>
      <c r="G3814" t="s">
        <v>58</v>
      </c>
      <c r="H3814" t="s">
        <v>58</v>
      </c>
      <c r="I3814" t="s">
        <v>743</v>
      </c>
      <c r="J3814" t="s">
        <v>379</v>
      </c>
      <c r="K3814" t="s">
        <v>546</v>
      </c>
      <c r="L3814" s="784">
        <v>1900000</v>
      </c>
      <c r="M3814" t="s">
        <v>745</v>
      </c>
      <c r="P3814" t="s">
        <v>1887</v>
      </c>
      <c r="R3814" t="s">
        <v>152</v>
      </c>
      <c r="S3814" t="s">
        <v>145</v>
      </c>
      <c r="U3814">
        <v>0</v>
      </c>
      <c r="V3814" t="s">
        <v>544</v>
      </c>
      <c r="W3814" t="s">
        <v>558</v>
      </c>
      <c r="X3814" s="784">
        <v>426639742.85328001</v>
      </c>
    </row>
    <row r="3815" spans="1:24">
      <c r="A3815" t="s">
        <v>358</v>
      </c>
      <c r="B3815" t="s">
        <v>639</v>
      </c>
      <c r="C3815" t="s">
        <v>243</v>
      </c>
      <c r="D3815" t="s">
        <v>126</v>
      </c>
      <c r="E3815" t="s">
        <v>377</v>
      </c>
      <c r="F3815" t="s">
        <v>384</v>
      </c>
      <c r="G3815" t="s">
        <v>58</v>
      </c>
      <c r="H3815" t="s">
        <v>58</v>
      </c>
      <c r="I3815" t="s">
        <v>743</v>
      </c>
      <c r="J3815" t="s">
        <v>379</v>
      </c>
      <c r="K3815" t="s">
        <v>546</v>
      </c>
      <c r="L3815" s="784">
        <v>500000</v>
      </c>
      <c r="M3815" t="s">
        <v>745</v>
      </c>
      <c r="P3815" t="s">
        <v>1887</v>
      </c>
      <c r="R3815" t="s">
        <v>150</v>
      </c>
      <c r="S3815" t="s">
        <v>145</v>
      </c>
      <c r="U3815">
        <v>0</v>
      </c>
      <c r="V3815" t="s">
        <v>544</v>
      </c>
      <c r="W3815" t="s">
        <v>548</v>
      </c>
      <c r="X3815" s="784">
        <v>288519671.85870522</v>
      </c>
    </row>
    <row r="3816" spans="1:24">
      <c r="A3816" t="s">
        <v>358</v>
      </c>
      <c r="B3816" t="s">
        <v>640</v>
      </c>
      <c r="C3816" t="s">
        <v>244</v>
      </c>
      <c r="D3816" t="s">
        <v>127</v>
      </c>
      <c r="E3816" t="s">
        <v>377</v>
      </c>
      <c r="F3816" t="s">
        <v>384</v>
      </c>
      <c r="G3816" t="s">
        <v>58</v>
      </c>
      <c r="H3816" t="s">
        <v>58</v>
      </c>
      <c r="I3816" t="s">
        <v>743</v>
      </c>
      <c r="J3816" t="s">
        <v>379</v>
      </c>
      <c r="K3816" t="s">
        <v>546</v>
      </c>
      <c r="L3816" s="784">
        <v>800000</v>
      </c>
      <c r="M3816" t="s">
        <v>745</v>
      </c>
      <c r="P3816" t="s">
        <v>1887</v>
      </c>
      <c r="R3816" t="s">
        <v>152</v>
      </c>
      <c r="S3816" t="s">
        <v>146</v>
      </c>
      <c r="U3816">
        <v>0</v>
      </c>
      <c r="V3816" t="s">
        <v>544</v>
      </c>
      <c r="W3816" t="s">
        <v>546</v>
      </c>
      <c r="X3816" s="784">
        <v>275606560.78491527</v>
      </c>
    </row>
    <row r="3817" spans="1:24">
      <c r="A3817" t="s">
        <v>358</v>
      </c>
      <c r="B3817" t="s">
        <v>641</v>
      </c>
      <c r="C3817" t="s">
        <v>245</v>
      </c>
      <c r="D3817" t="s">
        <v>131</v>
      </c>
      <c r="E3817" t="s">
        <v>377</v>
      </c>
      <c r="F3817" t="s">
        <v>384</v>
      </c>
      <c r="G3817" t="s">
        <v>58</v>
      </c>
      <c r="H3817" t="s">
        <v>58</v>
      </c>
      <c r="I3817" t="s">
        <v>743</v>
      </c>
      <c r="J3817" t="s">
        <v>379</v>
      </c>
      <c r="K3817" t="s">
        <v>546</v>
      </c>
      <c r="L3817" s="784">
        <v>3750000</v>
      </c>
      <c r="M3817" t="s">
        <v>745</v>
      </c>
      <c r="P3817" t="s">
        <v>1887</v>
      </c>
      <c r="R3817" t="s">
        <v>150</v>
      </c>
      <c r="S3817" t="s">
        <v>145</v>
      </c>
      <c r="U3817">
        <v>0</v>
      </c>
      <c r="V3817" t="s">
        <v>544</v>
      </c>
      <c r="W3817" t="s">
        <v>546</v>
      </c>
      <c r="X3817" s="784">
        <v>2530937679.3725696</v>
      </c>
    </row>
    <row r="3818" spans="1:24">
      <c r="A3818" t="s">
        <v>358</v>
      </c>
      <c r="B3818" t="s">
        <v>642</v>
      </c>
      <c r="C3818" t="s">
        <v>246</v>
      </c>
      <c r="D3818" t="s">
        <v>128</v>
      </c>
      <c r="E3818" t="s">
        <v>377</v>
      </c>
      <c r="F3818" t="s">
        <v>384</v>
      </c>
      <c r="G3818" t="s">
        <v>58</v>
      </c>
      <c r="H3818" t="s">
        <v>58</v>
      </c>
      <c r="I3818" t="s">
        <v>743</v>
      </c>
      <c r="J3818" t="s">
        <v>379</v>
      </c>
      <c r="K3818" t="s">
        <v>546</v>
      </c>
      <c r="L3818" s="784">
        <v>3450000</v>
      </c>
      <c r="M3818" t="s">
        <v>745</v>
      </c>
      <c r="P3818" t="s">
        <v>1887</v>
      </c>
      <c r="R3818" t="s">
        <v>148</v>
      </c>
      <c r="S3818" t="s">
        <v>145</v>
      </c>
      <c r="U3818">
        <v>0</v>
      </c>
      <c r="V3818" t="s">
        <v>544</v>
      </c>
      <c r="W3818" t="s">
        <v>583</v>
      </c>
      <c r="X3818" s="784">
        <v>251432156.86255455</v>
      </c>
    </row>
    <row r="3819" spans="1:24">
      <c r="A3819" t="s">
        <v>358</v>
      </c>
      <c r="B3819" t="s">
        <v>643</v>
      </c>
      <c r="C3819" t="s">
        <v>247</v>
      </c>
      <c r="D3819" t="s">
        <v>126</v>
      </c>
      <c r="E3819" t="s">
        <v>377</v>
      </c>
      <c r="F3819" t="s">
        <v>384</v>
      </c>
      <c r="G3819" t="s">
        <v>58</v>
      </c>
      <c r="H3819" t="s">
        <v>58</v>
      </c>
      <c r="I3819" t="s">
        <v>743</v>
      </c>
      <c r="J3819" t="s">
        <v>379</v>
      </c>
      <c r="K3819" t="s">
        <v>546</v>
      </c>
      <c r="L3819" s="784">
        <v>2550000</v>
      </c>
      <c r="M3819" t="s">
        <v>745</v>
      </c>
      <c r="P3819" t="s">
        <v>1887</v>
      </c>
      <c r="R3819" t="s">
        <v>150</v>
      </c>
      <c r="S3819" t="s">
        <v>145</v>
      </c>
      <c r="U3819">
        <v>0</v>
      </c>
      <c r="V3819" t="s">
        <v>544</v>
      </c>
      <c r="W3819" t="s">
        <v>558</v>
      </c>
      <c r="X3819" s="784">
        <v>471534500.60109437</v>
      </c>
    </row>
    <row r="3820" spans="1:24">
      <c r="A3820" t="s">
        <v>358</v>
      </c>
      <c r="B3820" t="s">
        <v>644</v>
      </c>
      <c r="C3820" t="s">
        <v>248</v>
      </c>
      <c r="D3820" t="s">
        <v>128</v>
      </c>
      <c r="E3820" t="s">
        <v>377</v>
      </c>
      <c r="F3820" t="s">
        <v>384</v>
      </c>
      <c r="G3820" t="s">
        <v>58</v>
      </c>
      <c r="H3820" t="s">
        <v>58</v>
      </c>
      <c r="I3820" t="s">
        <v>743</v>
      </c>
      <c r="J3820" t="s">
        <v>379</v>
      </c>
      <c r="K3820" t="s">
        <v>546</v>
      </c>
      <c r="L3820" s="784">
        <v>3000000</v>
      </c>
      <c r="M3820" t="s">
        <v>745</v>
      </c>
      <c r="P3820" t="s">
        <v>1887</v>
      </c>
      <c r="R3820" t="s">
        <v>152</v>
      </c>
      <c r="S3820" t="s">
        <v>146</v>
      </c>
      <c r="U3820">
        <v>0</v>
      </c>
      <c r="V3820" t="s">
        <v>544</v>
      </c>
      <c r="W3820" t="s">
        <v>575</v>
      </c>
      <c r="X3820" s="784">
        <v>531677611.80447447</v>
      </c>
    </row>
    <row r="3821" spans="1:24">
      <c r="A3821" t="s">
        <v>358</v>
      </c>
      <c r="B3821" t="s">
        <v>645</v>
      </c>
      <c r="C3821" t="s">
        <v>249</v>
      </c>
      <c r="D3821" t="s">
        <v>126</v>
      </c>
      <c r="E3821" t="s">
        <v>377</v>
      </c>
      <c r="F3821" t="s">
        <v>384</v>
      </c>
      <c r="G3821" t="s">
        <v>58</v>
      </c>
      <c r="H3821" t="s">
        <v>58</v>
      </c>
      <c r="I3821" t="s">
        <v>743</v>
      </c>
      <c r="J3821" t="s">
        <v>379</v>
      </c>
      <c r="K3821" t="s">
        <v>546</v>
      </c>
      <c r="L3821" s="784" t="s">
        <v>575</v>
      </c>
      <c r="M3821" t="s">
        <v>745</v>
      </c>
      <c r="P3821" t="s">
        <v>1887</v>
      </c>
      <c r="R3821" t="s">
        <v>550</v>
      </c>
      <c r="S3821" t="s">
        <v>146</v>
      </c>
      <c r="U3821">
        <v>0</v>
      </c>
      <c r="V3821" t="s">
        <v>541</v>
      </c>
      <c r="W3821" t="s">
        <v>575</v>
      </c>
      <c r="X3821" s="784">
        <v>8528751.6418357007</v>
      </c>
    </row>
    <row r="3822" spans="1:24">
      <c r="A3822" t="s">
        <v>358</v>
      </c>
      <c r="B3822" t="s">
        <v>646</v>
      </c>
      <c r="C3822" t="s">
        <v>250</v>
      </c>
      <c r="D3822" t="s">
        <v>132</v>
      </c>
      <c r="E3822" t="s">
        <v>377</v>
      </c>
      <c r="F3822" t="s">
        <v>384</v>
      </c>
      <c r="G3822" t="s">
        <v>58</v>
      </c>
      <c r="H3822" t="s">
        <v>58</v>
      </c>
      <c r="I3822" t="s">
        <v>743</v>
      </c>
      <c r="J3822" t="s">
        <v>379</v>
      </c>
      <c r="K3822" t="s">
        <v>546</v>
      </c>
      <c r="L3822" s="784">
        <v>4100000</v>
      </c>
      <c r="M3822" t="s">
        <v>745</v>
      </c>
      <c r="P3822" t="s">
        <v>1887</v>
      </c>
      <c r="R3822" t="s">
        <v>150</v>
      </c>
      <c r="S3822" t="s">
        <v>145</v>
      </c>
      <c r="U3822">
        <v>0</v>
      </c>
      <c r="V3822" t="s">
        <v>544</v>
      </c>
      <c r="W3822" t="s">
        <v>558</v>
      </c>
      <c r="X3822" s="784">
        <v>407084543.19089872</v>
      </c>
    </row>
    <row r="3823" spans="1:24">
      <c r="A3823" t="s">
        <v>358</v>
      </c>
      <c r="B3823" t="s">
        <v>647</v>
      </c>
      <c r="C3823" t="s">
        <v>251</v>
      </c>
      <c r="D3823" t="s">
        <v>130</v>
      </c>
      <c r="E3823" t="s">
        <v>377</v>
      </c>
      <c r="F3823" t="s">
        <v>384</v>
      </c>
      <c r="G3823" t="s">
        <v>58</v>
      </c>
      <c r="H3823" t="s">
        <v>58</v>
      </c>
      <c r="I3823" t="s">
        <v>743</v>
      </c>
      <c r="J3823" t="s">
        <v>379</v>
      </c>
      <c r="K3823" t="s">
        <v>546</v>
      </c>
      <c r="L3823" s="784">
        <v>150000</v>
      </c>
      <c r="M3823" t="s">
        <v>745</v>
      </c>
      <c r="P3823" t="s">
        <v>1887</v>
      </c>
      <c r="R3823" t="s">
        <v>150</v>
      </c>
      <c r="S3823" t="s">
        <v>145</v>
      </c>
      <c r="U3823">
        <v>0</v>
      </c>
      <c r="V3823" t="s">
        <v>544</v>
      </c>
      <c r="W3823" t="s">
        <v>562</v>
      </c>
      <c r="X3823" s="784">
        <v>671998341.93592453</v>
      </c>
    </row>
    <row r="3824" spans="1:24">
      <c r="A3824" t="s">
        <v>358</v>
      </c>
      <c r="B3824" t="s">
        <v>648</v>
      </c>
      <c r="C3824" t="s">
        <v>252</v>
      </c>
      <c r="D3824" t="s">
        <v>129</v>
      </c>
      <c r="E3824" t="s">
        <v>377</v>
      </c>
      <c r="F3824" t="s">
        <v>384</v>
      </c>
      <c r="G3824" t="s">
        <v>58</v>
      </c>
      <c r="H3824" t="s">
        <v>58</v>
      </c>
      <c r="I3824" t="s">
        <v>743</v>
      </c>
      <c r="J3824" t="s">
        <v>379</v>
      </c>
      <c r="K3824" t="s">
        <v>546</v>
      </c>
      <c r="L3824" s="784">
        <v>4750000</v>
      </c>
      <c r="M3824" t="s">
        <v>745</v>
      </c>
      <c r="P3824" t="s">
        <v>1887</v>
      </c>
      <c r="R3824" t="s">
        <v>148</v>
      </c>
      <c r="S3824" t="s">
        <v>145</v>
      </c>
      <c r="U3824">
        <v>1</v>
      </c>
      <c r="V3824" t="s">
        <v>544</v>
      </c>
      <c r="W3824" t="s">
        <v>562</v>
      </c>
      <c r="X3824" s="784">
        <v>226203289.67158964</v>
      </c>
    </row>
    <row r="3825" spans="1:24">
      <c r="A3825" t="s">
        <v>358</v>
      </c>
      <c r="B3825" t="s">
        <v>649</v>
      </c>
      <c r="C3825" t="s">
        <v>253</v>
      </c>
      <c r="D3825" t="s">
        <v>129</v>
      </c>
      <c r="E3825" t="s">
        <v>377</v>
      </c>
      <c r="F3825" t="s">
        <v>384</v>
      </c>
      <c r="G3825" t="s">
        <v>58</v>
      </c>
      <c r="H3825" t="s">
        <v>58</v>
      </c>
      <c r="I3825" t="s">
        <v>743</v>
      </c>
      <c r="J3825" t="s">
        <v>379</v>
      </c>
      <c r="K3825" t="s">
        <v>546</v>
      </c>
      <c r="L3825" s="784">
        <v>1600863.3</v>
      </c>
      <c r="M3825" t="s">
        <v>745</v>
      </c>
      <c r="P3825" t="s">
        <v>1887</v>
      </c>
      <c r="R3825" t="s">
        <v>150</v>
      </c>
      <c r="S3825" t="s">
        <v>145</v>
      </c>
      <c r="U3825">
        <v>3</v>
      </c>
      <c r="V3825" t="s">
        <v>544</v>
      </c>
      <c r="W3825" t="s">
        <v>548</v>
      </c>
      <c r="X3825" s="784">
        <v>2438881113.1244688</v>
      </c>
    </row>
    <row r="3826" spans="1:24">
      <c r="A3826" t="s">
        <v>358</v>
      </c>
      <c r="B3826" t="s">
        <v>650</v>
      </c>
      <c r="C3826" t="s">
        <v>254</v>
      </c>
      <c r="D3826" t="s">
        <v>127</v>
      </c>
      <c r="E3826" t="s">
        <v>377</v>
      </c>
      <c r="F3826" t="s">
        <v>384</v>
      </c>
      <c r="G3826" t="s">
        <v>58</v>
      </c>
      <c r="H3826" t="s">
        <v>58</v>
      </c>
      <c r="I3826" t="s">
        <v>743</v>
      </c>
      <c r="J3826" t="s">
        <v>379</v>
      </c>
      <c r="K3826" t="s">
        <v>546</v>
      </c>
      <c r="L3826" s="784">
        <v>1000000</v>
      </c>
      <c r="M3826" t="s">
        <v>745</v>
      </c>
      <c r="P3826" t="s">
        <v>1887</v>
      </c>
      <c r="R3826" t="s">
        <v>152</v>
      </c>
      <c r="S3826" t="s">
        <v>146</v>
      </c>
      <c r="U3826">
        <v>0</v>
      </c>
      <c r="V3826" t="s">
        <v>544</v>
      </c>
      <c r="W3826" t="s">
        <v>575</v>
      </c>
      <c r="X3826" s="784">
        <v>476517795.73174149</v>
      </c>
    </row>
    <row r="3827" spans="1:24">
      <c r="A3827" t="s">
        <v>358</v>
      </c>
      <c r="B3827" t="s">
        <v>651</v>
      </c>
      <c r="C3827" t="s">
        <v>255</v>
      </c>
      <c r="D3827" t="s">
        <v>132</v>
      </c>
      <c r="E3827" t="s">
        <v>377</v>
      </c>
      <c r="F3827" t="s">
        <v>384</v>
      </c>
      <c r="G3827" t="s">
        <v>58</v>
      </c>
      <c r="H3827" t="s">
        <v>58</v>
      </c>
      <c r="I3827" t="s">
        <v>743</v>
      </c>
      <c r="J3827" t="s">
        <v>379</v>
      </c>
      <c r="K3827" t="s">
        <v>546</v>
      </c>
      <c r="L3827" s="784">
        <v>2500000</v>
      </c>
      <c r="M3827" t="s">
        <v>745</v>
      </c>
      <c r="P3827" t="s">
        <v>1887</v>
      </c>
      <c r="R3827" t="s">
        <v>150</v>
      </c>
      <c r="S3827" t="s">
        <v>145</v>
      </c>
      <c r="U3827">
        <v>0</v>
      </c>
      <c r="V3827" t="s">
        <v>544</v>
      </c>
      <c r="W3827" t="s">
        <v>548</v>
      </c>
      <c r="X3827" s="784">
        <v>3233351297.7679496</v>
      </c>
    </row>
    <row r="3828" spans="1:24">
      <c r="A3828" t="s">
        <v>358</v>
      </c>
      <c r="B3828" t="s">
        <v>652</v>
      </c>
      <c r="C3828" t="s">
        <v>256</v>
      </c>
      <c r="D3828" t="s">
        <v>130</v>
      </c>
      <c r="E3828" t="s">
        <v>377</v>
      </c>
      <c r="F3828" t="s">
        <v>384</v>
      </c>
      <c r="G3828" t="s">
        <v>58</v>
      </c>
      <c r="H3828" t="s">
        <v>58</v>
      </c>
      <c r="I3828" t="s">
        <v>743</v>
      </c>
      <c r="J3828" t="s">
        <v>379</v>
      </c>
      <c r="K3828" t="s">
        <v>546</v>
      </c>
      <c r="L3828" s="784" t="s">
        <v>575</v>
      </c>
      <c r="M3828" t="s">
        <v>745</v>
      </c>
      <c r="P3828" t="s">
        <v>1887</v>
      </c>
      <c r="R3828" t="s">
        <v>550</v>
      </c>
      <c r="S3828" t="s">
        <v>146</v>
      </c>
      <c r="U3828">
        <v>0</v>
      </c>
      <c r="V3828" t="s">
        <v>541</v>
      </c>
      <c r="W3828" t="s">
        <v>575</v>
      </c>
      <c r="X3828" s="784">
        <v>18180646.808608256</v>
      </c>
    </row>
    <row r="3829" spans="1:24">
      <c r="A3829" t="s">
        <v>358</v>
      </c>
      <c r="B3829" t="s">
        <v>653</v>
      </c>
      <c r="C3829" t="s">
        <v>257</v>
      </c>
      <c r="D3829" t="s">
        <v>130</v>
      </c>
      <c r="E3829" t="s">
        <v>377</v>
      </c>
      <c r="F3829" t="s">
        <v>384</v>
      </c>
      <c r="G3829" t="s">
        <v>58</v>
      </c>
      <c r="H3829" t="s">
        <v>58</v>
      </c>
      <c r="I3829" t="s">
        <v>743</v>
      </c>
      <c r="J3829" t="s">
        <v>379</v>
      </c>
      <c r="K3829" t="s">
        <v>546</v>
      </c>
      <c r="L3829" s="784">
        <v>200000</v>
      </c>
      <c r="M3829" t="s">
        <v>745</v>
      </c>
      <c r="P3829" t="s">
        <v>1887</v>
      </c>
      <c r="R3829" t="s">
        <v>152</v>
      </c>
      <c r="S3829" t="s">
        <v>146</v>
      </c>
      <c r="U3829">
        <v>0</v>
      </c>
      <c r="V3829" t="s">
        <v>544</v>
      </c>
      <c r="W3829" t="s">
        <v>546</v>
      </c>
      <c r="X3829" s="784">
        <v>3020530707.3485303</v>
      </c>
    </row>
    <row r="3830" spans="1:24">
      <c r="A3830" t="s">
        <v>358</v>
      </c>
      <c r="B3830" t="s">
        <v>654</v>
      </c>
      <c r="C3830" t="s">
        <v>258</v>
      </c>
      <c r="D3830" t="s">
        <v>126</v>
      </c>
      <c r="E3830" t="s">
        <v>377</v>
      </c>
      <c r="F3830" t="s">
        <v>384</v>
      </c>
      <c r="G3830" t="s">
        <v>58</v>
      </c>
      <c r="H3830" t="s">
        <v>58</v>
      </c>
      <c r="I3830" t="s">
        <v>743</v>
      </c>
      <c r="J3830" t="s">
        <v>379</v>
      </c>
      <c r="K3830" t="s">
        <v>546</v>
      </c>
      <c r="L3830" s="784">
        <v>4500000</v>
      </c>
      <c r="M3830" t="s">
        <v>745</v>
      </c>
      <c r="P3830" t="s">
        <v>1887</v>
      </c>
      <c r="R3830" t="s">
        <v>150</v>
      </c>
      <c r="S3830" t="s">
        <v>145</v>
      </c>
      <c r="U3830">
        <v>1</v>
      </c>
      <c r="V3830" t="s">
        <v>541</v>
      </c>
      <c r="W3830" t="s">
        <v>542</v>
      </c>
      <c r="X3830" s="784">
        <v>384406316.46074712</v>
      </c>
    </row>
    <row r="3831" spans="1:24">
      <c r="A3831" t="s">
        <v>358</v>
      </c>
      <c r="B3831" t="s">
        <v>655</v>
      </c>
      <c r="C3831" t="s">
        <v>259</v>
      </c>
      <c r="D3831" t="s">
        <v>130</v>
      </c>
      <c r="E3831" t="s">
        <v>377</v>
      </c>
      <c r="F3831" t="s">
        <v>384</v>
      </c>
      <c r="G3831" t="s">
        <v>58</v>
      </c>
      <c r="H3831" t="s">
        <v>58</v>
      </c>
      <c r="I3831" t="s">
        <v>743</v>
      </c>
      <c r="J3831" t="s">
        <v>379</v>
      </c>
      <c r="K3831" t="s">
        <v>546</v>
      </c>
      <c r="L3831" s="784">
        <v>2500000</v>
      </c>
      <c r="M3831" t="s">
        <v>745</v>
      </c>
      <c r="P3831" t="s">
        <v>1887</v>
      </c>
      <c r="R3831" t="s">
        <v>152</v>
      </c>
      <c r="S3831" t="s">
        <v>146</v>
      </c>
      <c r="U3831">
        <v>0</v>
      </c>
      <c r="V3831" t="s">
        <v>544</v>
      </c>
      <c r="W3831" t="s">
        <v>575</v>
      </c>
      <c r="X3831" s="784">
        <v>1218747108.9554784</v>
      </c>
    </row>
    <row r="3832" spans="1:24">
      <c r="A3832" t="s">
        <v>358</v>
      </c>
      <c r="B3832" t="s">
        <v>656</v>
      </c>
      <c r="C3832" t="s">
        <v>260</v>
      </c>
      <c r="D3832" t="s">
        <v>130</v>
      </c>
      <c r="E3832" t="s">
        <v>377</v>
      </c>
      <c r="F3832" t="s">
        <v>384</v>
      </c>
      <c r="G3832" t="s">
        <v>58</v>
      </c>
      <c r="H3832" t="s">
        <v>58</v>
      </c>
      <c r="I3832" t="s">
        <v>743</v>
      </c>
      <c r="J3832" t="s">
        <v>379</v>
      </c>
      <c r="K3832" t="s">
        <v>546</v>
      </c>
      <c r="L3832" s="784">
        <v>6713840</v>
      </c>
      <c r="M3832" t="s">
        <v>745</v>
      </c>
      <c r="P3832" t="s">
        <v>1887</v>
      </c>
      <c r="R3832" t="s">
        <v>152</v>
      </c>
      <c r="S3832" t="s">
        <v>146</v>
      </c>
      <c r="U3832">
        <v>0</v>
      </c>
      <c r="V3832" t="s">
        <v>544</v>
      </c>
      <c r="W3832" t="s">
        <v>575</v>
      </c>
      <c r="X3832" s="784">
        <v>7392665952.5895758</v>
      </c>
    </row>
    <row r="3833" spans="1:24">
      <c r="A3833" t="s">
        <v>358</v>
      </c>
      <c r="B3833" t="s">
        <v>657</v>
      </c>
      <c r="C3833" t="s">
        <v>261</v>
      </c>
      <c r="D3833" t="s">
        <v>126</v>
      </c>
      <c r="E3833" t="s">
        <v>377</v>
      </c>
      <c r="F3833" t="s">
        <v>384</v>
      </c>
      <c r="G3833" t="s">
        <v>58</v>
      </c>
      <c r="H3833" t="s">
        <v>58</v>
      </c>
      <c r="I3833" t="s">
        <v>743</v>
      </c>
      <c r="J3833" t="s">
        <v>379</v>
      </c>
      <c r="K3833" t="s">
        <v>546</v>
      </c>
      <c r="L3833" s="784">
        <v>5300000</v>
      </c>
      <c r="M3833" t="s">
        <v>745</v>
      </c>
      <c r="P3833" t="s">
        <v>1887</v>
      </c>
      <c r="R3833" t="s">
        <v>150</v>
      </c>
      <c r="S3833" t="s">
        <v>145</v>
      </c>
      <c r="U3833">
        <v>0</v>
      </c>
      <c r="V3833" t="s">
        <v>544</v>
      </c>
      <c r="W3833" t="s">
        <v>546</v>
      </c>
      <c r="X3833" s="784">
        <v>4754985988.6004429</v>
      </c>
    </row>
    <row r="3834" spans="1:24">
      <c r="A3834" t="s">
        <v>358</v>
      </c>
      <c r="B3834" t="s">
        <v>658</v>
      </c>
      <c r="C3834" t="s">
        <v>262</v>
      </c>
      <c r="D3834" t="s">
        <v>127</v>
      </c>
      <c r="E3834" t="s">
        <v>377</v>
      </c>
      <c r="F3834" t="s">
        <v>384</v>
      </c>
      <c r="G3834" t="s">
        <v>58</v>
      </c>
      <c r="H3834" t="s">
        <v>58</v>
      </c>
      <c r="I3834" t="s">
        <v>743</v>
      </c>
      <c r="J3834" t="s">
        <v>379</v>
      </c>
      <c r="K3834" t="s">
        <v>546</v>
      </c>
      <c r="L3834" s="784" t="s">
        <v>575</v>
      </c>
      <c r="M3834" t="s">
        <v>745</v>
      </c>
      <c r="P3834" t="s">
        <v>1887</v>
      </c>
      <c r="R3834" t="s">
        <v>550</v>
      </c>
      <c r="S3834" t="s">
        <v>146</v>
      </c>
      <c r="U3834">
        <v>0</v>
      </c>
      <c r="V3834" t="s">
        <v>544</v>
      </c>
      <c r="W3834" t="s">
        <v>575</v>
      </c>
      <c r="X3834" s="784">
        <v>26422210443.037273</v>
      </c>
    </row>
    <row r="3835" spans="1:24">
      <c r="A3835" t="s">
        <v>358</v>
      </c>
      <c r="B3835" t="s">
        <v>659</v>
      </c>
      <c r="C3835" t="s">
        <v>151</v>
      </c>
      <c r="D3835" t="s">
        <v>127</v>
      </c>
      <c r="E3835" t="s">
        <v>377</v>
      </c>
      <c r="F3835" t="s">
        <v>384</v>
      </c>
      <c r="G3835" t="s">
        <v>58</v>
      </c>
      <c r="H3835" t="s">
        <v>58</v>
      </c>
      <c r="I3835" t="s">
        <v>743</v>
      </c>
      <c r="J3835" t="s">
        <v>379</v>
      </c>
      <c r="K3835" t="s">
        <v>546</v>
      </c>
      <c r="L3835" s="784">
        <v>2400000</v>
      </c>
      <c r="M3835" t="s">
        <v>745</v>
      </c>
      <c r="P3835" t="s">
        <v>1887</v>
      </c>
      <c r="R3835" t="s">
        <v>152</v>
      </c>
      <c r="S3835" t="s">
        <v>146</v>
      </c>
      <c r="U3835">
        <v>0</v>
      </c>
      <c r="V3835" t="s">
        <v>544</v>
      </c>
      <c r="W3835" t="s">
        <v>575</v>
      </c>
      <c r="X3835" s="784">
        <v>10696495313.15033</v>
      </c>
    </row>
    <row r="3836" spans="1:24">
      <c r="A3836" t="s">
        <v>358</v>
      </c>
      <c r="B3836" t="s">
        <v>660</v>
      </c>
      <c r="C3836" t="s">
        <v>263</v>
      </c>
      <c r="D3836" t="s">
        <v>127</v>
      </c>
      <c r="E3836" t="s">
        <v>377</v>
      </c>
      <c r="F3836" t="s">
        <v>384</v>
      </c>
      <c r="G3836" t="s">
        <v>58</v>
      </c>
      <c r="H3836" t="s">
        <v>58</v>
      </c>
      <c r="I3836" t="s">
        <v>743</v>
      </c>
      <c r="J3836" t="s">
        <v>379</v>
      </c>
      <c r="K3836" t="s">
        <v>546</v>
      </c>
      <c r="L3836" s="784" t="s">
        <v>575</v>
      </c>
      <c r="M3836" t="s">
        <v>745</v>
      </c>
      <c r="P3836" t="s">
        <v>1887</v>
      </c>
      <c r="R3836" t="s">
        <v>152</v>
      </c>
      <c r="S3836" t="s">
        <v>146</v>
      </c>
      <c r="U3836">
        <v>0</v>
      </c>
      <c r="V3836" t="s">
        <v>544</v>
      </c>
      <c r="W3836" t="s">
        <v>575</v>
      </c>
      <c r="X3836" s="784">
        <v>52769713433.240509</v>
      </c>
    </row>
    <row r="3837" spans="1:24">
      <c r="A3837" t="s">
        <v>358</v>
      </c>
      <c r="B3837" t="s">
        <v>661</v>
      </c>
      <c r="C3837" t="s">
        <v>264</v>
      </c>
      <c r="D3837" t="s">
        <v>128</v>
      </c>
      <c r="E3837" t="s">
        <v>377</v>
      </c>
      <c r="F3837" t="s">
        <v>384</v>
      </c>
      <c r="G3837" t="s">
        <v>58</v>
      </c>
      <c r="H3837" t="s">
        <v>58</v>
      </c>
      <c r="I3837" t="s">
        <v>743</v>
      </c>
      <c r="J3837" t="s">
        <v>379</v>
      </c>
      <c r="K3837" t="s">
        <v>546</v>
      </c>
      <c r="L3837" s="784">
        <v>1830000</v>
      </c>
      <c r="M3837" t="s">
        <v>745</v>
      </c>
      <c r="P3837" t="s">
        <v>1887</v>
      </c>
      <c r="R3837" t="s">
        <v>148</v>
      </c>
      <c r="S3837" t="s">
        <v>145</v>
      </c>
      <c r="U3837">
        <v>0</v>
      </c>
      <c r="V3837" t="s">
        <v>544</v>
      </c>
      <c r="W3837" t="s">
        <v>562</v>
      </c>
      <c r="X3837" s="784">
        <v>225799814.51943746</v>
      </c>
    </row>
    <row r="3838" spans="1:24">
      <c r="A3838" t="s">
        <v>358</v>
      </c>
      <c r="B3838" t="s">
        <v>662</v>
      </c>
      <c r="C3838" t="s">
        <v>265</v>
      </c>
      <c r="D3838" t="s">
        <v>126</v>
      </c>
      <c r="E3838" t="s">
        <v>377</v>
      </c>
      <c r="F3838" t="s">
        <v>384</v>
      </c>
      <c r="G3838" t="s">
        <v>58</v>
      </c>
      <c r="H3838" t="s">
        <v>58</v>
      </c>
      <c r="I3838" t="s">
        <v>743</v>
      </c>
      <c r="J3838" t="s">
        <v>379</v>
      </c>
      <c r="K3838" t="s">
        <v>546</v>
      </c>
      <c r="L3838" s="784" t="s">
        <v>575</v>
      </c>
      <c r="M3838" t="s">
        <v>745</v>
      </c>
      <c r="P3838" t="s">
        <v>1887</v>
      </c>
      <c r="R3838" t="s">
        <v>150</v>
      </c>
      <c r="S3838" t="s">
        <v>145</v>
      </c>
      <c r="U3838">
        <v>0</v>
      </c>
      <c r="V3838" t="s">
        <v>541</v>
      </c>
      <c r="W3838" t="s">
        <v>542</v>
      </c>
      <c r="X3838" s="784">
        <v>32192988.027009469</v>
      </c>
    </row>
    <row r="3839" spans="1:24">
      <c r="A3839" t="s">
        <v>358</v>
      </c>
      <c r="B3839" t="s">
        <v>663</v>
      </c>
      <c r="C3839" t="s">
        <v>266</v>
      </c>
      <c r="D3839" t="s">
        <v>129</v>
      </c>
      <c r="E3839" t="s">
        <v>377</v>
      </c>
      <c r="F3839" t="s">
        <v>384</v>
      </c>
      <c r="G3839" t="s">
        <v>58</v>
      </c>
      <c r="H3839" t="s">
        <v>58</v>
      </c>
      <c r="I3839" t="s">
        <v>743</v>
      </c>
      <c r="J3839" t="s">
        <v>379</v>
      </c>
      <c r="K3839" t="s">
        <v>546</v>
      </c>
      <c r="L3839" s="784">
        <v>200000</v>
      </c>
      <c r="M3839" t="s">
        <v>745</v>
      </c>
      <c r="P3839" t="s">
        <v>1887</v>
      </c>
      <c r="R3839" t="s">
        <v>150</v>
      </c>
      <c r="S3839" t="s">
        <v>145</v>
      </c>
      <c r="U3839">
        <v>0</v>
      </c>
      <c r="V3839" t="s">
        <v>541</v>
      </c>
      <c r="W3839" t="s">
        <v>583</v>
      </c>
      <c r="X3839" s="784">
        <v>11633535.136477679</v>
      </c>
    </row>
    <row r="3840" spans="1:24">
      <c r="A3840" t="s">
        <v>358</v>
      </c>
      <c r="B3840" t="s">
        <v>664</v>
      </c>
      <c r="C3840" t="s">
        <v>267</v>
      </c>
      <c r="D3840" t="s">
        <v>129</v>
      </c>
      <c r="E3840" t="s">
        <v>377</v>
      </c>
      <c r="F3840" t="s">
        <v>384</v>
      </c>
      <c r="G3840" t="s">
        <v>58</v>
      </c>
      <c r="H3840" t="s">
        <v>58</v>
      </c>
      <c r="I3840" t="s">
        <v>743</v>
      </c>
      <c r="J3840" t="s">
        <v>379</v>
      </c>
      <c r="K3840" t="s">
        <v>546</v>
      </c>
      <c r="L3840" s="784">
        <v>2200000</v>
      </c>
      <c r="M3840" t="s">
        <v>745</v>
      </c>
      <c r="P3840" t="s">
        <v>1887</v>
      </c>
      <c r="R3840" t="s">
        <v>150</v>
      </c>
      <c r="S3840" t="s">
        <v>145</v>
      </c>
      <c r="U3840">
        <v>2</v>
      </c>
      <c r="V3840" t="s">
        <v>544</v>
      </c>
      <c r="W3840" t="s">
        <v>562</v>
      </c>
      <c r="X3840" s="784">
        <v>222008693.93354639</v>
      </c>
    </row>
    <row r="3841" spans="1:24">
      <c r="A3841" t="s">
        <v>358</v>
      </c>
      <c r="B3841" t="s">
        <v>665</v>
      </c>
      <c r="C3841" t="s">
        <v>153</v>
      </c>
      <c r="D3841" t="s">
        <v>127</v>
      </c>
      <c r="E3841" t="s">
        <v>377</v>
      </c>
      <c r="F3841" t="s">
        <v>384</v>
      </c>
      <c r="G3841" t="s">
        <v>58</v>
      </c>
      <c r="H3841" t="s">
        <v>58</v>
      </c>
      <c r="I3841" t="s">
        <v>743</v>
      </c>
      <c r="J3841" t="s">
        <v>379</v>
      </c>
      <c r="K3841" t="s">
        <v>546</v>
      </c>
      <c r="L3841" s="784">
        <v>2500000</v>
      </c>
      <c r="M3841" t="s">
        <v>745</v>
      </c>
      <c r="P3841" t="s">
        <v>1887</v>
      </c>
      <c r="R3841" t="s">
        <v>152</v>
      </c>
      <c r="S3841" t="s">
        <v>146</v>
      </c>
      <c r="U3841">
        <v>0</v>
      </c>
      <c r="V3841" t="s">
        <v>544</v>
      </c>
      <c r="W3841" t="s">
        <v>575</v>
      </c>
      <c r="X3841" s="784">
        <v>2564993795.1894679</v>
      </c>
    </row>
    <row r="3842" spans="1:24">
      <c r="A3842" t="s">
        <v>358</v>
      </c>
      <c r="B3842" t="s">
        <v>666</v>
      </c>
      <c r="C3842" t="s">
        <v>268</v>
      </c>
      <c r="D3842" t="s">
        <v>128</v>
      </c>
      <c r="E3842" t="s">
        <v>377</v>
      </c>
      <c r="F3842" t="s">
        <v>384</v>
      </c>
      <c r="G3842" t="s">
        <v>58</v>
      </c>
      <c r="H3842" t="s">
        <v>58</v>
      </c>
      <c r="I3842" t="s">
        <v>743</v>
      </c>
      <c r="J3842" t="s">
        <v>379</v>
      </c>
      <c r="K3842" t="s">
        <v>546</v>
      </c>
      <c r="L3842" s="784">
        <v>330000</v>
      </c>
      <c r="M3842" t="s">
        <v>745</v>
      </c>
      <c r="P3842" t="s">
        <v>1887</v>
      </c>
      <c r="R3842" t="s">
        <v>550</v>
      </c>
      <c r="S3842" t="s">
        <v>146</v>
      </c>
      <c r="U3842">
        <v>0</v>
      </c>
      <c r="V3842" t="s">
        <v>541</v>
      </c>
      <c r="W3842" t="s">
        <v>546</v>
      </c>
      <c r="X3842" s="784">
        <v>60237542.945069775</v>
      </c>
    </row>
    <row r="3843" spans="1:24">
      <c r="A3843" t="s">
        <v>358</v>
      </c>
      <c r="B3843" t="s">
        <v>667</v>
      </c>
      <c r="C3843" t="s">
        <v>269</v>
      </c>
      <c r="D3843" t="s">
        <v>129</v>
      </c>
      <c r="E3843" t="s">
        <v>377</v>
      </c>
      <c r="F3843" t="s">
        <v>384</v>
      </c>
      <c r="G3843" t="s">
        <v>58</v>
      </c>
      <c r="H3843" t="s">
        <v>58</v>
      </c>
      <c r="I3843" t="s">
        <v>743</v>
      </c>
      <c r="J3843" t="s">
        <v>379</v>
      </c>
      <c r="K3843" t="s">
        <v>546</v>
      </c>
      <c r="L3843" s="784">
        <v>2000000</v>
      </c>
      <c r="M3843" t="s">
        <v>745</v>
      </c>
      <c r="P3843" t="s">
        <v>1887</v>
      </c>
      <c r="R3843" t="s">
        <v>148</v>
      </c>
      <c r="S3843" t="s">
        <v>145</v>
      </c>
      <c r="U3843">
        <v>0</v>
      </c>
      <c r="V3843" t="s">
        <v>544</v>
      </c>
      <c r="W3843" t="s">
        <v>542</v>
      </c>
      <c r="X3843" s="784">
        <v>63738640.538260505</v>
      </c>
    </row>
    <row r="3844" spans="1:24">
      <c r="A3844" t="s">
        <v>358</v>
      </c>
      <c r="B3844" t="s">
        <v>668</v>
      </c>
      <c r="C3844" t="s">
        <v>270</v>
      </c>
      <c r="D3844" t="s">
        <v>126</v>
      </c>
      <c r="E3844" t="s">
        <v>377</v>
      </c>
      <c r="F3844" t="s">
        <v>384</v>
      </c>
      <c r="G3844" t="s">
        <v>58</v>
      </c>
      <c r="H3844" t="s">
        <v>58</v>
      </c>
      <c r="I3844" t="s">
        <v>743</v>
      </c>
      <c r="J3844" t="s">
        <v>379</v>
      </c>
      <c r="K3844" t="s">
        <v>546</v>
      </c>
      <c r="L3844" s="784" t="s">
        <v>575</v>
      </c>
      <c r="M3844" t="s">
        <v>745</v>
      </c>
      <c r="P3844" t="s">
        <v>1887</v>
      </c>
      <c r="R3844" t="s">
        <v>150</v>
      </c>
      <c r="S3844" t="s">
        <v>145</v>
      </c>
      <c r="U3844">
        <v>0</v>
      </c>
      <c r="V3844" t="s">
        <v>541</v>
      </c>
      <c r="W3844" t="s">
        <v>562</v>
      </c>
      <c r="X3844" s="784">
        <v>49012774.055630356</v>
      </c>
    </row>
    <row r="3845" spans="1:24">
      <c r="A3845" t="s">
        <v>358</v>
      </c>
      <c r="B3845" t="s">
        <v>669</v>
      </c>
      <c r="C3845" t="s">
        <v>271</v>
      </c>
      <c r="D3845" t="s">
        <v>128</v>
      </c>
      <c r="E3845" t="s">
        <v>377</v>
      </c>
      <c r="F3845" t="s">
        <v>384</v>
      </c>
      <c r="G3845" t="s">
        <v>58</v>
      </c>
      <c r="H3845" t="s">
        <v>58</v>
      </c>
      <c r="I3845" t="s">
        <v>743</v>
      </c>
      <c r="J3845" t="s">
        <v>379</v>
      </c>
      <c r="K3845" t="s">
        <v>546</v>
      </c>
      <c r="L3845" s="784">
        <v>1500000</v>
      </c>
      <c r="M3845" t="s">
        <v>745</v>
      </c>
      <c r="P3845" t="s">
        <v>1887</v>
      </c>
      <c r="R3845" t="s">
        <v>148</v>
      </c>
      <c r="S3845" t="s">
        <v>145</v>
      </c>
      <c r="U3845">
        <v>1</v>
      </c>
      <c r="V3845" t="s">
        <v>544</v>
      </c>
      <c r="W3845" t="s">
        <v>583</v>
      </c>
      <c r="X3845" s="784" t="s">
        <v>575</v>
      </c>
    </row>
    <row r="3846" spans="1:24">
      <c r="A3846" t="s">
        <v>358</v>
      </c>
      <c r="B3846" t="s">
        <v>670</v>
      </c>
      <c r="C3846" t="s">
        <v>272</v>
      </c>
      <c r="D3846" t="s">
        <v>128</v>
      </c>
      <c r="E3846" t="s">
        <v>377</v>
      </c>
      <c r="F3846" t="s">
        <v>384</v>
      </c>
      <c r="G3846" t="s">
        <v>58</v>
      </c>
      <c r="H3846" t="s">
        <v>58</v>
      </c>
      <c r="I3846" t="s">
        <v>743</v>
      </c>
      <c r="J3846" t="s">
        <v>379</v>
      </c>
      <c r="K3846" t="s">
        <v>546</v>
      </c>
      <c r="L3846" s="784">
        <v>10000000</v>
      </c>
      <c r="M3846" t="s">
        <v>745</v>
      </c>
      <c r="P3846" t="s">
        <v>1887</v>
      </c>
      <c r="R3846" t="s">
        <v>152</v>
      </c>
      <c r="S3846" t="s">
        <v>146</v>
      </c>
      <c r="U3846">
        <v>0</v>
      </c>
      <c r="V3846" t="s">
        <v>544</v>
      </c>
      <c r="W3846" t="s">
        <v>546</v>
      </c>
      <c r="X3846" s="784">
        <v>16429121142.784708</v>
      </c>
    </row>
    <row r="3847" spans="1:24">
      <c r="A3847" t="s">
        <v>358</v>
      </c>
      <c r="B3847" t="s">
        <v>671</v>
      </c>
      <c r="C3847" t="s">
        <v>273</v>
      </c>
      <c r="D3847" t="s">
        <v>128</v>
      </c>
      <c r="E3847" t="s">
        <v>377</v>
      </c>
      <c r="F3847" t="s">
        <v>384</v>
      </c>
      <c r="G3847" t="s">
        <v>58</v>
      </c>
      <c r="H3847" t="s">
        <v>58</v>
      </c>
      <c r="I3847" t="s">
        <v>743</v>
      </c>
      <c r="J3847" t="s">
        <v>379</v>
      </c>
      <c r="K3847" t="s">
        <v>546</v>
      </c>
      <c r="L3847" s="784">
        <v>2934755</v>
      </c>
      <c r="M3847" t="s">
        <v>745</v>
      </c>
      <c r="P3847" t="s">
        <v>1887</v>
      </c>
      <c r="R3847" t="s">
        <v>148</v>
      </c>
      <c r="S3847" t="s">
        <v>145</v>
      </c>
      <c r="U3847">
        <v>1</v>
      </c>
      <c r="V3847" t="s">
        <v>544</v>
      </c>
      <c r="W3847" t="s">
        <v>542</v>
      </c>
      <c r="X3847" s="784">
        <v>31684581.76217727</v>
      </c>
    </row>
    <row r="3848" spans="1:24">
      <c r="A3848" t="s">
        <v>358</v>
      </c>
      <c r="B3848" t="s">
        <v>672</v>
      </c>
      <c r="C3848" t="s">
        <v>274</v>
      </c>
      <c r="D3848" t="s">
        <v>132</v>
      </c>
      <c r="E3848" t="s">
        <v>377</v>
      </c>
      <c r="F3848" t="s">
        <v>384</v>
      </c>
      <c r="G3848" t="s">
        <v>58</v>
      </c>
      <c r="H3848" t="s">
        <v>58</v>
      </c>
      <c r="I3848" t="s">
        <v>743</v>
      </c>
      <c r="J3848" t="s">
        <v>379</v>
      </c>
      <c r="K3848" t="s">
        <v>546</v>
      </c>
      <c r="L3848" s="784">
        <v>1000000</v>
      </c>
      <c r="M3848" t="s">
        <v>745</v>
      </c>
      <c r="P3848" t="s">
        <v>1887</v>
      </c>
      <c r="R3848" t="s">
        <v>150</v>
      </c>
      <c r="S3848" t="s">
        <v>145</v>
      </c>
      <c r="U3848">
        <v>0</v>
      </c>
      <c r="V3848" t="s">
        <v>544</v>
      </c>
      <c r="W3848" t="s">
        <v>546</v>
      </c>
      <c r="X3848" s="784">
        <v>1373621563.5182886</v>
      </c>
    </row>
    <row r="3849" spans="1:24">
      <c r="A3849" t="s">
        <v>358</v>
      </c>
      <c r="B3849" t="s">
        <v>673</v>
      </c>
      <c r="C3849" t="s">
        <v>275</v>
      </c>
      <c r="D3849" t="s">
        <v>130</v>
      </c>
      <c r="E3849" t="s">
        <v>377</v>
      </c>
      <c r="F3849" t="s">
        <v>384</v>
      </c>
      <c r="G3849" t="s">
        <v>58</v>
      </c>
      <c r="H3849" t="s">
        <v>58</v>
      </c>
      <c r="I3849" t="s">
        <v>743</v>
      </c>
      <c r="J3849" t="s">
        <v>379</v>
      </c>
      <c r="K3849" t="s">
        <v>546</v>
      </c>
      <c r="L3849" s="784" t="s">
        <v>575</v>
      </c>
      <c r="M3849" t="s">
        <v>745</v>
      </c>
      <c r="P3849" t="s">
        <v>1887</v>
      </c>
      <c r="R3849" t="s">
        <v>550</v>
      </c>
      <c r="S3849" t="s">
        <v>146</v>
      </c>
      <c r="U3849">
        <v>0</v>
      </c>
      <c r="V3849" t="s">
        <v>541</v>
      </c>
      <c r="W3849" t="s">
        <v>575</v>
      </c>
      <c r="X3849" s="784">
        <v>24214370.889062837</v>
      </c>
    </row>
    <row r="3850" spans="1:24">
      <c r="A3850" t="s">
        <v>358</v>
      </c>
      <c r="B3850" t="s">
        <v>674</v>
      </c>
      <c r="C3850" t="s">
        <v>154</v>
      </c>
      <c r="D3850" t="s">
        <v>130</v>
      </c>
      <c r="E3850" t="s">
        <v>377</v>
      </c>
      <c r="F3850" t="s">
        <v>384</v>
      </c>
      <c r="G3850" t="s">
        <v>58</v>
      </c>
      <c r="H3850" t="s">
        <v>58</v>
      </c>
      <c r="I3850" t="s">
        <v>743</v>
      </c>
      <c r="J3850" t="s">
        <v>379</v>
      </c>
      <c r="K3850" t="s">
        <v>546</v>
      </c>
      <c r="L3850" s="784" t="s">
        <v>575</v>
      </c>
      <c r="M3850" t="s">
        <v>745</v>
      </c>
      <c r="P3850" t="s">
        <v>1887</v>
      </c>
      <c r="R3850" t="s">
        <v>152</v>
      </c>
      <c r="S3850" t="s">
        <v>145</v>
      </c>
      <c r="U3850">
        <v>0</v>
      </c>
      <c r="V3850" t="s">
        <v>541</v>
      </c>
      <c r="W3850" t="s">
        <v>548</v>
      </c>
      <c r="X3850" s="784">
        <v>39941279.609447442</v>
      </c>
    </row>
    <row r="3851" spans="1:24">
      <c r="A3851" t="s">
        <v>358</v>
      </c>
      <c r="B3851" t="s">
        <v>675</v>
      </c>
      <c r="C3851" t="s">
        <v>155</v>
      </c>
      <c r="D3851" t="s">
        <v>130</v>
      </c>
      <c r="E3851" t="s">
        <v>377</v>
      </c>
      <c r="F3851" t="s">
        <v>384</v>
      </c>
      <c r="G3851" t="s">
        <v>58</v>
      </c>
      <c r="H3851" t="s">
        <v>58</v>
      </c>
      <c r="I3851" t="s">
        <v>743</v>
      </c>
      <c r="J3851" t="s">
        <v>379</v>
      </c>
      <c r="K3851" t="s">
        <v>546</v>
      </c>
      <c r="L3851" s="784" t="s">
        <v>575</v>
      </c>
      <c r="M3851" t="s">
        <v>745</v>
      </c>
      <c r="P3851" t="s">
        <v>1887</v>
      </c>
      <c r="R3851" t="s">
        <v>152</v>
      </c>
      <c r="S3851" t="s">
        <v>145</v>
      </c>
      <c r="U3851">
        <v>0</v>
      </c>
      <c r="V3851" t="s">
        <v>541</v>
      </c>
      <c r="W3851" t="s">
        <v>542</v>
      </c>
      <c r="X3851" s="784">
        <v>24761675.260059897</v>
      </c>
    </row>
    <row r="3852" spans="1:24">
      <c r="A3852" t="s">
        <v>358</v>
      </c>
      <c r="B3852" t="s">
        <v>676</v>
      </c>
      <c r="C3852" t="s">
        <v>276</v>
      </c>
      <c r="D3852" t="s">
        <v>131</v>
      </c>
      <c r="E3852" t="s">
        <v>377</v>
      </c>
      <c r="F3852" t="s">
        <v>384</v>
      </c>
      <c r="G3852" t="s">
        <v>58</v>
      </c>
      <c r="H3852" t="s">
        <v>58</v>
      </c>
      <c r="I3852" t="s">
        <v>743</v>
      </c>
      <c r="J3852" t="s">
        <v>379</v>
      </c>
      <c r="K3852" t="s">
        <v>546</v>
      </c>
      <c r="L3852" s="784">
        <v>900000</v>
      </c>
      <c r="M3852" t="s">
        <v>745</v>
      </c>
      <c r="P3852" t="s">
        <v>1887</v>
      </c>
      <c r="R3852" t="s">
        <v>150</v>
      </c>
      <c r="S3852" t="s">
        <v>145</v>
      </c>
      <c r="U3852">
        <v>0</v>
      </c>
      <c r="V3852" t="s">
        <v>544</v>
      </c>
      <c r="W3852" t="s">
        <v>546</v>
      </c>
      <c r="X3852" s="784" t="s">
        <v>575</v>
      </c>
    </row>
    <row r="3853" spans="1:24">
      <c r="A3853" t="s">
        <v>358</v>
      </c>
      <c r="B3853" t="s">
        <v>677</v>
      </c>
      <c r="C3853" t="s">
        <v>277</v>
      </c>
      <c r="D3853" t="s">
        <v>131</v>
      </c>
      <c r="E3853" t="s">
        <v>377</v>
      </c>
      <c r="F3853" t="s">
        <v>384</v>
      </c>
      <c r="G3853" t="s">
        <v>58</v>
      </c>
      <c r="H3853" t="s">
        <v>58</v>
      </c>
      <c r="I3853" t="s">
        <v>743</v>
      </c>
      <c r="J3853" t="s">
        <v>379</v>
      </c>
      <c r="K3853" t="s">
        <v>546</v>
      </c>
      <c r="L3853" s="784">
        <v>710000</v>
      </c>
      <c r="M3853" t="s">
        <v>745</v>
      </c>
      <c r="P3853" t="s">
        <v>1887</v>
      </c>
      <c r="R3853" t="s">
        <v>148</v>
      </c>
      <c r="S3853" t="s">
        <v>145</v>
      </c>
      <c r="U3853">
        <v>1</v>
      </c>
      <c r="V3853" t="s">
        <v>544</v>
      </c>
      <c r="W3853" t="s">
        <v>546</v>
      </c>
      <c r="X3853" s="784">
        <v>577156172.71229994</v>
      </c>
    </row>
    <row r="3854" spans="1:24">
      <c r="A3854" t="s">
        <v>358</v>
      </c>
      <c r="B3854" t="s">
        <v>678</v>
      </c>
      <c r="C3854" t="s">
        <v>278</v>
      </c>
      <c r="D3854" t="s">
        <v>126</v>
      </c>
      <c r="E3854" t="s">
        <v>377</v>
      </c>
      <c r="F3854" t="s">
        <v>384</v>
      </c>
      <c r="G3854" t="s">
        <v>58</v>
      </c>
      <c r="H3854" t="s">
        <v>58</v>
      </c>
      <c r="I3854" t="s">
        <v>743</v>
      </c>
      <c r="J3854" t="s">
        <v>379</v>
      </c>
      <c r="K3854" t="s">
        <v>546</v>
      </c>
      <c r="L3854" s="784" t="s">
        <v>575</v>
      </c>
      <c r="M3854" t="s">
        <v>745</v>
      </c>
      <c r="P3854" t="s">
        <v>1887</v>
      </c>
      <c r="R3854" t="s">
        <v>152</v>
      </c>
      <c r="S3854" t="s">
        <v>146</v>
      </c>
      <c r="U3854">
        <v>0</v>
      </c>
      <c r="V3854" t="s">
        <v>541</v>
      </c>
      <c r="W3854" t="s">
        <v>575</v>
      </c>
      <c r="X3854" s="784">
        <v>180052034.19851837</v>
      </c>
    </row>
    <row r="3855" spans="1:24">
      <c r="A3855" t="s">
        <v>358</v>
      </c>
      <c r="B3855" t="s">
        <v>679</v>
      </c>
      <c r="C3855" t="s">
        <v>279</v>
      </c>
      <c r="D3855" t="s">
        <v>131</v>
      </c>
      <c r="E3855" t="s">
        <v>377</v>
      </c>
      <c r="F3855" t="s">
        <v>384</v>
      </c>
      <c r="G3855" t="s">
        <v>58</v>
      </c>
      <c r="H3855" t="s">
        <v>58</v>
      </c>
      <c r="I3855" t="s">
        <v>743</v>
      </c>
      <c r="J3855" t="s">
        <v>379</v>
      </c>
      <c r="K3855" t="s">
        <v>546</v>
      </c>
      <c r="L3855" s="784">
        <v>300000</v>
      </c>
      <c r="M3855" t="s">
        <v>745</v>
      </c>
      <c r="P3855" t="s">
        <v>1887</v>
      </c>
      <c r="R3855" t="s">
        <v>148</v>
      </c>
      <c r="S3855" t="s">
        <v>145</v>
      </c>
      <c r="U3855">
        <v>1</v>
      </c>
      <c r="V3855" t="s">
        <v>544</v>
      </c>
      <c r="W3855" t="s">
        <v>546</v>
      </c>
      <c r="X3855" s="784" t="s">
        <v>575</v>
      </c>
    </row>
    <row r="3856" spans="1:24">
      <c r="A3856" t="s">
        <v>358</v>
      </c>
      <c r="B3856" t="s">
        <v>680</v>
      </c>
      <c r="C3856" t="s">
        <v>280</v>
      </c>
      <c r="D3856" t="s">
        <v>127</v>
      </c>
      <c r="E3856" t="s">
        <v>377</v>
      </c>
      <c r="F3856" t="s">
        <v>384</v>
      </c>
      <c r="G3856" t="s">
        <v>58</v>
      </c>
      <c r="H3856" t="s">
        <v>58</v>
      </c>
      <c r="I3856" t="s">
        <v>743</v>
      </c>
      <c r="J3856" t="s">
        <v>379</v>
      </c>
      <c r="K3856" t="s">
        <v>546</v>
      </c>
      <c r="L3856" s="784">
        <v>1952000</v>
      </c>
      <c r="M3856" t="s">
        <v>745</v>
      </c>
      <c r="P3856" t="s">
        <v>1887</v>
      </c>
      <c r="R3856" t="s">
        <v>150</v>
      </c>
      <c r="S3856" t="s">
        <v>145</v>
      </c>
      <c r="U3856">
        <v>0</v>
      </c>
      <c r="V3856" t="s">
        <v>544</v>
      </c>
      <c r="W3856" t="s">
        <v>542</v>
      </c>
      <c r="X3856" s="784">
        <v>147296124.32232863</v>
      </c>
    </row>
    <row r="3857" spans="1:24">
      <c r="A3857" t="s">
        <v>358</v>
      </c>
      <c r="B3857" t="s">
        <v>681</v>
      </c>
      <c r="C3857" t="s">
        <v>156</v>
      </c>
      <c r="D3857" t="s">
        <v>128</v>
      </c>
      <c r="E3857" t="s">
        <v>377</v>
      </c>
      <c r="F3857" t="s">
        <v>384</v>
      </c>
      <c r="G3857" t="s">
        <v>58</v>
      </c>
      <c r="H3857" t="s">
        <v>58</v>
      </c>
      <c r="I3857" t="s">
        <v>743</v>
      </c>
      <c r="J3857" t="s">
        <v>379</v>
      </c>
      <c r="K3857" t="s">
        <v>546</v>
      </c>
      <c r="L3857" s="784">
        <v>2500000</v>
      </c>
      <c r="M3857" t="s">
        <v>745</v>
      </c>
      <c r="P3857" t="s">
        <v>1887</v>
      </c>
      <c r="R3857" t="s">
        <v>150</v>
      </c>
      <c r="S3857" t="s">
        <v>145</v>
      </c>
      <c r="U3857">
        <v>0</v>
      </c>
      <c r="V3857" t="s">
        <v>544</v>
      </c>
      <c r="W3857" t="s">
        <v>548</v>
      </c>
      <c r="X3857" s="784">
        <v>890576536.83065879</v>
      </c>
    </row>
    <row r="3858" spans="1:24">
      <c r="A3858" t="s">
        <v>358</v>
      </c>
      <c r="B3858" t="s">
        <v>682</v>
      </c>
      <c r="C3858" t="s">
        <v>157</v>
      </c>
      <c r="D3858" t="s">
        <v>126</v>
      </c>
      <c r="E3858" t="s">
        <v>377</v>
      </c>
      <c r="F3858" t="s">
        <v>384</v>
      </c>
      <c r="G3858" t="s">
        <v>58</v>
      </c>
      <c r="H3858" t="s">
        <v>58</v>
      </c>
      <c r="I3858" t="s">
        <v>743</v>
      </c>
      <c r="J3858" t="s">
        <v>379</v>
      </c>
      <c r="K3858" t="s">
        <v>546</v>
      </c>
      <c r="L3858" s="784">
        <v>1200000</v>
      </c>
      <c r="M3858" t="s">
        <v>745</v>
      </c>
      <c r="P3858" t="s">
        <v>1887</v>
      </c>
      <c r="R3858" t="s">
        <v>152</v>
      </c>
      <c r="S3858" t="s">
        <v>146</v>
      </c>
      <c r="U3858">
        <v>0</v>
      </c>
      <c r="V3858" t="s">
        <v>544</v>
      </c>
      <c r="W3858" t="s">
        <v>575</v>
      </c>
      <c r="X3858" s="784">
        <v>14611129792.346064</v>
      </c>
    </row>
    <row r="3859" spans="1:24">
      <c r="A3859" t="s">
        <v>358</v>
      </c>
      <c r="B3859" t="s">
        <v>683</v>
      </c>
      <c r="C3859" t="s">
        <v>281</v>
      </c>
      <c r="D3859" t="s">
        <v>126</v>
      </c>
      <c r="E3859" t="s">
        <v>377</v>
      </c>
      <c r="F3859" t="s">
        <v>384</v>
      </c>
      <c r="G3859" t="s">
        <v>58</v>
      </c>
      <c r="H3859" t="s">
        <v>58</v>
      </c>
      <c r="I3859" t="s">
        <v>743</v>
      </c>
      <c r="J3859" t="s">
        <v>379</v>
      </c>
      <c r="K3859" t="s">
        <v>546</v>
      </c>
      <c r="L3859" s="784">
        <v>725723</v>
      </c>
      <c r="M3859" t="s">
        <v>745</v>
      </c>
      <c r="P3859" t="s">
        <v>1887</v>
      </c>
      <c r="R3859" t="s">
        <v>150</v>
      </c>
      <c r="S3859" t="s">
        <v>145</v>
      </c>
      <c r="U3859">
        <v>0</v>
      </c>
      <c r="V3859" t="s">
        <v>541</v>
      </c>
      <c r="W3859" t="s">
        <v>558</v>
      </c>
      <c r="X3859" s="784">
        <v>72046877.233008593</v>
      </c>
    </row>
    <row r="3860" spans="1:24">
      <c r="A3860" t="s">
        <v>358</v>
      </c>
      <c r="B3860" t="s">
        <v>684</v>
      </c>
      <c r="C3860" t="s">
        <v>282</v>
      </c>
      <c r="D3860" t="s">
        <v>129</v>
      </c>
      <c r="E3860" t="s">
        <v>377</v>
      </c>
      <c r="F3860" t="s">
        <v>384</v>
      </c>
      <c r="G3860" t="s">
        <v>58</v>
      </c>
      <c r="H3860" t="s">
        <v>58</v>
      </c>
      <c r="I3860" t="s">
        <v>743</v>
      </c>
      <c r="J3860" t="s">
        <v>379</v>
      </c>
      <c r="K3860" t="s">
        <v>546</v>
      </c>
      <c r="L3860" s="784">
        <v>500000</v>
      </c>
      <c r="M3860" t="s">
        <v>745</v>
      </c>
      <c r="P3860" t="s">
        <v>1887</v>
      </c>
      <c r="R3860" t="s">
        <v>148</v>
      </c>
      <c r="S3860" t="s">
        <v>145</v>
      </c>
      <c r="U3860">
        <v>0</v>
      </c>
      <c r="V3860" t="s">
        <v>544</v>
      </c>
      <c r="W3860" t="s">
        <v>542</v>
      </c>
      <c r="X3860" s="784">
        <v>56248139.267255567</v>
      </c>
    </row>
    <row r="3861" spans="1:24">
      <c r="A3861" t="s">
        <v>358</v>
      </c>
      <c r="B3861" t="s">
        <v>685</v>
      </c>
      <c r="C3861" t="s">
        <v>283</v>
      </c>
      <c r="D3861" t="s">
        <v>126</v>
      </c>
      <c r="E3861" t="s">
        <v>377</v>
      </c>
      <c r="F3861" t="s">
        <v>384</v>
      </c>
      <c r="G3861" t="s">
        <v>58</v>
      </c>
      <c r="H3861" t="s">
        <v>58</v>
      </c>
      <c r="I3861" t="s">
        <v>743</v>
      </c>
      <c r="J3861" t="s">
        <v>379</v>
      </c>
      <c r="K3861" t="s">
        <v>546</v>
      </c>
      <c r="L3861" s="784" t="s">
        <v>575</v>
      </c>
      <c r="M3861" t="s">
        <v>745</v>
      </c>
      <c r="P3861" t="s">
        <v>1887</v>
      </c>
      <c r="R3861" t="s">
        <v>152</v>
      </c>
      <c r="S3861" t="s">
        <v>145</v>
      </c>
      <c r="U3861">
        <v>0</v>
      </c>
      <c r="V3861" t="s">
        <v>541</v>
      </c>
      <c r="W3861" t="s">
        <v>542</v>
      </c>
      <c r="X3861" s="784">
        <v>15464031.712942109</v>
      </c>
    </row>
    <row r="3862" spans="1:24">
      <c r="A3862" t="s">
        <v>358</v>
      </c>
      <c r="B3862" t="s">
        <v>686</v>
      </c>
      <c r="C3862" t="s">
        <v>284</v>
      </c>
      <c r="D3862" t="s">
        <v>130</v>
      </c>
      <c r="E3862" t="s">
        <v>377</v>
      </c>
      <c r="F3862" t="s">
        <v>384</v>
      </c>
      <c r="G3862" t="s">
        <v>58</v>
      </c>
      <c r="H3862" t="s">
        <v>58</v>
      </c>
      <c r="I3862" t="s">
        <v>743</v>
      </c>
      <c r="J3862" t="s">
        <v>379</v>
      </c>
      <c r="K3862" t="s">
        <v>546</v>
      </c>
      <c r="L3862" s="784" t="s">
        <v>575</v>
      </c>
      <c r="M3862" t="s">
        <v>745</v>
      </c>
      <c r="P3862" t="s">
        <v>1887</v>
      </c>
      <c r="R3862" t="s">
        <v>550</v>
      </c>
      <c r="S3862" t="s">
        <v>146</v>
      </c>
      <c r="U3862">
        <v>0</v>
      </c>
      <c r="V3862" t="s">
        <v>541</v>
      </c>
      <c r="W3862" t="s">
        <v>546</v>
      </c>
      <c r="X3862" s="784">
        <v>769564399.33249676</v>
      </c>
    </row>
    <row r="3863" spans="1:24">
      <c r="A3863" t="s">
        <v>358</v>
      </c>
      <c r="B3863" t="s">
        <v>687</v>
      </c>
      <c r="C3863" t="s">
        <v>285</v>
      </c>
      <c r="D3863" t="s">
        <v>131</v>
      </c>
      <c r="E3863" t="s">
        <v>377</v>
      </c>
      <c r="F3863" t="s">
        <v>384</v>
      </c>
      <c r="G3863" t="s">
        <v>58</v>
      </c>
      <c r="H3863" t="s">
        <v>58</v>
      </c>
      <c r="I3863" t="s">
        <v>743</v>
      </c>
      <c r="J3863" t="s">
        <v>379</v>
      </c>
      <c r="K3863" t="s">
        <v>546</v>
      </c>
      <c r="L3863" s="784">
        <v>3000000</v>
      </c>
      <c r="M3863" t="s">
        <v>745</v>
      </c>
      <c r="P3863" t="s">
        <v>1887</v>
      </c>
      <c r="R3863" t="s">
        <v>150</v>
      </c>
      <c r="S3863" t="s">
        <v>145</v>
      </c>
      <c r="U3863">
        <v>0</v>
      </c>
      <c r="V3863" t="s">
        <v>544</v>
      </c>
      <c r="W3863" t="s">
        <v>546</v>
      </c>
      <c r="X3863" s="784">
        <v>1668954539.7630196</v>
      </c>
    </row>
    <row r="3864" spans="1:24">
      <c r="A3864" t="s">
        <v>358</v>
      </c>
      <c r="B3864" t="s">
        <v>688</v>
      </c>
      <c r="C3864" t="s">
        <v>286</v>
      </c>
      <c r="D3864" t="s">
        <v>127</v>
      </c>
      <c r="E3864" t="s">
        <v>377</v>
      </c>
      <c r="F3864" t="s">
        <v>384</v>
      </c>
      <c r="G3864" t="s">
        <v>58</v>
      </c>
      <c r="H3864" t="s">
        <v>58</v>
      </c>
      <c r="I3864" t="s">
        <v>743</v>
      </c>
      <c r="J3864" t="s">
        <v>379</v>
      </c>
      <c r="K3864" t="s">
        <v>546</v>
      </c>
      <c r="L3864" s="784" t="s">
        <v>575</v>
      </c>
      <c r="M3864" t="s">
        <v>745</v>
      </c>
      <c r="P3864" t="s">
        <v>1887</v>
      </c>
      <c r="R3864" t="s">
        <v>152</v>
      </c>
      <c r="S3864" t="s">
        <v>146</v>
      </c>
      <c r="U3864">
        <v>0</v>
      </c>
      <c r="V3864" t="s">
        <v>544</v>
      </c>
      <c r="W3864" t="s">
        <v>575</v>
      </c>
      <c r="X3864" s="784">
        <v>24840920016.18832</v>
      </c>
    </row>
    <row r="3865" spans="1:24">
      <c r="A3865" t="s">
        <v>358</v>
      </c>
      <c r="B3865" t="s">
        <v>689</v>
      </c>
      <c r="C3865" t="s">
        <v>287</v>
      </c>
      <c r="D3865" t="s">
        <v>127</v>
      </c>
      <c r="E3865" t="s">
        <v>377</v>
      </c>
      <c r="F3865" t="s">
        <v>384</v>
      </c>
      <c r="G3865" t="s">
        <v>58</v>
      </c>
      <c r="H3865" t="s">
        <v>58</v>
      </c>
      <c r="I3865" t="s">
        <v>743</v>
      </c>
      <c r="J3865" t="s">
        <v>379</v>
      </c>
      <c r="K3865" t="s">
        <v>546</v>
      </c>
      <c r="L3865" s="784" t="s">
        <v>575</v>
      </c>
      <c r="M3865" t="s">
        <v>745</v>
      </c>
      <c r="P3865" t="s">
        <v>1887</v>
      </c>
      <c r="R3865" t="s">
        <v>152</v>
      </c>
      <c r="S3865" t="s">
        <v>146</v>
      </c>
      <c r="U3865">
        <v>0</v>
      </c>
      <c r="V3865" t="s">
        <v>544</v>
      </c>
      <c r="W3865" t="s">
        <v>546</v>
      </c>
      <c r="X3865" s="784">
        <v>487888462.83720118</v>
      </c>
    </row>
    <row r="3866" spans="1:24">
      <c r="A3866" t="s">
        <v>358</v>
      </c>
      <c r="B3866" t="s">
        <v>690</v>
      </c>
      <c r="C3866" t="s">
        <v>288</v>
      </c>
      <c r="D3866" t="s">
        <v>126</v>
      </c>
      <c r="E3866" t="s">
        <v>377</v>
      </c>
      <c r="F3866" t="s">
        <v>384</v>
      </c>
      <c r="G3866" t="s">
        <v>58</v>
      </c>
      <c r="H3866" t="s">
        <v>58</v>
      </c>
      <c r="I3866" t="s">
        <v>743</v>
      </c>
      <c r="J3866" t="s">
        <v>379</v>
      </c>
      <c r="K3866" t="s">
        <v>546</v>
      </c>
      <c r="L3866" s="784" t="s">
        <v>575</v>
      </c>
      <c r="M3866" t="s">
        <v>745</v>
      </c>
      <c r="P3866" t="s">
        <v>1887</v>
      </c>
      <c r="R3866" t="s">
        <v>152</v>
      </c>
      <c r="S3866" t="s">
        <v>145</v>
      </c>
      <c r="U3866">
        <v>0</v>
      </c>
      <c r="V3866" t="s">
        <v>541</v>
      </c>
      <c r="W3866" t="s">
        <v>548</v>
      </c>
      <c r="X3866" s="784">
        <v>6365061.1736073596</v>
      </c>
    </row>
    <row r="3867" spans="1:24">
      <c r="A3867" t="s">
        <v>358</v>
      </c>
      <c r="B3867" t="s">
        <v>691</v>
      </c>
      <c r="C3867" t="s">
        <v>289</v>
      </c>
      <c r="D3867" t="s">
        <v>128</v>
      </c>
      <c r="E3867" t="s">
        <v>377</v>
      </c>
      <c r="F3867" t="s">
        <v>384</v>
      </c>
      <c r="G3867" t="s">
        <v>58</v>
      </c>
      <c r="H3867" t="s">
        <v>58</v>
      </c>
      <c r="I3867" t="s">
        <v>743</v>
      </c>
      <c r="J3867" t="s">
        <v>379</v>
      </c>
      <c r="K3867" t="s">
        <v>546</v>
      </c>
      <c r="L3867" s="784">
        <v>4863335</v>
      </c>
      <c r="M3867" t="s">
        <v>745</v>
      </c>
      <c r="P3867" t="s">
        <v>1887</v>
      </c>
      <c r="R3867" t="s">
        <v>148</v>
      </c>
      <c r="S3867" t="s">
        <v>145</v>
      </c>
      <c r="U3867">
        <v>2</v>
      </c>
      <c r="V3867" t="s">
        <v>544</v>
      </c>
      <c r="W3867" t="s">
        <v>558</v>
      </c>
      <c r="X3867" s="784">
        <v>291799092.90196139</v>
      </c>
    </row>
    <row r="3868" spans="1:24">
      <c r="A3868" t="s">
        <v>358</v>
      </c>
      <c r="B3868" t="s">
        <v>692</v>
      </c>
      <c r="C3868" t="s">
        <v>290</v>
      </c>
      <c r="D3868" t="s">
        <v>127</v>
      </c>
      <c r="E3868" t="s">
        <v>377</v>
      </c>
      <c r="F3868" t="s">
        <v>384</v>
      </c>
      <c r="G3868" t="s">
        <v>58</v>
      </c>
      <c r="H3868" t="s">
        <v>58</v>
      </c>
      <c r="I3868" t="s">
        <v>743</v>
      </c>
      <c r="J3868" t="s">
        <v>379</v>
      </c>
      <c r="K3868" t="s">
        <v>546</v>
      </c>
      <c r="L3868" s="784">
        <v>4950000</v>
      </c>
      <c r="M3868" t="s">
        <v>745</v>
      </c>
      <c r="P3868" t="s">
        <v>1887</v>
      </c>
      <c r="R3868" t="s">
        <v>150</v>
      </c>
      <c r="S3868" t="s">
        <v>145</v>
      </c>
      <c r="U3868">
        <v>0</v>
      </c>
      <c r="V3868" t="s">
        <v>544</v>
      </c>
      <c r="W3868" t="s">
        <v>546</v>
      </c>
      <c r="X3868" s="784">
        <v>4844815340.2135534</v>
      </c>
    </row>
    <row r="3869" spans="1:24">
      <c r="A3869" t="s">
        <v>358</v>
      </c>
      <c r="B3869" t="s">
        <v>693</v>
      </c>
      <c r="C3869" t="s">
        <v>291</v>
      </c>
      <c r="D3869" t="s">
        <v>130</v>
      </c>
      <c r="E3869" t="s">
        <v>377</v>
      </c>
      <c r="F3869" t="s">
        <v>384</v>
      </c>
      <c r="G3869" t="s">
        <v>58</v>
      </c>
      <c r="H3869" t="s">
        <v>58</v>
      </c>
      <c r="I3869" t="s">
        <v>743</v>
      </c>
      <c r="J3869" t="s">
        <v>379</v>
      </c>
      <c r="K3869" t="s">
        <v>546</v>
      </c>
      <c r="L3869" s="784" t="s">
        <v>575</v>
      </c>
      <c r="M3869" t="s">
        <v>745</v>
      </c>
      <c r="P3869" t="s">
        <v>1887</v>
      </c>
      <c r="R3869" t="s">
        <v>550</v>
      </c>
      <c r="S3869" t="s">
        <v>146</v>
      </c>
      <c r="U3869">
        <v>0</v>
      </c>
      <c r="V3869" t="s">
        <v>544</v>
      </c>
      <c r="W3869" t="s">
        <v>575</v>
      </c>
      <c r="X3869" s="784">
        <v>4001891446.6871672</v>
      </c>
    </row>
    <row r="3870" spans="1:24">
      <c r="A3870" t="s">
        <v>358</v>
      </c>
      <c r="B3870" t="s">
        <v>694</v>
      </c>
      <c r="C3870" t="s">
        <v>292</v>
      </c>
      <c r="D3870" t="s">
        <v>127</v>
      </c>
      <c r="E3870" t="s">
        <v>377</v>
      </c>
      <c r="F3870" t="s">
        <v>384</v>
      </c>
      <c r="G3870" t="s">
        <v>58</v>
      </c>
      <c r="H3870" t="s">
        <v>58</v>
      </c>
      <c r="I3870" t="s">
        <v>743</v>
      </c>
      <c r="J3870" t="s">
        <v>379</v>
      </c>
      <c r="K3870" t="s">
        <v>546</v>
      </c>
      <c r="L3870" s="784">
        <v>3100000</v>
      </c>
      <c r="M3870" t="s">
        <v>745</v>
      </c>
      <c r="P3870" t="s">
        <v>1887</v>
      </c>
      <c r="R3870" t="s">
        <v>150</v>
      </c>
      <c r="S3870" t="s">
        <v>145</v>
      </c>
      <c r="U3870">
        <v>0</v>
      </c>
      <c r="V3870" t="s">
        <v>544</v>
      </c>
      <c r="W3870" t="s">
        <v>558</v>
      </c>
      <c r="X3870" s="784">
        <v>1019800630.5853213</v>
      </c>
    </row>
    <row r="3871" spans="1:24">
      <c r="A3871" t="s">
        <v>358</v>
      </c>
      <c r="B3871" t="s">
        <v>695</v>
      </c>
      <c r="C3871" t="s">
        <v>293</v>
      </c>
      <c r="D3871" t="s">
        <v>126</v>
      </c>
      <c r="E3871" t="s">
        <v>377</v>
      </c>
      <c r="F3871" t="s">
        <v>384</v>
      </c>
      <c r="G3871" t="s">
        <v>58</v>
      </c>
      <c r="H3871" t="s">
        <v>58</v>
      </c>
      <c r="I3871" t="s">
        <v>743</v>
      </c>
      <c r="J3871" t="s">
        <v>379</v>
      </c>
      <c r="K3871" t="s">
        <v>546</v>
      </c>
      <c r="L3871" s="784" t="s">
        <v>575</v>
      </c>
      <c r="M3871" t="s">
        <v>745</v>
      </c>
      <c r="P3871" t="s">
        <v>1887</v>
      </c>
      <c r="R3871" t="s">
        <v>150</v>
      </c>
      <c r="S3871" t="s">
        <v>145</v>
      </c>
      <c r="U3871">
        <v>0</v>
      </c>
      <c r="V3871" t="s">
        <v>541</v>
      </c>
      <c r="W3871" t="s">
        <v>562</v>
      </c>
      <c r="X3871" s="784">
        <v>19578671.310841195</v>
      </c>
    </row>
    <row r="3872" spans="1:24">
      <c r="A3872" t="s">
        <v>358</v>
      </c>
      <c r="B3872" t="s">
        <v>696</v>
      </c>
      <c r="C3872" t="s">
        <v>294</v>
      </c>
      <c r="D3872" t="s">
        <v>130</v>
      </c>
      <c r="E3872" t="s">
        <v>377</v>
      </c>
      <c r="F3872" t="s">
        <v>384</v>
      </c>
      <c r="G3872" t="s">
        <v>58</v>
      </c>
      <c r="H3872" t="s">
        <v>58</v>
      </c>
      <c r="I3872" t="s">
        <v>743</v>
      </c>
      <c r="J3872" t="s">
        <v>379</v>
      </c>
      <c r="K3872" t="s">
        <v>546</v>
      </c>
      <c r="L3872" s="784" t="s">
        <v>575</v>
      </c>
      <c r="M3872" t="s">
        <v>745</v>
      </c>
      <c r="P3872" t="s">
        <v>1887</v>
      </c>
      <c r="R3872" t="s">
        <v>322</v>
      </c>
      <c r="S3872" t="s">
        <v>146</v>
      </c>
      <c r="U3872">
        <v>0</v>
      </c>
      <c r="V3872" t="s">
        <v>544</v>
      </c>
      <c r="W3872" t="s">
        <v>546</v>
      </c>
      <c r="X3872" s="784">
        <v>3551452001.0684834</v>
      </c>
    </row>
    <row r="3873" spans="1:24">
      <c r="A3873" t="s">
        <v>358</v>
      </c>
      <c r="B3873" t="s">
        <v>697</v>
      </c>
      <c r="C3873" t="s">
        <v>295</v>
      </c>
      <c r="D3873" t="s">
        <v>126</v>
      </c>
      <c r="E3873" t="s">
        <v>377</v>
      </c>
      <c r="F3873" t="s">
        <v>384</v>
      </c>
      <c r="G3873" t="s">
        <v>58</v>
      </c>
      <c r="H3873" t="s">
        <v>58</v>
      </c>
      <c r="I3873" t="s">
        <v>743</v>
      </c>
      <c r="J3873" t="s">
        <v>379</v>
      </c>
      <c r="K3873" t="s">
        <v>546</v>
      </c>
      <c r="L3873" s="784">
        <v>2037000</v>
      </c>
      <c r="M3873" t="s">
        <v>745</v>
      </c>
      <c r="P3873" t="s">
        <v>1887</v>
      </c>
      <c r="R3873" t="s">
        <v>150</v>
      </c>
      <c r="S3873" t="s">
        <v>145</v>
      </c>
      <c r="U3873">
        <v>0</v>
      </c>
      <c r="V3873" t="s">
        <v>544</v>
      </c>
      <c r="W3873" t="s">
        <v>546</v>
      </c>
      <c r="X3873" s="784">
        <v>6603048821.7575006</v>
      </c>
    </row>
    <row r="3874" spans="1:24">
      <c r="A3874" t="s">
        <v>358</v>
      </c>
      <c r="B3874" t="s">
        <v>698</v>
      </c>
      <c r="C3874" t="s">
        <v>296</v>
      </c>
      <c r="D3874" t="s">
        <v>131</v>
      </c>
      <c r="E3874" t="s">
        <v>377</v>
      </c>
      <c r="F3874" t="s">
        <v>384</v>
      </c>
      <c r="G3874" t="s">
        <v>58</v>
      </c>
      <c r="H3874" t="s">
        <v>58</v>
      </c>
      <c r="I3874" t="s">
        <v>743</v>
      </c>
      <c r="J3874" t="s">
        <v>379</v>
      </c>
      <c r="K3874" t="s">
        <v>546</v>
      </c>
      <c r="L3874" s="784">
        <v>2878000</v>
      </c>
      <c r="M3874" t="s">
        <v>745</v>
      </c>
      <c r="P3874" t="s">
        <v>1887</v>
      </c>
      <c r="R3874" t="s">
        <v>148</v>
      </c>
      <c r="S3874" t="s">
        <v>145</v>
      </c>
      <c r="U3874">
        <v>1</v>
      </c>
      <c r="V3874" t="s">
        <v>544</v>
      </c>
      <c r="W3874" t="s">
        <v>548</v>
      </c>
      <c r="X3874" s="784" t="s">
        <v>575</v>
      </c>
    </row>
    <row r="3875" spans="1:24">
      <c r="A3875" t="s">
        <v>358</v>
      </c>
      <c r="B3875" t="s">
        <v>699</v>
      </c>
      <c r="C3875" t="s">
        <v>297</v>
      </c>
      <c r="D3875" t="s">
        <v>128</v>
      </c>
      <c r="E3875" t="s">
        <v>377</v>
      </c>
      <c r="F3875" t="s">
        <v>384</v>
      </c>
      <c r="G3875" t="s">
        <v>58</v>
      </c>
      <c r="H3875" t="s">
        <v>58</v>
      </c>
      <c r="I3875" t="s">
        <v>743</v>
      </c>
      <c r="J3875" t="s">
        <v>379</v>
      </c>
      <c r="K3875" t="s">
        <v>546</v>
      </c>
      <c r="L3875" s="784">
        <v>3200000</v>
      </c>
      <c r="M3875" t="s">
        <v>745</v>
      </c>
      <c r="P3875" t="s">
        <v>1887</v>
      </c>
      <c r="R3875" t="s">
        <v>150</v>
      </c>
      <c r="S3875" t="s">
        <v>145</v>
      </c>
      <c r="U3875">
        <v>0</v>
      </c>
      <c r="V3875" t="s">
        <v>544</v>
      </c>
      <c r="W3875" t="s">
        <v>542</v>
      </c>
      <c r="X3875" s="784">
        <v>515352723.9821828</v>
      </c>
    </row>
    <row r="3876" spans="1:24">
      <c r="A3876" t="s">
        <v>358</v>
      </c>
      <c r="B3876" t="s">
        <v>700</v>
      </c>
      <c r="C3876" t="s">
        <v>298</v>
      </c>
      <c r="D3876" t="s">
        <v>128</v>
      </c>
      <c r="E3876" t="s">
        <v>377</v>
      </c>
      <c r="F3876" t="s">
        <v>384</v>
      </c>
      <c r="G3876" t="s">
        <v>58</v>
      </c>
      <c r="H3876" t="s">
        <v>58</v>
      </c>
      <c r="I3876" t="s">
        <v>743</v>
      </c>
      <c r="J3876" t="s">
        <v>379</v>
      </c>
      <c r="K3876" t="s">
        <v>546</v>
      </c>
      <c r="L3876" s="784">
        <v>2500000</v>
      </c>
      <c r="M3876" t="s">
        <v>745</v>
      </c>
      <c r="P3876" t="s">
        <v>1887</v>
      </c>
      <c r="R3876" t="s">
        <v>150</v>
      </c>
      <c r="S3876" t="s">
        <v>145</v>
      </c>
      <c r="U3876">
        <v>0</v>
      </c>
      <c r="V3876" t="s">
        <v>544</v>
      </c>
      <c r="W3876" t="s">
        <v>546</v>
      </c>
      <c r="X3876" s="784">
        <v>566711742.22428358</v>
      </c>
    </row>
    <row r="3877" spans="1:24">
      <c r="A3877" t="s">
        <v>358</v>
      </c>
      <c r="B3877" t="s">
        <v>540</v>
      </c>
      <c r="C3877" t="s">
        <v>160</v>
      </c>
      <c r="D3877" t="s">
        <v>132</v>
      </c>
      <c r="E3877" t="s">
        <v>377</v>
      </c>
      <c r="F3877" t="s">
        <v>384</v>
      </c>
      <c r="G3877" t="s">
        <v>58</v>
      </c>
      <c r="H3877" t="s">
        <v>749</v>
      </c>
      <c r="I3877" t="s">
        <v>743</v>
      </c>
      <c r="J3877" t="s">
        <v>379</v>
      </c>
      <c r="K3877" t="s">
        <v>546</v>
      </c>
      <c r="L3877" s="784">
        <v>0</v>
      </c>
      <c r="M3877" t="s">
        <v>745</v>
      </c>
      <c r="N3877" s="784" t="s">
        <v>575</v>
      </c>
      <c r="O3877" t="s">
        <v>737</v>
      </c>
      <c r="P3877" t="s">
        <v>750</v>
      </c>
      <c r="R3877" t="s">
        <v>148</v>
      </c>
      <c r="S3877" t="s">
        <v>145</v>
      </c>
      <c r="U3877">
        <v>1</v>
      </c>
      <c r="V3877" t="s">
        <v>544</v>
      </c>
      <c r="W3877" t="s">
        <v>542</v>
      </c>
      <c r="X3877" s="784">
        <v>95829480.719269618</v>
      </c>
    </row>
    <row r="3878" spans="1:24">
      <c r="A3878" t="s">
        <v>358</v>
      </c>
      <c r="B3878" t="s">
        <v>543</v>
      </c>
      <c r="C3878" t="s">
        <v>161</v>
      </c>
      <c r="D3878" t="s">
        <v>127</v>
      </c>
      <c r="E3878" t="s">
        <v>377</v>
      </c>
      <c r="F3878" t="s">
        <v>384</v>
      </c>
      <c r="G3878" t="s">
        <v>58</v>
      </c>
      <c r="H3878" t="s">
        <v>749</v>
      </c>
      <c r="I3878" t="s">
        <v>743</v>
      </c>
      <c r="J3878" t="s">
        <v>379</v>
      </c>
      <c r="K3878" t="s">
        <v>546</v>
      </c>
      <c r="L3878" s="784">
        <v>0</v>
      </c>
      <c r="M3878" t="s">
        <v>745</v>
      </c>
      <c r="N3878" s="784" t="s">
        <v>575</v>
      </c>
      <c r="O3878" t="s">
        <v>737</v>
      </c>
      <c r="P3878" t="s">
        <v>750</v>
      </c>
      <c r="R3878" t="s">
        <v>152</v>
      </c>
      <c r="S3878" t="s">
        <v>146</v>
      </c>
      <c r="U3878">
        <v>0</v>
      </c>
      <c r="V3878" t="s">
        <v>544</v>
      </c>
      <c r="W3878" t="s">
        <v>575</v>
      </c>
      <c r="X3878" s="784">
        <v>427904035.52443534</v>
      </c>
    </row>
    <row r="3879" spans="1:24">
      <c r="A3879" t="s">
        <v>358</v>
      </c>
      <c r="B3879" t="s">
        <v>545</v>
      </c>
      <c r="C3879" t="s">
        <v>143</v>
      </c>
      <c r="D3879" t="s">
        <v>131</v>
      </c>
      <c r="E3879" t="s">
        <v>377</v>
      </c>
      <c r="F3879" t="s">
        <v>384</v>
      </c>
      <c r="G3879" t="s">
        <v>58</v>
      </c>
      <c r="H3879" t="s">
        <v>749</v>
      </c>
      <c r="I3879" t="s">
        <v>743</v>
      </c>
      <c r="J3879" t="s">
        <v>379</v>
      </c>
      <c r="K3879" t="s">
        <v>546</v>
      </c>
      <c r="L3879" s="784">
        <v>541945</v>
      </c>
      <c r="M3879" t="s">
        <v>745</v>
      </c>
      <c r="N3879" s="784" t="s">
        <v>575</v>
      </c>
      <c r="O3879" t="s">
        <v>737</v>
      </c>
      <c r="P3879" t="s">
        <v>750</v>
      </c>
      <c r="R3879" t="s">
        <v>150</v>
      </c>
      <c r="S3879" t="s">
        <v>145</v>
      </c>
      <c r="U3879">
        <v>0</v>
      </c>
      <c r="V3879" t="s">
        <v>544</v>
      </c>
      <c r="W3879" t="s">
        <v>546</v>
      </c>
      <c r="X3879" s="784">
        <v>7113361022.7267885</v>
      </c>
    </row>
    <row r="3880" spans="1:24">
      <c r="A3880" t="s">
        <v>358</v>
      </c>
      <c r="B3880" t="s">
        <v>547</v>
      </c>
      <c r="C3880" t="s">
        <v>162</v>
      </c>
      <c r="D3880" t="s">
        <v>128</v>
      </c>
      <c r="E3880" t="s">
        <v>377</v>
      </c>
      <c r="F3880" t="s">
        <v>384</v>
      </c>
      <c r="G3880" t="s">
        <v>58</v>
      </c>
      <c r="H3880" t="s">
        <v>749</v>
      </c>
      <c r="I3880" t="s">
        <v>743</v>
      </c>
      <c r="J3880" t="s">
        <v>379</v>
      </c>
      <c r="K3880" t="s">
        <v>546</v>
      </c>
      <c r="L3880" s="784">
        <v>0</v>
      </c>
      <c r="M3880" t="s">
        <v>745</v>
      </c>
      <c r="N3880" s="784" t="s">
        <v>575</v>
      </c>
      <c r="O3880" t="s">
        <v>737</v>
      </c>
      <c r="P3880" t="s">
        <v>750</v>
      </c>
      <c r="R3880" t="s">
        <v>150</v>
      </c>
      <c r="S3880" t="s">
        <v>145</v>
      </c>
      <c r="U3880">
        <v>0</v>
      </c>
      <c r="V3880" t="s">
        <v>544</v>
      </c>
      <c r="W3880" t="s">
        <v>548</v>
      </c>
      <c r="X3880" s="784">
        <v>1131865946.5875781</v>
      </c>
    </row>
    <row r="3881" spans="1:24">
      <c r="A3881" t="s">
        <v>358</v>
      </c>
      <c r="B3881" t="s">
        <v>549</v>
      </c>
      <c r="C3881" t="s">
        <v>163</v>
      </c>
      <c r="D3881" t="s">
        <v>130</v>
      </c>
      <c r="E3881" t="s">
        <v>377</v>
      </c>
      <c r="F3881" t="s">
        <v>384</v>
      </c>
      <c r="G3881" t="s">
        <v>58</v>
      </c>
      <c r="H3881" t="s">
        <v>749</v>
      </c>
      <c r="I3881" t="s">
        <v>743</v>
      </c>
      <c r="J3881" t="s">
        <v>379</v>
      </c>
      <c r="K3881" t="s">
        <v>546</v>
      </c>
      <c r="L3881" s="784">
        <v>0</v>
      </c>
      <c r="M3881" t="s">
        <v>745</v>
      </c>
      <c r="N3881" s="784" t="s">
        <v>575</v>
      </c>
      <c r="O3881" t="s">
        <v>737</v>
      </c>
      <c r="P3881" t="s">
        <v>750</v>
      </c>
      <c r="R3881" t="s">
        <v>550</v>
      </c>
      <c r="S3881" t="s">
        <v>146</v>
      </c>
      <c r="U3881">
        <v>0</v>
      </c>
      <c r="V3881" t="s">
        <v>541</v>
      </c>
      <c r="W3881" t="s">
        <v>575</v>
      </c>
      <c r="X3881" s="784">
        <v>46777779.823447868</v>
      </c>
    </row>
    <row r="3882" spans="1:24">
      <c r="A3882" t="s">
        <v>358</v>
      </c>
      <c r="B3882" t="s">
        <v>551</v>
      </c>
      <c r="C3882" t="s">
        <v>164</v>
      </c>
      <c r="D3882" t="s">
        <v>130</v>
      </c>
      <c r="E3882" t="s">
        <v>377</v>
      </c>
      <c r="F3882" t="s">
        <v>384</v>
      </c>
      <c r="G3882" t="s">
        <v>58</v>
      </c>
      <c r="H3882" t="s">
        <v>749</v>
      </c>
      <c r="I3882" t="s">
        <v>743</v>
      </c>
      <c r="J3882" t="s">
        <v>379</v>
      </c>
      <c r="K3882" t="s">
        <v>546</v>
      </c>
      <c r="L3882" s="784">
        <v>0</v>
      </c>
      <c r="M3882" t="s">
        <v>745</v>
      </c>
      <c r="N3882" s="784" t="s">
        <v>575</v>
      </c>
      <c r="O3882" t="s">
        <v>737</v>
      </c>
      <c r="P3882" t="s">
        <v>750</v>
      </c>
      <c r="R3882" t="s">
        <v>152</v>
      </c>
      <c r="S3882" t="s">
        <v>146</v>
      </c>
      <c r="U3882">
        <v>0</v>
      </c>
      <c r="V3882" t="s">
        <v>544</v>
      </c>
      <c r="W3882" t="s">
        <v>575</v>
      </c>
      <c r="X3882" s="784">
        <v>30725305777.596794</v>
      </c>
    </row>
    <row r="3883" spans="1:24">
      <c r="A3883" t="s">
        <v>358</v>
      </c>
      <c r="B3883" t="s">
        <v>553</v>
      </c>
      <c r="C3883" t="s">
        <v>165</v>
      </c>
      <c r="D3883" t="s">
        <v>127</v>
      </c>
      <c r="E3883" t="s">
        <v>377</v>
      </c>
      <c r="F3883" t="s">
        <v>384</v>
      </c>
      <c r="G3883" t="s">
        <v>58</v>
      </c>
      <c r="H3883" t="s">
        <v>749</v>
      </c>
      <c r="I3883" t="s">
        <v>743</v>
      </c>
      <c r="J3883" t="s">
        <v>379</v>
      </c>
      <c r="K3883" t="s">
        <v>546</v>
      </c>
      <c r="L3883" s="784">
        <v>1700000</v>
      </c>
      <c r="M3883" t="s">
        <v>745</v>
      </c>
      <c r="N3883" s="784" t="s">
        <v>575</v>
      </c>
      <c r="O3883" t="s">
        <v>737</v>
      </c>
      <c r="P3883" t="s">
        <v>750</v>
      </c>
      <c r="R3883" t="s">
        <v>152</v>
      </c>
      <c r="S3883" t="s">
        <v>146</v>
      </c>
      <c r="U3883">
        <v>0</v>
      </c>
      <c r="V3883" t="s">
        <v>544</v>
      </c>
      <c r="W3883" t="s">
        <v>575</v>
      </c>
      <c r="X3883" s="784">
        <v>153815827.8380394</v>
      </c>
    </row>
    <row r="3884" spans="1:24">
      <c r="A3884" t="s">
        <v>358</v>
      </c>
      <c r="B3884" t="s">
        <v>554</v>
      </c>
      <c r="C3884" t="s">
        <v>166</v>
      </c>
      <c r="D3884" t="s">
        <v>127</v>
      </c>
      <c r="E3884" t="s">
        <v>377</v>
      </c>
      <c r="F3884" t="s">
        <v>384</v>
      </c>
      <c r="G3884" t="s">
        <v>58</v>
      </c>
      <c r="H3884" t="s">
        <v>749</v>
      </c>
      <c r="I3884" t="s">
        <v>743</v>
      </c>
      <c r="J3884" t="s">
        <v>379</v>
      </c>
      <c r="K3884" t="s">
        <v>546</v>
      </c>
      <c r="L3884" s="784">
        <v>0</v>
      </c>
      <c r="M3884" t="s">
        <v>745</v>
      </c>
      <c r="N3884" s="784" t="s">
        <v>575</v>
      </c>
      <c r="O3884" t="s">
        <v>737</v>
      </c>
      <c r="P3884" t="s">
        <v>750</v>
      </c>
      <c r="R3884" t="s">
        <v>152</v>
      </c>
      <c r="S3884" t="s">
        <v>146</v>
      </c>
      <c r="U3884">
        <v>0</v>
      </c>
      <c r="V3884" t="s">
        <v>544</v>
      </c>
      <c r="W3884" t="s">
        <v>546</v>
      </c>
      <c r="X3884" s="784">
        <v>437525105.31216973</v>
      </c>
    </row>
    <row r="3885" spans="1:24">
      <c r="A3885" t="s">
        <v>358</v>
      </c>
      <c r="B3885" t="s">
        <v>555</v>
      </c>
      <c r="C3885" t="s">
        <v>556</v>
      </c>
      <c r="D3885" t="s">
        <v>130</v>
      </c>
      <c r="E3885" t="s">
        <v>377</v>
      </c>
      <c r="F3885" t="s">
        <v>384</v>
      </c>
      <c r="G3885" t="s">
        <v>58</v>
      </c>
      <c r="H3885" t="s">
        <v>749</v>
      </c>
      <c r="I3885" t="s">
        <v>743</v>
      </c>
      <c r="J3885" t="s">
        <v>379</v>
      </c>
      <c r="K3885" t="s">
        <v>546</v>
      </c>
      <c r="L3885" s="784">
        <v>894200</v>
      </c>
      <c r="M3885" t="s">
        <v>745</v>
      </c>
      <c r="N3885" s="784" t="s">
        <v>575</v>
      </c>
      <c r="O3885" t="s">
        <v>737</v>
      </c>
      <c r="P3885" t="s">
        <v>750</v>
      </c>
      <c r="R3885" t="s">
        <v>550</v>
      </c>
      <c r="S3885" t="s">
        <v>146</v>
      </c>
      <c r="U3885">
        <v>0</v>
      </c>
      <c r="V3885" t="s">
        <v>541</v>
      </c>
      <c r="W3885" t="s">
        <v>575</v>
      </c>
      <c r="X3885" s="784">
        <v>149463302.00602186</v>
      </c>
    </row>
    <row r="3886" spans="1:24">
      <c r="A3886" t="s">
        <v>358</v>
      </c>
      <c r="B3886" t="s">
        <v>557</v>
      </c>
      <c r="C3886" t="s">
        <v>167</v>
      </c>
      <c r="D3886" t="s">
        <v>132</v>
      </c>
      <c r="E3886" t="s">
        <v>377</v>
      </c>
      <c r="F3886" t="s">
        <v>384</v>
      </c>
      <c r="G3886" t="s">
        <v>58</v>
      </c>
      <c r="H3886" t="s">
        <v>749</v>
      </c>
      <c r="I3886" t="s">
        <v>743</v>
      </c>
      <c r="J3886" t="s">
        <v>379</v>
      </c>
      <c r="K3886" t="s">
        <v>546</v>
      </c>
      <c r="L3886" s="784">
        <v>0</v>
      </c>
      <c r="M3886" t="s">
        <v>745</v>
      </c>
      <c r="N3886" s="784" t="s">
        <v>575</v>
      </c>
      <c r="O3886" t="s">
        <v>737</v>
      </c>
      <c r="P3886" t="s">
        <v>750</v>
      </c>
      <c r="R3886" t="s">
        <v>150</v>
      </c>
      <c r="S3886" t="s">
        <v>145</v>
      </c>
      <c r="U3886">
        <v>0</v>
      </c>
      <c r="V3886" t="s">
        <v>544</v>
      </c>
      <c r="W3886" t="s">
        <v>558</v>
      </c>
      <c r="X3886" s="784">
        <v>1148322593.9600098</v>
      </c>
    </row>
    <row r="3887" spans="1:24">
      <c r="A3887" t="s">
        <v>358</v>
      </c>
      <c r="B3887" t="s">
        <v>559</v>
      </c>
      <c r="C3887" t="s">
        <v>168</v>
      </c>
      <c r="D3887" t="s">
        <v>127</v>
      </c>
      <c r="E3887" t="s">
        <v>377</v>
      </c>
      <c r="F3887" t="s">
        <v>384</v>
      </c>
      <c r="G3887" t="s">
        <v>58</v>
      </c>
      <c r="H3887" t="s">
        <v>749</v>
      </c>
      <c r="I3887" t="s">
        <v>743</v>
      </c>
      <c r="J3887" t="s">
        <v>379</v>
      </c>
      <c r="K3887" t="s">
        <v>546</v>
      </c>
      <c r="L3887" s="784">
        <v>0</v>
      </c>
      <c r="M3887" t="s">
        <v>745</v>
      </c>
      <c r="N3887" s="784" t="s">
        <v>575</v>
      </c>
      <c r="O3887" t="s">
        <v>737</v>
      </c>
      <c r="P3887" t="s">
        <v>750</v>
      </c>
      <c r="R3887" t="s">
        <v>152</v>
      </c>
      <c r="S3887" t="s">
        <v>146</v>
      </c>
      <c r="U3887">
        <v>0</v>
      </c>
      <c r="V3887" t="s">
        <v>544</v>
      </c>
      <c r="W3887" t="s">
        <v>575</v>
      </c>
      <c r="X3887" s="784">
        <v>2371102058.1093163</v>
      </c>
    </row>
    <row r="3888" spans="1:24">
      <c r="A3888" t="s">
        <v>358</v>
      </c>
      <c r="B3888" t="s">
        <v>560</v>
      </c>
      <c r="C3888" t="s">
        <v>169</v>
      </c>
      <c r="D3888" t="s">
        <v>130</v>
      </c>
      <c r="E3888" t="s">
        <v>377</v>
      </c>
      <c r="F3888" t="s">
        <v>384</v>
      </c>
      <c r="G3888" t="s">
        <v>58</v>
      </c>
      <c r="H3888" t="s">
        <v>749</v>
      </c>
      <c r="I3888" t="s">
        <v>743</v>
      </c>
      <c r="J3888" t="s">
        <v>379</v>
      </c>
      <c r="K3888" t="s">
        <v>546</v>
      </c>
      <c r="L3888" s="784">
        <v>0</v>
      </c>
      <c r="M3888" t="s">
        <v>745</v>
      </c>
      <c r="N3888" s="784" t="s">
        <v>575</v>
      </c>
      <c r="O3888" t="s">
        <v>737</v>
      </c>
      <c r="P3888" t="s">
        <v>750</v>
      </c>
      <c r="R3888" t="s">
        <v>150</v>
      </c>
      <c r="S3888" t="s">
        <v>146</v>
      </c>
      <c r="U3888">
        <v>0</v>
      </c>
      <c r="V3888" t="s">
        <v>541</v>
      </c>
      <c r="W3888" t="s">
        <v>546</v>
      </c>
      <c r="X3888" s="784">
        <v>75151620.005215243</v>
      </c>
    </row>
    <row r="3889" spans="1:24">
      <c r="A3889" t="s">
        <v>358</v>
      </c>
      <c r="B3889" t="s">
        <v>561</v>
      </c>
      <c r="C3889" t="s">
        <v>170</v>
      </c>
      <c r="D3889" t="s">
        <v>129</v>
      </c>
      <c r="E3889" t="s">
        <v>377</v>
      </c>
      <c r="F3889" t="s">
        <v>384</v>
      </c>
      <c r="G3889" t="s">
        <v>58</v>
      </c>
      <c r="H3889" t="s">
        <v>749</v>
      </c>
      <c r="I3889" t="s">
        <v>743</v>
      </c>
      <c r="J3889" t="s">
        <v>379</v>
      </c>
      <c r="K3889" t="s">
        <v>546</v>
      </c>
      <c r="L3889" s="784">
        <v>0</v>
      </c>
      <c r="M3889" t="s">
        <v>745</v>
      </c>
      <c r="N3889" s="784" t="s">
        <v>575</v>
      </c>
      <c r="O3889" t="s">
        <v>737</v>
      </c>
      <c r="P3889" t="s">
        <v>750</v>
      </c>
      <c r="R3889" t="s">
        <v>150</v>
      </c>
      <c r="S3889" t="s">
        <v>145</v>
      </c>
      <c r="U3889">
        <v>0</v>
      </c>
      <c r="V3889" t="s">
        <v>544</v>
      </c>
      <c r="W3889" t="s">
        <v>562</v>
      </c>
      <c r="X3889" s="784">
        <v>69958487.197715744</v>
      </c>
    </row>
    <row r="3890" spans="1:24">
      <c r="A3890" t="s">
        <v>358</v>
      </c>
      <c r="B3890" t="s">
        <v>563</v>
      </c>
      <c r="C3890" t="s">
        <v>171</v>
      </c>
      <c r="D3890" t="s">
        <v>132</v>
      </c>
      <c r="E3890" t="s">
        <v>377</v>
      </c>
      <c r="F3890" t="s">
        <v>384</v>
      </c>
      <c r="G3890" t="s">
        <v>58</v>
      </c>
      <c r="H3890" t="s">
        <v>749</v>
      </c>
      <c r="I3890" t="s">
        <v>743</v>
      </c>
      <c r="J3890" t="s">
        <v>379</v>
      </c>
      <c r="K3890" t="s">
        <v>546</v>
      </c>
      <c r="L3890" s="784">
        <v>0</v>
      </c>
      <c r="M3890" t="s">
        <v>745</v>
      </c>
      <c r="N3890" s="784" t="s">
        <v>575</v>
      </c>
      <c r="O3890" t="s">
        <v>737</v>
      </c>
      <c r="P3890" t="s">
        <v>750</v>
      </c>
      <c r="R3890" t="s">
        <v>150</v>
      </c>
      <c r="S3890" t="s">
        <v>145</v>
      </c>
      <c r="U3890">
        <v>0</v>
      </c>
      <c r="V3890" t="s">
        <v>544</v>
      </c>
      <c r="W3890" t="s">
        <v>548</v>
      </c>
      <c r="X3890" s="784">
        <v>61654608.560629159</v>
      </c>
    </row>
    <row r="3891" spans="1:24">
      <c r="A3891" t="s">
        <v>358</v>
      </c>
      <c r="B3891" t="s">
        <v>564</v>
      </c>
      <c r="C3891" t="s">
        <v>172</v>
      </c>
      <c r="D3891" t="s">
        <v>130</v>
      </c>
      <c r="E3891" t="s">
        <v>377</v>
      </c>
      <c r="F3891" t="s">
        <v>384</v>
      </c>
      <c r="G3891" t="s">
        <v>58</v>
      </c>
      <c r="H3891" t="s">
        <v>749</v>
      </c>
      <c r="I3891" t="s">
        <v>743</v>
      </c>
      <c r="J3891" t="s">
        <v>379</v>
      </c>
      <c r="K3891" t="s">
        <v>546</v>
      </c>
      <c r="L3891" s="784">
        <v>0</v>
      </c>
      <c r="M3891" t="s">
        <v>745</v>
      </c>
      <c r="N3891" s="784" t="s">
        <v>575</v>
      </c>
      <c r="O3891" t="s">
        <v>737</v>
      </c>
      <c r="P3891" t="s">
        <v>750</v>
      </c>
      <c r="R3891" t="s">
        <v>150</v>
      </c>
      <c r="S3891" t="s">
        <v>145</v>
      </c>
      <c r="U3891">
        <v>0</v>
      </c>
      <c r="V3891" t="s">
        <v>544</v>
      </c>
      <c r="W3891" t="s">
        <v>546</v>
      </c>
      <c r="X3891" s="784">
        <v>1806638707.7615163</v>
      </c>
    </row>
    <row r="3892" spans="1:24">
      <c r="A3892" t="s">
        <v>358</v>
      </c>
      <c r="B3892" t="s">
        <v>565</v>
      </c>
      <c r="C3892" t="s">
        <v>174</v>
      </c>
      <c r="D3892" t="s">
        <v>127</v>
      </c>
      <c r="E3892" t="s">
        <v>377</v>
      </c>
      <c r="F3892" t="s">
        <v>384</v>
      </c>
      <c r="G3892" t="s">
        <v>58</v>
      </c>
      <c r="H3892" t="s">
        <v>749</v>
      </c>
      <c r="I3892" t="s">
        <v>743</v>
      </c>
      <c r="J3892" t="s">
        <v>379</v>
      </c>
      <c r="K3892" t="s">
        <v>546</v>
      </c>
      <c r="L3892" s="784">
        <v>1800000</v>
      </c>
      <c r="M3892" t="s">
        <v>745</v>
      </c>
      <c r="N3892" s="784" t="s">
        <v>575</v>
      </c>
      <c r="O3892" t="s">
        <v>737</v>
      </c>
      <c r="P3892" t="s">
        <v>750</v>
      </c>
      <c r="R3892" t="s">
        <v>152</v>
      </c>
      <c r="S3892" t="s">
        <v>146</v>
      </c>
      <c r="U3892">
        <v>0</v>
      </c>
      <c r="V3892" t="s">
        <v>544</v>
      </c>
      <c r="W3892" t="s">
        <v>546</v>
      </c>
      <c r="X3892" s="784">
        <v>1252696525.0627904</v>
      </c>
    </row>
    <row r="3893" spans="1:24">
      <c r="A3893" t="s">
        <v>358</v>
      </c>
      <c r="B3893" t="s">
        <v>566</v>
      </c>
      <c r="C3893" t="s">
        <v>175</v>
      </c>
      <c r="D3893" t="s">
        <v>128</v>
      </c>
      <c r="E3893" t="s">
        <v>377</v>
      </c>
      <c r="F3893" t="s">
        <v>384</v>
      </c>
      <c r="G3893" t="s">
        <v>58</v>
      </c>
      <c r="H3893" t="s">
        <v>749</v>
      </c>
      <c r="I3893" t="s">
        <v>743</v>
      </c>
      <c r="J3893" t="s">
        <v>379</v>
      </c>
      <c r="K3893" t="s">
        <v>546</v>
      </c>
      <c r="L3893" s="784">
        <v>0</v>
      </c>
      <c r="M3893" t="s">
        <v>745</v>
      </c>
      <c r="N3893" s="784" t="s">
        <v>575</v>
      </c>
      <c r="O3893" t="s">
        <v>737</v>
      </c>
      <c r="P3893" t="s">
        <v>750</v>
      </c>
      <c r="R3893" t="s">
        <v>152</v>
      </c>
      <c r="S3893" t="s">
        <v>146</v>
      </c>
      <c r="U3893">
        <v>0</v>
      </c>
      <c r="V3893" t="s">
        <v>544</v>
      </c>
      <c r="W3893" t="s">
        <v>575</v>
      </c>
      <c r="X3893" s="784">
        <v>843425084.07334602</v>
      </c>
    </row>
    <row r="3894" spans="1:24">
      <c r="A3894" t="s">
        <v>358</v>
      </c>
      <c r="B3894" t="s">
        <v>567</v>
      </c>
      <c r="C3894" t="s">
        <v>144</v>
      </c>
      <c r="D3894" t="s">
        <v>130</v>
      </c>
      <c r="E3894" t="s">
        <v>377</v>
      </c>
      <c r="F3894" t="s">
        <v>384</v>
      </c>
      <c r="G3894" t="s">
        <v>58</v>
      </c>
      <c r="H3894" t="s">
        <v>749</v>
      </c>
      <c r="I3894" t="s">
        <v>743</v>
      </c>
      <c r="J3894" t="s">
        <v>379</v>
      </c>
      <c r="K3894" t="s">
        <v>546</v>
      </c>
      <c r="L3894" s="784">
        <v>0</v>
      </c>
      <c r="M3894" t="s">
        <v>745</v>
      </c>
      <c r="N3894" s="784" t="s">
        <v>575</v>
      </c>
      <c r="O3894" t="s">
        <v>737</v>
      </c>
      <c r="P3894" t="s">
        <v>750</v>
      </c>
      <c r="R3894" t="s">
        <v>152</v>
      </c>
      <c r="S3894" t="s">
        <v>146</v>
      </c>
      <c r="U3894">
        <v>0</v>
      </c>
      <c r="V3894" t="s">
        <v>544</v>
      </c>
      <c r="W3894" t="s">
        <v>546</v>
      </c>
      <c r="X3894" s="784">
        <v>74055620038.853683</v>
      </c>
    </row>
    <row r="3895" spans="1:24">
      <c r="A3895" t="s">
        <v>358</v>
      </c>
      <c r="B3895" t="s">
        <v>568</v>
      </c>
      <c r="C3895" t="s">
        <v>176</v>
      </c>
      <c r="D3895" t="s">
        <v>127</v>
      </c>
      <c r="E3895" t="s">
        <v>377</v>
      </c>
      <c r="F3895" t="s">
        <v>384</v>
      </c>
      <c r="G3895" t="s">
        <v>58</v>
      </c>
      <c r="H3895" t="s">
        <v>749</v>
      </c>
      <c r="I3895" t="s">
        <v>743</v>
      </c>
      <c r="J3895" t="s">
        <v>379</v>
      </c>
      <c r="K3895" t="s">
        <v>546</v>
      </c>
      <c r="L3895" s="784">
        <v>0</v>
      </c>
      <c r="M3895" t="s">
        <v>745</v>
      </c>
      <c r="N3895" s="784" t="s">
        <v>575</v>
      </c>
      <c r="O3895" t="s">
        <v>737</v>
      </c>
      <c r="P3895" t="s">
        <v>750</v>
      </c>
      <c r="R3895" t="s">
        <v>152</v>
      </c>
      <c r="S3895" t="s">
        <v>146</v>
      </c>
      <c r="U3895">
        <v>0</v>
      </c>
      <c r="V3895" t="s">
        <v>544</v>
      </c>
      <c r="W3895" t="s">
        <v>575</v>
      </c>
      <c r="X3895" s="784">
        <v>2803357765.5888777</v>
      </c>
    </row>
    <row r="3896" spans="1:24">
      <c r="A3896" t="s">
        <v>358</v>
      </c>
      <c r="B3896" t="s">
        <v>569</v>
      </c>
      <c r="C3896" t="s">
        <v>177</v>
      </c>
      <c r="D3896" t="s">
        <v>129</v>
      </c>
      <c r="E3896" t="s">
        <v>377</v>
      </c>
      <c r="F3896" t="s">
        <v>384</v>
      </c>
      <c r="G3896" t="s">
        <v>58</v>
      </c>
      <c r="H3896" t="s">
        <v>749</v>
      </c>
      <c r="I3896" t="s">
        <v>743</v>
      </c>
      <c r="J3896" t="s">
        <v>379</v>
      </c>
      <c r="K3896" t="s">
        <v>546</v>
      </c>
      <c r="L3896" s="784">
        <v>350000</v>
      </c>
      <c r="M3896" t="s">
        <v>745</v>
      </c>
      <c r="N3896" s="784" t="s">
        <v>575</v>
      </c>
      <c r="O3896" t="s">
        <v>737</v>
      </c>
      <c r="P3896" t="s">
        <v>750</v>
      </c>
      <c r="R3896" t="s">
        <v>148</v>
      </c>
      <c r="S3896" t="s">
        <v>145</v>
      </c>
      <c r="U3896">
        <v>2</v>
      </c>
      <c r="V3896" t="s">
        <v>544</v>
      </c>
      <c r="W3896" t="s">
        <v>562</v>
      </c>
      <c r="X3896" s="784">
        <v>337927779.25510043</v>
      </c>
    </row>
    <row r="3897" spans="1:24">
      <c r="A3897" t="s">
        <v>358</v>
      </c>
      <c r="B3897" t="s">
        <v>570</v>
      </c>
      <c r="C3897" t="s">
        <v>178</v>
      </c>
      <c r="D3897" t="s">
        <v>128</v>
      </c>
      <c r="E3897" t="s">
        <v>377</v>
      </c>
      <c r="F3897" t="s">
        <v>384</v>
      </c>
      <c r="G3897" t="s">
        <v>58</v>
      </c>
      <c r="H3897" t="s">
        <v>749</v>
      </c>
      <c r="I3897" t="s">
        <v>743</v>
      </c>
      <c r="J3897" t="s">
        <v>379</v>
      </c>
      <c r="K3897" t="s">
        <v>546</v>
      </c>
      <c r="L3897" s="784">
        <v>500000</v>
      </c>
      <c r="M3897" t="s">
        <v>745</v>
      </c>
      <c r="N3897" s="784" t="s">
        <v>575</v>
      </c>
      <c r="O3897" t="s">
        <v>737</v>
      </c>
      <c r="P3897" t="s">
        <v>750</v>
      </c>
      <c r="R3897" t="s">
        <v>148</v>
      </c>
      <c r="S3897" t="s">
        <v>145</v>
      </c>
      <c r="U3897">
        <v>2</v>
      </c>
      <c r="V3897" t="s">
        <v>544</v>
      </c>
      <c r="W3897" t="s">
        <v>548</v>
      </c>
      <c r="X3897" s="784">
        <v>65979512.47399316</v>
      </c>
    </row>
    <row r="3898" spans="1:24">
      <c r="A3898" t="s">
        <v>358</v>
      </c>
      <c r="B3898" t="s">
        <v>571</v>
      </c>
      <c r="C3898" t="s">
        <v>179</v>
      </c>
      <c r="D3898" t="s">
        <v>129</v>
      </c>
      <c r="E3898" t="s">
        <v>377</v>
      </c>
      <c r="F3898" t="s">
        <v>384</v>
      </c>
      <c r="G3898" t="s">
        <v>58</v>
      </c>
      <c r="H3898" t="s">
        <v>749</v>
      </c>
      <c r="I3898" t="s">
        <v>743</v>
      </c>
      <c r="J3898" t="s">
        <v>379</v>
      </c>
      <c r="K3898" t="s">
        <v>546</v>
      </c>
      <c r="L3898" s="784">
        <v>500000</v>
      </c>
      <c r="M3898" t="s">
        <v>745</v>
      </c>
      <c r="N3898" s="784" t="s">
        <v>575</v>
      </c>
      <c r="O3898" t="s">
        <v>737</v>
      </c>
      <c r="P3898" t="s">
        <v>750</v>
      </c>
      <c r="R3898" t="s">
        <v>150</v>
      </c>
      <c r="S3898" t="s">
        <v>145</v>
      </c>
      <c r="U3898">
        <v>0</v>
      </c>
      <c r="V3898" t="s">
        <v>541</v>
      </c>
      <c r="W3898" t="s">
        <v>542</v>
      </c>
      <c r="X3898" s="784">
        <v>63748362.778827004</v>
      </c>
    </row>
    <row r="3899" spans="1:24">
      <c r="A3899" t="s">
        <v>358</v>
      </c>
      <c r="B3899" t="s">
        <v>572</v>
      </c>
      <c r="C3899" t="s">
        <v>180</v>
      </c>
      <c r="D3899" t="s">
        <v>126</v>
      </c>
      <c r="E3899" t="s">
        <v>377</v>
      </c>
      <c r="F3899" t="s">
        <v>384</v>
      </c>
      <c r="G3899" t="s">
        <v>58</v>
      </c>
      <c r="H3899" t="s">
        <v>749</v>
      </c>
      <c r="I3899" t="s">
        <v>743</v>
      </c>
      <c r="J3899" t="s">
        <v>379</v>
      </c>
      <c r="K3899" t="s">
        <v>546</v>
      </c>
      <c r="L3899" s="784">
        <v>0</v>
      </c>
      <c r="M3899" t="s">
        <v>745</v>
      </c>
      <c r="N3899" s="784" t="s">
        <v>575</v>
      </c>
      <c r="O3899" t="s">
        <v>737</v>
      </c>
      <c r="P3899" t="s">
        <v>750</v>
      </c>
      <c r="R3899" t="s">
        <v>150</v>
      </c>
      <c r="S3899" t="s">
        <v>145</v>
      </c>
      <c r="U3899">
        <v>0</v>
      </c>
      <c r="V3899" t="s">
        <v>544</v>
      </c>
      <c r="W3899" t="s">
        <v>558</v>
      </c>
      <c r="X3899" s="784">
        <v>313039649.45369786</v>
      </c>
    </row>
    <row r="3900" spans="1:24">
      <c r="A3900" t="s">
        <v>358</v>
      </c>
      <c r="B3900" t="s">
        <v>573</v>
      </c>
      <c r="C3900" t="s">
        <v>181</v>
      </c>
      <c r="D3900" t="s">
        <v>129</v>
      </c>
      <c r="E3900" t="s">
        <v>377</v>
      </c>
      <c r="F3900" t="s">
        <v>384</v>
      </c>
      <c r="G3900" t="s">
        <v>58</v>
      </c>
      <c r="H3900" t="s">
        <v>749</v>
      </c>
      <c r="I3900" t="s">
        <v>743</v>
      </c>
      <c r="J3900" t="s">
        <v>379</v>
      </c>
      <c r="K3900" t="s">
        <v>546</v>
      </c>
      <c r="L3900" s="784">
        <v>500000</v>
      </c>
      <c r="M3900" t="s">
        <v>745</v>
      </c>
      <c r="N3900" s="784" t="s">
        <v>575</v>
      </c>
      <c r="O3900" t="s">
        <v>737</v>
      </c>
      <c r="P3900" t="s">
        <v>750</v>
      </c>
      <c r="R3900" t="s">
        <v>150</v>
      </c>
      <c r="S3900" t="s">
        <v>145</v>
      </c>
      <c r="U3900">
        <v>2</v>
      </c>
      <c r="V3900" t="s">
        <v>544</v>
      </c>
      <c r="W3900" t="s">
        <v>542</v>
      </c>
      <c r="X3900" s="784">
        <v>81361801.477472037</v>
      </c>
    </row>
    <row r="3901" spans="1:24">
      <c r="A3901" t="s">
        <v>358</v>
      </c>
      <c r="B3901" t="s">
        <v>574</v>
      </c>
      <c r="C3901" t="s">
        <v>182</v>
      </c>
      <c r="D3901" t="s">
        <v>129</v>
      </c>
      <c r="E3901" t="s">
        <v>377</v>
      </c>
      <c r="F3901" t="s">
        <v>384</v>
      </c>
      <c r="G3901" t="s">
        <v>58</v>
      </c>
      <c r="H3901" t="s">
        <v>749</v>
      </c>
      <c r="I3901" t="s">
        <v>743</v>
      </c>
      <c r="J3901" t="s">
        <v>379</v>
      </c>
      <c r="K3901" t="s">
        <v>546</v>
      </c>
      <c r="L3901" s="784">
        <v>1150000</v>
      </c>
      <c r="M3901" t="s">
        <v>745</v>
      </c>
      <c r="N3901" s="784" t="s">
        <v>575</v>
      </c>
      <c r="O3901" t="s">
        <v>737</v>
      </c>
      <c r="P3901" t="s">
        <v>750</v>
      </c>
      <c r="R3901" t="s">
        <v>148</v>
      </c>
      <c r="S3901" t="s">
        <v>145</v>
      </c>
      <c r="U3901">
        <v>1</v>
      </c>
      <c r="V3901" t="s">
        <v>544</v>
      </c>
      <c r="W3901" t="s">
        <v>542</v>
      </c>
      <c r="X3901" s="784" t="s">
        <v>575</v>
      </c>
    </row>
    <row r="3902" spans="1:24">
      <c r="A3902" t="s">
        <v>358</v>
      </c>
      <c r="B3902" t="s">
        <v>576</v>
      </c>
      <c r="C3902" t="s">
        <v>183</v>
      </c>
      <c r="D3902" t="s">
        <v>129</v>
      </c>
      <c r="E3902" t="s">
        <v>377</v>
      </c>
      <c r="F3902" t="s">
        <v>384</v>
      </c>
      <c r="G3902" t="s">
        <v>58</v>
      </c>
      <c r="H3902" t="s">
        <v>749</v>
      </c>
      <c r="I3902" t="s">
        <v>743</v>
      </c>
      <c r="J3902" t="s">
        <v>379</v>
      </c>
      <c r="K3902" t="s">
        <v>546</v>
      </c>
      <c r="L3902" s="784">
        <v>0</v>
      </c>
      <c r="M3902" t="s">
        <v>745</v>
      </c>
      <c r="N3902" s="784" t="s">
        <v>575</v>
      </c>
      <c r="O3902" t="s">
        <v>737</v>
      </c>
      <c r="P3902" t="s">
        <v>750</v>
      </c>
      <c r="R3902" t="s">
        <v>148</v>
      </c>
      <c r="S3902" t="s">
        <v>145</v>
      </c>
      <c r="U3902">
        <v>1</v>
      </c>
      <c r="V3902" t="s">
        <v>544</v>
      </c>
      <c r="W3902" t="s">
        <v>542</v>
      </c>
      <c r="X3902" s="784">
        <v>76939306.715636879</v>
      </c>
    </row>
    <row r="3903" spans="1:24">
      <c r="A3903" t="s">
        <v>358</v>
      </c>
      <c r="B3903" t="s">
        <v>577</v>
      </c>
      <c r="C3903" t="s">
        <v>184</v>
      </c>
      <c r="D3903" t="s">
        <v>130</v>
      </c>
      <c r="E3903" t="s">
        <v>377</v>
      </c>
      <c r="F3903" t="s">
        <v>384</v>
      </c>
      <c r="G3903" t="s">
        <v>58</v>
      </c>
      <c r="H3903" t="s">
        <v>749</v>
      </c>
      <c r="I3903" t="s">
        <v>743</v>
      </c>
      <c r="J3903" t="s">
        <v>379</v>
      </c>
      <c r="K3903" t="s">
        <v>546</v>
      </c>
      <c r="L3903" s="784">
        <v>0</v>
      </c>
      <c r="M3903" t="s">
        <v>745</v>
      </c>
      <c r="N3903" s="784" t="s">
        <v>575</v>
      </c>
      <c r="O3903" t="s">
        <v>737</v>
      </c>
      <c r="P3903" t="s">
        <v>750</v>
      </c>
      <c r="R3903" t="s">
        <v>550</v>
      </c>
      <c r="S3903" t="s">
        <v>146</v>
      </c>
      <c r="U3903">
        <v>0</v>
      </c>
      <c r="V3903" t="s">
        <v>544</v>
      </c>
      <c r="W3903" t="s">
        <v>575</v>
      </c>
      <c r="X3903" s="784">
        <v>13859708717.682571</v>
      </c>
    </row>
    <row r="3904" spans="1:24">
      <c r="A3904" t="s">
        <v>358</v>
      </c>
      <c r="B3904" t="s">
        <v>578</v>
      </c>
      <c r="C3904" t="s">
        <v>185</v>
      </c>
      <c r="D3904" t="s">
        <v>126</v>
      </c>
      <c r="E3904" t="s">
        <v>377</v>
      </c>
      <c r="F3904" t="s">
        <v>384</v>
      </c>
      <c r="G3904" t="s">
        <v>58</v>
      </c>
      <c r="H3904" t="s">
        <v>749</v>
      </c>
      <c r="I3904" t="s">
        <v>743</v>
      </c>
      <c r="J3904" t="s">
        <v>379</v>
      </c>
      <c r="K3904" t="s">
        <v>546</v>
      </c>
      <c r="L3904" s="784">
        <v>0</v>
      </c>
      <c r="M3904" t="s">
        <v>745</v>
      </c>
      <c r="N3904" s="784" t="s">
        <v>575</v>
      </c>
      <c r="O3904" t="s">
        <v>737</v>
      </c>
      <c r="P3904" t="s">
        <v>750</v>
      </c>
      <c r="R3904" t="s">
        <v>152</v>
      </c>
      <c r="S3904" t="s">
        <v>146</v>
      </c>
      <c r="U3904">
        <v>0</v>
      </c>
      <c r="V3904" t="s">
        <v>544</v>
      </c>
      <c r="W3904" t="s">
        <v>575</v>
      </c>
      <c r="X3904" s="784">
        <v>403567160707.7016</v>
      </c>
    </row>
    <row r="3905" spans="1:24">
      <c r="A3905" t="s">
        <v>358</v>
      </c>
      <c r="B3905" t="s">
        <v>579</v>
      </c>
      <c r="C3905" t="s">
        <v>186</v>
      </c>
      <c r="D3905" t="s">
        <v>130</v>
      </c>
      <c r="E3905" t="s">
        <v>377</v>
      </c>
      <c r="F3905" t="s">
        <v>384</v>
      </c>
      <c r="G3905" t="s">
        <v>58</v>
      </c>
      <c r="H3905" t="s">
        <v>749</v>
      </c>
      <c r="I3905" t="s">
        <v>743</v>
      </c>
      <c r="J3905" t="s">
        <v>379</v>
      </c>
      <c r="K3905" t="s">
        <v>546</v>
      </c>
      <c r="L3905" s="784">
        <v>0</v>
      </c>
      <c r="M3905" t="s">
        <v>745</v>
      </c>
      <c r="N3905" s="784" t="s">
        <v>575</v>
      </c>
      <c r="O3905" t="s">
        <v>737</v>
      </c>
      <c r="P3905" t="s">
        <v>750</v>
      </c>
      <c r="R3905" t="s">
        <v>152</v>
      </c>
      <c r="S3905" t="s">
        <v>146</v>
      </c>
      <c r="U3905">
        <v>0</v>
      </c>
      <c r="V3905" t="s">
        <v>544</v>
      </c>
      <c r="W3905" t="s">
        <v>575</v>
      </c>
      <c r="X3905" s="784">
        <v>18250225995.972618</v>
      </c>
    </row>
    <row r="3906" spans="1:24">
      <c r="A3906" t="s">
        <v>358</v>
      </c>
      <c r="B3906" t="s">
        <v>580</v>
      </c>
      <c r="C3906" t="s">
        <v>187</v>
      </c>
      <c r="D3906" t="s">
        <v>128</v>
      </c>
      <c r="E3906" t="s">
        <v>377</v>
      </c>
      <c r="F3906" t="s">
        <v>384</v>
      </c>
      <c r="G3906" t="s">
        <v>58</v>
      </c>
      <c r="H3906" t="s">
        <v>749</v>
      </c>
      <c r="I3906" t="s">
        <v>743</v>
      </c>
      <c r="J3906" t="s">
        <v>379</v>
      </c>
      <c r="K3906" t="s">
        <v>546</v>
      </c>
      <c r="L3906" s="784">
        <v>0</v>
      </c>
      <c r="M3906" t="s">
        <v>745</v>
      </c>
      <c r="N3906" s="784" t="s">
        <v>575</v>
      </c>
      <c r="O3906" t="s">
        <v>737</v>
      </c>
      <c r="P3906" t="s">
        <v>750</v>
      </c>
      <c r="R3906" t="s">
        <v>150</v>
      </c>
      <c r="S3906" t="s">
        <v>145</v>
      </c>
      <c r="U3906">
        <v>0</v>
      </c>
      <c r="V3906" t="s">
        <v>541</v>
      </c>
      <c r="W3906" t="s">
        <v>562</v>
      </c>
      <c r="X3906" s="784">
        <v>5027591.1682657599</v>
      </c>
    </row>
    <row r="3907" spans="1:24">
      <c r="A3907" t="s">
        <v>358</v>
      </c>
      <c r="B3907" t="s">
        <v>581</v>
      </c>
      <c r="C3907" t="s">
        <v>188</v>
      </c>
      <c r="D3907" t="s">
        <v>129</v>
      </c>
      <c r="E3907" t="s">
        <v>377</v>
      </c>
      <c r="F3907" t="s">
        <v>384</v>
      </c>
      <c r="G3907" t="s">
        <v>58</v>
      </c>
      <c r="H3907" t="s">
        <v>749</v>
      </c>
      <c r="I3907" t="s">
        <v>743</v>
      </c>
      <c r="J3907" t="s">
        <v>379</v>
      </c>
      <c r="K3907" t="s">
        <v>546</v>
      </c>
      <c r="L3907" s="784">
        <v>250899</v>
      </c>
      <c r="M3907" t="s">
        <v>745</v>
      </c>
      <c r="N3907" s="784" t="s">
        <v>575</v>
      </c>
      <c r="O3907" t="s">
        <v>737</v>
      </c>
      <c r="P3907" t="s">
        <v>750</v>
      </c>
      <c r="R3907" t="s">
        <v>148</v>
      </c>
      <c r="S3907" t="s">
        <v>145</v>
      </c>
      <c r="U3907">
        <v>3</v>
      </c>
      <c r="V3907" t="s">
        <v>544</v>
      </c>
      <c r="W3907" t="s">
        <v>562</v>
      </c>
      <c r="X3907" s="784">
        <v>234645958.63289919</v>
      </c>
    </row>
    <row r="3908" spans="1:24">
      <c r="A3908" t="s">
        <v>358</v>
      </c>
      <c r="B3908" t="s">
        <v>582</v>
      </c>
      <c r="C3908" t="s">
        <v>189</v>
      </c>
      <c r="D3908" t="s">
        <v>129</v>
      </c>
      <c r="E3908" t="s">
        <v>377</v>
      </c>
      <c r="F3908" t="s">
        <v>384</v>
      </c>
      <c r="G3908" t="s">
        <v>58</v>
      </c>
      <c r="H3908" t="s">
        <v>749</v>
      </c>
      <c r="I3908" t="s">
        <v>743</v>
      </c>
      <c r="J3908" t="s">
        <v>379</v>
      </c>
      <c r="K3908" t="s">
        <v>546</v>
      </c>
      <c r="L3908" s="784">
        <v>1500000</v>
      </c>
      <c r="M3908" t="s">
        <v>745</v>
      </c>
      <c r="N3908" s="784" t="s">
        <v>575</v>
      </c>
      <c r="O3908" t="s">
        <v>737</v>
      </c>
      <c r="P3908" t="s">
        <v>750</v>
      </c>
      <c r="R3908" t="s">
        <v>150</v>
      </c>
      <c r="S3908" t="s">
        <v>145</v>
      </c>
      <c r="U3908">
        <v>2</v>
      </c>
      <c r="V3908" t="s">
        <v>544</v>
      </c>
      <c r="W3908" t="s">
        <v>583</v>
      </c>
      <c r="X3908" s="784">
        <v>91590910.247314155</v>
      </c>
    </row>
    <row r="3909" spans="1:24">
      <c r="A3909" t="s">
        <v>358</v>
      </c>
      <c r="B3909" t="s">
        <v>584</v>
      </c>
      <c r="C3909" t="s">
        <v>190</v>
      </c>
      <c r="D3909" t="s">
        <v>126</v>
      </c>
      <c r="E3909" t="s">
        <v>377</v>
      </c>
      <c r="F3909" t="s">
        <v>384</v>
      </c>
      <c r="G3909" t="s">
        <v>58</v>
      </c>
      <c r="H3909" t="s">
        <v>749</v>
      </c>
      <c r="I3909" t="s">
        <v>743</v>
      </c>
      <c r="J3909" t="s">
        <v>379</v>
      </c>
      <c r="K3909" t="s">
        <v>546</v>
      </c>
      <c r="L3909" s="784">
        <v>0</v>
      </c>
      <c r="M3909" t="s">
        <v>745</v>
      </c>
      <c r="N3909" s="784" t="s">
        <v>575</v>
      </c>
      <c r="O3909" t="s">
        <v>737</v>
      </c>
      <c r="P3909" t="s">
        <v>750</v>
      </c>
      <c r="R3909" t="s">
        <v>322</v>
      </c>
      <c r="S3909" t="s">
        <v>146</v>
      </c>
      <c r="U3909">
        <v>0</v>
      </c>
      <c r="V3909" t="s">
        <v>541</v>
      </c>
      <c r="W3909" t="s">
        <v>546</v>
      </c>
      <c r="X3909" s="784">
        <v>8560012.8840167802</v>
      </c>
    </row>
    <row r="3910" spans="1:24">
      <c r="A3910" t="s">
        <v>358</v>
      </c>
      <c r="B3910" t="s">
        <v>585</v>
      </c>
      <c r="C3910" t="s">
        <v>191</v>
      </c>
      <c r="D3910" t="s">
        <v>130</v>
      </c>
      <c r="E3910" t="s">
        <v>377</v>
      </c>
      <c r="F3910" t="s">
        <v>384</v>
      </c>
      <c r="G3910" t="s">
        <v>58</v>
      </c>
      <c r="H3910" t="s">
        <v>749</v>
      </c>
      <c r="I3910" t="s">
        <v>743</v>
      </c>
      <c r="J3910" t="s">
        <v>379</v>
      </c>
      <c r="K3910" t="s">
        <v>546</v>
      </c>
      <c r="L3910" s="784">
        <v>0</v>
      </c>
      <c r="M3910" t="s">
        <v>745</v>
      </c>
      <c r="N3910" s="784" t="s">
        <v>575</v>
      </c>
      <c r="O3910" t="s">
        <v>737</v>
      </c>
      <c r="P3910" t="s">
        <v>750</v>
      </c>
      <c r="R3910" t="s">
        <v>152</v>
      </c>
      <c r="S3910" t="s">
        <v>146</v>
      </c>
      <c r="U3910">
        <v>0</v>
      </c>
      <c r="V3910" t="s">
        <v>544</v>
      </c>
      <c r="W3910" t="s">
        <v>546</v>
      </c>
      <c r="X3910" s="784">
        <v>3292372960.3962669</v>
      </c>
    </row>
    <row r="3911" spans="1:24">
      <c r="A3911" t="s">
        <v>358</v>
      </c>
      <c r="B3911" t="s">
        <v>586</v>
      </c>
      <c r="C3911" t="s">
        <v>192</v>
      </c>
      <c r="D3911" t="s">
        <v>129</v>
      </c>
      <c r="E3911" t="s">
        <v>377</v>
      </c>
      <c r="F3911" t="s">
        <v>384</v>
      </c>
      <c r="G3911" t="s">
        <v>58</v>
      </c>
      <c r="H3911" t="s">
        <v>749</v>
      </c>
      <c r="I3911" t="s">
        <v>743</v>
      </c>
      <c r="J3911" t="s">
        <v>379</v>
      </c>
      <c r="K3911" t="s">
        <v>546</v>
      </c>
      <c r="L3911" s="784">
        <v>600000</v>
      </c>
      <c r="M3911" t="s">
        <v>745</v>
      </c>
      <c r="N3911" s="784" t="s">
        <v>575</v>
      </c>
      <c r="O3911" t="s">
        <v>737</v>
      </c>
      <c r="P3911" t="s">
        <v>750</v>
      </c>
      <c r="R3911" t="s">
        <v>150</v>
      </c>
      <c r="S3911" t="s">
        <v>145</v>
      </c>
      <c r="U3911">
        <v>0</v>
      </c>
      <c r="V3911" t="s">
        <v>544</v>
      </c>
      <c r="W3911" t="s">
        <v>562</v>
      </c>
      <c r="X3911" s="784">
        <v>519209981.22981054</v>
      </c>
    </row>
    <row r="3912" spans="1:24">
      <c r="A3912" t="s">
        <v>358</v>
      </c>
      <c r="B3912" t="s">
        <v>587</v>
      </c>
      <c r="C3912" t="s">
        <v>193</v>
      </c>
      <c r="D3912" t="s">
        <v>127</v>
      </c>
      <c r="E3912" t="s">
        <v>377</v>
      </c>
      <c r="F3912" t="s">
        <v>384</v>
      </c>
      <c r="G3912" t="s">
        <v>58</v>
      </c>
      <c r="H3912" t="s">
        <v>749</v>
      </c>
      <c r="I3912" t="s">
        <v>743</v>
      </c>
      <c r="J3912" t="s">
        <v>379</v>
      </c>
      <c r="K3912" t="s">
        <v>546</v>
      </c>
      <c r="L3912" s="784">
        <v>0</v>
      </c>
      <c r="M3912" t="s">
        <v>745</v>
      </c>
      <c r="N3912" s="784" t="s">
        <v>575</v>
      </c>
      <c r="O3912" t="s">
        <v>737</v>
      </c>
      <c r="P3912" t="s">
        <v>750</v>
      </c>
      <c r="R3912" t="s">
        <v>550</v>
      </c>
      <c r="S3912" t="s">
        <v>146</v>
      </c>
      <c r="U3912">
        <v>0</v>
      </c>
      <c r="V3912" t="s">
        <v>544</v>
      </c>
      <c r="W3912" t="s">
        <v>575</v>
      </c>
      <c r="X3912" s="784">
        <v>3464739907.1604805</v>
      </c>
    </row>
    <row r="3913" spans="1:24">
      <c r="A3913" t="s">
        <v>358</v>
      </c>
      <c r="B3913" t="s">
        <v>588</v>
      </c>
      <c r="C3913" t="s">
        <v>147</v>
      </c>
      <c r="D3913" t="s">
        <v>130</v>
      </c>
      <c r="E3913" t="s">
        <v>377</v>
      </c>
      <c r="F3913" t="s">
        <v>384</v>
      </c>
      <c r="G3913" t="s">
        <v>58</v>
      </c>
      <c r="H3913" t="s">
        <v>749</v>
      </c>
      <c r="I3913" t="s">
        <v>743</v>
      </c>
      <c r="J3913" t="s">
        <v>379</v>
      </c>
      <c r="K3913" t="s">
        <v>546</v>
      </c>
      <c r="L3913" s="784">
        <v>0</v>
      </c>
      <c r="M3913" t="s">
        <v>745</v>
      </c>
      <c r="N3913" s="784" t="s">
        <v>575</v>
      </c>
      <c r="O3913" t="s">
        <v>737</v>
      </c>
      <c r="P3913" t="s">
        <v>750</v>
      </c>
      <c r="R3913" t="s">
        <v>152</v>
      </c>
      <c r="S3913" t="s">
        <v>146</v>
      </c>
      <c r="U3913">
        <v>0</v>
      </c>
      <c r="V3913" t="s">
        <v>541</v>
      </c>
      <c r="W3913" t="s">
        <v>575</v>
      </c>
      <c r="X3913" s="784">
        <v>9948521252.2569065</v>
      </c>
    </row>
    <row r="3914" spans="1:24">
      <c r="A3914" t="s">
        <v>358</v>
      </c>
      <c r="B3914" t="s">
        <v>589</v>
      </c>
      <c r="C3914" t="s">
        <v>194</v>
      </c>
      <c r="D3914" t="s">
        <v>131</v>
      </c>
      <c r="E3914" t="s">
        <v>377</v>
      </c>
      <c r="F3914" t="s">
        <v>384</v>
      </c>
      <c r="G3914" t="s">
        <v>58</v>
      </c>
      <c r="H3914" t="s">
        <v>749</v>
      </c>
      <c r="I3914" t="s">
        <v>743</v>
      </c>
      <c r="J3914" t="s">
        <v>379</v>
      </c>
      <c r="K3914" t="s">
        <v>546</v>
      </c>
      <c r="L3914" s="784">
        <v>0</v>
      </c>
      <c r="M3914" t="s">
        <v>745</v>
      </c>
      <c r="N3914" s="784" t="s">
        <v>575</v>
      </c>
      <c r="O3914" t="s">
        <v>737</v>
      </c>
      <c r="P3914" t="s">
        <v>750</v>
      </c>
      <c r="R3914" t="s">
        <v>150</v>
      </c>
      <c r="S3914" t="s">
        <v>145</v>
      </c>
      <c r="U3914">
        <v>1</v>
      </c>
      <c r="V3914" t="s">
        <v>544</v>
      </c>
      <c r="W3914" t="s">
        <v>542</v>
      </c>
      <c r="X3914" s="784">
        <v>33679192.765657313</v>
      </c>
    </row>
    <row r="3915" spans="1:24">
      <c r="A3915" t="s">
        <v>358</v>
      </c>
      <c r="B3915" t="s">
        <v>590</v>
      </c>
      <c r="C3915" t="s">
        <v>195</v>
      </c>
      <c r="D3915" t="s">
        <v>130</v>
      </c>
      <c r="E3915" t="s">
        <v>377</v>
      </c>
      <c r="F3915" t="s">
        <v>384</v>
      </c>
      <c r="G3915" t="s">
        <v>58</v>
      </c>
      <c r="H3915" t="s">
        <v>749</v>
      </c>
      <c r="I3915" t="s">
        <v>743</v>
      </c>
      <c r="J3915" t="s">
        <v>379</v>
      </c>
      <c r="K3915" t="s">
        <v>546</v>
      </c>
      <c r="L3915" s="784">
        <v>0</v>
      </c>
      <c r="M3915" t="s">
        <v>745</v>
      </c>
      <c r="N3915" s="784" t="s">
        <v>575</v>
      </c>
      <c r="O3915" t="s">
        <v>737</v>
      </c>
      <c r="P3915" t="s">
        <v>750</v>
      </c>
      <c r="R3915" t="s">
        <v>152</v>
      </c>
      <c r="S3915" t="s">
        <v>145</v>
      </c>
      <c r="U3915">
        <v>0</v>
      </c>
      <c r="V3915" t="s">
        <v>541</v>
      </c>
      <c r="W3915" t="s">
        <v>548</v>
      </c>
      <c r="X3915" s="784">
        <v>22784494.365742501</v>
      </c>
    </row>
    <row r="3916" spans="1:24">
      <c r="A3916" t="s">
        <v>358</v>
      </c>
      <c r="B3916" t="s">
        <v>591</v>
      </c>
      <c r="C3916" t="s">
        <v>196</v>
      </c>
      <c r="D3916" t="s">
        <v>130</v>
      </c>
      <c r="E3916" t="s">
        <v>377</v>
      </c>
      <c r="F3916" t="s">
        <v>384</v>
      </c>
      <c r="G3916" t="s">
        <v>58</v>
      </c>
      <c r="H3916" t="s">
        <v>749</v>
      </c>
      <c r="I3916" t="s">
        <v>743</v>
      </c>
      <c r="J3916" t="s">
        <v>379</v>
      </c>
      <c r="K3916" t="s">
        <v>546</v>
      </c>
      <c r="L3916" s="784">
        <v>0</v>
      </c>
      <c r="M3916" t="s">
        <v>745</v>
      </c>
      <c r="N3916" s="784" t="s">
        <v>575</v>
      </c>
      <c r="O3916" t="s">
        <v>737</v>
      </c>
      <c r="P3916" t="s">
        <v>750</v>
      </c>
      <c r="R3916" t="s">
        <v>152</v>
      </c>
      <c r="S3916" t="s">
        <v>146</v>
      </c>
      <c r="U3916">
        <v>0</v>
      </c>
      <c r="V3916" t="s">
        <v>541</v>
      </c>
      <c r="W3916" t="s">
        <v>575</v>
      </c>
      <c r="X3916" s="784">
        <v>2173208011.4858823</v>
      </c>
    </row>
    <row r="3917" spans="1:24">
      <c r="A3917" t="s">
        <v>358</v>
      </c>
      <c r="B3917" t="s">
        <v>592</v>
      </c>
      <c r="C3917" t="s">
        <v>197</v>
      </c>
      <c r="D3917" t="s">
        <v>130</v>
      </c>
      <c r="E3917" t="s">
        <v>377</v>
      </c>
      <c r="F3917" t="s">
        <v>384</v>
      </c>
      <c r="G3917" t="s">
        <v>58</v>
      </c>
      <c r="H3917" t="s">
        <v>749</v>
      </c>
      <c r="I3917" t="s">
        <v>743</v>
      </c>
      <c r="J3917" t="s">
        <v>379</v>
      </c>
      <c r="K3917" t="s">
        <v>546</v>
      </c>
      <c r="L3917" s="784">
        <v>0</v>
      </c>
      <c r="M3917" t="s">
        <v>745</v>
      </c>
      <c r="N3917" s="784" t="s">
        <v>575</v>
      </c>
      <c r="O3917" t="s">
        <v>737</v>
      </c>
      <c r="P3917" t="s">
        <v>750</v>
      </c>
      <c r="R3917" t="s">
        <v>152</v>
      </c>
      <c r="S3917" t="s">
        <v>146</v>
      </c>
      <c r="U3917">
        <v>0</v>
      </c>
      <c r="V3917" t="s">
        <v>544</v>
      </c>
      <c r="W3917" t="s">
        <v>546</v>
      </c>
      <c r="X3917" s="784">
        <v>4585736158.8323269</v>
      </c>
    </row>
    <row r="3918" spans="1:24">
      <c r="A3918" t="s">
        <v>358</v>
      </c>
      <c r="B3918" t="s">
        <v>593</v>
      </c>
      <c r="C3918" t="s">
        <v>198</v>
      </c>
      <c r="D3918" t="s">
        <v>131</v>
      </c>
      <c r="E3918" t="s">
        <v>377</v>
      </c>
      <c r="F3918" t="s">
        <v>384</v>
      </c>
      <c r="G3918" t="s">
        <v>58</v>
      </c>
      <c r="H3918" t="s">
        <v>749</v>
      </c>
      <c r="I3918" t="s">
        <v>743</v>
      </c>
      <c r="J3918" t="s">
        <v>379</v>
      </c>
      <c r="K3918" t="s">
        <v>546</v>
      </c>
      <c r="L3918" s="784">
        <v>0</v>
      </c>
      <c r="M3918" t="s">
        <v>745</v>
      </c>
      <c r="N3918" s="784" t="s">
        <v>575</v>
      </c>
      <c r="O3918" t="s">
        <v>737</v>
      </c>
      <c r="P3918" t="s">
        <v>750</v>
      </c>
      <c r="R3918" t="s">
        <v>150</v>
      </c>
      <c r="S3918" t="s">
        <v>145</v>
      </c>
      <c r="U3918">
        <v>0</v>
      </c>
      <c r="V3918" t="s">
        <v>544</v>
      </c>
      <c r="W3918" t="s">
        <v>546</v>
      </c>
      <c r="X3918" s="784">
        <v>3550291584.8645592</v>
      </c>
    </row>
    <row r="3919" spans="1:24">
      <c r="A3919" t="s">
        <v>358</v>
      </c>
      <c r="B3919" t="s">
        <v>594</v>
      </c>
      <c r="C3919" t="s">
        <v>199</v>
      </c>
      <c r="D3919" t="s">
        <v>130</v>
      </c>
      <c r="E3919" t="s">
        <v>377</v>
      </c>
      <c r="F3919" t="s">
        <v>384</v>
      </c>
      <c r="G3919" t="s">
        <v>58</v>
      </c>
      <c r="H3919" t="s">
        <v>749</v>
      </c>
      <c r="I3919" t="s">
        <v>743</v>
      </c>
      <c r="J3919" t="s">
        <v>379</v>
      </c>
      <c r="K3919" t="s">
        <v>546</v>
      </c>
      <c r="L3919" s="784">
        <v>0</v>
      </c>
      <c r="M3919" t="s">
        <v>745</v>
      </c>
      <c r="N3919" s="784" t="s">
        <v>575</v>
      </c>
      <c r="O3919" t="s">
        <v>737</v>
      </c>
      <c r="P3919" t="s">
        <v>750</v>
      </c>
      <c r="R3919" t="s">
        <v>150</v>
      </c>
      <c r="S3919" t="s">
        <v>145</v>
      </c>
      <c r="U3919">
        <v>0</v>
      </c>
      <c r="V3919" t="s">
        <v>544</v>
      </c>
      <c r="W3919" t="s">
        <v>546</v>
      </c>
      <c r="X3919" s="784">
        <v>1182840319.0410969</v>
      </c>
    </row>
    <row r="3920" spans="1:24">
      <c r="A3920" t="s">
        <v>358</v>
      </c>
      <c r="B3920" t="s">
        <v>595</v>
      </c>
      <c r="C3920" t="s">
        <v>200</v>
      </c>
      <c r="D3920" t="s">
        <v>130</v>
      </c>
      <c r="E3920" t="s">
        <v>377</v>
      </c>
      <c r="F3920" t="s">
        <v>384</v>
      </c>
      <c r="G3920" t="s">
        <v>58</v>
      </c>
      <c r="H3920" t="s">
        <v>749</v>
      </c>
      <c r="I3920" t="s">
        <v>743</v>
      </c>
      <c r="J3920" t="s">
        <v>379</v>
      </c>
      <c r="K3920" t="s">
        <v>546</v>
      </c>
      <c r="L3920" s="784">
        <v>0</v>
      </c>
      <c r="M3920" t="s">
        <v>745</v>
      </c>
      <c r="N3920" s="784" t="s">
        <v>575</v>
      </c>
      <c r="O3920" t="s">
        <v>737</v>
      </c>
      <c r="P3920" t="s">
        <v>750</v>
      </c>
      <c r="R3920" t="s">
        <v>152</v>
      </c>
      <c r="S3920" t="s">
        <v>146</v>
      </c>
      <c r="U3920">
        <v>0</v>
      </c>
      <c r="V3920" t="s">
        <v>544</v>
      </c>
      <c r="W3920" t="s">
        <v>575</v>
      </c>
      <c r="X3920" s="784">
        <v>81728347.604567245</v>
      </c>
    </row>
    <row r="3921" spans="1:24">
      <c r="A3921" t="s">
        <v>358</v>
      </c>
      <c r="B3921" t="s">
        <v>596</v>
      </c>
      <c r="C3921" t="s">
        <v>201</v>
      </c>
      <c r="D3921" t="s">
        <v>128</v>
      </c>
      <c r="E3921" t="s">
        <v>377</v>
      </c>
      <c r="F3921" t="s">
        <v>384</v>
      </c>
      <c r="G3921" t="s">
        <v>58</v>
      </c>
      <c r="H3921" t="s">
        <v>749</v>
      </c>
      <c r="I3921" t="s">
        <v>743</v>
      </c>
      <c r="J3921" t="s">
        <v>379</v>
      </c>
      <c r="K3921" t="s">
        <v>546</v>
      </c>
      <c r="L3921" s="784">
        <v>0</v>
      </c>
      <c r="M3921" t="s">
        <v>745</v>
      </c>
      <c r="N3921" s="784" t="s">
        <v>575</v>
      </c>
      <c r="O3921" t="s">
        <v>737</v>
      </c>
      <c r="P3921" t="s">
        <v>750</v>
      </c>
      <c r="R3921" t="s">
        <v>148</v>
      </c>
      <c r="S3921" t="s">
        <v>145</v>
      </c>
      <c r="U3921">
        <v>2</v>
      </c>
      <c r="V3921" t="s">
        <v>544</v>
      </c>
      <c r="W3921" t="s">
        <v>546</v>
      </c>
      <c r="X3921" s="784">
        <v>12787914.977715338</v>
      </c>
    </row>
    <row r="3922" spans="1:24">
      <c r="A3922" t="s">
        <v>358</v>
      </c>
      <c r="B3922" t="s">
        <v>597</v>
      </c>
      <c r="C3922" t="s">
        <v>202</v>
      </c>
      <c r="D3922" t="s">
        <v>128</v>
      </c>
      <c r="E3922" t="s">
        <v>377</v>
      </c>
      <c r="F3922" t="s">
        <v>384</v>
      </c>
      <c r="G3922" t="s">
        <v>58</v>
      </c>
      <c r="H3922" t="s">
        <v>749</v>
      </c>
      <c r="I3922" t="s">
        <v>743</v>
      </c>
      <c r="J3922" t="s">
        <v>379</v>
      </c>
      <c r="K3922" t="s">
        <v>546</v>
      </c>
      <c r="L3922" s="784">
        <v>0</v>
      </c>
      <c r="M3922" t="s">
        <v>745</v>
      </c>
      <c r="N3922" s="784" t="s">
        <v>575</v>
      </c>
      <c r="O3922" t="s">
        <v>737</v>
      </c>
      <c r="P3922" t="s">
        <v>750</v>
      </c>
      <c r="R3922" t="s">
        <v>150</v>
      </c>
      <c r="S3922" t="s">
        <v>145</v>
      </c>
      <c r="U3922">
        <v>2</v>
      </c>
      <c r="V3922" t="s">
        <v>544</v>
      </c>
      <c r="W3922" t="s">
        <v>546</v>
      </c>
      <c r="X3922" s="784">
        <v>101271737.65410839</v>
      </c>
    </row>
    <row r="3923" spans="1:24">
      <c r="A3923" t="s">
        <v>358</v>
      </c>
      <c r="B3923" t="s">
        <v>598</v>
      </c>
      <c r="C3923" t="s">
        <v>203</v>
      </c>
      <c r="D3923" t="s">
        <v>128</v>
      </c>
      <c r="E3923" t="s">
        <v>377</v>
      </c>
      <c r="F3923" t="s">
        <v>384</v>
      </c>
      <c r="G3923" t="s">
        <v>58</v>
      </c>
      <c r="H3923" t="s">
        <v>749</v>
      </c>
      <c r="I3923" t="s">
        <v>743</v>
      </c>
      <c r="J3923" t="s">
        <v>379</v>
      </c>
      <c r="K3923" t="s">
        <v>546</v>
      </c>
      <c r="L3923" s="784">
        <v>0</v>
      </c>
      <c r="M3923" t="s">
        <v>745</v>
      </c>
      <c r="N3923" s="784" t="s">
        <v>575</v>
      </c>
      <c r="O3923" t="s">
        <v>737</v>
      </c>
      <c r="P3923" t="s">
        <v>750</v>
      </c>
      <c r="R3923" t="s">
        <v>148</v>
      </c>
      <c r="S3923" t="s">
        <v>145</v>
      </c>
      <c r="U3923">
        <v>3</v>
      </c>
      <c r="V3923" t="s">
        <v>544</v>
      </c>
      <c r="W3923" t="s">
        <v>542</v>
      </c>
      <c r="X3923" s="784">
        <v>618344226.71759331</v>
      </c>
    </row>
    <row r="3924" spans="1:24">
      <c r="A3924" t="s">
        <v>358</v>
      </c>
      <c r="B3924" t="s">
        <v>599</v>
      </c>
      <c r="C3924" t="s">
        <v>204</v>
      </c>
      <c r="D3924" t="s">
        <v>126</v>
      </c>
      <c r="E3924" t="s">
        <v>377</v>
      </c>
      <c r="F3924" t="s">
        <v>384</v>
      </c>
      <c r="G3924" t="s">
        <v>58</v>
      </c>
      <c r="H3924" t="s">
        <v>749</v>
      </c>
      <c r="I3924" t="s">
        <v>743</v>
      </c>
      <c r="J3924" t="s">
        <v>379</v>
      </c>
      <c r="K3924" t="s">
        <v>546</v>
      </c>
      <c r="L3924" s="784">
        <v>1500000</v>
      </c>
      <c r="M3924" t="s">
        <v>745</v>
      </c>
      <c r="N3924" s="784" t="s">
        <v>575</v>
      </c>
      <c r="O3924" t="s">
        <v>737</v>
      </c>
      <c r="P3924" t="s">
        <v>750</v>
      </c>
      <c r="R3924" t="s">
        <v>152</v>
      </c>
      <c r="S3924" t="s">
        <v>145</v>
      </c>
      <c r="U3924">
        <v>0</v>
      </c>
      <c r="V3924" t="s">
        <v>541</v>
      </c>
      <c r="W3924" t="s">
        <v>548</v>
      </c>
      <c r="X3924" s="784">
        <v>129483872.95906857</v>
      </c>
    </row>
    <row r="3925" spans="1:24">
      <c r="A3925" t="s">
        <v>358</v>
      </c>
      <c r="B3925" t="s">
        <v>600</v>
      </c>
      <c r="C3925" t="s">
        <v>205</v>
      </c>
      <c r="D3925" t="s">
        <v>129</v>
      </c>
      <c r="E3925" t="s">
        <v>377</v>
      </c>
      <c r="F3925" t="s">
        <v>384</v>
      </c>
      <c r="G3925" t="s">
        <v>58</v>
      </c>
      <c r="H3925" t="s">
        <v>749</v>
      </c>
      <c r="I3925" t="s">
        <v>743</v>
      </c>
      <c r="J3925" t="s">
        <v>379</v>
      </c>
      <c r="K3925" t="s">
        <v>546</v>
      </c>
      <c r="L3925" s="784">
        <v>0</v>
      </c>
      <c r="M3925" t="s">
        <v>745</v>
      </c>
      <c r="N3925" s="784" t="s">
        <v>575</v>
      </c>
      <c r="O3925" t="s">
        <v>737</v>
      </c>
      <c r="P3925" t="s">
        <v>750</v>
      </c>
      <c r="R3925" t="s">
        <v>152</v>
      </c>
      <c r="S3925" t="s">
        <v>146</v>
      </c>
      <c r="U3925">
        <v>0</v>
      </c>
      <c r="V3925" t="s">
        <v>544</v>
      </c>
      <c r="W3925" t="s">
        <v>546</v>
      </c>
      <c r="X3925" s="784">
        <v>271184658.35014349</v>
      </c>
    </row>
    <row r="3926" spans="1:24">
      <c r="A3926" t="s">
        <v>358</v>
      </c>
      <c r="B3926" t="s">
        <v>601</v>
      </c>
      <c r="C3926" t="s">
        <v>206</v>
      </c>
      <c r="D3926" t="s">
        <v>129</v>
      </c>
      <c r="E3926" t="s">
        <v>377</v>
      </c>
      <c r="F3926" t="s">
        <v>384</v>
      </c>
      <c r="G3926" t="s">
        <v>58</v>
      </c>
      <c r="H3926" t="s">
        <v>749</v>
      </c>
      <c r="I3926" t="s">
        <v>743</v>
      </c>
      <c r="J3926" t="s">
        <v>379</v>
      </c>
      <c r="K3926" t="s">
        <v>546</v>
      </c>
      <c r="L3926" s="784">
        <v>1085000</v>
      </c>
      <c r="M3926" t="s">
        <v>745</v>
      </c>
      <c r="N3926" s="784" t="s">
        <v>575</v>
      </c>
      <c r="O3926" t="s">
        <v>737</v>
      </c>
      <c r="P3926" t="s">
        <v>750</v>
      </c>
      <c r="R3926" t="s">
        <v>148</v>
      </c>
      <c r="S3926" t="s">
        <v>145</v>
      </c>
      <c r="U3926">
        <v>0</v>
      </c>
      <c r="V3926" t="s">
        <v>544</v>
      </c>
      <c r="W3926" t="s">
        <v>542</v>
      </c>
      <c r="X3926" s="784">
        <v>15455265.086884515</v>
      </c>
    </row>
    <row r="3927" spans="1:24">
      <c r="A3927" t="s">
        <v>358</v>
      </c>
      <c r="B3927" t="s">
        <v>602</v>
      </c>
      <c r="C3927" t="s">
        <v>207</v>
      </c>
      <c r="D3927" t="s">
        <v>127</v>
      </c>
      <c r="E3927" t="s">
        <v>377</v>
      </c>
      <c r="F3927" t="s">
        <v>384</v>
      </c>
      <c r="G3927" t="s">
        <v>58</v>
      </c>
      <c r="H3927" t="s">
        <v>749</v>
      </c>
      <c r="I3927" t="s">
        <v>743</v>
      </c>
      <c r="J3927" t="s">
        <v>379</v>
      </c>
      <c r="K3927" t="s">
        <v>546</v>
      </c>
      <c r="L3927" s="784">
        <v>1000000</v>
      </c>
      <c r="M3927" t="s">
        <v>745</v>
      </c>
      <c r="N3927" s="784" t="s">
        <v>575</v>
      </c>
      <c r="O3927" t="s">
        <v>737</v>
      </c>
      <c r="P3927" t="s">
        <v>750</v>
      </c>
      <c r="R3927" t="s">
        <v>152</v>
      </c>
      <c r="S3927" t="s">
        <v>146</v>
      </c>
      <c r="U3927">
        <v>0</v>
      </c>
      <c r="V3927" t="s">
        <v>544</v>
      </c>
      <c r="W3927" t="s">
        <v>546</v>
      </c>
      <c r="X3927" s="784">
        <v>494021502.525527</v>
      </c>
    </row>
    <row r="3928" spans="1:24">
      <c r="A3928" t="s">
        <v>358</v>
      </c>
      <c r="B3928" t="s">
        <v>603</v>
      </c>
      <c r="C3928" t="s">
        <v>208</v>
      </c>
      <c r="D3928" t="s">
        <v>129</v>
      </c>
      <c r="E3928" t="s">
        <v>377</v>
      </c>
      <c r="F3928" t="s">
        <v>384</v>
      </c>
      <c r="G3928" t="s">
        <v>58</v>
      </c>
      <c r="H3928" t="s">
        <v>749</v>
      </c>
      <c r="I3928" t="s">
        <v>743</v>
      </c>
      <c r="J3928" t="s">
        <v>379</v>
      </c>
      <c r="K3928" t="s">
        <v>546</v>
      </c>
      <c r="L3928" s="784">
        <v>0</v>
      </c>
      <c r="M3928" t="s">
        <v>745</v>
      </c>
      <c r="N3928" s="784" t="s">
        <v>575</v>
      </c>
      <c r="O3928" t="s">
        <v>737</v>
      </c>
      <c r="P3928" t="s">
        <v>750</v>
      </c>
      <c r="R3928" t="s">
        <v>150</v>
      </c>
      <c r="S3928" t="s">
        <v>145</v>
      </c>
      <c r="U3928">
        <v>0</v>
      </c>
      <c r="V3928" t="s">
        <v>544</v>
      </c>
      <c r="W3928" t="s">
        <v>542</v>
      </c>
      <c r="X3928" s="784">
        <v>902005621.73836684</v>
      </c>
    </row>
    <row r="3929" spans="1:24">
      <c r="A3929" t="s">
        <v>358</v>
      </c>
      <c r="B3929" t="s">
        <v>604</v>
      </c>
      <c r="C3929" t="s">
        <v>209</v>
      </c>
      <c r="D3929" t="s">
        <v>130</v>
      </c>
      <c r="E3929" t="s">
        <v>377</v>
      </c>
      <c r="F3929" t="s">
        <v>384</v>
      </c>
      <c r="G3929" t="s">
        <v>58</v>
      </c>
      <c r="H3929" t="s">
        <v>749</v>
      </c>
      <c r="I3929" t="s">
        <v>743</v>
      </c>
      <c r="J3929" t="s">
        <v>379</v>
      </c>
      <c r="K3929" t="s">
        <v>546</v>
      </c>
      <c r="L3929" s="784">
        <v>0</v>
      </c>
      <c r="M3929" t="s">
        <v>745</v>
      </c>
      <c r="N3929" s="784" t="s">
        <v>575</v>
      </c>
      <c r="O3929" t="s">
        <v>737</v>
      </c>
      <c r="P3929" t="s">
        <v>750</v>
      </c>
      <c r="R3929" t="s">
        <v>152</v>
      </c>
      <c r="S3929" t="s">
        <v>145</v>
      </c>
      <c r="U3929">
        <v>0</v>
      </c>
      <c r="V3929" t="s">
        <v>541</v>
      </c>
      <c r="W3929" t="s">
        <v>583</v>
      </c>
      <c r="X3929" s="784">
        <v>20201670.142996579</v>
      </c>
    </row>
    <row r="3930" spans="1:24">
      <c r="A3930" t="s">
        <v>358</v>
      </c>
      <c r="B3930" t="s">
        <v>605</v>
      </c>
      <c r="C3930" t="s">
        <v>210</v>
      </c>
      <c r="D3930" t="s">
        <v>130</v>
      </c>
      <c r="E3930" t="s">
        <v>377</v>
      </c>
      <c r="F3930" t="s">
        <v>384</v>
      </c>
      <c r="G3930" t="s">
        <v>58</v>
      </c>
      <c r="H3930" t="s">
        <v>749</v>
      </c>
      <c r="I3930" t="s">
        <v>743</v>
      </c>
      <c r="J3930" t="s">
        <v>379</v>
      </c>
      <c r="K3930" t="s">
        <v>546</v>
      </c>
      <c r="L3930" s="784">
        <v>0</v>
      </c>
      <c r="M3930" t="s">
        <v>745</v>
      </c>
      <c r="N3930" s="784" t="s">
        <v>575</v>
      </c>
      <c r="O3930" t="s">
        <v>737</v>
      </c>
      <c r="P3930" t="s">
        <v>750</v>
      </c>
      <c r="R3930" t="s">
        <v>152</v>
      </c>
      <c r="S3930" t="s">
        <v>146</v>
      </c>
      <c r="U3930">
        <v>0</v>
      </c>
      <c r="V3930" t="s">
        <v>544</v>
      </c>
      <c r="W3930" t="s">
        <v>575</v>
      </c>
      <c r="X3930" s="784">
        <v>1612434649.6948864</v>
      </c>
    </row>
    <row r="3931" spans="1:24">
      <c r="A3931" t="s">
        <v>358</v>
      </c>
      <c r="B3931" t="s">
        <v>606</v>
      </c>
      <c r="C3931" t="s">
        <v>211</v>
      </c>
      <c r="D3931" t="s">
        <v>129</v>
      </c>
      <c r="E3931" t="s">
        <v>377</v>
      </c>
      <c r="F3931" t="s">
        <v>384</v>
      </c>
      <c r="G3931" t="s">
        <v>58</v>
      </c>
      <c r="H3931" t="s">
        <v>749</v>
      </c>
      <c r="I3931" t="s">
        <v>743</v>
      </c>
      <c r="J3931" t="s">
        <v>379</v>
      </c>
      <c r="K3931" t="s">
        <v>546</v>
      </c>
      <c r="L3931" s="784">
        <v>0</v>
      </c>
      <c r="M3931" t="s">
        <v>745</v>
      </c>
      <c r="N3931" s="784" t="s">
        <v>575</v>
      </c>
      <c r="O3931" t="s">
        <v>737</v>
      </c>
      <c r="P3931" t="s">
        <v>750</v>
      </c>
      <c r="R3931" t="s">
        <v>148</v>
      </c>
      <c r="S3931" t="s">
        <v>145</v>
      </c>
      <c r="U3931">
        <v>0</v>
      </c>
      <c r="V3931" t="s">
        <v>544</v>
      </c>
      <c r="W3931" t="s">
        <v>562</v>
      </c>
      <c r="X3931" s="784">
        <v>78203134.118229344</v>
      </c>
    </row>
    <row r="3932" spans="1:24">
      <c r="A3932" t="s">
        <v>358</v>
      </c>
      <c r="B3932" t="s">
        <v>607</v>
      </c>
      <c r="C3932" t="s">
        <v>212</v>
      </c>
      <c r="D3932" t="s">
        <v>129</v>
      </c>
      <c r="E3932" t="s">
        <v>377</v>
      </c>
      <c r="F3932" t="s">
        <v>384</v>
      </c>
      <c r="G3932" t="s">
        <v>58</v>
      </c>
      <c r="H3932" t="s">
        <v>749</v>
      </c>
      <c r="I3932" t="s">
        <v>743</v>
      </c>
      <c r="J3932" t="s">
        <v>379</v>
      </c>
      <c r="K3932" t="s">
        <v>546</v>
      </c>
      <c r="L3932" s="784">
        <v>200000</v>
      </c>
      <c r="M3932" t="s">
        <v>745</v>
      </c>
      <c r="N3932" s="784" t="s">
        <v>575</v>
      </c>
      <c r="O3932" t="s">
        <v>737</v>
      </c>
      <c r="P3932" t="s">
        <v>750</v>
      </c>
      <c r="R3932" t="s">
        <v>148</v>
      </c>
      <c r="S3932" t="s">
        <v>145</v>
      </c>
      <c r="U3932">
        <v>2</v>
      </c>
      <c r="V3932" t="s">
        <v>541</v>
      </c>
      <c r="W3932" t="s">
        <v>542</v>
      </c>
      <c r="X3932" s="784">
        <v>9151637.7411015611</v>
      </c>
    </row>
    <row r="3933" spans="1:24">
      <c r="A3933" t="s">
        <v>358</v>
      </c>
      <c r="B3933" t="s">
        <v>608</v>
      </c>
      <c r="C3933" t="s">
        <v>213</v>
      </c>
      <c r="D3933" t="s">
        <v>130</v>
      </c>
      <c r="E3933" t="s">
        <v>377</v>
      </c>
      <c r="F3933" t="s">
        <v>384</v>
      </c>
      <c r="G3933" t="s">
        <v>58</v>
      </c>
      <c r="H3933" t="s">
        <v>749</v>
      </c>
      <c r="I3933" t="s">
        <v>743</v>
      </c>
      <c r="J3933" t="s">
        <v>379</v>
      </c>
      <c r="K3933" t="s">
        <v>546</v>
      </c>
      <c r="L3933" s="784">
        <v>705800</v>
      </c>
      <c r="M3933" t="s">
        <v>745</v>
      </c>
      <c r="N3933" s="784" t="s">
        <v>575</v>
      </c>
      <c r="O3933" t="s">
        <v>737</v>
      </c>
      <c r="P3933" t="s">
        <v>750</v>
      </c>
      <c r="R3933" t="s">
        <v>152</v>
      </c>
      <c r="S3933" t="s">
        <v>145</v>
      </c>
      <c r="U3933">
        <v>0</v>
      </c>
      <c r="V3933" t="s">
        <v>541</v>
      </c>
      <c r="W3933" t="s">
        <v>562</v>
      </c>
      <c r="X3933" s="784">
        <v>142455920.02856269</v>
      </c>
    </row>
    <row r="3934" spans="1:24">
      <c r="A3934" t="s">
        <v>358</v>
      </c>
      <c r="B3934" t="s">
        <v>609</v>
      </c>
      <c r="C3934" t="s">
        <v>214</v>
      </c>
      <c r="D3934" t="s">
        <v>130</v>
      </c>
      <c r="E3934" t="s">
        <v>377</v>
      </c>
      <c r="F3934" t="s">
        <v>384</v>
      </c>
      <c r="G3934" t="s">
        <v>58</v>
      </c>
      <c r="H3934" t="s">
        <v>749</v>
      </c>
      <c r="I3934" t="s">
        <v>743</v>
      </c>
      <c r="J3934" t="s">
        <v>379</v>
      </c>
      <c r="K3934" t="s">
        <v>546</v>
      </c>
      <c r="L3934" s="784">
        <v>0</v>
      </c>
      <c r="M3934" t="s">
        <v>745</v>
      </c>
      <c r="N3934" s="784" t="s">
        <v>575</v>
      </c>
      <c r="O3934" t="s">
        <v>737</v>
      </c>
      <c r="P3934" t="s">
        <v>750</v>
      </c>
      <c r="R3934" t="s">
        <v>150</v>
      </c>
      <c r="S3934" t="s">
        <v>145</v>
      </c>
      <c r="U3934">
        <v>1</v>
      </c>
      <c r="V3934" t="s">
        <v>541</v>
      </c>
      <c r="W3934" t="s">
        <v>542</v>
      </c>
      <c r="X3934" s="784">
        <v>85611818.171245083</v>
      </c>
    </row>
    <row r="3935" spans="1:24">
      <c r="A3935" t="s">
        <v>358</v>
      </c>
      <c r="B3935" t="s">
        <v>610</v>
      </c>
      <c r="C3935" t="s">
        <v>215</v>
      </c>
      <c r="D3935" t="s">
        <v>130</v>
      </c>
      <c r="E3935" t="s">
        <v>377</v>
      </c>
      <c r="F3935" t="s">
        <v>384</v>
      </c>
      <c r="G3935" t="s">
        <v>58</v>
      </c>
      <c r="H3935" t="s">
        <v>749</v>
      </c>
      <c r="I3935" t="s">
        <v>743</v>
      </c>
      <c r="J3935" t="s">
        <v>379</v>
      </c>
      <c r="K3935" t="s">
        <v>546</v>
      </c>
      <c r="L3935" s="784">
        <v>0</v>
      </c>
      <c r="M3935" t="s">
        <v>745</v>
      </c>
      <c r="N3935" s="784" t="s">
        <v>575</v>
      </c>
      <c r="O3935" t="s">
        <v>737</v>
      </c>
      <c r="P3935" t="s">
        <v>750</v>
      </c>
      <c r="R3935" t="s">
        <v>150</v>
      </c>
      <c r="S3935" t="s">
        <v>145</v>
      </c>
      <c r="U3935">
        <v>0</v>
      </c>
      <c r="V3935" t="s">
        <v>544</v>
      </c>
      <c r="W3935" t="s">
        <v>558</v>
      </c>
      <c r="X3935" s="784">
        <v>680289736.30082119</v>
      </c>
    </row>
    <row r="3936" spans="1:24">
      <c r="A3936" t="s">
        <v>358</v>
      </c>
      <c r="B3936" t="s">
        <v>611</v>
      </c>
      <c r="C3936" t="s">
        <v>216</v>
      </c>
      <c r="D3936" t="s">
        <v>132</v>
      </c>
      <c r="E3936" t="s">
        <v>377</v>
      </c>
      <c r="F3936" t="s">
        <v>384</v>
      </c>
      <c r="G3936" t="s">
        <v>58</v>
      </c>
      <c r="H3936" t="s">
        <v>749</v>
      </c>
      <c r="I3936" t="s">
        <v>743</v>
      </c>
      <c r="J3936" t="s">
        <v>379</v>
      </c>
      <c r="K3936" t="s">
        <v>546</v>
      </c>
      <c r="L3936" s="784">
        <v>2000000</v>
      </c>
      <c r="M3936" t="s">
        <v>745</v>
      </c>
      <c r="N3936" s="784" t="s">
        <v>575</v>
      </c>
      <c r="O3936" t="s">
        <v>737</v>
      </c>
      <c r="P3936" t="s">
        <v>750</v>
      </c>
      <c r="R3936" t="s">
        <v>150</v>
      </c>
      <c r="S3936" t="s">
        <v>145</v>
      </c>
      <c r="U3936">
        <v>0</v>
      </c>
      <c r="V3936" t="s">
        <v>544</v>
      </c>
      <c r="W3936" t="s">
        <v>546</v>
      </c>
      <c r="X3936" s="784">
        <v>26554332750.47023</v>
      </c>
    </row>
    <row r="3937" spans="1:24">
      <c r="A3937" t="s">
        <v>358</v>
      </c>
      <c r="B3937" t="s">
        <v>612</v>
      </c>
      <c r="C3937" t="s">
        <v>217</v>
      </c>
      <c r="D3937" t="s">
        <v>126</v>
      </c>
      <c r="E3937" t="s">
        <v>377</v>
      </c>
      <c r="F3937" t="s">
        <v>384</v>
      </c>
      <c r="G3937" t="s">
        <v>58</v>
      </c>
      <c r="H3937" t="s">
        <v>749</v>
      </c>
      <c r="I3937" t="s">
        <v>743</v>
      </c>
      <c r="J3937" t="s">
        <v>379</v>
      </c>
      <c r="K3937" t="s">
        <v>546</v>
      </c>
      <c r="L3937" s="784">
        <v>4700000</v>
      </c>
      <c r="M3937" t="s">
        <v>745</v>
      </c>
      <c r="N3937" s="784" t="s">
        <v>575</v>
      </c>
      <c r="O3937" t="s">
        <v>737</v>
      </c>
      <c r="P3937" t="s">
        <v>750</v>
      </c>
      <c r="R3937" t="s">
        <v>150</v>
      </c>
      <c r="S3937" t="s">
        <v>145</v>
      </c>
      <c r="U3937">
        <v>0</v>
      </c>
      <c r="V3937" t="s">
        <v>544</v>
      </c>
      <c r="W3937" t="s">
        <v>546</v>
      </c>
      <c r="X3937" s="784">
        <v>14745961064.890842</v>
      </c>
    </row>
    <row r="3938" spans="1:24">
      <c r="A3938" t="s">
        <v>358</v>
      </c>
      <c r="B3938" t="s">
        <v>613</v>
      </c>
      <c r="C3938" t="s">
        <v>149</v>
      </c>
      <c r="D3938" t="s">
        <v>131</v>
      </c>
      <c r="E3938" t="s">
        <v>377</v>
      </c>
      <c r="F3938" t="s">
        <v>384</v>
      </c>
      <c r="G3938" t="s">
        <v>58</v>
      </c>
      <c r="H3938" t="s">
        <v>749</v>
      </c>
      <c r="I3938" t="s">
        <v>743</v>
      </c>
      <c r="J3938" t="s">
        <v>379</v>
      </c>
      <c r="K3938" t="s">
        <v>546</v>
      </c>
      <c r="L3938" s="784">
        <v>0</v>
      </c>
      <c r="M3938" t="s">
        <v>745</v>
      </c>
      <c r="N3938" s="784" t="s">
        <v>575</v>
      </c>
      <c r="O3938" t="s">
        <v>737</v>
      </c>
      <c r="P3938" t="s">
        <v>750</v>
      </c>
      <c r="R3938" t="s">
        <v>150</v>
      </c>
      <c r="S3938" t="s">
        <v>146</v>
      </c>
      <c r="U3938">
        <v>0</v>
      </c>
      <c r="V3938" t="s">
        <v>544</v>
      </c>
      <c r="W3938" t="s">
        <v>546</v>
      </c>
      <c r="X3938" s="784">
        <v>18194076299.786381</v>
      </c>
    </row>
    <row r="3939" spans="1:24">
      <c r="A3939" t="s">
        <v>358</v>
      </c>
      <c r="B3939" t="s">
        <v>614</v>
      </c>
      <c r="C3939" t="s">
        <v>218</v>
      </c>
      <c r="D3939" t="s">
        <v>131</v>
      </c>
      <c r="E3939" t="s">
        <v>377</v>
      </c>
      <c r="F3939" t="s">
        <v>384</v>
      </c>
      <c r="G3939" t="s">
        <v>58</v>
      </c>
      <c r="H3939" t="s">
        <v>749</v>
      </c>
      <c r="I3939" t="s">
        <v>743</v>
      </c>
      <c r="J3939" t="s">
        <v>379</v>
      </c>
      <c r="K3939" t="s">
        <v>546</v>
      </c>
      <c r="L3939" s="784">
        <v>1290000</v>
      </c>
      <c r="M3939" t="s">
        <v>745</v>
      </c>
      <c r="N3939" s="784" t="s">
        <v>575</v>
      </c>
      <c r="O3939" t="s">
        <v>737</v>
      </c>
      <c r="P3939" t="s">
        <v>750</v>
      </c>
      <c r="R3939" t="s">
        <v>152</v>
      </c>
      <c r="S3939" t="s">
        <v>146</v>
      </c>
      <c r="U3939">
        <v>0</v>
      </c>
      <c r="V3939" t="s">
        <v>544</v>
      </c>
      <c r="W3939" t="s">
        <v>546</v>
      </c>
      <c r="X3939" s="784">
        <v>4428819387.769825</v>
      </c>
    </row>
    <row r="3940" spans="1:24">
      <c r="A3940" t="s">
        <v>358</v>
      </c>
      <c r="B3940" t="s">
        <v>615</v>
      </c>
      <c r="C3940" t="s">
        <v>219</v>
      </c>
      <c r="D3940" t="s">
        <v>130</v>
      </c>
      <c r="E3940" t="s">
        <v>377</v>
      </c>
      <c r="F3940" t="s">
        <v>384</v>
      </c>
      <c r="G3940" t="s">
        <v>58</v>
      </c>
      <c r="H3940" t="s">
        <v>749</v>
      </c>
      <c r="I3940" t="s">
        <v>743</v>
      </c>
      <c r="J3940" t="s">
        <v>379</v>
      </c>
      <c r="K3940" t="s">
        <v>546</v>
      </c>
      <c r="L3940" s="784">
        <v>0</v>
      </c>
      <c r="M3940" t="s">
        <v>745</v>
      </c>
      <c r="N3940" s="784" t="s">
        <v>575</v>
      </c>
      <c r="O3940" t="s">
        <v>737</v>
      </c>
      <c r="P3940" t="s">
        <v>750</v>
      </c>
      <c r="R3940" t="s">
        <v>152</v>
      </c>
      <c r="S3940" t="s">
        <v>146</v>
      </c>
      <c r="U3940">
        <v>0</v>
      </c>
      <c r="V3940" t="s">
        <v>541</v>
      </c>
      <c r="W3940" t="s">
        <v>575</v>
      </c>
      <c r="X3940" s="784">
        <v>611739560.62679195</v>
      </c>
    </row>
    <row r="3941" spans="1:24">
      <c r="A3941" t="s">
        <v>358</v>
      </c>
      <c r="B3941" t="s">
        <v>616</v>
      </c>
      <c r="C3941" t="s">
        <v>220</v>
      </c>
      <c r="D3941" t="s">
        <v>131</v>
      </c>
      <c r="E3941" t="s">
        <v>377</v>
      </c>
      <c r="F3941" t="s">
        <v>384</v>
      </c>
      <c r="G3941" t="s">
        <v>58</v>
      </c>
      <c r="H3941" t="s">
        <v>749</v>
      </c>
      <c r="I3941" t="s">
        <v>743</v>
      </c>
      <c r="J3941" t="s">
        <v>379</v>
      </c>
      <c r="K3941" t="s">
        <v>546</v>
      </c>
      <c r="L3941" s="784">
        <v>0</v>
      </c>
      <c r="M3941" t="s">
        <v>745</v>
      </c>
      <c r="N3941" s="784" t="s">
        <v>575</v>
      </c>
      <c r="O3941" t="s">
        <v>737</v>
      </c>
      <c r="P3941" t="s">
        <v>750</v>
      </c>
      <c r="R3941" t="s">
        <v>152</v>
      </c>
      <c r="S3941" t="s">
        <v>146</v>
      </c>
      <c r="U3941">
        <v>0</v>
      </c>
      <c r="V3941" t="s">
        <v>544</v>
      </c>
      <c r="W3941" t="s">
        <v>546</v>
      </c>
      <c r="X3941" s="784">
        <v>1617913383.0481031</v>
      </c>
    </row>
    <row r="3942" spans="1:24">
      <c r="A3942" t="s">
        <v>358</v>
      </c>
      <c r="B3942" t="s">
        <v>617</v>
      </c>
      <c r="C3942" t="s">
        <v>221</v>
      </c>
      <c r="D3942" t="s">
        <v>127</v>
      </c>
      <c r="E3942" t="s">
        <v>377</v>
      </c>
      <c r="F3942" t="s">
        <v>384</v>
      </c>
      <c r="G3942" t="s">
        <v>58</v>
      </c>
      <c r="H3942" t="s">
        <v>749</v>
      </c>
      <c r="I3942" t="s">
        <v>743</v>
      </c>
      <c r="J3942" t="s">
        <v>379</v>
      </c>
      <c r="K3942" t="s">
        <v>546</v>
      </c>
      <c r="L3942" s="784">
        <v>700000</v>
      </c>
      <c r="M3942" t="s">
        <v>745</v>
      </c>
      <c r="N3942" s="784" t="s">
        <v>575</v>
      </c>
      <c r="O3942" t="s">
        <v>737</v>
      </c>
      <c r="P3942" t="s">
        <v>750</v>
      </c>
      <c r="R3942" t="s">
        <v>152</v>
      </c>
      <c r="S3942" t="s">
        <v>146</v>
      </c>
      <c r="U3942">
        <v>0</v>
      </c>
      <c r="V3942" t="s">
        <v>544</v>
      </c>
      <c r="W3942" t="s">
        <v>575</v>
      </c>
      <c r="X3942" s="784">
        <v>3074419112.4562683</v>
      </c>
    </row>
    <row r="3943" spans="1:24">
      <c r="A3943" t="s">
        <v>358</v>
      </c>
      <c r="B3943" t="s">
        <v>618</v>
      </c>
      <c r="C3943" t="s">
        <v>222</v>
      </c>
      <c r="D3943" t="s">
        <v>128</v>
      </c>
      <c r="E3943" t="s">
        <v>377</v>
      </c>
      <c r="F3943" t="s">
        <v>384</v>
      </c>
      <c r="G3943" t="s">
        <v>58</v>
      </c>
      <c r="H3943" t="s">
        <v>749</v>
      </c>
      <c r="I3943" t="s">
        <v>743</v>
      </c>
      <c r="J3943" t="s">
        <v>379</v>
      </c>
      <c r="K3943" t="s">
        <v>546</v>
      </c>
      <c r="L3943" s="784">
        <v>0</v>
      </c>
      <c r="M3943" t="s">
        <v>745</v>
      </c>
      <c r="N3943" s="784" t="s">
        <v>575</v>
      </c>
      <c r="O3943" t="s">
        <v>737</v>
      </c>
      <c r="P3943" t="s">
        <v>750</v>
      </c>
      <c r="R3943" t="s">
        <v>150</v>
      </c>
      <c r="S3943" t="s">
        <v>145</v>
      </c>
      <c r="U3943">
        <v>0</v>
      </c>
      <c r="V3943" t="s">
        <v>544</v>
      </c>
      <c r="W3943" t="s">
        <v>542</v>
      </c>
      <c r="X3943" s="784">
        <v>1914014279.8929913</v>
      </c>
    </row>
    <row r="3944" spans="1:24">
      <c r="A3944" t="s">
        <v>358</v>
      </c>
      <c r="B3944" t="s">
        <v>619</v>
      </c>
      <c r="C3944" t="s">
        <v>223</v>
      </c>
      <c r="D3944" t="s">
        <v>126</v>
      </c>
      <c r="E3944" t="s">
        <v>377</v>
      </c>
      <c r="F3944" t="s">
        <v>384</v>
      </c>
      <c r="G3944" t="s">
        <v>58</v>
      </c>
      <c r="H3944" t="s">
        <v>749</v>
      </c>
      <c r="I3944" t="s">
        <v>743</v>
      </c>
      <c r="J3944" t="s">
        <v>379</v>
      </c>
      <c r="K3944" t="s">
        <v>546</v>
      </c>
      <c r="L3944" s="784">
        <v>0</v>
      </c>
      <c r="M3944" t="s">
        <v>745</v>
      </c>
      <c r="N3944" s="784" t="s">
        <v>575</v>
      </c>
      <c r="O3944" t="s">
        <v>737</v>
      </c>
      <c r="P3944" t="s">
        <v>750</v>
      </c>
      <c r="R3944" t="s">
        <v>150</v>
      </c>
      <c r="S3944" t="s">
        <v>145</v>
      </c>
      <c r="U3944">
        <v>0</v>
      </c>
      <c r="V3944" t="s">
        <v>541</v>
      </c>
      <c r="W3944" t="s">
        <v>542</v>
      </c>
      <c r="X3944" s="784">
        <v>17422005.762907442</v>
      </c>
    </row>
    <row r="3945" spans="1:24">
      <c r="A3945" t="s">
        <v>358</v>
      </c>
      <c r="B3945" t="s">
        <v>620</v>
      </c>
      <c r="C3945" t="s">
        <v>224</v>
      </c>
      <c r="D3945" t="s">
        <v>126</v>
      </c>
      <c r="E3945" t="s">
        <v>377</v>
      </c>
      <c r="F3945" t="s">
        <v>384</v>
      </c>
      <c r="G3945" t="s">
        <v>58</v>
      </c>
      <c r="H3945" t="s">
        <v>749</v>
      </c>
      <c r="I3945" t="s">
        <v>743</v>
      </c>
      <c r="J3945" t="s">
        <v>379</v>
      </c>
      <c r="K3945" t="s">
        <v>546</v>
      </c>
      <c r="L3945" s="784">
        <v>0</v>
      </c>
      <c r="M3945" t="s">
        <v>745</v>
      </c>
      <c r="N3945" s="784" t="s">
        <v>575</v>
      </c>
      <c r="O3945" t="s">
        <v>737</v>
      </c>
      <c r="P3945" t="s">
        <v>750</v>
      </c>
      <c r="R3945" t="s">
        <v>148</v>
      </c>
      <c r="S3945" t="s">
        <v>145</v>
      </c>
      <c r="U3945">
        <v>0</v>
      </c>
      <c r="V3945" t="s">
        <v>544</v>
      </c>
      <c r="W3945" t="s">
        <v>546</v>
      </c>
      <c r="X3945" s="784" t="s">
        <v>575</v>
      </c>
    </row>
    <row r="3946" spans="1:24">
      <c r="A3946" t="s">
        <v>358</v>
      </c>
      <c r="B3946" t="s">
        <v>621</v>
      </c>
      <c r="C3946" t="s">
        <v>225</v>
      </c>
      <c r="D3946" t="s">
        <v>127</v>
      </c>
      <c r="E3946" t="s">
        <v>377</v>
      </c>
      <c r="F3946" t="s">
        <v>384</v>
      </c>
      <c r="G3946" t="s">
        <v>58</v>
      </c>
      <c r="H3946" t="s">
        <v>749</v>
      </c>
      <c r="I3946" t="s">
        <v>743</v>
      </c>
      <c r="J3946" t="s">
        <v>379</v>
      </c>
      <c r="K3946" t="s">
        <v>546</v>
      </c>
      <c r="L3946" s="784">
        <v>0</v>
      </c>
      <c r="M3946" t="s">
        <v>745</v>
      </c>
      <c r="N3946" s="784" t="s">
        <v>575</v>
      </c>
      <c r="O3946" t="s">
        <v>737</v>
      </c>
      <c r="P3946" t="s">
        <v>750</v>
      </c>
      <c r="R3946" t="s">
        <v>152</v>
      </c>
      <c r="S3946" t="s">
        <v>145</v>
      </c>
      <c r="U3946">
        <v>0</v>
      </c>
      <c r="V3946" t="s">
        <v>544</v>
      </c>
      <c r="W3946" t="s">
        <v>548</v>
      </c>
      <c r="X3946" s="784" t="s">
        <v>575</v>
      </c>
    </row>
    <row r="3947" spans="1:24">
      <c r="A3947" t="s">
        <v>358</v>
      </c>
      <c r="B3947" t="s">
        <v>622</v>
      </c>
      <c r="C3947" t="s">
        <v>226</v>
      </c>
      <c r="D3947" t="s">
        <v>127</v>
      </c>
      <c r="E3947" t="s">
        <v>377</v>
      </c>
      <c r="F3947" t="s">
        <v>384</v>
      </c>
      <c r="G3947" t="s">
        <v>58</v>
      </c>
      <c r="H3947" t="s">
        <v>749</v>
      </c>
      <c r="I3947" t="s">
        <v>743</v>
      </c>
      <c r="J3947" t="s">
        <v>379</v>
      </c>
      <c r="K3947" t="s">
        <v>546</v>
      </c>
      <c r="L3947" s="784">
        <v>0</v>
      </c>
      <c r="M3947" t="s">
        <v>745</v>
      </c>
      <c r="N3947" s="784" t="s">
        <v>575</v>
      </c>
      <c r="O3947" t="s">
        <v>737</v>
      </c>
      <c r="P3947" t="s">
        <v>750</v>
      </c>
      <c r="R3947" t="s">
        <v>150</v>
      </c>
      <c r="S3947" t="s">
        <v>145</v>
      </c>
      <c r="U3947">
        <v>2</v>
      </c>
      <c r="V3947" t="s">
        <v>544</v>
      </c>
      <c r="W3947" t="s">
        <v>562</v>
      </c>
      <c r="X3947" s="784">
        <v>231506834.84347546</v>
      </c>
    </row>
    <row r="3948" spans="1:24">
      <c r="A3948" t="s">
        <v>358</v>
      </c>
      <c r="B3948" t="s">
        <v>623</v>
      </c>
      <c r="C3948" t="s">
        <v>227</v>
      </c>
      <c r="D3948" t="s">
        <v>126</v>
      </c>
      <c r="E3948" t="s">
        <v>377</v>
      </c>
      <c r="F3948" t="s">
        <v>384</v>
      </c>
      <c r="G3948" t="s">
        <v>58</v>
      </c>
      <c r="H3948" t="s">
        <v>749</v>
      </c>
      <c r="I3948" t="s">
        <v>743</v>
      </c>
      <c r="J3948" t="s">
        <v>379</v>
      </c>
      <c r="K3948" t="s">
        <v>546</v>
      </c>
      <c r="L3948" s="784">
        <v>1900000</v>
      </c>
      <c r="M3948" t="s">
        <v>745</v>
      </c>
      <c r="N3948" s="784" t="s">
        <v>575</v>
      </c>
      <c r="O3948" t="s">
        <v>737</v>
      </c>
      <c r="P3948" t="s">
        <v>750</v>
      </c>
      <c r="R3948" t="s">
        <v>150</v>
      </c>
      <c r="S3948" t="s">
        <v>145</v>
      </c>
      <c r="U3948">
        <v>0</v>
      </c>
      <c r="V3948" t="s">
        <v>544</v>
      </c>
      <c r="W3948" t="s">
        <v>542</v>
      </c>
      <c r="X3948" s="784">
        <v>156059428.62944782</v>
      </c>
    </row>
    <row r="3949" spans="1:24">
      <c r="A3949" t="s">
        <v>358</v>
      </c>
      <c r="B3949" t="s">
        <v>624</v>
      </c>
      <c r="C3949" t="s">
        <v>228</v>
      </c>
      <c r="D3949" t="s">
        <v>131</v>
      </c>
      <c r="E3949" t="s">
        <v>377</v>
      </c>
      <c r="F3949" t="s">
        <v>384</v>
      </c>
      <c r="G3949" t="s">
        <v>58</v>
      </c>
      <c r="H3949" t="s">
        <v>749</v>
      </c>
      <c r="I3949" t="s">
        <v>743</v>
      </c>
      <c r="J3949" t="s">
        <v>379</v>
      </c>
      <c r="K3949" t="s">
        <v>546</v>
      </c>
      <c r="L3949" s="784">
        <v>0</v>
      </c>
      <c r="M3949" t="s">
        <v>745</v>
      </c>
      <c r="N3949" s="784" t="s">
        <v>575</v>
      </c>
      <c r="O3949" t="s">
        <v>737</v>
      </c>
      <c r="P3949" t="s">
        <v>750</v>
      </c>
      <c r="R3949" t="s">
        <v>152</v>
      </c>
      <c r="S3949" t="s">
        <v>146</v>
      </c>
      <c r="U3949">
        <v>0</v>
      </c>
      <c r="V3949" t="s">
        <v>544</v>
      </c>
      <c r="W3949" t="s">
        <v>546</v>
      </c>
      <c r="X3949" s="784">
        <v>2355391507.1635861</v>
      </c>
    </row>
    <row r="3950" spans="1:24">
      <c r="A3950" t="s">
        <v>358</v>
      </c>
      <c r="B3950" t="s">
        <v>625</v>
      </c>
      <c r="C3950" t="s">
        <v>229</v>
      </c>
      <c r="D3950" t="s">
        <v>128</v>
      </c>
      <c r="E3950" t="s">
        <v>377</v>
      </c>
      <c r="F3950" t="s">
        <v>384</v>
      </c>
      <c r="G3950" t="s">
        <v>58</v>
      </c>
      <c r="H3950" t="s">
        <v>749</v>
      </c>
      <c r="I3950" t="s">
        <v>743</v>
      </c>
      <c r="J3950" t="s">
        <v>379</v>
      </c>
      <c r="K3950" t="s">
        <v>546</v>
      </c>
      <c r="L3950" s="784">
        <v>0</v>
      </c>
      <c r="M3950" t="s">
        <v>745</v>
      </c>
      <c r="N3950" s="784" t="s">
        <v>575</v>
      </c>
      <c r="O3950" t="s">
        <v>737</v>
      </c>
      <c r="P3950" t="s">
        <v>750</v>
      </c>
      <c r="R3950" t="s">
        <v>150</v>
      </c>
      <c r="S3950" t="s">
        <v>145</v>
      </c>
      <c r="U3950">
        <v>0</v>
      </c>
      <c r="V3950" t="s">
        <v>544</v>
      </c>
      <c r="W3950" t="s">
        <v>562</v>
      </c>
      <c r="X3950" s="784">
        <v>152760919.7684873</v>
      </c>
    </row>
    <row r="3951" spans="1:24">
      <c r="A3951" t="s">
        <v>358</v>
      </c>
      <c r="B3951" t="s">
        <v>626</v>
      </c>
      <c r="C3951" t="s">
        <v>230</v>
      </c>
      <c r="D3951" t="s">
        <v>129</v>
      </c>
      <c r="E3951" t="s">
        <v>377</v>
      </c>
      <c r="F3951" t="s">
        <v>384</v>
      </c>
      <c r="G3951" t="s">
        <v>58</v>
      </c>
      <c r="H3951" t="s">
        <v>749</v>
      </c>
      <c r="I3951" t="s">
        <v>743</v>
      </c>
      <c r="J3951" t="s">
        <v>379</v>
      </c>
      <c r="K3951" t="s">
        <v>546</v>
      </c>
      <c r="L3951" s="784">
        <v>500000</v>
      </c>
      <c r="M3951" t="s">
        <v>745</v>
      </c>
      <c r="N3951" s="784" t="s">
        <v>575</v>
      </c>
      <c r="O3951" t="s">
        <v>737</v>
      </c>
      <c r="P3951" t="s">
        <v>750</v>
      </c>
      <c r="R3951" t="s">
        <v>148</v>
      </c>
      <c r="S3951" t="s">
        <v>145</v>
      </c>
      <c r="U3951">
        <v>0</v>
      </c>
      <c r="V3951" t="s">
        <v>544</v>
      </c>
      <c r="W3951" t="s">
        <v>542</v>
      </c>
      <c r="X3951" s="784">
        <v>55072006.864440605</v>
      </c>
    </row>
    <row r="3952" spans="1:24">
      <c r="A3952" t="s">
        <v>358</v>
      </c>
      <c r="B3952" t="s">
        <v>627</v>
      </c>
      <c r="C3952" t="s">
        <v>231</v>
      </c>
      <c r="D3952" t="s">
        <v>131</v>
      </c>
      <c r="E3952" t="s">
        <v>377</v>
      </c>
      <c r="F3952" t="s">
        <v>384</v>
      </c>
      <c r="G3952" t="s">
        <v>58</v>
      </c>
      <c r="H3952" t="s">
        <v>749</v>
      </c>
      <c r="I3952" t="s">
        <v>743</v>
      </c>
      <c r="J3952" t="s">
        <v>379</v>
      </c>
      <c r="K3952" t="s">
        <v>546</v>
      </c>
      <c r="L3952" s="784">
        <v>1716264</v>
      </c>
      <c r="M3952" t="s">
        <v>745</v>
      </c>
      <c r="N3952" s="784" t="s">
        <v>575</v>
      </c>
      <c r="O3952" t="s">
        <v>737</v>
      </c>
      <c r="P3952" t="s">
        <v>750</v>
      </c>
      <c r="R3952" t="s">
        <v>152</v>
      </c>
      <c r="S3952" t="s">
        <v>146</v>
      </c>
      <c r="U3952">
        <v>0</v>
      </c>
      <c r="V3952" t="s">
        <v>544</v>
      </c>
      <c r="W3952" t="s">
        <v>546</v>
      </c>
      <c r="X3952" s="784" t="s">
        <v>575</v>
      </c>
    </row>
    <row r="3953" spans="1:24">
      <c r="A3953" t="s">
        <v>358</v>
      </c>
      <c r="B3953" t="s">
        <v>628</v>
      </c>
      <c r="C3953" t="s">
        <v>232</v>
      </c>
      <c r="D3953" t="s">
        <v>128</v>
      </c>
      <c r="E3953" t="s">
        <v>377</v>
      </c>
      <c r="F3953" t="s">
        <v>384</v>
      </c>
      <c r="G3953" t="s">
        <v>58</v>
      </c>
      <c r="H3953" t="s">
        <v>749</v>
      </c>
      <c r="I3953" t="s">
        <v>743</v>
      </c>
      <c r="J3953" t="s">
        <v>379</v>
      </c>
      <c r="K3953" t="s">
        <v>546</v>
      </c>
      <c r="L3953" s="784">
        <v>0</v>
      </c>
      <c r="M3953" t="s">
        <v>745</v>
      </c>
      <c r="N3953" s="784" t="s">
        <v>575</v>
      </c>
      <c r="O3953" t="s">
        <v>737</v>
      </c>
      <c r="P3953" t="s">
        <v>750</v>
      </c>
      <c r="R3953" t="s">
        <v>148</v>
      </c>
      <c r="S3953" t="s">
        <v>145</v>
      </c>
      <c r="U3953">
        <v>2</v>
      </c>
      <c r="V3953" t="s">
        <v>544</v>
      </c>
      <c r="W3953" t="s">
        <v>562</v>
      </c>
      <c r="X3953" s="784">
        <v>206914157.05429548</v>
      </c>
    </row>
    <row r="3954" spans="1:24">
      <c r="A3954" t="s">
        <v>358</v>
      </c>
      <c r="B3954" t="s">
        <v>629</v>
      </c>
      <c r="C3954" t="s">
        <v>233</v>
      </c>
      <c r="D3954" t="s">
        <v>128</v>
      </c>
      <c r="E3954" t="s">
        <v>377</v>
      </c>
      <c r="F3954" t="s">
        <v>384</v>
      </c>
      <c r="G3954" t="s">
        <v>58</v>
      </c>
      <c r="H3954" t="s">
        <v>749</v>
      </c>
      <c r="I3954" t="s">
        <v>743</v>
      </c>
      <c r="J3954" t="s">
        <v>379</v>
      </c>
      <c r="K3954" t="s">
        <v>546</v>
      </c>
      <c r="L3954" s="784">
        <v>0</v>
      </c>
      <c r="M3954" t="s">
        <v>745</v>
      </c>
      <c r="N3954" s="784" t="s">
        <v>575</v>
      </c>
      <c r="O3954" t="s">
        <v>737</v>
      </c>
      <c r="P3954" t="s">
        <v>750</v>
      </c>
      <c r="R3954" t="s">
        <v>148</v>
      </c>
      <c r="S3954" t="s">
        <v>145</v>
      </c>
      <c r="U3954">
        <v>2</v>
      </c>
      <c r="V3954" t="s">
        <v>544</v>
      </c>
      <c r="W3954" t="s">
        <v>542</v>
      </c>
      <c r="X3954" s="784">
        <v>185999915.02066413</v>
      </c>
    </row>
    <row r="3955" spans="1:24">
      <c r="A3955" t="s">
        <v>358</v>
      </c>
      <c r="B3955" t="s">
        <v>630</v>
      </c>
      <c r="C3955" t="s">
        <v>234</v>
      </c>
      <c r="D3955" t="s">
        <v>126</v>
      </c>
      <c r="E3955" t="s">
        <v>377</v>
      </c>
      <c r="F3955" t="s">
        <v>384</v>
      </c>
      <c r="G3955" t="s">
        <v>58</v>
      </c>
      <c r="H3955" t="s">
        <v>749</v>
      </c>
      <c r="I3955" t="s">
        <v>743</v>
      </c>
      <c r="J3955" t="s">
        <v>379</v>
      </c>
      <c r="K3955" t="s">
        <v>546</v>
      </c>
      <c r="L3955" s="784">
        <v>0</v>
      </c>
      <c r="M3955" t="s">
        <v>745</v>
      </c>
      <c r="N3955" s="784" t="s">
        <v>575</v>
      </c>
      <c r="O3955" t="s">
        <v>737</v>
      </c>
      <c r="P3955" t="s">
        <v>750</v>
      </c>
      <c r="R3955" t="s">
        <v>152</v>
      </c>
      <c r="S3955" t="s">
        <v>146</v>
      </c>
      <c r="U3955">
        <v>0</v>
      </c>
      <c r="V3955" t="s">
        <v>544</v>
      </c>
      <c r="W3955" t="s">
        <v>575</v>
      </c>
      <c r="X3955" s="784">
        <v>6893755763.2501726</v>
      </c>
    </row>
    <row r="3956" spans="1:24">
      <c r="A3956" t="s">
        <v>358</v>
      </c>
      <c r="B3956" t="s">
        <v>631</v>
      </c>
      <c r="C3956" t="s">
        <v>235</v>
      </c>
      <c r="D3956" t="s">
        <v>132</v>
      </c>
      <c r="E3956" t="s">
        <v>377</v>
      </c>
      <c r="F3956" t="s">
        <v>384</v>
      </c>
      <c r="G3956" t="s">
        <v>58</v>
      </c>
      <c r="H3956" t="s">
        <v>749</v>
      </c>
      <c r="I3956" t="s">
        <v>743</v>
      </c>
      <c r="J3956" t="s">
        <v>379</v>
      </c>
      <c r="K3956" t="s">
        <v>546</v>
      </c>
      <c r="L3956" s="784">
        <v>0</v>
      </c>
      <c r="M3956" t="s">
        <v>745</v>
      </c>
      <c r="N3956" s="784" t="s">
        <v>575</v>
      </c>
      <c r="O3956" t="s">
        <v>737</v>
      </c>
      <c r="P3956" t="s">
        <v>750</v>
      </c>
      <c r="R3956" t="s">
        <v>152</v>
      </c>
      <c r="S3956" t="s">
        <v>145</v>
      </c>
      <c r="U3956">
        <v>0</v>
      </c>
      <c r="V3956" t="s">
        <v>541</v>
      </c>
      <c r="W3956" t="s">
        <v>542</v>
      </c>
      <c r="X3956" s="784">
        <v>354560231.58276606</v>
      </c>
    </row>
    <row r="3957" spans="1:24">
      <c r="A3957" t="s">
        <v>358</v>
      </c>
      <c r="B3957" t="s">
        <v>632</v>
      </c>
      <c r="C3957" t="s">
        <v>236</v>
      </c>
      <c r="D3957" t="s">
        <v>129</v>
      </c>
      <c r="E3957" t="s">
        <v>377</v>
      </c>
      <c r="F3957" t="s">
        <v>384</v>
      </c>
      <c r="G3957" t="s">
        <v>58</v>
      </c>
      <c r="H3957" t="s">
        <v>749</v>
      </c>
      <c r="I3957" t="s">
        <v>743</v>
      </c>
      <c r="J3957" t="s">
        <v>379</v>
      </c>
      <c r="K3957" t="s">
        <v>546</v>
      </c>
      <c r="L3957" s="784">
        <v>0</v>
      </c>
      <c r="M3957" t="s">
        <v>745</v>
      </c>
      <c r="N3957" s="784" t="s">
        <v>575</v>
      </c>
      <c r="O3957" t="s">
        <v>737</v>
      </c>
      <c r="P3957" t="s">
        <v>750</v>
      </c>
      <c r="R3957" t="s">
        <v>148</v>
      </c>
      <c r="S3957" t="s">
        <v>145</v>
      </c>
      <c r="U3957">
        <v>1</v>
      </c>
      <c r="V3957" t="s">
        <v>544</v>
      </c>
      <c r="W3957" t="s">
        <v>562</v>
      </c>
      <c r="X3957" s="784">
        <v>188169167.56540567</v>
      </c>
    </row>
    <row r="3958" spans="1:24">
      <c r="A3958" t="s">
        <v>358</v>
      </c>
      <c r="B3958" t="s">
        <v>633</v>
      </c>
      <c r="C3958" t="s">
        <v>237</v>
      </c>
      <c r="D3958" t="s">
        <v>126</v>
      </c>
      <c r="E3958" t="s">
        <v>377</v>
      </c>
      <c r="F3958" t="s">
        <v>384</v>
      </c>
      <c r="G3958" t="s">
        <v>58</v>
      </c>
      <c r="H3958" t="s">
        <v>749</v>
      </c>
      <c r="I3958" t="s">
        <v>743</v>
      </c>
      <c r="J3958" t="s">
        <v>379</v>
      </c>
      <c r="K3958" t="s">
        <v>546</v>
      </c>
      <c r="L3958" s="784">
        <v>0</v>
      </c>
      <c r="M3958" t="s">
        <v>745</v>
      </c>
      <c r="N3958" s="784" t="s">
        <v>575</v>
      </c>
      <c r="O3958" t="s">
        <v>737</v>
      </c>
      <c r="P3958" t="s">
        <v>750</v>
      </c>
      <c r="R3958" t="s">
        <v>152</v>
      </c>
      <c r="S3958" t="s">
        <v>145</v>
      </c>
      <c r="U3958">
        <v>0</v>
      </c>
      <c r="V3958" t="s">
        <v>541</v>
      </c>
      <c r="W3958" t="s">
        <v>575</v>
      </c>
      <c r="X3958" s="784">
        <v>16312106.556340856</v>
      </c>
    </row>
    <row r="3959" spans="1:24">
      <c r="A3959" t="s">
        <v>358</v>
      </c>
      <c r="B3959" t="s">
        <v>634</v>
      </c>
      <c r="C3959" t="s">
        <v>238</v>
      </c>
      <c r="D3959" t="s">
        <v>129</v>
      </c>
      <c r="E3959" t="s">
        <v>377</v>
      </c>
      <c r="F3959" t="s">
        <v>384</v>
      </c>
      <c r="G3959" t="s">
        <v>58</v>
      </c>
      <c r="H3959" t="s">
        <v>749</v>
      </c>
      <c r="I3959" t="s">
        <v>743</v>
      </c>
      <c r="J3959" t="s">
        <v>379</v>
      </c>
      <c r="K3959" t="s">
        <v>546</v>
      </c>
      <c r="L3959" s="784">
        <v>862839</v>
      </c>
      <c r="M3959" t="s">
        <v>745</v>
      </c>
      <c r="N3959" s="784" t="s">
        <v>575</v>
      </c>
      <c r="O3959" t="s">
        <v>737</v>
      </c>
      <c r="P3959" t="s">
        <v>750</v>
      </c>
      <c r="R3959" t="s">
        <v>150</v>
      </c>
      <c r="S3959" t="s">
        <v>145</v>
      </c>
      <c r="U3959">
        <v>2</v>
      </c>
      <c r="V3959" t="s">
        <v>544</v>
      </c>
      <c r="W3959" t="s">
        <v>542</v>
      </c>
      <c r="X3959" s="784">
        <v>86083833.534053758</v>
      </c>
    </row>
    <row r="3960" spans="1:24">
      <c r="A3960" t="s">
        <v>358</v>
      </c>
      <c r="B3960" t="s">
        <v>635</v>
      </c>
      <c r="C3960" t="s">
        <v>239</v>
      </c>
      <c r="D3960" t="s">
        <v>128</v>
      </c>
      <c r="E3960" t="s">
        <v>377</v>
      </c>
      <c r="F3960" t="s">
        <v>384</v>
      </c>
      <c r="G3960" t="s">
        <v>58</v>
      </c>
      <c r="H3960" t="s">
        <v>749</v>
      </c>
      <c r="I3960" t="s">
        <v>743</v>
      </c>
      <c r="J3960" t="s">
        <v>379</v>
      </c>
      <c r="K3960" t="s">
        <v>546</v>
      </c>
      <c r="L3960" s="784">
        <v>0</v>
      </c>
      <c r="M3960" t="s">
        <v>745</v>
      </c>
      <c r="N3960" s="784" t="s">
        <v>575</v>
      </c>
      <c r="O3960" t="s">
        <v>737</v>
      </c>
      <c r="P3960" t="s">
        <v>750</v>
      </c>
      <c r="R3960" t="s">
        <v>152</v>
      </c>
      <c r="S3960" t="s">
        <v>146</v>
      </c>
      <c r="U3960">
        <v>0</v>
      </c>
      <c r="V3960" t="s">
        <v>541</v>
      </c>
      <c r="W3960" t="s">
        <v>546</v>
      </c>
      <c r="X3960" s="784">
        <v>357220835.93762809</v>
      </c>
    </row>
    <row r="3961" spans="1:24">
      <c r="A3961" t="s">
        <v>358</v>
      </c>
      <c r="B3961" t="s">
        <v>636</v>
      </c>
      <c r="C3961" t="s">
        <v>240</v>
      </c>
      <c r="D3961" t="s">
        <v>130</v>
      </c>
      <c r="E3961" t="s">
        <v>377</v>
      </c>
      <c r="F3961" t="s">
        <v>384</v>
      </c>
      <c r="G3961" t="s">
        <v>58</v>
      </c>
      <c r="H3961" t="s">
        <v>749</v>
      </c>
      <c r="I3961" t="s">
        <v>743</v>
      </c>
      <c r="J3961" t="s">
        <v>379</v>
      </c>
      <c r="K3961" t="s">
        <v>546</v>
      </c>
      <c r="L3961" s="784">
        <v>0</v>
      </c>
      <c r="M3961" t="s">
        <v>745</v>
      </c>
      <c r="N3961" s="784" t="s">
        <v>575</v>
      </c>
      <c r="O3961" t="s">
        <v>737</v>
      </c>
      <c r="P3961" t="s">
        <v>750</v>
      </c>
      <c r="R3961" t="s">
        <v>152</v>
      </c>
      <c r="S3961" t="s">
        <v>146</v>
      </c>
      <c r="U3961">
        <v>0</v>
      </c>
      <c r="V3961" t="s">
        <v>544</v>
      </c>
      <c r="W3961" t="s">
        <v>575</v>
      </c>
      <c r="X3961" s="784">
        <v>32831598153.796387</v>
      </c>
    </row>
    <row r="3962" spans="1:24">
      <c r="A3962" t="s">
        <v>358</v>
      </c>
      <c r="B3962" t="s">
        <v>637</v>
      </c>
      <c r="C3962" t="s">
        <v>241</v>
      </c>
      <c r="D3962" t="s">
        <v>126</v>
      </c>
      <c r="E3962" t="s">
        <v>377</v>
      </c>
      <c r="F3962" t="s">
        <v>384</v>
      </c>
      <c r="G3962" t="s">
        <v>58</v>
      </c>
      <c r="H3962" t="s">
        <v>749</v>
      </c>
      <c r="I3962" t="s">
        <v>743</v>
      </c>
      <c r="J3962" t="s">
        <v>379</v>
      </c>
      <c r="K3962" t="s">
        <v>546</v>
      </c>
      <c r="L3962" s="784">
        <v>0</v>
      </c>
      <c r="M3962" t="s">
        <v>745</v>
      </c>
      <c r="N3962" s="784" t="s">
        <v>575</v>
      </c>
      <c r="O3962" t="s">
        <v>737</v>
      </c>
      <c r="P3962" t="s">
        <v>750</v>
      </c>
      <c r="R3962" t="s">
        <v>150</v>
      </c>
      <c r="S3962" t="s">
        <v>145</v>
      </c>
      <c r="U3962">
        <v>0</v>
      </c>
      <c r="V3962" t="s">
        <v>541</v>
      </c>
      <c r="W3962" t="s">
        <v>542</v>
      </c>
      <c r="X3962" s="784">
        <v>12329056.093798399</v>
      </c>
    </row>
    <row r="3963" spans="1:24">
      <c r="A3963" t="s">
        <v>358</v>
      </c>
      <c r="B3963" t="s">
        <v>638</v>
      </c>
      <c r="C3963" t="s">
        <v>242</v>
      </c>
      <c r="D3963" t="s">
        <v>127</v>
      </c>
      <c r="E3963" t="s">
        <v>377</v>
      </c>
      <c r="F3963" t="s">
        <v>384</v>
      </c>
      <c r="G3963" t="s">
        <v>58</v>
      </c>
      <c r="H3963" t="s">
        <v>749</v>
      </c>
      <c r="I3963" t="s">
        <v>743</v>
      </c>
      <c r="J3963" t="s">
        <v>379</v>
      </c>
      <c r="K3963" t="s">
        <v>546</v>
      </c>
      <c r="L3963" s="784">
        <v>726000</v>
      </c>
      <c r="M3963" t="s">
        <v>745</v>
      </c>
      <c r="N3963" s="784" t="s">
        <v>575</v>
      </c>
      <c r="O3963" t="s">
        <v>737</v>
      </c>
      <c r="P3963" t="s">
        <v>750</v>
      </c>
      <c r="R3963" t="s">
        <v>152</v>
      </c>
      <c r="S3963" t="s">
        <v>145</v>
      </c>
      <c r="U3963">
        <v>0</v>
      </c>
      <c r="V3963" t="s">
        <v>544</v>
      </c>
      <c r="W3963" t="s">
        <v>558</v>
      </c>
      <c r="X3963" s="784">
        <v>426639742.85328001</v>
      </c>
    </row>
    <row r="3964" spans="1:24">
      <c r="A3964" t="s">
        <v>358</v>
      </c>
      <c r="B3964" t="s">
        <v>639</v>
      </c>
      <c r="C3964" t="s">
        <v>243</v>
      </c>
      <c r="D3964" t="s">
        <v>126</v>
      </c>
      <c r="E3964" t="s">
        <v>377</v>
      </c>
      <c r="F3964" t="s">
        <v>384</v>
      </c>
      <c r="G3964" t="s">
        <v>58</v>
      </c>
      <c r="H3964" t="s">
        <v>749</v>
      </c>
      <c r="I3964" t="s">
        <v>743</v>
      </c>
      <c r="J3964" t="s">
        <v>379</v>
      </c>
      <c r="K3964" t="s">
        <v>546</v>
      </c>
      <c r="L3964" s="784">
        <v>250000</v>
      </c>
      <c r="M3964" t="s">
        <v>745</v>
      </c>
      <c r="N3964" s="784" t="s">
        <v>575</v>
      </c>
      <c r="O3964" t="s">
        <v>737</v>
      </c>
      <c r="P3964" t="s">
        <v>750</v>
      </c>
      <c r="R3964" t="s">
        <v>150</v>
      </c>
      <c r="S3964" t="s">
        <v>145</v>
      </c>
      <c r="U3964">
        <v>0</v>
      </c>
      <c r="V3964" t="s">
        <v>544</v>
      </c>
      <c r="W3964" t="s">
        <v>548</v>
      </c>
      <c r="X3964" s="784">
        <v>288519671.85870522</v>
      </c>
    </row>
    <row r="3965" spans="1:24">
      <c r="A3965" t="s">
        <v>358</v>
      </c>
      <c r="B3965" t="s">
        <v>640</v>
      </c>
      <c r="C3965" t="s">
        <v>244</v>
      </c>
      <c r="D3965" t="s">
        <v>127</v>
      </c>
      <c r="E3965" t="s">
        <v>377</v>
      </c>
      <c r="F3965" t="s">
        <v>384</v>
      </c>
      <c r="G3965" t="s">
        <v>58</v>
      </c>
      <c r="H3965" t="s">
        <v>749</v>
      </c>
      <c r="I3965" t="s">
        <v>743</v>
      </c>
      <c r="J3965" t="s">
        <v>379</v>
      </c>
      <c r="K3965" t="s">
        <v>546</v>
      </c>
      <c r="L3965" s="784">
        <v>0</v>
      </c>
      <c r="M3965" t="s">
        <v>745</v>
      </c>
      <c r="N3965" s="784" t="s">
        <v>575</v>
      </c>
      <c r="O3965" t="s">
        <v>737</v>
      </c>
      <c r="P3965" t="s">
        <v>750</v>
      </c>
      <c r="R3965" t="s">
        <v>152</v>
      </c>
      <c r="S3965" t="s">
        <v>146</v>
      </c>
      <c r="U3965">
        <v>0</v>
      </c>
      <c r="V3965" t="s">
        <v>544</v>
      </c>
      <c r="W3965" t="s">
        <v>546</v>
      </c>
      <c r="X3965" s="784">
        <v>275606560.78491527</v>
      </c>
    </row>
    <row r="3966" spans="1:24">
      <c r="A3966" t="s">
        <v>358</v>
      </c>
      <c r="B3966" t="s">
        <v>641</v>
      </c>
      <c r="C3966" t="s">
        <v>245</v>
      </c>
      <c r="D3966" t="s">
        <v>131</v>
      </c>
      <c r="E3966" t="s">
        <v>377</v>
      </c>
      <c r="F3966" t="s">
        <v>384</v>
      </c>
      <c r="G3966" t="s">
        <v>58</v>
      </c>
      <c r="H3966" t="s">
        <v>749</v>
      </c>
      <c r="I3966" t="s">
        <v>743</v>
      </c>
      <c r="J3966" t="s">
        <v>379</v>
      </c>
      <c r="K3966" t="s">
        <v>546</v>
      </c>
      <c r="L3966" s="784">
        <v>2500000</v>
      </c>
      <c r="M3966" t="s">
        <v>745</v>
      </c>
      <c r="N3966" s="784" t="s">
        <v>575</v>
      </c>
      <c r="O3966" t="s">
        <v>737</v>
      </c>
      <c r="P3966" t="s">
        <v>750</v>
      </c>
      <c r="R3966" t="s">
        <v>150</v>
      </c>
      <c r="S3966" t="s">
        <v>145</v>
      </c>
      <c r="U3966">
        <v>0</v>
      </c>
      <c r="V3966" t="s">
        <v>544</v>
      </c>
      <c r="W3966" t="s">
        <v>546</v>
      </c>
      <c r="X3966" s="784">
        <v>2530937679.3725696</v>
      </c>
    </row>
    <row r="3967" spans="1:24">
      <c r="A3967" t="s">
        <v>358</v>
      </c>
      <c r="B3967" t="s">
        <v>642</v>
      </c>
      <c r="C3967" t="s">
        <v>246</v>
      </c>
      <c r="D3967" t="s">
        <v>128</v>
      </c>
      <c r="E3967" t="s">
        <v>377</v>
      </c>
      <c r="F3967" t="s">
        <v>384</v>
      </c>
      <c r="G3967" t="s">
        <v>58</v>
      </c>
      <c r="H3967" t="s">
        <v>749</v>
      </c>
      <c r="I3967" t="s">
        <v>743</v>
      </c>
      <c r="J3967" t="s">
        <v>379</v>
      </c>
      <c r="K3967" t="s">
        <v>546</v>
      </c>
      <c r="L3967" s="784">
        <v>0</v>
      </c>
      <c r="M3967" t="s">
        <v>745</v>
      </c>
      <c r="N3967" s="784" t="s">
        <v>575</v>
      </c>
      <c r="O3967" t="s">
        <v>737</v>
      </c>
      <c r="P3967" t="s">
        <v>750</v>
      </c>
      <c r="R3967" t="s">
        <v>148</v>
      </c>
      <c r="S3967" t="s">
        <v>145</v>
      </c>
      <c r="U3967">
        <v>0</v>
      </c>
      <c r="V3967" t="s">
        <v>544</v>
      </c>
      <c r="W3967" t="s">
        <v>583</v>
      </c>
      <c r="X3967" s="784">
        <v>251432156.86255455</v>
      </c>
    </row>
    <row r="3968" spans="1:24">
      <c r="A3968" t="s">
        <v>358</v>
      </c>
      <c r="B3968" t="s">
        <v>643</v>
      </c>
      <c r="C3968" t="s">
        <v>247</v>
      </c>
      <c r="D3968" t="s">
        <v>126</v>
      </c>
      <c r="E3968" t="s">
        <v>377</v>
      </c>
      <c r="F3968" t="s">
        <v>384</v>
      </c>
      <c r="G3968" t="s">
        <v>58</v>
      </c>
      <c r="H3968" t="s">
        <v>749</v>
      </c>
      <c r="I3968" t="s">
        <v>743</v>
      </c>
      <c r="J3968" t="s">
        <v>379</v>
      </c>
      <c r="K3968" t="s">
        <v>546</v>
      </c>
      <c r="L3968" s="784">
        <v>783056</v>
      </c>
      <c r="M3968" t="s">
        <v>745</v>
      </c>
      <c r="N3968" s="784" t="s">
        <v>575</v>
      </c>
      <c r="O3968" t="s">
        <v>737</v>
      </c>
      <c r="P3968" t="s">
        <v>750</v>
      </c>
      <c r="R3968" t="s">
        <v>150</v>
      </c>
      <c r="S3968" t="s">
        <v>145</v>
      </c>
      <c r="U3968">
        <v>0</v>
      </c>
      <c r="V3968" t="s">
        <v>544</v>
      </c>
      <c r="W3968" t="s">
        <v>558</v>
      </c>
      <c r="X3968" s="784">
        <v>471534500.60109437</v>
      </c>
    </row>
    <row r="3969" spans="1:24">
      <c r="A3969" t="s">
        <v>358</v>
      </c>
      <c r="B3969" t="s">
        <v>644</v>
      </c>
      <c r="C3969" t="s">
        <v>248</v>
      </c>
      <c r="D3969" t="s">
        <v>128</v>
      </c>
      <c r="E3969" t="s">
        <v>377</v>
      </c>
      <c r="F3969" t="s">
        <v>384</v>
      </c>
      <c r="G3969" t="s">
        <v>58</v>
      </c>
      <c r="H3969" t="s">
        <v>749</v>
      </c>
      <c r="I3969" t="s">
        <v>743</v>
      </c>
      <c r="J3969" t="s">
        <v>379</v>
      </c>
      <c r="K3969" t="s">
        <v>546</v>
      </c>
      <c r="L3969" s="784">
        <v>0</v>
      </c>
      <c r="M3969" t="s">
        <v>745</v>
      </c>
      <c r="N3969" s="784" t="s">
        <v>575</v>
      </c>
      <c r="O3969" t="s">
        <v>737</v>
      </c>
      <c r="P3969" t="s">
        <v>750</v>
      </c>
      <c r="R3969" t="s">
        <v>152</v>
      </c>
      <c r="S3969" t="s">
        <v>146</v>
      </c>
      <c r="U3969">
        <v>0</v>
      </c>
      <c r="V3969" t="s">
        <v>544</v>
      </c>
      <c r="W3969" t="s">
        <v>575</v>
      </c>
      <c r="X3969" s="784">
        <v>531677611.80447447</v>
      </c>
    </row>
    <row r="3970" spans="1:24">
      <c r="A3970" t="s">
        <v>358</v>
      </c>
      <c r="B3970" t="s">
        <v>645</v>
      </c>
      <c r="C3970" t="s">
        <v>249</v>
      </c>
      <c r="D3970" t="s">
        <v>126</v>
      </c>
      <c r="E3970" t="s">
        <v>377</v>
      </c>
      <c r="F3970" t="s">
        <v>384</v>
      </c>
      <c r="G3970" t="s">
        <v>58</v>
      </c>
      <c r="H3970" t="s">
        <v>749</v>
      </c>
      <c r="I3970" t="s">
        <v>743</v>
      </c>
      <c r="J3970" t="s">
        <v>379</v>
      </c>
      <c r="K3970" t="s">
        <v>546</v>
      </c>
      <c r="L3970" s="784">
        <v>0</v>
      </c>
      <c r="M3970" t="s">
        <v>745</v>
      </c>
      <c r="N3970" s="784" t="s">
        <v>575</v>
      </c>
      <c r="O3970" t="s">
        <v>737</v>
      </c>
      <c r="P3970" t="s">
        <v>750</v>
      </c>
      <c r="R3970" t="s">
        <v>550</v>
      </c>
      <c r="S3970" t="s">
        <v>146</v>
      </c>
      <c r="U3970">
        <v>0</v>
      </c>
      <c r="V3970" t="s">
        <v>541</v>
      </c>
      <c r="W3970" t="s">
        <v>575</v>
      </c>
      <c r="X3970" s="784">
        <v>8528751.6418357007</v>
      </c>
    </row>
    <row r="3971" spans="1:24">
      <c r="A3971" t="s">
        <v>358</v>
      </c>
      <c r="B3971" t="s">
        <v>646</v>
      </c>
      <c r="C3971" t="s">
        <v>250</v>
      </c>
      <c r="D3971" t="s">
        <v>132</v>
      </c>
      <c r="E3971" t="s">
        <v>377</v>
      </c>
      <c r="F3971" t="s">
        <v>384</v>
      </c>
      <c r="G3971" t="s">
        <v>58</v>
      </c>
      <c r="H3971" t="s">
        <v>749</v>
      </c>
      <c r="I3971" t="s">
        <v>743</v>
      </c>
      <c r="J3971" t="s">
        <v>379</v>
      </c>
      <c r="K3971" t="s">
        <v>546</v>
      </c>
      <c r="L3971" s="784">
        <v>0</v>
      </c>
      <c r="M3971" t="s">
        <v>745</v>
      </c>
      <c r="N3971" s="784" t="s">
        <v>575</v>
      </c>
      <c r="O3971" t="s">
        <v>737</v>
      </c>
      <c r="P3971" t="s">
        <v>750</v>
      </c>
      <c r="R3971" t="s">
        <v>150</v>
      </c>
      <c r="S3971" t="s">
        <v>145</v>
      </c>
      <c r="U3971">
        <v>0</v>
      </c>
      <c r="V3971" t="s">
        <v>544</v>
      </c>
      <c r="W3971" t="s">
        <v>558</v>
      </c>
      <c r="X3971" s="784">
        <v>407084543.19089872</v>
      </c>
    </row>
    <row r="3972" spans="1:24">
      <c r="A3972" t="s">
        <v>358</v>
      </c>
      <c r="B3972" t="s">
        <v>647</v>
      </c>
      <c r="C3972" t="s">
        <v>251</v>
      </c>
      <c r="D3972" t="s">
        <v>130</v>
      </c>
      <c r="E3972" t="s">
        <v>377</v>
      </c>
      <c r="F3972" t="s">
        <v>384</v>
      </c>
      <c r="G3972" t="s">
        <v>58</v>
      </c>
      <c r="H3972" t="s">
        <v>749</v>
      </c>
      <c r="I3972" t="s">
        <v>743</v>
      </c>
      <c r="J3972" t="s">
        <v>379</v>
      </c>
      <c r="K3972" t="s">
        <v>546</v>
      </c>
      <c r="L3972" s="784">
        <v>0</v>
      </c>
      <c r="M3972" t="s">
        <v>745</v>
      </c>
      <c r="N3972" s="784" t="s">
        <v>575</v>
      </c>
      <c r="O3972" t="s">
        <v>737</v>
      </c>
      <c r="P3972" t="s">
        <v>750</v>
      </c>
      <c r="R3972" t="s">
        <v>150</v>
      </c>
      <c r="S3972" t="s">
        <v>145</v>
      </c>
      <c r="U3972">
        <v>0</v>
      </c>
      <c r="V3972" t="s">
        <v>544</v>
      </c>
      <c r="W3972" t="s">
        <v>562</v>
      </c>
      <c r="X3972" s="784">
        <v>671998341.93592453</v>
      </c>
    </row>
    <row r="3973" spans="1:24">
      <c r="A3973" t="s">
        <v>358</v>
      </c>
      <c r="B3973" t="s">
        <v>648</v>
      </c>
      <c r="C3973" t="s">
        <v>252</v>
      </c>
      <c r="D3973" t="s">
        <v>129</v>
      </c>
      <c r="E3973" t="s">
        <v>377</v>
      </c>
      <c r="F3973" t="s">
        <v>384</v>
      </c>
      <c r="G3973" t="s">
        <v>58</v>
      </c>
      <c r="H3973" t="s">
        <v>749</v>
      </c>
      <c r="I3973" t="s">
        <v>743</v>
      </c>
      <c r="J3973" t="s">
        <v>379</v>
      </c>
      <c r="K3973" t="s">
        <v>546</v>
      </c>
      <c r="L3973" s="784">
        <v>500000</v>
      </c>
      <c r="M3973" t="s">
        <v>745</v>
      </c>
      <c r="N3973" s="784" t="s">
        <v>575</v>
      </c>
      <c r="O3973" t="s">
        <v>737</v>
      </c>
      <c r="P3973" t="s">
        <v>750</v>
      </c>
      <c r="R3973" t="s">
        <v>148</v>
      </c>
      <c r="S3973" t="s">
        <v>145</v>
      </c>
      <c r="U3973">
        <v>1</v>
      </c>
      <c r="V3973" t="s">
        <v>544</v>
      </c>
      <c r="W3973" t="s">
        <v>562</v>
      </c>
      <c r="X3973" s="784">
        <v>226203289.67158964</v>
      </c>
    </row>
    <row r="3974" spans="1:24">
      <c r="A3974" t="s">
        <v>358</v>
      </c>
      <c r="B3974" t="s">
        <v>649</v>
      </c>
      <c r="C3974" t="s">
        <v>253</v>
      </c>
      <c r="D3974" t="s">
        <v>129</v>
      </c>
      <c r="E3974" t="s">
        <v>377</v>
      </c>
      <c r="F3974" t="s">
        <v>384</v>
      </c>
      <c r="G3974" t="s">
        <v>58</v>
      </c>
      <c r="H3974" t="s">
        <v>749</v>
      </c>
      <c r="I3974" t="s">
        <v>743</v>
      </c>
      <c r="J3974" t="s">
        <v>379</v>
      </c>
      <c r="K3974" t="s">
        <v>546</v>
      </c>
      <c r="L3974" s="784">
        <v>0</v>
      </c>
      <c r="M3974" t="s">
        <v>745</v>
      </c>
      <c r="N3974" s="784" t="s">
        <v>575</v>
      </c>
      <c r="O3974" t="s">
        <v>737</v>
      </c>
      <c r="P3974" t="s">
        <v>750</v>
      </c>
      <c r="R3974" t="s">
        <v>150</v>
      </c>
      <c r="S3974" t="s">
        <v>145</v>
      </c>
      <c r="U3974">
        <v>3</v>
      </c>
      <c r="V3974" t="s">
        <v>544</v>
      </c>
      <c r="W3974" t="s">
        <v>548</v>
      </c>
      <c r="X3974" s="784">
        <v>2438881113.1244688</v>
      </c>
    </row>
    <row r="3975" spans="1:24">
      <c r="A3975" t="s">
        <v>358</v>
      </c>
      <c r="B3975" t="s">
        <v>650</v>
      </c>
      <c r="C3975" t="s">
        <v>254</v>
      </c>
      <c r="D3975" t="s">
        <v>127</v>
      </c>
      <c r="E3975" t="s">
        <v>377</v>
      </c>
      <c r="F3975" t="s">
        <v>384</v>
      </c>
      <c r="G3975" t="s">
        <v>58</v>
      </c>
      <c r="H3975" t="s">
        <v>749</v>
      </c>
      <c r="I3975" t="s">
        <v>743</v>
      </c>
      <c r="J3975" t="s">
        <v>379</v>
      </c>
      <c r="K3975" t="s">
        <v>546</v>
      </c>
      <c r="L3975" s="784">
        <v>0</v>
      </c>
      <c r="M3975" t="s">
        <v>745</v>
      </c>
      <c r="N3975" s="784" t="s">
        <v>575</v>
      </c>
      <c r="O3975" t="s">
        <v>737</v>
      </c>
      <c r="P3975" t="s">
        <v>750</v>
      </c>
      <c r="R3975" t="s">
        <v>152</v>
      </c>
      <c r="S3975" t="s">
        <v>146</v>
      </c>
      <c r="U3975">
        <v>0</v>
      </c>
      <c r="V3975" t="s">
        <v>544</v>
      </c>
      <c r="W3975" t="s">
        <v>575</v>
      </c>
      <c r="X3975" s="784">
        <v>476517795.73174149</v>
      </c>
    </row>
    <row r="3976" spans="1:24">
      <c r="A3976" t="s">
        <v>358</v>
      </c>
      <c r="B3976" t="s">
        <v>651</v>
      </c>
      <c r="C3976" t="s">
        <v>255</v>
      </c>
      <c r="D3976" t="s">
        <v>132</v>
      </c>
      <c r="E3976" t="s">
        <v>377</v>
      </c>
      <c r="F3976" t="s">
        <v>384</v>
      </c>
      <c r="G3976" t="s">
        <v>58</v>
      </c>
      <c r="H3976" t="s">
        <v>749</v>
      </c>
      <c r="I3976" t="s">
        <v>743</v>
      </c>
      <c r="J3976" t="s">
        <v>379</v>
      </c>
      <c r="K3976" t="s">
        <v>546</v>
      </c>
      <c r="L3976" s="784">
        <v>950000</v>
      </c>
      <c r="M3976" t="s">
        <v>745</v>
      </c>
      <c r="N3976" s="784" t="s">
        <v>575</v>
      </c>
      <c r="O3976" t="s">
        <v>737</v>
      </c>
      <c r="P3976" t="s">
        <v>750</v>
      </c>
      <c r="R3976" t="s">
        <v>150</v>
      </c>
      <c r="S3976" t="s">
        <v>145</v>
      </c>
      <c r="U3976">
        <v>0</v>
      </c>
      <c r="V3976" t="s">
        <v>544</v>
      </c>
      <c r="W3976" t="s">
        <v>548</v>
      </c>
      <c r="X3976" s="784">
        <v>3233351297.7679496</v>
      </c>
    </row>
    <row r="3977" spans="1:24">
      <c r="A3977" t="s">
        <v>358</v>
      </c>
      <c r="B3977" t="s">
        <v>652</v>
      </c>
      <c r="C3977" t="s">
        <v>256</v>
      </c>
      <c r="D3977" t="s">
        <v>130</v>
      </c>
      <c r="E3977" t="s">
        <v>377</v>
      </c>
      <c r="F3977" t="s">
        <v>384</v>
      </c>
      <c r="G3977" t="s">
        <v>58</v>
      </c>
      <c r="H3977" t="s">
        <v>749</v>
      </c>
      <c r="I3977" t="s">
        <v>743</v>
      </c>
      <c r="J3977" t="s">
        <v>379</v>
      </c>
      <c r="K3977" t="s">
        <v>546</v>
      </c>
      <c r="L3977" s="784">
        <v>0</v>
      </c>
      <c r="M3977" t="s">
        <v>745</v>
      </c>
      <c r="N3977" s="784" t="s">
        <v>575</v>
      </c>
      <c r="O3977" t="s">
        <v>737</v>
      </c>
      <c r="P3977" t="s">
        <v>750</v>
      </c>
      <c r="R3977" t="s">
        <v>550</v>
      </c>
      <c r="S3977" t="s">
        <v>146</v>
      </c>
      <c r="U3977">
        <v>0</v>
      </c>
      <c r="V3977" t="s">
        <v>541</v>
      </c>
      <c r="W3977" t="s">
        <v>575</v>
      </c>
      <c r="X3977" s="784">
        <v>18180646.808608256</v>
      </c>
    </row>
    <row r="3978" spans="1:24">
      <c r="A3978" t="s">
        <v>358</v>
      </c>
      <c r="B3978" t="s">
        <v>653</v>
      </c>
      <c r="C3978" t="s">
        <v>257</v>
      </c>
      <c r="D3978" t="s">
        <v>130</v>
      </c>
      <c r="E3978" t="s">
        <v>377</v>
      </c>
      <c r="F3978" t="s">
        <v>384</v>
      </c>
      <c r="G3978" t="s">
        <v>58</v>
      </c>
      <c r="H3978" t="s">
        <v>749</v>
      </c>
      <c r="I3978" t="s">
        <v>743</v>
      </c>
      <c r="J3978" t="s">
        <v>379</v>
      </c>
      <c r="K3978" t="s">
        <v>546</v>
      </c>
      <c r="L3978" s="784">
        <v>0</v>
      </c>
      <c r="M3978" t="s">
        <v>745</v>
      </c>
      <c r="N3978" s="784" t="s">
        <v>575</v>
      </c>
      <c r="O3978" t="s">
        <v>737</v>
      </c>
      <c r="P3978" t="s">
        <v>750</v>
      </c>
      <c r="R3978" t="s">
        <v>152</v>
      </c>
      <c r="S3978" t="s">
        <v>146</v>
      </c>
      <c r="U3978">
        <v>0</v>
      </c>
      <c r="V3978" t="s">
        <v>544</v>
      </c>
      <c r="W3978" t="s">
        <v>546</v>
      </c>
      <c r="X3978" s="784">
        <v>3020530707.3485303</v>
      </c>
    </row>
    <row r="3979" spans="1:24">
      <c r="A3979" t="s">
        <v>358</v>
      </c>
      <c r="B3979" t="s">
        <v>654</v>
      </c>
      <c r="C3979" t="s">
        <v>258</v>
      </c>
      <c r="D3979" t="s">
        <v>126</v>
      </c>
      <c r="E3979" t="s">
        <v>377</v>
      </c>
      <c r="F3979" t="s">
        <v>384</v>
      </c>
      <c r="G3979" t="s">
        <v>58</v>
      </c>
      <c r="H3979" t="s">
        <v>749</v>
      </c>
      <c r="I3979" t="s">
        <v>743</v>
      </c>
      <c r="J3979" t="s">
        <v>379</v>
      </c>
      <c r="K3979" t="s">
        <v>546</v>
      </c>
      <c r="L3979" s="784">
        <v>500000</v>
      </c>
      <c r="M3979" t="s">
        <v>745</v>
      </c>
      <c r="N3979" s="784" t="s">
        <v>575</v>
      </c>
      <c r="O3979" t="s">
        <v>737</v>
      </c>
      <c r="P3979" t="s">
        <v>750</v>
      </c>
      <c r="R3979" t="s">
        <v>150</v>
      </c>
      <c r="S3979" t="s">
        <v>145</v>
      </c>
      <c r="U3979">
        <v>1</v>
      </c>
      <c r="V3979" t="s">
        <v>541</v>
      </c>
      <c r="W3979" t="s">
        <v>542</v>
      </c>
      <c r="X3979" s="784">
        <v>384406316.46074712</v>
      </c>
    </row>
    <row r="3980" spans="1:24">
      <c r="A3980" t="s">
        <v>358</v>
      </c>
      <c r="B3980" t="s">
        <v>655</v>
      </c>
      <c r="C3980" t="s">
        <v>259</v>
      </c>
      <c r="D3980" t="s">
        <v>130</v>
      </c>
      <c r="E3980" t="s">
        <v>377</v>
      </c>
      <c r="F3980" t="s">
        <v>384</v>
      </c>
      <c r="G3980" t="s">
        <v>58</v>
      </c>
      <c r="H3980" t="s">
        <v>749</v>
      </c>
      <c r="I3980" t="s">
        <v>743</v>
      </c>
      <c r="J3980" t="s">
        <v>379</v>
      </c>
      <c r="K3980" t="s">
        <v>546</v>
      </c>
      <c r="L3980" s="784">
        <v>0</v>
      </c>
      <c r="M3980" t="s">
        <v>745</v>
      </c>
      <c r="N3980" s="784" t="s">
        <v>575</v>
      </c>
      <c r="O3980" t="s">
        <v>737</v>
      </c>
      <c r="P3980" t="s">
        <v>750</v>
      </c>
      <c r="R3980" t="s">
        <v>152</v>
      </c>
      <c r="S3980" t="s">
        <v>146</v>
      </c>
      <c r="U3980">
        <v>0</v>
      </c>
      <c r="V3980" t="s">
        <v>544</v>
      </c>
      <c r="W3980" t="s">
        <v>575</v>
      </c>
      <c r="X3980" s="784">
        <v>1218747108.9554784</v>
      </c>
    </row>
    <row r="3981" spans="1:24">
      <c r="A3981" t="s">
        <v>358</v>
      </c>
      <c r="B3981" t="s">
        <v>656</v>
      </c>
      <c r="C3981" t="s">
        <v>260</v>
      </c>
      <c r="D3981" t="s">
        <v>130</v>
      </c>
      <c r="E3981" t="s">
        <v>377</v>
      </c>
      <c r="F3981" t="s">
        <v>384</v>
      </c>
      <c r="G3981" t="s">
        <v>58</v>
      </c>
      <c r="H3981" t="s">
        <v>749</v>
      </c>
      <c r="I3981" t="s">
        <v>743</v>
      </c>
      <c r="J3981" t="s">
        <v>379</v>
      </c>
      <c r="K3981" t="s">
        <v>546</v>
      </c>
      <c r="L3981" s="784">
        <v>0</v>
      </c>
      <c r="M3981" t="s">
        <v>745</v>
      </c>
      <c r="N3981" s="784" t="s">
        <v>575</v>
      </c>
      <c r="O3981" t="s">
        <v>737</v>
      </c>
      <c r="P3981" t="s">
        <v>750</v>
      </c>
      <c r="R3981" t="s">
        <v>152</v>
      </c>
      <c r="S3981" t="s">
        <v>146</v>
      </c>
      <c r="U3981">
        <v>0</v>
      </c>
      <c r="V3981" t="s">
        <v>544</v>
      </c>
      <c r="W3981" t="s">
        <v>575</v>
      </c>
      <c r="X3981" s="784">
        <v>7392665952.5895758</v>
      </c>
    </row>
    <row r="3982" spans="1:24">
      <c r="A3982" t="s">
        <v>358</v>
      </c>
      <c r="B3982" t="s">
        <v>657</v>
      </c>
      <c r="C3982" t="s">
        <v>261</v>
      </c>
      <c r="D3982" t="s">
        <v>126</v>
      </c>
      <c r="E3982" t="s">
        <v>377</v>
      </c>
      <c r="F3982" t="s">
        <v>384</v>
      </c>
      <c r="G3982" t="s">
        <v>58</v>
      </c>
      <c r="H3982" t="s">
        <v>749</v>
      </c>
      <c r="I3982" t="s">
        <v>743</v>
      </c>
      <c r="J3982" t="s">
        <v>379</v>
      </c>
      <c r="K3982" t="s">
        <v>546</v>
      </c>
      <c r="L3982" s="784">
        <v>1600000</v>
      </c>
      <c r="M3982" t="s">
        <v>745</v>
      </c>
      <c r="N3982" s="784" t="s">
        <v>575</v>
      </c>
      <c r="O3982" t="s">
        <v>737</v>
      </c>
      <c r="P3982" t="s">
        <v>750</v>
      </c>
      <c r="R3982" t="s">
        <v>150</v>
      </c>
      <c r="S3982" t="s">
        <v>145</v>
      </c>
      <c r="U3982">
        <v>0</v>
      </c>
      <c r="V3982" t="s">
        <v>544</v>
      </c>
      <c r="W3982" t="s">
        <v>546</v>
      </c>
      <c r="X3982" s="784">
        <v>4754985988.6004429</v>
      </c>
    </row>
    <row r="3983" spans="1:24">
      <c r="A3983" t="s">
        <v>358</v>
      </c>
      <c r="B3983" t="s">
        <v>658</v>
      </c>
      <c r="C3983" t="s">
        <v>262</v>
      </c>
      <c r="D3983" t="s">
        <v>127</v>
      </c>
      <c r="E3983" t="s">
        <v>377</v>
      </c>
      <c r="F3983" t="s">
        <v>384</v>
      </c>
      <c r="G3983" t="s">
        <v>58</v>
      </c>
      <c r="H3983" t="s">
        <v>749</v>
      </c>
      <c r="I3983" t="s">
        <v>743</v>
      </c>
      <c r="J3983" t="s">
        <v>379</v>
      </c>
      <c r="K3983" t="s">
        <v>546</v>
      </c>
      <c r="L3983" s="784">
        <v>0</v>
      </c>
      <c r="M3983" t="s">
        <v>745</v>
      </c>
      <c r="N3983" s="784" t="s">
        <v>575</v>
      </c>
      <c r="O3983" t="s">
        <v>737</v>
      </c>
      <c r="P3983" t="s">
        <v>750</v>
      </c>
      <c r="R3983" t="s">
        <v>550</v>
      </c>
      <c r="S3983" t="s">
        <v>146</v>
      </c>
      <c r="U3983">
        <v>0</v>
      </c>
      <c r="V3983" t="s">
        <v>544</v>
      </c>
      <c r="W3983" t="s">
        <v>575</v>
      </c>
      <c r="X3983" s="784">
        <v>26422210443.037273</v>
      </c>
    </row>
    <row r="3984" spans="1:24">
      <c r="A3984" t="s">
        <v>358</v>
      </c>
      <c r="B3984" t="s">
        <v>659</v>
      </c>
      <c r="C3984" t="s">
        <v>151</v>
      </c>
      <c r="D3984" t="s">
        <v>127</v>
      </c>
      <c r="E3984" t="s">
        <v>377</v>
      </c>
      <c r="F3984" t="s">
        <v>384</v>
      </c>
      <c r="G3984" t="s">
        <v>58</v>
      </c>
      <c r="H3984" t="s">
        <v>749</v>
      </c>
      <c r="I3984" t="s">
        <v>743</v>
      </c>
      <c r="J3984" t="s">
        <v>379</v>
      </c>
      <c r="K3984" t="s">
        <v>546</v>
      </c>
      <c r="L3984" s="784">
        <v>1200000</v>
      </c>
      <c r="M3984" t="s">
        <v>745</v>
      </c>
      <c r="N3984" s="784" t="s">
        <v>575</v>
      </c>
      <c r="O3984" t="s">
        <v>737</v>
      </c>
      <c r="P3984" t="s">
        <v>750</v>
      </c>
      <c r="R3984" t="s">
        <v>152</v>
      </c>
      <c r="S3984" t="s">
        <v>146</v>
      </c>
      <c r="U3984">
        <v>0</v>
      </c>
      <c r="V3984" t="s">
        <v>544</v>
      </c>
      <c r="W3984" t="s">
        <v>575</v>
      </c>
      <c r="X3984" s="784">
        <v>10696495313.15033</v>
      </c>
    </row>
    <row r="3985" spans="1:24">
      <c r="A3985" t="s">
        <v>358</v>
      </c>
      <c r="B3985" t="s">
        <v>660</v>
      </c>
      <c r="C3985" t="s">
        <v>263</v>
      </c>
      <c r="D3985" t="s">
        <v>127</v>
      </c>
      <c r="E3985" t="s">
        <v>377</v>
      </c>
      <c r="F3985" t="s">
        <v>384</v>
      </c>
      <c r="G3985" t="s">
        <v>58</v>
      </c>
      <c r="H3985" t="s">
        <v>749</v>
      </c>
      <c r="I3985" t="s">
        <v>743</v>
      </c>
      <c r="J3985" t="s">
        <v>379</v>
      </c>
      <c r="K3985" t="s">
        <v>546</v>
      </c>
      <c r="L3985" s="784">
        <v>0</v>
      </c>
      <c r="M3985" t="s">
        <v>745</v>
      </c>
      <c r="N3985" s="784" t="s">
        <v>575</v>
      </c>
      <c r="O3985" t="s">
        <v>737</v>
      </c>
      <c r="P3985" t="s">
        <v>750</v>
      </c>
      <c r="R3985" t="s">
        <v>152</v>
      </c>
      <c r="S3985" t="s">
        <v>146</v>
      </c>
      <c r="U3985">
        <v>0</v>
      </c>
      <c r="V3985" t="s">
        <v>544</v>
      </c>
      <c r="W3985" t="s">
        <v>575</v>
      </c>
      <c r="X3985" s="784">
        <v>52769713433.240509</v>
      </c>
    </row>
    <row r="3986" spans="1:24">
      <c r="A3986" t="s">
        <v>358</v>
      </c>
      <c r="B3986" t="s">
        <v>661</v>
      </c>
      <c r="C3986" t="s">
        <v>264</v>
      </c>
      <c r="D3986" t="s">
        <v>128</v>
      </c>
      <c r="E3986" t="s">
        <v>377</v>
      </c>
      <c r="F3986" t="s">
        <v>384</v>
      </c>
      <c r="G3986" t="s">
        <v>58</v>
      </c>
      <c r="H3986" t="s">
        <v>749</v>
      </c>
      <c r="I3986" t="s">
        <v>743</v>
      </c>
      <c r="J3986" t="s">
        <v>379</v>
      </c>
      <c r="K3986" t="s">
        <v>546</v>
      </c>
      <c r="L3986" s="784">
        <v>0</v>
      </c>
      <c r="M3986" t="s">
        <v>745</v>
      </c>
      <c r="N3986" s="784" t="s">
        <v>575</v>
      </c>
      <c r="O3986" t="s">
        <v>737</v>
      </c>
      <c r="P3986" t="s">
        <v>750</v>
      </c>
      <c r="R3986" t="s">
        <v>148</v>
      </c>
      <c r="S3986" t="s">
        <v>145</v>
      </c>
      <c r="U3986">
        <v>0</v>
      </c>
      <c r="V3986" t="s">
        <v>544</v>
      </c>
      <c r="W3986" t="s">
        <v>562</v>
      </c>
      <c r="X3986" s="784">
        <v>225799814.51943746</v>
      </c>
    </row>
    <row r="3987" spans="1:24">
      <c r="A3987" t="s">
        <v>358</v>
      </c>
      <c r="B3987" t="s">
        <v>662</v>
      </c>
      <c r="C3987" t="s">
        <v>265</v>
      </c>
      <c r="D3987" t="s">
        <v>126</v>
      </c>
      <c r="E3987" t="s">
        <v>377</v>
      </c>
      <c r="F3987" t="s">
        <v>384</v>
      </c>
      <c r="G3987" t="s">
        <v>58</v>
      </c>
      <c r="H3987" t="s">
        <v>749</v>
      </c>
      <c r="I3987" t="s">
        <v>743</v>
      </c>
      <c r="J3987" t="s">
        <v>379</v>
      </c>
      <c r="K3987" t="s">
        <v>546</v>
      </c>
      <c r="L3987" s="784">
        <v>0</v>
      </c>
      <c r="M3987" t="s">
        <v>745</v>
      </c>
      <c r="N3987" s="784" t="s">
        <v>575</v>
      </c>
      <c r="O3987" t="s">
        <v>737</v>
      </c>
      <c r="P3987" t="s">
        <v>750</v>
      </c>
      <c r="R3987" t="s">
        <v>150</v>
      </c>
      <c r="S3987" t="s">
        <v>145</v>
      </c>
      <c r="U3987">
        <v>0</v>
      </c>
      <c r="V3987" t="s">
        <v>541</v>
      </c>
      <c r="W3987" t="s">
        <v>542</v>
      </c>
      <c r="X3987" s="784">
        <v>32192988.027009469</v>
      </c>
    </row>
    <row r="3988" spans="1:24">
      <c r="A3988" t="s">
        <v>358</v>
      </c>
      <c r="B3988" t="s">
        <v>663</v>
      </c>
      <c r="C3988" t="s">
        <v>266</v>
      </c>
      <c r="D3988" t="s">
        <v>129</v>
      </c>
      <c r="E3988" t="s">
        <v>377</v>
      </c>
      <c r="F3988" t="s">
        <v>384</v>
      </c>
      <c r="G3988" t="s">
        <v>58</v>
      </c>
      <c r="H3988" t="s">
        <v>749</v>
      </c>
      <c r="I3988" t="s">
        <v>743</v>
      </c>
      <c r="J3988" t="s">
        <v>379</v>
      </c>
      <c r="K3988" t="s">
        <v>546</v>
      </c>
      <c r="L3988" s="784">
        <v>200000</v>
      </c>
      <c r="M3988" t="s">
        <v>745</v>
      </c>
      <c r="N3988" s="784" t="s">
        <v>575</v>
      </c>
      <c r="O3988" t="s">
        <v>737</v>
      </c>
      <c r="P3988" t="s">
        <v>750</v>
      </c>
      <c r="R3988" t="s">
        <v>150</v>
      </c>
      <c r="S3988" t="s">
        <v>145</v>
      </c>
      <c r="U3988">
        <v>0</v>
      </c>
      <c r="V3988" t="s">
        <v>541</v>
      </c>
      <c r="W3988" t="s">
        <v>583</v>
      </c>
      <c r="X3988" s="784">
        <v>11633535.136477679</v>
      </c>
    </row>
    <row r="3989" spans="1:24">
      <c r="A3989" t="s">
        <v>358</v>
      </c>
      <c r="B3989" t="s">
        <v>664</v>
      </c>
      <c r="C3989" t="s">
        <v>267</v>
      </c>
      <c r="D3989" t="s">
        <v>129</v>
      </c>
      <c r="E3989" t="s">
        <v>377</v>
      </c>
      <c r="F3989" t="s">
        <v>384</v>
      </c>
      <c r="G3989" t="s">
        <v>58</v>
      </c>
      <c r="H3989" t="s">
        <v>749</v>
      </c>
      <c r="I3989" t="s">
        <v>743</v>
      </c>
      <c r="J3989" t="s">
        <v>379</v>
      </c>
      <c r="K3989" t="s">
        <v>546</v>
      </c>
      <c r="L3989" s="784">
        <v>900000</v>
      </c>
      <c r="M3989" t="s">
        <v>745</v>
      </c>
      <c r="N3989" s="784" t="s">
        <v>575</v>
      </c>
      <c r="O3989" t="s">
        <v>737</v>
      </c>
      <c r="P3989" t="s">
        <v>750</v>
      </c>
      <c r="R3989" t="s">
        <v>150</v>
      </c>
      <c r="S3989" t="s">
        <v>145</v>
      </c>
      <c r="U3989">
        <v>2</v>
      </c>
      <c r="V3989" t="s">
        <v>544</v>
      </c>
      <c r="W3989" t="s">
        <v>562</v>
      </c>
      <c r="X3989" s="784">
        <v>222008693.93354639</v>
      </c>
    </row>
    <row r="3990" spans="1:24">
      <c r="A3990" t="s">
        <v>358</v>
      </c>
      <c r="B3990" t="s">
        <v>665</v>
      </c>
      <c r="C3990" t="s">
        <v>153</v>
      </c>
      <c r="D3990" t="s">
        <v>127</v>
      </c>
      <c r="E3990" t="s">
        <v>377</v>
      </c>
      <c r="F3990" t="s">
        <v>384</v>
      </c>
      <c r="G3990" t="s">
        <v>58</v>
      </c>
      <c r="H3990" t="s">
        <v>749</v>
      </c>
      <c r="I3990" t="s">
        <v>743</v>
      </c>
      <c r="J3990" t="s">
        <v>379</v>
      </c>
      <c r="K3990" t="s">
        <v>546</v>
      </c>
      <c r="L3990" s="784">
        <v>0</v>
      </c>
      <c r="M3990" t="s">
        <v>745</v>
      </c>
      <c r="N3990" s="784" t="s">
        <v>575</v>
      </c>
      <c r="O3990" t="s">
        <v>737</v>
      </c>
      <c r="P3990" t="s">
        <v>750</v>
      </c>
      <c r="R3990" t="s">
        <v>152</v>
      </c>
      <c r="S3990" t="s">
        <v>146</v>
      </c>
      <c r="U3990">
        <v>0</v>
      </c>
      <c r="V3990" t="s">
        <v>544</v>
      </c>
      <c r="W3990" t="s">
        <v>575</v>
      </c>
      <c r="X3990" s="784">
        <v>2564993795.1894679</v>
      </c>
    </row>
    <row r="3991" spans="1:24">
      <c r="A3991" t="s">
        <v>358</v>
      </c>
      <c r="B3991" t="s">
        <v>666</v>
      </c>
      <c r="C3991" t="s">
        <v>268</v>
      </c>
      <c r="D3991" t="s">
        <v>128</v>
      </c>
      <c r="E3991" t="s">
        <v>377</v>
      </c>
      <c r="F3991" t="s">
        <v>384</v>
      </c>
      <c r="G3991" t="s">
        <v>58</v>
      </c>
      <c r="H3991" t="s">
        <v>749</v>
      </c>
      <c r="I3991" t="s">
        <v>743</v>
      </c>
      <c r="J3991" t="s">
        <v>379</v>
      </c>
      <c r="K3991" t="s">
        <v>546</v>
      </c>
      <c r="L3991" s="784">
        <v>0</v>
      </c>
      <c r="M3991" t="s">
        <v>745</v>
      </c>
      <c r="N3991" s="784" t="s">
        <v>575</v>
      </c>
      <c r="O3991" t="s">
        <v>737</v>
      </c>
      <c r="P3991" t="s">
        <v>750</v>
      </c>
      <c r="R3991" t="s">
        <v>550</v>
      </c>
      <c r="S3991" t="s">
        <v>146</v>
      </c>
      <c r="U3991">
        <v>0</v>
      </c>
      <c r="V3991" t="s">
        <v>541</v>
      </c>
      <c r="W3991" t="s">
        <v>546</v>
      </c>
      <c r="X3991" s="784">
        <v>60237542.945069775</v>
      </c>
    </row>
    <row r="3992" spans="1:24">
      <c r="A3992" t="s">
        <v>358</v>
      </c>
      <c r="B3992" t="s">
        <v>667</v>
      </c>
      <c r="C3992" t="s">
        <v>269</v>
      </c>
      <c r="D3992" t="s">
        <v>129</v>
      </c>
      <c r="E3992" t="s">
        <v>377</v>
      </c>
      <c r="F3992" t="s">
        <v>384</v>
      </c>
      <c r="G3992" t="s">
        <v>58</v>
      </c>
      <c r="H3992" t="s">
        <v>749</v>
      </c>
      <c r="I3992" t="s">
        <v>743</v>
      </c>
      <c r="J3992" t="s">
        <v>379</v>
      </c>
      <c r="K3992" t="s">
        <v>546</v>
      </c>
      <c r="L3992" s="784">
        <v>1450000</v>
      </c>
      <c r="M3992" t="s">
        <v>745</v>
      </c>
      <c r="N3992" s="784" t="s">
        <v>575</v>
      </c>
      <c r="O3992" t="s">
        <v>737</v>
      </c>
      <c r="P3992" t="s">
        <v>750</v>
      </c>
      <c r="R3992" t="s">
        <v>148</v>
      </c>
      <c r="S3992" t="s">
        <v>145</v>
      </c>
      <c r="U3992">
        <v>0</v>
      </c>
      <c r="V3992" t="s">
        <v>544</v>
      </c>
      <c r="W3992" t="s">
        <v>542</v>
      </c>
      <c r="X3992" s="784">
        <v>63738640.538260505</v>
      </c>
    </row>
    <row r="3993" spans="1:24">
      <c r="A3993" t="s">
        <v>358</v>
      </c>
      <c r="B3993" t="s">
        <v>668</v>
      </c>
      <c r="C3993" t="s">
        <v>270</v>
      </c>
      <c r="D3993" t="s">
        <v>126</v>
      </c>
      <c r="E3993" t="s">
        <v>377</v>
      </c>
      <c r="F3993" t="s">
        <v>384</v>
      </c>
      <c r="G3993" t="s">
        <v>58</v>
      </c>
      <c r="H3993" t="s">
        <v>749</v>
      </c>
      <c r="I3993" t="s">
        <v>743</v>
      </c>
      <c r="J3993" t="s">
        <v>379</v>
      </c>
      <c r="K3993" t="s">
        <v>546</v>
      </c>
      <c r="L3993" s="784">
        <v>0</v>
      </c>
      <c r="M3993" t="s">
        <v>745</v>
      </c>
      <c r="N3993" s="784" t="s">
        <v>575</v>
      </c>
      <c r="O3993" t="s">
        <v>737</v>
      </c>
      <c r="P3993" t="s">
        <v>750</v>
      </c>
      <c r="R3993" t="s">
        <v>150</v>
      </c>
      <c r="S3993" t="s">
        <v>145</v>
      </c>
      <c r="U3993">
        <v>0</v>
      </c>
      <c r="V3993" t="s">
        <v>541</v>
      </c>
      <c r="W3993" t="s">
        <v>562</v>
      </c>
      <c r="X3993" s="784">
        <v>49012774.055630356</v>
      </c>
    </row>
    <row r="3994" spans="1:24">
      <c r="A3994" t="s">
        <v>358</v>
      </c>
      <c r="B3994" t="s">
        <v>669</v>
      </c>
      <c r="C3994" t="s">
        <v>271</v>
      </c>
      <c r="D3994" t="s">
        <v>128</v>
      </c>
      <c r="E3994" t="s">
        <v>377</v>
      </c>
      <c r="F3994" t="s">
        <v>384</v>
      </c>
      <c r="G3994" t="s">
        <v>58</v>
      </c>
      <c r="H3994" t="s">
        <v>749</v>
      </c>
      <c r="I3994" t="s">
        <v>743</v>
      </c>
      <c r="J3994" t="s">
        <v>379</v>
      </c>
      <c r="K3994" t="s">
        <v>546</v>
      </c>
      <c r="L3994" s="784">
        <v>1500000</v>
      </c>
      <c r="M3994" t="s">
        <v>745</v>
      </c>
      <c r="N3994" s="784" t="s">
        <v>575</v>
      </c>
      <c r="O3994" t="s">
        <v>737</v>
      </c>
      <c r="P3994" t="s">
        <v>750</v>
      </c>
      <c r="R3994" t="s">
        <v>148</v>
      </c>
      <c r="S3994" t="s">
        <v>145</v>
      </c>
      <c r="U3994">
        <v>1</v>
      </c>
      <c r="V3994" t="s">
        <v>544</v>
      </c>
      <c r="W3994" t="s">
        <v>583</v>
      </c>
      <c r="X3994" s="784" t="s">
        <v>575</v>
      </c>
    </row>
    <row r="3995" spans="1:24">
      <c r="A3995" t="s">
        <v>358</v>
      </c>
      <c r="B3995" t="s">
        <v>670</v>
      </c>
      <c r="C3995" t="s">
        <v>272</v>
      </c>
      <c r="D3995" t="s">
        <v>128</v>
      </c>
      <c r="E3995" t="s">
        <v>377</v>
      </c>
      <c r="F3995" t="s">
        <v>384</v>
      </c>
      <c r="G3995" t="s">
        <v>58</v>
      </c>
      <c r="H3995" t="s">
        <v>749</v>
      </c>
      <c r="I3995" t="s">
        <v>743</v>
      </c>
      <c r="J3995" t="s">
        <v>379</v>
      </c>
      <c r="K3995" t="s">
        <v>546</v>
      </c>
      <c r="L3995" s="784">
        <v>0</v>
      </c>
      <c r="M3995" t="s">
        <v>745</v>
      </c>
      <c r="N3995" s="784" t="s">
        <v>575</v>
      </c>
      <c r="O3995" t="s">
        <v>737</v>
      </c>
      <c r="P3995" t="s">
        <v>750</v>
      </c>
      <c r="R3995" t="s">
        <v>152</v>
      </c>
      <c r="S3995" t="s">
        <v>146</v>
      </c>
      <c r="U3995">
        <v>0</v>
      </c>
      <c r="V3995" t="s">
        <v>544</v>
      </c>
      <c r="W3995" t="s">
        <v>546</v>
      </c>
      <c r="X3995" s="784">
        <v>16429121142.784708</v>
      </c>
    </row>
    <row r="3996" spans="1:24">
      <c r="A3996" t="s">
        <v>358</v>
      </c>
      <c r="B3996" t="s">
        <v>671</v>
      </c>
      <c r="C3996" t="s">
        <v>273</v>
      </c>
      <c r="D3996" t="s">
        <v>128</v>
      </c>
      <c r="E3996" t="s">
        <v>377</v>
      </c>
      <c r="F3996" t="s">
        <v>384</v>
      </c>
      <c r="G3996" t="s">
        <v>58</v>
      </c>
      <c r="H3996" t="s">
        <v>749</v>
      </c>
      <c r="I3996" t="s">
        <v>743</v>
      </c>
      <c r="J3996" t="s">
        <v>379</v>
      </c>
      <c r="K3996" t="s">
        <v>546</v>
      </c>
      <c r="L3996" s="784">
        <v>0</v>
      </c>
      <c r="M3996" t="s">
        <v>745</v>
      </c>
      <c r="N3996" s="784" t="s">
        <v>575</v>
      </c>
      <c r="O3996" t="s">
        <v>737</v>
      </c>
      <c r="P3996" t="s">
        <v>750</v>
      </c>
      <c r="R3996" t="s">
        <v>148</v>
      </c>
      <c r="S3996" t="s">
        <v>145</v>
      </c>
      <c r="U3996">
        <v>1</v>
      </c>
      <c r="V3996" t="s">
        <v>544</v>
      </c>
      <c r="W3996" t="s">
        <v>542</v>
      </c>
      <c r="X3996" s="784">
        <v>31684581.76217727</v>
      </c>
    </row>
    <row r="3997" spans="1:24">
      <c r="A3997" t="s">
        <v>358</v>
      </c>
      <c r="B3997" t="s">
        <v>672</v>
      </c>
      <c r="C3997" t="s">
        <v>274</v>
      </c>
      <c r="D3997" t="s">
        <v>132</v>
      </c>
      <c r="E3997" t="s">
        <v>377</v>
      </c>
      <c r="F3997" t="s">
        <v>384</v>
      </c>
      <c r="G3997" t="s">
        <v>58</v>
      </c>
      <c r="H3997" t="s">
        <v>749</v>
      </c>
      <c r="I3997" t="s">
        <v>743</v>
      </c>
      <c r="J3997" t="s">
        <v>379</v>
      </c>
      <c r="K3997" t="s">
        <v>546</v>
      </c>
      <c r="L3997" s="784">
        <v>0</v>
      </c>
      <c r="M3997" t="s">
        <v>745</v>
      </c>
      <c r="N3997" s="784" t="s">
        <v>575</v>
      </c>
      <c r="O3997" t="s">
        <v>737</v>
      </c>
      <c r="P3997" t="s">
        <v>750</v>
      </c>
      <c r="R3997" t="s">
        <v>150</v>
      </c>
      <c r="S3997" t="s">
        <v>145</v>
      </c>
      <c r="U3997">
        <v>0</v>
      </c>
      <c r="V3997" t="s">
        <v>544</v>
      </c>
      <c r="W3997" t="s">
        <v>546</v>
      </c>
      <c r="X3997" s="784">
        <v>1373621563.5182886</v>
      </c>
    </row>
    <row r="3998" spans="1:24">
      <c r="A3998" t="s">
        <v>358</v>
      </c>
      <c r="B3998" t="s">
        <v>673</v>
      </c>
      <c r="C3998" t="s">
        <v>275</v>
      </c>
      <c r="D3998" t="s">
        <v>130</v>
      </c>
      <c r="E3998" t="s">
        <v>377</v>
      </c>
      <c r="F3998" t="s">
        <v>384</v>
      </c>
      <c r="G3998" t="s">
        <v>58</v>
      </c>
      <c r="H3998" t="s">
        <v>749</v>
      </c>
      <c r="I3998" t="s">
        <v>743</v>
      </c>
      <c r="J3998" t="s">
        <v>379</v>
      </c>
      <c r="K3998" t="s">
        <v>546</v>
      </c>
      <c r="L3998" s="784">
        <v>0</v>
      </c>
      <c r="M3998" t="s">
        <v>745</v>
      </c>
      <c r="N3998" s="784" t="s">
        <v>575</v>
      </c>
      <c r="O3998" t="s">
        <v>737</v>
      </c>
      <c r="P3998" t="s">
        <v>750</v>
      </c>
      <c r="R3998" t="s">
        <v>550</v>
      </c>
      <c r="S3998" t="s">
        <v>146</v>
      </c>
      <c r="U3998">
        <v>0</v>
      </c>
      <c r="V3998" t="s">
        <v>541</v>
      </c>
      <c r="W3998" t="s">
        <v>575</v>
      </c>
      <c r="X3998" s="784">
        <v>24214370.889062837</v>
      </c>
    </row>
    <row r="3999" spans="1:24">
      <c r="A3999" t="s">
        <v>358</v>
      </c>
      <c r="B3999" t="s">
        <v>674</v>
      </c>
      <c r="C3999" t="s">
        <v>154</v>
      </c>
      <c r="D3999" t="s">
        <v>130</v>
      </c>
      <c r="E3999" t="s">
        <v>377</v>
      </c>
      <c r="F3999" t="s">
        <v>384</v>
      </c>
      <c r="G3999" t="s">
        <v>58</v>
      </c>
      <c r="H3999" t="s">
        <v>749</v>
      </c>
      <c r="I3999" t="s">
        <v>743</v>
      </c>
      <c r="J3999" t="s">
        <v>379</v>
      </c>
      <c r="K3999" t="s">
        <v>546</v>
      </c>
      <c r="L3999" s="784">
        <v>0</v>
      </c>
      <c r="M3999" t="s">
        <v>745</v>
      </c>
      <c r="N3999" s="784" t="s">
        <v>575</v>
      </c>
      <c r="O3999" t="s">
        <v>737</v>
      </c>
      <c r="P3999" t="s">
        <v>750</v>
      </c>
      <c r="R3999" t="s">
        <v>152</v>
      </c>
      <c r="S3999" t="s">
        <v>145</v>
      </c>
      <c r="U3999">
        <v>0</v>
      </c>
      <c r="V3999" t="s">
        <v>541</v>
      </c>
      <c r="W3999" t="s">
        <v>548</v>
      </c>
      <c r="X3999" s="784">
        <v>39941279.609447442</v>
      </c>
    </row>
    <row r="4000" spans="1:24">
      <c r="A4000" t="s">
        <v>358</v>
      </c>
      <c r="B4000" t="s">
        <v>675</v>
      </c>
      <c r="C4000" t="s">
        <v>155</v>
      </c>
      <c r="D4000" t="s">
        <v>130</v>
      </c>
      <c r="E4000" t="s">
        <v>377</v>
      </c>
      <c r="F4000" t="s">
        <v>384</v>
      </c>
      <c r="G4000" t="s">
        <v>58</v>
      </c>
      <c r="H4000" t="s">
        <v>749</v>
      </c>
      <c r="I4000" t="s">
        <v>743</v>
      </c>
      <c r="J4000" t="s">
        <v>379</v>
      </c>
      <c r="K4000" t="s">
        <v>546</v>
      </c>
      <c r="L4000" s="784">
        <v>0</v>
      </c>
      <c r="M4000" t="s">
        <v>745</v>
      </c>
      <c r="N4000" s="784" t="s">
        <v>575</v>
      </c>
      <c r="O4000" t="s">
        <v>737</v>
      </c>
      <c r="P4000" t="s">
        <v>750</v>
      </c>
      <c r="R4000" t="s">
        <v>152</v>
      </c>
      <c r="S4000" t="s">
        <v>145</v>
      </c>
      <c r="U4000">
        <v>0</v>
      </c>
      <c r="V4000" t="s">
        <v>541</v>
      </c>
      <c r="W4000" t="s">
        <v>542</v>
      </c>
      <c r="X4000" s="784">
        <v>24761675.260059897</v>
      </c>
    </row>
    <row r="4001" spans="1:24">
      <c r="A4001" t="s">
        <v>358</v>
      </c>
      <c r="B4001" t="s">
        <v>676</v>
      </c>
      <c r="C4001" t="s">
        <v>276</v>
      </c>
      <c r="D4001" t="s">
        <v>131</v>
      </c>
      <c r="E4001" t="s">
        <v>377</v>
      </c>
      <c r="F4001" t="s">
        <v>384</v>
      </c>
      <c r="G4001" t="s">
        <v>58</v>
      </c>
      <c r="H4001" t="s">
        <v>749</v>
      </c>
      <c r="I4001" t="s">
        <v>743</v>
      </c>
      <c r="J4001" t="s">
        <v>379</v>
      </c>
      <c r="K4001" t="s">
        <v>546</v>
      </c>
      <c r="L4001" s="784">
        <v>0</v>
      </c>
      <c r="M4001" t="s">
        <v>745</v>
      </c>
      <c r="N4001" s="784" t="s">
        <v>575</v>
      </c>
      <c r="O4001" t="s">
        <v>737</v>
      </c>
      <c r="P4001" t="s">
        <v>750</v>
      </c>
      <c r="R4001" t="s">
        <v>150</v>
      </c>
      <c r="S4001" t="s">
        <v>145</v>
      </c>
      <c r="U4001">
        <v>0</v>
      </c>
      <c r="V4001" t="s">
        <v>544</v>
      </c>
      <c r="W4001" t="s">
        <v>546</v>
      </c>
      <c r="X4001" s="784" t="s">
        <v>575</v>
      </c>
    </row>
    <row r="4002" spans="1:24">
      <c r="A4002" t="s">
        <v>358</v>
      </c>
      <c r="B4002" t="s">
        <v>677</v>
      </c>
      <c r="C4002" t="s">
        <v>277</v>
      </c>
      <c r="D4002" t="s">
        <v>131</v>
      </c>
      <c r="E4002" t="s">
        <v>377</v>
      </c>
      <c r="F4002" t="s">
        <v>384</v>
      </c>
      <c r="G4002" t="s">
        <v>58</v>
      </c>
      <c r="H4002" t="s">
        <v>749</v>
      </c>
      <c r="I4002" t="s">
        <v>743</v>
      </c>
      <c r="J4002" t="s">
        <v>379</v>
      </c>
      <c r="K4002" t="s">
        <v>546</v>
      </c>
      <c r="L4002" s="784">
        <v>0</v>
      </c>
      <c r="M4002" t="s">
        <v>745</v>
      </c>
      <c r="N4002" s="784" t="s">
        <v>575</v>
      </c>
      <c r="O4002" t="s">
        <v>737</v>
      </c>
      <c r="P4002" t="s">
        <v>750</v>
      </c>
      <c r="R4002" t="s">
        <v>148</v>
      </c>
      <c r="S4002" t="s">
        <v>145</v>
      </c>
      <c r="U4002">
        <v>1</v>
      </c>
      <c r="V4002" t="s">
        <v>544</v>
      </c>
      <c r="W4002" t="s">
        <v>546</v>
      </c>
      <c r="X4002" s="784">
        <v>577156172.71229994</v>
      </c>
    </row>
    <row r="4003" spans="1:24">
      <c r="A4003" t="s">
        <v>358</v>
      </c>
      <c r="B4003" t="s">
        <v>678</v>
      </c>
      <c r="C4003" t="s">
        <v>278</v>
      </c>
      <c r="D4003" t="s">
        <v>126</v>
      </c>
      <c r="E4003" t="s">
        <v>377</v>
      </c>
      <c r="F4003" t="s">
        <v>384</v>
      </c>
      <c r="G4003" t="s">
        <v>58</v>
      </c>
      <c r="H4003" t="s">
        <v>749</v>
      </c>
      <c r="I4003" t="s">
        <v>743</v>
      </c>
      <c r="J4003" t="s">
        <v>379</v>
      </c>
      <c r="K4003" t="s">
        <v>546</v>
      </c>
      <c r="L4003" s="784">
        <v>0</v>
      </c>
      <c r="M4003" t="s">
        <v>745</v>
      </c>
      <c r="N4003" s="784" t="s">
        <v>575</v>
      </c>
      <c r="O4003" t="s">
        <v>737</v>
      </c>
      <c r="P4003" t="s">
        <v>750</v>
      </c>
      <c r="R4003" t="s">
        <v>152</v>
      </c>
      <c r="S4003" t="s">
        <v>146</v>
      </c>
      <c r="U4003">
        <v>0</v>
      </c>
      <c r="V4003" t="s">
        <v>541</v>
      </c>
      <c r="W4003" t="s">
        <v>575</v>
      </c>
      <c r="X4003" s="784">
        <v>180052034.19851837</v>
      </c>
    </row>
    <row r="4004" spans="1:24">
      <c r="A4004" t="s">
        <v>358</v>
      </c>
      <c r="B4004" t="s">
        <v>679</v>
      </c>
      <c r="C4004" t="s">
        <v>279</v>
      </c>
      <c r="D4004" t="s">
        <v>131</v>
      </c>
      <c r="E4004" t="s">
        <v>377</v>
      </c>
      <c r="F4004" t="s">
        <v>384</v>
      </c>
      <c r="G4004" t="s">
        <v>58</v>
      </c>
      <c r="H4004" t="s">
        <v>749</v>
      </c>
      <c r="I4004" t="s">
        <v>743</v>
      </c>
      <c r="J4004" t="s">
        <v>379</v>
      </c>
      <c r="K4004" t="s">
        <v>546</v>
      </c>
      <c r="L4004" s="784">
        <v>0</v>
      </c>
      <c r="M4004" t="s">
        <v>745</v>
      </c>
      <c r="N4004" s="784" t="s">
        <v>575</v>
      </c>
      <c r="O4004" t="s">
        <v>737</v>
      </c>
      <c r="P4004" t="s">
        <v>750</v>
      </c>
      <c r="R4004" t="s">
        <v>148</v>
      </c>
      <c r="S4004" t="s">
        <v>145</v>
      </c>
      <c r="U4004">
        <v>1</v>
      </c>
      <c r="V4004" t="s">
        <v>544</v>
      </c>
      <c r="W4004" t="s">
        <v>546</v>
      </c>
      <c r="X4004" s="784" t="s">
        <v>575</v>
      </c>
    </row>
    <row r="4005" spans="1:24">
      <c r="A4005" t="s">
        <v>358</v>
      </c>
      <c r="B4005" t="s">
        <v>680</v>
      </c>
      <c r="C4005" t="s">
        <v>280</v>
      </c>
      <c r="D4005" t="s">
        <v>127</v>
      </c>
      <c r="E4005" t="s">
        <v>377</v>
      </c>
      <c r="F4005" t="s">
        <v>384</v>
      </c>
      <c r="G4005" t="s">
        <v>58</v>
      </c>
      <c r="H4005" t="s">
        <v>749</v>
      </c>
      <c r="I4005" t="s">
        <v>743</v>
      </c>
      <c r="J4005" t="s">
        <v>379</v>
      </c>
      <c r="K4005" t="s">
        <v>546</v>
      </c>
      <c r="L4005" s="784">
        <v>0</v>
      </c>
      <c r="M4005" t="s">
        <v>745</v>
      </c>
      <c r="N4005" s="784" t="s">
        <v>575</v>
      </c>
      <c r="O4005" t="s">
        <v>737</v>
      </c>
      <c r="P4005" t="s">
        <v>750</v>
      </c>
      <c r="R4005" t="s">
        <v>150</v>
      </c>
      <c r="S4005" t="s">
        <v>145</v>
      </c>
      <c r="U4005">
        <v>0</v>
      </c>
      <c r="V4005" t="s">
        <v>544</v>
      </c>
      <c r="W4005" t="s">
        <v>542</v>
      </c>
      <c r="X4005" s="784">
        <v>147296124.32232863</v>
      </c>
    </row>
    <row r="4006" spans="1:24">
      <c r="A4006" t="s">
        <v>358</v>
      </c>
      <c r="B4006" t="s">
        <v>681</v>
      </c>
      <c r="C4006" t="s">
        <v>156</v>
      </c>
      <c r="D4006" t="s">
        <v>128</v>
      </c>
      <c r="E4006" t="s">
        <v>377</v>
      </c>
      <c r="F4006" t="s">
        <v>384</v>
      </c>
      <c r="G4006" t="s">
        <v>58</v>
      </c>
      <c r="H4006" t="s">
        <v>749</v>
      </c>
      <c r="I4006" t="s">
        <v>743</v>
      </c>
      <c r="J4006" t="s">
        <v>379</v>
      </c>
      <c r="K4006" t="s">
        <v>546</v>
      </c>
      <c r="L4006" s="784">
        <v>750000</v>
      </c>
      <c r="M4006" t="s">
        <v>745</v>
      </c>
      <c r="N4006" s="784" t="s">
        <v>575</v>
      </c>
      <c r="O4006" t="s">
        <v>737</v>
      </c>
      <c r="P4006" t="s">
        <v>750</v>
      </c>
      <c r="R4006" t="s">
        <v>150</v>
      </c>
      <c r="S4006" t="s">
        <v>145</v>
      </c>
      <c r="U4006">
        <v>0</v>
      </c>
      <c r="V4006" t="s">
        <v>544</v>
      </c>
      <c r="W4006" t="s">
        <v>548</v>
      </c>
      <c r="X4006" s="784">
        <v>890576536.83065879</v>
      </c>
    </row>
    <row r="4007" spans="1:24">
      <c r="A4007" t="s">
        <v>358</v>
      </c>
      <c r="B4007" t="s">
        <v>682</v>
      </c>
      <c r="C4007" t="s">
        <v>157</v>
      </c>
      <c r="D4007" t="s">
        <v>126</v>
      </c>
      <c r="E4007" t="s">
        <v>377</v>
      </c>
      <c r="F4007" t="s">
        <v>384</v>
      </c>
      <c r="G4007" t="s">
        <v>58</v>
      </c>
      <c r="H4007" t="s">
        <v>749</v>
      </c>
      <c r="I4007" t="s">
        <v>743</v>
      </c>
      <c r="J4007" t="s">
        <v>379</v>
      </c>
      <c r="K4007" t="s">
        <v>546</v>
      </c>
      <c r="L4007" s="784">
        <v>0</v>
      </c>
      <c r="M4007" t="s">
        <v>745</v>
      </c>
      <c r="N4007" s="784" t="s">
        <v>575</v>
      </c>
      <c r="O4007" t="s">
        <v>737</v>
      </c>
      <c r="P4007" t="s">
        <v>750</v>
      </c>
      <c r="R4007" t="s">
        <v>152</v>
      </c>
      <c r="S4007" t="s">
        <v>146</v>
      </c>
      <c r="U4007">
        <v>0</v>
      </c>
      <c r="V4007" t="s">
        <v>544</v>
      </c>
      <c r="W4007" t="s">
        <v>575</v>
      </c>
      <c r="X4007" s="784">
        <v>14611129792.346064</v>
      </c>
    </row>
    <row r="4008" spans="1:24">
      <c r="A4008" t="s">
        <v>358</v>
      </c>
      <c r="B4008" t="s">
        <v>683</v>
      </c>
      <c r="C4008" t="s">
        <v>281</v>
      </c>
      <c r="D4008" t="s">
        <v>126</v>
      </c>
      <c r="E4008" t="s">
        <v>377</v>
      </c>
      <c r="F4008" t="s">
        <v>384</v>
      </c>
      <c r="G4008" t="s">
        <v>58</v>
      </c>
      <c r="H4008" t="s">
        <v>749</v>
      </c>
      <c r="I4008" t="s">
        <v>743</v>
      </c>
      <c r="J4008" t="s">
        <v>379</v>
      </c>
      <c r="K4008" t="s">
        <v>546</v>
      </c>
      <c r="L4008" s="784">
        <v>0</v>
      </c>
      <c r="M4008" t="s">
        <v>745</v>
      </c>
      <c r="N4008" s="784" t="s">
        <v>575</v>
      </c>
      <c r="O4008" t="s">
        <v>737</v>
      </c>
      <c r="P4008" t="s">
        <v>750</v>
      </c>
      <c r="R4008" t="s">
        <v>150</v>
      </c>
      <c r="S4008" t="s">
        <v>145</v>
      </c>
      <c r="U4008">
        <v>0</v>
      </c>
      <c r="V4008" t="s">
        <v>541</v>
      </c>
      <c r="W4008" t="s">
        <v>558</v>
      </c>
      <c r="X4008" s="784">
        <v>72046877.233008593</v>
      </c>
    </row>
    <row r="4009" spans="1:24">
      <c r="A4009" t="s">
        <v>358</v>
      </c>
      <c r="B4009" t="s">
        <v>684</v>
      </c>
      <c r="C4009" t="s">
        <v>282</v>
      </c>
      <c r="D4009" t="s">
        <v>129</v>
      </c>
      <c r="E4009" t="s">
        <v>377</v>
      </c>
      <c r="F4009" t="s">
        <v>384</v>
      </c>
      <c r="G4009" t="s">
        <v>58</v>
      </c>
      <c r="H4009" t="s">
        <v>749</v>
      </c>
      <c r="I4009" t="s">
        <v>743</v>
      </c>
      <c r="J4009" t="s">
        <v>379</v>
      </c>
      <c r="K4009" t="s">
        <v>546</v>
      </c>
      <c r="L4009" s="784">
        <v>0</v>
      </c>
      <c r="M4009" t="s">
        <v>745</v>
      </c>
      <c r="N4009" s="784" t="s">
        <v>575</v>
      </c>
      <c r="O4009" t="s">
        <v>737</v>
      </c>
      <c r="P4009" t="s">
        <v>750</v>
      </c>
      <c r="R4009" t="s">
        <v>148</v>
      </c>
      <c r="S4009" t="s">
        <v>145</v>
      </c>
      <c r="U4009">
        <v>0</v>
      </c>
      <c r="V4009" t="s">
        <v>544</v>
      </c>
      <c r="W4009" t="s">
        <v>542</v>
      </c>
      <c r="X4009" s="784">
        <v>56248139.267255567</v>
      </c>
    </row>
    <row r="4010" spans="1:24">
      <c r="A4010" t="s">
        <v>358</v>
      </c>
      <c r="B4010" t="s">
        <v>685</v>
      </c>
      <c r="C4010" t="s">
        <v>283</v>
      </c>
      <c r="D4010" t="s">
        <v>126</v>
      </c>
      <c r="E4010" t="s">
        <v>377</v>
      </c>
      <c r="F4010" t="s">
        <v>384</v>
      </c>
      <c r="G4010" t="s">
        <v>58</v>
      </c>
      <c r="H4010" t="s">
        <v>749</v>
      </c>
      <c r="I4010" t="s">
        <v>743</v>
      </c>
      <c r="J4010" t="s">
        <v>379</v>
      </c>
      <c r="K4010" t="s">
        <v>546</v>
      </c>
      <c r="L4010" s="784">
        <v>0</v>
      </c>
      <c r="M4010" t="s">
        <v>745</v>
      </c>
      <c r="N4010" s="784" t="s">
        <v>575</v>
      </c>
      <c r="O4010" t="s">
        <v>737</v>
      </c>
      <c r="P4010" t="s">
        <v>750</v>
      </c>
      <c r="R4010" t="s">
        <v>152</v>
      </c>
      <c r="S4010" t="s">
        <v>145</v>
      </c>
      <c r="U4010">
        <v>0</v>
      </c>
      <c r="V4010" t="s">
        <v>541</v>
      </c>
      <c r="W4010" t="s">
        <v>542</v>
      </c>
      <c r="X4010" s="784">
        <v>15464031.712942109</v>
      </c>
    </row>
    <row r="4011" spans="1:24">
      <c r="A4011" t="s">
        <v>358</v>
      </c>
      <c r="B4011" t="s">
        <v>686</v>
      </c>
      <c r="C4011" t="s">
        <v>284</v>
      </c>
      <c r="D4011" t="s">
        <v>130</v>
      </c>
      <c r="E4011" t="s">
        <v>377</v>
      </c>
      <c r="F4011" t="s">
        <v>384</v>
      </c>
      <c r="G4011" t="s">
        <v>58</v>
      </c>
      <c r="H4011" t="s">
        <v>749</v>
      </c>
      <c r="I4011" t="s">
        <v>743</v>
      </c>
      <c r="J4011" t="s">
        <v>379</v>
      </c>
      <c r="K4011" t="s">
        <v>546</v>
      </c>
      <c r="L4011" s="784">
        <v>0</v>
      </c>
      <c r="M4011" t="s">
        <v>745</v>
      </c>
      <c r="N4011" s="784" t="s">
        <v>575</v>
      </c>
      <c r="O4011" t="s">
        <v>737</v>
      </c>
      <c r="P4011" t="s">
        <v>750</v>
      </c>
      <c r="R4011" t="s">
        <v>550</v>
      </c>
      <c r="S4011" t="s">
        <v>146</v>
      </c>
      <c r="U4011">
        <v>0</v>
      </c>
      <c r="V4011" t="s">
        <v>541</v>
      </c>
      <c r="W4011" t="s">
        <v>546</v>
      </c>
      <c r="X4011" s="784">
        <v>769564399.33249676</v>
      </c>
    </row>
    <row r="4012" spans="1:24">
      <c r="A4012" t="s">
        <v>358</v>
      </c>
      <c r="B4012" t="s">
        <v>687</v>
      </c>
      <c r="C4012" t="s">
        <v>285</v>
      </c>
      <c r="D4012" t="s">
        <v>131</v>
      </c>
      <c r="E4012" t="s">
        <v>377</v>
      </c>
      <c r="F4012" t="s">
        <v>384</v>
      </c>
      <c r="G4012" t="s">
        <v>58</v>
      </c>
      <c r="H4012" t="s">
        <v>749</v>
      </c>
      <c r="I4012" t="s">
        <v>743</v>
      </c>
      <c r="J4012" t="s">
        <v>379</v>
      </c>
      <c r="K4012" t="s">
        <v>546</v>
      </c>
      <c r="L4012" s="784">
        <v>3000000</v>
      </c>
      <c r="M4012" t="s">
        <v>745</v>
      </c>
      <c r="N4012" s="784" t="s">
        <v>575</v>
      </c>
      <c r="O4012" t="s">
        <v>737</v>
      </c>
      <c r="P4012" t="s">
        <v>750</v>
      </c>
      <c r="R4012" t="s">
        <v>150</v>
      </c>
      <c r="S4012" t="s">
        <v>145</v>
      </c>
      <c r="U4012">
        <v>0</v>
      </c>
      <c r="V4012" t="s">
        <v>544</v>
      </c>
      <c r="W4012" t="s">
        <v>546</v>
      </c>
      <c r="X4012" s="784">
        <v>1668954539.7630196</v>
      </c>
    </row>
    <row r="4013" spans="1:24">
      <c r="A4013" t="s">
        <v>358</v>
      </c>
      <c r="B4013" t="s">
        <v>688</v>
      </c>
      <c r="C4013" t="s">
        <v>286</v>
      </c>
      <c r="D4013" t="s">
        <v>127</v>
      </c>
      <c r="E4013" t="s">
        <v>377</v>
      </c>
      <c r="F4013" t="s">
        <v>384</v>
      </c>
      <c r="G4013" t="s">
        <v>58</v>
      </c>
      <c r="H4013" t="s">
        <v>749</v>
      </c>
      <c r="I4013" t="s">
        <v>743</v>
      </c>
      <c r="J4013" t="s">
        <v>379</v>
      </c>
      <c r="K4013" t="s">
        <v>546</v>
      </c>
      <c r="L4013" s="784">
        <v>0</v>
      </c>
      <c r="M4013" t="s">
        <v>745</v>
      </c>
      <c r="N4013" s="784" t="s">
        <v>575</v>
      </c>
      <c r="O4013" t="s">
        <v>737</v>
      </c>
      <c r="P4013" t="s">
        <v>750</v>
      </c>
      <c r="R4013" t="s">
        <v>152</v>
      </c>
      <c r="S4013" t="s">
        <v>146</v>
      </c>
      <c r="U4013">
        <v>0</v>
      </c>
      <c r="V4013" t="s">
        <v>544</v>
      </c>
      <c r="W4013" t="s">
        <v>575</v>
      </c>
      <c r="X4013" s="784">
        <v>24840920016.18832</v>
      </c>
    </row>
    <row r="4014" spans="1:24">
      <c r="A4014" t="s">
        <v>358</v>
      </c>
      <c r="B4014" t="s">
        <v>689</v>
      </c>
      <c r="C4014" t="s">
        <v>287</v>
      </c>
      <c r="D4014" t="s">
        <v>127</v>
      </c>
      <c r="E4014" t="s">
        <v>377</v>
      </c>
      <c r="F4014" t="s">
        <v>384</v>
      </c>
      <c r="G4014" t="s">
        <v>58</v>
      </c>
      <c r="H4014" t="s">
        <v>749</v>
      </c>
      <c r="I4014" t="s">
        <v>743</v>
      </c>
      <c r="J4014" t="s">
        <v>379</v>
      </c>
      <c r="K4014" t="s">
        <v>546</v>
      </c>
      <c r="L4014" s="784">
        <v>0</v>
      </c>
      <c r="M4014" t="s">
        <v>745</v>
      </c>
      <c r="N4014" s="784" t="s">
        <v>575</v>
      </c>
      <c r="O4014" t="s">
        <v>737</v>
      </c>
      <c r="P4014" t="s">
        <v>750</v>
      </c>
      <c r="R4014" t="s">
        <v>152</v>
      </c>
      <c r="S4014" t="s">
        <v>146</v>
      </c>
      <c r="U4014">
        <v>0</v>
      </c>
      <c r="V4014" t="s">
        <v>544</v>
      </c>
      <c r="W4014" t="s">
        <v>546</v>
      </c>
      <c r="X4014" s="784">
        <v>487888462.83720118</v>
      </c>
    </row>
    <row r="4015" spans="1:24">
      <c r="A4015" t="s">
        <v>358</v>
      </c>
      <c r="B4015" t="s">
        <v>690</v>
      </c>
      <c r="C4015" t="s">
        <v>288</v>
      </c>
      <c r="D4015" t="s">
        <v>126</v>
      </c>
      <c r="E4015" t="s">
        <v>377</v>
      </c>
      <c r="F4015" t="s">
        <v>384</v>
      </c>
      <c r="G4015" t="s">
        <v>58</v>
      </c>
      <c r="H4015" t="s">
        <v>749</v>
      </c>
      <c r="I4015" t="s">
        <v>743</v>
      </c>
      <c r="J4015" t="s">
        <v>379</v>
      </c>
      <c r="K4015" t="s">
        <v>546</v>
      </c>
      <c r="L4015" s="784">
        <v>0</v>
      </c>
      <c r="M4015" t="s">
        <v>745</v>
      </c>
      <c r="N4015" s="784" t="s">
        <v>575</v>
      </c>
      <c r="O4015" t="s">
        <v>737</v>
      </c>
      <c r="P4015" t="s">
        <v>750</v>
      </c>
      <c r="R4015" t="s">
        <v>152</v>
      </c>
      <c r="S4015" t="s">
        <v>145</v>
      </c>
      <c r="U4015">
        <v>0</v>
      </c>
      <c r="V4015" t="s">
        <v>541</v>
      </c>
      <c r="W4015" t="s">
        <v>548</v>
      </c>
      <c r="X4015" s="784">
        <v>6365061.1736073596</v>
      </c>
    </row>
    <row r="4016" spans="1:24">
      <c r="A4016" t="s">
        <v>358</v>
      </c>
      <c r="B4016" t="s">
        <v>691</v>
      </c>
      <c r="C4016" t="s">
        <v>289</v>
      </c>
      <c r="D4016" t="s">
        <v>128</v>
      </c>
      <c r="E4016" t="s">
        <v>377</v>
      </c>
      <c r="F4016" t="s">
        <v>384</v>
      </c>
      <c r="G4016" t="s">
        <v>58</v>
      </c>
      <c r="H4016" t="s">
        <v>749</v>
      </c>
      <c r="I4016" t="s">
        <v>743</v>
      </c>
      <c r="J4016" t="s">
        <v>379</v>
      </c>
      <c r="K4016" t="s">
        <v>546</v>
      </c>
      <c r="L4016" s="784">
        <v>0</v>
      </c>
      <c r="M4016" t="s">
        <v>745</v>
      </c>
      <c r="N4016" s="784" t="s">
        <v>575</v>
      </c>
      <c r="O4016" t="s">
        <v>737</v>
      </c>
      <c r="P4016" t="s">
        <v>750</v>
      </c>
      <c r="R4016" t="s">
        <v>148</v>
      </c>
      <c r="S4016" t="s">
        <v>145</v>
      </c>
      <c r="U4016">
        <v>2</v>
      </c>
      <c r="V4016" t="s">
        <v>544</v>
      </c>
      <c r="W4016" t="s">
        <v>558</v>
      </c>
      <c r="X4016" s="784">
        <v>291799092.90196139</v>
      </c>
    </row>
    <row r="4017" spans="1:24">
      <c r="A4017" t="s">
        <v>358</v>
      </c>
      <c r="B4017" t="s">
        <v>692</v>
      </c>
      <c r="C4017" t="s">
        <v>290</v>
      </c>
      <c r="D4017" t="s">
        <v>127</v>
      </c>
      <c r="E4017" t="s">
        <v>377</v>
      </c>
      <c r="F4017" t="s">
        <v>384</v>
      </c>
      <c r="G4017" t="s">
        <v>58</v>
      </c>
      <c r="H4017" t="s">
        <v>749</v>
      </c>
      <c r="I4017" t="s">
        <v>743</v>
      </c>
      <c r="J4017" t="s">
        <v>379</v>
      </c>
      <c r="K4017" t="s">
        <v>546</v>
      </c>
      <c r="L4017" s="784">
        <v>0</v>
      </c>
      <c r="M4017" t="s">
        <v>745</v>
      </c>
      <c r="N4017" s="784" t="s">
        <v>575</v>
      </c>
      <c r="O4017" t="s">
        <v>737</v>
      </c>
      <c r="P4017" t="s">
        <v>750</v>
      </c>
      <c r="R4017" t="s">
        <v>150</v>
      </c>
      <c r="S4017" t="s">
        <v>145</v>
      </c>
      <c r="U4017">
        <v>0</v>
      </c>
      <c r="V4017" t="s">
        <v>544</v>
      </c>
      <c r="W4017" t="s">
        <v>546</v>
      </c>
      <c r="X4017" s="784">
        <v>4844815340.2135534</v>
      </c>
    </row>
    <row r="4018" spans="1:24">
      <c r="A4018" t="s">
        <v>358</v>
      </c>
      <c r="B4018" t="s">
        <v>693</v>
      </c>
      <c r="C4018" t="s">
        <v>291</v>
      </c>
      <c r="D4018" t="s">
        <v>130</v>
      </c>
      <c r="E4018" t="s">
        <v>377</v>
      </c>
      <c r="F4018" t="s">
        <v>384</v>
      </c>
      <c r="G4018" t="s">
        <v>58</v>
      </c>
      <c r="H4018" t="s">
        <v>749</v>
      </c>
      <c r="I4018" t="s">
        <v>743</v>
      </c>
      <c r="J4018" t="s">
        <v>379</v>
      </c>
      <c r="K4018" t="s">
        <v>546</v>
      </c>
      <c r="L4018" s="784">
        <v>0</v>
      </c>
      <c r="M4018" t="s">
        <v>745</v>
      </c>
      <c r="N4018" s="784" t="s">
        <v>575</v>
      </c>
      <c r="O4018" t="s">
        <v>737</v>
      </c>
      <c r="P4018" t="s">
        <v>750</v>
      </c>
      <c r="R4018" t="s">
        <v>550</v>
      </c>
      <c r="S4018" t="s">
        <v>146</v>
      </c>
      <c r="U4018">
        <v>0</v>
      </c>
      <c r="V4018" t="s">
        <v>544</v>
      </c>
      <c r="W4018" t="s">
        <v>575</v>
      </c>
      <c r="X4018" s="784">
        <v>4001891446.6871672</v>
      </c>
    </row>
    <row r="4019" spans="1:24">
      <c r="A4019" t="s">
        <v>358</v>
      </c>
      <c r="B4019" t="s">
        <v>694</v>
      </c>
      <c r="C4019" t="s">
        <v>292</v>
      </c>
      <c r="D4019" t="s">
        <v>127</v>
      </c>
      <c r="E4019" t="s">
        <v>377</v>
      </c>
      <c r="F4019" t="s">
        <v>384</v>
      </c>
      <c r="G4019" t="s">
        <v>58</v>
      </c>
      <c r="H4019" t="s">
        <v>749</v>
      </c>
      <c r="I4019" t="s">
        <v>743</v>
      </c>
      <c r="J4019" t="s">
        <v>379</v>
      </c>
      <c r="K4019" t="s">
        <v>546</v>
      </c>
      <c r="L4019" s="784">
        <v>2600000</v>
      </c>
      <c r="M4019" t="s">
        <v>745</v>
      </c>
      <c r="N4019" s="784" t="s">
        <v>575</v>
      </c>
      <c r="O4019" t="s">
        <v>737</v>
      </c>
      <c r="P4019" t="s">
        <v>750</v>
      </c>
      <c r="R4019" t="s">
        <v>150</v>
      </c>
      <c r="S4019" t="s">
        <v>145</v>
      </c>
      <c r="U4019">
        <v>0</v>
      </c>
      <c r="V4019" t="s">
        <v>544</v>
      </c>
      <c r="W4019" t="s">
        <v>558</v>
      </c>
      <c r="X4019" s="784">
        <v>1019800630.5853213</v>
      </c>
    </row>
    <row r="4020" spans="1:24">
      <c r="A4020" t="s">
        <v>358</v>
      </c>
      <c r="B4020" t="s">
        <v>695</v>
      </c>
      <c r="C4020" t="s">
        <v>293</v>
      </c>
      <c r="D4020" t="s">
        <v>126</v>
      </c>
      <c r="E4020" t="s">
        <v>377</v>
      </c>
      <c r="F4020" t="s">
        <v>384</v>
      </c>
      <c r="G4020" t="s">
        <v>58</v>
      </c>
      <c r="H4020" t="s">
        <v>749</v>
      </c>
      <c r="I4020" t="s">
        <v>743</v>
      </c>
      <c r="J4020" t="s">
        <v>379</v>
      </c>
      <c r="K4020" t="s">
        <v>546</v>
      </c>
      <c r="L4020" s="784">
        <v>0</v>
      </c>
      <c r="M4020" t="s">
        <v>745</v>
      </c>
      <c r="N4020" s="784" t="s">
        <v>575</v>
      </c>
      <c r="O4020" t="s">
        <v>737</v>
      </c>
      <c r="P4020" t="s">
        <v>750</v>
      </c>
      <c r="R4020" t="s">
        <v>150</v>
      </c>
      <c r="S4020" t="s">
        <v>145</v>
      </c>
      <c r="U4020">
        <v>0</v>
      </c>
      <c r="V4020" t="s">
        <v>541</v>
      </c>
      <c r="W4020" t="s">
        <v>562</v>
      </c>
      <c r="X4020" s="784">
        <v>19578671.310841195</v>
      </c>
    </row>
    <row r="4021" spans="1:24">
      <c r="A4021" t="s">
        <v>358</v>
      </c>
      <c r="B4021" t="s">
        <v>696</v>
      </c>
      <c r="C4021" t="s">
        <v>294</v>
      </c>
      <c r="D4021" t="s">
        <v>130</v>
      </c>
      <c r="E4021" t="s">
        <v>377</v>
      </c>
      <c r="F4021" t="s">
        <v>384</v>
      </c>
      <c r="G4021" t="s">
        <v>58</v>
      </c>
      <c r="H4021" t="s">
        <v>749</v>
      </c>
      <c r="I4021" t="s">
        <v>743</v>
      </c>
      <c r="J4021" t="s">
        <v>379</v>
      </c>
      <c r="K4021" t="s">
        <v>546</v>
      </c>
      <c r="L4021" s="784">
        <v>0</v>
      </c>
      <c r="M4021" t="s">
        <v>745</v>
      </c>
      <c r="N4021" s="784" t="s">
        <v>575</v>
      </c>
      <c r="O4021" t="s">
        <v>737</v>
      </c>
      <c r="P4021" t="s">
        <v>750</v>
      </c>
      <c r="R4021" t="s">
        <v>322</v>
      </c>
      <c r="S4021" t="s">
        <v>146</v>
      </c>
      <c r="U4021">
        <v>0</v>
      </c>
      <c r="V4021" t="s">
        <v>544</v>
      </c>
      <c r="W4021" t="s">
        <v>546</v>
      </c>
      <c r="X4021" s="784">
        <v>3551452001.0684834</v>
      </c>
    </row>
    <row r="4022" spans="1:24">
      <c r="A4022" t="s">
        <v>358</v>
      </c>
      <c r="B4022" t="s">
        <v>697</v>
      </c>
      <c r="C4022" t="s">
        <v>295</v>
      </c>
      <c r="D4022" t="s">
        <v>126</v>
      </c>
      <c r="E4022" t="s">
        <v>377</v>
      </c>
      <c r="F4022" t="s">
        <v>384</v>
      </c>
      <c r="G4022" t="s">
        <v>58</v>
      </c>
      <c r="H4022" t="s">
        <v>749</v>
      </c>
      <c r="I4022" t="s">
        <v>743</v>
      </c>
      <c r="J4022" t="s">
        <v>379</v>
      </c>
      <c r="K4022" t="s">
        <v>546</v>
      </c>
      <c r="L4022" s="784">
        <v>0</v>
      </c>
      <c r="M4022" t="s">
        <v>745</v>
      </c>
      <c r="N4022" s="784" t="s">
        <v>575</v>
      </c>
      <c r="O4022" t="s">
        <v>737</v>
      </c>
      <c r="P4022" t="s">
        <v>750</v>
      </c>
      <c r="R4022" t="s">
        <v>150</v>
      </c>
      <c r="S4022" t="s">
        <v>145</v>
      </c>
      <c r="U4022">
        <v>0</v>
      </c>
      <c r="V4022" t="s">
        <v>544</v>
      </c>
      <c r="W4022" t="s">
        <v>546</v>
      </c>
      <c r="X4022" s="784">
        <v>6603048821.7575006</v>
      </c>
    </row>
    <row r="4023" spans="1:24">
      <c r="A4023" t="s">
        <v>358</v>
      </c>
      <c r="B4023" t="s">
        <v>698</v>
      </c>
      <c r="C4023" t="s">
        <v>296</v>
      </c>
      <c r="D4023" t="s">
        <v>131</v>
      </c>
      <c r="E4023" t="s">
        <v>377</v>
      </c>
      <c r="F4023" t="s">
        <v>384</v>
      </c>
      <c r="G4023" t="s">
        <v>58</v>
      </c>
      <c r="H4023" t="s">
        <v>749</v>
      </c>
      <c r="I4023" t="s">
        <v>743</v>
      </c>
      <c r="J4023" t="s">
        <v>379</v>
      </c>
      <c r="K4023" t="s">
        <v>546</v>
      </c>
      <c r="L4023" s="784">
        <v>1400000</v>
      </c>
      <c r="M4023" t="s">
        <v>745</v>
      </c>
      <c r="N4023" s="784" t="s">
        <v>575</v>
      </c>
      <c r="O4023" t="s">
        <v>737</v>
      </c>
      <c r="P4023" t="s">
        <v>750</v>
      </c>
      <c r="R4023" t="s">
        <v>148</v>
      </c>
      <c r="S4023" t="s">
        <v>145</v>
      </c>
      <c r="U4023">
        <v>1</v>
      </c>
      <c r="V4023" t="s">
        <v>544</v>
      </c>
      <c r="W4023" t="s">
        <v>548</v>
      </c>
      <c r="X4023" s="784" t="s">
        <v>575</v>
      </c>
    </row>
    <row r="4024" spans="1:24">
      <c r="A4024" t="s">
        <v>358</v>
      </c>
      <c r="B4024" t="s">
        <v>699</v>
      </c>
      <c r="C4024" t="s">
        <v>297</v>
      </c>
      <c r="D4024" t="s">
        <v>128</v>
      </c>
      <c r="E4024" t="s">
        <v>377</v>
      </c>
      <c r="F4024" t="s">
        <v>384</v>
      </c>
      <c r="G4024" t="s">
        <v>58</v>
      </c>
      <c r="H4024" t="s">
        <v>749</v>
      </c>
      <c r="I4024" t="s">
        <v>743</v>
      </c>
      <c r="J4024" t="s">
        <v>379</v>
      </c>
      <c r="K4024" t="s">
        <v>546</v>
      </c>
      <c r="L4024" s="784">
        <v>1250000</v>
      </c>
      <c r="M4024" t="s">
        <v>745</v>
      </c>
      <c r="N4024" s="784" t="s">
        <v>575</v>
      </c>
      <c r="O4024" t="s">
        <v>737</v>
      </c>
      <c r="P4024" t="s">
        <v>750</v>
      </c>
      <c r="R4024" t="s">
        <v>150</v>
      </c>
      <c r="S4024" t="s">
        <v>145</v>
      </c>
      <c r="U4024">
        <v>0</v>
      </c>
      <c r="V4024" t="s">
        <v>544</v>
      </c>
      <c r="W4024" t="s">
        <v>542</v>
      </c>
      <c r="X4024" s="784">
        <v>515352723.9821828</v>
      </c>
    </row>
    <row r="4025" spans="1:24">
      <c r="A4025" t="s">
        <v>358</v>
      </c>
      <c r="B4025" t="s">
        <v>700</v>
      </c>
      <c r="C4025" t="s">
        <v>298</v>
      </c>
      <c r="D4025" t="s">
        <v>128</v>
      </c>
      <c r="E4025" t="s">
        <v>377</v>
      </c>
      <c r="F4025" t="s">
        <v>384</v>
      </c>
      <c r="G4025" t="s">
        <v>58</v>
      </c>
      <c r="H4025" t="s">
        <v>749</v>
      </c>
      <c r="I4025" t="s">
        <v>743</v>
      </c>
      <c r="J4025" t="s">
        <v>379</v>
      </c>
      <c r="K4025" t="s">
        <v>546</v>
      </c>
      <c r="L4025" s="784">
        <v>0</v>
      </c>
      <c r="M4025" t="s">
        <v>745</v>
      </c>
      <c r="N4025" s="784" t="s">
        <v>575</v>
      </c>
      <c r="O4025" t="s">
        <v>737</v>
      </c>
      <c r="P4025" t="s">
        <v>750</v>
      </c>
      <c r="R4025" t="s">
        <v>150</v>
      </c>
      <c r="S4025" t="s">
        <v>145</v>
      </c>
      <c r="U4025">
        <v>0</v>
      </c>
      <c r="V4025" t="s">
        <v>544</v>
      </c>
      <c r="W4025" t="s">
        <v>546</v>
      </c>
      <c r="X4025" s="784">
        <v>566711742.22428358</v>
      </c>
    </row>
    <row r="4026" spans="1:24">
      <c r="A4026" t="s">
        <v>358</v>
      </c>
      <c r="B4026" t="s">
        <v>540</v>
      </c>
      <c r="C4026" t="s">
        <v>160</v>
      </c>
      <c r="D4026" t="s">
        <v>132</v>
      </c>
      <c r="E4026" t="s">
        <v>377</v>
      </c>
      <c r="F4026" t="s">
        <v>312</v>
      </c>
      <c r="G4026" t="s">
        <v>350</v>
      </c>
      <c r="H4026" t="s">
        <v>749</v>
      </c>
      <c r="I4026" t="s">
        <v>743</v>
      </c>
      <c r="J4026" t="s">
        <v>379</v>
      </c>
      <c r="K4026" t="s">
        <v>546</v>
      </c>
      <c r="L4026" s="784">
        <v>0</v>
      </c>
      <c r="M4026" t="s">
        <v>745</v>
      </c>
      <c r="N4026" s="784" t="s">
        <v>575</v>
      </c>
      <c r="O4026" t="s">
        <v>737</v>
      </c>
      <c r="P4026" t="s">
        <v>1887</v>
      </c>
      <c r="R4026" t="s">
        <v>148</v>
      </c>
      <c r="S4026" t="s">
        <v>145</v>
      </c>
      <c r="U4026">
        <v>1</v>
      </c>
      <c r="V4026" t="s">
        <v>544</v>
      </c>
      <c r="W4026" t="s">
        <v>542</v>
      </c>
      <c r="X4026" s="784">
        <v>95829480.719269618</v>
      </c>
    </row>
    <row r="4027" spans="1:24">
      <c r="A4027" t="s">
        <v>358</v>
      </c>
      <c r="B4027" t="s">
        <v>543</v>
      </c>
      <c r="C4027" t="s">
        <v>161</v>
      </c>
      <c r="D4027" t="s">
        <v>127</v>
      </c>
      <c r="E4027" t="s">
        <v>377</v>
      </c>
      <c r="F4027" t="s">
        <v>312</v>
      </c>
      <c r="G4027" t="s">
        <v>350</v>
      </c>
      <c r="H4027" t="s">
        <v>749</v>
      </c>
      <c r="I4027" t="s">
        <v>743</v>
      </c>
      <c r="J4027" t="s">
        <v>379</v>
      </c>
      <c r="K4027" t="s">
        <v>546</v>
      </c>
      <c r="L4027" s="784">
        <v>0</v>
      </c>
      <c r="M4027" t="s">
        <v>745</v>
      </c>
      <c r="N4027" s="784" t="s">
        <v>575</v>
      </c>
      <c r="O4027" t="s">
        <v>737</v>
      </c>
      <c r="P4027" t="s">
        <v>1887</v>
      </c>
      <c r="R4027" t="s">
        <v>152</v>
      </c>
      <c r="S4027" t="s">
        <v>146</v>
      </c>
      <c r="U4027">
        <v>0</v>
      </c>
      <c r="V4027" t="s">
        <v>544</v>
      </c>
      <c r="W4027" t="s">
        <v>575</v>
      </c>
      <c r="X4027" s="784">
        <v>427904035.52443534</v>
      </c>
    </row>
    <row r="4028" spans="1:24">
      <c r="A4028" t="s">
        <v>358</v>
      </c>
      <c r="B4028" t="s">
        <v>545</v>
      </c>
      <c r="C4028" t="s">
        <v>143</v>
      </c>
      <c r="D4028" t="s">
        <v>131</v>
      </c>
      <c r="E4028" t="s">
        <v>377</v>
      </c>
      <c r="F4028" t="s">
        <v>312</v>
      </c>
      <c r="G4028" t="s">
        <v>350</v>
      </c>
      <c r="H4028" t="s">
        <v>749</v>
      </c>
      <c r="I4028" t="s">
        <v>743</v>
      </c>
      <c r="J4028" t="s">
        <v>379</v>
      </c>
      <c r="K4028" t="s">
        <v>546</v>
      </c>
      <c r="L4028" s="784">
        <v>0</v>
      </c>
      <c r="M4028" t="s">
        <v>745</v>
      </c>
      <c r="N4028" s="784" t="s">
        <v>575</v>
      </c>
      <c r="O4028" t="s">
        <v>737</v>
      </c>
      <c r="P4028" t="s">
        <v>1887</v>
      </c>
      <c r="R4028" t="s">
        <v>150</v>
      </c>
      <c r="S4028" t="s">
        <v>145</v>
      </c>
      <c r="U4028">
        <v>0</v>
      </c>
      <c r="V4028" t="s">
        <v>544</v>
      </c>
      <c r="W4028" t="s">
        <v>546</v>
      </c>
      <c r="X4028" s="784">
        <v>7113361022.7267885</v>
      </c>
    </row>
    <row r="4029" spans="1:24">
      <c r="A4029" t="s">
        <v>358</v>
      </c>
      <c r="B4029" t="s">
        <v>547</v>
      </c>
      <c r="C4029" t="s">
        <v>162</v>
      </c>
      <c r="D4029" t="s">
        <v>128</v>
      </c>
      <c r="E4029" t="s">
        <v>377</v>
      </c>
      <c r="F4029" t="s">
        <v>312</v>
      </c>
      <c r="G4029" t="s">
        <v>350</v>
      </c>
      <c r="H4029" t="s">
        <v>749</v>
      </c>
      <c r="I4029" t="s">
        <v>743</v>
      </c>
      <c r="J4029" t="s">
        <v>379</v>
      </c>
      <c r="K4029" t="s">
        <v>546</v>
      </c>
      <c r="L4029" s="784">
        <v>0</v>
      </c>
      <c r="M4029" t="s">
        <v>745</v>
      </c>
      <c r="N4029" s="784" t="s">
        <v>575</v>
      </c>
      <c r="O4029" t="s">
        <v>737</v>
      </c>
      <c r="P4029" t="s">
        <v>1887</v>
      </c>
      <c r="R4029" t="s">
        <v>150</v>
      </c>
      <c r="S4029" t="s">
        <v>145</v>
      </c>
      <c r="U4029">
        <v>0</v>
      </c>
      <c r="V4029" t="s">
        <v>544</v>
      </c>
      <c r="W4029" t="s">
        <v>548</v>
      </c>
      <c r="X4029" s="784">
        <v>1131865946.5875781</v>
      </c>
    </row>
    <row r="4030" spans="1:24">
      <c r="A4030" t="s">
        <v>358</v>
      </c>
      <c r="B4030" t="s">
        <v>549</v>
      </c>
      <c r="C4030" t="s">
        <v>163</v>
      </c>
      <c r="D4030" t="s">
        <v>130</v>
      </c>
      <c r="E4030" t="s">
        <v>377</v>
      </c>
      <c r="F4030" t="s">
        <v>312</v>
      </c>
      <c r="G4030" t="s">
        <v>350</v>
      </c>
      <c r="H4030" t="s">
        <v>749</v>
      </c>
      <c r="I4030" t="s">
        <v>743</v>
      </c>
      <c r="J4030" t="s">
        <v>379</v>
      </c>
      <c r="K4030" t="s">
        <v>546</v>
      </c>
      <c r="L4030" s="784">
        <v>0</v>
      </c>
      <c r="M4030" t="s">
        <v>745</v>
      </c>
      <c r="N4030" s="784" t="s">
        <v>575</v>
      </c>
      <c r="O4030" t="s">
        <v>737</v>
      </c>
      <c r="P4030" t="s">
        <v>1887</v>
      </c>
      <c r="R4030" t="s">
        <v>550</v>
      </c>
      <c r="S4030" t="s">
        <v>146</v>
      </c>
      <c r="U4030">
        <v>0</v>
      </c>
      <c r="V4030" t="s">
        <v>541</v>
      </c>
      <c r="W4030" t="s">
        <v>575</v>
      </c>
      <c r="X4030" s="784">
        <v>46777779.823447868</v>
      </c>
    </row>
    <row r="4031" spans="1:24">
      <c r="A4031" t="s">
        <v>358</v>
      </c>
      <c r="B4031" t="s">
        <v>551</v>
      </c>
      <c r="C4031" t="s">
        <v>164</v>
      </c>
      <c r="D4031" t="s">
        <v>130</v>
      </c>
      <c r="E4031" t="s">
        <v>377</v>
      </c>
      <c r="F4031" t="s">
        <v>312</v>
      </c>
      <c r="G4031" t="s">
        <v>350</v>
      </c>
      <c r="H4031" t="s">
        <v>749</v>
      </c>
      <c r="I4031" t="s">
        <v>743</v>
      </c>
      <c r="J4031" t="s">
        <v>379</v>
      </c>
      <c r="K4031" t="s">
        <v>546</v>
      </c>
      <c r="L4031" s="784">
        <v>68056</v>
      </c>
      <c r="M4031" t="s">
        <v>745</v>
      </c>
      <c r="N4031" s="784" t="s">
        <v>575</v>
      </c>
      <c r="O4031" t="s">
        <v>737</v>
      </c>
      <c r="P4031" t="s">
        <v>1887</v>
      </c>
      <c r="R4031" t="s">
        <v>152</v>
      </c>
      <c r="S4031" t="s">
        <v>146</v>
      </c>
      <c r="U4031">
        <v>0</v>
      </c>
      <c r="V4031" t="s">
        <v>544</v>
      </c>
      <c r="W4031" t="s">
        <v>575</v>
      </c>
      <c r="X4031" s="784">
        <v>30725305777.596794</v>
      </c>
    </row>
    <row r="4032" spans="1:24">
      <c r="A4032" t="s">
        <v>358</v>
      </c>
      <c r="B4032" t="s">
        <v>553</v>
      </c>
      <c r="C4032" t="s">
        <v>165</v>
      </c>
      <c r="D4032" t="s">
        <v>127</v>
      </c>
      <c r="E4032" t="s">
        <v>377</v>
      </c>
      <c r="F4032" t="s">
        <v>312</v>
      </c>
      <c r="G4032" t="s">
        <v>350</v>
      </c>
      <c r="H4032" t="s">
        <v>749</v>
      </c>
      <c r="I4032" t="s">
        <v>743</v>
      </c>
      <c r="J4032" t="s">
        <v>379</v>
      </c>
      <c r="K4032" t="s">
        <v>546</v>
      </c>
      <c r="L4032" s="784">
        <v>0</v>
      </c>
      <c r="M4032" t="s">
        <v>745</v>
      </c>
      <c r="N4032" s="784" t="s">
        <v>575</v>
      </c>
      <c r="O4032" t="s">
        <v>737</v>
      </c>
      <c r="P4032" t="s">
        <v>1887</v>
      </c>
      <c r="R4032" t="s">
        <v>152</v>
      </c>
      <c r="S4032" t="s">
        <v>146</v>
      </c>
      <c r="U4032">
        <v>0</v>
      </c>
      <c r="V4032" t="s">
        <v>544</v>
      </c>
      <c r="W4032" t="s">
        <v>575</v>
      </c>
      <c r="X4032" s="784">
        <v>153815827.8380394</v>
      </c>
    </row>
    <row r="4033" spans="1:24">
      <c r="A4033" t="s">
        <v>358</v>
      </c>
      <c r="B4033" t="s">
        <v>554</v>
      </c>
      <c r="C4033" t="s">
        <v>166</v>
      </c>
      <c r="D4033" t="s">
        <v>127</v>
      </c>
      <c r="E4033" t="s">
        <v>377</v>
      </c>
      <c r="F4033" t="s">
        <v>312</v>
      </c>
      <c r="G4033" t="s">
        <v>350</v>
      </c>
      <c r="H4033" t="s">
        <v>749</v>
      </c>
      <c r="I4033" t="s">
        <v>743</v>
      </c>
      <c r="J4033" t="s">
        <v>379</v>
      </c>
      <c r="K4033" t="s">
        <v>546</v>
      </c>
      <c r="L4033" s="784">
        <v>0</v>
      </c>
      <c r="M4033" t="s">
        <v>745</v>
      </c>
      <c r="N4033" s="784" t="s">
        <v>575</v>
      </c>
      <c r="O4033" t="s">
        <v>737</v>
      </c>
      <c r="P4033" t="s">
        <v>1887</v>
      </c>
      <c r="R4033" t="s">
        <v>152</v>
      </c>
      <c r="S4033" t="s">
        <v>146</v>
      </c>
      <c r="U4033">
        <v>0</v>
      </c>
      <c r="V4033" t="s">
        <v>544</v>
      </c>
      <c r="W4033" t="s">
        <v>546</v>
      </c>
      <c r="X4033" s="784">
        <v>437525105.31216973</v>
      </c>
    </row>
    <row r="4034" spans="1:24">
      <c r="A4034" t="s">
        <v>358</v>
      </c>
      <c r="B4034" t="s">
        <v>555</v>
      </c>
      <c r="C4034" t="s">
        <v>556</v>
      </c>
      <c r="D4034" t="s">
        <v>130</v>
      </c>
      <c r="E4034" t="s">
        <v>377</v>
      </c>
      <c r="F4034" t="s">
        <v>312</v>
      </c>
      <c r="G4034" t="s">
        <v>350</v>
      </c>
      <c r="H4034" t="s">
        <v>749</v>
      </c>
      <c r="I4034" t="s">
        <v>743</v>
      </c>
      <c r="J4034" t="s">
        <v>379</v>
      </c>
      <c r="K4034" t="s">
        <v>546</v>
      </c>
      <c r="L4034" s="784">
        <v>0</v>
      </c>
      <c r="M4034" t="s">
        <v>745</v>
      </c>
      <c r="N4034" s="784" t="s">
        <v>575</v>
      </c>
      <c r="O4034" t="s">
        <v>737</v>
      </c>
      <c r="P4034" t="s">
        <v>1887</v>
      </c>
      <c r="R4034" t="s">
        <v>550</v>
      </c>
      <c r="S4034" t="s">
        <v>146</v>
      </c>
      <c r="U4034">
        <v>0</v>
      </c>
      <c r="V4034" t="s">
        <v>541</v>
      </c>
      <c r="W4034" t="s">
        <v>575</v>
      </c>
      <c r="X4034" s="784">
        <v>149463302.00602186</v>
      </c>
    </row>
    <row r="4035" spans="1:24">
      <c r="A4035" t="s">
        <v>358</v>
      </c>
      <c r="B4035" t="s">
        <v>557</v>
      </c>
      <c r="C4035" t="s">
        <v>167</v>
      </c>
      <c r="D4035" t="s">
        <v>132</v>
      </c>
      <c r="E4035" t="s">
        <v>377</v>
      </c>
      <c r="F4035" t="s">
        <v>312</v>
      </c>
      <c r="G4035" t="s">
        <v>350</v>
      </c>
      <c r="H4035" t="s">
        <v>749</v>
      </c>
      <c r="I4035" t="s">
        <v>743</v>
      </c>
      <c r="J4035" t="s">
        <v>379</v>
      </c>
      <c r="K4035" t="s">
        <v>546</v>
      </c>
      <c r="L4035" s="784">
        <v>391896</v>
      </c>
      <c r="M4035" t="s">
        <v>745</v>
      </c>
      <c r="N4035" s="784" t="s">
        <v>575</v>
      </c>
      <c r="O4035" t="s">
        <v>737</v>
      </c>
      <c r="P4035" t="s">
        <v>1887</v>
      </c>
      <c r="R4035" t="s">
        <v>150</v>
      </c>
      <c r="S4035" t="s">
        <v>145</v>
      </c>
      <c r="U4035">
        <v>0</v>
      </c>
      <c r="V4035" t="s">
        <v>544</v>
      </c>
      <c r="W4035" t="s">
        <v>558</v>
      </c>
      <c r="X4035" s="784">
        <v>1148322593.9600098</v>
      </c>
    </row>
    <row r="4036" spans="1:24">
      <c r="A4036" t="s">
        <v>358</v>
      </c>
      <c r="B4036" t="s">
        <v>559</v>
      </c>
      <c r="C4036" t="s">
        <v>168</v>
      </c>
      <c r="D4036" t="s">
        <v>127</v>
      </c>
      <c r="E4036" t="s">
        <v>377</v>
      </c>
      <c r="F4036" t="s">
        <v>312</v>
      </c>
      <c r="G4036" t="s">
        <v>350</v>
      </c>
      <c r="H4036" t="s">
        <v>749</v>
      </c>
      <c r="I4036" t="s">
        <v>743</v>
      </c>
      <c r="J4036" t="s">
        <v>379</v>
      </c>
      <c r="K4036" t="s">
        <v>546</v>
      </c>
      <c r="L4036" s="784">
        <v>0</v>
      </c>
      <c r="M4036" t="s">
        <v>745</v>
      </c>
      <c r="N4036" s="784" t="s">
        <v>575</v>
      </c>
      <c r="O4036" t="s">
        <v>737</v>
      </c>
      <c r="P4036" t="s">
        <v>1887</v>
      </c>
      <c r="R4036" t="s">
        <v>152</v>
      </c>
      <c r="S4036" t="s">
        <v>146</v>
      </c>
      <c r="U4036">
        <v>0</v>
      </c>
      <c r="V4036" t="s">
        <v>544</v>
      </c>
      <c r="W4036" t="s">
        <v>575</v>
      </c>
      <c r="X4036" s="784">
        <v>2371102058.1093163</v>
      </c>
    </row>
    <row r="4037" spans="1:24">
      <c r="A4037" t="s">
        <v>358</v>
      </c>
      <c r="B4037" t="s">
        <v>560</v>
      </c>
      <c r="C4037" t="s">
        <v>169</v>
      </c>
      <c r="D4037" t="s">
        <v>130</v>
      </c>
      <c r="E4037" t="s">
        <v>377</v>
      </c>
      <c r="F4037" t="s">
        <v>312</v>
      </c>
      <c r="G4037" t="s">
        <v>350</v>
      </c>
      <c r="H4037" t="s">
        <v>749</v>
      </c>
      <c r="I4037" t="s">
        <v>743</v>
      </c>
      <c r="J4037" t="s">
        <v>379</v>
      </c>
      <c r="K4037" t="s">
        <v>546</v>
      </c>
      <c r="L4037" s="784">
        <v>0</v>
      </c>
      <c r="M4037" t="s">
        <v>745</v>
      </c>
      <c r="N4037" s="784" t="s">
        <v>575</v>
      </c>
      <c r="O4037" t="s">
        <v>737</v>
      </c>
      <c r="P4037" t="s">
        <v>1887</v>
      </c>
      <c r="R4037" t="s">
        <v>150</v>
      </c>
      <c r="S4037" t="s">
        <v>146</v>
      </c>
      <c r="U4037">
        <v>0</v>
      </c>
      <c r="V4037" t="s">
        <v>541</v>
      </c>
      <c r="W4037" t="s">
        <v>546</v>
      </c>
      <c r="X4037" s="784">
        <v>75151620.005215243</v>
      </c>
    </row>
    <row r="4038" spans="1:24">
      <c r="A4038" t="s">
        <v>358</v>
      </c>
      <c r="B4038" t="s">
        <v>561</v>
      </c>
      <c r="C4038" t="s">
        <v>170</v>
      </c>
      <c r="D4038" t="s">
        <v>129</v>
      </c>
      <c r="E4038" t="s">
        <v>377</v>
      </c>
      <c r="F4038" t="s">
        <v>312</v>
      </c>
      <c r="G4038" t="s">
        <v>350</v>
      </c>
      <c r="H4038" t="s">
        <v>749</v>
      </c>
      <c r="I4038" t="s">
        <v>743</v>
      </c>
      <c r="J4038" t="s">
        <v>379</v>
      </c>
      <c r="K4038" t="s">
        <v>546</v>
      </c>
      <c r="L4038" s="784">
        <v>0</v>
      </c>
      <c r="M4038" t="s">
        <v>745</v>
      </c>
      <c r="N4038" s="784" t="s">
        <v>575</v>
      </c>
      <c r="O4038" t="s">
        <v>737</v>
      </c>
      <c r="P4038" t="s">
        <v>1887</v>
      </c>
      <c r="R4038" t="s">
        <v>150</v>
      </c>
      <c r="S4038" t="s">
        <v>145</v>
      </c>
      <c r="U4038">
        <v>0</v>
      </c>
      <c r="V4038" t="s">
        <v>544</v>
      </c>
      <c r="W4038" t="s">
        <v>562</v>
      </c>
      <c r="X4038" s="784">
        <v>69958487.197715744</v>
      </c>
    </row>
    <row r="4039" spans="1:24">
      <c r="A4039" t="s">
        <v>358</v>
      </c>
      <c r="B4039" t="s">
        <v>563</v>
      </c>
      <c r="C4039" t="s">
        <v>171</v>
      </c>
      <c r="D4039" t="s">
        <v>132</v>
      </c>
      <c r="E4039" t="s">
        <v>377</v>
      </c>
      <c r="F4039" t="s">
        <v>312</v>
      </c>
      <c r="G4039" t="s">
        <v>350</v>
      </c>
      <c r="H4039" t="s">
        <v>749</v>
      </c>
      <c r="I4039" t="s">
        <v>743</v>
      </c>
      <c r="J4039" t="s">
        <v>379</v>
      </c>
      <c r="K4039" t="s">
        <v>546</v>
      </c>
      <c r="L4039" s="784">
        <v>0</v>
      </c>
      <c r="M4039" t="s">
        <v>745</v>
      </c>
      <c r="N4039" s="784" t="s">
        <v>575</v>
      </c>
      <c r="O4039" t="s">
        <v>737</v>
      </c>
      <c r="P4039" t="s">
        <v>1887</v>
      </c>
      <c r="R4039" t="s">
        <v>150</v>
      </c>
      <c r="S4039" t="s">
        <v>145</v>
      </c>
      <c r="U4039">
        <v>0</v>
      </c>
      <c r="V4039" t="s">
        <v>544</v>
      </c>
      <c r="W4039" t="s">
        <v>548</v>
      </c>
      <c r="X4039" s="784">
        <v>61654608.560629159</v>
      </c>
    </row>
    <row r="4040" spans="1:24">
      <c r="A4040" t="s">
        <v>358</v>
      </c>
      <c r="B4040" t="s">
        <v>564</v>
      </c>
      <c r="C4040" t="s">
        <v>172</v>
      </c>
      <c r="D4040" t="s">
        <v>130</v>
      </c>
      <c r="E4040" t="s">
        <v>377</v>
      </c>
      <c r="F4040" t="s">
        <v>312</v>
      </c>
      <c r="G4040" t="s">
        <v>350</v>
      </c>
      <c r="H4040" t="s">
        <v>749</v>
      </c>
      <c r="I4040" t="s">
        <v>743</v>
      </c>
      <c r="J4040" t="s">
        <v>379</v>
      </c>
      <c r="K4040" t="s">
        <v>546</v>
      </c>
      <c r="L4040" s="784">
        <v>273483</v>
      </c>
      <c r="M4040" t="s">
        <v>745</v>
      </c>
      <c r="N4040" s="784" t="s">
        <v>575</v>
      </c>
      <c r="O4040" t="s">
        <v>737</v>
      </c>
      <c r="P4040" t="s">
        <v>1887</v>
      </c>
      <c r="R4040" t="s">
        <v>150</v>
      </c>
      <c r="S4040" t="s">
        <v>145</v>
      </c>
      <c r="U4040">
        <v>0</v>
      </c>
      <c r="V4040" t="s">
        <v>544</v>
      </c>
      <c r="W4040" t="s">
        <v>546</v>
      </c>
      <c r="X4040" s="784">
        <v>1806638707.7615163</v>
      </c>
    </row>
    <row r="4041" spans="1:24">
      <c r="A4041" t="s">
        <v>358</v>
      </c>
      <c r="B4041" t="s">
        <v>565</v>
      </c>
      <c r="C4041" t="s">
        <v>174</v>
      </c>
      <c r="D4041" t="s">
        <v>127</v>
      </c>
      <c r="E4041" t="s">
        <v>377</v>
      </c>
      <c r="F4041" t="s">
        <v>312</v>
      </c>
      <c r="G4041" t="s">
        <v>350</v>
      </c>
      <c r="H4041" t="s">
        <v>749</v>
      </c>
      <c r="I4041" t="s">
        <v>743</v>
      </c>
      <c r="J4041" t="s">
        <v>379</v>
      </c>
      <c r="K4041" t="s">
        <v>546</v>
      </c>
      <c r="L4041" s="784">
        <v>0</v>
      </c>
      <c r="M4041" t="s">
        <v>745</v>
      </c>
      <c r="N4041" s="784" t="s">
        <v>575</v>
      </c>
      <c r="O4041" t="s">
        <v>737</v>
      </c>
      <c r="P4041" t="s">
        <v>1887</v>
      </c>
      <c r="R4041" t="s">
        <v>152</v>
      </c>
      <c r="S4041" t="s">
        <v>146</v>
      </c>
      <c r="U4041">
        <v>0</v>
      </c>
      <c r="V4041" t="s">
        <v>544</v>
      </c>
      <c r="W4041" t="s">
        <v>546</v>
      </c>
      <c r="X4041" s="784">
        <v>1252696525.0627904</v>
      </c>
    </row>
    <row r="4042" spans="1:24">
      <c r="A4042" t="s">
        <v>358</v>
      </c>
      <c r="B4042" t="s">
        <v>566</v>
      </c>
      <c r="C4042" t="s">
        <v>175</v>
      </c>
      <c r="D4042" t="s">
        <v>128</v>
      </c>
      <c r="E4042" t="s">
        <v>377</v>
      </c>
      <c r="F4042" t="s">
        <v>312</v>
      </c>
      <c r="G4042" t="s">
        <v>350</v>
      </c>
      <c r="H4042" t="s">
        <v>749</v>
      </c>
      <c r="I4042" t="s">
        <v>743</v>
      </c>
      <c r="J4042" t="s">
        <v>379</v>
      </c>
      <c r="K4042" t="s">
        <v>546</v>
      </c>
      <c r="L4042" s="784">
        <v>0</v>
      </c>
      <c r="M4042" t="s">
        <v>745</v>
      </c>
      <c r="N4042" s="784" t="s">
        <v>575</v>
      </c>
      <c r="O4042" t="s">
        <v>737</v>
      </c>
      <c r="P4042" t="s">
        <v>1887</v>
      </c>
      <c r="R4042" t="s">
        <v>152</v>
      </c>
      <c r="S4042" t="s">
        <v>146</v>
      </c>
      <c r="U4042">
        <v>0</v>
      </c>
      <c r="V4042" t="s">
        <v>544</v>
      </c>
      <c r="W4042" t="s">
        <v>575</v>
      </c>
      <c r="X4042" s="784">
        <v>843425084.07334602</v>
      </c>
    </row>
    <row r="4043" spans="1:24">
      <c r="A4043" t="s">
        <v>358</v>
      </c>
      <c r="B4043" t="s">
        <v>567</v>
      </c>
      <c r="C4043" t="s">
        <v>144</v>
      </c>
      <c r="D4043" t="s">
        <v>130</v>
      </c>
      <c r="E4043" t="s">
        <v>377</v>
      </c>
      <c r="F4043" t="s">
        <v>312</v>
      </c>
      <c r="G4043" t="s">
        <v>350</v>
      </c>
      <c r="H4043" t="s">
        <v>749</v>
      </c>
      <c r="I4043" t="s">
        <v>743</v>
      </c>
      <c r="J4043" t="s">
        <v>379</v>
      </c>
      <c r="K4043" t="s">
        <v>546</v>
      </c>
      <c r="L4043" s="784">
        <v>92593</v>
      </c>
      <c r="M4043" t="s">
        <v>745</v>
      </c>
      <c r="N4043" s="784" t="s">
        <v>575</v>
      </c>
      <c r="O4043" t="s">
        <v>737</v>
      </c>
      <c r="P4043" t="s">
        <v>1887</v>
      </c>
      <c r="R4043" t="s">
        <v>152</v>
      </c>
      <c r="S4043" t="s">
        <v>146</v>
      </c>
      <c r="U4043">
        <v>0</v>
      </c>
      <c r="V4043" t="s">
        <v>544</v>
      </c>
      <c r="W4043" t="s">
        <v>546</v>
      </c>
      <c r="X4043" s="784">
        <v>74055620038.853683</v>
      </c>
    </row>
    <row r="4044" spans="1:24">
      <c r="A4044" t="s">
        <v>358</v>
      </c>
      <c r="B4044" t="s">
        <v>568</v>
      </c>
      <c r="C4044" t="s">
        <v>176</v>
      </c>
      <c r="D4044" t="s">
        <v>127</v>
      </c>
      <c r="E4044" t="s">
        <v>377</v>
      </c>
      <c r="F4044" t="s">
        <v>312</v>
      </c>
      <c r="G4044" t="s">
        <v>350</v>
      </c>
      <c r="H4044" t="s">
        <v>749</v>
      </c>
      <c r="I4044" t="s">
        <v>743</v>
      </c>
      <c r="J4044" t="s">
        <v>379</v>
      </c>
      <c r="K4044" t="s">
        <v>546</v>
      </c>
      <c r="L4044" s="784">
        <v>0</v>
      </c>
      <c r="M4044" t="s">
        <v>745</v>
      </c>
      <c r="N4044" s="784" t="s">
        <v>575</v>
      </c>
      <c r="O4044" t="s">
        <v>737</v>
      </c>
      <c r="P4044" t="s">
        <v>1887</v>
      </c>
      <c r="R4044" t="s">
        <v>152</v>
      </c>
      <c r="S4044" t="s">
        <v>146</v>
      </c>
      <c r="U4044">
        <v>0</v>
      </c>
      <c r="V4044" t="s">
        <v>544</v>
      </c>
      <c r="W4044" t="s">
        <v>575</v>
      </c>
      <c r="X4044" s="784">
        <v>2803357765.5888777</v>
      </c>
    </row>
    <row r="4045" spans="1:24">
      <c r="A4045" t="s">
        <v>358</v>
      </c>
      <c r="B4045" t="s">
        <v>569</v>
      </c>
      <c r="C4045" t="s">
        <v>177</v>
      </c>
      <c r="D4045" t="s">
        <v>129</v>
      </c>
      <c r="E4045" t="s">
        <v>377</v>
      </c>
      <c r="F4045" t="s">
        <v>312</v>
      </c>
      <c r="G4045" t="s">
        <v>350</v>
      </c>
      <c r="H4045" t="s">
        <v>749</v>
      </c>
      <c r="I4045" t="s">
        <v>743</v>
      </c>
      <c r="J4045" t="s">
        <v>379</v>
      </c>
      <c r="K4045" t="s">
        <v>546</v>
      </c>
      <c r="L4045" s="784">
        <v>0</v>
      </c>
      <c r="M4045" t="s">
        <v>745</v>
      </c>
      <c r="N4045" s="784" t="s">
        <v>575</v>
      </c>
      <c r="O4045" t="s">
        <v>737</v>
      </c>
      <c r="P4045" t="s">
        <v>1887</v>
      </c>
      <c r="R4045" t="s">
        <v>148</v>
      </c>
      <c r="S4045" t="s">
        <v>145</v>
      </c>
      <c r="U4045">
        <v>2</v>
      </c>
      <c r="V4045" t="s">
        <v>544</v>
      </c>
      <c r="W4045" t="s">
        <v>562</v>
      </c>
      <c r="X4045" s="784">
        <v>337927779.25510043</v>
      </c>
    </row>
    <row r="4046" spans="1:24">
      <c r="A4046" t="s">
        <v>358</v>
      </c>
      <c r="B4046" t="s">
        <v>570</v>
      </c>
      <c r="C4046" t="s">
        <v>178</v>
      </c>
      <c r="D4046" t="s">
        <v>128</v>
      </c>
      <c r="E4046" t="s">
        <v>377</v>
      </c>
      <c r="F4046" t="s">
        <v>312</v>
      </c>
      <c r="G4046" t="s">
        <v>350</v>
      </c>
      <c r="H4046" t="s">
        <v>749</v>
      </c>
      <c r="I4046" t="s">
        <v>743</v>
      </c>
      <c r="J4046" t="s">
        <v>379</v>
      </c>
      <c r="K4046" t="s">
        <v>546</v>
      </c>
      <c r="L4046" s="784">
        <v>0</v>
      </c>
      <c r="M4046" t="s">
        <v>745</v>
      </c>
      <c r="N4046" s="784" t="s">
        <v>575</v>
      </c>
      <c r="O4046" t="s">
        <v>737</v>
      </c>
      <c r="P4046" t="s">
        <v>1887</v>
      </c>
      <c r="R4046" t="s">
        <v>148</v>
      </c>
      <c r="S4046" t="s">
        <v>145</v>
      </c>
      <c r="U4046">
        <v>2</v>
      </c>
      <c r="V4046" t="s">
        <v>544</v>
      </c>
      <c r="W4046" t="s">
        <v>548</v>
      </c>
      <c r="X4046" s="784">
        <v>65979512.47399316</v>
      </c>
    </row>
    <row r="4047" spans="1:24">
      <c r="A4047" t="s">
        <v>358</v>
      </c>
      <c r="B4047" t="s">
        <v>571</v>
      </c>
      <c r="C4047" t="s">
        <v>179</v>
      </c>
      <c r="D4047" t="s">
        <v>129</v>
      </c>
      <c r="E4047" t="s">
        <v>377</v>
      </c>
      <c r="F4047" t="s">
        <v>312</v>
      </c>
      <c r="G4047" t="s">
        <v>350</v>
      </c>
      <c r="H4047" t="s">
        <v>749</v>
      </c>
      <c r="I4047" t="s">
        <v>743</v>
      </c>
      <c r="J4047" t="s">
        <v>379</v>
      </c>
      <c r="K4047" t="s">
        <v>546</v>
      </c>
      <c r="L4047" s="784">
        <v>0</v>
      </c>
      <c r="M4047" t="s">
        <v>745</v>
      </c>
      <c r="N4047" s="784" t="s">
        <v>575</v>
      </c>
      <c r="O4047" t="s">
        <v>737</v>
      </c>
      <c r="P4047" t="s">
        <v>1887</v>
      </c>
      <c r="R4047" t="s">
        <v>150</v>
      </c>
      <c r="S4047" t="s">
        <v>145</v>
      </c>
      <c r="U4047">
        <v>0</v>
      </c>
      <c r="V4047" t="s">
        <v>541</v>
      </c>
      <c r="W4047" t="s">
        <v>542</v>
      </c>
      <c r="X4047" s="784">
        <v>63748362.778827004</v>
      </c>
    </row>
    <row r="4048" spans="1:24">
      <c r="A4048" t="s">
        <v>358</v>
      </c>
      <c r="B4048" t="s">
        <v>572</v>
      </c>
      <c r="C4048" t="s">
        <v>180</v>
      </c>
      <c r="D4048" t="s">
        <v>126</v>
      </c>
      <c r="E4048" t="s">
        <v>377</v>
      </c>
      <c r="F4048" t="s">
        <v>312</v>
      </c>
      <c r="G4048" t="s">
        <v>350</v>
      </c>
      <c r="H4048" t="s">
        <v>749</v>
      </c>
      <c r="I4048" t="s">
        <v>743</v>
      </c>
      <c r="J4048" t="s">
        <v>379</v>
      </c>
      <c r="K4048" t="s">
        <v>546</v>
      </c>
      <c r="L4048" s="784">
        <v>0</v>
      </c>
      <c r="M4048" t="s">
        <v>745</v>
      </c>
      <c r="N4048" s="784" t="s">
        <v>575</v>
      </c>
      <c r="O4048" t="s">
        <v>737</v>
      </c>
      <c r="P4048" t="s">
        <v>1887</v>
      </c>
      <c r="R4048" t="s">
        <v>150</v>
      </c>
      <c r="S4048" t="s">
        <v>145</v>
      </c>
      <c r="U4048">
        <v>0</v>
      </c>
      <c r="V4048" t="s">
        <v>544</v>
      </c>
      <c r="W4048" t="s">
        <v>558</v>
      </c>
      <c r="X4048" s="784">
        <v>313039649.45369786</v>
      </c>
    </row>
    <row r="4049" spans="1:24">
      <c r="A4049" t="s">
        <v>358</v>
      </c>
      <c r="B4049" t="s">
        <v>573</v>
      </c>
      <c r="C4049" t="s">
        <v>181</v>
      </c>
      <c r="D4049" t="s">
        <v>129</v>
      </c>
      <c r="E4049" t="s">
        <v>377</v>
      </c>
      <c r="F4049" t="s">
        <v>312</v>
      </c>
      <c r="G4049" t="s">
        <v>350</v>
      </c>
      <c r="H4049" t="s">
        <v>749</v>
      </c>
      <c r="I4049" t="s">
        <v>743</v>
      </c>
      <c r="J4049" t="s">
        <v>379</v>
      </c>
      <c r="K4049" t="s">
        <v>546</v>
      </c>
      <c r="L4049" s="784">
        <v>0</v>
      </c>
      <c r="M4049" t="s">
        <v>745</v>
      </c>
      <c r="N4049" s="784" t="s">
        <v>575</v>
      </c>
      <c r="O4049" t="s">
        <v>737</v>
      </c>
      <c r="P4049" t="s">
        <v>1887</v>
      </c>
      <c r="R4049" t="s">
        <v>150</v>
      </c>
      <c r="S4049" t="s">
        <v>145</v>
      </c>
      <c r="U4049">
        <v>2</v>
      </c>
      <c r="V4049" t="s">
        <v>544</v>
      </c>
      <c r="W4049" t="s">
        <v>542</v>
      </c>
      <c r="X4049" s="784">
        <v>81361801.477472037</v>
      </c>
    </row>
    <row r="4050" spans="1:24">
      <c r="A4050" t="s">
        <v>358</v>
      </c>
      <c r="B4050" t="s">
        <v>574</v>
      </c>
      <c r="C4050" t="s">
        <v>182</v>
      </c>
      <c r="D4050" t="s">
        <v>129</v>
      </c>
      <c r="E4050" t="s">
        <v>377</v>
      </c>
      <c r="F4050" t="s">
        <v>312</v>
      </c>
      <c r="G4050" t="s">
        <v>350</v>
      </c>
      <c r="H4050" t="s">
        <v>749</v>
      </c>
      <c r="I4050" t="s">
        <v>743</v>
      </c>
      <c r="J4050" t="s">
        <v>379</v>
      </c>
      <c r="K4050" t="s">
        <v>546</v>
      </c>
      <c r="L4050" s="784">
        <v>0</v>
      </c>
      <c r="M4050" t="s">
        <v>745</v>
      </c>
      <c r="N4050" s="784" t="s">
        <v>575</v>
      </c>
      <c r="O4050" t="s">
        <v>737</v>
      </c>
      <c r="P4050" t="s">
        <v>1887</v>
      </c>
      <c r="R4050" t="s">
        <v>148</v>
      </c>
      <c r="S4050" t="s">
        <v>145</v>
      </c>
      <c r="U4050">
        <v>1</v>
      </c>
      <c r="V4050" t="s">
        <v>544</v>
      </c>
      <c r="W4050" t="s">
        <v>542</v>
      </c>
      <c r="X4050" s="784" t="s">
        <v>575</v>
      </c>
    </row>
    <row r="4051" spans="1:24">
      <c r="A4051" t="s">
        <v>358</v>
      </c>
      <c r="B4051" t="s">
        <v>576</v>
      </c>
      <c r="C4051" t="s">
        <v>183</v>
      </c>
      <c r="D4051" t="s">
        <v>129</v>
      </c>
      <c r="E4051" t="s">
        <v>377</v>
      </c>
      <c r="F4051" t="s">
        <v>312</v>
      </c>
      <c r="G4051" t="s">
        <v>350</v>
      </c>
      <c r="H4051" t="s">
        <v>749</v>
      </c>
      <c r="I4051" t="s">
        <v>743</v>
      </c>
      <c r="J4051" t="s">
        <v>379</v>
      </c>
      <c r="K4051" t="s">
        <v>546</v>
      </c>
      <c r="L4051" s="784">
        <v>0</v>
      </c>
      <c r="M4051" t="s">
        <v>745</v>
      </c>
      <c r="N4051" s="784" t="s">
        <v>575</v>
      </c>
      <c r="O4051" t="s">
        <v>737</v>
      </c>
      <c r="P4051" t="s">
        <v>1887</v>
      </c>
      <c r="R4051" t="s">
        <v>148</v>
      </c>
      <c r="S4051" t="s">
        <v>145</v>
      </c>
      <c r="U4051">
        <v>1</v>
      </c>
      <c r="V4051" t="s">
        <v>544</v>
      </c>
      <c r="W4051" t="s">
        <v>542</v>
      </c>
      <c r="X4051" s="784">
        <v>76939306.715636879</v>
      </c>
    </row>
    <row r="4052" spans="1:24">
      <c r="A4052" t="s">
        <v>358</v>
      </c>
      <c r="B4052" t="s">
        <v>577</v>
      </c>
      <c r="C4052" t="s">
        <v>184</v>
      </c>
      <c r="D4052" t="s">
        <v>130</v>
      </c>
      <c r="E4052" t="s">
        <v>377</v>
      </c>
      <c r="F4052" t="s">
        <v>312</v>
      </c>
      <c r="G4052" t="s">
        <v>350</v>
      </c>
      <c r="H4052" t="s">
        <v>749</v>
      </c>
      <c r="I4052" t="s">
        <v>743</v>
      </c>
      <c r="J4052" t="s">
        <v>379</v>
      </c>
      <c r="K4052" t="s">
        <v>546</v>
      </c>
      <c r="L4052" s="784">
        <v>0</v>
      </c>
      <c r="M4052" t="s">
        <v>745</v>
      </c>
      <c r="N4052" s="784" t="s">
        <v>575</v>
      </c>
      <c r="O4052" t="s">
        <v>737</v>
      </c>
      <c r="P4052" t="s">
        <v>1887</v>
      </c>
      <c r="R4052" t="s">
        <v>550</v>
      </c>
      <c r="S4052" t="s">
        <v>146</v>
      </c>
      <c r="U4052">
        <v>0</v>
      </c>
      <c r="V4052" t="s">
        <v>544</v>
      </c>
      <c r="W4052" t="s">
        <v>575</v>
      </c>
      <c r="X4052" s="784">
        <v>13859708717.682571</v>
      </c>
    </row>
    <row r="4053" spans="1:24">
      <c r="A4053" t="s">
        <v>358</v>
      </c>
      <c r="B4053" t="s">
        <v>578</v>
      </c>
      <c r="C4053" t="s">
        <v>185</v>
      </c>
      <c r="D4053" t="s">
        <v>126</v>
      </c>
      <c r="E4053" t="s">
        <v>377</v>
      </c>
      <c r="F4053" t="s">
        <v>312</v>
      </c>
      <c r="G4053" t="s">
        <v>350</v>
      </c>
      <c r="H4053" t="s">
        <v>749</v>
      </c>
      <c r="I4053" t="s">
        <v>743</v>
      </c>
      <c r="J4053" t="s">
        <v>379</v>
      </c>
      <c r="K4053" t="s">
        <v>546</v>
      </c>
      <c r="L4053" s="784">
        <v>0</v>
      </c>
      <c r="M4053" t="s">
        <v>745</v>
      </c>
      <c r="N4053" s="784" t="s">
        <v>575</v>
      </c>
      <c r="O4053" t="s">
        <v>737</v>
      </c>
      <c r="P4053" t="s">
        <v>1887</v>
      </c>
      <c r="R4053" t="s">
        <v>152</v>
      </c>
      <c r="S4053" t="s">
        <v>146</v>
      </c>
      <c r="U4053">
        <v>0</v>
      </c>
      <c r="V4053" t="s">
        <v>544</v>
      </c>
      <c r="W4053" t="s">
        <v>575</v>
      </c>
      <c r="X4053" s="784">
        <v>403567160707.7016</v>
      </c>
    </row>
    <row r="4054" spans="1:24">
      <c r="A4054" t="s">
        <v>358</v>
      </c>
      <c r="B4054" t="s">
        <v>579</v>
      </c>
      <c r="C4054" t="s">
        <v>186</v>
      </c>
      <c r="D4054" t="s">
        <v>130</v>
      </c>
      <c r="E4054" t="s">
        <v>377</v>
      </c>
      <c r="F4054" t="s">
        <v>312</v>
      </c>
      <c r="G4054" t="s">
        <v>350</v>
      </c>
      <c r="H4054" t="s">
        <v>749</v>
      </c>
      <c r="I4054" t="s">
        <v>743</v>
      </c>
      <c r="J4054" t="s">
        <v>379</v>
      </c>
      <c r="K4054" t="s">
        <v>546</v>
      </c>
      <c r="L4054" s="784">
        <v>0</v>
      </c>
      <c r="M4054" t="s">
        <v>745</v>
      </c>
      <c r="N4054" s="784" t="s">
        <v>575</v>
      </c>
      <c r="O4054" t="s">
        <v>737</v>
      </c>
      <c r="P4054" t="s">
        <v>1887</v>
      </c>
      <c r="R4054" t="s">
        <v>152</v>
      </c>
      <c r="S4054" t="s">
        <v>146</v>
      </c>
      <c r="U4054">
        <v>0</v>
      </c>
      <c r="V4054" t="s">
        <v>544</v>
      </c>
      <c r="W4054" t="s">
        <v>575</v>
      </c>
      <c r="X4054" s="784">
        <v>18250225995.972618</v>
      </c>
    </row>
    <row r="4055" spans="1:24">
      <c r="A4055" t="s">
        <v>358</v>
      </c>
      <c r="B4055" t="s">
        <v>580</v>
      </c>
      <c r="C4055" t="s">
        <v>187</v>
      </c>
      <c r="D4055" t="s">
        <v>128</v>
      </c>
      <c r="E4055" t="s">
        <v>377</v>
      </c>
      <c r="F4055" t="s">
        <v>312</v>
      </c>
      <c r="G4055" t="s">
        <v>350</v>
      </c>
      <c r="H4055" t="s">
        <v>749</v>
      </c>
      <c r="I4055" t="s">
        <v>743</v>
      </c>
      <c r="J4055" t="s">
        <v>379</v>
      </c>
      <c r="K4055" t="s">
        <v>546</v>
      </c>
      <c r="L4055" s="784">
        <v>0</v>
      </c>
      <c r="M4055" t="s">
        <v>745</v>
      </c>
      <c r="N4055" s="784" t="s">
        <v>575</v>
      </c>
      <c r="O4055" t="s">
        <v>737</v>
      </c>
      <c r="P4055" t="s">
        <v>1887</v>
      </c>
      <c r="R4055" t="s">
        <v>150</v>
      </c>
      <c r="S4055" t="s">
        <v>145</v>
      </c>
      <c r="U4055">
        <v>0</v>
      </c>
      <c r="V4055" t="s">
        <v>541</v>
      </c>
      <c r="W4055" t="s">
        <v>562</v>
      </c>
      <c r="X4055" s="784">
        <v>5027591.1682657599</v>
      </c>
    </row>
    <row r="4056" spans="1:24">
      <c r="A4056" t="s">
        <v>358</v>
      </c>
      <c r="B4056" t="s">
        <v>581</v>
      </c>
      <c r="C4056" t="s">
        <v>188</v>
      </c>
      <c r="D4056" t="s">
        <v>129</v>
      </c>
      <c r="E4056" t="s">
        <v>377</v>
      </c>
      <c r="F4056" t="s">
        <v>312</v>
      </c>
      <c r="G4056" t="s">
        <v>350</v>
      </c>
      <c r="H4056" t="s">
        <v>749</v>
      </c>
      <c r="I4056" t="s">
        <v>743</v>
      </c>
      <c r="J4056" t="s">
        <v>379</v>
      </c>
      <c r="K4056" t="s">
        <v>546</v>
      </c>
      <c r="L4056" s="784">
        <v>250899</v>
      </c>
      <c r="M4056" t="s">
        <v>745</v>
      </c>
      <c r="N4056" s="784" t="s">
        <v>575</v>
      </c>
      <c r="O4056" t="s">
        <v>737</v>
      </c>
      <c r="P4056" t="s">
        <v>1887</v>
      </c>
      <c r="R4056" t="s">
        <v>148</v>
      </c>
      <c r="S4056" t="s">
        <v>145</v>
      </c>
      <c r="U4056">
        <v>3</v>
      </c>
      <c r="V4056" t="s">
        <v>544</v>
      </c>
      <c r="W4056" t="s">
        <v>562</v>
      </c>
      <c r="X4056" s="784">
        <v>234645958.63289919</v>
      </c>
    </row>
    <row r="4057" spans="1:24">
      <c r="A4057" t="s">
        <v>358</v>
      </c>
      <c r="B4057" t="s">
        <v>582</v>
      </c>
      <c r="C4057" t="s">
        <v>189</v>
      </c>
      <c r="D4057" t="s">
        <v>129</v>
      </c>
      <c r="E4057" t="s">
        <v>377</v>
      </c>
      <c r="F4057" t="s">
        <v>312</v>
      </c>
      <c r="G4057" t="s">
        <v>350</v>
      </c>
      <c r="H4057" t="s">
        <v>749</v>
      </c>
      <c r="I4057" t="s">
        <v>743</v>
      </c>
      <c r="J4057" t="s">
        <v>379</v>
      </c>
      <c r="K4057" t="s">
        <v>546</v>
      </c>
      <c r="L4057" s="784">
        <v>0</v>
      </c>
      <c r="M4057" t="s">
        <v>745</v>
      </c>
      <c r="N4057" s="784" t="s">
        <v>575</v>
      </c>
      <c r="O4057" t="s">
        <v>737</v>
      </c>
      <c r="P4057" t="s">
        <v>1887</v>
      </c>
      <c r="R4057" t="s">
        <v>150</v>
      </c>
      <c r="S4057" t="s">
        <v>145</v>
      </c>
      <c r="U4057">
        <v>2</v>
      </c>
      <c r="V4057" t="s">
        <v>544</v>
      </c>
      <c r="W4057" t="s">
        <v>583</v>
      </c>
      <c r="X4057" s="784">
        <v>91590910.247314155</v>
      </c>
    </row>
    <row r="4058" spans="1:24">
      <c r="A4058" t="s">
        <v>358</v>
      </c>
      <c r="B4058" t="s">
        <v>584</v>
      </c>
      <c r="C4058" t="s">
        <v>190</v>
      </c>
      <c r="D4058" t="s">
        <v>126</v>
      </c>
      <c r="E4058" t="s">
        <v>377</v>
      </c>
      <c r="F4058" t="s">
        <v>312</v>
      </c>
      <c r="G4058" t="s">
        <v>350</v>
      </c>
      <c r="H4058" t="s">
        <v>749</v>
      </c>
      <c r="I4058" t="s">
        <v>743</v>
      </c>
      <c r="J4058" t="s">
        <v>379</v>
      </c>
      <c r="K4058" t="s">
        <v>546</v>
      </c>
      <c r="L4058" s="784">
        <v>0</v>
      </c>
      <c r="M4058" t="s">
        <v>745</v>
      </c>
      <c r="N4058" s="784" t="s">
        <v>575</v>
      </c>
      <c r="O4058" t="s">
        <v>737</v>
      </c>
      <c r="P4058" t="s">
        <v>1887</v>
      </c>
      <c r="R4058" t="s">
        <v>322</v>
      </c>
      <c r="S4058" t="s">
        <v>146</v>
      </c>
      <c r="U4058">
        <v>0</v>
      </c>
      <c r="V4058" t="s">
        <v>541</v>
      </c>
      <c r="W4058" t="s">
        <v>546</v>
      </c>
      <c r="X4058" s="784">
        <v>8560012.8840167802</v>
      </c>
    </row>
    <row r="4059" spans="1:24">
      <c r="A4059" t="s">
        <v>358</v>
      </c>
      <c r="B4059" t="s">
        <v>585</v>
      </c>
      <c r="C4059" t="s">
        <v>191</v>
      </c>
      <c r="D4059" t="s">
        <v>130</v>
      </c>
      <c r="E4059" t="s">
        <v>377</v>
      </c>
      <c r="F4059" t="s">
        <v>312</v>
      </c>
      <c r="G4059" t="s">
        <v>350</v>
      </c>
      <c r="H4059" t="s">
        <v>749</v>
      </c>
      <c r="I4059" t="s">
        <v>743</v>
      </c>
      <c r="J4059" t="s">
        <v>379</v>
      </c>
      <c r="K4059" t="s">
        <v>546</v>
      </c>
      <c r="L4059" s="784">
        <v>0</v>
      </c>
      <c r="M4059" t="s">
        <v>745</v>
      </c>
      <c r="N4059" s="784" t="s">
        <v>575</v>
      </c>
      <c r="O4059" t="s">
        <v>737</v>
      </c>
      <c r="P4059" t="s">
        <v>1887</v>
      </c>
      <c r="R4059" t="s">
        <v>152</v>
      </c>
      <c r="S4059" t="s">
        <v>146</v>
      </c>
      <c r="U4059">
        <v>0</v>
      </c>
      <c r="V4059" t="s">
        <v>544</v>
      </c>
      <c r="W4059" t="s">
        <v>546</v>
      </c>
      <c r="X4059" s="784">
        <v>3292372960.3962669</v>
      </c>
    </row>
    <row r="4060" spans="1:24">
      <c r="A4060" t="s">
        <v>358</v>
      </c>
      <c r="B4060" t="s">
        <v>586</v>
      </c>
      <c r="C4060" t="s">
        <v>192</v>
      </c>
      <c r="D4060" t="s">
        <v>129</v>
      </c>
      <c r="E4060" t="s">
        <v>377</v>
      </c>
      <c r="F4060" t="s">
        <v>312</v>
      </c>
      <c r="G4060" t="s">
        <v>350</v>
      </c>
      <c r="H4060" t="s">
        <v>749</v>
      </c>
      <c r="I4060" t="s">
        <v>743</v>
      </c>
      <c r="J4060" t="s">
        <v>379</v>
      </c>
      <c r="K4060" t="s">
        <v>546</v>
      </c>
      <c r="L4060" s="784">
        <v>0</v>
      </c>
      <c r="M4060" t="s">
        <v>745</v>
      </c>
      <c r="N4060" s="784" t="s">
        <v>575</v>
      </c>
      <c r="O4060" t="s">
        <v>737</v>
      </c>
      <c r="P4060" t="s">
        <v>1887</v>
      </c>
      <c r="R4060" t="s">
        <v>150</v>
      </c>
      <c r="S4060" t="s">
        <v>145</v>
      </c>
      <c r="U4060">
        <v>0</v>
      </c>
      <c r="V4060" t="s">
        <v>544</v>
      </c>
      <c r="W4060" t="s">
        <v>562</v>
      </c>
      <c r="X4060" s="784">
        <v>519209981.22981054</v>
      </c>
    </row>
    <row r="4061" spans="1:24">
      <c r="A4061" t="s">
        <v>358</v>
      </c>
      <c r="B4061" t="s">
        <v>587</v>
      </c>
      <c r="C4061" t="s">
        <v>193</v>
      </c>
      <c r="D4061" t="s">
        <v>127</v>
      </c>
      <c r="E4061" t="s">
        <v>377</v>
      </c>
      <c r="F4061" t="s">
        <v>312</v>
      </c>
      <c r="G4061" t="s">
        <v>350</v>
      </c>
      <c r="H4061" t="s">
        <v>749</v>
      </c>
      <c r="I4061" t="s">
        <v>743</v>
      </c>
      <c r="J4061" t="s">
        <v>379</v>
      </c>
      <c r="K4061" t="s">
        <v>546</v>
      </c>
      <c r="L4061" s="784">
        <v>0</v>
      </c>
      <c r="M4061" t="s">
        <v>745</v>
      </c>
      <c r="N4061" s="784" t="s">
        <v>575</v>
      </c>
      <c r="O4061" t="s">
        <v>737</v>
      </c>
      <c r="P4061" t="s">
        <v>1887</v>
      </c>
      <c r="R4061" t="s">
        <v>550</v>
      </c>
      <c r="S4061" t="s">
        <v>146</v>
      </c>
      <c r="U4061">
        <v>0</v>
      </c>
      <c r="V4061" t="s">
        <v>544</v>
      </c>
      <c r="W4061" t="s">
        <v>575</v>
      </c>
      <c r="X4061" s="784">
        <v>3464739907.1604805</v>
      </c>
    </row>
    <row r="4062" spans="1:24">
      <c r="A4062" t="s">
        <v>358</v>
      </c>
      <c r="B4062" t="s">
        <v>588</v>
      </c>
      <c r="C4062" t="s">
        <v>147</v>
      </c>
      <c r="D4062" t="s">
        <v>130</v>
      </c>
      <c r="E4062" t="s">
        <v>377</v>
      </c>
      <c r="F4062" t="s">
        <v>312</v>
      </c>
      <c r="G4062" t="s">
        <v>350</v>
      </c>
      <c r="H4062" t="s">
        <v>749</v>
      </c>
      <c r="I4062" t="s">
        <v>743</v>
      </c>
      <c r="J4062" t="s">
        <v>379</v>
      </c>
      <c r="K4062" t="s">
        <v>546</v>
      </c>
      <c r="L4062" s="784">
        <v>0</v>
      </c>
      <c r="M4062" t="s">
        <v>745</v>
      </c>
      <c r="N4062" s="784" t="s">
        <v>575</v>
      </c>
      <c r="O4062" t="s">
        <v>737</v>
      </c>
      <c r="P4062" t="s">
        <v>1887</v>
      </c>
      <c r="R4062" t="s">
        <v>152</v>
      </c>
      <c r="S4062" t="s">
        <v>146</v>
      </c>
      <c r="U4062">
        <v>0</v>
      </c>
      <c r="V4062" t="s">
        <v>541</v>
      </c>
      <c r="W4062" t="s">
        <v>575</v>
      </c>
      <c r="X4062" s="784">
        <v>9948521252.2569065</v>
      </c>
    </row>
    <row r="4063" spans="1:24">
      <c r="A4063" t="s">
        <v>358</v>
      </c>
      <c r="B4063" t="s">
        <v>589</v>
      </c>
      <c r="C4063" t="s">
        <v>194</v>
      </c>
      <c r="D4063" t="s">
        <v>131</v>
      </c>
      <c r="E4063" t="s">
        <v>377</v>
      </c>
      <c r="F4063" t="s">
        <v>312</v>
      </c>
      <c r="G4063" t="s">
        <v>350</v>
      </c>
      <c r="H4063" t="s">
        <v>749</v>
      </c>
      <c r="I4063" t="s">
        <v>743</v>
      </c>
      <c r="J4063" t="s">
        <v>379</v>
      </c>
      <c r="K4063" t="s">
        <v>546</v>
      </c>
      <c r="L4063" s="784">
        <v>0</v>
      </c>
      <c r="M4063" t="s">
        <v>745</v>
      </c>
      <c r="N4063" s="784" t="s">
        <v>575</v>
      </c>
      <c r="O4063" t="s">
        <v>737</v>
      </c>
      <c r="P4063" t="s">
        <v>1887</v>
      </c>
      <c r="R4063" t="s">
        <v>150</v>
      </c>
      <c r="S4063" t="s">
        <v>145</v>
      </c>
      <c r="U4063">
        <v>1</v>
      </c>
      <c r="V4063" t="s">
        <v>544</v>
      </c>
      <c r="W4063" t="s">
        <v>542</v>
      </c>
      <c r="X4063" s="784">
        <v>33679192.765657313</v>
      </c>
    </row>
    <row r="4064" spans="1:24">
      <c r="A4064" t="s">
        <v>358</v>
      </c>
      <c r="B4064" t="s">
        <v>590</v>
      </c>
      <c r="C4064" t="s">
        <v>195</v>
      </c>
      <c r="D4064" t="s">
        <v>130</v>
      </c>
      <c r="E4064" t="s">
        <v>377</v>
      </c>
      <c r="F4064" t="s">
        <v>312</v>
      </c>
      <c r="G4064" t="s">
        <v>350</v>
      </c>
      <c r="H4064" t="s">
        <v>749</v>
      </c>
      <c r="I4064" t="s">
        <v>743</v>
      </c>
      <c r="J4064" t="s">
        <v>379</v>
      </c>
      <c r="K4064" t="s">
        <v>546</v>
      </c>
      <c r="L4064" s="784">
        <v>0</v>
      </c>
      <c r="M4064" t="s">
        <v>745</v>
      </c>
      <c r="N4064" s="784" t="s">
        <v>575</v>
      </c>
      <c r="O4064" t="s">
        <v>737</v>
      </c>
      <c r="P4064" t="s">
        <v>1887</v>
      </c>
      <c r="R4064" t="s">
        <v>152</v>
      </c>
      <c r="S4064" t="s">
        <v>145</v>
      </c>
      <c r="U4064">
        <v>0</v>
      </c>
      <c r="V4064" t="s">
        <v>541</v>
      </c>
      <c r="W4064" t="s">
        <v>548</v>
      </c>
      <c r="X4064" s="784">
        <v>22784494.365742501</v>
      </c>
    </row>
    <row r="4065" spans="1:24">
      <c r="A4065" t="s">
        <v>358</v>
      </c>
      <c r="B4065" t="s">
        <v>591</v>
      </c>
      <c r="C4065" t="s">
        <v>196</v>
      </c>
      <c r="D4065" t="s">
        <v>130</v>
      </c>
      <c r="E4065" t="s">
        <v>377</v>
      </c>
      <c r="F4065" t="s">
        <v>312</v>
      </c>
      <c r="G4065" t="s">
        <v>350</v>
      </c>
      <c r="H4065" t="s">
        <v>749</v>
      </c>
      <c r="I4065" t="s">
        <v>743</v>
      </c>
      <c r="J4065" t="s">
        <v>379</v>
      </c>
      <c r="K4065" t="s">
        <v>546</v>
      </c>
      <c r="L4065" s="784">
        <v>0</v>
      </c>
      <c r="M4065" t="s">
        <v>745</v>
      </c>
      <c r="N4065" s="784" t="s">
        <v>575</v>
      </c>
      <c r="O4065" t="s">
        <v>737</v>
      </c>
      <c r="P4065" t="s">
        <v>1887</v>
      </c>
      <c r="R4065" t="s">
        <v>152</v>
      </c>
      <c r="S4065" t="s">
        <v>146</v>
      </c>
      <c r="U4065">
        <v>0</v>
      </c>
      <c r="V4065" t="s">
        <v>541</v>
      </c>
      <c r="W4065" t="s">
        <v>575</v>
      </c>
      <c r="X4065" s="784">
        <v>2173208011.4858823</v>
      </c>
    </row>
    <row r="4066" spans="1:24">
      <c r="A4066" t="s">
        <v>358</v>
      </c>
      <c r="B4066" t="s">
        <v>592</v>
      </c>
      <c r="C4066" t="s">
        <v>197</v>
      </c>
      <c r="D4066" t="s">
        <v>130</v>
      </c>
      <c r="E4066" t="s">
        <v>377</v>
      </c>
      <c r="F4066" t="s">
        <v>312</v>
      </c>
      <c r="G4066" t="s">
        <v>350</v>
      </c>
      <c r="H4066" t="s">
        <v>749</v>
      </c>
      <c r="I4066" t="s">
        <v>743</v>
      </c>
      <c r="J4066" t="s">
        <v>379</v>
      </c>
      <c r="K4066" t="s">
        <v>546</v>
      </c>
      <c r="L4066" s="784">
        <v>0</v>
      </c>
      <c r="M4066" t="s">
        <v>745</v>
      </c>
      <c r="N4066" s="784" t="s">
        <v>575</v>
      </c>
      <c r="O4066" t="s">
        <v>737</v>
      </c>
      <c r="P4066" t="s">
        <v>1887</v>
      </c>
      <c r="R4066" t="s">
        <v>152</v>
      </c>
      <c r="S4066" t="s">
        <v>146</v>
      </c>
      <c r="U4066">
        <v>0</v>
      </c>
      <c r="V4066" t="s">
        <v>544</v>
      </c>
      <c r="W4066" t="s">
        <v>546</v>
      </c>
      <c r="X4066" s="784">
        <v>4585736158.8323269</v>
      </c>
    </row>
    <row r="4067" spans="1:24">
      <c r="A4067" t="s">
        <v>358</v>
      </c>
      <c r="B4067" t="s">
        <v>593</v>
      </c>
      <c r="C4067" t="s">
        <v>198</v>
      </c>
      <c r="D4067" t="s">
        <v>131</v>
      </c>
      <c r="E4067" t="s">
        <v>377</v>
      </c>
      <c r="F4067" t="s">
        <v>312</v>
      </c>
      <c r="G4067" t="s">
        <v>350</v>
      </c>
      <c r="H4067" t="s">
        <v>749</v>
      </c>
      <c r="I4067" t="s">
        <v>743</v>
      </c>
      <c r="J4067" t="s">
        <v>379</v>
      </c>
      <c r="K4067" t="s">
        <v>546</v>
      </c>
      <c r="L4067" s="784">
        <v>92593</v>
      </c>
      <c r="M4067" t="s">
        <v>745</v>
      </c>
      <c r="N4067" s="784" t="s">
        <v>575</v>
      </c>
      <c r="O4067" t="s">
        <v>737</v>
      </c>
      <c r="P4067" t="s">
        <v>1887</v>
      </c>
      <c r="R4067" t="s">
        <v>150</v>
      </c>
      <c r="S4067" t="s">
        <v>145</v>
      </c>
      <c r="U4067">
        <v>0</v>
      </c>
      <c r="V4067" t="s">
        <v>544</v>
      </c>
      <c r="W4067" t="s">
        <v>546</v>
      </c>
      <c r="X4067" s="784">
        <v>3550291584.8645592</v>
      </c>
    </row>
    <row r="4068" spans="1:24">
      <c r="A4068" t="s">
        <v>358</v>
      </c>
      <c r="B4068" t="s">
        <v>594</v>
      </c>
      <c r="C4068" t="s">
        <v>199</v>
      </c>
      <c r="D4068" t="s">
        <v>130</v>
      </c>
      <c r="E4068" t="s">
        <v>377</v>
      </c>
      <c r="F4068" t="s">
        <v>312</v>
      </c>
      <c r="G4068" t="s">
        <v>350</v>
      </c>
      <c r="H4068" t="s">
        <v>749</v>
      </c>
      <c r="I4068" t="s">
        <v>743</v>
      </c>
      <c r="J4068" t="s">
        <v>379</v>
      </c>
      <c r="K4068" t="s">
        <v>546</v>
      </c>
      <c r="L4068" s="784">
        <v>0</v>
      </c>
      <c r="M4068" t="s">
        <v>745</v>
      </c>
      <c r="N4068" s="784" t="s">
        <v>575</v>
      </c>
      <c r="O4068" t="s">
        <v>737</v>
      </c>
      <c r="P4068" t="s">
        <v>1887</v>
      </c>
      <c r="R4068" t="s">
        <v>150</v>
      </c>
      <c r="S4068" t="s">
        <v>145</v>
      </c>
      <c r="U4068">
        <v>0</v>
      </c>
      <c r="V4068" t="s">
        <v>544</v>
      </c>
      <c r="W4068" t="s">
        <v>546</v>
      </c>
      <c r="X4068" s="784">
        <v>1182840319.0410969</v>
      </c>
    </row>
    <row r="4069" spans="1:24">
      <c r="A4069" t="s">
        <v>358</v>
      </c>
      <c r="B4069" t="s">
        <v>595</v>
      </c>
      <c r="C4069" t="s">
        <v>200</v>
      </c>
      <c r="D4069" t="s">
        <v>130</v>
      </c>
      <c r="E4069" t="s">
        <v>377</v>
      </c>
      <c r="F4069" t="s">
        <v>312</v>
      </c>
      <c r="G4069" t="s">
        <v>350</v>
      </c>
      <c r="H4069" t="s">
        <v>749</v>
      </c>
      <c r="I4069" t="s">
        <v>743</v>
      </c>
      <c r="J4069" t="s">
        <v>379</v>
      </c>
      <c r="K4069" t="s">
        <v>546</v>
      </c>
      <c r="L4069" s="784">
        <v>0</v>
      </c>
      <c r="M4069" t="s">
        <v>745</v>
      </c>
      <c r="N4069" s="784" t="s">
        <v>575</v>
      </c>
      <c r="O4069" t="s">
        <v>737</v>
      </c>
      <c r="P4069" t="s">
        <v>1887</v>
      </c>
      <c r="R4069" t="s">
        <v>152</v>
      </c>
      <c r="S4069" t="s">
        <v>146</v>
      </c>
      <c r="U4069">
        <v>0</v>
      </c>
      <c r="V4069" t="s">
        <v>544</v>
      </c>
      <c r="W4069" t="s">
        <v>575</v>
      </c>
      <c r="X4069" s="784">
        <v>81728347.604567245</v>
      </c>
    </row>
    <row r="4070" spans="1:24">
      <c r="A4070" t="s">
        <v>358</v>
      </c>
      <c r="B4070" t="s">
        <v>596</v>
      </c>
      <c r="C4070" t="s">
        <v>201</v>
      </c>
      <c r="D4070" t="s">
        <v>128</v>
      </c>
      <c r="E4070" t="s">
        <v>377</v>
      </c>
      <c r="F4070" t="s">
        <v>312</v>
      </c>
      <c r="G4070" t="s">
        <v>350</v>
      </c>
      <c r="H4070" t="s">
        <v>749</v>
      </c>
      <c r="I4070" t="s">
        <v>743</v>
      </c>
      <c r="J4070" t="s">
        <v>379</v>
      </c>
      <c r="K4070" t="s">
        <v>546</v>
      </c>
      <c r="L4070" s="784">
        <v>0</v>
      </c>
      <c r="M4070" t="s">
        <v>745</v>
      </c>
      <c r="N4070" s="784" t="s">
        <v>575</v>
      </c>
      <c r="O4070" t="s">
        <v>737</v>
      </c>
      <c r="P4070" t="s">
        <v>1887</v>
      </c>
      <c r="R4070" t="s">
        <v>148</v>
      </c>
      <c r="S4070" t="s">
        <v>145</v>
      </c>
      <c r="U4070">
        <v>2</v>
      </c>
      <c r="V4070" t="s">
        <v>544</v>
      </c>
      <c r="W4070" t="s">
        <v>546</v>
      </c>
      <c r="X4070" s="784">
        <v>12787914.977715338</v>
      </c>
    </row>
    <row r="4071" spans="1:24">
      <c r="A4071" t="s">
        <v>358</v>
      </c>
      <c r="B4071" t="s">
        <v>597</v>
      </c>
      <c r="C4071" t="s">
        <v>202</v>
      </c>
      <c r="D4071" t="s">
        <v>128</v>
      </c>
      <c r="E4071" t="s">
        <v>377</v>
      </c>
      <c r="F4071" t="s">
        <v>312</v>
      </c>
      <c r="G4071" t="s">
        <v>350</v>
      </c>
      <c r="H4071" t="s">
        <v>749</v>
      </c>
      <c r="I4071" t="s">
        <v>743</v>
      </c>
      <c r="J4071" t="s">
        <v>379</v>
      </c>
      <c r="K4071" t="s">
        <v>546</v>
      </c>
      <c r="L4071" s="784">
        <v>0</v>
      </c>
      <c r="M4071" t="s">
        <v>745</v>
      </c>
      <c r="N4071" s="784" t="s">
        <v>575</v>
      </c>
      <c r="O4071" t="s">
        <v>737</v>
      </c>
      <c r="P4071" t="s">
        <v>1887</v>
      </c>
      <c r="R4071" t="s">
        <v>150</v>
      </c>
      <c r="S4071" t="s">
        <v>145</v>
      </c>
      <c r="U4071">
        <v>2</v>
      </c>
      <c r="V4071" t="s">
        <v>544</v>
      </c>
      <c r="W4071" t="s">
        <v>546</v>
      </c>
      <c r="X4071" s="784">
        <v>101271737.65410839</v>
      </c>
    </row>
    <row r="4072" spans="1:24">
      <c r="A4072" t="s">
        <v>358</v>
      </c>
      <c r="B4072" t="s">
        <v>598</v>
      </c>
      <c r="C4072" t="s">
        <v>203</v>
      </c>
      <c r="D4072" t="s">
        <v>128</v>
      </c>
      <c r="E4072" t="s">
        <v>377</v>
      </c>
      <c r="F4072" t="s">
        <v>312</v>
      </c>
      <c r="G4072" t="s">
        <v>350</v>
      </c>
      <c r="H4072" t="s">
        <v>749</v>
      </c>
      <c r="I4072" t="s">
        <v>743</v>
      </c>
      <c r="J4072" t="s">
        <v>379</v>
      </c>
      <c r="K4072" t="s">
        <v>546</v>
      </c>
      <c r="L4072" s="784">
        <v>454015</v>
      </c>
      <c r="M4072" t="s">
        <v>745</v>
      </c>
      <c r="N4072" s="784" t="s">
        <v>575</v>
      </c>
      <c r="O4072" t="s">
        <v>737</v>
      </c>
      <c r="P4072" t="s">
        <v>1887</v>
      </c>
      <c r="R4072" t="s">
        <v>148</v>
      </c>
      <c r="S4072" t="s">
        <v>145</v>
      </c>
      <c r="U4072">
        <v>3</v>
      </c>
      <c r="V4072" t="s">
        <v>544</v>
      </c>
      <c r="W4072" t="s">
        <v>542</v>
      </c>
      <c r="X4072" s="784">
        <v>618344226.71759331</v>
      </c>
    </row>
    <row r="4073" spans="1:24">
      <c r="A4073" t="s">
        <v>358</v>
      </c>
      <c r="B4073" t="s">
        <v>599</v>
      </c>
      <c r="C4073" t="s">
        <v>204</v>
      </c>
      <c r="D4073" t="s">
        <v>126</v>
      </c>
      <c r="E4073" t="s">
        <v>377</v>
      </c>
      <c r="F4073" t="s">
        <v>312</v>
      </c>
      <c r="G4073" t="s">
        <v>350</v>
      </c>
      <c r="H4073" t="s">
        <v>749</v>
      </c>
      <c r="I4073" t="s">
        <v>743</v>
      </c>
      <c r="J4073" t="s">
        <v>379</v>
      </c>
      <c r="K4073" t="s">
        <v>546</v>
      </c>
      <c r="L4073" s="784">
        <v>226328</v>
      </c>
      <c r="M4073" t="s">
        <v>745</v>
      </c>
      <c r="N4073" s="784" t="s">
        <v>575</v>
      </c>
      <c r="O4073" t="s">
        <v>737</v>
      </c>
      <c r="P4073" t="s">
        <v>1887</v>
      </c>
      <c r="R4073" t="s">
        <v>152</v>
      </c>
      <c r="S4073" t="s">
        <v>145</v>
      </c>
      <c r="U4073">
        <v>0</v>
      </c>
      <c r="V4073" t="s">
        <v>541</v>
      </c>
      <c r="W4073" t="s">
        <v>548</v>
      </c>
      <c r="X4073" s="784">
        <v>129483872.95906857</v>
      </c>
    </row>
    <row r="4074" spans="1:24">
      <c r="A4074" t="s">
        <v>358</v>
      </c>
      <c r="B4074" t="s">
        <v>600</v>
      </c>
      <c r="C4074" t="s">
        <v>205</v>
      </c>
      <c r="D4074" t="s">
        <v>129</v>
      </c>
      <c r="E4074" t="s">
        <v>377</v>
      </c>
      <c r="F4074" t="s">
        <v>312</v>
      </c>
      <c r="G4074" t="s">
        <v>350</v>
      </c>
      <c r="H4074" t="s">
        <v>749</v>
      </c>
      <c r="I4074" t="s">
        <v>743</v>
      </c>
      <c r="J4074" t="s">
        <v>379</v>
      </c>
      <c r="K4074" t="s">
        <v>546</v>
      </c>
      <c r="L4074" s="784">
        <v>0</v>
      </c>
      <c r="M4074" t="s">
        <v>745</v>
      </c>
      <c r="N4074" s="784" t="s">
        <v>575</v>
      </c>
      <c r="O4074" t="s">
        <v>737</v>
      </c>
      <c r="P4074" t="s">
        <v>1887</v>
      </c>
      <c r="R4074" t="s">
        <v>152</v>
      </c>
      <c r="S4074" t="s">
        <v>146</v>
      </c>
      <c r="U4074">
        <v>0</v>
      </c>
      <c r="V4074" t="s">
        <v>544</v>
      </c>
      <c r="W4074" t="s">
        <v>546</v>
      </c>
      <c r="X4074" s="784">
        <v>271184658.35014349</v>
      </c>
    </row>
    <row r="4075" spans="1:24">
      <c r="A4075" t="s">
        <v>358</v>
      </c>
      <c r="B4075" t="s">
        <v>601</v>
      </c>
      <c r="C4075" t="s">
        <v>206</v>
      </c>
      <c r="D4075" t="s">
        <v>129</v>
      </c>
      <c r="E4075" t="s">
        <v>377</v>
      </c>
      <c r="F4075" t="s">
        <v>312</v>
      </c>
      <c r="G4075" t="s">
        <v>350</v>
      </c>
      <c r="H4075" t="s">
        <v>749</v>
      </c>
      <c r="I4075" t="s">
        <v>743</v>
      </c>
      <c r="J4075" t="s">
        <v>379</v>
      </c>
      <c r="K4075" t="s">
        <v>546</v>
      </c>
      <c r="L4075" s="784">
        <v>0</v>
      </c>
      <c r="M4075" t="s">
        <v>745</v>
      </c>
      <c r="N4075" s="784" t="s">
        <v>575</v>
      </c>
      <c r="O4075" t="s">
        <v>737</v>
      </c>
      <c r="P4075" t="s">
        <v>1887</v>
      </c>
      <c r="R4075" t="s">
        <v>148</v>
      </c>
      <c r="S4075" t="s">
        <v>145</v>
      </c>
      <c r="U4075">
        <v>0</v>
      </c>
      <c r="V4075" t="s">
        <v>544</v>
      </c>
      <c r="W4075" t="s">
        <v>542</v>
      </c>
      <c r="X4075" s="784">
        <v>15455265.086884515</v>
      </c>
    </row>
    <row r="4076" spans="1:24">
      <c r="A4076" t="s">
        <v>358</v>
      </c>
      <c r="B4076" t="s">
        <v>602</v>
      </c>
      <c r="C4076" t="s">
        <v>207</v>
      </c>
      <c r="D4076" t="s">
        <v>127</v>
      </c>
      <c r="E4076" t="s">
        <v>377</v>
      </c>
      <c r="F4076" t="s">
        <v>312</v>
      </c>
      <c r="G4076" t="s">
        <v>350</v>
      </c>
      <c r="H4076" t="s">
        <v>749</v>
      </c>
      <c r="I4076" t="s">
        <v>743</v>
      </c>
      <c r="J4076" t="s">
        <v>379</v>
      </c>
      <c r="K4076" t="s">
        <v>546</v>
      </c>
      <c r="L4076" s="784">
        <v>0</v>
      </c>
      <c r="M4076" t="s">
        <v>745</v>
      </c>
      <c r="N4076" s="784" t="s">
        <v>575</v>
      </c>
      <c r="O4076" t="s">
        <v>737</v>
      </c>
      <c r="P4076" t="s">
        <v>1887</v>
      </c>
      <c r="R4076" t="s">
        <v>152</v>
      </c>
      <c r="S4076" t="s">
        <v>146</v>
      </c>
      <c r="U4076">
        <v>0</v>
      </c>
      <c r="V4076" t="s">
        <v>544</v>
      </c>
      <c r="W4076" t="s">
        <v>546</v>
      </c>
      <c r="X4076" s="784">
        <v>494021502.525527</v>
      </c>
    </row>
    <row r="4077" spans="1:24">
      <c r="A4077" t="s">
        <v>358</v>
      </c>
      <c r="B4077" t="s">
        <v>603</v>
      </c>
      <c r="C4077" t="s">
        <v>208</v>
      </c>
      <c r="D4077" t="s">
        <v>129</v>
      </c>
      <c r="E4077" t="s">
        <v>377</v>
      </c>
      <c r="F4077" t="s">
        <v>312</v>
      </c>
      <c r="G4077" t="s">
        <v>350</v>
      </c>
      <c r="H4077" t="s">
        <v>749</v>
      </c>
      <c r="I4077" t="s">
        <v>743</v>
      </c>
      <c r="J4077" t="s">
        <v>379</v>
      </c>
      <c r="K4077" t="s">
        <v>546</v>
      </c>
      <c r="L4077" s="784">
        <v>142909</v>
      </c>
      <c r="M4077" t="s">
        <v>745</v>
      </c>
      <c r="N4077" s="784" t="s">
        <v>575</v>
      </c>
      <c r="O4077" t="s">
        <v>737</v>
      </c>
      <c r="P4077" t="s">
        <v>1887</v>
      </c>
      <c r="R4077" t="s">
        <v>150</v>
      </c>
      <c r="S4077" t="s">
        <v>145</v>
      </c>
      <c r="U4077">
        <v>0</v>
      </c>
      <c r="V4077" t="s">
        <v>544</v>
      </c>
      <c r="W4077" t="s">
        <v>542</v>
      </c>
      <c r="X4077" s="784">
        <v>902005621.73836684</v>
      </c>
    </row>
    <row r="4078" spans="1:24">
      <c r="A4078" t="s">
        <v>358</v>
      </c>
      <c r="B4078" t="s">
        <v>604</v>
      </c>
      <c r="C4078" t="s">
        <v>209</v>
      </c>
      <c r="D4078" t="s">
        <v>130</v>
      </c>
      <c r="E4078" t="s">
        <v>377</v>
      </c>
      <c r="F4078" t="s">
        <v>312</v>
      </c>
      <c r="G4078" t="s">
        <v>350</v>
      </c>
      <c r="H4078" t="s">
        <v>749</v>
      </c>
      <c r="I4078" t="s">
        <v>743</v>
      </c>
      <c r="J4078" t="s">
        <v>379</v>
      </c>
      <c r="K4078" t="s">
        <v>546</v>
      </c>
      <c r="L4078" s="784">
        <v>0</v>
      </c>
      <c r="M4078" t="s">
        <v>745</v>
      </c>
      <c r="N4078" s="784" t="s">
        <v>575</v>
      </c>
      <c r="O4078" t="s">
        <v>737</v>
      </c>
      <c r="P4078" t="s">
        <v>1887</v>
      </c>
      <c r="R4078" t="s">
        <v>152</v>
      </c>
      <c r="S4078" t="s">
        <v>145</v>
      </c>
      <c r="U4078">
        <v>0</v>
      </c>
      <c r="V4078" t="s">
        <v>541</v>
      </c>
      <c r="W4078" t="s">
        <v>583</v>
      </c>
      <c r="X4078" s="784">
        <v>20201670.142996579</v>
      </c>
    </row>
    <row r="4079" spans="1:24">
      <c r="A4079" t="s">
        <v>358</v>
      </c>
      <c r="B4079" t="s">
        <v>605</v>
      </c>
      <c r="C4079" t="s">
        <v>210</v>
      </c>
      <c r="D4079" t="s">
        <v>130</v>
      </c>
      <c r="E4079" t="s">
        <v>377</v>
      </c>
      <c r="F4079" t="s">
        <v>312</v>
      </c>
      <c r="G4079" t="s">
        <v>350</v>
      </c>
      <c r="H4079" t="s">
        <v>749</v>
      </c>
      <c r="I4079" t="s">
        <v>743</v>
      </c>
      <c r="J4079" t="s">
        <v>379</v>
      </c>
      <c r="K4079" t="s">
        <v>546</v>
      </c>
      <c r="L4079" s="784">
        <v>0</v>
      </c>
      <c r="M4079" t="s">
        <v>745</v>
      </c>
      <c r="N4079" s="784" t="s">
        <v>575</v>
      </c>
      <c r="O4079" t="s">
        <v>737</v>
      </c>
      <c r="P4079" t="s">
        <v>1887</v>
      </c>
      <c r="R4079" t="s">
        <v>152</v>
      </c>
      <c r="S4079" t="s">
        <v>146</v>
      </c>
      <c r="U4079">
        <v>0</v>
      </c>
      <c r="V4079" t="s">
        <v>544</v>
      </c>
      <c r="W4079" t="s">
        <v>575</v>
      </c>
      <c r="X4079" s="784">
        <v>1612434649.6948864</v>
      </c>
    </row>
    <row r="4080" spans="1:24">
      <c r="A4080" t="s">
        <v>358</v>
      </c>
      <c r="B4080" t="s">
        <v>606</v>
      </c>
      <c r="C4080" t="s">
        <v>211</v>
      </c>
      <c r="D4080" t="s">
        <v>129</v>
      </c>
      <c r="E4080" t="s">
        <v>377</v>
      </c>
      <c r="F4080" t="s">
        <v>312</v>
      </c>
      <c r="G4080" t="s">
        <v>350</v>
      </c>
      <c r="H4080" t="s">
        <v>749</v>
      </c>
      <c r="I4080" t="s">
        <v>743</v>
      </c>
      <c r="J4080" t="s">
        <v>379</v>
      </c>
      <c r="K4080" t="s">
        <v>546</v>
      </c>
      <c r="L4080" s="784">
        <v>378110</v>
      </c>
      <c r="M4080" t="s">
        <v>745</v>
      </c>
      <c r="N4080" s="784" t="s">
        <v>575</v>
      </c>
      <c r="O4080" t="s">
        <v>737</v>
      </c>
      <c r="P4080" t="s">
        <v>1887</v>
      </c>
      <c r="R4080" t="s">
        <v>148</v>
      </c>
      <c r="S4080" t="s">
        <v>145</v>
      </c>
      <c r="U4080">
        <v>0</v>
      </c>
      <c r="V4080" t="s">
        <v>544</v>
      </c>
      <c r="W4080" t="s">
        <v>562</v>
      </c>
      <c r="X4080" s="784">
        <v>78203134.118229344</v>
      </c>
    </row>
    <row r="4081" spans="1:24">
      <c r="A4081" t="s">
        <v>358</v>
      </c>
      <c r="B4081" t="s">
        <v>607</v>
      </c>
      <c r="C4081" t="s">
        <v>212</v>
      </c>
      <c r="D4081" t="s">
        <v>129</v>
      </c>
      <c r="E4081" t="s">
        <v>377</v>
      </c>
      <c r="F4081" t="s">
        <v>312</v>
      </c>
      <c r="G4081" t="s">
        <v>350</v>
      </c>
      <c r="H4081" t="s">
        <v>749</v>
      </c>
      <c r="I4081" t="s">
        <v>743</v>
      </c>
      <c r="J4081" t="s">
        <v>379</v>
      </c>
      <c r="K4081" t="s">
        <v>546</v>
      </c>
      <c r="L4081" s="784">
        <v>225847</v>
      </c>
      <c r="M4081" t="s">
        <v>745</v>
      </c>
      <c r="N4081" s="784" t="s">
        <v>575</v>
      </c>
      <c r="O4081" t="s">
        <v>737</v>
      </c>
      <c r="P4081" t="s">
        <v>1887</v>
      </c>
      <c r="R4081" t="s">
        <v>148</v>
      </c>
      <c r="S4081" t="s">
        <v>145</v>
      </c>
      <c r="U4081">
        <v>2</v>
      </c>
      <c r="V4081" t="s">
        <v>541</v>
      </c>
      <c r="W4081" t="s">
        <v>542</v>
      </c>
      <c r="X4081" s="784">
        <v>9151637.7411015611</v>
      </c>
    </row>
    <row r="4082" spans="1:24">
      <c r="A4082" t="s">
        <v>358</v>
      </c>
      <c r="B4082" t="s">
        <v>608</v>
      </c>
      <c r="C4082" t="s">
        <v>213</v>
      </c>
      <c r="D4082" t="s">
        <v>130</v>
      </c>
      <c r="E4082" t="s">
        <v>377</v>
      </c>
      <c r="F4082" t="s">
        <v>312</v>
      </c>
      <c r="G4082" t="s">
        <v>350</v>
      </c>
      <c r="H4082" t="s">
        <v>749</v>
      </c>
      <c r="I4082" t="s">
        <v>743</v>
      </c>
      <c r="J4082" t="s">
        <v>379</v>
      </c>
      <c r="K4082" t="s">
        <v>546</v>
      </c>
      <c r="L4082" s="784">
        <v>0</v>
      </c>
      <c r="M4082" t="s">
        <v>745</v>
      </c>
      <c r="N4082" s="784" t="s">
        <v>575</v>
      </c>
      <c r="O4082" t="s">
        <v>737</v>
      </c>
      <c r="P4082" t="s">
        <v>1887</v>
      </c>
      <c r="R4082" t="s">
        <v>152</v>
      </c>
      <c r="S4082" t="s">
        <v>145</v>
      </c>
      <c r="U4082">
        <v>0</v>
      </c>
      <c r="V4082" t="s">
        <v>541</v>
      </c>
      <c r="W4082" t="s">
        <v>562</v>
      </c>
      <c r="X4082" s="784">
        <v>142455920.02856269</v>
      </c>
    </row>
    <row r="4083" spans="1:24">
      <c r="A4083" t="s">
        <v>358</v>
      </c>
      <c r="B4083" t="s">
        <v>609</v>
      </c>
      <c r="C4083" t="s">
        <v>214</v>
      </c>
      <c r="D4083" t="s">
        <v>130</v>
      </c>
      <c r="E4083" t="s">
        <v>377</v>
      </c>
      <c r="F4083" t="s">
        <v>312</v>
      </c>
      <c r="G4083" t="s">
        <v>350</v>
      </c>
      <c r="H4083" t="s">
        <v>749</v>
      </c>
      <c r="I4083" t="s">
        <v>743</v>
      </c>
      <c r="J4083" t="s">
        <v>379</v>
      </c>
      <c r="K4083" t="s">
        <v>546</v>
      </c>
      <c r="L4083" s="784">
        <v>0</v>
      </c>
      <c r="M4083" t="s">
        <v>745</v>
      </c>
      <c r="N4083" s="784" t="s">
        <v>575</v>
      </c>
      <c r="O4083" t="s">
        <v>737</v>
      </c>
      <c r="P4083" t="s">
        <v>1887</v>
      </c>
      <c r="R4083" t="s">
        <v>150</v>
      </c>
      <c r="S4083" t="s">
        <v>145</v>
      </c>
      <c r="U4083">
        <v>1</v>
      </c>
      <c r="V4083" t="s">
        <v>541</v>
      </c>
      <c r="W4083" t="s">
        <v>542</v>
      </c>
      <c r="X4083" s="784">
        <v>85611818.171245083</v>
      </c>
    </row>
    <row r="4084" spans="1:24">
      <c r="A4084" t="s">
        <v>358</v>
      </c>
      <c r="B4084" t="s">
        <v>610</v>
      </c>
      <c r="C4084" t="s">
        <v>215</v>
      </c>
      <c r="D4084" t="s">
        <v>130</v>
      </c>
      <c r="E4084" t="s">
        <v>377</v>
      </c>
      <c r="F4084" t="s">
        <v>312</v>
      </c>
      <c r="G4084" t="s">
        <v>350</v>
      </c>
      <c r="H4084" t="s">
        <v>749</v>
      </c>
      <c r="I4084" t="s">
        <v>743</v>
      </c>
      <c r="J4084" t="s">
        <v>379</v>
      </c>
      <c r="K4084" t="s">
        <v>546</v>
      </c>
      <c r="L4084" s="784">
        <v>0</v>
      </c>
      <c r="M4084" t="s">
        <v>745</v>
      </c>
      <c r="N4084" s="784" t="s">
        <v>575</v>
      </c>
      <c r="O4084" t="s">
        <v>737</v>
      </c>
      <c r="P4084" t="s">
        <v>1887</v>
      </c>
      <c r="R4084" t="s">
        <v>150</v>
      </c>
      <c r="S4084" t="s">
        <v>145</v>
      </c>
      <c r="U4084">
        <v>0</v>
      </c>
      <c r="V4084" t="s">
        <v>544</v>
      </c>
      <c r="W4084" t="s">
        <v>558</v>
      </c>
      <c r="X4084" s="784">
        <v>680289736.30082119</v>
      </c>
    </row>
    <row r="4085" spans="1:24">
      <c r="A4085" t="s">
        <v>358</v>
      </c>
      <c r="B4085" t="s">
        <v>611</v>
      </c>
      <c r="C4085" t="s">
        <v>216</v>
      </c>
      <c r="D4085" t="s">
        <v>132</v>
      </c>
      <c r="E4085" t="s">
        <v>377</v>
      </c>
      <c r="F4085" t="s">
        <v>312</v>
      </c>
      <c r="G4085" t="s">
        <v>350</v>
      </c>
      <c r="H4085" t="s">
        <v>749</v>
      </c>
      <c r="I4085" t="s">
        <v>743</v>
      </c>
      <c r="J4085" t="s">
        <v>379</v>
      </c>
      <c r="K4085" t="s">
        <v>546</v>
      </c>
      <c r="L4085" s="784">
        <v>24758715</v>
      </c>
      <c r="M4085" t="s">
        <v>745</v>
      </c>
      <c r="N4085" s="784" t="s">
        <v>575</v>
      </c>
      <c r="O4085" t="s">
        <v>737</v>
      </c>
      <c r="P4085" t="s">
        <v>1887</v>
      </c>
      <c r="R4085" t="s">
        <v>150</v>
      </c>
      <c r="S4085" t="s">
        <v>145</v>
      </c>
      <c r="U4085">
        <v>0</v>
      </c>
      <c r="V4085" t="s">
        <v>544</v>
      </c>
      <c r="W4085" t="s">
        <v>546</v>
      </c>
      <c r="X4085" s="784">
        <v>26554332750.47023</v>
      </c>
    </row>
    <row r="4086" spans="1:24">
      <c r="A4086" t="s">
        <v>358</v>
      </c>
      <c r="B4086" t="s">
        <v>612</v>
      </c>
      <c r="C4086" t="s">
        <v>217</v>
      </c>
      <c r="D4086" t="s">
        <v>126</v>
      </c>
      <c r="E4086" t="s">
        <v>377</v>
      </c>
      <c r="F4086" t="s">
        <v>312</v>
      </c>
      <c r="G4086" t="s">
        <v>350</v>
      </c>
      <c r="H4086" t="s">
        <v>749</v>
      </c>
      <c r="I4086" t="s">
        <v>743</v>
      </c>
      <c r="J4086" t="s">
        <v>379</v>
      </c>
      <c r="K4086" t="s">
        <v>546</v>
      </c>
      <c r="L4086" s="784">
        <v>93593</v>
      </c>
      <c r="M4086" t="s">
        <v>745</v>
      </c>
      <c r="N4086" s="784" t="s">
        <v>575</v>
      </c>
      <c r="O4086" t="s">
        <v>737</v>
      </c>
      <c r="P4086" t="s">
        <v>1887</v>
      </c>
      <c r="R4086" t="s">
        <v>150</v>
      </c>
      <c r="S4086" t="s">
        <v>145</v>
      </c>
      <c r="U4086">
        <v>0</v>
      </c>
      <c r="V4086" t="s">
        <v>544</v>
      </c>
      <c r="W4086" t="s">
        <v>546</v>
      </c>
      <c r="X4086" s="784">
        <v>14745961064.890842</v>
      </c>
    </row>
    <row r="4087" spans="1:24">
      <c r="A4087" t="s">
        <v>358</v>
      </c>
      <c r="B4087" t="s">
        <v>613</v>
      </c>
      <c r="C4087" t="s">
        <v>149</v>
      </c>
      <c r="D4087" t="s">
        <v>131</v>
      </c>
      <c r="E4087" t="s">
        <v>377</v>
      </c>
      <c r="F4087" t="s">
        <v>312</v>
      </c>
      <c r="G4087" t="s">
        <v>350</v>
      </c>
      <c r="H4087" t="s">
        <v>749</v>
      </c>
      <c r="I4087" t="s">
        <v>743</v>
      </c>
      <c r="J4087" t="s">
        <v>379</v>
      </c>
      <c r="K4087" t="s">
        <v>546</v>
      </c>
      <c r="L4087" s="784">
        <v>0</v>
      </c>
      <c r="M4087" t="s">
        <v>745</v>
      </c>
      <c r="N4087" s="784" t="s">
        <v>575</v>
      </c>
      <c r="O4087" t="s">
        <v>737</v>
      </c>
      <c r="P4087" t="s">
        <v>1887</v>
      </c>
      <c r="R4087" t="s">
        <v>150</v>
      </c>
      <c r="S4087" t="s">
        <v>146</v>
      </c>
      <c r="U4087">
        <v>0</v>
      </c>
      <c r="V4087" t="s">
        <v>544</v>
      </c>
      <c r="W4087" t="s">
        <v>546</v>
      </c>
      <c r="X4087" s="784">
        <v>18194076299.786381</v>
      </c>
    </row>
    <row r="4088" spans="1:24">
      <c r="A4088" t="s">
        <v>358</v>
      </c>
      <c r="B4088" t="s">
        <v>614</v>
      </c>
      <c r="C4088" t="s">
        <v>218</v>
      </c>
      <c r="D4088" t="s">
        <v>131</v>
      </c>
      <c r="E4088" t="s">
        <v>377</v>
      </c>
      <c r="F4088" t="s">
        <v>312</v>
      </c>
      <c r="G4088" t="s">
        <v>350</v>
      </c>
      <c r="H4088" t="s">
        <v>749</v>
      </c>
      <c r="I4088" t="s">
        <v>743</v>
      </c>
      <c r="J4088" t="s">
        <v>379</v>
      </c>
      <c r="K4088" t="s">
        <v>546</v>
      </c>
      <c r="L4088" s="784">
        <v>0</v>
      </c>
      <c r="M4088" t="s">
        <v>745</v>
      </c>
      <c r="N4088" s="784" t="s">
        <v>575</v>
      </c>
      <c r="O4088" t="s">
        <v>737</v>
      </c>
      <c r="P4088" t="s">
        <v>1887</v>
      </c>
      <c r="R4088" t="s">
        <v>152</v>
      </c>
      <c r="S4088" t="s">
        <v>146</v>
      </c>
      <c r="U4088">
        <v>0</v>
      </c>
      <c r="V4088" t="s">
        <v>544</v>
      </c>
      <c r="W4088" t="s">
        <v>546</v>
      </c>
      <c r="X4088" s="784">
        <v>4428819387.769825</v>
      </c>
    </row>
    <row r="4089" spans="1:24">
      <c r="A4089" t="s">
        <v>358</v>
      </c>
      <c r="B4089" t="s">
        <v>615</v>
      </c>
      <c r="C4089" t="s">
        <v>219</v>
      </c>
      <c r="D4089" t="s">
        <v>130</v>
      </c>
      <c r="E4089" t="s">
        <v>377</v>
      </c>
      <c r="F4089" t="s">
        <v>312</v>
      </c>
      <c r="G4089" t="s">
        <v>350</v>
      </c>
      <c r="H4089" t="s">
        <v>749</v>
      </c>
      <c r="I4089" t="s">
        <v>743</v>
      </c>
      <c r="J4089" t="s">
        <v>379</v>
      </c>
      <c r="K4089" t="s">
        <v>546</v>
      </c>
      <c r="L4089" s="784">
        <v>0</v>
      </c>
      <c r="M4089" t="s">
        <v>745</v>
      </c>
      <c r="N4089" s="784" t="s">
        <v>575</v>
      </c>
      <c r="O4089" t="s">
        <v>737</v>
      </c>
      <c r="P4089" t="s">
        <v>1887</v>
      </c>
      <c r="R4089" t="s">
        <v>152</v>
      </c>
      <c r="S4089" t="s">
        <v>146</v>
      </c>
      <c r="U4089">
        <v>0</v>
      </c>
      <c r="V4089" t="s">
        <v>541</v>
      </c>
      <c r="W4089" t="s">
        <v>575</v>
      </c>
      <c r="X4089" s="784">
        <v>611739560.62679195</v>
      </c>
    </row>
    <row r="4090" spans="1:24">
      <c r="A4090" t="s">
        <v>358</v>
      </c>
      <c r="B4090" t="s">
        <v>616</v>
      </c>
      <c r="C4090" t="s">
        <v>220</v>
      </c>
      <c r="D4090" t="s">
        <v>131</v>
      </c>
      <c r="E4090" t="s">
        <v>377</v>
      </c>
      <c r="F4090" t="s">
        <v>312</v>
      </c>
      <c r="G4090" t="s">
        <v>350</v>
      </c>
      <c r="H4090" t="s">
        <v>749</v>
      </c>
      <c r="I4090" t="s">
        <v>743</v>
      </c>
      <c r="J4090" t="s">
        <v>379</v>
      </c>
      <c r="K4090" t="s">
        <v>546</v>
      </c>
      <c r="L4090" s="784">
        <v>0</v>
      </c>
      <c r="M4090" t="s">
        <v>745</v>
      </c>
      <c r="N4090" s="784" t="s">
        <v>575</v>
      </c>
      <c r="O4090" t="s">
        <v>737</v>
      </c>
      <c r="P4090" t="s">
        <v>1887</v>
      </c>
      <c r="R4090" t="s">
        <v>152</v>
      </c>
      <c r="S4090" t="s">
        <v>146</v>
      </c>
      <c r="U4090">
        <v>0</v>
      </c>
      <c r="V4090" t="s">
        <v>544</v>
      </c>
      <c r="W4090" t="s">
        <v>546</v>
      </c>
      <c r="X4090" s="784">
        <v>1617913383.0481031</v>
      </c>
    </row>
    <row r="4091" spans="1:24">
      <c r="A4091" t="s">
        <v>358</v>
      </c>
      <c r="B4091" t="s">
        <v>617</v>
      </c>
      <c r="C4091" t="s">
        <v>221</v>
      </c>
      <c r="D4091" t="s">
        <v>127</v>
      </c>
      <c r="E4091" t="s">
        <v>377</v>
      </c>
      <c r="F4091" t="s">
        <v>312</v>
      </c>
      <c r="G4091" t="s">
        <v>350</v>
      </c>
      <c r="H4091" t="s">
        <v>749</v>
      </c>
      <c r="I4091" t="s">
        <v>743</v>
      </c>
      <c r="J4091" t="s">
        <v>379</v>
      </c>
      <c r="K4091" t="s">
        <v>546</v>
      </c>
      <c r="L4091" s="784">
        <v>0</v>
      </c>
      <c r="M4091" t="s">
        <v>745</v>
      </c>
      <c r="N4091" s="784" t="s">
        <v>575</v>
      </c>
      <c r="O4091" t="s">
        <v>737</v>
      </c>
      <c r="P4091" t="s">
        <v>1887</v>
      </c>
      <c r="R4091" t="s">
        <v>152</v>
      </c>
      <c r="S4091" t="s">
        <v>146</v>
      </c>
      <c r="U4091">
        <v>0</v>
      </c>
      <c r="V4091" t="s">
        <v>544</v>
      </c>
      <c r="W4091" t="s">
        <v>575</v>
      </c>
      <c r="X4091" s="784">
        <v>3074419112.4562683</v>
      </c>
    </row>
    <row r="4092" spans="1:24">
      <c r="A4092" t="s">
        <v>358</v>
      </c>
      <c r="B4092" t="s">
        <v>618</v>
      </c>
      <c r="C4092" t="s">
        <v>222</v>
      </c>
      <c r="D4092" t="s">
        <v>128</v>
      </c>
      <c r="E4092" t="s">
        <v>377</v>
      </c>
      <c r="F4092" t="s">
        <v>312</v>
      </c>
      <c r="G4092" t="s">
        <v>350</v>
      </c>
      <c r="H4092" t="s">
        <v>749</v>
      </c>
      <c r="I4092" t="s">
        <v>743</v>
      </c>
      <c r="J4092" t="s">
        <v>379</v>
      </c>
      <c r="K4092" t="s">
        <v>546</v>
      </c>
      <c r="L4092" s="784">
        <v>2399110</v>
      </c>
      <c r="M4092" t="s">
        <v>745</v>
      </c>
      <c r="N4092" s="784" t="s">
        <v>575</v>
      </c>
      <c r="O4092" t="s">
        <v>737</v>
      </c>
      <c r="P4092" t="s">
        <v>1887</v>
      </c>
      <c r="R4092" t="s">
        <v>150</v>
      </c>
      <c r="S4092" t="s">
        <v>145</v>
      </c>
      <c r="U4092">
        <v>0</v>
      </c>
      <c r="V4092" t="s">
        <v>544</v>
      </c>
      <c r="W4092" t="s">
        <v>542</v>
      </c>
      <c r="X4092" s="784">
        <v>1914014279.8929913</v>
      </c>
    </row>
    <row r="4093" spans="1:24">
      <c r="A4093" t="s">
        <v>358</v>
      </c>
      <c r="B4093" t="s">
        <v>619</v>
      </c>
      <c r="C4093" t="s">
        <v>223</v>
      </c>
      <c r="D4093" t="s">
        <v>126</v>
      </c>
      <c r="E4093" t="s">
        <v>377</v>
      </c>
      <c r="F4093" t="s">
        <v>312</v>
      </c>
      <c r="G4093" t="s">
        <v>350</v>
      </c>
      <c r="H4093" t="s">
        <v>749</v>
      </c>
      <c r="I4093" t="s">
        <v>743</v>
      </c>
      <c r="J4093" t="s">
        <v>379</v>
      </c>
      <c r="K4093" t="s">
        <v>546</v>
      </c>
      <c r="L4093" s="784">
        <v>0</v>
      </c>
      <c r="M4093" t="s">
        <v>745</v>
      </c>
      <c r="N4093" s="784" t="s">
        <v>575</v>
      </c>
      <c r="O4093" t="s">
        <v>737</v>
      </c>
      <c r="P4093" t="s">
        <v>1887</v>
      </c>
      <c r="R4093" t="s">
        <v>150</v>
      </c>
      <c r="S4093" t="s">
        <v>145</v>
      </c>
      <c r="U4093">
        <v>0</v>
      </c>
      <c r="V4093" t="s">
        <v>541</v>
      </c>
      <c r="W4093" t="s">
        <v>542</v>
      </c>
      <c r="X4093" s="784">
        <v>17422005.762907442</v>
      </c>
    </row>
    <row r="4094" spans="1:24">
      <c r="A4094" t="s">
        <v>358</v>
      </c>
      <c r="B4094" t="s">
        <v>620</v>
      </c>
      <c r="C4094" t="s">
        <v>224</v>
      </c>
      <c r="D4094" t="s">
        <v>126</v>
      </c>
      <c r="E4094" t="s">
        <v>377</v>
      </c>
      <c r="F4094" t="s">
        <v>312</v>
      </c>
      <c r="G4094" t="s">
        <v>350</v>
      </c>
      <c r="H4094" t="s">
        <v>749</v>
      </c>
      <c r="I4094" t="s">
        <v>743</v>
      </c>
      <c r="J4094" t="s">
        <v>379</v>
      </c>
      <c r="K4094" t="s">
        <v>546</v>
      </c>
      <c r="L4094" s="784">
        <v>0</v>
      </c>
      <c r="M4094" t="s">
        <v>745</v>
      </c>
      <c r="N4094" s="784" t="s">
        <v>575</v>
      </c>
      <c r="O4094" t="s">
        <v>737</v>
      </c>
      <c r="P4094" t="s">
        <v>1887</v>
      </c>
      <c r="R4094" t="s">
        <v>148</v>
      </c>
      <c r="S4094" t="s">
        <v>145</v>
      </c>
      <c r="U4094">
        <v>0</v>
      </c>
      <c r="V4094" t="s">
        <v>544</v>
      </c>
      <c r="W4094" t="s">
        <v>546</v>
      </c>
      <c r="X4094" s="784" t="s">
        <v>575</v>
      </c>
    </row>
    <row r="4095" spans="1:24">
      <c r="A4095" t="s">
        <v>358</v>
      </c>
      <c r="B4095" t="s">
        <v>621</v>
      </c>
      <c r="C4095" t="s">
        <v>225</v>
      </c>
      <c r="D4095" t="s">
        <v>127</v>
      </c>
      <c r="E4095" t="s">
        <v>377</v>
      </c>
      <c r="F4095" t="s">
        <v>312</v>
      </c>
      <c r="G4095" t="s">
        <v>350</v>
      </c>
      <c r="H4095" t="s">
        <v>749</v>
      </c>
      <c r="I4095" t="s">
        <v>743</v>
      </c>
      <c r="J4095" t="s">
        <v>379</v>
      </c>
      <c r="K4095" t="s">
        <v>546</v>
      </c>
      <c r="L4095" s="784">
        <v>0</v>
      </c>
      <c r="M4095" t="s">
        <v>745</v>
      </c>
      <c r="N4095" s="784" t="s">
        <v>575</v>
      </c>
      <c r="O4095" t="s">
        <v>737</v>
      </c>
      <c r="P4095" t="s">
        <v>1887</v>
      </c>
      <c r="R4095" t="s">
        <v>152</v>
      </c>
      <c r="S4095" t="s">
        <v>145</v>
      </c>
      <c r="U4095">
        <v>0</v>
      </c>
      <c r="V4095" t="s">
        <v>544</v>
      </c>
      <c r="W4095" t="s">
        <v>548</v>
      </c>
      <c r="X4095" s="784" t="s">
        <v>575</v>
      </c>
    </row>
    <row r="4096" spans="1:24">
      <c r="A4096" t="s">
        <v>358</v>
      </c>
      <c r="B4096" t="s">
        <v>622</v>
      </c>
      <c r="C4096" t="s">
        <v>226</v>
      </c>
      <c r="D4096" t="s">
        <v>127</v>
      </c>
      <c r="E4096" t="s">
        <v>377</v>
      </c>
      <c r="F4096" t="s">
        <v>312</v>
      </c>
      <c r="G4096" t="s">
        <v>350</v>
      </c>
      <c r="H4096" t="s">
        <v>749</v>
      </c>
      <c r="I4096" t="s">
        <v>743</v>
      </c>
      <c r="J4096" t="s">
        <v>379</v>
      </c>
      <c r="K4096" t="s">
        <v>546</v>
      </c>
      <c r="L4096" s="784">
        <v>0</v>
      </c>
      <c r="M4096" t="s">
        <v>745</v>
      </c>
      <c r="N4096" s="784" t="s">
        <v>575</v>
      </c>
      <c r="O4096" t="s">
        <v>737</v>
      </c>
      <c r="P4096" t="s">
        <v>1887</v>
      </c>
      <c r="R4096" t="s">
        <v>150</v>
      </c>
      <c r="S4096" t="s">
        <v>145</v>
      </c>
      <c r="U4096">
        <v>2</v>
      </c>
      <c r="V4096" t="s">
        <v>544</v>
      </c>
      <c r="W4096" t="s">
        <v>562</v>
      </c>
      <c r="X4096" s="784">
        <v>231506834.84347546</v>
      </c>
    </row>
    <row r="4097" spans="1:24">
      <c r="A4097" t="s">
        <v>358</v>
      </c>
      <c r="B4097" t="s">
        <v>623</v>
      </c>
      <c r="C4097" t="s">
        <v>227</v>
      </c>
      <c r="D4097" t="s">
        <v>126</v>
      </c>
      <c r="E4097" t="s">
        <v>377</v>
      </c>
      <c r="F4097" t="s">
        <v>312</v>
      </c>
      <c r="G4097" t="s">
        <v>350</v>
      </c>
      <c r="H4097" t="s">
        <v>749</v>
      </c>
      <c r="I4097" t="s">
        <v>743</v>
      </c>
      <c r="J4097" t="s">
        <v>379</v>
      </c>
      <c r="K4097" t="s">
        <v>546</v>
      </c>
      <c r="L4097" s="784">
        <v>0</v>
      </c>
      <c r="M4097" t="s">
        <v>745</v>
      </c>
      <c r="N4097" s="784" t="s">
        <v>575</v>
      </c>
      <c r="O4097" t="s">
        <v>737</v>
      </c>
      <c r="P4097" t="s">
        <v>1887</v>
      </c>
      <c r="R4097" t="s">
        <v>150</v>
      </c>
      <c r="S4097" t="s">
        <v>145</v>
      </c>
      <c r="U4097">
        <v>0</v>
      </c>
      <c r="V4097" t="s">
        <v>544</v>
      </c>
      <c r="W4097" t="s">
        <v>542</v>
      </c>
      <c r="X4097" s="784">
        <v>156059428.62944782</v>
      </c>
    </row>
    <row r="4098" spans="1:24">
      <c r="A4098" t="s">
        <v>358</v>
      </c>
      <c r="B4098" t="s">
        <v>624</v>
      </c>
      <c r="C4098" t="s">
        <v>228</v>
      </c>
      <c r="D4098" t="s">
        <v>131</v>
      </c>
      <c r="E4098" t="s">
        <v>377</v>
      </c>
      <c r="F4098" t="s">
        <v>312</v>
      </c>
      <c r="G4098" t="s">
        <v>350</v>
      </c>
      <c r="H4098" t="s">
        <v>749</v>
      </c>
      <c r="I4098" t="s">
        <v>743</v>
      </c>
      <c r="J4098" t="s">
        <v>379</v>
      </c>
      <c r="K4098" t="s">
        <v>546</v>
      </c>
      <c r="L4098" s="784">
        <v>14058</v>
      </c>
      <c r="M4098" t="s">
        <v>745</v>
      </c>
      <c r="N4098" s="784" t="s">
        <v>575</v>
      </c>
      <c r="O4098" t="s">
        <v>737</v>
      </c>
      <c r="P4098" t="s">
        <v>1887</v>
      </c>
      <c r="R4098" t="s">
        <v>152</v>
      </c>
      <c r="S4098" t="s">
        <v>146</v>
      </c>
      <c r="U4098">
        <v>0</v>
      </c>
      <c r="V4098" t="s">
        <v>544</v>
      </c>
      <c r="W4098" t="s">
        <v>546</v>
      </c>
      <c r="X4098" s="784">
        <v>2355391507.1635861</v>
      </c>
    </row>
    <row r="4099" spans="1:24">
      <c r="A4099" t="s">
        <v>358</v>
      </c>
      <c r="B4099" t="s">
        <v>625</v>
      </c>
      <c r="C4099" t="s">
        <v>229</v>
      </c>
      <c r="D4099" t="s">
        <v>128</v>
      </c>
      <c r="E4099" t="s">
        <v>377</v>
      </c>
      <c r="F4099" t="s">
        <v>312</v>
      </c>
      <c r="G4099" t="s">
        <v>350</v>
      </c>
      <c r="H4099" t="s">
        <v>749</v>
      </c>
      <c r="I4099" t="s">
        <v>743</v>
      </c>
      <c r="J4099" t="s">
        <v>379</v>
      </c>
      <c r="K4099" t="s">
        <v>546</v>
      </c>
      <c r="L4099" s="784">
        <v>0</v>
      </c>
      <c r="M4099" t="s">
        <v>745</v>
      </c>
      <c r="N4099" s="784" t="s">
        <v>575</v>
      </c>
      <c r="O4099" t="s">
        <v>737</v>
      </c>
      <c r="P4099" t="s">
        <v>1887</v>
      </c>
      <c r="R4099" t="s">
        <v>150</v>
      </c>
      <c r="S4099" t="s">
        <v>145</v>
      </c>
      <c r="U4099">
        <v>0</v>
      </c>
      <c r="V4099" t="s">
        <v>544</v>
      </c>
      <c r="W4099" t="s">
        <v>562</v>
      </c>
      <c r="X4099" s="784">
        <v>152760919.7684873</v>
      </c>
    </row>
    <row r="4100" spans="1:24">
      <c r="A4100" t="s">
        <v>358</v>
      </c>
      <c r="B4100" t="s">
        <v>626</v>
      </c>
      <c r="C4100" t="s">
        <v>230</v>
      </c>
      <c r="D4100" t="s">
        <v>129</v>
      </c>
      <c r="E4100" t="s">
        <v>377</v>
      </c>
      <c r="F4100" t="s">
        <v>312</v>
      </c>
      <c r="G4100" t="s">
        <v>350</v>
      </c>
      <c r="H4100" t="s">
        <v>749</v>
      </c>
      <c r="I4100" t="s">
        <v>743</v>
      </c>
      <c r="J4100" t="s">
        <v>379</v>
      </c>
      <c r="K4100" t="s">
        <v>546</v>
      </c>
      <c r="L4100" s="784">
        <v>0</v>
      </c>
      <c r="M4100" t="s">
        <v>745</v>
      </c>
      <c r="N4100" s="784" t="s">
        <v>575</v>
      </c>
      <c r="O4100" t="s">
        <v>737</v>
      </c>
      <c r="P4100" t="s">
        <v>1887</v>
      </c>
      <c r="R4100" t="s">
        <v>148</v>
      </c>
      <c r="S4100" t="s">
        <v>145</v>
      </c>
      <c r="U4100">
        <v>0</v>
      </c>
      <c r="V4100" t="s">
        <v>544</v>
      </c>
      <c r="W4100" t="s">
        <v>542</v>
      </c>
      <c r="X4100" s="784">
        <v>55072006.864440605</v>
      </c>
    </row>
    <row r="4101" spans="1:24">
      <c r="A4101" t="s">
        <v>358</v>
      </c>
      <c r="B4101" t="s">
        <v>627</v>
      </c>
      <c r="C4101" t="s">
        <v>231</v>
      </c>
      <c r="D4101" t="s">
        <v>131</v>
      </c>
      <c r="E4101" t="s">
        <v>377</v>
      </c>
      <c r="F4101" t="s">
        <v>312</v>
      </c>
      <c r="G4101" t="s">
        <v>350</v>
      </c>
      <c r="H4101" t="s">
        <v>749</v>
      </c>
      <c r="I4101" t="s">
        <v>743</v>
      </c>
      <c r="J4101" t="s">
        <v>379</v>
      </c>
      <c r="K4101" t="s">
        <v>546</v>
      </c>
      <c r="L4101" s="784">
        <v>0</v>
      </c>
      <c r="M4101" t="s">
        <v>745</v>
      </c>
      <c r="N4101" s="784" t="s">
        <v>575</v>
      </c>
      <c r="O4101" t="s">
        <v>737</v>
      </c>
      <c r="P4101" t="s">
        <v>1887</v>
      </c>
      <c r="R4101" t="s">
        <v>152</v>
      </c>
      <c r="S4101" t="s">
        <v>146</v>
      </c>
      <c r="U4101">
        <v>0</v>
      </c>
      <c r="V4101" t="s">
        <v>544</v>
      </c>
      <c r="W4101" t="s">
        <v>546</v>
      </c>
      <c r="X4101" s="784" t="s">
        <v>575</v>
      </c>
    </row>
    <row r="4102" spans="1:24">
      <c r="A4102" t="s">
        <v>358</v>
      </c>
      <c r="B4102" t="s">
        <v>628</v>
      </c>
      <c r="C4102" t="s">
        <v>232</v>
      </c>
      <c r="D4102" t="s">
        <v>128</v>
      </c>
      <c r="E4102" t="s">
        <v>377</v>
      </c>
      <c r="F4102" t="s">
        <v>312</v>
      </c>
      <c r="G4102" t="s">
        <v>350</v>
      </c>
      <c r="H4102" t="s">
        <v>749</v>
      </c>
      <c r="I4102" t="s">
        <v>743</v>
      </c>
      <c r="J4102" t="s">
        <v>379</v>
      </c>
      <c r="K4102" t="s">
        <v>546</v>
      </c>
      <c r="L4102" s="784">
        <v>0</v>
      </c>
      <c r="M4102" t="s">
        <v>745</v>
      </c>
      <c r="N4102" s="784" t="s">
        <v>575</v>
      </c>
      <c r="O4102" t="s">
        <v>737</v>
      </c>
      <c r="P4102" t="s">
        <v>1887</v>
      </c>
      <c r="R4102" t="s">
        <v>148</v>
      </c>
      <c r="S4102" t="s">
        <v>145</v>
      </c>
      <c r="U4102">
        <v>2</v>
      </c>
      <c r="V4102" t="s">
        <v>544</v>
      </c>
      <c r="W4102" t="s">
        <v>562</v>
      </c>
      <c r="X4102" s="784">
        <v>206914157.05429548</v>
      </c>
    </row>
    <row r="4103" spans="1:24">
      <c r="A4103" t="s">
        <v>358</v>
      </c>
      <c r="B4103" t="s">
        <v>629</v>
      </c>
      <c r="C4103" t="s">
        <v>233</v>
      </c>
      <c r="D4103" t="s">
        <v>128</v>
      </c>
      <c r="E4103" t="s">
        <v>377</v>
      </c>
      <c r="F4103" t="s">
        <v>312</v>
      </c>
      <c r="G4103" t="s">
        <v>350</v>
      </c>
      <c r="H4103" t="s">
        <v>749</v>
      </c>
      <c r="I4103" t="s">
        <v>743</v>
      </c>
      <c r="J4103" t="s">
        <v>379</v>
      </c>
      <c r="K4103" t="s">
        <v>546</v>
      </c>
      <c r="L4103" s="784">
        <v>665180</v>
      </c>
      <c r="M4103" t="s">
        <v>745</v>
      </c>
      <c r="N4103" s="784" t="s">
        <v>575</v>
      </c>
      <c r="O4103" t="s">
        <v>737</v>
      </c>
      <c r="P4103" t="s">
        <v>1887</v>
      </c>
      <c r="R4103" t="s">
        <v>148</v>
      </c>
      <c r="S4103" t="s">
        <v>145</v>
      </c>
      <c r="U4103">
        <v>2</v>
      </c>
      <c r="V4103" t="s">
        <v>544</v>
      </c>
      <c r="W4103" t="s">
        <v>542</v>
      </c>
      <c r="X4103" s="784">
        <v>185999915.02066413</v>
      </c>
    </row>
    <row r="4104" spans="1:24">
      <c r="A4104" t="s">
        <v>358</v>
      </c>
      <c r="B4104" t="s">
        <v>630</v>
      </c>
      <c r="C4104" t="s">
        <v>234</v>
      </c>
      <c r="D4104" t="s">
        <v>126</v>
      </c>
      <c r="E4104" t="s">
        <v>377</v>
      </c>
      <c r="F4104" t="s">
        <v>312</v>
      </c>
      <c r="G4104" t="s">
        <v>350</v>
      </c>
      <c r="H4104" t="s">
        <v>749</v>
      </c>
      <c r="I4104" t="s">
        <v>743</v>
      </c>
      <c r="J4104" t="s">
        <v>379</v>
      </c>
      <c r="K4104" t="s">
        <v>546</v>
      </c>
      <c r="L4104" s="784">
        <v>272222</v>
      </c>
      <c r="M4104" t="s">
        <v>745</v>
      </c>
      <c r="N4104" s="784" t="s">
        <v>575</v>
      </c>
      <c r="O4104" t="s">
        <v>737</v>
      </c>
      <c r="P4104" t="s">
        <v>1887</v>
      </c>
      <c r="R4104" t="s">
        <v>152</v>
      </c>
      <c r="S4104" t="s">
        <v>146</v>
      </c>
      <c r="U4104">
        <v>0</v>
      </c>
      <c r="V4104" t="s">
        <v>544</v>
      </c>
      <c r="W4104" t="s">
        <v>575</v>
      </c>
      <c r="X4104" s="784">
        <v>6893755763.2501726</v>
      </c>
    </row>
    <row r="4105" spans="1:24">
      <c r="A4105" t="s">
        <v>358</v>
      </c>
      <c r="B4105" t="s">
        <v>631</v>
      </c>
      <c r="C4105" t="s">
        <v>235</v>
      </c>
      <c r="D4105" t="s">
        <v>132</v>
      </c>
      <c r="E4105" t="s">
        <v>377</v>
      </c>
      <c r="F4105" t="s">
        <v>312</v>
      </c>
      <c r="G4105" t="s">
        <v>350</v>
      </c>
      <c r="H4105" t="s">
        <v>749</v>
      </c>
      <c r="I4105" t="s">
        <v>743</v>
      </c>
      <c r="J4105" t="s">
        <v>379</v>
      </c>
      <c r="K4105" t="s">
        <v>546</v>
      </c>
      <c r="L4105" s="784">
        <v>0</v>
      </c>
      <c r="M4105" t="s">
        <v>745</v>
      </c>
      <c r="N4105" s="784" t="s">
        <v>575</v>
      </c>
      <c r="O4105" t="s">
        <v>737</v>
      </c>
      <c r="P4105" t="s">
        <v>1887</v>
      </c>
      <c r="R4105" t="s">
        <v>152</v>
      </c>
      <c r="S4105" t="s">
        <v>145</v>
      </c>
      <c r="U4105">
        <v>0</v>
      </c>
      <c r="V4105" t="s">
        <v>541</v>
      </c>
      <c r="W4105" t="s">
        <v>542</v>
      </c>
      <c r="X4105" s="784">
        <v>354560231.58276606</v>
      </c>
    </row>
    <row r="4106" spans="1:24">
      <c r="A4106" t="s">
        <v>358</v>
      </c>
      <c r="B4106" t="s">
        <v>632</v>
      </c>
      <c r="C4106" t="s">
        <v>236</v>
      </c>
      <c r="D4106" t="s">
        <v>129</v>
      </c>
      <c r="E4106" t="s">
        <v>377</v>
      </c>
      <c r="F4106" t="s">
        <v>312</v>
      </c>
      <c r="G4106" t="s">
        <v>350</v>
      </c>
      <c r="H4106" t="s">
        <v>749</v>
      </c>
      <c r="I4106" t="s">
        <v>743</v>
      </c>
      <c r="J4106" t="s">
        <v>379</v>
      </c>
      <c r="K4106" t="s">
        <v>546</v>
      </c>
      <c r="L4106" s="784">
        <v>0</v>
      </c>
      <c r="M4106" t="s">
        <v>745</v>
      </c>
      <c r="N4106" s="784" t="s">
        <v>575</v>
      </c>
      <c r="O4106" t="s">
        <v>737</v>
      </c>
      <c r="P4106" t="s">
        <v>1887</v>
      </c>
      <c r="R4106" t="s">
        <v>148</v>
      </c>
      <c r="S4106" t="s">
        <v>145</v>
      </c>
      <c r="U4106">
        <v>1</v>
      </c>
      <c r="V4106" t="s">
        <v>544</v>
      </c>
      <c r="W4106" t="s">
        <v>562</v>
      </c>
      <c r="X4106" s="784">
        <v>188169167.56540567</v>
      </c>
    </row>
    <row r="4107" spans="1:24">
      <c r="A4107" t="s">
        <v>358</v>
      </c>
      <c r="B4107" t="s">
        <v>633</v>
      </c>
      <c r="C4107" t="s">
        <v>237</v>
      </c>
      <c r="D4107" t="s">
        <v>126</v>
      </c>
      <c r="E4107" t="s">
        <v>377</v>
      </c>
      <c r="F4107" t="s">
        <v>312</v>
      </c>
      <c r="G4107" t="s">
        <v>350</v>
      </c>
      <c r="H4107" t="s">
        <v>749</v>
      </c>
      <c r="I4107" t="s">
        <v>743</v>
      </c>
      <c r="J4107" t="s">
        <v>379</v>
      </c>
      <c r="K4107" t="s">
        <v>546</v>
      </c>
      <c r="L4107" s="784">
        <v>0</v>
      </c>
      <c r="M4107" t="s">
        <v>745</v>
      </c>
      <c r="N4107" s="784" t="s">
        <v>575</v>
      </c>
      <c r="O4107" t="s">
        <v>737</v>
      </c>
      <c r="P4107" t="s">
        <v>1887</v>
      </c>
      <c r="R4107" t="s">
        <v>152</v>
      </c>
      <c r="S4107" t="s">
        <v>145</v>
      </c>
      <c r="U4107">
        <v>0</v>
      </c>
      <c r="V4107" t="s">
        <v>541</v>
      </c>
      <c r="W4107" t="s">
        <v>575</v>
      </c>
      <c r="X4107" s="784">
        <v>16312106.556340856</v>
      </c>
    </row>
    <row r="4108" spans="1:24">
      <c r="A4108" t="s">
        <v>358</v>
      </c>
      <c r="B4108" t="s">
        <v>634</v>
      </c>
      <c r="C4108" t="s">
        <v>238</v>
      </c>
      <c r="D4108" t="s">
        <v>129</v>
      </c>
      <c r="E4108" t="s">
        <v>377</v>
      </c>
      <c r="F4108" t="s">
        <v>312</v>
      </c>
      <c r="G4108" t="s">
        <v>350</v>
      </c>
      <c r="H4108" t="s">
        <v>749</v>
      </c>
      <c r="I4108" t="s">
        <v>743</v>
      </c>
      <c r="J4108" t="s">
        <v>379</v>
      </c>
      <c r="K4108" t="s">
        <v>546</v>
      </c>
      <c r="L4108" s="784">
        <v>0</v>
      </c>
      <c r="M4108" t="s">
        <v>745</v>
      </c>
      <c r="N4108" s="784" t="s">
        <v>575</v>
      </c>
      <c r="O4108" t="s">
        <v>737</v>
      </c>
      <c r="P4108" t="s">
        <v>1887</v>
      </c>
      <c r="R4108" t="s">
        <v>150</v>
      </c>
      <c r="S4108" t="s">
        <v>145</v>
      </c>
      <c r="U4108">
        <v>2</v>
      </c>
      <c r="V4108" t="s">
        <v>544</v>
      </c>
      <c r="W4108" t="s">
        <v>542</v>
      </c>
      <c r="X4108" s="784">
        <v>86083833.534053758</v>
      </c>
    </row>
    <row r="4109" spans="1:24">
      <c r="A4109" t="s">
        <v>358</v>
      </c>
      <c r="B4109" t="s">
        <v>635</v>
      </c>
      <c r="C4109" t="s">
        <v>239</v>
      </c>
      <c r="D4109" t="s">
        <v>128</v>
      </c>
      <c r="E4109" t="s">
        <v>377</v>
      </c>
      <c r="F4109" t="s">
        <v>312</v>
      </c>
      <c r="G4109" t="s">
        <v>350</v>
      </c>
      <c r="H4109" t="s">
        <v>749</v>
      </c>
      <c r="I4109" t="s">
        <v>743</v>
      </c>
      <c r="J4109" t="s">
        <v>379</v>
      </c>
      <c r="K4109" t="s">
        <v>546</v>
      </c>
      <c r="L4109" s="784">
        <v>0</v>
      </c>
      <c r="M4109" t="s">
        <v>745</v>
      </c>
      <c r="N4109" s="784" t="s">
        <v>575</v>
      </c>
      <c r="O4109" t="s">
        <v>737</v>
      </c>
      <c r="P4109" t="s">
        <v>1887</v>
      </c>
      <c r="R4109" t="s">
        <v>152</v>
      </c>
      <c r="S4109" t="s">
        <v>146</v>
      </c>
      <c r="U4109">
        <v>0</v>
      </c>
      <c r="V4109" t="s">
        <v>541</v>
      </c>
      <c r="W4109" t="s">
        <v>546</v>
      </c>
      <c r="X4109" s="784">
        <v>357220835.93762809</v>
      </c>
    </row>
    <row r="4110" spans="1:24">
      <c r="A4110" t="s">
        <v>358</v>
      </c>
      <c r="B4110" t="s">
        <v>636</v>
      </c>
      <c r="C4110" t="s">
        <v>240</v>
      </c>
      <c r="D4110" t="s">
        <v>130</v>
      </c>
      <c r="E4110" t="s">
        <v>377</v>
      </c>
      <c r="F4110" t="s">
        <v>312</v>
      </c>
      <c r="G4110" t="s">
        <v>350</v>
      </c>
      <c r="H4110" t="s">
        <v>749</v>
      </c>
      <c r="I4110" t="s">
        <v>743</v>
      </c>
      <c r="J4110" t="s">
        <v>379</v>
      </c>
      <c r="K4110" t="s">
        <v>546</v>
      </c>
      <c r="L4110" s="784">
        <v>0</v>
      </c>
      <c r="M4110" t="s">
        <v>745</v>
      </c>
      <c r="N4110" s="784" t="s">
        <v>575</v>
      </c>
      <c r="O4110" t="s">
        <v>737</v>
      </c>
      <c r="P4110" t="s">
        <v>1887</v>
      </c>
      <c r="R4110" t="s">
        <v>152</v>
      </c>
      <c r="S4110" t="s">
        <v>146</v>
      </c>
      <c r="U4110">
        <v>0</v>
      </c>
      <c r="V4110" t="s">
        <v>544</v>
      </c>
      <c r="W4110" t="s">
        <v>575</v>
      </c>
      <c r="X4110" s="784">
        <v>32831598153.796387</v>
      </c>
    </row>
    <row r="4111" spans="1:24">
      <c r="A4111" t="s">
        <v>358</v>
      </c>
      <c r="B4111" t="s">
        <v>637</v>
      </c>
      <c r="C4111" t="s">
        <v>241</v>
      </c>
      <c r="D4111" t="s">
        <v>126</v>
      </c>
      <c r="E4111" t="s">
        <v>377</v>
      </c>
      <c r="F4111" t="s">
        <v>312</v>
      </c>
      <c r="G4111" t="s">
        <v>350</v>
      </c>
      <c r="H4111" t="s">
        <v>749</v>
      </c>
      <c r="I4111" t="s">
        <v>743</v>
      </c>
      <c r="J4111" t="s">
        <v>379</v>
      </c>
      <c r="K4111" t="s">
        <v>546</v>
      </c>
      <c r="L4111" s="784">
        <v>0</v>
      </c>
      <c r="M4111" t="s">
        <v>745</v>
      </c>
      <c r="N4111" s="784" t="s">
        <v>575</v>
      </c>
      <c r="O4111" t="s">
        <v>737</v>
      </c>
      <c r="P4111" t="s">
        <v>1887</v>
      </c>
      <c r="R4111" t="s">
        <v>150</v>
      </c>
      <c r="S4111" t="s">
        <v>145</v>
      </c>
      <c r="U4111">
        <v>0</v>
      </c>
      <c r="V4111" t="s">
        <v>541</v>
      </c>
      <c r="W4111" t="s">
        <v>542</v>
      </c>
      <c r="X4111" s="784">
        <v>12329056.093798399</v>
      </c>
    </row>
    <row r="4112" spans="1:24">
      <c r="A4112" t="s">
        <v>358</v>
      </c>
      <c r="B4112" t="s">
        <v>638</v>
      </c>
      <c r="C4112" t="s">
        <v>242</v>
      </c>
      <c r="D4112" t="s">
        <v>127</v>
      </c>
      <c r="E4112" t="s">
        <v>377</v>
      </c>
      <c r="F4112" t="s">
        <v>312</v>
      </c>
      <c r="G4112" t="s">
        <v>350</v>
      </c>
      <c r="H4112" t="s">
        <v>749</v>
      </c>
      <c r="I4112" t="s">
        <v>743</v>
      </c>
      <c r="J4112" t="s">
        <v>379</v>
      </c>
      <c r="K4112" t="s">
        <v>546</v>
      </c>
      <c r="L4112" s="784">
        <v>0</v>
      </c>
      <c r="M4112" t="s">
        <v>745</v>
      </c>
      <c r="N4112" s="784" t="s">
        <v>575</v>
      </c>
      <c r="O4112" t="s">
        <v>737</v>
      </c>
      <c r="P4112" t="s">
        <v>1887</v>
      </c>
      <c r="R4112" t="s">
        <v>152</v>
      </c>
      <c r="S4112" t="s">
        <v>145</v>
      </c>
      <c r="U4112">
        <v>0</v>
      </c>
      <c r="V4112" t="s">
        <v>544</v>
      </c>
      <c r="W4112" t="s">
        <v>558</v>
      </c>
      <c r="X4112" s="784">
        <v>426639742.85328001</v>
      </c>
    </row>
    <row r="4113" spans="1:24">
      <c r="A4113" t="s">
        <v>358</v>
      </c>
      <c r="B4113" t="s">
        <v>639</v>
      </c>
      <c r="C4113" t="s">
        <v>243</v>
      </c>
      <c r="D4113" t="s">
        <v>126</v>
      </c>
      <c r="E4113" t="s">
        <v>377</v>
      </c>
      <c r="F4113" t="s">
        <v>312</v>
      </c>
      <c r="G4113" t="s">
        <v>350</v>
      </c>
      <c r="H4113" t="s">
        <v>749</v>
      </c>
      <c r="I4113" t="s">
        <v>743</v>
      </c>
      <c r="J4113" t="s">
        <v>379</v>
      </c>
      <c r="K4113" t="s">
        <v>546</v>
      </c>
      <c r="L4113" s="784">
        <v>0</v>
      </c>
      <c r="M4113" t="s">
        <v>745</v>
      </c>
      <c r="N4113" s="784" t="s">
        <v>575</v>
      </c>
      <c r="O4113" t="s">
        <v>737</v>
      </c>
      <c r="P4113" t="s">
        <v>1887</v>
      </c>
      <c r="R4113" t="s">
        <v>150</v>
      </c>
      <c r="S4113" t="s">
        <v>145</v>
      </c>
      <c r="U4113">
        <v>0</v>
      </c>
      <c r="V4113" t="s">
        <v>544</v>
      </c>
      <c r="W4113" t="s">
        <v>548</v>
      </c>
      <c r="X4113" s="784">
        <v>288519671.85870522</v>
      </c>
    </row>
    <row r="4114" spans="1:24">
      <c r="A4114" t="s">
        <v>358</v>
      </c>
      <c r="B4114" t="s">
        <v>640</v>
      </c>
      <c r="C4114" t="s">
        <v>244</v>
      </c>
      <c r="D4114" t="s">
        <v>127</v>
      </c>
      <c r="E4114" t="s">
        <v>377</v>
      </c>
      <c r="F4114" t="s">
        <v>312</v>
      </c>
      <c r="G4114" t="s">
        <v>350</v>
      </c>
      <c r="H4114" t="s">
        <v>749</v>
      </c>
      <c r="I4114" t="s">
        <v>743</v>
      </c>
      <c r="J4114" t="s">
        <v>379</v>
      </c>
      <c r="K4114" t="s">
        <v>546</v>
      </c>
      <c r="L4114" s="784">
        <v>0</v>
      </c>
      <c r="M4114" t="s">
        <v>745</v>
      </c>
      <c r="N4114" s="784" t="s">
        <v>575</v>
      </c>
      <c r="O4114" t="s">
        <v>737</v>
      </c>
      <c r="P4114" t="s">
        <v>1887</v>
      </c>
      <c r="R4114" t="s">
        <v>152</v>
      </c>
      <c r="S4114" t="s">
        <v>146</v>
      </c>
      <c r="U4114">
        <v>0</v>
      </c>
      <c r="V4114" t="s">
        <v>544</v>
      </c>
      <c r="W4114" t="s">
        <v>546</v>
      </c>
      <c r="X4114" s="784">
        <v>275606560.78491527</v>
      </c>
    </row>
    <row r="4115" spans="1:24">
      <c r="A4115" t="s">
        <v>358</v>
      </c>
      <c r="B4115" t="s">
        <v>641</v>
      </c>
      <c r="C4115" t="s">
        <v>245</v>
      </c>
      <c r="D4115" t="s">
        <v>131</v>
      </c>
      <c r="E4115" t="s">
        <v>377</v>
      </c>
      <c r="F4115" t="s">
        <v>312</v>
      </c>
      <c r="G4115" t="s">
        <v>350</v>
      </c>
      <c r="H4115" t="s">
        <v>749</v>
      </c>
      <c r="I4115" t="s">
        <v>743</v>
      </c>
      <c r="J4115" t="s">
        <v>379</v>
      </c>
      <c r="K4115" t="s">
        <v>546</v>
      </c>
      <c r="L4115" s="784">
        <v>0</v>
      </c>
      <c r="M4115" t="s">
        <v>745</v>
      </c>
      <c r="N4115" s="784" t="s">
        <v>575</v>
      </c>
      <c r="O4115" t="s">
        <v>737</v>
      </c>
      <c r="P4115" t="s">
        <v>1887</v>
      </c>
      <c r="R4115" t="s">
        <v>150</v>
      </c>
      <c r="S4115" t="s">
        <v>145</v>
      </c>
      <c r="U4115">
        <v>0</v>
      </c>
      <c r="V4115" t="s">
        <v>544</v>
      </c>
      <c r="W4115" t="s">
        <v>546</v>
      </c>
      <c r="X4115" s="784">
        <v>2530937679.3725696</v>
      </c>
    </row>
    <row r="4116" spans="1:24">
      <c r="A4116" t="s">
        <v>358</v>
      </c>
      <c r="B4116" t="s">
        <v>642</v>
      </c>
      <c r="C4116" t="s">
        <v>246</v>
      </c>
      <c r="D4116" t="s">
        <v>128</v>
      </c>
      <c r="E4116" t="s">
        <v>377</v>
      </c>
      <c r="F4116" t="s">
        <v>312</v>
      </c>
      <c r="G4116" t="s">
        <v>350</v>
      </c>
      <c r="H4116" t="s">
        <v>749</v>
      </c>
      <c r="I4116" t="s">
        <v>743</v>
      </c>
      <c r="J4116" t="s">
        <v>379</v>
      </c>
      <c r="K4116" t="s">
        <v>546</v>
      </c>
      <c r="L4116" s="784">
        <v>0</v>
      </c>
      <c r="M4116" t="s">
        <v>745</v>
      </c>
      <c r="N4116" s="784" t="s">
        <v>575</v>
      </c>
      <c r="O4116" t="s">
        <v>737</v>
      </c>
      <c r="P4116" t="s">
        <v>1887</v>
      </c>
      <c r="R4116" t="s">
        <v>148</v>
      </c>
      <c r="S4116" t="s">
        <v>145</v>
      </c>
      <c r="U4116">
        <v>0</v>
      </c>
      <c r="V4116" t="s">
        <v>544</v>
      </c>
      <c r="W4116" t="s">
        <v>583</v>
      </c>
      <c r="X4116" s="784">
        <v>251432156.86255455</v>
      </c>
    </row>
    <row r="4117" spans="1:24">
      <c r="A4117" t="s">
        <v>358</v>
      </c>
      <c r="B4117" t="s">
        <v>643</v>
      </c>
      <c r="C4117" t="s">
        <v>247</v>
      </c>
      <c r="D4117" t="s">
        <v>126</v>
      </c>
      <c r="E4117" t="s">
        <v>377</v>
      </c>
      <c r="F4117" t="s">
        <v>312</v>
      </c>
      <c r="G4117" t="s">
        <v>350</v>
      </c>
      <c r="H4117" t="s">
        <v>749</v>
      </c>
      <c r="I4117" t="s">
        <v>743</v>
      </c>
      <c r="J4117" t="s">
        <v>379</v>
      </c>
      <c r="K4117" t="s">
        <v>546</v>
      </c>
      <c r="L4117" s="784">
        <v>0</v>
      </c>
      <c r="M4117" t="s">
        <v>745</v>
      </c>
      <c r="N4117" s="784" t="s">
        <v>575</v>
      </c>
      <c r="O4117" t="s">
        <v>737</v>
      </c>
      <c r="P4117" t="s">
        <v>1887</v>
      </c>
      <c r="R4117" t="s">
        <v>150</v>
      </c>
      <c r="S4117" t="s">
        <v>145</v>
      </c>
      <c r="U4117">
        <v>0</v>
      </c>
      <c r="V4117" t="s">
        <v>544</v>
      </c>
      <c r="W4117" t="s">
        <v>558</v>
      </c>
      <c r="X4117" s="784">
        <v>471534500.60109437</v>
      </c>
    </row>
    <row r="4118" spans="1:24">
      <c r="A4118" t="s">
        <v>358</v>
      </c>
      <c r="B4118" t="s">
        <v>644</v>
      </c>
      <c r="C4118" t="s">
        <v>248</v>
      </c>
      <c r="D4118" t="s">
        <v>128</v>
      </c>
      <c r="E4118" t="s">
        <v>377</v>
      </c>
      <c r="F4118" t="s">
        <v>312</v>
      </c>
      <c r="G4118" t="s">
        <v>350</v>
      </c>
      <c r="H4118" t="s">
        <v>749</v>
      </c>
      <c r="I4118" t="s">
        <v>743</v>
      </c>
      <c r="J4118" t="s">
        <v>379</v>
      </c>
      <c r="K4118" t="s">
        <v>546</v>
      </c>
      <c r="L4118" s="784">
        <v>0</v>
      </c>
      <c r="M4118" t="s">
        <v>745</v>
      </c>
      <c r="N4118" s="784" t="s">
        <v>575</v>
      </c>
      <c r="O4118" t="s">
        <v>737</v>
      </c>
      <c r="P4118" t="s">
        <v>1887</v>
      </c>
      <c r="R4118" t="s">
        <v>152</v>
      </c>
      <c r="S4118" t="s">
        <v>146</v>
      </c>
      <c r="U4118">
        <v>0</v>
      </c>
      <c r="V4118" t="s">
        <v>544</v>
      </c>
      <c r="W4118" t="s">
        <v>575</v>
      </c>
      <c r="X4118" s="784">
        <v>531677611.80447447</v>
      </c>
    </row>
    <row r="4119" spans="1:24">
      <c r="A4119" t="s">
        <v>358</v>
      </c>
      <c r="B4119" t="s">
        <v>645</v>
      </c>
      <c r="C4119" t="s">
        <v>249</v>
      </c>
      <c r="D4119" t="s">
        <v>126</v>
      </c>
      <c r="E4119" t="s">
        <v>377</v>
      </c>
      <c r="F4119" t="s">
        <v>312</v>
      </c>
      <c r="G4119" t="s">
        <v>350</v>
      </c>
      <c r="H4119" t="s">
        <v>749</v>
      </c>
      <c r="I4119" t="s">
        <v>743</v>
      </c>
      <c r="J4119" t="s">
        <v>379</v>
      </c>
      <c r="K4119" t="s">
        <v>546</v>
      </c>
      <c r="L4119" s="784">
        <v>0</v>
      </c>
      <c r="M4119" t="s">
        <v>745</v>
      </c>
      <c r="N4119" s="784" t="s">
        <v>575</v>
      </c>
      <c r="O4119" t="s">
        <v>737</v>
      </c>
      <c r="P4119" t="s">
        <v>1887</v>
      </c>
      <c r="R4119" t="s">
        <v>550</v>
      </c>
      <c r="S4119" t="s">
        <v>146</v>
      </c>
      <c r="U4119">
        <v>0</v>
      </c>
      <c r="V4119" t="s">
        <v>541</v>
      </c>
      <c r="W4119" t="s">
        <v>575</v>
      </c>
      <c r="X4119" s="784">
        <v>8528751.6418357007</v>
      </c>
    </row>
    <row r="4120" spans="1:24">
      <c r="A4120" t="s">
        <v>358</v>
      </c>
      <c r="B4120" t="s">
        <v>646</v>
      </c>
      <c r="C4120" t="s">
        <v>250</v>
      </c>
      <c r="D4120" t="s">
        <v>132</v>
      </c>
      <c r="E4120" t="s">
        <v>377</v>
      </c>
      <c r="F4120" t="s">
        <v>312</v>
      </c>
      <c r="G4120" t="s">
        <v>350</v>
      </c>
      <c r="H4120" t="s">
        <v>749</v>
      </c>
      <c r="I4120" t="s">
        <v>743</v>
      </c>
      <c r="J4120" t="s">
        <v>379</v>
      </c>
      <c r="K4120" t="s">
        <v>546</v>
      </c>
      <c r="L4120" s="784">
        <v>97920</v>
      </c>
      <c r="M4120" t="s">
        <v>745</v>
      </c>
      <c r="N4120" s="784" t="s">
        <v>575</v>
      </c>
      <c r="O4120" t="s">
        <v>737</v>
      </c>
      <c r="P4120" t="s">
        <v>1887</v>
      </c>
      <c r="R4120" t="s">
        <v>150</v>
      </c>
      <c r="S4120" t="s">
        <v>145</v>
      </c>
      <c r="U4120">
        <v>0</v>
      </c>
      <c r="V4120" t="s">
        <v>544</v>
      </c>
      <c r="W4120" t="s">
        <v>558</v>
      </c>
      <c r="X4120" s="784">
        <v>407084543.19089872</v>
      </c>
    </row>
    <row r="4121" spans="1:24">
      <c r="A4121" t="s">
        <v>358</v>
      </c>
      <c r="B4121" t="s">
        <v>647</v>
      </c>
      <c r="C4121" t="s">
        <v>251</v>
      </c>
      <c r="D4121" t="s">
        <v>130</v>
      </c>
      <c r="E4121" t="s">
        <v>377</v>
      </c>
      <c r="F4121" t="s">
        <v>312</v>
      </c>
      <c r="G4121" t="s">
        <v>350</v>
      </c>
      <c r="H4121" t="s">
        <v>749</v>
      </c>
      <c r="I4121" t="s">
        <v>743</v>
      </c>
      <c r="J4121" t="s">
        <v>379</v>
      </c>
      <c r="K4121" t="s">
        <v>546</v>
      </c>
      <c r="L4121" s="784">
        <v>0</v>
      </c>
      <c r="M4121" t="s">
        <v>745</v>
      </c>
      <c r="N4121" s="784" t="s">
        <v>575</v>
      </c>
      <c r="O4121" t="s">
        <v>737</v>
      </c>
      <c r="P4121" t="s">
        <v>1887</v>
      </c>
      <c r="R4121" t="s">
        <v>150</v>
      </c>
      <c r="S4121" t="s">
        <v>145</v>
      </c>
      <c r="U4121">
        <v>0</v>
      </c>
      <c r="V4121" t="s">
        <v>544</v>
      </c>
      <c r="W4121" t="s">
        <v>562</v>
      </c>
      <c r="X4121" s="784">
        <v>671998341.93592453</v>
      </c>
    </row>
    <row r="4122" spans="1:24">
      <c r="A4122" t="s">
        <v>358</v>
      </c>
      <c r="B4122" t="s">
        <v>648</v>
      </c>
      <c r="C4122" t="s">
        <v>252</v>
      </c>
      <c r="D4122" t="s">
        <v>129</v>
      </c>
      <c r="E4122" t="s">
        <v>377</v>
      </c>
      <c r="F4122" t="s">
        <v>312</v>
      </c>
      <c r="G4122" t="s">
        <v>350</v>
      </c>
      <c r="H4122" t="s">
        <v>749</v>
      </c>
      <c r="I4122" t="s">
        <v>743</v>
      </c>
      <c r="J4122" t="s">
        <v>379</v>
      </c>
      <c r="K4122" t="s">
        <v>546</v>
      </c>
      <c r="L4122" s="784">
        <v>0</v>
      </c>
      <c r="M4122" t="s">
        <v>745</v>
      </c>
      <c r="N4122" s="784" t="s">
        <v>575</v>
      </c>
      <c r="O4122" t="s">
        <v>737</v>
      </c>
      <c r="P4122" t="s">
        <v>1887</v>
      </c>
      <c r="R4122" t="s">
        <v>148</v>
      </c>
      <c r="S4122" t="s">
        <v>145</v>
      </c>
      <c r="U4122">
        <v>1</v>
      </c>
      <c r="V4122" t="s">
        <v>544</v>
      </c>
      <c r="W4122" t="s">
        <v>562</v>
      </c>
      <c r="X4122" s="784">
        <v>226203289.67158964</v>
      </c>
    </row>
    <row r="4123" spans="1:24">
      <c r="A4123" t="s">
        <v>358</v>
      </c>
      <c r="B4123" t="s">
        <v>649</v>
      </c>
      <c r="C4123" t="s">
        <v>253</v>
      </c>
      <c r="D4123" t="s">
        <v>129</v>
      </c>
      <c r="E4123" t="s">
        <v>377</v>
      </c>
      <c r="F4123" t="s">
        <v>312</v>
      </c>
      <c r="G4123" t="s">
        <v>350</v>
      </c>
      <c r="H4123" t="s">
        <v>749</v>
      </c>
      <c r="I4123" t="s">
        <v>743</v>
      </c>
      <c r="J4123" t="s">
        <v>379</v>
      </c>
      <c r="K4123" t="s">
        <v>546</v>
      </c>
      <c r="L4123" s="784">
        <v>42296</v>
      </c>
      <c r="M4123" t="s">
        <v>745</v>
      </c>
      <c r="N4123" s="784" t="s">
        <v>575</v>
      </c>
      <c r="O4123" t="s">
        <v>737</v>
      </c>
      <c r="P4123" t="s">
        <v>1887</v>
      </c>
      <c r="R4123" t="s">
        <v>150</v>
      </c>
      <c r="S4123" t="s">
        <v>145</v>
      </c>
      <c r="U4123">
        <v>3</v>
      </c>
      <c r="V4123" t="s">
        <v>544</v>
      </c>
      <c r="W4123" t="s">
        <v>548</v>
      </c>
      <c r="X4123" s="784">
        <v>2438881113.1244688</v>
      </c>
    </row>
    <row r="4124" spans="1:24">
      <c r="A4124" t="s">
        <v>358</v>
      </c>
      <c r="B4124" t="s">
        <v>650</v>
      </c>
      <c r="C4124" t="s">
        <v>254</v>
      </c>
      <c r="D4124" t="s">
        <v>127</v>
      </c>
      <c r="E4124" t="s">
        <v>377</v>
      </c>
      <c r="F4124" t="s">
        <v>312</v>
      </c>
      <c r="G4124" t="s">
        <v>350</v>
      </c>
      <c r="H4124" t="s">
        <v>749</v>
      </c>
      <c r="I4124" t="s">
        <v>743</v>
      </c>
      <c r="J4124" t="s">
        <v>379</v>
      </c>
      <c r="K4124" t="s">
        <v>546</v>
      </c>
      <c r="L4124" s="784">
        <v>0</v>
      </c>
      <c r="M4124" t="s">
        <v>745</v>
      </c>
      <c r="N4124" s="784" t="s">
        <v>575</v>
      </c>
      <c r="O4124" t="s">
        <v>737</v>
      </c>
      <c r="P4124" t="s">
        <v>1887</v>
      </c>
      <c r="R4124" t="s">
        <v>152</v>
      </c>
      <c r="S4124" t="s">
        <v>146</v>
      </c>
      <c r="U4124">
        <v>0</v>
      </c>
      <c r="V4124" t="s">
        <v>544</v>
      </c>
      <c r="W4124" t="s">
        <v>575</v>
      </c>
      <c r="X4124" s="784">
        <v>476517795.73174149</v>
      </c>
    </row>
    <row r="4125" spans="1:24">
      <c r="A4125" t="s">
        <v>358</v>
      </c>
      <c r="B4125" t="s">
        <v>651</v>
      </c>
      <c r="C4125" t="s">
        <v>255</v>
      </c>
      <c r="D4125" t="s">
        <v>132</v>
      </c>
      <c r="E4125" t="s">
        <v>377</v>
      </c>
      <c r="F4125" t="s">
        <v>312</v>
      </c>
      <c r="G4125" t="s">
        <v>350</v>
      </c>
      <c r="H4125" t="s">
        <v>749</v>
      </c>
      <c r="I4125" t="s">
        <v>743</v>
      </c>
      <c r="J4125" t="s">
        <v>379</v>
      </c>
      <c r="K4125" t="s">
        <v>546</v>
      </c>
      <c r="L4125" s="784">
        <v>150000</v>
      </c>
      <c r="M4125" t="s">
        <v>745</v>
      </c>
      <c r="N4125" s="784" t="s">
        <v>575</v>
      </c>
      <c r="O4125" t="s">
        <v>737</v>
      </c>
      <c r="P4125" t="s">
        <v>1887</v>
      </c>
      <c r="R4125" t="s">
        <v>150</v>
      </c>
      <c r="S4125" t="s">
        <v>145</v>
      </c>
      <c r="U4125">
        <v>0</v>
      </c>
      <c r="V4125" t="s">
        <v>544</v>
      </c>
      <c r="W4125" t="s">
        <v>548</v>
      </c>
      <c r="X4125" s="784">
        <v>3233351297.7679496</v>
      </c>
    </row>
    <row r="4126" spans="1:24">
      <c r="A4126" t="s">
        <v>358</v>
      </c>
      <c r="B4126" t="s">
        <v>652</v>
      </c>
      <c r="C4126" t="s">
        <v>256</v>
      </c>
      <c r="D4126" t="s">
        <v>130</v>
      </c>
      <c r="E4126" t="s">
        <v>377</v>
      </c>
      <c r="F4126" t="s">
        <v>312</v>
      </c>
      <c r="G4126" t="s">
        <v>350</v>
      </c>
      <c r="H4126" t="s">
        <v>749</v>
      </c>
      <c r="I4126" t="s">
        <v>743</v>
      </c>
      <c r="J4126" t="s">
        <v>379</v>
      </c>
      <c r="K4126" t="s">
        <v>546</v>
      </c>
      <c r="L4126" s="784">
        <v>0</v>
      </c>
      <c r="M4126" t="s">
        <v>745</v>
      </c>
      <c r="N4126" s="784" t="s">
        <v>575</v>
      </c>
      <c r="O4126" t="s">
        <v>737</v>
      </c>
      <c r="P4126" t="s">
        <v>1887</v>
      </c>
      <c r="R4126" t="s">
        <v>550</v>
      </c>
      <c r="S4126" t="s">
        <v>146</v>
      </c>
      <c r="U4126">
        <v>0</v>
      </c>
      <c r="V4126" t="s">
        <v>541</v>
      </c>
      <c r="W4126" t="s">
        <v>575</v>
      </c>
      <c r="X4126" s="784">
        <v>18180646.808608256</v>
      </c>
    </row>
    <row r="4127" spans="1:24">
      <c r="A4127" t="s">
        <v>358</v>
      </c>
      <c r="B4127" t="s">
        <v>653</v>
      </c>
      <c r="C4127" t="s">
        <v>257</v>
      </c>
      <c r="D4127" t="s">
        <v>130</v>
      </c>
      <c r="E4127" t="s">
        <v>377</v>
      </c>
      <c r="F4127" t="s">
        <v>312</v>
      </c>
      <c r="G4127" t="s">
        <v>350</v>
      </c>
      <c r="H4127" t="s">
        <v>749</v>
      </c>
      <c r="I4127" t="s">
        <v>743</v>
      </c>
      <c r="J4127" t="s">
        <v>379</v>
      </c>
      <c r="K4127" t="s">
        <v>546</v>
      </c>
      <c r="L4127" s="784">
        <v>0</v>
      </c>
      <c r="M4127" t="s">
        <v>745</v>
      </c>
      <c r="N4127" s="784" t="s">
        <v>575</v>
      </c>
      <c r="O4127" t="s">
        <v>737</v>
      </c>
      <c r="P4127" t="s">
        <v>1887</v>
      </c>
      <c r="R4127" t="s">
        <v>152</v>
      </c>
      <c r="S4127" t="s">
        <v>146</v>
      </c>
      <c r="U4127">
        <v>0</v>
      </c>
      <c r="V4127" t="s">
        <v>544</v>
      </c>
      <c r="W4127" t="s">
        <v>546</v>
      </c>
      <c r="X4127" s="784">
        <v>3020530707.3485303</v>
      </c>
    </row>
    <row r="4128" spans="1:24">
      <c r="A4128" t="s">
        <v>358</v>
      </c>
      <c r="B4128" t="s">
        <v>654</v>
      </c>
      <c r="C4128" t="s">
        <v>258</v>
      </c>
      <c r="D4128" t="s">
        <v>126</v>
      </c>
      <c r="E4128" t="s">
        <v>377</v>
      </c>
      <c r="F4128" t="s">
        <v>312</v>
      </c>
      <c r="G4128" t="s">
        <v>350</v>
      </c>
      <c r="H4128" t="s">
        <v>749</v>
      </c>
      <c r="I4128" t="s">
        <v>743</v>
      </c>
      <c r="J4128" t="s">
        <v>379</v>
      </c>
      <c r="K4128" t="s">
        <v>546</v>
      </c>
      <c r="L4128" s="784">
        <v>5067038</v>
      </c>
      <c r="M4128" t="s">
        <v>745</v>
      </c>
      <c r="N4128" s="784" t="s">
        <v>575</v>
      </c>
      <c r="O4128" t="s">
        <v>737</v>
      </c>
      <c r="P4128" t="s">
        <v>1887</v>
      </c>
      <c r="R4128" t="s">
        <v>150</v>
      </c>
      <c r="S4128" t="s">
        <v>145</v>
      </c>
      <c r="U4128">
        <v>1</v>
      </c>
      <c r="V4128" t="s">
        <v>541</v>
      </c>
      <c r="W4128" t="s">
        <v>542</v>
      </c>
      <c r="X4128" s="784">
        <v>384406316.46074712</v>
      </c>
    </row>
    <row r="4129" spans="1:24">
      <c r="A4129" t="s">
        <v>358</v>
      </c>
      <c r="B4129" t="s">
        <v>655</v>
      </c>
      <c r="C4129" t="s">
        <v>259</v>
      </c>
      <c r="D4129" t="s">
        <v>130</v>
      </c>
      <c r="E4129" t="s">
        <v>377</v>
      </c>
      <c r="F4129" t="s">
        <v>312</v>
      </c>
      <c r="G4129" t="s">
        <v>350</v>
      </c>
      <c r="H4129" t="s">
        <v>749</v>
      </c>
      <c r="I4129" t="s">
        <v>743</v>
      </c>
      <c r="J4129" t="s">
        <v>379</v>
      </c>
      <c r="K4129" t="s">
        <v>546</v>
      </c>
      <c r="L4129" s="784">
        <v>0</v>
      </c>
      <c r="M4129" t="s">
        <v>745</v>
      </c>
      <c r="N4129" s="784" t="s">
        <v>575</v>
      </c>
      <c r="O4129" t="s">
        <v>737</v>
      </c>
      <c r="P4129" t="s">
        <v>1887</v>
      </c>
      <c r="R4129" t="s">
        <v>152</v>
      </c>
      <c r="S4129" t="s">
        <v>146</v>
      </c>
      <c r="U4129">
        <v>0</v>
      </c>
      <c r="V4129" t="s">
        <v>544</v>
      </c>
      <c r="W4129" t="s">
        <v>575</v>
      </c>
      <c r="X4129" s="784">
        <v>1218747108.9554784</v>
      </c>
    </row>
    <row r="4130" spans="1:24">
      <c r="A4130" t="s">
        <v>358</v>
      </c>
      <c r="B4130" t="s">
        <v>656</v>
      </c>
      <c r="C4130" t="s">
        <v>260</v>
      </c>
      <c r="D4130" t="s">
        <v>130</v>
      </c>
      <c r="E4130" t="s">
        <v>377</v>
      </c>
      <c r="F4130" t="s">
        <v>312</v>
      </c>
      <c r="G4130" t="s">
        <v>350</v>
      </c>
      <c r="H4130" t="s">
        <v>749</v>
      </c>
      <c r="I4130" t="s">
        <v>743</v>
      </c>
      <c r="J4130" t="s">
        <v>379</v>
      </c>
      <c r="K4130" t="s">
        <v>546</v>
      </c>
      <c r="L4130" s="784">
        <v>425647</v>
      </c>
      <c r="M4130" t="s">
        <v>745</v>
      </c>
      <c r="N4130" s="784" t="s">
        <v>575</v>
      </c>
      <c r="O4130" t="s">
        <v>737</v>
      </c>
      <c r="P4130" t="s">
        <v>1887</v>
      </c>
      <c r="R4130" t="s">
        <v>152</v>
      </c>
      <c r="S4130" t="s">
        <v>146</v>
      </c>
      <c r="U4130">
        <v>0</v>
      </c>
      <c r="V4130" t="s">
        <v>544</v>
      </c>
      <c r="W4130" t="s">
        <v>575</v>
      </c>
      <c r="X4130" s="784">
        <v>7392665952.5895758</v>
      </c>
    </row>
    <row r="4131" spans="1:24">
      <c r="A4131" t="s">
        <v>358</v>
      </c>
      <c r="B4131" t="s">
        <v>657</v>
      </c>
      <c r="C4131" t="s">
        <v>261</v>
      </c>
      <c r="D4131" t="s">
        <v>126</v>
      </c>
      <c r="E4131" t="s">
        <v>377</v>
      </c>
      <c r="F4131" t="s">
        <v>312</v>
      </c>
      <c r="G4131" t="s">
        <v>350</v>
      </c>
      <c r="H4131" t="s">
        <v>749</v>
      </c>
      <c r="I4131" t="s">
        <v>743</v>
      </c>
      <c r="J4131" t="s">
        <v>379</v>
      </c>
      <c r="K4131" t="s">
        <v>546</v>
      </c>
      <c r="L4131" s="784">
        <v>2831663</v>
      </c>
      <c r="M4131" t="s">
        <v>745</v>
      </c>
      <c r="N4131" s="784" t="s">
        <v>575</v>
      </c>
      <c r="O4131" t="s">
        <v>737</v>
      </c>
      <c r="P4131" t="s">
        <v>1887</v>
      </c>
      <c r="R4131" t="s">
        <v>150</v>
      </c>
      <c r="S4131" t="s">
        <v>145</v>
      </c>
      <c r="U4131">
        <v>0</v>
      </c>
      <c r="V4131" t="s">
        <v>544</v>
      </c>
      <c r="W4131" t="s">
        <v>546</v>
      </c>
      <c r="X4131" s="784">
        <v>4754985988.6004429</v>
      </c>
    </row>
    <row r="4132" spans="1:24">
      <c r="A4132" t="s">
        <v>358</v>
      </c>
      <c r="B4132" t="s">
        <v>658</v>
      </c>
      <c r="C4132" t="s">
        <v>262</v>
      </c>
      <c r="D4132" t="s">
        <v>127</v>
      </c>
      <c r="E4132" t="s">
        <v>377</v>
      </c>
      <c r="F4132" t="s">
        <v>312</v>
      </c>
      <c r="G4132" t="s">
        <v>350</v>
      </c>
      <c r="H4132" t="s">
        <v>749</v>
      </c>
      <c r="I4132" t="s">
        <v>743</v>
      </c>
      <c r="J4132" t="s">
        <v>379</v>
      </c>
      <c r="K4132" t="s">
        <v>546</v>
      </c>
      <c r="L4132" s="784">
        <v>0</v>
      </c>
      <c r="M4132" t="s">
        <v>745</v>
      </c>
      <c r="N4132" s="784" t="s">
        <v>575</v>
      </c>
      <c r="O4132" t="s">
        <v>737</v>
      </c>
      <c r="P4132" t="s">
        <v>1887</v>
      </c>
      <c r="R4132" t="s">
        <v>550</v>
      </c>
      <c r="S4132" t="s">
        <v>146</v>
      </c>
      <c r="U4132">
        <v>0</v>
      </c>
      <c r="V4132" t="s">
        <v>544</v>
      </c>
      <c r="W4132" t="s">
        <v>575</v>
      </c>
      <c r="X4132" s="784">
        <v>26422210443.037273</v>
      </c>
    </row>
    <row r="4133" spans="1:24">
      <c r="A4133" t="s">
        <v>358</v>
      </c>
      <c r="B4133" t="s">
        <v>659</v>
      </c>
      <c r="C4133" t="s">
        <v>151</v>
      </c>
      <c r="D4133" t="s">
        <v>127</v>
      </c>
      <c r="E4133" t="s">
        <v>377</v>
      </c>
      <c r="F4133" t="s">
        <v>312</v>
      </c>
      <c r="G4133" t="s">
        <v>350</v>
      </c>
      <c r="H4133" t="s">
        <v>749</v>
      </c>
      <c r="I4133" t="s">
        <v>743</v>
      </c>
      <c r="J4133" t="s">
        <v>379</v>
      </c>
      <c r="K4133" t="s">
        <v>546</v>
      </c>
      <c r="L4133" s="784">
        <v>0</v>
      </c>
      <c r="M4133" t="s">
        <v>745</v>
      </c>
      <c r="N4133" s="784" t="s">
        <v>575</v>
      </c>
      <c r="O4133" t="s">
        <v>737</v>
      </c>
      <c r="P4133" t="s">
        <v>1887</v>
      </c>
      <c r="R4133" t="s">
        <v>152</v>
      </c>
      <c r="S4133" t="s">
        <v>146</v>
      </c>
      <c r="U4133">
        <v>0</v>
      </c>
      <c r="V4133" t="s">
        <v>544</v>
      </c>
      <c r="W4133" t="s">
        <v>575</v>
      </c>
      <c r="X4133" s="784">
        <v>10696495313.15033</v>
      </c>
    </row>
    <row r="4134" spans="1:24">
      <c r="A4134" t="s">
        <v>358</v>
      </c>
      <c r="B4134" t="s">
        <v>660</v>
      </c>
      <c r="C4134" t="s">
        <v>263</v>
      </c>
      <c r="D4134" t="s">
        <v>127</v>
      </c>
      <c r="E4134" t="s">
        <v>377</v>
      </c>
      <c r="F4134" t="s">
        <v>312</v>
      </c>
      <c r="G4134" t="s">
        <v>350</v>
      </c>
      <c r="H4134" t="s">
        <v>749</v>
      </c>
      <c r="I4134" t="s">
        <v>743</v>
      </c>
      <c r="J4134" t="s">
        <v>379</v>
      </c>
      <c r="K4134" t="s">
        <v>546</v>
      </c>
      <c r="L4134" s="784">
        <v>0</v>
      </c>
      <c r="M4134" t="s">
        <v>745</v>
      </c>
      <c r="N4134" s="784" t="s">
        <v>575</v>
      </c>
      <c r="O4134" t="s">
        <v>737</v>
      </c>
      <c r="P4134" t="s">
        <v>1887</v>
      </c>
      <c r="R4134" t="s">
        <v>152</v>
      </c>
      <c r="S4134" t="s">
        <v>146</v>
      </c>
      <c r="U4134">
        <v>0</v>
      </c>
      <c r="V4134" t="s">
        <v>544</v>
      </c>
      <c r="W4134" t="s">
        <v>575</v>
      </c>
      <c r="X4134" s="784">
        <v>52769713433.240509</v>
      </c>
    </row>
    <row r="4135" spans="1:24">
      <c r="A4135" t="s">
        <v>358</v>
      </c>
      <c r="B4135" t="s">
        <v>661</v>
      </c>
      <c r="C4135" t="s">
        <v>264</v>
      </c>
      <c r="D4135" t="s">
        <v>128</v>
      </c>
      <c r="E4135" t="s">
        <v>377</v>
      </c>
      <c r="F4135" t="s">
        <v>312</v>
      </c>
      <c r="G4135" t="s">
        <v>350</v>
      </c>
      <c r="H4135" t="s">
        <v>749</v>
      </c>
      <c r="I4135" t="s">
        <v>743</v>
      </c>
      <c r="J4135" t="s">
        <v>379</v>
      </c>
      <c r="K4135" t="s">
        <v>546</v>
      </c>
      <c r="L4135" s="784">
        <v>0</v>
      </c>
      <c r="M4135" t="s">
        <v>745</v>
      </c>
      <c r="N4135" s="784" t="s">
        <v>575</v>
      </c>
      <c r="O4135" t="s">
        <v>737</v>
      </c>
      <c r="P4135" t="s">
        <v>1887</v>
      </c>
      <c r="R4135" t="s">
        <v>148</v>
      </c>
      <c r="S4135" t="s">
        <v>145</v>
      </c>
      <c r="U4135">
        <v>0</v>
      </c>
      <c r="V4135" t="s">
        <v>544</v>
      </c>
      <c r="W4135" t="s">
        <v>562</v>
      </c>
      <c r="X4135" s="784">
        <v>225799814.51943746</v>
      </c>
    </row>
    <row r="4136" spans="1:24">
      <c r="A4136" t="s">
        <v>358</v>
      </c>
      <c r="B4136" t="s">
        <v>662</v>
      </c>
      <c r="C4136" t="s">
        <v>265</v>
      </c>
      <c r="D4136" t="s">
        <v>126</v>
      </c>
      <c r="E4136" t="s">
        <v>377</v>
      </c>
      <c r="F4136" t="s">
        <v>312</v>
      </c>
      <c r="G4136" t="s">
        <v>350</v>
      </c>
      <c r="H4136" t="s">
        <v>749</v>
      </c>
      <c r="I4136" t="s">
        <v>743</v>
      </c>
      <c r="J4136" t="s">
        <v>379</v>
      </c>
      <c r="K4136" t="s">
        <v>546</v>
      </c>
      <c r="L4136" s="784">
        <v>0</v>
      </c>
      <c r="M4136" t="s">
        <v>745</v>
      </c>
      <c r="N4136" s="784" t="s">
        <v>575</v>
      </c>
      <c r="O4136" t="s">
        <v>737</v>
      </c>
      <c r="P4136" t="s">
        <v>1887</v>
      </c>
      <c r="R4136" t="s">
        <v>150</v>
      </c>
      <c r="S4136" t="s">
        <v>145</v>
      </c>
      <c r="U4136">
        <v>0</v>
      </c>
      <c r="V4136" t="s">
        <v>541</v>
      </c>
      <c r="W4136" t="s">
        <v>542</v>
      </c>
      <c r="X4136" s="784">
        <v>32192988.027009469</v>
      </c>
    </row>
    <row r="4137" spans="1:24">
      <c r="A4137" t="s">
        <v>358</v>
      </c>
      <c r="B4137" t="s">
        <v>663</v>
      </c>
      <c r="C4137" t="s">
        <v>266</v>
      </c>
      <c r="D4137" t="s">
        <v>129</v>
      </c>
      <c r="E4137" t="s">
        <v>377</v>
      </c>
      <c r="F4137" t="s">
        <v>312</v>
      </c>
      <c r="G4137" t="s">
        <v>350</v>
      </c>
      <c r="H4137" t="s">
        <v>749</v>
      </c>
      <c r="I4137" t="s">
        <v>743</v>
      </c>
      <c r="J4137" t="s">
        <v>379</v>
      </c>
      <c r="K4137" t="s">
        <v>546</v>
      </c>
      <c r="L4137" s="784">
        <v>0</v>
      </c>
      <c r="M4137" t="s">
        <v>745</v>
      </c>
      <c r="N4137" s="784" t="s">
        <v>575</v>
      </c>
      <c r="O4137" t="s">
        <v>737</v>
      </c>
      <c r="P4137" t="s">
        <v>1887</v>
      </c>
      <c r="R4137" t="s">
        <v>150</v>
      </c>
      <c r="S4137" t="s">
        <v>145</v>
      </c>
      <c r="U4137">
        <v>0</v>
      </c>
      <c r="V4137" t="s">
        <v>541</v>
      </c>
      <c r="W4137" t="s">
        <v>583</v>
      </c>
      <c r="X4137" s="784">
        <v>11633535.136477679</v>
      </c>
    </row>
    <row r="4138" spans="1:24">
      <c r="A4138" t="s">
        <v>358</v>
      </c>
      <c r="B4138" t="s">
        <v>664</v>
      </c>
      <c r="C4138" t="s">
        <v>267</v>
      </c>
      <c r="D4138" t="s">
        <v>129</v>
      </c>
      <c r="E4138" t="s">
        <v>377</v>
      </c>
      <c r="F4138" t="s">
        <v>312</v>
      </c>
      <c r="G4138" t="s">
        <v>350</v>
      </c>
      <c r="H4138" t="s">
        <v>749</v>
      </c>
      <c r="I4138" t="s">
        <v>743</v>
      </c>
      <c r="J4138" t="s">
        <v>379</v>
      </c>
      <c r="K4138" t="s">
        <v>546</v>
      </c>
      <c r="L4138" s="784">
        <v>779275</v>
      </c>
      <c r="M4138" t="s">
        <v>745</v>
      </c>
      <c r="N4138" s="784" t="s">
        <v>575</v>
      </c>
      <c r="O4138" t="s">
        <v>737</v>
      </c>
      <c r="P4138" t="s">
        <v>1887</v>
      </c>
      <c r="R4138" t="s">
        <v>150</v>
      </c>
      <c r="S4138" t="s">
        <v>145</v>
      </c>
      <c r="U4138">
        <v>2</v>
      </c>
      <c r="V4138" t="s">
        <v>544</v>
      </c>
      <c r="W4138" t="s">
        <v>562</v>
      </c>
      <c r="X4138" s="784">
        <v>222008693.93354639</v>
      </c>
    </row>
    <row r="4139" spans="1:24">
      <c r="A4139" t="s">
        <v>358</v>
      </c>
      <c r="B4139" t="s">
        <v>665</v>
      </c>
      <c r="C4139" t="s">
        <v>153</v>
      </c>
      <c r="D4139" t="s">
        <v>127</v>
      </c>
      <c r="E4139" t="s">
        <v>377</v>
      </c>
      <c r="F4139" t="s">
        <v>312</v>
      </c>
      <c r="G4139" t="s">
        <v>350</v>
      </c>
      <c r="H4139" t="s">
        <v>749</v>
      </c>
      <c r="I4139" t="s">
        <v>743</v>
      </c>
      <c r="J4139" t="s">
        <v>379</v>
      </c>
      <c r="K4139" t="s">
        <v>546</v>
      </c>
      <c r="L4139" s="784">
        <v>0</v>
      </c>
      <c r="M4139" t="s">
        <v>745</v>
      </c>
      <c r="N4139" s="784" t="s">
        <v>575</v>
      </c>
      <c r="O4139" t="s">
        <v>737</v>
      </c>
      <c r="P4139" t="s">
        <v>1887</v>
      </c>
      <c r="R4139" t="s">
        <v>152</v>
      </c>
      <c r="S4139" t="s">
        <v>146</v>
      </c>
      <c r="U4139">
        <v>0</v>
      </c>
      <c r="V4139" t="s">
        <v>544</v>
      </c>
      <c r="W4139" t="s">
        <v>575</v>
      </c>
      <c r="X4139" s="784">
        <v>2564993795.1894679</v>
      </c>
    </row>
    <row r="4140" spans="1:24">
      <c r="A4140" t="s">
        <v>358</v>
      </c>
      <c r="B4140" t="s">
        <v>666</v>
      </c>
      <c r="C4140" t="s">
        <v>268</v>
      </c>
      <c r="D4140" t="s">
        <v>128</v>
      </c>
      <c r="E4140" t="s">
        <v>377</v>
      </c>
      <c r="F4140" t="s">
        <v>312</v>
      </c>
      <c r="G4140" t="s">
        <v>350</v>
      </c>
      <c r="H4140" t="s">
        <v>749</v>
      </c>
      <c r="I4140" t="s">
        <v>743</v>
      </c>
      <c r="J4140" t="s">
        <v>379</v>
      </c>
      <c r="K4140" t="s">
        <v>546</v>
      </c>
      <c r="L4140" s="784">
        <v>0</v>
      </c>
      <c r="M4140" t="s">
        <v>745</v>
      </c>
      <c r="N4140" s="784" t="s">
        <v>575</v>
      </c>
      <c r="O4140" t="s">
        <v>737</v>
      </c>
      <c r="P4140" t="s">
        <v>1887</v>
      </c>
      <c r="R4140" t="s">
        <v>550</v>
      </c>
      <c r="S4140" t="s">
        <v>146</v>
      </c>
      <c r="U4140">
        <v>0</v>
      </c>
      <c r="V4140" t="s">
        <v>541</v>
      </c>
      <c r="W4140" t="s">
        <v>546</v>
      </c>
      <c r="X4140" s="784">
        <v>60237542.945069775</v>
      </c>
    </row>
    <row r="4141" spans="1:24">
      <c r="A4141" t="s">
        <v>358</v>
      </c>
      <c r="B4141" t="s">
        <v>667</v>
      </c>
      <c r="C4141" t="s">
        <v>269</v>
      </c>
      <c r="D4141" t="s">
        <v>129</v>
      </c>
      <c r="E4141" t="s">
        <v>377</v>
      </c>
      <c r="F4141" t="s">
        <v>312</v>
      </c>
      <c r="G4141" t="s">
        <v>350</v>
      </c>
      <c r="H4141" t="s">
        <v>749</v>
      </c>
      <c r="I4141" t="s">
        <v>743</v>
      </c>
      <c r="J4141" t="s">
        <v>379</v>
      </c>
      <c r="K4141" t="s">
        <v>546</v>
      </c>
      <c r="L4141" s="784">
        <v>472533</v>
      </c>
      <c r="M4141" t="s">
        <v>745</v>
      </c>
      <c r="N4141" s="784" t="s">
        <v>575</v>
      </c>
      <c r="O4141" t="s">
        <v>737</v>
      </c>
      <c r="P4141" t="s">
        <v>1887</v>
      </c>
      <c r="R4141" t="s">
        <v>148</v>
      </c>
      <c r="S4141" t="s">
        <v>145</v>
      </c>
      <c r="U4141">
        <v>0</v>
      </c>
      <c r="V4141" t="s">
        <v>544</v>
      </c>
      <c r="W4141" t="s">
        <v>542</v>
      </c>
      <c r="X4141" s="784">
        <v>63738640.538260505</v>
      </c>
    </row>
    <row r="4142" spans="1:24">
      <c r="A4142" t="s">
        <v>358</v>
      </c>
      <c r="B4142" t="s">
        <v>668</v>
      </c>
      <c r="C4142" t="s">
        <v>270</v>
      </c>
      <c r="D4142" t="s">
        <v>126</v>
      </c>
      <c r="E4142" t="s">
        <v>377</v>
      </c>
      <c r="F4142" t="s">
        <v>312</v>
      </c>
      <c r="G4142" t="s">
        <v>350</v>
      </c>
      <c r="H4142" t="s">
        <v>749</v>
      </c>
      <c r="I4142" t="s">
        <v>743</v>
      </c>
      <c r="J4142" t="s">
        <v>379</v>
      </c>
      <c r="K4142" t="s">
        <v>546</v>
      </c>
      <c r="L4142" s="784">
        <v>0</v>
      </c>
      <c r="M4142" t="s">
        <v>745</v>
      </c>
      <c r="N4142" s="784" t="s">
        <v>575</v>
      </c>
      <c r="O4142" t="s">
        <v>737</v>
      </c>
      <c r="P4142" t="s">
        <v>1887</v>
      </c>
      <c r="R4142" t="s">
        <v>150</v>
      </c>
      <c r="S4142" t="s">
        <v>145</v>
      </c>
      <c r="U4142">
        <v>0</v>
      </c>
      <c r="V4142" t="s">
        <v>541</v>
      </c>
      <c r="W4142" t="s">
        <v>562</v>
      </c>
      <c r="X4142" s="784">
        <v>49012774.055630356</v>
      </c>
    </row>
    <row r="4143" spans="1:24">
      <c r="A4143" t="s">
        <v>358</v>
      </c>
      <c r="B4143" t="s">
        <v>669</v>
      </c>
      <c r="C4143" t="s">
        <v>271</v>
      </c>
      <c r="D4143" t="s">
        <v>128</v>
      </c>
      <c r="E4143" t="s">
        <v>377</v>
      </c>
      <c r="F4143" t="s">
        <v>312</v>
      </c>
      <c r="G4143" t="s">
        <v>350</v>
      </c>
      <c r="H4143" t="s">
        <v>749</v>
      </c>
      <c r="I4143" t="s">
        <v>743</v>
      </c>
      <c r="J4143" t="s">
        <v>379</v>
      </c>
      <c r="K4143" t="s">
        <v>546</v>
      </c>
      <c r="L4143" s="784">
        <v>345491</v>
      </c>
      <c r="M4143" t="s">
        <v>745</v>
      </c>
      <c r="N4143" s="784" t="s">
        <v>575</v>
      </c>
      <c r="O4143" t="s">
        <v>737</v>
      </c>
      <c r="P4143" t="s">
        <v>1887</v>
      </c>
      <c r="R4143" t="s">
        <v>148</v>
      </c>
      <c r="S4143" t="s">
        <v>145</v>
      </c>
      <c r="U4143">
        <v>1</v>
      </c>
      <c r="V4143" t="s">
        <v>544</v>
      </c>
      <c r="W4143" t="s">
        <v>583</v>
      </c>
      <c r="X4143" s="784" t="s">
        <v>575</v>
      </c>
    </row>
    <row r="4144" spans="1:24">
      <c r="A4144" t="s">
        <v>358</v>
      </c>
      <c r="B4144" t="s">
        <v>670</v>
      </c>
      <c r="C4144" t="s">
        <v>272</v>
      </c>
      <c r="D4144" t="s">
        <v>128</v>
      </c>
      <c r="E4144" t="s">
        <v>377</v>
      </c>
      <c r="F4144" t="s">
        <v>312</v>
      </c>
      <c r="G4144" t="s">
        <v>350</v>
      </c>
      <c r="H4144" t="s">
        <v>749</v>
      </c>
      <c r="I4144" t="s">
        <v>743</v>
      </c>
      <c r="J4144" t="s">
        <v>379</v>
      </c>
      <c r="K4144" t="s">
        <v>546</v>
      </c>
      <c r="L4144" s="784">
        <v>555556</v>
      </c>
      <c r="M4144" t="s">
        <v>745</v>
      </c>
      <c r="N4144" s="784" t="s">
        <v>575</v>
      </c>
      <c r="O4144" t="s">
        <v>737</v>
      </c>
      <c r="P4144" t="s">
        <v>1887</v>
      </c>
      <c r="R4144" t="s">
        <v>152</v>
      </c>
      <c r="S4144" t="s">
        <v>146</v>
      </c>
      <c r="U4144">
        <v>0</v>
      </c>
      <c r="V4144" t="s">
        <v>544</v>
      </c>
      <c r="W4144" t="s">
        <v>546</v>
      </c>
      <c r="X4144" s="784">
        <v>16429121142.784708</v>
      </c>
    </row>
    <row r="4145" spans="1:24">
      <c r="A4145" t="s">
        <v>358</v>
      </c>
      <c r="B4145" t="s">
        <v>671</v>
      </c>
      <c r="C4145" t="s">
        <v>273</v>
      </c>
      <c r="D4145" t="s">
        <v>128</v>
      </c>
      <c r="E4145" t="s">
        <v>377</v>
      </c>
      <c r="F4145" t="s">
        <v>312</v>
      </c>
      <c r="G4145" t="s">
        <v>350</v>
      </c>
      <c r="H4145" t="s">
        <v>749</v>
      </c>
      <c r="I4145" t="s">
        <v>743</v>
      </c>
      <c r="J4145" t="s">
        <v>379</v>
      </c>
      <c r="K4145" t="s">
        <v>546</v>
      </c>
      <c r="L4145" s="784">
        <v>0</v>
      </c>
      <c r="M4145" t="s">
        <v>745</v>
      </c>
      <c r="N4145" s="784" t="s">
        <v>575</v>
      </c>
      <c r="O4145" t="s">
        <v>737</v>
      </c>
      <c r="P4145" t="s">
        <v>1887</v>
      </c>
      <c r="R4145" t="s">
        <v>148</v>
      </c>
      <c r="S4145" t="s">
        <v>145</v>
      </c>
      <c r="U4145">
        <v>1</v>
      </c>
      <c r="V4145" t="s">
        <v>544</v>
      </c>
      <c r="W4145" t="s">
        <v>542</v>
      </c>
      <c r="X4145" s="784">
        <v>31684581.76217727</v>
      </c>
    </row>
    <row r="4146" spans="1:24">
      <c r="A4146" t="s">
        <v>358</v>
      </c>
      <c r="B4146" t="s">
        <v>672</v>
      </c>
      <c r="C4146" t="s">
        <v>274</v>
      </c>
      <c r="D4146" t="s">
        <v>132</v>
      </c>
      <c r="E4146" t="s">
        <v>377</v>
      </c>
      <c r="F4146" t="s">
        <v>312</v>
      </c>
      <c r="G4146" t="s">
        <v>350</v>
      </c>
      <c r="H4146" t="s">
        <v>749</v>
      </c>
      <c r="I4146" t="s">
        <v>743</v>
      </c>
      <c r="J4146" t="s">
        <v>379</v>
      </c>
      <c r="K4146" t="s">
        <v>546</v>
      </c>
      <c r="L4146" s="784">
        <v>0</v>
      </c>
      <c r="M4146" t="s">
        <v>745</v>
      </c>
      <c r="N4146" s="784" t="s">
        <v>575</v>
      </c>
      <c r="O4146" t="s">
        <v>737</v>
      </c>
      <c r="P4146" t="s">
        <v>1887</v>
      </c>
      <c r="R4146" t="s">
        <v>150</v>
      </c>
      <c r="S4146" t="s">
        <v>145</v>
      </c>
      <c r="U4146">
        <v>0</v>
      </c>
      <c r="V4146" t="s">
        <v>544</v>
      </c>
      <c r="W4146" t="s">
        <v>546</v>
      </c>
      <c r="X4146" s="784">
        <v>1373621563.5182886</v>
      </c>
    </row>
    <row r="4147" spans="1:24">
      <c r="A4147" t="s">
        <v>358</v>
      </c>
      <c r="B4147" t="s">
        <v>673</v>
      </c>
      <c r="C4147" t="s">
        <v>275</v>
      </c>
      <c r="D4147" t="s">
        <v>130</v>
      </c>
      <c r="E4147" t="s">
        <v>377</v>
      </c>
      <c r="F4147" t="s">
        <v>312</v>
      </c>
      <c r="G4147" t="s">
        <v>350</v>
      </c>
      <c r="H4147" t="s">
        <v>749</v>
      </c>
      <c r="I4147" t="s">
        <v>743</v>
      </c>
      <c r="J4147" t="s">
        <v>379</v>
      </c>
      <c r="K4147" t="s">
        <v>546</v>
      </c>
      <c r="L4147" s="784">
        <v>0</v>
      </c>
      <c r="M4147" t="s">
        <v>745</v>
      </c>
      <c r="N4147" s="784" t="s">
        <v>575</v>
      </c>
      <c r="O4147" t="s">
        <v>737</v>
      </c>
      <c r="P4147" t="s">
        <v>1887</v>
      </c>
      <c r="R4147" t="s">
        <v>550</v>
      </c>
      <c r="S4147" t="s">
        <v>146</v>
      </c>
      <c r="U4147">
        <v>0</v>
      </c>
      <c r="V4147" t="s">
        <v>541</v>
      </c>
      <c r="W4147" t="s">
        <v>575</v>
      </c>
      <c r="X4147" s="784">
        <v>24214370.889062837</v>
      </c>
    </row>
    <row r="4148" spans="1:24">
      <c r="A4148" t="s">
        <v>358</v>
      </c>
      <c r="B4148" t="s">
        <v>674</v>
      </c>
      <c r="C4148" t="s">
        <v>154</v>
      </c>
      <c r="D4148" t="s">
        <v>130</v>
      </c>
      <c r="E4148" t="s">
        <v>377</v>
      </c>
      <c r="F4148" t="s">
        <v>312</v>
      </c>
      <c r="G4148" t="s">
        <v>350</v>
      </c>
      <c r="H4148" t="s">
        <v>749</v>
      </c>
      <c r="I4148" t="s">
        <v>743</v>
      </c>
      <c r="J4148" t="s">
        <v>379</v>
      </c>
      <c r="K4148" t="s">
        <v>546</v>
      </c>
      <c r="L4148" s="784">
        <v>0</v>
      </c>
      <c r="M4148" t="s">
        <v>745</v>
      </c>
      <c r="N4148" s="784" t="s">
        <v>575</v>
      </c>
      <c r="O4148" t="s">
        <v>737</v>
      </c>
      <c r="P4148" t="s">
        <v>1887</v>
      </c>
      <c r="R4148" t="s">
        <v>152</v>
      </c>
      <c r="S4148" t="s">
        <v>145</v>
      </c>
      <c r="U4148">
        <v>0</v>
      </c>
      <c r="V4148" t="s">
        <v>541</v>
      </c>
      <c r="W4148" t="s">
        <v>548</v>
      </c>
      <c r="X4148" s="784">
        <v>39941279.609447442</v>
      </c>
    </row>
    <row r="4149" spans="1:24">
      <c r="A4149" t="s">
        <v>358</v>
      </c>
      <c r="B4149" t="s">
        <v>675</v>
      </c>
      <c r="C4149" t="s">
        <v>155</v>
      </c>
      <c r="D4149" t="s">
        <v>130</v>
      </c>
      <c r="E4149" t="s">
        <v>377</v>
      </c>
      <c r="F4149" t="s">
        <v>312</v>
      </c>
      <c r="G4149" t="s">
        <v>350</v>
      </c>
      <c r="H4149" t="s">
        <v>749</v>
      </c>
      <c r="I4149" t="s">
        <v>743</v>
      </c>
      <c r="J4149" t="s">
        <v>379</v>
      </c>
      <c r="K4149" t="s">
        <v>546</v>
      </c>
      <c r="L4149" s="784">
        <v>0</v>
      </c>
      <c r="M4149" t="s">
        <v>745</v>
      </c>
      <c r="N4149" s="784" t="s">
        <v>575</v>
      </c>
      <c r="O4149" t="s">
        <v>737</v>
      </c>
      <c r="P4149" t="s">
        <v>1887</v>
      </c>
      <c r="R4149" t="s">
        <v>152</v>
      </c>
      <c r="S4149" t="s">
        <v>145</v>
      </c>
      <c r="U4149">
        <v>0</v>
      </c>
      <c r="V4149" t="s">
        <v>541</v>
      </c>
      <c r="W4149" t="s">
        <v>542</v>
      </c>
      <c r="X4149" s="784">
        <v>24761675.260059897</v>
      </c>
    </row>
    <row r="4150" spans="1:24">
      <c r="A4150" t="s">
        <v>358</v>
      </c>
      <c r="B4150" t="s">
        <v>676</v>
      </c>
      <c r="C4150" t="s">
        <v>276</v>
      </c>
      <c r="D4150" t="s">
        <v>131</v>
      </c>
      <c r="E4150" t="s">
        <v>377</v>
      </c>
      <c r="F4150" t="s">
        <v>312</v>
      </c>
      <c r="G4150" t="s">
        <v>350</v>
      </c>
      <c r="H4150" t="s">
        <v>749</v>
      </c>
      <c r="I4150" t="s">
        <v>743</v>
      </c>
      <c r="J4150" t="s">
        <v>379</v>
      </c>
      <c r="K4150" t="s">
        <v>546</v>
      </c>
      <c r="L4150" s="784">
        <v>0</v>
      </c>
      <c r="M4150" t="s">
        <v>745</v>
      </c>
      <c r="N4150" s="784" t="s">
        <v>575</v>
      </c>
      <c r="O4150" t="s">
        <v>737</v>
      </c>
      <c r="P4150" t="s">
        <v>1887</v>
      </c>
      <c r="R4150" t="s">
        <v>150</v>
      </c>
      <c r="S4150" t="s">
        <v>145</v>
      </c>
      <c r="U4150">
        <v>0</v>
      </c>
      <c r="V4150" t="s">
        <v>544</v>
      </c>
      <c r="W4150" t="s">
        <v>546</v>
      </c>
      <c r="X4150" s="784" t="s">
        <v>575</v>
      </c>
    </row>
    <row r="4151" spans="1:24">
      <c r="A4151" t="s">
        <v>358</v>
      </c>
      <c r="B4151" t="s">
        <v>677</v>
      </c>
      <c r="C4151" t="s">
        <v>277</v>
      </c>
      <c r="D4151" t="s">
        <v>131</v>
      </c>
      <c r="E4151" t="s">
        <v>377</v>
      </c>
      <c r="F4151" t="s">
        <v>312</v>
      </c>
      <c r="G4151" t="s">
        <v>350</v>
      </c>
      <c r="H4151" t="s">
        <v>749</v>
      </c>
      <c r="I4151" t="s">
        <v>743</v>
      </c>
      <c r="J4151" t="s">
        <v>379</v>
      </c>
      <c r="K4151" t="s">
        <v>546</v>
      </c>
      <c r="L4151" s="784">
        <v>476081.75</v>
      </c>
      <c r="M4151" t="s">
        <v>745</v>
      </c>
      <c r="N4151" s="784" t="s">
        <v>575</v>
      </c>
      <c r="O4151" t="s">
        <v>737</v>
      </c>
      <c r="P4151" t="s">
        <v>1887</v>
      </c>
      <c r="R4151" t="s">
        <v>148</v>
      </c>
      <c r="S4151" t="s">
        <v>145</v>
      </c>
      <c r="U4151">
        <v>1</v>
      </c>
      <c r="V4151" t="s">
        <v>544</v>
      </c>
      <c r="W4151" t="s">
        <v>546</v>
      </c>
      <c r="X4151" s="784">
        <v>577156172.71229994</v>
      </c>
    </row>
    <row r="4152" spans="1:24">
      <c r="A4152" t="s">
        <v>358</v>
      </c>
      <c r="B4152" t="s">
        <v>678</v>
      </c>
      <c r="C4152" t="s">
        <v>278</v>
      </c>
      <c r="D4152" t="s">
        <v>126</v>
      </c>
      <c r="E4152" t="s">
        <v>377</v>
      </c>
      <c r="F4152" t="s">
        <v>312</v>
      </c>
      <c r="G4152" t="s">
        <v>350</v>
      </c>
      <c r="H4152" t="s">
        <v>749</v>
      </c>
      <c r="I4152" t="s">
        <v>743</v>
      </c>
      <c r="J4152" t="s">
        <v>379</v>
      </c>
      <c r="K4152" t="s">
        <v>546</v>
      </c>
      <c r="L4152" s="784">
        <v>282294</v>
      </c>
      <c r="M4152" t="s">
        <v>745</v>
      </c>
      <c r="N4152" s="784" t="s">
        <v>575</v>
      </c>
      <c r="O4152" t="s">
        <v>737</v>
      </c>
      <c r="P4152" t="s">
        <v>1887</v>
      </c>
      <c r="R4152" t="s">
        <v>152</v>
      </c>
      <c r="S4152" t="s">
        <v>146</v>
      </c>
      <c r="U4152">
        <v>0</v>
      </c>
      <c r="V4152" t="s">
        <v>541</v>
      </c>
      <c r="W4152" t="s">
        <v>575</v>
      </c>
      <c r="X4152" s="784">
        <v>180052034.19851837</v>
      </c>
    </row>
    <row r="4153" spans="1:24">
      <c r="A4153" t="s">
        <v>358</v>
      </c>
      <c r="B4153" t="s">
        <v>679</v>
      </c>
      <c r="C4153" t="s">
        <v>279</v>
      </c>
      <c r="D4153" t="s">
        <v>131</v>
      </c>
      <c r="E4153" t="s">
        <v>377</v>
      </c>
      <c r="F4153" t="s">
        <v>312</v>
      </c>
      <c r="G4153" t="s">
        <v>350</v>
      </c>
      <c r="H4153" t="s">
        <v>749</v>
      </c>
      <c r="I4153" t="s">
        <v>743</v>
      </c>
      <c r="J4153" t="s">
        <v>379</v>
      </c>
      <c r="K4153" t="s">
        <v>546</v>
      </c>
      <c r="L4153" s="784">
        <v>0</v>
      </c>
      <c r="M4153" t="s">
        <v>745</v>
      </c>
      <c r="N4153" s="784" t="s">
        <v>575</v>
      </c>
      <c r="O4153" t="s">
        <v>737</v>
      </c>
      <c r="P4153" t="s">
        <v>1887</v>
      </c>
      <c r="R4153" t="s">
        <v>148</v>
      </c>
      <c r="S4153" t="s">
        <v>145</v>
      </c>
      <c r="U4153">
        <v>1</v>
      </c>
      <c r="V4153" t="s">
        <v>544</v>
      </c>
      <c r="W4153" t="s">
        <v>546</v>
      </c>
      <c r="X4153" s="784" t="s">
        <v>575</v>
      </c>
    </row>
    <row r="4154" spans="1:24">
      <c r="A4154" t="s">
        <v>358</v>
      </c>
      <c r="B4154" t="s">
        <v>680</v>
      </c>
      <c r="C4154" t="s">
        <v>280</v>
      </c>
      <c r="D4154" t="s">
        <v>127</v>
      </c>
      <c r="E4154" t="s">
        <v>377</v>
      </c>
      <c r="F4154" t="s">
        <v>312</v>
      </c>
      <c r="G4154" t="s">
        <v>350</v>
      </c>
      <c r="H4154" t="s">
        <v>749</v>
      </c>
      <c r="I4154" t="s">
        <v>743</v>
      </c>
      <c r="J4154" t="s">
        <v>379</v>
      </c>
      <c r="K4154" t="s">
        <v>546</v>
      </c>
      <c r="L4154" s="784">
        <v>0</v>
      </c>
      <c r="M4154" t="s">
        <v>745</v>
      </c>
      <c r="N4154" s="784" t="s">
        <v>575</v>
      </c>
      <c r="O4154" t="s">
        <v>737</v>
      </c>
      <c r="P4154" t="s">
        <v>1887</v>
      </c>
      <c r="R4154" t="s">
        <v>150</v>
      </c>
      <c r="S4154" t="s">
        <v>145</v>
      </c>
      <c r="U4154">
        <v>0</v>
      </c>
      <c r="V4154" t="s">
        <v>544</v>
      </c>
      <c r="W4154" t="s">
        <v>542</v>
      </c>
      <c r="X4154" s="784">
        <v>147296124.32232863</v>
      </c>
    </row>
    <row r="4155" spans="1:24">
      <c r="A4155" t="s">
        <v>358</v>
      </c>
      <c r="B4155" t="s">
        <v>681</v>
      </c>
      <c r="C4155" t="s">
        <v>156</v>
      </c>
      <c r="D4155" t="s">
        <v>128</v>
      </c>
      <c r="E4155" t="s">
        <v>377</v>
      </c>
      <c r="F4155" t="s">
        <v>312</v>
      </c>
      <c r="G4155" t="s">
        <v>350</v>
      </c>
      <c r="H4155" t="s">
        <v>749</v>
      </c>
      <c r="I4155" t="s">
        <v>743</v>
      </c>
      <c r="J4155" t="s">
        <v>379</v>
      </c>
      <c r="K4155" t="s">
        <v>546</v>
      </c>
      <c r="L4155" s="784">
        <v>0</v>
      </c>
      <c r="M4155" t="s">
        <v>745</v>
      </c>
      <c r="N4155" s="784" t="s">
        <v>575</v>
      </c>
      <c r="O4155" t="s">
        <v>737</v>
      </c>
      <c r="P4155" t="s">
        <v>1887</v>
      </c>
      <c r="R4155" t="s">
        <v>150</v>
      </c>
      <c r="S4155" t="s">
        <v>145</v>
      </c>
      <c r="U4155">
        <v>0</v>
      </c>
      <c r="V4155" t="s">
        <v>544</v>
      </c>
      <c r="W4155" t="s">
        <v>548</v>
      </c>
      <c r="X4155" s="784">
        <v>890576536.83065879</v>
      </c>
    </row>
    <row r="4156" spans="1:24">
      <c r="A4156" t="s">
        <v>358</v>
      </c>
      <c r="B4156" t="s">
        <v>682</v>
      </c>
      <c r="C4156" t="s">
        <v>157</v>
      </c>
      <c r="D4156" t="s">
        <v>126</v>
      </c>
      <c r="E4156" t="s">
        <v>377</v>
      </c>
      <c r="F4156" t="s">
        <v>312</v>
      </c>
      <c r="G4156" t="s">
        <v>350</v>
      </c>
      <c r="H4156" t="s">
        <v>749</v>
      </c>
      <c r="I4156" t="s">
        <v>743</v>
      </c>
      <c r="J4156" t="s">
        <v>379</v>
      </c>
      <c r="K4156" t="s">
        <v>546</v>
      </c>
      <c r="L4156" s="784">
        <v>272222</v>
      </c>
      <c r="M4156" t="s">
        <v>745</v>
      </c>
      <c r="N4156" s="784" t="s">
        <v>575</v>
      </c>
      <c r="O4156" t="s">
        <v>737</v>
      </c>
      <c r="P4156" t="s">
        <v>1887</v>
      </c>
      <c r="R4156" t="s">
        <v>152</v>
      </c>
      <c r="S4156" t="s">
        <v>146</v>
      </c>
      <c r="U4156">
        <v>0</v>
      </c>
      <c r="V4156" t="s">
        <v>544</v>
      </c>
      <c r="W4156" t="s">
        <v>575</v>
      </c>
      <c r="X4156" s="784">
        <v>14611129792.346064</v>
      </c>
    </row>
    <row r="4157" spans="1:24">
      <c r="A4157" t="s">
        <v>358</v>
      </c>
      <c r="B4157" t="s">
        <v>683</v>
      </c>
      <c r="C4157" t="s">
        <v>281</v>
      </c>
      <c r="D4157" t="s">
        <v>126</v>
      </c>
      <c r="E4157" t="s">
        <v>377</v>
      </c>
      <c r="F4157" t="s">
        <v>312</v>
      </c>
      <c r="G4157" t="s">
        <v>350</v>
      </c>
      <c r="H4157" t="s">
        <v>749</v>
      </c>
      <c r="I4157" t="s">
        <v>743</v>
      </c>
      <c r="J4157" t="s">
        <v>379</v>
      </c>
      <c r="K4157" t="s">
        <v>546</v>
      </c>
      <c r="L4157" s="784">
        <v>1683183</v>
      </c>
      <c r="M4157" t="s">
        <v>745</v>
      </c>
      <c r="N4157" s="784" t="s">
        <v>575</v>
      </c>
      <c r="O4157" t="s">
        <v>737</v>
      </c>
      <c r="P4157" t="s">
        <v>1887</v>
      </c>
      <c r="R4157" t="s">
        <v>150</v>
      </c>
      <c r="S4157" t="s">
        <v>145</v>
      </c>
      <c r="U4157">
        <v>0</v>
      </c>
      <c r="V4157" t="s">
        <v>541</v>
      </c>
      <c r="W4157" t="s">
        <v>558</v>
      </c>
      <c r="X4157" s="784">
        <v>72046877.233008593</v>
      </c>
    </row>
    <row r="4158" spans="1:24">
      <c r="A4158" t="s">
        <v>358</v>
      </c>
      <c r="B4158" t="s">
        <v>684</v>
      </c>
      <c r="C4158" t="s">
        <v>282</v>
      </c>
      <c r="D4158" t="s">
        <v>129</v>
      </c>
      <c r="E4158" t="s">
        <v>377</v>
      </c>
      <c r="F4158" t="s">
        <v>312</v>
      </c>
      <c r="G4158" t="s">
        <v>350</v>
      </c>
      <c r="H4158" t="s">
        <v>749</v>
      </c>
      <c r="I4158" t="s">
        <v>743</v>
      </c>
      <c r="J4158" t="s">
        <v>379</v>
      </c>
      <c r="K4158" t="s">
        <v>546</v>
      </c>
      <c r="L4158" s="784">
        <v>0</v>
      </c>
      <c r="M4158" t="s">
        <v>745</v>
      </c>
      <c r="N4158" s="784" t="s">
        <v>575</v>
      </c>
      <c r="O4158" t="s">
        <v>737</v>
      </c>
      <c r="P4158" t="s">
        <v>1887</v>
      </c>
      <c r="R4158" t="s">
        <v>148</v>
      </c>
      <c r="S4158" t="s">
        <v>145</v>
      </c>
      <c r="U4158">
        <v>0</v>
      </c>
      <c r="V4158" t="s">
        <v>544</v>
      </c>
      <c r="W4158" t="s">
        <v>542</v>
      </c>
      <c r="X4158" s="784">
        <v>56248139.267255567</v>
      </c>
    </row>
    <row r="4159" spans="1:24">
      <c r="A4159" t="s">
        <v>358</v>
      </c>
      <c r="B4159" t="s">
        <v>685</v>
      </c>
      <c r="C4159" t="s">
        <v>283</v>
      </c>
      <c r="D4159" t="s">
        <v>126</v>
      </c>
      <c r="E4159" t="s">
        <v>377</v>
      </c>
      <c r="F4159" t="s">
        <v>312</v>
      </c>
      <c r="G4159" t="s">
        <v>350</v>
      </c>
      <c r="H4159" t="s">
        <v>749</v>
      </c>
      <c r="I4159" t="s">
        <v>743</v>
      </c>
      <c r="J4159" t="s">
        <v>379</v>
      </c>
      <c r="K4159" t="s">
        <v>546</v>
      </c>
      <c r="L4159" s="784">
        <v>0</v>
      </c>
      <c r="M4159" t="s">
        <v>745</v>
      </c>
      <c r="N4159" s="784" t="s">
        <v>575</v>
      </c>
      <c r="O4159" t="s">
        <v>737</v>
      </c>
      <c r="P4159" t="s">
        <v>1887</v>
      </c>
      <c r="R4159" t="s">
        <v>152</v>
      </c>
      <c r="S4159" t="s">
        <v>145</v>
      </c>
      <c r="U4159">
        <v>0</v>
      </c>
      <c r="V4159" t="s">
        <v>541</v>
      </c>
      <c r="W4159" t="s">
        <v>542</v>
      </c>
      <c r="X4159" s="784">
        <v>15464031.712942109</v>
      </c>
    </row>
    <row r="4160" spans="1:24">
      <c r="A4160" t="s">
        <v>358</v>
      </c>
      <c r="B4160" t="s">
        <v>686</v>
      </c>
      <c r="C4160" t="s">
        <v>284</v>
      </c>
      <c r="D4160" t="s">
        <v>130</v>
      </c>
      <c r="E4160" t="s">
        <v>377</v>
      </c>
      <c r="F4160" t="s">
        <v>312</v>
      </c>
      <c r="G4160" t="s">
        <v>350</v>
      </c>
      <c r="H4160" t="s">
        <v>749</v>
      </c>
      <c r="I4160" t="s">
        <v>743</v>
      </c>
      <c r="J4160" t="s">
        <v>379</v>
      </c>
      <c r="K4160" t="s">
        <v>546</v>
      </c>
      <c r="L4160" s="784">
        <v>0</v>
      </c>
      <c r="M4160" t="s">
        <v>745</v>
      </c>
      <c r="N4160" s="784" t="s">
        <v>575</v>
      </c>
      <c r="O4160" t="s">
        <v>737</v>
      </c>
      <c r="P4160" t="s">
        <v>1887</v>
      </c>
      <c r="R4160" t="s">
        <v>550</v>
      </c>
      <c r="S4160" t="s">
        <v>146</v>
      </c>
      <c r="U4160">
        <v>0</v>
      </c>
      <c r="V4160" t="s">
        <v>541</v>
      </c>
      <c r="W4160" t="s">
        <v>546</v>
      </c>
      <c r="X4160" s="784">
        <v>769564399.33249676</v>
      </c>
    </row>
    <row r="4161" spans="1:24">
      <c r="A4161" t="s">
        <v>358</v>
      </c>
      <c r="B4161" t="s">
        <v>687</v>
      </c>
      <c r="C4161" t="s">
        <v>285</v>
      </c>
      <c r="D4161" t="s">
        <v>131</v>
      </c>
      <c r="E4161" t="s">
        <v>377</v>
      </c>
      <c r="F4161" t="s">
        <v>312</v>
      </c>
      <c r="G4161" t="s">
        <v>350</v>
      </c>
      <c r="H4161" t="s">
        <v>749</v>
      </c>
      <c r="I4161" t="s">
        <v>743</v>
      </c>
      <c r="J4161" t="s">
        <v>379</v>
      </c>
      <c r="K4161" t="s">
        <v>546</v>
      </c>
      <c r="L4161" s="784">
        <v>3118906</v>
      </c>
      <c r="M4161" t="s">
        <v>745</v>
      </c>
      <c r="N4161" s="784" t="s">
        <v>575</v>
      </c>
      <c r="O4161" t="s">
        <v>737</v>
      </c>
      <c r="P4161" t="s">
        <v>1887</v>
      </c>
      <c r="R4161" t="s">
        <v>150</v>
      </c>
      <c r="S4161" t="s">
        <v>145</v>
      </c>
      <c r="U4161">
        <v>0</v>
      </c>
      <c r="V4161" t="s">
        <v>544</v>
      </c>
      <c r="W4161" t="s">
        <v>546</v>
      </c>
      <c r="X4161" s="784">
        <v>1668954539.7630196</v>
      </c>
    </row>
    <row r="4162" spans="1:24">
      <c r="A4162" t="s">
        <v>358</v>
      </c>
      <c r="B4162" t="s">
        <v>688</v>
      </c>
      <c r="C4162" t="s">
        <v>286</v>
      </c>
      <c r="D4162" t="s">
        <v>127</v>
      </c>
      <c r="E4162" t="s">
        <v>377</v>
      </c>
      <c r="F4162" t="s">
        <v>312</v>
      </c>
      <c r="G4162" t="s">
        <v>350</v>
      </c>
      <c r="H4162" t="s">
        <v>749</v>
      </c>
      <c r="I4162" t="s">
        <v>743</v>
      </c>
      <c r="J4162" t="s">
        <v>379</v>
      </c>
      <c r="K4162" t="s">
        <v>546</v>
      </c>
      <c r="L4162" s="784">
        <v>0</v>
      </c>
      <c r="M4162" t="s">
        <v>745</v>
      </c>
      <c r="N4162" s="784" t="s">
        <v>575</v>
      </c>
      <c r="O4162" t="s">
        <v>737</v>
      </c>
      <c r="P4162" t="s">
        <v>1887</v>
      </c>
      <c r="R4162" t="s">
        <v>152</v>
      </c>
      <c r="S4162" t="s">
        <v>146</v>
      </c>
      <c r="U4162">
        <v>0</v>
      </c>
      <c r="V4162" t="s">
        <v>544</v>
      </c>
      <c r="W4162" t="s">
        <v>575</v>
      </c>
      <c r="X4162" s="784">
        <v>24840920016.18832</v>
      </c>
    </row>
    <row r="4163" spans="1:24">
      <c r="A4163" t="s">
        <v>358</v>
      </c>
      <c r="B4163" t="s">
        <v>689</v>
      </c>
      <c r="C4163" t="s">
        <v>287</v>
      </c>
      <c r="D4163" t="s">
        <v>127</v>
      </c>
      <c r="E4163" t="s">
        <v>377</v>
      </c>
      <c r="F4163" t="s">
        <v>312</v>
      </c>
      <c r="G4163" t="s">
        <v>350</v>
      </c>
      <c r="H4163" t="s">
        <v>749</v>
      </c>
      <c r="I4163" t="s">
        <v>743</v>
      </c>
      <c r="J4163" t="s">
        <v>379</v>
      </c>
      <c r="K4163" t="s">
        <v>546</v>
      </c>
      <c r="L4163" s="784">
        <v>0</v>
      </c>
      <c r="M4163" t="s">
        <v>745</v>
      </c>
      <c r="N4163" s="784" t="s">
        <v>575</v>
      </c>
      <c r="O4163" t="s">
        <v>737</v>
      </c>
      <c r="P4163" t="s">
        <v>1887</v>
      </c>
      <c r="R4163" t="s">
        <v>152</v>
      </c>
      <c r="S4163" t="s">
        <v>146</v>
      </c>
      <c r="U4163">
        <v>0</v>
      </c>
      <c r="V4163" t="s">
        <v>544</v>
      </c>
      <c r="W4163" t="s">
        <v>546</v>
      </c>
      <c r="X4163" s="784">
        <v>487888462.83720118</v>
      </c>
    </row>
    <row r="4164" spans="1:24">
      <c r="A4164" t="s">
        <v>358</v>
      </c>
      <c r="B4164" t="s">
        <v>690</v>
      </c>
      <c r="C4164" t="s">
        <v>288</v>
      </c>
      <c r="D4164" t="s">
        <v>126</v>
      </c>
      <c r="E4164" t="s">
        <v>377</v>
      </c>
      <c r="F4164" t="s">
        <v>312</v>
      </c>
      <c r="G4164" t="s">
        <v>350</v>
      </c>
      <c r="H4164" t="s">
        <v>749</v>
      </c>
      <c r="I4164" t="s">
        <v>743</v>
      </c>
      <c r="J4164" t="s">
        <v>379</v>
      </c>
      <c r="K4164" t="s">
        <v>546</v>
      </c>
      <c r="L4164" s="784">
        <v>0</v>
      </c>
      <c r="M4164" t="s">
        <v>745</v>
      </c>
      <c r="N4164" s="784" t="s">
        <v>575</v>
      </c>
      <c r="O4164" t="s">
        <v>737</v>
      </c>
      <c r="P4164" t="s">
        <v>1887</v>
      </c>
      <c r="R4164" t="s">
        <v>152</v>
      </c>
      <c r="S4164" t="s">
        <v>145</v>
      </c>
      <c r="U4164">
        <v>0</v>
      </c>
      <c r="V4164" t="s">
        <v>541</v>
      </c>
      <c r="W4164" t="s">
        <v>548</v>
      </c>
      <c r="X4164" s="784">
        <v>6365061.1736073596</v>
      </c>
    </row>
    <row r="4165" spans="1:24">
      <c r="A4165" t="s">
        <v>358</v>
      </c>
      <c r="B4165" t="s">
        <v>691</v>
      </c>
      <c r="C4165" t="s">
        <v>289</v>
      </c>
      <c r="D4165" t="s">
        <v>128</v>
      </c>
      <c r="E4165" t="s">
        <v>377</v>
      </c>
      <c r="F4165" t="s">
        <v>312</v>
      </c>
      <c r="G4165" t="s">
        <v>350</v>
      </c>
      <c r="H4165" t="s">
        <v>749</v>
      </c>
      <c r="I4165" t="s">
        <v>743</v>
      </c>
      <c r="J4165" t="s">
        <v>379</v>
      </c>
      <c r="K4165" t="s">
        <v>546</v>
      </c>
      <c r="L4165" s="784">
        <v>944445</v>
      </c>
      <c r="M4165" t="s">
        <v>745</v>
      </c>
      <c r="N4165" s="784" t="s">
        <v>575</v>
      </c>
      <c r="O4165" t="s">
        <v>737</v>
      </c>
      <c r="P4165" t="s">
        <v>1887</v>
      </c>
      <c r="R4165" t="s">
        <v>148</v>
      </c>
      <c r="S4165" t="s">
        <v>145</v>
      </c>
      <c r="U4165">
        <v>2</v>
      </c>
      <c r="V4165" t="s">
        <v>544</v>
      </c>
      <c r="W4165" t="s">
        <v>558</v>
      </c>
      <c r="X4165" s="784">
        <v>291799092.90196139</v>
      </c>
    </row>
    <row r="4166" spans="1:24">
      <c r="A4166" t="s">
        <v>358</v>
      </c>
      <c r="B4166" t="s">
        <v>692</v>
      </c>
      <c r="C4166" t="s">
        <v>290</v>
      </c>
      <c r="D4166" t="s">
        <v>127</v>
      </c>
      <c r="E4166" t="s">
        <v>377</v>
      </c>
      <c r="F4166" t="s">
        <v>312</v>
      </c>
      <c r="G4166" t="s">
        <v>350</v>
      </c>
      <c r="H4166" t="s">
        <v>749</v>
      </c>
      <c r="I4166" t="s">
        <v>743</v>
      </c>
      <c r="J4166" t="s">
        <v>379</v>
      </c>
      <c r="K4166" t="s">
        <v>546</v>
      </c>
      <c r="L4166" s="784">
        <v>92593</v>
      </c>
      <c r="M4166" t="s">
        <v>745</v>
      </c>
      <c r="N4166" s="784" t="s">
        <v>575</v>
      </c>
      <c r="O4166" t="s">
        <v>737</v>
      </c>
      <c r="P4166" t="s">
        <v>1887</v>
      </c>
      <c r="R4166" t="s">
        <v>150</v>
      </c>
      <c r="S4166" t="s">
        <v>145</v>
      </c>
      <c r="U4166">
        <v>0</v>
      </c>
      <c r="V4166" t="s">
        <v>544</v>
      </c>
      <c r="W4166" t="s">
        <v>546</v>
      </c>
      <c r="X4166" s="784">
        <v>4844815340.2135534</v>
      </c>
    </row>
    <row r="4167" spans="1:24">
      <c r="A4167" t="s">
        <v>358</v>
      </c>
      <c r="B4167" t="s">
        <v>693</v>
      </c>
      <c r="C4167" t="s">
        <v>291</v>
      </c>
      <c r="D4167" t="s">
        <v>130</v>
      </c>
      <c r="E4167" t="s">
        <v>377</v>
      </c>
      <c r="F4167" t="s">
        <v>312</v>
      </c>
      <c r="G4167" t="s">
        <v>350</v>
      </c>
      <c r="H4167" t="s">
        <v>749</v>
      </c>
      <c r="I4167" t="s">
        <v>743</v>
      </c>
      <c r="J4167" t="s">
        <v>379</v>
      </c>
      <c r="K4167" t="s">
        <v>546</v>
      </c>
      <c r="L4167" s="784">
        <v>0</v>
      </c>
      <c r="M4167" t="s">
        <v>745</v>
      </c>
      <c r="N4167" s="784" t="s">
        <v>575</v>
      </c>
      <c r="O4167" t="s">
        <v>737</v>
      </c>
      <c r="P4167" t="s">
        <v>1887</v>
      </c>
      <c r="R4167" t="s">
        <v>550</v>
      </c>
      <c r="S4167" t="s">
        <v>146</v>
      </c>
      <c r="U4167">
        <v>0</v>
      </c>
      <c r="V4167" t="s">
        <v>544</v>
      </c>
      <c r="W4167" t="s">
        <v>575</v>
      </c>
      <c r="X4167" s="784">
        <v>4001891446.6871672</v>
      </c>
    </row>
    <row r="4168" spans="1:24">
      <c r="A4168" t="s">
        <v>358</v>
      </c>
      <c r="B4168" t="s">
        <v>694</v>
      </c>
      <c r="C4168" t="s">
        <v>292</v>
      </c>
      <c r="D4168" t="s">
        <v>127</v>
      </c>
      <c r="E4168" t="s">
        <v>377</v>
      </c>
      <c r="F4168" t="s">
        <v>312</v>
      </c>
      <c r="G4168" t="s">
        <v>350</v>
      </c>
      <c r="H4168" t="s">
        <v>749</v>
      </c>
      <c r="I4168" t="s">
        <v>743</v>
      </c>
      <c r="J4168" t="s">
        <v>379</v>
      </c>
      <c r="K4168" t="s">
        <v>546</v>
      </c>
      <c r="L4168" s="784">
        <v>0</v>
      </c>
      <c r="M4168" t="s">
        <v>745</v>
      </c>
      <c r="N4168" s="784" t="s">
        <v>575</v>
      </c>
      <c r="O4168" t="s">
        <v>737</v>
      </c>
      <c r="P4168" t="s">
        <v>1887</v>
      </c>
      <c r="R4168" t="s">
        <v>150</v>
      </c>
      <c r="S4168" t="s">
        <v>145</v>
      </c>
      <c r="U4168">
        <v>0</v>
      </c>
      <c r="V4168" t="s">
        <v>544</v>
      </c>
      <c r="W4168" t="s">
        <v>558</v>
      </c>
      <c r="X4168" s="784">
        <v>1019800630.5853213</v>
      </c>
    </row>
    <row r="4169" spans="1:24">
      <c r="A4169" t="s">
        <v>358</v>
      </c>
      <c r="B4169" t="s">
        <v>695</v>
      </c>
      <c r="C4169" t="s">
        <v>293</v>
      </c>
      <c r="D4169" t="s">
        <v>126</v>
      </c>
      <c r="E4169" t="s">
        <v>377</v>
      </c>
      <c r="F4169" t="s">
        <v>312</v>
      </c>
      <c r="G4169" t="s">
        <v>350</v>
      </c>
      <c r="H4169" t="s">
        <v>749</v>
      </c>
      <c r="I4169" t="s">
        <v>743</v>
      </c>
      <c r="J4169" t="s">
        <v>379</v>
      </c>
      <c r="K4169" t="s">
        <v>546</v>
      </c>
      <c r="L4169" s="784">
        <v>0</v>
      </c>
      <c r="M4169" t="s">
        <v>745</v>
      </c>
      <c r="N4169" s="784" t="s">
        <v>575</v>
      </c>
      <c r="O4169" t="s">
        <v>737</v>
      </c>
      <c r="P4169" t="s">
        <v>1887</v>
      </c>
      <c r="R4169" t="s">
        <v>150</v>
      </c>
      <c r="S4169" t="s">
        <v>145</v>
      </c>
      <c r="U4169">
        <v>0</v>
      </c>
      <c r="V4169" t="s">
        <v>541</v>
      </c>
      <c r="W4169" t="s">
        <v>562</v>
      </c>
      <c r="X4169" s="784">
        <v>19578671.310841195</v>
      </c>
    </row>
    <row r="4170" spans="1:24">
      <c r="A4170" t="s">
        <v>358</v>
      </c>
      <c r="B4170" t="s">
        <v>696</v>
      </c>
      <c r="C4170" t="s">
        <v>294</v>
      </c>
      <c r="D4170" t="s">
        <v>130</v>
      </c>
      <c r="E4170" t="s">
        <v>377</v>
      </c>
      <c r="F4170" t="s">
        <v>312</v>
      </c>
      <c r="G4170" t="s">
        <v>350</v>
      </c>
      <c r="H4170" t="s">
        <v>749</v>
      </c>
      <c r="I4170" t="s">
        <v>743</v>
      </c>
      <c r="J4170" t="s">
        <v>379</v>
      </c>
      <c r="K4170" t="s">
        <v>546</v>
      </c>
      <c r="L4170" s="784">
        <v>0</v>
      </c>
      <c r="M4170" t="s">
        <v>745</v>
      </c>
      <c r="N4170" s="784" t="s">
        <v>575</v>
      </c>
      <c r="O4170" t="s">
        <v>737</v>
      </c>
      <c r="P4170" t="s">
        <v>1887</v>
      </c>
      <c r="R4170" t="s">
        <v>322</v>
      </c>
      <c r="S4170" t="s">
        <v>146</v>
      </c>
      <c r="U4170">
        <v>0</v>
      </c>
      <c r="V4170" t="s">
        <v>544</v>
      </c>
      <c r="W4170" t="s">
        <v>546</v>
      </c>
      <c r="X4170" s="784">
        <v>3551452001.0684834</v>
      </c>
    </row>
    <row r="4171" spans="1:24">
      <c r="A4171" t="s">
        <v>358</v>
      </c>
      <c r="B4171" t="s">
        <v>697</v>
      </c>
      <c r="C4171" t="s">
        <v>295</v>
      </c>
      <c r="D4171" t="s">
        <v>126</v>
      </c>
      <c r="E4171" t="s">
        <v>377</v>
      </c>
      <c r="F4171" t="s">
        <v>312</v>
      </c>
      <c r="G4171" t="s">
        <v>350</v>
      </c>
      <c r="H4171" t="s">
        <v>749</v>
      </c>
      <c r="I4171" t="s">
        <v>743</v>
      </c>
      <c r="J4171" t="s">
        <v>379</v>
      </c>
      <c r="K4171" t="s">
        <v>546</v>
      </c>
      <c r="L4171" s="784">
        <v>0</v>
      </c>
      <c r="M4171" t="s">
        <v>745</v>
      </c>
      <c r="N4171" s="784" t="s">
        <v>575</v>
      </c>
      <c r="O4171" t="s">
        <v>737</v>
      </c>
      <c r="P4171" t="s">
        <v>1887</v>
      </c>
      <c r="R4171" t="s">
        <v>150</v>
      </c>
      <c r="S4171" t="s">
        <v>145</v>
      </c>
      <c r="U4171">
        <v>0</v>
      </c>
      <c r="V4171" t="s">
        <v>544</v>
      </c>
      <c r="W4171" t="s">
        <v>546</v>
      </c>
      <c r="X4171" s="784">
        <v>6603048821.7575006</v>
      </c>
    </row>
    <row r="4172" spans="1:24">
      <c r="A4172" t="s">
        <v>358</v>
      </c>
      <c r="B4172" t="s">
        <v>698</v>
      </c>
      <c r="C4172" t="s">
        <v>296</v>
      </c>
      <c r="D4172" t="s">
        <v>131</v>
      </c>
      <c r="E4172" t="s">
        <v>377</v>
      </c>
      <c r="F4172" t="s">
        <v>312</v>
      </c>
      <c r="G4172" t="s">
        <v>350</v>
      </c>
      <c r="H4172" t="s">
        <v>749</v>
      </c>
      <c r="I4172" t="s">
        <v>743</v>
      </c>
      <c r="J4172" t="s">
        <v>379</v>
      </c>
      <c r="K4172" t="s">
        <v>546</v>
      </c>
      <c r="L4172" s="784">
        <v>126204</v>
      </c>
      <c r="M4172" t="s">
        <v>745</v>
      </c>
      <c r="N4172" s="784" t="s">
        <v>575</v>
      </c>
      <c r="O4172" t="s">
        <v>737</v>
      </c>
      <c r="P4172" t="s">
        <v>1887</v>
      </c>
      <c r="R4172" t="s">
        <v>148</v>
      </c>
      <c r="S4172" t="s">
        <v>145</v>
      </c>
      <c r="U4172">
        <v>1</v>
      </c>
      <c r="V4172" t="s">
        <v>544</v>
      </c>
      <c r="W4172" t="s">
        <v>548</v>
      </c>
      <c r="X4172" s="784" t="s">
        <v>575</v>
      </c>
    </row>
    <row r="4173" spans="1:24">
      <c r="A4173" t="s">
        <v>358</v>
      </c>
      <c r="B4173" t="s">
        <v>699</v>
      </c>
      <c r="C4173" t="s">
        <v>297</v>
      </c>
      <c r="D4173" t="s">
        <v>128</v>
      </c>
      <c r="E4173" t="s">
        <v>377</v>
      </c>
      <c r="F4173" t="s">
        <v>312</v>
      </c>
      <c r="G4173" t="s">
        <v>350</v>
      </c>
      <c r="H4173" t="s">
        <v>749</v>
      </c>
      <c r="I4173" t="s">
        <v>743</v>
      </c>
      <c r="J4173" t="s">
        <v>379</v>
      </c>
      <c r="K4173" t="s">
        <v>546</v>
      </c>
      <c r="L4173" s="784">
        <v>148853</v>
      </c>
      <c r="M4173" t="s">
        <v>745</v>
      </c>
      <c r="N4173" s="784" t="s">
        <v>575</v>
      </c>
      <c r="O4173" t="s">
        <v>737</v>
      </c>
      <c r="P4173" t="s">
        <v>1887</v>
      </c>
      <c r="R4173" t="s">
        <v>150</v>
      </c>
      <c r="S4173" t="s">
        <v>145</v>
      </c>
      <c r="U4173">
        <v>0</v>
      </c>
      <c r="V4173" t="s">
        <v>544</v>
      </c>
      <c r="W4173" t="s">
        <v>542</v>
      </c>
      <c r="X4173" s="784">
        <v>515352723.9821828</v>
      </c>
    </row>
    <row r="4174" spans="1:24">
      <c r="A4174" t="s">
        <v>358</v>
      </c>
      <c r="B4174" t="s">
        <v>700</v>
      </c>
      <c r="C4174" t="s">
        <v>298</v>
      </c>
      <c r="D4174" t="s">
        <v>128</v>
      </c>
      <c r="E4174" t="s">
        <v>377</v>
      </c>
      <c r="F4174" t="s">
        <v>312</v>
      </c>
      <c r="G4174" t="s">
        <v>350</v>
      </c>
      <c r="H4174" t="s">
        <v>749</v>
      </c>
      <c r="I4174" t="s">
        <v>743</v>
      </c>
      <c r="J4174" t="s">
        <v>379</v>
      </c>
      <c r="K4174" t="s">
        <v>546</v>
      </c>
      <c r="L4174" s="784">
        <v>0</v>
      </c>
      <c r="M4174" t="s">
        <v>745</v>
      </c>
      <c r="N4174" s="784" t="s">
        <v>575</v>
      </c>
      <c r="O4174" t="s">
        <v>737</v>
      </c>
      <c r="P4174" t="s">
        <v>1887</v>
      </c>
      <c r="R4174" t="s">
        <v>150</v>
      </c>
      <c r="S4174" t="s">
        <v>145</v>
      </c>
      <c r="U4174">
        <v>0</v>
      </c>
      <c r="V4174" t="s">
        <v>544</v>
      </c>
      <c r="W4174" t="s">
        <v>546</v>
      </c>
      <c r="X4174" s="784">
        <v>566711742.22428358</v>
      </c>
    </row>
    <row r="4175" spans="1:24">
      <c r="A4175" t="s">
        <v>358</v>
      </c>
      <c r="B4175" t="s">
        <v>540</v>
      </c>
      <c r="C4175" t="s">
        <v>160</v>
      </c>
      <c r="D4175" t="s">
        <v>132</v>
      </c>
      <c r="E4175" t="s">
        <v>377</v>
      </c>
      <c r="F4175" t="s">
        <v>312</v>
      </c>
      <c r="G4175" t="s">
        <v>349</v>
      </c>
      <c r="H4175" t="s">
        <v>749</v>
      </c>
      <c r="I4175" t="s">
        <v>743</v>
      </c>
      <c r="J4175" t="s">
        <v>379</v>
      </c>
      <c r="K4175" t="s">
        <v>546</v>
      </c>
      <c r="L4175" s="784">
        <v>0</v>
      </c>
      <c r="M4175" t="s">
        <v>745</v>
      </c>
      <c r="N4175" s="784" t="s">
        <v>575</v>
      </c>
      <c r="O4175" t="s">
        <v>737</v>
      </c>
      <c r="P4175" t="s">
        <v>1887</v>
      </c>
      <c r="R4175" t="s">
        <v>148</v>
      </c>
      <c r="S4175" t="s">
        <v>145</v>
      </c>
      <c r="U4175">
        <v>1</v>
      </c>
      <c r="V4175" t="s">
        <v>544</v>
      </c>
      <c r="W4175" t="s">
        <v>542</v>
      </c>
      <c r="X4175" s="784">
        <v>95829480.719269618</v>
      </c>
    </row>
    <row r="4176" spans="1:24">
      <c r="A4176" t="s">
        <v>358</v>
      </c>
      <c r="B4176" t="s">
        <v>543</v>
      </c>
      <c r="C4176" t="s">
        <v>161</v>
      </c>
      <c r="D4176" t="s">
        <v>127</v>
      </c>
      <c r="E4176" t="s">
        <v>377</v>
      </c>
      <c r="F4176" t="s">
        <v>312</v>
      </c>
      <c r="G4176" t="s">
        <v>349</v>
      </c>
      <c r="H4176" t="s">
        <v>749</v>
      </c>
      <c r="I4176" t="s">
        <v>743</v>
      </c>
      <c r="J4176" t="s">
        <v>379</v>
      </c>
      <c r="K4176" t="s">
        <v>546</v>
      </c>
      <c r="L4176" s="784">
        <v>0</v>
      </c>
      <c r="M4176" t="s">
        <v>745</v>
      </c>
      <c r="N4176" s="784" t="s">
        <v>575</v>
      </c>
      <c r="O4176" t="s">
        <v>737</v>
      </c>
      <c r="P4176" t="s">
        <v>1887</v>
      </c>
      <c r="R4176" t="s">
        <v>152</v>
      </c>
      <c r="S4176" t="s">
        <v>146</v>
      </c>
      <c r="U4176">
        <v>0</v>
      </c>
      <c r="V4176" t="s">
        <v>544</v>
      </c>
      <c r="W4176" t="s">
        <v>575</v>
      </c>
      <c r="X4176" s="784">
        <v>427904035.52443534</v>
      </c>
    </row>
    <row r="4177" spans="1:24">
      <c r="A4177" t="s">
        <v>358</v>
      </c>
      <c r="B4177" t="s">
        <v>545</v>
      </c>
      <c r="C4177" t="s">
        <v>143</v>
      </c>
      <c r="D4177" t="s">
        <v>131</v>
      </c>
      <c r="E4177" t="s">
        <v>377</v>
      </c>
      <c r="F4177" t="s">
        <v>312</v>
      </c>
      <c r="G4177" t="s">
        <v>349</v>
      </c>
      <c r="H4177" t="s">
        <v>749</v>
      </c>
      <c r="I4177" t="s">
        <v>743</v>
      </c>
      <c r="J4177" t="s">
        <v>379</v>
      </c>
      <c r="K4177" t="s">
        <v>546</v>
      </c>
      <c r="L4177" s="784">
        <v>0</v>
      </c>
      <c r="M4177" t="s">
        <v>745</v>
      </c>
      <c r="N4177" s="784" t="s">
        <v>575</v>
      </c>
      <c r="O4177" t="s">
        <v>737</v>
      </c>
      <c r="P4177" t="s">
        <v>1887</v>
      </c>
      <c r="R4177" t="s">
        <v>150</v>
      </c>
      <c r="S4177" t="s">
        <v>145</v>
      </c>
      <c r="U4177">
        <v>0</v>
      </c>
      <c r="V4177" t="s">
        <v>544</v>
      </c>
      <c r="W4177" t="s">
        <v>546</v>
      </c>
      <c r="X4177" s="784">
        <v>7113361022.7267885</v>
      </c>
    </row>
    <row r="4178" spans="1:24">
      <c r="A4178" t="s">
        <v>358</v>
      </c>
      <c r="B4178" t="s">
        <v>547</v>
      </c>
      <c r="C4178" t="s">
        <v>162</v>
      </c>
      <c r="D4178" t="s">
        <v>128</v>
      </c>
      <c r="E4178" t="s">
        <v>377</v>
      </c>
      <c r="F4178" t="s">
        <v>312</v>
      </c>
      <c r="G4178" t="s">
        <v>349</v>
      </c>
      <c r="H4178" t="s">
        <v>749</v>
      </c>
      <c r="I4178" t="s">
        <v>743</v>
      </c>
      <c r="J4178" t="s">
        <v>379</v>
      </c>
      <c r="K4178" t="s">
        <v>546</v>
      </c>
      <c r="L4178" s="784">
        <v>0</v>
      </c>
      <c r="M4178" t="s">
        <v>745</v>
      </c>
      <c r="N4178" s="784" t="s">
        <v>575</v>
      </c>
      <c r="O4178" t="s">
        <v>737</v>
      </c>
      <c r="P4178" t="s">
        <v>1887</v>
      </c>
      <c r="R4178" t="s">
        <v>150</v>
      </c>
      <c r="S4178" t="s">
        <v>145</v>
      </c>
      <c r="U4178">
        <v>0</v>
      </c>
      <c r="V4178" t="s">
        <v>544</v>
      </c>
      <c r="W4178" t="s">
        <v>548</v>
      </c>
      <c r="X4178" s="784">
        <v>1131865946.5875781</v>
      </c>
    </row>
    <row r="4179" spans="1:24">
      <c r="A4179" t="s">
        <v>358</v>
      </c>
      <c r="B4179" t="s">
        <v>549</v>
      </c>
      <c r="C4179" t="s">
        <v>163</v>
      </c>
      <c r="D4179" t="s">
        <v>130</v>
      </c>
      <c r="E4179" t="s">
        <v>377</v>
      </c>
      <c r="F4179" t="s">
        <v>312</v>
      </c>
      <c r="G4179" t="s">
        <v>349</v>
      </c>
      <c r="H4179" t="s">
        <v>749</v>
      </c>
      <c r="I4179" t="s">
        <v>743</v>
      </c>
      <c r="J4179" t="s">
        <v>379</v>
      </c>
      <c r="K4179" t="s">
        <v>546</v>
      </c>
      <c r="L4179" s="784">
        <v>0</v>
      </c>
      <c r="M4179" t="s">
        <v>745</v>
      </c>
      <c r="N4179" s="784" t="s">
        <v>575</v>
      </c>
      <c r="O4179" t="s">
        <v>737</v>
      </c>
      <c r="P4179" t="s">
        <v>1887</v>
      </c>
      <c r="R4179" t="s">
        <v>550</v>
      </c>
      <c r="S4179" t="s">
        <v>146</v>
      </c>
      <c r="U4179">
        <v>0</v>
      </c>
      <c r="V4179" t="s">
        <v>541</v>
      </c>
      <c r="W4179" t="s">
        <v>575</v>
      </c>
      <c r="X4179" s="784">
        <v>46777779.823447868</v>
      </c>
    </row>
    <row r="4180" spans="1:24">
      <c r="A4180" t="s">
        <v>358</v>
      </c>
      <c r="B4180" t="s">
        <v>551</v>
      </c>
      <c r="C4180" t="s">
        <v>164</v>
      </c>
      <c r="D4180" t="s">
        <v>130</v>
      </c>
      <c r="E4180" t="s">
        <v>377</v>
      </c>
      <c r="F4180" t="s">
        <v>312</v>
      </c>
      <c r="G4180" t="s">
        <v>349</v>
      </c>
      <c r="H4180" t="s">
        <v>749</v>
      </c>
      <c r="I4180" t="s">
        <v>743</v>
      </c>
      <c r="J4180" t="s">
        <v>379</v>
      </c>
      <c r="K4180" t="s">
        <v>546</v>
      </c>
      <c r="L4180" s="784">
        <v>0</v>
      </c>
      <c r="M4180" t="s">
        <v>745</v>
      </c>
      <c r="N4180" s="784" t="s">
        <v>575</v>
      </c>
      <c r="O4180" t="s">
        <v>737</v>
      </c>
      <c r="P4180" t="s">
        <v>1887</v>
      </c>
      <c r="R4180" t="s">
        <v>152</v>
      </c>
      <c r="S4180" t="s">
        <v>146</v>
      </c>
      <c r="U4180">
        <v>0</v>
      </c>
      <c r="V4180" t="s">
        <v>544</v>
      </c>
      <c r="W4180" t="s">
        <v>575</v>
      </c>
      <c r="X4180" s="784">
        <v>30725305777.596794</v>
      </c>
    </row>
    <row r="4181" spans="1:24">
      <c r="A4181" t="s">
        <v>358</v>
      </c>
      <c r="B4181" t="s">
        <v>553</v>
      </c>
      <c r="C4181" t="s">
        <v>165</v>
      </c>
      <c r="D4181" t="s">
        <v>127</v>
      </c>
      <c r="E4181" t="s">
        <v>377</v>
      </c>
      <c r="F4181" t="s">
        <v>312</v>
      </c>
      <c r="G4181" t="s">
        <v>349</v>
      </c>
      <c r="H4181" t="s">
        <v>749</v>
      </c>
      <c r="I4181" t="s">
        <v>743</v>
      </c>
      <c r="J4181" t="s">
        <v>379</v>
      </c>
      <c r="K4181" t="s">
        <v>546</v>
      </c>
      <c r="L4181" s="784">
        <v>0</v>
      </c>
      <c r="M4181" t="s">
        <v>745</v>
      </c>
      <c r="N4181" s="784" t="s">
        <v>575</v>
      </c>
      <c r="O4181" t="s">
        <v>737</v>
      </c>
      <c r="P4181" t="s">
        <v>1887</v>
      </c>
      <c r="R4181" t="s">
        <v>152</v>
      </c>
      <c r="S4181" t="s">
        <v>146</v>
      </c>
      <c r="U4181">
        <v>0</v>
      </c>
      <c r="V4181" t="s">
        <v>544</v>
      </c>
      <c r="W4181" t="s">
        <v>575</v>
      </c>
      <c r="X4181" s="784">
        <v>153815827.8380394</v>
      </c>
    </row>
    <row r="4182" spans="1:24">
      <c r="A4182" t="s">
        <v>358</v>
      </c>
      <c r="B4182" t="s">
        <v>554</v>
      </c>
      <c r="C4182" t="s">
        <v>166</v>
      </c>
      <c r="D4182" t="s">
        <v>127</v>
      </c>
      <c r="E4182" t="s">
        <v>377</v>
      </c>
      <c r="F4182" t="s">
        <v>312</v>
      </c>
      <c r="G4182" t="s">
        <v>349</v>
      </c>
      <c r="H4182" t="s">
        <v>749</v>
      </c>
      <c r="I4182" t="s">
        <v>743</v>
      </c>
      <c r="J4182" t="s">
        <v>379</v>
      </c>
      <c r="K4182" t="s">
        <v>546</v>
      </c>
      <c r="L4182" s="784">
        <v>0</v>
      </c>
      <c r="M4182" t="s">
        <v>745</v>
      </c>
      <c r="N4182" s="784" t="s">
        <v>575</v>
      </c>
      <c r="O4182" t="s">
        <v>737</v>
      </c>
      <c r="P4182" t="s">
        <v>1887</v>
      </c>
      <c r="R4182" t="s">
        <v>152</v>
      </c>
      <c r="S4182" t="s">
        <v>146</v>
      </c>
      <c r="U4182">
        <v>0</v>
      </c>
      <c r="V4182" t="s">
        <v>544</v>
      </c>
      <c r="W4182" t="s">
        <v>546</v>
      </c>
      <c r="X4182" s="784">
        <v>437525105.31216973</v>
      </c>
    </row>
    <row r="4183" spans="1:24">
      <c r="A4183" t="s">
        <v>358</v>
      </c>
      <c r="B4183" t="s">
        <v>555</v>
      </c>
      <c r="C4183" t="s">
        <v>556</v>
      </c>
      <c r="D4183" t="s">
        <v>130</v>
      </c>
      <c r="E4183" t="s">
        <v>377</v>
      </c>
      <c r="F4183" t="s">
        <v>312</v>
      </c>
      <c r="G4183" t="s">
        <v>349</v>
      </c>
      <c r="H4183" t="s">
        <v>749</v>
      </c>
      <c r="I4183" t="s">
        <v>743</v>
      </c>
      <c r="J4183" t="s">
        <v>379</v>
      </c>
      <c r="K4183" t="s">
        <v>546</v>
      </c>
      <c r="L4183" s="784">
        <v>0</v>
      </c>
      <c r="M4183" t="s">
        <v>745</v>
      </c>
      <c r="N4183" s="784" t="s">
        <v>575</v>
      </c>
      <c r="O4183" t="s">
        <v>737</v>
      </c>
      <c r="P4183" t="s">
        <v>1887</v>
      </c>
      <c r="R4183" t="s">
        <v>550</v>
      </c>
      <c r="S4183" t="s">
        <v>146</v>
      </c>
      <c r="U4183">
        <v>0</v>
      </c>
      <c r="V4183" t="s">
        <v>541</v>
      </c>
      <c r="W4183" t="s">
        <v>575</v>
      </c>
      <c r="X4183" s="784">
        <v>149463302.00602186</v>
      </c>
    </row>
    <row r="4184" spans="1:24">
      <c r="A4184" t="s">
        <v>358</v>
      </c>
      <c r="B4184" t="s">
        <v>557</v>
      </c>
      <c r="C4184" t="s">
        <v>167</v>
      </c>
      <c r="D4184" t="s">
        <v>132</v>
      </c>
      <c r="E4184" t="s">
        <v>377</v>
      </c>
      <c r="F4184" t="s">
        <v>312</v>
      </c>
      <c r="G4184" t="s">
        <v>349</v>
      </c>
      <c r="H4184" t="s">
        <v>749</v>
      </c>
      <c r="I4184" t="s">
        <v>743</v>
      </c>
      <c r="J4184" t="s">
        <v>379</v>
      </c>
      <c r="K4184" t="s">
        <v>546</v>
      </c>
      <c r="L4184" s="784">
        <v>0</v>
      </c>
      <c r="M4184" t="s">
        <v>745</v>
      </c>
      <c r="N4184" s="784" t="s">
        <v>575</v>
      </c>
      <c r="O4184" t="s">
        <v>737</v>
      </c>
      <c r="P4184" t="s">
        <v>1887</v>
      </c>
      <c r="R4184" t="s">
        <v>150</v>
      </c>
      <c r="S4184" t="s">
        <v>145</v>
      </c>
      <c r="U4184">
        <v>0</v>
      </c>
      <c r="V4184" t="s">
        <v>544</v>
      </c>
      <c r="W4184" t="s">
        <v>558</v>
      </c>
      <c r="X4184" s="784">
        <v>1148322593.9600098</v>
      </c>
    </row>
    <row r="4185" spans="1:24">
      <c r="A4185" t="s">
        <v>358</v>
      </c>
      <c r="B4185" t="s">
        <v>559</v>
      </c>
      <c r="C4185" t="s">
        <v>168</v>
      </c>
      <c r="D4185" t="s">
        <v>127</v>
      </c>
      <c r="E4185" t="s">
        <v>377</v>
      </c>
      <c r="F4185" t="s">
        <v>312</v>
      </c>
      <c r="G4185" t="s">
        <v>349</v>
      </c>
      <c r="H4185" t="s">
        <v>749</v>
      </c>
      <c r="I4185" t="s">
        <v>743</v>
      </c>
      <c r="J4185" t="s">
        <v>379</v>
      </c>
      <c r="K4185" t="s">
        <v>546</v>
      </c>
      <c r="L4185" s="784">
        <v>0</v>
      </c>
      <c r="M4185" t="s">
        <v>745</v>
      </c>
      <c r="N4185" s="784" t="s">
        <v>575</v>
      </c>
      <c r="O4185" t="s">
        <v>737</v>
      </c>
      <c r="P4185" t="s">
        <v>1887</v>
      </c>
      <c r="R4185" t="s">
        <v>152</v>
      </c>
      <c r="S4185" t="s">
        <v>146</v>
      </c>
      <c r="U4185">
        <v>0</v>
      </c>
      <c r="V4185" t="s">
        <v>544</v>
      </c>
      <c r="W4185" t="s">
        <v>575</v>
      </c>
      <c r="X4185" s="784">
        <v>2371102058.1093163</v>
      </c>
    </row>
    <row r="4186" spans="1:24">
      <c r="A4186" t="s">
        <v>358</v>
      </c>
      <c r="B4186" t="s">
        <v>560</v>
      </c>
      <c r="C4186" t="s">
        <v>169</v>
      </c>
      <c r="D4186" t="s">
        <v>130</v>
      </c>
      <c r="E4186" t="s">
        <v>377</v>
      </c>
      <c r="F4186" t="s">
        <v>312</v>
      </c>
      <c r="G4186" t="s">
        <v>349</v>
      </c>
      <c r="H4186" t="s">
        <v>749</v>
      </c>
      <c r="I4186" t="s">
        <v>743</v>
      </c>
      <c r="J4186" t="s">
        <v>379</v>
      </c>
      <c r="K4186" t="s">
        <v>546</v>
      </c>
      <c r="L4186" s="784">
        <v>0</v>
      </c>
      <c r="M4186" t="s">
        <v>745</v>
      </c>
      <c r="N4186" s="784" t="s">
        <v>575</v>
      </c>
      <c r="O4186" t="s">
        <v>737</v>
      </c>
      <c r="P4186" t="s">
        <v>1887</v>
      </c>
      <c r="R4186" t="s">
        <v>150</v>
      </c>
      <c r="S4186" t="s">
        <v>146</v>
      </c>
      <c r="U4186">
        <v>0</v>
      </c>
      <c r="V4186" t="s">
        <v>541</v>
      </c>
      <c r="W4186" t="s">
        <v>546</v>
      </c>
      <c r="X4186" s="784">
        <v>75151620.005215243</v>
      </c>
    </row>
    <row r="4187" spans="1:24">
      <c r="A4187" t="s">
        <v>358</v>
      </c>
      <c r="B4187" t="s">
        <v>561</v>
      </c>
      <c r="C4187" t="s">
        <v>170</v>
      </c>
      <c r="D4187" t="s">
        <v>129</v>
      </c>
      <c r="E4187" t="s">
        <v>377</v>
      </c>
      <c r="F4187" t="s">
        <v>312</v>
      </c>
      <c r="G4187" t="s">
        <v>349</v>
      </c>
      <c r="H4187" t="s">
        <v>749</v>
      </c>
      <c r="I4187" t="s">
        <v>743</v>
      </c>
      <c r="J4187" t="s">
        <v>379</v>
      </c>
      <c r="K4187" t="s">
        <v>546</v>
      </c>
      <c r="L4187" s="784">
        <v>0</v>
      </c>
      <c r="M4187" t="s">
        <v>745</v>
      </c>
      <c r="N4187" s="784" t="s">
        <v>575</v>
      </c>
      <c r="O4187" t="s">
        <v>737</v>
      </c>
      <c r="P4187" t="s">
        <v>1887</v>
      </c>
      <c r="R4187" t="s">
        <v>150</v>
      </c>
      <c r="S4187" t="s">
        <v>145</v>
      </c>
      <c r="U4187">
        <v>0</v>
      </c>
      <c r="V4187" t="s">
        <v>544</v>
      </c>
      <c r="W4187" t="s">
        <v>562</v>
      </c>
      <c r="X4187" s="784">
        <v>69958487.197715744</v>
      </c>
    </row>
    <row r="4188" spans="1:24">
      <c r="A4188" t="s">
        <v>358</v>
      </c>
      <c r="B4188" t="s">
        <v>563</v>
      </c>
      <c r="C4188" t="s">
        <v>171</v>
      </c>
      <c r="D4188" t="s">
        <v>132</v>
      </c>
      <c r="E4188" t="s">
        <v>377</v>
      </c>
      <c r="F4188" t="s">
        <v>312</v>
      </c>
      <c r="G4188" t="s">
        <v>349</v>
      </c>
      <c r="H4188" t="s">
        <v>749</v>
      </c>
      <c r="I4188" t="s">
        <v>743</v>
      </c>
      <c r="J4188" t="s">
        <v>379</v>
      </c>
      <c r="K4188" t="s">
        <v>546</v>
      </c>
      <c r="L4188" s="784">
        <v>0</v>
      </c>
      <c r="M4188" t="s">
        <v>745</v>
      </c>
      <c r="N4188" s="784" t="s">
        <v>575</v>
      </c>
      <c r="O4188" t="s">
        <v>737</v>
      </c>
      <c r="P4188" t="s">
        <v>1887</v>
      </c>
      <c r="R4188" t="s">
        <v>150</v>
      </c>
      <c r="S4188" t="s">
        <v>145</v>
      </c>
      <c r="U4188">
        <v>0</v>
      </c>
      <c r="V4188" t="s">
        <v>544</v>
      </c>
      <c r="W4188" t="s">
        <v>548</v>
      </c>
      <c r="X4188" s="784">
        <v>61654608.560629159</v>
      </c>
    </row>
    <row r="4189" spans="1:24">
      <c r="A4189" t="s">
        <v>358</v>
      </c>
      <c r="B4189" t="s">
        <v>564</v>
      </c>
      <c r="C4189" t="s">
        <v>172</v>
      </c>
      <c r="D4189" t="s">
        <v>130</v>
      </c>
      <c r="E4189" t="s">
        <v>377</v>
      </c>
      <c r="F4189" t="s">
        <v>312</v>
      </c>
      <c r="G4189" t="s">
        <v>349</v>
      </c>
      <c r="H4189" t="s">
        <v>749</v>
      </c>
      <c r="I4189" t="s">
        <v>743</v>
      </c>
      <c r="J4189" t="s">
        <v>379</v>
      </c>
      <c r="K4189" t="s">
        <v>546</v>
      </c>
      <c r="L4189" s="784">
        <v>0</v>
      </c>
      <c r="M4189" t="s">
        <v>745</v>
      </c>
      <c r="N4189" s="784" t="s">
        <v>575</v>
      </c>
      <c r="O4189" t="s">
        <v>737</v>
      </c>
      <c r="P4189" t="s">
        <v>1887</v>
      </c>
      <c r="R4189" t="s">
        <v>150</v>
      </c>
      <c r="S4189" t="s">
        <v>145</v>
      </c>
      <c r="U4189">
        <v>0</v>
      </c>
      <c r="V4189" t="s">
        <v>544</v>
      </c>
      <c r="W4189" t="s">
        <v>546</v>
      </c>
      <c r="X4189" s="784">
        <v>1806638707.7615163</v>
      </c>
    </row>
    <row r="4190" spans="1:24">
      <c r="A4190" t="s">
        <v>358</v>
      </c>
      <c r="B4190" t="s">
        <v>565</v>
      </c>
      <c r="C4190" t="s">
        <v>174</v>
      </c>
      <c r="D4190" t="s">
        <v>127</v>
      </c>
      <c r="E4190" t="s">
        <v>377</v>
      </c>
      <c r="F4190" t="s">
        <v>312</v>
      </c>
      <c r="G4190" t="s">
        <v>349</v>
      </c>
      <c r="H4190" t="s">
        <v>749</v>
      </c>
      <c r="I4190" t="s">
        <v>743</v>
      </c>
      <c r="J4190" t="s">
        <v>379</v>
      </c>
      <c r="K4190" t="s">
        <v>546</v>
      </c>
      <c r="L4190" s="784">
        <v>0</v>
      </c>
      <c r="M4190" t="s">
        <v>745</v>
      </c>
      <c r="N4190" s="784" t="s">
        <v>575</v>
      </c>
      <c r="O4190" t="s">
        <v>737</v>
      </c>
      <c r="P4190" t="s">
        <v>1887</v>
      </c>
      <c r="R4190" t="s">
        <v>152</v>
      </c>
      <c r="S4190" t="s">
        <v>146</v>
      </c>
      <c r="U4190">
        <v>0</v>
      </c>
      <c r="V4190" t="s">
        <v>544</v>
      </c>
      <c r="W4190" t="s">
        <v>546</v>
      </c>
      <c r="X4190" s="784">
        <v>1252696525.0627904</v>
      </c>
    </row>
    <row r="4191" spans="1:24">
      <c r="A4191" t="s">
        <v>358</v>
      </c>
      <c r="B4191" t="s">
        <v>566</v>
      </c>
      <c r="C4191" t="s">
        <v>175</v>
      </c>
      <c r="D4191" t="s">
        <v>128</v>
      </c>
      <c r="E4191" t="s">
        <v>377</v>
      </c>
      <c r="F4191" t="s">
        <v>312</v>
      </c>
      <c r="G4191" t="s">
        <v>349</v>
      </c>
      <c r="H4191" t="s">
        <v>749</v>
      </c>
      <c r="I4191" t="s">
        <v>743</v>
      </c>
      <c r="J4191" t="s">
        <v>379</v>
      </c>
      <c r="K4191" t="s">
        <v>546</v>
      </c>
      <c r="L4191" s="784">
        <v>266162</v>
      </c>
      <c r="M4191" t="s">
        <v>745</v>
      </c>
      <c r="N4191" s="784" t="s">
        <v>575</v>
      </c>
      <c r="O4191" t="s">
        <v>737</v>
      </c>
      <c r="P4191" t="s">
        <v>1887</v>
      </c>
      <c r="R4191" t="s">
        <v>152</v>
      </c>
      <c r="S4191" t="s">
        <v>146</v>
      </c>
      <c r="U4191">
        <v>0</v>
      </c>
      <c r="V4191" t="s">
        <v>544</v>
      </c>
      <c r="W4191" t="s">
        <v>575</v>
      </c>
      <c r="X4191" s="784">
        <v>843425084.07334602</v>
      </c>
    </row>
    <row r="4192" spans="1:24">
      <c r="A4192" t="s">
        <v>358</v>
      </c>
      <c r="B4192" t="s">
        <v>567</v>
      </c>
      <c r="C4192" t="s">
        <v>144</v>
      </c>
      <c r="D4192" t="s">
        <v>130</v>
      </c>
      <c r="E4192" t="s">
        <v>377</v>
      </c>
      <c r="F4192" t="s">
        <v>312</v>
      </c>
      <c r="G4192" t="s">
        <v>349</v>
      </c>
      <c r="H4192" t="s">
        <v>749</v>
      </c>
      <c r="I4192" t="s">
        <v>743</v>
      </c>
      <c r="J4192" t="s">
        <v>379</v>
      </c>
      <c r="K4192" t="s">
        <v>546</v>
      </c>
      <c r="L4192" s="784">
        <v>0</v>
      </c>
      <c r="M4192" t="s">
        <v>745</v>
      </c>
      <c r="N4192" s="784" t="s">
        <v>575</v>
      </c>
      <c r="O4192" t="s">
        <v>737</v>
      </c>
      <c r="P4192" t="s">
        <v>1887</v>
      </c>
      <c r="R4192" t="s">
        <v>152</v>
      </c>
      <c r="S4192" t="s">
        <v>146</v>
      </c>
      <c r="U4192">
        <v>0</v>
      </c>
      <c r="V4192" t="s">
        <v>544</v>
      </c>
      <c r="W4192" t="s">
        <v>546</v>
      </c>
      <c r="X4192" s="784">
        <v>74055620038.853683</v>
      </c>
    </row>
    <row r="4193" spans="1:24">
      <c r="A4193" t="s">
        <v>358</v>
      </c>
      <c r="B4193" t="s">
        <v>568</v>
      </c>
      <c r="C4193" t="s">
        <v>176</v>
      </c>
      <c r="D4193" t="s">
        <v>127</v>
      </c>
      <c r="E4193" t="s">
        <v>377</v>
      </c>
      <c r="F4193" t="s">
        <v>312</v>
      </c>
      <c r="G4193" t="s">
        <v>349</v>
      </c>
      <c r="H4193" t="s">
        <v>749</v>
      </c>
      <c r="I4193" t="s">
        <v>743</v>
      </c>
      <c r="J4193" t="s">
        <v>379</v>
      </c>
      <c r="K4193" t="s">
        <v>546</v>
      </c>
      <c r="L4193" s="784">
        <v>0</v>
      </c>
      <c r="M4193" t="s">
        <v>745</v>
      </c>
      <c r="N4193" s="784" t="s">
        <v>575</v>
      </c>
      <c r="O4193" t="s">
        <v>737</v>
      </c>
      <c r="P4193" t="s">
        <v>1887</v>
      </c>
      <c r="R4193" t="s">
        <v>152</v>
      </c>
      <c r="S4193" t="s">
        <v>146</v>
      </c>
      <c r="U4193">
        <v>0</v>
      </c>
      <c r="V4193" t="s">
        <v>544</v>
      </c>
      <c r="W4193" t="s">
        <v>575</v>
      </c>
      <c r="X4193" s="784">
        <v>2803357765.5888777</v>
      </c>
    </row>
    <row r="4194" spans="1:24">
      <c r="A4194" t="s">
        <v>358</v>
      </c>
      <c r="B4194" t="s">
        <v>569</v>
      </c>
      <c r="C4194" t="s">
        <v>177</v>
      </c>
      <c r="D4194" t="s">
        <v>129</v>
      </c>
      <c r="E4194" t="s">
        <v>377</v>
      </c>
      <c r="F4194" t="s">
        <v>312</v>
      </c>
      <c r="G4194" t="s">
        <v>349</v>
      </c>
      <c r="H4194" t="s">
        <v>749</v>
      </c>
      <c r="I4194" t="s">
        <v>743</v>
      </c>
      <c r="J4194" t="s">
        <v>379</v>
      </c>
      <c r="K4194" t="s">
        <v>546</v>
      </c>
      <c r="L4194" s="784">
        <v>0</v>
      </c>
      <c r="M4194" t="s">
        <v>745</v>
      </c>
      <c r="N4194" s="784" t="s">
        <v>575</v>
      </c>
      <c r="O4194" t="s">
        <v>737</v>
      </c>
      <c r="P4194" t="s">
        <v>1887</v>
      </c>
      <c r="R4194" t="s">
        <v>148</v>
      </c>
      <c r="S4194" t="s">
        <v>145</v>
      </c>
      <c r="U4194">
        <v>2</v>
      </c>
      <c r="V4194" t="s">
        <v>544</v>
      </c>
      <c r="W4194" t="s">
        <v>562</v>
      </c>
      <c r="X4194" s="784">
        <v>337927779.25510043</v>
      </c>
    </row>
    <row r="4195" spans="1:24">
      <c r="A4195" t="s">
        <v>358</v>
      </c>
      <c r="B4195" t="s">
        <v>570</v>
      </c>
      <c r="C4195" t="s">
        <v>178</v>
      </c>
      <c r="D4195" t="s">
        <v>128</v>
      </c>
      <c r="E4195" t="s">
        <v>377</v>
      </c>
      <c r="F4195" t="s">
        <v>312</v>
      </c>
      <c r="G4195" t="s">
        <v>349</v>
      </c>
      <c r="H4195" t="s">
        <v>749</v>
      </c>
      <c r="I4195" t="s">
        <v>743</v>
      </c>
      <c r="J4195" t="s">
        <v>379</v>
      </c>
      <c r="K4195" t="s">
        <v>546</v>
      </c>
      <c r="L4195" s="784">
        <v>0</v>
      </c>
      <c r="M4195" t="s">
        <v>745</v>
      </c>
      <c r="N4195" s="784" t="s">
        <v>575</v>
      </c>
      <c r="O4195" t="s">
        <v>737</v>
      </c>
      <c r="P4195" t="s">
        <v>1887</v>
      </c>
      <c r="R4195" t="s">
        <v>148</v>
      </c>
      <c r="S4195" t="s">
        <v>145</v>
      </c>
      <c r="U4195">
        <v>2</v>
      </c>
      <c r="V4195" t="s">
        <v>544</v>
      </c>
      <c r="W4195" t="s">
        <v>548</v>
      </c>
      <c r="X4195" s="784">
        <v>65979512.47399316</v>
      </c>
    </row>
    <row r="4196" spans="1:24">
      <c r="A4196" t="s">
        <v>358</v>
      </c>
      <c r="B4196" t="s">
        <v>571</v>
      </c>
      <c r="C4196" t="s">
        <v>179</v>
      </c>
      <c r="D4196" t="s">
        <v>129</v>
      </c>
      <c r="E4196" t="s">
        <v>377</v>
      </c>
      <c r="F4196" t="s">
        <v>312</v>
      </c>
      <c r="G4196" t="s">
        <v>349</v>
      </c>
      <c r="H4196" t="s">
        <v>749</v>
      </c>
      <c r="I4196" t="s">
        <v>743</v>
      </c>
      <c r="J4196" t="s">
        <v>379</v>
      </c>
      <c r="K4196" t="s">
        <v>546</v>
      </c>
      <c r="L4196" s="784">
        <v>0</v>
      </c>
      <c r="M4196" t="s">
        <v>745</v>
      </c>
      <c r="N4196" s="784" t="s">
        <v>575</v>
      </c>
      <c r="O4196" t="s">
        <v>737</v>
      </c>
      <c r="P4196" t="s">
        <v>1887</v>
      </c>
      <c r="R4196" t="s">
        <v>150</v>
      </c>
      <c r="S4196" t="s">
        <v>145</v>
      </c>
      <c r="U4196">
        <v>0</v>
      </c>
      <c r="V4196" t="s">
        <v>541</v>
      </c>
      <c r="W4196" t="s">
        <v>542</v>
      </c>
      <c r="X4196" s="784">
        <v>63748362.778827004</v>
      </c>
    </row>
    <row r="4197" spans="1:24">
      <c r="A4197" t="s">
        <v>358</v>
      </c>
      <c r="B4197" t="s">
        <v>572</v>
      </c>
      <c r="C4197" t="s">
        <v>180</v>
      </c>
      <c r="D4197" t="s">
        <v>126</v>
      </c>
      <c r="E4197" t="s">
        <v>377</v>
      </c>
      <c r="F4197" t="s">
        <v>312</v>
      </c>
      <c r="G4197" t="s">
        <v>349</v>
      </c>
      <c r="H4197" t="s">
        <v>749</v>
      </c>
      <c r="I4197" t="s">
        <v>743</v>
      </c>
      <c r="J4197" t="s">
        <v>379</v>
      </c>
      <c r="K4197" t="s">
        <v>546</v>
      </c>
      <c r="L4197" s="784">
        <v>0</v>
      </c>
      <c r="M4197" t="s">
        <v>745</v>
      </c>
      <c r="N4197" s="784" t="s">
        <v>575</v>
      </c>
      <c r="O4197" t="s">
        <v>737</v>
      </c>
      <c r="P4197" t="s">
        <v>1887</v>
      </c>
      <c r="R4197" t="s">
        <v>150</v>
      </c>
      <c r="S4197" t="s">
        <v>145</v>
      </c>
      <c r="U4197">
        <v>0</v>
      </c>
      <c r="V4197" t="s">
        <v>544</v>
      </c>
      <c r="W4197" t="s">
        <v>558</v>
      </c>
      <c r="X4197" s="784">
        <v>313039649.45369786</v>
      </c>
    </row>
    <row r="4198" spans="1:24">
      <c r="A4198" t="s">
        <v>358</v>
      </c>
      <c r="B4198" t="s">
        <v>573</v>
      </c>
      <c r="C4198" t="s">
        <v>181</v>
      </c>
      <c r="D4198" t="s">
        <v>129</v>
      </c>
      <c r="E4198" t="s">
        <v>377</v>
      </c>
      <c r="F4198" t="s">
        <v>312</v>
      </c>
      <c r="G4198" t="s">
        <v>349</v>
      </c>
      <c r="H4198" t="s">
        <v>749</v>
      </c>
      <c r="I4198" t="s">
        <v>743</v>
      </c>
      <c r="J4198" t="s">
        <v>379</v>
      </c>
      <c r="K4198" t="s">
        <v>546</v>
      </c>
      <c r="L4198" s="784">
        <v>0</v>
      </c>
      <c r="M4198" t="s">
        <v>745</v>
      </c>
      <c r="N4198" s="784" t="s">
        <v>575</v>
      </c>
      <c r="O4198" t="s">
        <v>737</v>
      </c>
      <c r="P4198" t="s">
        <v>1887</v>
      </c>
      <c r="R4198" t="s">
        <v>150</v>
      </c>
      <c r="S4198" t="s">
        <v>145</v>
      </c>
      <c r="U4198">
        <v>2</v>
      </c>
      <c r="V4198" t="s">
        <v>544</v>
      </c>
      <c r="W4198" t="s">
        <v>542</v>
      </c>
      <c r="X4198" s="784">
        <v>81361801.477472037</v>
      </c>
    </row>
    <row r="4199" spans="1:24">
      <c r="A4199" t="s">
        <v>358</v>
      </c>
      <c r="B4199" t="s">
        <v>574</v>
      </c>
      <c r="C4199" t="s">
        <v>182</v>
      </c>
      <c r="D4199" t="s">
        <v>129</v>
      </c>
      <c r="E4199" t="s">
        <v>377</v>
      </c>
      <c r="F4199" t="s">
        <v>312</v>
      </c>
      <c r="G4199" t="s">
        <v>349</v>
      </c>
      <c r="H4199" t="s">
        <v>749</v>
      </c>
      <c r="I4199" t="s">
        <v>743</v>
      </c>
      <c r="J4199" t="s">
        <v>379</v>
      </c>
      <c r="K4199" t="s">
        <v>546</v>
      </c>
      <c r="L4199" s="784">
        <v>0</v>
      </c>
      <c r="M4199" t="s">
        <v>745</v>
      </c>
      <c r="N4199" s="784" t="s">
        <v>575</v>
      </c>
      <c r="O4199" t="s">
        <v>737</v>
      </c>
      <c r="P4199" t="s">
        <v>1887</v>
      </c>
      <c r="R4199" t="s">
        <v>148</v>
      </c>
      <c r="S4199" t="s">
        <v>145</v>
      </c>
      <c r="U4199">
        <v>1</v>
      </c>
      <c r="V4199" t="s">
        <v>544</v>
      </c>
      <c r="W4199" t="s">
        <v>542</v>
      </c>
      <c r="X4199" s="784" t="s">
        <v>575</v>
      </c>
    </row>
    <row r="4200" spans="1:24">
      <c r="A4200" t="s">
        <v>358</v>
      </c>
      <c r="B4200" t="s">
        <v>576</v>
      </c>
      <c r="C4200" t="s">
        <v>183</v>
      </c>
      <c r="D4200" t="s">
        <v>129</v>
      </c>
      <c r="E4200" t="s">
        <v>377</v>
      </c>
      <c r="F4200" t="s">
        <v>312</v>
      </c>
      <c r="G4200" t="s">
        <v>349</v>
      </c>
      <c r="H4200" t="s">
        <v>749</v>
      </c>
      <c r="I4200" t="s">
        <v>743</v>
      </c>
      <c r="J4200" t="s">
        <v>379</v>
      </c>
      <c r="K4200" t="s">
        <v>546</v>
      </c>
      <c r="L4200" s="784">
        <v>0</v>
      </c>
      <c r="M4200" t="s">
        <v>745</v>
      </c>
      <c r="N4200" s="784" t="s">
        <v>575</v>
      </c>
      <c r="O4200" t="s">
        <v>737</v>
      </c>
      <c r="P4200" t="s">
        <v>1887</v>
      </c>
      <c r="R4200" t="s">
        <v>148</v>
      </c>
      <c r="S4200" t="s">
        <v>145</v>
      </c>
      <c r="U4200">
        <v>1</v>
      </c>
      <c r="V4200" t="s">
        <v>544</v>
      </c>
      <c r="W4200" t="s">
        <v>542</v>
      </c>
      <c r="X4200" s="784">
        <v>76939306.715636879</v>
      </c>
    </row>
    <row r="4201" spans="1:24">
      <c r="A4201" t="s">
        <v>358</v>
      </c>
      <c r="B4201" t="s">
        <v>577</v>
      </c>
      <c r="C4201" t="s">
        <v>184</v>
      </c>
      <c r="D4201" t="s">
        <v>130</v>
      </c>
      <c r="E4201" t="s">
        <v>377</v>
      </c>
      <c r="F4201" t="s">
        <v>312</v>
      </c>
      <c r="G4201" t="s">
        <v>349</v>
      </c>
      <c r="H4201" t="s">
        <v>749</v>
      </c>
      <c r="I4201" t="s">
        <v>743</v>
      </c>
      <c r="J4201" t="s">
        <v>379</v>
      </c>
      <c r="K4201" t="s">
        <v>546</v>
      </c>
      <c r="L4201" s="784">
        <v>0</v>
      </c>
      <c r="M4201" t="s">
        <v>745</v>
      </c>
      <c r="N4201" s="784" t="s">
        <v>575</v>
      </c>
      <c r="O4201" t="s">
        <v>737</v>
      </c>
      <c r="P4201" t="s">
        <v>1887</v>
      </c>
      <c r="R4201" t="s">
        <v>550</v>
      </c>
      <c r="S4201" t="s">
        <v>146</v>
      </c>
      <c r="U4201">
        <v>0</v>
      </c>
      <c r="V4201" t="s">
        <v>544</v>
      </c>
      <c r="W4201" t="s">
        <v>575</v>
      </c>
      <c r="X4201" s="784">
        <v>13859708717.682571</v>
      </c>
    </row>
    <row r="4202" spans="1:24">
      <c r="A4202" t="s">
        <v>358</v>
      </c>
      <c r="B4202" t="s">
        <v>578</v>
      </c>
      <c r="C4202" t="s">
        <v>185</v>
      </c>
      <c r="D4202" t="s">
        <v>126</v>
      </c>
      <c r="E4202" t="s">
        <v>377</v>
      </c>
      <c r="F4202" t="s">
        <v>312</v>
      </c>
      <c r="G4202" t="s">
        <v>349</v>
      </c>
      <c r="H4202" t="s">
        <v>749</v>
      </c>
      <c r="I4202" t="s">
        <v>743</v>
      </c>
      <c r="J4202" t="s">
        <v>379</v>
      </c>
      <c r="K4202" t="s">
        <v>546</v>
      </c>
      <c r="L4202" s="784">
        <v>0</v>
      </c>
      <c r="M4202" t="s">
        <v>745</v>
      </c>
      <c r="N4202" s="784" t="s">
        <v>575</v>
      </c>
      <c r="O4202" t="s">
        <v>737</v>
      </c>
      <c r="P4202" t="s">
        <v>1887</v>
      </c>
      <c r="R4202" t="s">
        <v>152</v>
      </c>
      <c r="S4202" t="s">
        <v>146</v>
      </c>
      <c r="U4202">
        <v>0</v>
      </c>
      <c r="V4202" t="s">
        <v>544</v>
      </c>
      <c r="W4202" t="s">
        <v>575</v>
      </c>
      <c r="X4202" s="784">
        <v>403567160707.7016</v>
      </c>
    </row>
    <row r="4203" spans="1:24">
      <c r="A4203" t="s">
        <v>358</v>
      </c>
      <c r="B4203" t="s">
        <v>579</v>
      </c>
      <c r="C4203" t="s">
        <v>186</v>
      </c>
      <c r="D4203" t="s">
        <v>130</v>
      </c>
      <c r="E4203" t="s">
        <v>377</v>
      </c>
      <c r="F4203" t="s">
        <v>312</v>
      </c>
      <c r="G4203" t="s">
        <v>349</v>
      </c>
      <c r="H4203" t="s">
        <v>749</v>
      </c>
      <c r="I4203" t="s">
        <v>743</v>
      </c>
      <c r="J4203" t="s">
        <v>379</v>
      </c>
      <c r="K4203" t="s">
        <v>546</v>
      </c>
      <c r="L4203" s="784">
        <v>0</v>
      </c>
      <c r="M4203" t="s">
        <v>745</v>
      </c>
      <c r="N4203" s="784" t="s">
        <v>575</v>
      </c>
      <c r="O4203" t="s">
        <v>737</v>
      </c>
      <c r="P4203" t="s">
        <v>1887</v>
      </c>
      <c r="R4203" t="s">
        <v>152</v>
      </c>
      <c r="S4203" t="s">
        <v>146</v>
      </c>
      <c r="U4203">
        <v>0</v>
      </c>
      <c r="V4203" t="s">
        <v>544</v>
      </c>
      <c r="W4203" t="s">
        <v>575</v>
      </c>
      <c r="X4203" s="784">
        <v>18250225995.972618</v>
      </c>
    </row>
    <row r="4204" spans="1:24">
      <c r="A4204" t="s">
        <v>358</v>
      </c>
      <c r="B4204" t="s">
        <v>580</v>
      </c>
      <c r="C4204" t="s">
        <v>187</v>
      </c>
      <c r="D4204" t="s">
        <v>128</v>
      </c>
      <c r="E4204" t="s">
        <v>377</v>
      </c>
      <c r="F4204" t="s">
        <v>312</v>
      </c>
      <c r="G4204" t="s">
        <v>349</v>
      </c>
      <c r="H4204" t="s">
        <v>749</v>
      </c>
      <c r="I4204" t="s">
        <v>743</v>
      </c>
      <c r="J4204" t="s">
        <v>379</v>
      </c>
      <c r="K4204" t="s">
        <v>546</v>
      </c>
      <c r="L4204" s="784">
        <v>0</v>
      </c>
      <c r="M4204" t="s">
        <v>745</v>
      </c>
      <c r="N4204" s="784" t="s">
        <v>575</v>
      </c>
      <c r="O4204" t="s">
        <v>737</v>
      </c>
      <c r="P4204" t="s">
        <v>1887</v>
      </c>
      <c r="R4204" t="s">
        <v>150</v>
      </c>
      <c r="S4204" t="s">
        <v>145</v>
      </c>
      <c r="U4204">
        <v>0</v>
      </c>
      <c r="V4204" t="s">
        <v>541</v>
      </c>
      <c r="W4204" t="s">
        <v>562</v>
      </c>
      <c r="X4204" s="784">
        <v>5027591.1682657599</v>
      </c>
    </row>
    <row r="4205" spans="1:24">
      <c r="A4205" t="s">
        <v>358</v>
      </c>
      <c r="B4205" t="s">
        <v>581</v>
      </c>
      <c r="C4205" t="s">
        <v>188</v>
      </c>
      <c r="D4205" t="s">
        <v>129</v>
      </c>
      <c r="E4205" t="s">
        <v>377</v>
      </c>
      <c r="F4205" t="s">
        <v>312</v>
      </c>
      <c r="G4205" t="s">
        <v>349</v>
      </c>
      <c r="H4205" t="s">
        <v>749</v>
      </c>
      <c r="I4205" t="s">
        <v>743</v>
      </c>
      <c r="J4205" t="s">
        <v>379</v>
      </c>
      <c r="K4205" t="s">
        <v>546</v>
      </c>
      <c r="L4205" s="784">
        <v>0</v>
      </c>
      <c r="M4205" t="s">
        <v>745</v>
      </c>
      <c r="N4205" s="784" t="s">
        <v>575</v>
      </c>
      <c r="O4205" t="s">
        <v>737</v>
      </c>
      <c r="P4205" t="s">
        <v>1887</v>
      </c>
      <c r="R4205" t="s">
        <v>148</v>
      </c>
      <c r="S4205" t="s">
        <v>145</v>
      </c>
      <c r="U4205">
        <v>3</v>
      </c>
      <c r="V4205" t="s">
        <v>544</v>
      </c>
      <c r="W4205" t="s">
        <v>562</v>
      </c>
      <c r="X4205" s="784">
        <v>234645958.63289919</v>
      </c>
    </row>
    <row r="4206" spans="1:24">
      <c r="A4206" t="s">
        <v>358</v>
      </c>
      <c r="B4206" t="s">
        <v>582</v>
      </c>
      <c r="C4206" t="s">
        <v>189</v>
      </c>
      <c r="D4206" t="s">
        <v>129</v>
      </c>
      <c r="E4206" t="s">
        <v>377</v>
      </c>
      <c r="F4206" t="s">
        <v>312</v>
      </c>
      <c r="G4206" t="s">
        <v>349</v>
      </c>
      <c r="H4206" t="s">
        <v>749</v>
      </c>
      <c r="I4206" t="s">
        <v>743</v>
      </c>
      <c r="J4206" t="s">
        <v>379</v>
      </c>
      <c r="K4206" t="s">
        <v>546</v>
      </c>
      <c r="L4206" s="784">
        <v>0</v>
      </c>
      <c r="M4206" t="s">
        <v>745</v>
      </c>
      <c r="N4206" s="784" t="s">
        <v>575</v>
      </c>
      <c r="O4206" t="s">
        <v>737</v>
      </c>
      <c r="P4206" t="s">
        <v>1887</v>
      </c>
      <c r="R4206" t="s">
        <v>150</v>
      </c>
      <c r="S4206" t="s">
        <v>145</v>
      </c>
      <c r="U4206">
        <v>2</v>
      </c>
      <c r="V4206" t="s">
        <v>544</v>
      </c>
      <c r="W4206" t="s">
        <v>583</v>
      </c>
      <c r="X4206" s="784">
        <v>91590910.247314155</v>
      </c>
    </row>
    <row r="4207" spans="1:24">
      <c r="A4207" t="s">
        <v>358</v>
      </c>
      <c r="B4207" t="s">
        <v>584</v>
      </c>
      <c r="C4207" t="s">
        <v>190</v>
      </c>
      <c r="D4207" t="s">
        <v>126</v>
      </c>
      <c r="E4207" t="s">
        <v>377</v>
      </c>
      <c r="F4207" t="s">
        <v>312</v>
      </c>
      <c r="G4207" t="s">
        <v>349</v>
      </c>
      <c r="H4207" t="s">
        <v>749</v>
      </c>
      <c r="I4207" t="s">
        <v>743</v>
      </c>
      <c r="J4207" t="s">
        <v>379</v>
      </c>
      <c r="K4207" t="s">
        <v>546</v>
      </c>
      <c r="L4207" s="784">
        <v>0</v>
      </c>
      <c r="M4207" t="s">
        <v>745</v>
      </c>
      <c r="N4207" s="784" t="s">
        <v>575</v>
      </c>
      <c r="O4207" t="s">
        <v>737</v>
      </c>
      <c r="P4207" t="s">
        <v>1887</v>
      </c>
      <c r="R4207" t="s">
        <v>322</v>
      </c>
      <c r="S4207" t="s">
        <v>146</v>
      </c>
      <c r="U4207">
        <v>0</v>
      </c>
      <c r="V4207" t="s">
        <v>541</v>
      </c>
      <c r="W4207" t="s">
        <v>546</v>
      </c>
      <c r="X4207" s="784">
        <v>8560012.8840167802</v>
      </c>
    </row>
    <row r="4208" spans="1:24">
      <c r="A4208" t="s">
        <v>358</v>
      </c>
      <c r="B4208" t="s">
        <v>585</v>
      </c>
      <c r="C4208" t="s">
        <v>191</v>
      </c>
      <c r="D4208" t="s">
        <v>130</v>
      </c>
      <c r="E4208" t="s">
        <v>377</v>
      </c>
      <c r="F4208" t="s">
        <v>312</v>
      </c>
      <c r="G4208" t="s">
        <v>349</v>
      </c>
      <c r="H4208" t="s">
        <v>749</v>
      </c>
      <c r="I4208" t="s">
        <v>743</v>
      </c>
      <c r="J4208" t="s">
        <v>379</v>
      </c>
      <c r="K4208" t="s">
        <v>546</v>
      </c>
      <c r="L4208" s="784">
        <v>0</v>
      </c>
      <c r="M4208" t="s">
        <v>745</v>
      </c>
      <c r="N4208" s="784" t="s">
        <v>575</v>
      </c>
      <c r="O4208" t="s">
        <v>737</v>
      </c>
      <c r="P4208" t="s">
        <v>1887</v>
      </c>
      <c r="R4208" t="s">
        <v>152</v>
      </c>
      <c r="S4208" t="s">
        <v>146</v>
      </c>
      <c r="U4208">
        <v>0</v>
      </c>
      <c r="V4208" t="s">
        <v>544</v>
      </c>
      <c r="W4208" t="s">
        <v>546</v>
      </c>
      <c r="X4208" s="784">
        <v>3292372960.3962669</v>
      </c>
    </row>
    <row r="4209" spans="1:24">
      <c r="A4209" t="s">
        <v>358</v>
      </c>
      <c r="B4209" t="s">
        <v>586</v>
      </c>
      <c r="C4209" t="s">
        <v>192</v>
      </c>
      <c r="D4209" t="s">
        <v>129</v>
      </c>
      <c r="E4209" t="s">
        <v>377</v>
      </c>
      <c r="F4209" t="s">
        <v>312</v>
      </c>
      <c r="G4209" t="s">
        <v>349</v>
      </c>
      <c r="H4209" t="s">
        <v>749</v>
      </c>
      <c r="I4209" t="s">
        <v>743</v>
      </c>
      <c r="J4209" t="s">
        <v>379</v>
      </c>
      <c r="K4209" t="s">
        <v>546</v>
      </c>
      <c r="L4209" s="784">
        <v>675541</v>
      </c>
      <c r="M4209" t="s">
        <v>745</v>
      </c>
      <c r="N4209" s="784" t="s">
        <v>575</v>
      </c>
      <c r="O4209" t="s">
        <v>737</v>
      </c>
      <c r="P4209" t="s">
        <v>1887</v>
      </c>
      <c r="R4209" t="s">
        <v>150</v>
      </c>
      <c r="S4209" t="s">
        <v>145</v>
      </c>
      <c r="U4209">
        <v>0</v>
      </c>
      <c r="V4209" t="s">
        <v>544</v>
      </c>
      <c r="W4209" t="s">
        <v>562</v>
      </c>
      <c r="X4209" s="784">
        <v>519209981.22981054</v>
      </c>
    </row>
    <row r="4210" spans="1:24">
      <c r="A4210" t="s">
        <v>358</v>
      </c>
      <c r="B4210" t="s">
        <v>587</v>
      </c>
      <c r="C4210" t="s">
        <v>193</v>
      </c>
      <c r="D4210" t="s">
        <v>127</v>
      </c>
      <c r="E4210" t="s">
        <v>377</v>
      </c>
      <c r="F4210" t="s">
        <v>312</v>
      </c>
      <c r="G4210" t="s">
        <v>349</v>
      </c>
      <c r="H4210" t="s">
        <v>749</v>
      </c>
      <c r="I4210" t="s">
        <v>743</v>
      </c>
      <c r="J4210" t="s">
        <v>379</v>
      </c>
      <c r="K4210" t="s">
        <v>546</v>
      </c>
      <c r="L4210" s="784">
        <v>0</v>
      </c>
      <c r="M4210" t="s">
        <v>745</v>
      </c>
      <c r="N4210" s="784" t="s">
        <v>575</v>
      </c>
      <c r="O4210" t="s">
        <v>737</v>
      </c>
      <c r="P4210" t="s">
        <v>1887</v>
      </c>
      <c r="R4210" t="s">
        <v>550</v>
      </c>
      <c r="S4210" t="s">
        <v>146</v>
      </c>
      <c r="U4210">
        <v>0</v>
      </c>
      <c r="V4210" t="s">
        <v>544</v>
      </c>
      <c r="W4210" t="s">
        <v>575</v>
      </c>
      <c r="X4210" s="784">
        <v>3464739907.1604805</v>
      </c>
    </row>
    <row r="4211" spans="1:24">
      <c r="A4211" t="s">
        <v>358</v>
      </c>
      <c r="B4211" t="s">
        <v>588</v>
      </c>
      <c r="C4211" t="s">
        <v>147</v>
      </c>
      <c r="D4211" t="s">
        <v>130</v>
      </c>
      <c r="E4211" t="s">
        <v>377</v>
      </c>
      <c r="F4211" t="s">
        <v>312</v>
      </c>
      <c r="G4211" t="s">
        <v>349</v>
      </c>
      <c r="H4211" t="s">
        <v>749</v>
      </c>
      <c r="I4211" t="s">
        <v>743</v>
      </c>
      <c r="J4211" t="s">
        <v>379</v>
      </c>
      <c r="K4211" t="s">
        <v>546</v>
      </c>
      <c r="L4211" s="784">
        <v>0</v>
      </c>
      <c r="M4211" t="s">
        <v>745</v>
      </c>
      <c r="N4211" s="784" t="s">
        <v>575</v>
      </c>
      <c r="O4211" t="s">
        <v>737</v>
      </c>
      <c r="P4211" t="s">
        <v>1887</v>
      </c>
      <c r="R4211" t="s">
        <v>152</v>
      </c>
      <c r="S4211" t="s">
        <v>146</v>
      </c>
      <c r="U4211">
        <v>0</v>
      </c>
      <c r="V4211" t="s">
        <v>541</v>
      </c>
      <c r="W4211" t="s">
        <v>575</v>
      </c>
      <c r="X4211" s="784">
        <v>9948521252.2569065</v>
      </c>
    </row>
    <row r="4212" spans="1:24">
      <c r="A4212" t="s">
        <v>358</v>
      </c>
      <c r="B4212" t="s">
        <v>589</v>
      </c>
      <c r="C4212" t="s">
        <v>194</v>
      </c>
      <c r="D4212" t="s">
        <v>131</v>
      </c>
      <c r="E4212" t="s">
        <v>377</v>
      </c>
      <c r="F4212" t="s">
        <v>312</v>
      </c>
      <c r="G4212" t="s">
        <v>349</v>
      </c>
      <c r="H4212" t="s">
        <v>749</v>
      </c>
      <c r="I4212" t="s">
        <v>743</v>
      </c>
      <c r="J4212" t="s">
        <v>379</v>
      </c>
      <c r="K4212" t="s">
        <v>546</v>
      </c>
      <c r="L4212" s="784">
        <v>0</v>
      </c>
      <c r="M4212" t="s">
        <v>745</v>
      </c>
      <c r="N4212" s="784" t="s">
        <v>575</v>
      </c>
      <c r="O4212" t="s">
        <v>737</v>
      </c>
      <c r="P4212" t="s">
        <v>1887</v>
      </c>
      <c r="R4212" t="s">
        <v>150</v>
      </c>
      <c r="S4212" t="s">
        <v>145</v>
      </c>
      <c r="U4212">
        <v>1</v>
      </c>
      <c r="V4212" t="s">
        <v>544</v>
      </c>
      <c r="W4212" t="s">
        <v>542</v>
      </c>
      <c r="X4212" s="784">
        <v>33679192.765657313</v>
      </c>
    </row>
    <row r="4213" spans="1:24">
      <c r="A4213" t="s">
        <v>358</v>
      </c>
      <c r="B4213" t="s">
        <v>590</v>
      </c>
      <c r="C4213" t="s">
        <v>195</v>
      </c>
      <c r="D4213" t="s">
        <v>130</v>
      </c>
      <c r="E4213" t="s">
        <v>377</v>
      </c>
      <c r="F4213" t="s">
        <v>312</v>
      </c>
      <c r="G4213" t="s">
        <v>349</v>
      </c>
      <c r="H4213" t="s">
        <v>749</v>
      </c>
      <c r="I4213" t="s">
        <v>743</v>
      </c>
      <c r="J4213" t="s">
        <v>379</v>
      </c>
      <c r="K4213" t="s">
        <v>546</v>
      </c>
      <c r="L4213" s="784">
        <v>0</v>
      </c>
      <c r="M4213" t="s">
        <v>745</v>
      </c>
      <c r="N4213" s="784" t="s">
        <v>575</v>
      </c>
      <c r="O4213" t="s">
        <v>737</v>
      </c>
      <c r="P4213" t="s">
        <v>1887</v>
      </c>
      <c r="R4213" t="s">
        <v>152</v>
      </c>
      <c r="S4213" t="s">
        <v>145</v>
      </c>
      <c r="U4213">
        <v>0</v>
      </c>
      <c r="V4213" t="s">
        <v>541</v>
      </c>
      <c r="W4213" t="s">
        <v>548</v>
      </c>
      <c r="X4213" s="784">
        <v>22784494.365742501</v>
      </c>
    </row>
    <row r="4214" spans="1:24">
      <c r="A4214" t="s">
        <v>358</v>
      </c>
      <c r="B4214" t="s">
        <v>591</v>
      </c>
      <c r="C4214" t="s">
        <v>196</v>
      </c>
      <c r="D4214" t="s">
        <v>130</v>
      </c>
      <c r="E4214" t="s">
        <v>377</v>
      </c>
      <c r="F4214" t="s">
        <v>312</v>
      </c>
      <c r="G4214" t="s">
        <v>349</v>
      </c>
      <c r="H4214" t="s">
        <v>749</v>
      </c>
      <c r="I4214" t="s">
        <v>743</v>
      </c>
      <c r="J4214" t="s">
        <v>379</v>
      </c>
      <c r="K4214" t="s">
        <v>546</v>
      </c>
      <c r="L4214" s="784">
        <v>0</v>
      </c>
      <c r="M4214" t="s">
        <v>745</v>
      </c>
      <c r="N4214" s="784" t="s">
        <v>575</v>
      </c>
      <c r="O4214" t="s">
        <v>737</v>
      </c>
      <c r="P4214" t="s">
        <v>1887</v>
      </c>
      <c r="R4214" t="s">
        <v>152</v>
      </c>
      <c r="S4214" t="s">
        <v>146</v>
      </c>
      <c r="U4214">
        <v>0</v>
      </c>
      <c r="V4214" t="s">
        <v>541</v>
      </c>
      <c r="W4214" t="s">
        <v>575</v>
      </c>
      <c r="X4214" s="784">
        <v>2173208011.4858823</v>
      </c>
    </row>
    <row r="4215" spans="1:24">
      <c r="A4215" t="s">
        <v>358</v>
      </c>
      <c r="B4215" t="s">
        <v>592</v>
      </c>
      <c r="C4215" t="s">
        <v>197</v>
      </c>
      <c r="D4215" t="s">
        <v>130</v>
      </c>
      <c r="E4215" t="s">
        <v>377</v>
      </c>
      <c r="F4215" t="s">
        <v>312</v>
      </c>
      <c r="G4215" t="s">
        <v>349</v>
      </c>
      <c r="H4215" t="s">
        <v>749</v>
      </c>
      <c r="I4215" t="s">
        <v>743</v>
      </c>
      <c r="J4215" t="s">
        <v>379</v>
      </c>
      <c r="K4215" t="s">
        <v>546</v>
      </c>
      <c r="L4215" s="784">
        <v>0</v>
      </c>
      <c r="M4215" t="s">
        <v>745</v>
      </c>
      <c r="N4215" s="784" t="s">
        <v>575</v>
      </c>
      <c r="O4215" t="s">
        <v>737</v>
      </c>
      <c r="P4215" t="s">
        <v>1887</v>
      </c>
      <c r="R4215" t="s">
        <v>152</v>
      </c>
      <c r="S4215" t="s">
        <v>146</v>
      </c>
      <c r="U4215">
        <v>0</v>
      </c>
      <c r="V4215" t="s">
        <v>544</v>
      </c>
      <c r="W4215" t="s">
        <v>546</v>
      </c>
      <c r="X4215" s="784">
        <v>4585736158.8323269</v>
      </c>
    </row>
    <row r="4216" spans="1:24">
      <c r="A4216" t="s">
        <v>358</v>
      </c>
      <c r="B4216" t="s">
        <v>593</v>
      </c>
      <c r="C4216" t="s">
        <v>198</v>
      </c>
      <c r="D4216" t="s">
        <v>131</v>
      </c>
      <c r="E4216" t="s">
        <v>377</v>
      </c>
      <c r="F4216" t="s">
        <v>312</v>
      </c>
      <c r="G4216" t="s">
        <v>349</v>
      </c>
      <c r="H4216" t="s">
        <v>749</v>
      </c>
      <c r="I4216" t="s">
        <v>743</v>
      </c>
      <c r="J4216" t="s">
        <v>379</v>
      </c>
      <c r="K4216" t="s">
        <v>546</v>
      </c>
      <c r="L4216" s="784">
        <v>0</v>
      </c>
      <c r="M4216" t="s">
        <v>745</v>
      </c>
      <c r="N4216" s="784" t="s">
        <v>575</v>
      </c>
      <c r="O4216" t="s">
        <v>737</v>
      </c>
      <c r="P4216" t="s">
        <v>1887</v>
      </c>
      <c r="R4216" t="s">
        <v>150</v>
      </c>
      <c r="S4216" t="s">
        <v>145</v>
      </c>
      <c r="U4216">
        <v>0</v>
      </c>
      <c r="V4216" t="s">
        <v>544</v>
      </c>
      <c r="W4216" t="s">
        <v>546</v>
      </c>
      <c r="X4216" s="784">
        <v>3550291584.8645592</v>
      </c>
    </row>
    <row r="4217" spans="1:24">
      <c r="A4217" t="s">
        <v>358</v>
      </c>
      <c r="B4217" t="s">
        <v>594</v>
      </c>
      <c r="C4217" t="s">
        <v>199</v>
      </c>
      <c r="D4217" t="s">
        <v>130</v>
      </c>
      <c r="E4217" t="s">
        <v>377</v>
      </c>
      <c r="F4217" t="s">
        <v>312</v>
      </c>
      <c r="G4217" t="s">
        <v>349</v>
      </c>
      <c r="H4217" t="s">
        <v>749</v>
      </c>
      <c r="I4217" t="s">
        <v>743</v>
      </c>
      <c r="J4217" t="s">
        <v>379</v>
      </c>
      <c r="K4217" t="s">
        <v>546</v>
      </c>
      <c r="L4217" s="784">
        <v>0</v>
      </c>
      <c r="M4217" t="s">
        <v>745</v>
      </c>
      <c r="N4217" s="784" t="s">
        <v>575</v>
      </c>
      <c r="O4217" t="s">
        <v>737</v>
      </c>
      <c r="P4217" t="s">
        <v>1887</v>
      </c>
      <c r="R4217" t="s">
        <v>150</v>
      </c>
      <c r="S4217" t="s">
        <v>145</v>
      </c>
      <c r="U4217">
        <v>0</v>
      </c>
      <c r="V4217" t="s">
        <v>544</v>
      </c>
      <c r="W4217" t="s">
        <v>546</v>
      </c>
      <c r="X4217" s="784">
        <v>1182840319.0410969</v>
      </c>
    </row>
    <row r="4218" spans="1:24">
      <c r="A4218" t="s">
        <v>358</v>
      </c>
      <c r="B4218" t="s">
        <v>595</v>
      </c>
      <c r="C4218" t="s">
        <v>200</v>
      </c>
      <c r="D4218" t="s">
        <v>130</v>
      </c>
      <c r="E4218" t="s">
        <v>377</v>
      </c>
      <c r="F4218" t="s">
        <v>312</v>
      </c>
      <c r="G4218" t="s">
        <v>349</v>
      </c>
      <c r="H4218" t="s">
        <v>749</v>
      </c>
      <c r="I4218" t="s">
        <v>743</v>
      </c>
      <c r="J4218" t="s">
        <v>379</v>
      </c>
      <c r="K4218" t="s">
        <v>546</v>
      </c>
      <c r="L4218" s="784">
        <v>0</v>
      </c>
      <c r="M4218" t="s">
        <v>745</v>
      </c>
      <c r="N4218" s="784" t="s">
        <v>575</v>
      </c>
      <c r="O4218" t="s">
        <v>737</v>
      </c>
      <c r="P4218" t="s">
        <v>1887</v>
      </c>
      <c r="R4218" t="s">
        <v>152</v>
      </c>
      <c r="S4218" t="s">
        <v>146</v>
      </c>
      <c r="U4218">
        <v>0</v>
      </c>
      <c r="V4218" t="s">
        <v>544</v>
      </c>
      <c r="W4218" t="s">
        <v>575</v>
      </c>
      <c r="X4218" s="784">
        <v>81728347.604567245</v>
      </c>
    </row>
    <row r="4219" spans="1:24">
      <c r="A4219" t="s">
        <v>358</v>
      </c>
      <c r="B4219" t="s">
        <v>596</v>
      </c>
      <c r="C4219" t="s">
        <v>201</v>
      </c>
      <c r="D4219" t="s">
        <v>128</v>
      </c>
      <c r="E4219" t="s">
        <v>377</v>
      </c>
      <c r="F4219" t="s">
        <v>312</v>
      </c>
      <c r="G4219" t="s">
        <v>349</v>
      </c>
      <c r="H4219" t="s">
        <v>749</v>
      </c>
      <c r="I4219" t="s">
        <v>743</v>
      </c>
      <c r="J4219" t="s">
        <v>379</v>
      </c>
      <c r="K4219" t="s">
        <v>546</v>
      </c>
      <c r="L4219" s="784">
        <v>0</v>
      </c>
      <c r="M4219" t="s">
        <v>745</v>
      </c>
      <c r="N4219" s="784" t="s">
        <v>575</v>
      </c>
      <c r="O4219" t="s">
        <v>737</v>
      </c>
      <c r="P4219" t="s">
        <v>1887</v>
      </c>
      <c r="R4219" t="s">
        <v>148</v>
      </c>
      <c r="S4219" t="s">
        <v>145</v>
      </c>
      <c r="U4219">
        <v>2</v>
      </c>
      <c r="V4219" t="s">
        <v>544</v>
      </c>
      <c r="W4219" t="s">
        <v>546</v>
      </c>
      <c r="X4219" s="784">
        <v>12787914.977715338</v>
      </c>
    </row>
    <row r="4220" spans="1:24">
      <c r="A4220" t="s">
        <v>358</v>
      </c>
      <c r="B4220" t="s">
        <v>597</v>
      </c>
      <c r="C4220" t="s">
        <v>202</v>
      </c>
      <c r="D4220" t="s">
        <v>128</v>
      </c>
      <c r="E4220" t="s">
        <v>377</v>
      </c>
      <c r="F4220" t="s">
        <v>312</v>
      </c>
      <c r="G4220" t="s">
        <v>349</v>
      </c>
      <c r="H4220" t="s">
        <v>749</v>
      </c>
      <c r="I4220" t="s">
        <v>743</v>
      </c>
      <c r="J4220" t="s">
        <v>379</v>
      </c>
      <c r="K4220" t="s">
        <v>546</v>
      </c>
      <c r="L4220" s="784">
        <v>401732</v>
      </c>
      <c r="M4220" t="s">
        <v>745</v>
      </c>
      <c r="N4220" s="784" t="s">
        <v>575</v>
      </c>
      <c r="O4220" t="s">
        <v>737</v>
      </c>
      <c r="P4220" t="s">
        <v>1887</v>
      </c>
      <c r="R4220" t="s">
        <v>150</v>
      </c>
      <c r="S4220" t="s">
        <v>145</v>
      </c>
      <c r="U4220">
        <v>2</v>
      </c>
      <c r="V4220" t="s">
        <v>544</v>
      </c>
      <c r="W4220" t="s">
        <v>546</v>
      </c>
      <c r="X4220" s="784">
        <v>101271737.65410839</v>
      </c>
    </row>
    <row r="4221" spans="1:24">
      <c r="A4221" t="s">
        <v>358</v>
      </c>
      <c r="B4221" t="s">
        <v>598</v>
      </c>
      <c r="C4221" t="s">
        <v>203</v>
      </c>
      <c r="D4221" t="s">
        <v>128</v>
      </c>
      <c r="E4221" t="s">
        <v>377</v>
      </c>
      <c r="F4221" t="s">
        <v>312</v>
      </c>
      <c r="G4221" t="s">
        <v>349</v>
      </c>
      <c r="H4221" t="s">
        <v>749</v>
      </c>
      <c r="I4221" t="s">
        <v>743</v>
      </c>
      <c r="J4221" t="s">
        <v>379</v>
      </c>
      <c r="K4221" t="s">
        <v>546</v>
      </c>
      <c r="L4221" s="784">
        <v>1101933</v>
      </c>
      <c r="M4221" t="s">
        <v>745</v>
      </c>
      <c r="N4221" s="784" t="s">
        <v>575</v>
      </c>
      <c r="O4221" t="s">
        <v>737</v>
      </c>
      <c r="P4221" t="s">
        <v>1887</v>
      </c>
      <c r="R4221" t="s">
        <v>148</v>
      </c>
      <c r="S4221" t="s">
        <v>145</v>
      </c>
      <c r="U4221">
        <v>3</v>
      </c>
      <c r="V4221" t="s">
        <v>544</v>
      </c>
      <c r="W4221" t="s">
        <v>542</v>
      </c>
      <c r="X4221" s="784">
        <v>618344226.71759331</v>
      </c>
    </row>
    <row r="4222" spans="1:24">
      <c r="A4222" t="s">
        <v>358</v>
      </c>
      <c r="B4222" t="s">
        <v>599</v>
      </c>
      <c r="C4222" t="s">
        <v>204</v>
      </c>
      <c r="D4222" t="s">
        <v>126</v>
      </c>
      <c r="E4222" t="s">
        <v>377</v>
      </c>
      <c r="F4222" t="s">
        <v>312</v>
      </c>
      <c r="G4222" t="s">
        <v>349</v>
      </c>
      <c r="H4222" t="s">
        <v>749</v>
      </c>
      <c r="I4222" t="s">
        <v>743</v>
      </c>
      <c r="J4222" t="s">
        <v>379</v>
      </c>
      <c r="K4222" t="s">
        <v>546</v>
      </c>
      <c r="L4222" s="784">
        <v>0</v>
      </c>
      <c r="M4222" t="s">
        <v>745</v>
      </c>
      <c r="N4222" s="784" t="s">
        <v>575</v>
      </c>
      <c r="O4222" t="s">
        <v>737</v>
      </c>
      <c r="P4222" t="s">
        <v>1887</v>
      </c>
      <c r="R4222" t="s">
        <v>152</v>
      </c>
      <c r="S4222" t="s">
        <v>145</v>
      </c>
      <c r="U4222">
        <v>0</v>
      </c>
      <c r="V4222" t="s">
        <v>541</v>
      </c>
      <c r="W4222" t="s">
        <v>548</v>
      </c>
      <c r="X4222" s="784">
        <v>129483872.95906857</v>
      </c>
    </row>
    <row r="4223" spans="1:24">
      <c r="A4223" t="s">
        <v>358</v>
      </c>
      <c r="B4223" t="s">
        <v>600</v>
      </c>
      <c r="C4223" t="s">
        <v>205</v>
      </c>
      <c r="D4223" t="s">
        <v>129</v>
      </c>
      <c r="E4223" t="s">
        <v>377</v>
      </c>
      <c r="F4223" t="s">
        <v>312</v>
      </c>
      <c r="G4223" t="s">
        <v>349</v>
      </c>
      <c r="H4223" t="s">
        <v>749</v>
      </c>
      <c r="I4223" t="s">
        <v>743</v>
      </c>
      <c r="J4223" t="s">
        <v>379</v>
      </c>
      <c r="K4223" t="s">
        <v>546</v>
      </c>
      <c r="L4223" s="784">
        <v>0</v>
      </c>
      <c r="M4223" t="s">
        <v>745</v>
      </c>
      <c r="N4223" s="784" t="s">
        <v>575</v>
      </c>
      <c r="O4223" t="s">
        <v>737</v>
      </c>
      <c r="P4223" t="s">
        <v>1887</v>
      </c>
      <c r="R4223" t="s">
        <v>152</v>
      </c>
      <c r="S4223" t="s">
        <v>146</v>
      </c>
      <c r="U4223">
        <v>0</v>
      </c>
      <c r="V4223" t="s">
        <v>544</v>
      </c>
      <c r="W4223" t="s">
        <v>546</v>
      </c>
      <c r="X4223" s="784">
        <v>271184658.35014349</v>
      </c>
    </row>
    <row r="4224" spans="1:24">
      <c r="A4224" t="s">
        <v>358</v>
      </c>
      <c r="B4224" t="s">
        <v>601</v>
      </c>
      <c r="C4224" t="s">
        <v>206</v>
      </c>
      <c r="D4224" t="s">
        <v>129</v>
      </c>
      <c r="E4224" t="s">
        <v>377</v>
      </c>
      <c r="F4224" t="s">
        <v>312</v>
      </c>
      <c r="G4224" t="s">
        <v>349</v>
      </c>
      <c r="H4224" t="s">
        <v>749</v>
      </c>
      <c r="I4224" t="s">
        <v>743</v>
      </c>
      <c r="J4224" t="s">
        <v>379</v>
      </c>
      <c r="K4224" t="s">
        <v>546</v>
      </c>
      <c r="L4224" s="784">
        <v>0</v>
      </c>
      <c r="M4224" t="s">
        <v>745</v>
      </c>
      <c r="N4224" s="784" t="s">
        <v>575</v>
      </c>
      <c r="O4224" t="s">
        <v>737</v>
      </c>
      <c r="P4224" t="s">
        <v>1887</v>
      </c>
      <c r="R4224" t="s">
        <v>148</v>
      </c>
      <c r="S4224" t="s">
        <v>145</v>
      </c>
      <c r="U4224">
        <v>0</v>
      </c>
      <c r="V4224" t="s">
        <v>544</v>
      </c>
      <c r="W4224" t="s">
        <v>542</v>
      </c>
      <c r="X4224" s="784">
        <v>15455265.086884515</v>
      </c>
    </row>
    <row r="4225" spans="1:24">
      <c r="A4225" t="s">
        <v>358</v>
      </c>
      <c r="B4225" t="s">
        <v>602</v>
      </c>
      <c r="C4225" t="s">
        <v>207</v>
      </c>
      <c r="D4225" t="s">
        <v>127</v>
      </c>
      <c r="E4225" t="s">
        <v>377</v>
      </c>
      <c r="F4225" t="s">
        <v>312</v>
      </c>
      <c r="G4225" t="s">
        <v>349</v>
      </c>
      <c r="H4225" t="s">
        <v>749</v>
      </c>
      <c r="I4225" t="s">
        <v>743</v>
      </c>
      <c r="J4225" t="s">
        <v>379</v>
      </c>
      <c r="K4225" t="s">
        <v>546</v>
      </c>
      <c r="L4225" s="784">
        <v>0</v>
      </c>
      <c r="M4225" t="s">
        <v>745</v>
      </c>
      <c r="N4225" s="784" t="s">
        <v>575</v>
      </c>
      <c r="O4225" t="s">
        <v>737</v>
      </c>
      <c r="P4225" t="s">
        <v>1887</v>
      </c>
      <c r="R4225" t="s">
        <v>152</v>
      </c>
      <c r="S4225" t="s">
        <v>146</v>
      </c>
      <c r="U4225">
        <v>0</v>
      </c>
      <c r="V4225" t="s">
        <v>544</v>
      </c>
      <c r="W4225" t="s">
        <v>546</v>
      </c>
      <c r="X4225" s="784">
        <v>494021502.525527</v>
      </c>
    </row>
    <row r="4226" spans="1:24">
      <c r="A4226" t="s">
        <v>358</v>
      </c>
      <c r="B4226" t="s">
        <v>603</v>
      </c>
      <c r="C4226" t="s">
        <v>208</v>
      </c>
      <c r="D4226" t="s">
        <v>129</v>
      </c>
      <c r="E4226" t="s">
        <v>377</v>
      </c>
      <c r="F4226" t="s">
        <v>312</v>
      </c>
      <c r="G4226" t="s">
        <v>349</v>
      </c>
      <c r="H4226" t="s">
        <v>749</v>
      </c>
      <c r="I4226" t="s">
        <v>743</v>
      </c>
      <c r="J4226" t="s">
        <v>379</v>
      </c>
      <c r="K4226" t="s">
        <v>546</v>
      </c>
      <c r="L4226" s="784">
        <v>608549</v>
      </c>
      <c r="M4226" t="s">
        <v>745</v>
      </c>
      <c r="N4226" s="784" t="s">
        <v>575</v>
      </c>
      <c r="O4226" t="s">
        <v>737</v>
      </c>
      <c r="P4226" t="s">
        <v>1887</v>
      </c>
      <c r="R4226" t="s">
        <v>150</v>
      </c>
      <c r="S4226" t="s">
        <v>145</v>
      </c>
      <c r="U4226">
        <v>0</v>
      </c>
      <c r="V4226" t="s">
        <v>544</v>
      </c>
      <c r="W4226" t="s">
        <v>542</v>
      </c>
      <c r="X4226" s="784">
        <v>902005621.73836684</v>
      </c>
    </row>
    <row r="4227" spans="1:24">
      <c r="A4227" t="s">
        <v>358</v>
      </c>
      <c r="B4227" t="s">
        <v>604</v>
      </c>
      <c r="C4227" t="s">
        <v>209</v>
      </c>
      <c r="D4227" t="s">
        <v>130</v>
      </c>
      <c r="E4227" t="s">
        <v>377</v>
      </c>
      <c r="F4227" t="s">
        <v>312</v>
      </c>
      <c r="G4227" t="s">
        <v>349</v>
      </c>
      <c r="H4227" t="s">
        <v>749</v>
      </c>
      <c r="I4227" t="s">
        <v>743</v>
      </c>
      <c r="J4227" t="s">
        <v>379</v>
      </c>
      <c r="K4227" t="s">
        <v>546</v>
      </c>
      <c r="L4227" s="784">
        <v>0</v>
      </c>
      <c r="M4227" t="s">
        <v>745</v>
      </c>
      <c r="N4227" s="784" t="s">
        <v>575</v>
      </c>
      <c r="O4227" t="s">
        <v>737</v>
      </c>
      <c r="P4227" t="s">
        <v>1887</v>
      </c>
      <c r="R4227" t="s">
        <v>152</v>
      </c>
      <c r="S4227" t="s">
        <v>145</v>
      </c>
      <c r="U4227">
        <v>0</v>
      </c>
      <c r="V4227" t="s">
        <v>541</v>
      </c>
      <c r="W4227" t="s">
        <v>583</v>
      </c>
      <c r="X4227" s="784">
        <v>20201670.142996579</v>
      </c>
    </row>
    <row r="4228" spans="1:24">
      <c r="A4228" t="s">
        <v>358</v>
      </c>
      <c r="B4228" t="s">
        <v>605</v>
      </c>
      <c r="C4228" t="s">
        <v>210</v>
      </c>
      <c r="D4228" t="s">
        <v>130</v>
      </c>
      <c r="E4228" t="s">
        <v>377</v>
      </c>
      <c r="F4228" t="s">
        <v>312</v>
      </c>
      <c r="G4228" t="s">
        <v>349</v>
      </c>
      <c r="H4228" t="s">
        <v>749</v>
      </c>
      <c r="I4228" t="s">
        <v>743</v>
      </c>
      <c r="J4228" t="s">
        <v>379</v>
      </c>
      <c r="K4228" t="s">
        <v>546</v>
      </c>
      <c r="L4228" s="784">
        <v>0</v>
      </c>
      <c r="M4228" t="s">
        <v>745</v>
      </c>
      <c r="N4228" s="784" t="s">
        <v>575</v>
      </c>
      <c r="O4228" t="s">
        <v>737</v>
      </c>
      <c r="P4228" t="s">
        <v>1887</v>
      </c>
      <c r="R4228" t="s">
        <v>152</v>
      </c>
      <c r="S4228" t="s">
        <v>146</v>
      </c>
      <c r="U4228">
        <v>0</v>
      </c>
      <c r="V4228" t="s">
        <v>544</v>
      </c>
      <c r="W4228" t="s">
        <v>575</v>
      </c>
      <c r="X4228" s="784">
        <v>1612434649.6948864</v>
      </c>
    </row>
    <row r="4229" spans="1:24">
      <c r="A4229" t="s">
        <v>358</v>
      </c>
      <c r="B4229" t="s">
        <v>606</v>
      </c>
      <c r="C4229" t="s">
        <v>211</v>
      </c>
      <c r="D4229" t="s">
        <v>129</v>
      </c>
      <c r="E4229" t="s">
        <v>377</v>
      </c>
      <c r="F4229" t="s">
        <v>312</v>
      </c>
      <c r="G4229" t="s">
        <v>349</v>
      </c>
      <c r="H4229" t="s">
        <v>749</v>
      </c>
      <c r="I4229" t="s">
        <v>743</v>
      </c>
      <c r="J4229" t="s">
        <v>379</v>
      </c>
      <c r="K4229" t="s">
        <v>546</v>
      </c>
      <c r="L4229" s="784">
        <v>0</v>
      </c>
      <c r="M4229" t="s">
        <v>745</v>
      </c>
      <c r="N4229" s="784" t="s">
        <v>575</v>
      </c>
      <c r="O4229" t="s">
        <v>737</v>
      </c>
      <c r="P4229" t="s">
        <v>1887</v>
      </c>
      <c r="R4229" t="s">
        <v>148</v>
      </c>
      <c r="S4229" t="s">
        <v>145</v>
      </c>
      <c r="U4229">
        <v>0</v>
      </c>
      <c r="V4229" t="s">
        <v>544</v>
      </c>
      <c r="W4229" t="s">
        <v>562</v>
      </c>
      <c r="X4229" s="784">
        <v>78203134.118229344</v>
      </c>
    </row>
    <row r="4230" spans="1:24">
      <c r="A4230" t="s">
        <v>358</v>
      </c>
      <c r="B4230" t="s">
        <v>607</v>
      </c>
      <c r="C4230" t="s">
        <v>212</v>
      </c>
      <c r="D4230" t="s">
        <v>129</v>
      </c>
      <c r="E4230" t="s">
        <v>377</v>
      </c>
      <c r="F4230" t="s">
        <v>312</v>
      </c>
      <c r="G4230" t="s">
        <v>349</v>
      </c>
      <c r="H4230" t="s">
        <v>749</v>
      </c>
      <c r="I4230" t="s">
        <v>743</v>
      </c>
      <c r="J4230" t="s">
        <v>379</v>
      </c>
      <c r="K4230" t="s">
        <v>546</v>
      </c>
      <c r="L4230" s="784">
        <v>0</v>
      </c>
      <c r="M4230" t="s">
        <v>745</v>
      </c>
      <c r="N4230" s="784" t="s">
        <v>575</v>
      </c>
      <c r="O4230" t="s">
        <v>737</v>
      </c>
      <c r="P4230" t="s">
        <v>1887</v>
      </c>
      <c r="R4230" t="s">
        <v>148</v>
      </c>
      <c r="S4230" t="s">
        <v>145</v>
      </c>
      <c r="U4230">
        <v>2</v>
      </c>
      <c r="V4230" t="s">
        <v>541</v>
      </c>
      <c r="W4230" t="s">
        <v>542</v>
      </c>
      <c r="X4230" s="784">
        <v>9151637.7411015611</v>
      </c>
    </row>
    <row r="4231" spans="1:24">
      <c r="A4231" t="s">
        <v>358</v>
      </c>
      <c r="B4231" t="s">
        <v>608</v>
      </c>
      <c r="C4231" t="s">
        <v>213</v>
      </c>
      <c r="D4231" t="s">
        <v>130</v>
      </c>
      <c r="E4231" t="s">
        <v>377</v>
      </c>
      <c r="F4231" t="s">
        <v>312</v>
      </c>
      <c r="G4231" t="s">
        <v>349</v>
      </c>
      <c r="H4231" t="s">
        <v>749</v>
      </c>
      <c r="I4231" t="s">
        <v>743</v>
      </c>
      <c r="J4231" t="s">
        <v>379</v>
      </c>
      <c r="K4231" t="s">
        <v>546</v>
      </c>
      <c r="L4231" s="784">
        <v>0</v>
      </c>
      <c r="M4231" t="s">
        <v>745</v>
      </c>
      <c r="N4231" s="784" t="s">
        <v>575</v>
      </c>
      <c r="O4231" t="s">
        <v>737</v>
      </c>
      <c r="P4231" t="s">
        <v>1887</v>
      </c>
      <c r="R4231" t="s">
        <v>152</v>
      </c>
      <c r="S4231" t="s">
        <v>145</v>
      </c>
      <c r="U4231">
        <v>0</v>
      </c>
      <c r="V4231" t="s">
        <v>541</v>
      </c>
      <c r="W4231" t="s">
        <v>562</v>
      </c>
      <c r="X4231" s="784">
        <v>142455920.02856269</v>
      </c>
    </row>
    <row r="4232" spans="1:24">
      <c r="A4232" t="s">
        <v>358</v>
      </c>
      <c r="B4232" t="s">
        <v>609</v>
      </c>
      <c r="C4232" t="s">
        <v>214</v>
      </c>
      <c r="D4232" t="s">
        <v>130</v>
      </c>
      <c r="E4232" t="s">
        <v>377</v>
      </c>
      <c r="F4232" t="s">
        <v>312</v>
      </c>
      <c r="G4232" t="s">
        <v>349</v>
      </c>
      <c r="H4232" t="s">
        <v>749</v>
      </c>
      <c r="I4232" t="s">
        <v>743</v>
      </c>
      <c r="J4232" t="s">
        <v>379</v>
      </c>
      <c r="K4232" t="s">
        <v>546</v>
      </c>
      <c r="L4232" s="784">
        <v>0</v>
      </c>
      <c r="M4232" t="s">
        <v>745</v>
      </c>
      <c r="N4232" s="784" t="s">
        <v>575</v>
      </c>
      <c r="O4232" t="s">
        <v>737</v>
      </c>
      <c r="P4232" t="s">
        <v>1887</v>
      </c>
      <c r="R4232" t="s">
        <v>150</v>
      </c>
      <c r="S4232" t="s">
        <v>145</v>
      </c>
      <c r="U4232">
        <v>1</v>
      </c>
      <c r="V4232" t="s">
        <v>541</v>
      </c>
      <c r="W4232" t="s">
        <v>542</v>
      </c>
      <c r="X4232" s="784">
        <v>85611818.171245083</v>
      </c>
    </row>
    <row r="4233" spans="1:24">
      <c r="A4233" t="s">
        <v>358</v>
      </c>
      <c r="B4233" t="s">
        <v>610</v>
      </c>
      <c r="C4233" t="s">
        <v>215</v>
      </c>
      <c r="D4233" t="s">
        <v>130</v>
      </c>
      <c r="E4233" t="s">
        <v>377</v>
      </c>
      <c r="F4233" t="s">
        <v>312</v>
      </c>
      <c r="G4233" t="s">
        <v>349</v>
      </c>
      <c r="H4233" t="s">
        <v>749</v>
      </c>
      <c r="I4233" t="s">
        <v>743</v>
      </c>
      <c r="J4233" t="s">
        <v>379</v>
      </c>
      <c r="K4233" t="s">
        <v>546</v>
      </c>
      <c r="L4233" s="784">
        <v>0</v>
      </c>
      <c r="M4233" t="s">
        <v>745</v>
      </c>
      <c r="N4233" s="784" t="s">
        <v>575</v>
      </c>
      <c r="O4233" t="s">
        <v>737</v>
      </c>
      <c r="P4233" t="s">
        <v>1887</v>
      </c>
      <c r="R4233" t="s">
        <v>150</v>
      </c>
      <c r="S4233" t="s">
        <v>145</v>
      </c>
      <c r="U4233">
        <v>0</v>
      </c>
      <c r="V4233" t="s">
        <v>544</v>
      </c>
      <c r="W4233" t="s">
        <v>558</v>
      </c>
      <c r="X4233" s="784">
        <v>680289736.30082119</v>
      </c>
    </row>
    <row r="4234" spans="1:24">
      <c r="A4234" t="s">
        <v>358</v>
      </c>
      <c r="B4234" t="s">
        <v>611</v>
      </c>
      <c r="C4234" t="s">
        <v>216</v>
      </c>
      <c r="D4234" t="s">
        <v>132</v>
      </c>
      <c r="E4234" t="s">
        <v>377</v>
      </c>
      <c r="F4234" t="s">
        <v>312</v>
      </c>
      <c r="G4234" t="s">
        <v>349</v>
      </c>
      <c r="H4234" t="s">
        <v>749</v>
      </c>
      <c r="I4234" t="s">
        <v>743</v>
      </c>
      <c r="J4234" t="s">
        <v>379</v>
      </c>
      <c r="K4234" t="s">
        <v>546</v>
      </c>
      <c r="L4234" s="784">
        <v>0</v>
      </c>
      <c r="M4234" t="s">
        <v>745</v>
      </c>
      <c r="N4234" s="784" t="s">
        <v>575</v>
      </c>
      <c r="O4234" t="s">
        <v>737</v>
      </c>
      <c r="P4234" t="s">
        <v>1887</v>
      </c>
      <c r="R4234" t="s">
        <v>150</v>
      </c>
      <c r="S4234" t="s">
        <v>145</v>
      </c>
      <c r="U4234">
        <v>0</v>
      </c>
      <c r="V4234" t="s">
        <v>544</v>
      </c>
      <c r="W4234" t="s">
        <v>546</v>
      </c>
      <c r="X4234" s="784">
        <v>26554332750.47023</v>
      </c>
    </row>
    <row r="4235" spans="1:24">
      <c r="A4235" t="s">
        <v>358</v>
      </c>
      <c r="B4235" t="s">
        <v>612</v>
      </c>
      <c r="C4235" t="s">
        <v>217</v>
      </c>
      <c r="D4235" t="s">
        <v>126</v>
      </c>
      <c r="E4235" t="s">
        <v>377</v>
      </c>
      <c r="F4235" t="s">
        <v>312</v>
      </c>
      <c r="G4235" t="s">
        <v>349</v>
      </c>
      <c r="H4235" t="s">
        <v>749</v>
      </c>
      <c r="I4235" t="s">
        <v>743</v>
      </c>
      <c r="J4235" t="s">
        <v>379</v>
      </c>
      <c r="K4235" t="s">
        <v>546</v>
      </c>
      <c r="L4235" s="784">
        <v>0</v>
      </c>
      <c r="M4235" t="s">
        <v>745</v>
      </c>
      <c r="N4235" s="784" t="s">
        <v>575</v>
      </c>
      <c r="O4235" t="s">
        <v>737</v>
      </c>
      <c r="P4235" t="s">
        <v>1887</v>
      </c>
      <c r="R4235" t="s">
        <v>150</v>
      </c>
      <c r="S4235" t="s">
        <v>145</v>
      </c>
      <c r="U4235">
        <v>0</v>
      </c>
      <c r="V4235" t="s">
        <v>544</v>
      </c>
      <c r="W4235" t="s">
        <v>546</v>
      </c>
      <c r="X4235" s="784">
        <v>14745961064.890842</v>
      </c>
    </row>
    <row r="4236" spans="1:24">
      <c r="A4236" t="s">
        <v>358</v>
      </c>
      <c r="B4236" t="s">
        <v>613</v>
      </c>
      <c r="C4236" t="s">
        <v>149</v>
      </c>
      <c r="D4236" t="s">
        <v>131</v>
      </c>
      <c r="E4236" t="s">
        <v>377</v>
      </c>
      <c r="F4236" t="s">
        <v>312</v>
      </c>
      <c r="G4236" t="s">
        <v>349</v>
      </c>
      <c r="H4236" t="s">
        <v>749</v>
      </c>
      <c r="I4236" t="s">
        <v>743</v>
      </c>
      <c r="J4236" t="s">
        <v>379</v>
      </c>
      <c r="K4236" t="s">
        <v>546</v>
      </c>
      <c r="L4236" s="784">
        <v>0</v>
      </c>
      <c r="M4236" t="s">
        <v>745</v>
      </c>
      <c r="N4236" s="784" t="s">
        <v>575</v>
      </c>
      <c r="O4236" t="s">
        <v>737</v>
      </c>
      <c r="P4236" t="s">
        <v>1887</v>
      </c>
      <c r="R4236" t="s">
        <v>150</v>
      </c>
      <c r="S4236" t="s">
        <v>146</v>
      </c>
      <c r="U4236">
        <v>0</v>
      </c>
      <c r="V4236" t="s">
        <v>544</v>
      </c>
      <c r="W4236" t="s">
        <v>546</v>
      </c>
      <c r="X4236" s="784">
        <v>18194076299.786381</v>
      </c>
    </row>
    <row r="4237" spans="1:24">
      <c r="A4237" t="s">
        <v>358</v>
      </c>
      <c r="B4237" t="s">
        <v>614</v>
      </c>
      <c r="C4237" t="s">
        <v>218</v>
      </c>
      <c r="D4237" t="s">
        <v>131</v>
      </c>
      <c r="E4237" t="s">
        <v>377</v>
      </c>
      <c r="F4237" t="s">
        <v>312</v>
      </c>
      <c r="G4237" t="s">
        <v>349</v>
      </c>
      <c r="H4237" t="s">
        <v>749</v>
      </c>
      <c r="I4237" t="s">
        <v>743</v>
      </c>
      <c r="J4237" t="s">
        <v>379</v>
      </c>
      <c r="K4237" t="s">
        <v>546</v>
      </c>
      <c r="L4237" s="784">
        <v>0</v>
      </c>
      <c r="M4237" t="s">
        <v>745</v>
      </c>
      <c r="N4237" s="784" t="s">
        <v>575</v>
      </c>
      <c r="O4237" t="s">
        <v>737</v>
      </c>
      <c r="P4237" t="s">
        <v>1887</v>
      </c>
      <c r="R4237" t="s">
        <v>152</v>
      </c>
      <c r="S4237" t="s">
        <v>146</v>
      </c>
      <c r="U4237">
        <v>0</v>
      </c>
      <c r="V4237" t="s">
        <v>544</v>
      </c>
      <c r="W4237" t="s">
        <v>546</v>
      </c>
      <c r="X4237" s="784">
        <v>4428819387.769825</v>
      </c>
    </row>
    <row r="4238" spans="1:24">
      <c r="A4238" t="s">
        <v>358</v>
      </c>
      <c r="B4238" t="s">
        <v>615</v>
      </c>
      <c r="C4238" t="s">
        <v>219</v>
      </c>
      <c r="D4238" t="s">
        <v>130</v>
      </c>
      <c r="E4238" t="s">
        <v>377</v>
      </c>
      <c r="F4238" t="s">
        <v>312</v>
      </c>
      <c r="G4238" t="s">
        <v>349</v>
      </c>
      <c r="H4238" t="s">
        <v>749</v>
      </c>
      <c r="I4238" t="s">
        <v>743</v>
      </c>
      <c r="J4238" t="s">
        <v>379</v>
      </c>
      <c r="K4238" t="s">
        <v>546</v>
      </c>
      <c r="L4238" s="784">
        <v>0</v>
      </c>
      <c r="M4238" t="s">
        <v>745</v>
      </c>
      <c r="N4238" s="784" t="s">
        <v>575</v>
      </c>
      <c r="O4238" t="s">
        <v>737</v>
      </c>
      <c r="P4238" t="s">
        <v>1887</v>
      </c>
      <c r="R4238" t="s">
        <v>152</v>
      </c>
      <c r="S4238" t="s">
        <v>146</v>
      </c>
      <c r="U4238">
        <v>0</v>
      </c>
      <c r="V4238" t="s">
        <v>541</v>
      </c>
      <c r="W4238" t="s">
        <v>575</v>
      </c>
      <c r="X4238" s="784">
        <v>611739560.62679195</v>
      </c>
    </row>
    <row r="4239" spans="1:24">
      <c r="A4239" t="s">
        <v>358</v>
      </c>
      <c r="B4239" t="s">
        <v>616</v>
      </c>
      <c r="C4239" t="s">
        <v>220</v>
      </c>
      <c r="D4239" t="s">
        <v>131</v>
      </c>
      <c r="E4239" t="s">
        <v>377</v>
      </c>
      <c r="F4239" t="s">
        <v>312</v>
      </c>
      <c r="G4239" t="s">
        <v>349</v>
      </c>
      <c r="H4239" t="s">
        <v>749</v>
      </c>
      <c r="I4239" t="s">
        <v>743</v>
      </c>
      <c r="J4239" t="s">
        <v>379</v>
      </c>
      <c r="K4239" t="s">
        <v>546</v>
      </c>
      <c r="L4239" s="784">
        <v>0</v>
      </c>
      <c r="M4239" t="s">
        <v>745</v>
      </c>
      <c r="N4239" s="784" t="s">
        <v>575</v>
      </c>
      <c r="O4239" t="s">
        <v>737</v>
      </c>
      <c r="P4239" t="s">
        <v>1887</v>
      </c>
      <c r="R4239" t="s">
        <v>152</v>
      </c>
      <c r="S4239" t="s">
        <v>146</v>
      </c>
      <c r="U4239">
        <v>0</v>
      </c>
      <c r="V4239" t="s">
        <v>544</v>
      </c>
      <c r="W4239" t="s">
        <v>546</v>
      </c>
      <c r="X4239" s="784">
        <v>1617913383.0481031</v>
      </c>
    </row>
    <row r="4240" spans="1:24">
      <c r="A4240" t="s">
        <v>358</v>
      </c>
      <c r="B4240" t="s">
        <v>617</v>
      </c>
      <c r="C4240" t="s">
        <v>221</v>
      </c>
      <c r="D4240" t="s">
        <v>127</v>
      </c>
      <c r="E4240" t="s">
        <v>377</v>
      </c>
      <c r="F4240" t="s">
        <v>312</v>
      </c>
      <c r="G4240" t="s">
        <v>349</v>
      </c>
      <c r="H4240" t="s">
        <v>749</v>
      </c>
      <c r="I4240" t="s">
        <v>743</v>
      </c>
      <c r="J4240" t="s">
        <v>379</v>
      </c>
      <c r="K4240" t="s">
        <v>546</v>
      </c>
      <c r="L4240" s="784">
        <v>0</v>
      </c>
      <c r="M4240" t="s">
        <v>745</v>
      </c>
      <c r="N4240" s="784" t="s">
        <v>575</v>
      </c>
      <c r="O4240" t="s">
        <v>737</v>
      </c>
      <c r="P4240" t="s">
        <v>1887</v>
      </c>
      <c r="R4240" t="s">
        <v>152</v>
      </c>
      <c r="S4240" t="s">
        <v>146</v>
      </c>
      <c r="U4240">
        <v>0</v>
      </c>
      <c r="V4240" t="s">
        <v>544</v>
      </c>
      <c r="W4240" t="s">
        <v>575</v>
      </c>
      <c r="X4240" s="784">
        <v>3074419112.4562683</v>
      </c>
    </row>
    <row r="4241" spans="1:24">
      <c r="A4241" t="s">
        <v>358</v>
      </c>
      <c r="B4241" t="s">
        <v>618</v>
      </c>
      <c r="C4241" t="s">
        <v>222</v>
      </c>
      <c r="D4241" t="s">
        <v>128</v>
      </c>
      <c r="E4241" t="s">
        <v>377</v>
      </c>
      <c r="F4241" t="s">
        <v>312</v>
      </c>
      <c r="G4241" t="s">
        <v>349</v>
      </c>
      <c r="H4241" t="s">
        <v>749</v>
      </c>
      <c r="I4241" t="s">
        <v>743</v>
      </c>
      <c r="J4241" t="s">
        <v>379</v>
      </c>
      <c r="K4241" t="s">
        <v>546</v>
      </c>
      <c r="L4241" s="784">
        <v>0</v>
      </c>
      <c r="M4241" t="s">
        <v>745</v>
      </c>
      <c r="N4241" s="784" t="s">
        <v>575</v>
      </c>
      <c r="O4241" t="s">
        <v>737</v>
      </c>
      <c r="P4241" t="s">
        <v>1887</v>
      </c>
      <c r="R4241" t="s">
        <v>150</v>
      </c>
      <c r="S4241" t="s">
        <v>145</v>
      </c>
      <c r="U4241">
        <v>0</v>
      </c>
      <c r="V4241" t="s">
        <v>544</v>
      </c>
      <c r="W4241" t="s">
        <v>542</v>
      </c>
      <c r="X4241" s="784">
        <v>1914014279.8929913</v>
      </c>
    </row>
    <row r="4242" spans="1:24">
      <c r="A4242" t="s">
        <v>358</v>
      </c>
      <c r="B4242" t="s">
        <v>619</v>
      </c>
      <c r="C4242" t="s">
        <v>223</v>
      </c>
      <c r="D4242" t="s">
        <v>126</v>
      </c>
      <c r="E4242" t="s">
        <v>377</v>
      </c>
      <c r="F4242" t="s">
        <v>312</v>
      </c>
      <c r="G4242" t="s">
        <v>349</v>
      </c>
      <c r="H4242" t="s">
        <v>749</v>
      </c>
      <c r="I4242" t="s">
        <v>743</v>
      </c>
      <c r="J4242" t="s">
        <v>379</v>
      </c>
      <c r="K4242" t="s">
        <v>546</v>
      </c>
      <c r="L4242" s="784">
        <v>0</v>
      </c>
      <c r="M4242" t="s">
        <v>745</v>
      </c>
      <c r="N4242" s="784" t="s">
        <v>575</v>
      </c>
      <c r="O4242" t="s">
        <v>737</v>
      </c>
      <c r="P4242" t="s">
        <v>1887</v>
      </c>
      <c r="R4242" t="s">
        <v>150</v>
      </c>
      <c r="S4242" t="s">
        <v>145</v>
      </c>
      <c r="U4242">
        <v>0</v>
      </c>
      <c r="V4242" t="s">
        <v>541</v>
      </c>
      <c r="W4242" t="s">
        <v>542</v>
      </c>
      <c r="X4242" s="784">
        <v>17422005.762907442</v>
      </c>
    </row>
    <row r="4243" spans="1:24">
      <c r="A4243" t="s">
        <v>358</v>
      </c>
      <c r="B4243" t="s">
        <v>620</v>
      </c>
      <c r="C4243" t="s">
        <v>224</v>
      </c>
      <c r="D4243" t="s">
        <v>126</v>
      </c>
      <c r="E4243" t="s">
        <v>377</v>
      </c>
      <c r="F4243" t="s">
        <v>312</v>
      </c>
      <c r="G4243" t="s">
        <v>349</v>
      </c>
      <c r="H4243" t="s">
        <v>749</v>
      </c>
      <c r="I4243" t="s">
        <v>743</v>
      </c>
      <c r="J4243" t="s">
        <v>379</v>
      </c>
      <c r="K4243" t="s">
        <v>546</v>
      </c>
      <c r="L4243" s="784">
        <v>0</v>
      </c>
      <c r="M4243" t="s">
        <v>745</v>
      </c>
      <c r="N4243" s="784" t="s">
        <v>575</v>
      </c>
      <c r="O4243" t="s">
        <v>737</v>
      </c>
      <c r="P4243" t="s">
        <v>1887</v>
      </c>
      <c r="R4243" t="s">
        <v>148</v>
      </c>
      <c r="S4243" t="s">
        <v>145</v>
      </c>
      <c r="U4243">
        <v>0</v>
      </c>
      <c r="V4243" t="s">
        <v>544</v>
      </c>
      <c r="W4243" t="s">
        <v>546</v>
      </c>
      <c r="X4243" s="784" t="s">
        <v>575</v>
      </c>
    </row>
    <row r="4244" spans="1:24">
      <c r="A4244" t="s">
        <v>358</v>
      </c>
      <c r="B4244" t="s">
        <v>621</v>
      </c>
      <c r="C4244" t="s">
        <v>225</v>
      </c>
      <c r="D4244" t="s">
        <v>127</v>
      </c>
      <c r="E4244" t="s">
        <v>377</v>
      </c>
      <c r="F4244" t="s">
        <v>312</v>
      </c>
      <c r="G4244" t="s">
        <v>349</v>
      </c>
      <c r="H4244" t="s">
        <v>749</v>
      </c>
      <c r="I4244" t="s">
        <v>743</v>
      </c>
      <c r="J4244" t="s">
        <v>379</v>
      </c>
      <c r="K4244" t="s">
        <v>546</v>
      </c>
      <c r="L4244" s="784">
        <v>0</v>
      </c>
      <c r="M4244" t="s">
        <v>745</v>
      </c>
      <c r="N4244" s="784" t="s">
        <v>575</v>
      </c>
      <c r="O4244" t="s">
        <v>737</v>
      </c>
      <c r="P4244" t="s">
        <v>1887</v>
      </c>
      <c r="R4244" t="s">
        <v>152</v>
      </c>
      <c r="S4244" t="s">
        <v>145</v>
      </c>
      <c r="U4244">
        <v>0</v>
      </c>
      <c r="V4244" t="s">
        <v>544</v>
      </c>
      <c r="W4244" t="s">
        <v>548</v>
      </c>
      <c r="X4244" s="784" t="s">
        <v>575</v>
      </c>
    </row>
    <row r="4245" spans="1:24">
      <c r="A4245" t="s">
        <v>358</v>
      </c>
      <c r="B4245" t="s">
        <v>622</v>
      </c>
      <c r="C4245" t="s">
        <v>226</v>
      </c>
      <c r="D4245" t="s">
        <v>127</v>
      </c>
      <c r="E4245" t="s">
        <v>377</v>
      </c>
      <c r="F4245" t="s">
        <v>312</v>
      </c>
      <c r="G4245" t="s">
        <v>349</v>
      </c>
      <c r="H4245" t="s">
        <v>749</v>
      </c>
      <c r="I4245" t="s">
        <v>743</v>
      </c>
      <c r="J4245" t="s">
        <v>379</v>
      </c>
      <c r="K4245" t="s">
        <v>546</v>
      </c>
      <c r="L4245" s="784">
        <v>0</v>
      </c>
      <c r="M4245" t="s">
        <v>745</v>
      </c>
      <c r="N4245" s="784" t="s">
        <v>575</v>
      </c>
      <c r="O4245" t="s">
        <v>737</v>
      </c>
      <c r="P4245" t="s">
        <v>1887</v>
      </c>
      <c r="R4245" t="s">
        <v>150</v>
      </c>
      <c r="S4245" t="s">
        <v>145</v>
      </c>
      <c r="U4245">
        <v>2</v>
      </c>
      <c r="V4245" t="s">
        <v>544</v>
      </c>
      <c r="W4245" t="s">
        <v>562</v>
      </c>
      <c r="X4245" s="784">
        <v>231506834.84347546</v>
      </c>
    </row>
    <row r="4246" spans="1:24">
      <c r="A4246" t="s">
        <v>358</v>
      </c>
      <c r="B4246" t="s">
        <v>623</v>
      </c>
      <c r="C4246" t="s">
        <v>227</v>
      </c>
      <c r="D4246" t="s">
        <v>126</v>
      </c>
      <c r="E4246" t="s">
        <v>377</v>
      </c>
      <c r="F4246" t="s">
        <v>312</v>
      </c>
      <c r="G4246" t="s">
        <v>349</v>
      </c>
      <c r="H4246" t="s">
        <v>749</v>
      </c>
      <c r="I4246" t="s">
        <v>743</v>
      </c>
      <c r="J4246" t="s">
        <v>379</v>
      </c>
      <c r="K4246" t="s">
        <v>546</v>
      </c>
      <c r="L4246" s="784">
        <v>0</v>
      </c>
      <c r="M4246" t="s">
        <v>745</v>
      </c>
      <c r="N4246" s="784" t="s">
        <v>575</v>
      </c>
      <c r="O4246" t="s">
        <v>737</v>
      </c>
      <c r="P4246" t="s">
        <v>1887</v>
      </c>
      <c r="R4246" t="s">
        <v>150</v>
      </c>
      <c r="S4246" t="s">
        <v>145</v>
      </c>
      <c r="U4246">
        <v>0</v>
      </c>
      <c r="V4246" t="s">
        <v>544</v>
      </c>
      <c r="W4246" t="s">
        <v>542</v>
      </c>
      <c r="X4246" s="784">
        <v>156059428.62944782</v>
      </c>
    </row>
    <row r="4247" spans="1:24">
      <c r="A4247" t="s">
        <v>358</v>
      </c>
      <c r="B4247" t="s">
        <v>624</v>
      </c>
      <c r="C4247" t="s">
        <v>228</v>
      </c>
      <c r="D4247" t="s">
        <v>131</v>
      </c>
      <c r="E4247" t="s">
        <v>377</v>
      </c>
      <c r="F4247" t="s">
        <v>312</v>
      </c>
      <c r="G4247" t="s">
        <v>349</v>
      </c>
      <c r="H4247" t="s">
        <v>749</v>
      </c>
      <c r="I4247" t="s">
        <v>743</v>
      </c>
      <c r="J4247" t="s">
        <v>379</v>
      </c>
      <c r="K4247" t="s">
        <v>546</v>
      </c>
      <c r="L4247" s="784">
        <v>0</v>
      </c>
      <c r="M4247" t="s">
        <v>745</v>
      </c>
      <c r="N4247" s="784" t="s">
        <v>575</v>
      </c>
      <c r="O4247" t="s">
        <v>737</v>
      </c>
      <c r="P4247" t="s">
        <v>1887</v>
      </c>
      <c r="R4247" t="s">
        <v>152</v>
      </c>
      <c r="S4247" t="s">
        <v>146</v>
      </c>
      <c r="U4247">
        <v>0</v>
      </c>
      <c r="V4247" t="s">
        <v>544</v>
      </c>
      <c r="W4247" t="s">
        <v>546</v>
      </c>
      <c r="X4247" s="784">
        <v>2355391507.1635861</v>
      </c>
    </row>
    <row r="4248" spans="1:24">
      <c r="A4248" t="s">
        <v>358</v>
      </c>
      <c r="B4248" t="s">
        <v>625</v>
      </c>
      <c r="C4248" t="s">
        <v>229</v>
      </c>
      <c r="D4248" t="s">
        <v>128</v>
      </c>
      <c r="E4248" t="s">
        <v>377</v>
      </c>
      <c r="F4248" t="s">
        <v>312</v>
      </c>
      <c r="G4248" t="s">
        <v>349</v>
      </c>
      <c r="H4248" t="s">
        <v>749</v>
      </c>
      <c r="I4248" t="s">
        <v>743</v>
      </c>
      <c r="J4248" t="s">
        <v>379</v>
      </c>
      <c r="K4248" t="s">
        <v>546</v>
      </c>
      <c r="L4248" s="784">
        <v>0</v>
      </c>
      <c r="M4248" t="s">
        <v>745</v>
      </c>
      <c r="N4248" s="784" t="s">
        <v>575</v>
      </c>
      <c r="O4248" t="s">
        <v>737</v>
      </c>
      <c r="P4248" t="s">
        <v>1887</v>
      </c>
      <c r="R4248" t="s">
        <v>150</v>
      </c>
      <c r="S4248" t="s">
        <v>145</v>
      </c>
      <c r="U4248">
        <v>0</v>
      </c>
      <c r="V4248" t="s">
        <v>544</v>
      </c>
      <c r="W4248" t="s">
        <v>562</v>
      </c>
      <c r="X4248" s="784">
        <v>152760919.7684873</v>
      </c>
    </row>
    <row r="4249" spans="1:24">
      <c r="A4249" t="s">
        <v>358</v>
      </c>
      <c r="B4249" t="s">
        <v>626</v>
      </c>
      <c r="C4249" t="s">
        <v>230</v>
      </c>
      <c r="D4249" t="s">
        <v>129</v>
      </c>
      <c r="E4249" t="s">
        <v>377</v>
      </c>
      <c r="F4249" t="s">
        <v>312</v>
      </c>
      <c r="G4249" t="s">
        <v>349</v>
      </c>
      <c r="H4249" t="s">
        <v>749</v>
      </c>
      <c r="I4249" t="s">
        <v>743</v>
      </c>
      <c r="J4249" t="s">
        <v>379</v>
      </c>
      <c r="K4249" t="s">
        <v>546</v>
      </c>
      <c r="L4249" s="784">
        <v>0</v>
      </c>
      <c r="M4249" t="s">
        <v>745</v>
      </c>
      <c r="N4249" s="784" t="s">
        <v>575</v>
      </c>
      <c r="O4249" t="s">
        <v>737</v>
      </c>
      <c r="P4249" t="s">
        <v>1887</v>
      </c>
      <c r="R4249" t="s">
        <v>148</v>
      </c>
      <c r="S4249" t="s">
        <v>145</v>
      </c>
      <c r="U4249">
        <v>0</v>
      </c>
      <c r="V4249" t="s">
        <v>544</v>
      </c>
      <c r="W4249" t="s">
        <v>542</v>
      </c>
      <c r="X4249" s="784">
        <v>55072006.864440605</v>
      </c>
    </row>
    <row r="4250" spans="1:24">
      <c r="A4250" t="s">
        <v>358</v>
      </c>
      <c r="B4250" t="s">
        <v>627</v>
      </c>
      <c r="C4250" t="s">
        <v>231</v>
      </c>
      <c r="D4250" t="s">
        <v>131</v>
      </c>
      <c r="E4250" t="s">
        <v>377</v>
      </c>
      <c r="F4250" t="s">
        <v>312</v>
      </c>
      <c r="G4250" t="s">
        <v>349</v>
      </c>
      <c r="H4250" t="s">
        <v>749</v>
      </c>
      <c r="I4250" t="s">
        <v>743</v>
      </c>
      <c r="J4250" t="s">
        <v>379</v>
      </c>
      <c r="K4250" t="s">
        <v>546</v>
      </c>
      <c r="L4250" s="784">
        <v>0</v>
      </c>
      <c r="M4250" t="s">
        <v>745</v>
      </c>
      <c r="N4250" s="784" t="s">
        <v>575</v>
      </c>
      <c r="O4250" t="s">
        <v>737</v>
      </c>
      <c r="P4250" t="s">
        <v>1887</v>
      </c>
      <c r="R4250" t="s">
        <v>152</v>
      </c>
      <c r="S4250" t="s">
        <v>146</v>
      </c>
      <c r="U4250">
        <v>0</v>
      </c>
      <c r="V4250" t="s">
        <v>544</v>
      </c>
      <c r="W4250" t="s">
        <v>546</v>
      </c>
      <c r="X4250" s="784" t="s">
        <v>575</v>
      </c>
    </row>
    <row r="4251" spans="1:24">
      <c r="A4251" t="s">
        <v>358</v>
      </c>
      <c r="B4251" t="s">
        <v>628</v>
      </c>
      <c r="C4251" t="s">
        <v>232</v>
      </c>
      <c r="D4251" t="s">
        <v>128</v>
      </c>
      <c r="E4251" t="s">
        <v>377</v>
      </c>
      <c r="F4251" t="s">
        <v>312</v>
      </c>
      <c r="G4251" t="s">
        <v>349</v>
      </c>
      <c r="H4251" t="s">
        <v>749</v>
      </c>
      <c r="I4251" t="s">
        <v>743</v>
      </c>
      <c r="J4251" t="s">
        <v>379</v>
      </c>
      <c r="K4251" t="s">
        <v>546</v>
      </c>
      <c r="L4251" s="784">
        <v>0</v>
      </c>
      <c r="M4251" t="s">
        <v>745</v>
      </c>
      <c r="N4251" s="784" t="s">
        <v>575</v>
      </c>
      <c r="O4251" t="s">
        <v>737</v>
      </c>
      <c r="P4251" t="s">
        <v>1887</v>
      </c>
      <c r="R4251" t="s">
        <v>148</v>
      </c>
      <c r="S4251" t="s">
        <v>145</v>
      </c>
      <c r="U4251">
        <v>2</v>
      </c>
      <c r="V4251" t="s">
        <v>544</v>
      </c>
      <c r="W4251" t="s">
        <v>562</v>
      </c>
      <c r="X4251" s="784">
        <v>206914157.05429548</v>
      </c>
    </row>
    <row r="4252" spans="1:24">
      <c r="A4252" t="s">
        <v>358</v>
      </c>
      <c r="B4252" t="s">
        <v>629</v>
      </c>
      <c r="C4252" t="s">
        <v>233</v>
      </c>
      <c r="D4252" t="s">
        <v>128</v>
      </c>
      <c r="E4252" t="s">
        <v>377</v>
      </c>
      <c r="F4252" t="s">
        <v>312</v>
      </c>
      <c r="G4252" t="s">
        <v>349</v>
      </c>
      <c r="H4252" t="s">
        <v>749</v>
      </c>
      <c r="I4252" t="s">
        <v>743</v>
      </c>
      <c r="J4252" t="s">
        <v>379</v>
      </c>
      <c r="K4252" t="s">
        <v>546</v>
      </c>
      <c r="L4252" s="784">
        <v>0</v>
      </c>
      <c r="M4252" t="s">
        <v>745</v>
      </c>
      <c r="N4252" s="784" t="s">
        <v>575</v>
      </c>
      <c r="O4252" t="s">
        <v>737</v>
      </c>
      <c r="P4252" t="s">
        <v>1887</v>
      </c>
      <c r="R4252" t="s">
        <v>148</v>
      </c>
      <c r="S4252" t="s">
        <v>145</v>
      </c>
      <c r="U4252">
        <v>2</v>
      </c>
      <c r="V4252" t="s">
        <v>544</v>
      </c>
      <c r="W4252" t="s">
        <v>542</v>
      </c>
      <c r="X4252" s="784">
        <v>185999915.02066413</v>
      </c>
    </row>
    <row r="4253" spans="1:24">
      <c r="A4253" t="s">
        <v>358</v>
      </c>
      <c r="B4253" t="s">
        <v>630</v>
      </c>
      <c r="C4253" t="s">
        <v>234</v>
      </c>
      <c r="D4253" t="s">
        <v>126</v>
      </c>
      <c r="E4253" t="s">
        <v>377</v>
      </c>
      <c r="F4253" t="s">
        <v>312</v>
      </c>
      <c r="G4253" t="s">
        <v>349</v>
      </c>
      <c r="H4253" t="s">
        <v>749</v>
      </c>
      <c r="I4253" t="s">
        <v>743</v>
      </c>
      <c r="J4253" t="s">
        <v>379</v>
      </c>
      <c r="K4253" t="s">
        <v>546</v>
      </c>
      <c r="L4253" s="784">
        <v>0</v>
      </c>
      <c r="M4253" t="s">
        <v>745</v>
      </c>
      <c r="N4253" s="784" t="s">
        <v>575</v>
      </c>
      <c r="O4253" t="s">
        <v>737</v>
      </c>
      <c r="P4253" t="s">
        <v>1887</v>
      </c>
      <c r="R4253" t="s">
        <v>152</v>
      </c>
      <c r="S4253" t="s">
        <v>146</v>
      </c>
      <c r="U4253">
        <v>0</v>
      </c>
      <c r="V4253" t="s">
        <v>544</v>
      </c>
      <c r="W4253" t="s">
        <v>575</v>
      </c>
      <c r="X4253" s="784">
        <v>6893755763.2501726</v>
      </c>
    </row>
    <row r="4254" spans="1:24">
      <c r="A4254" t="s">
        <v>358</v>
      </c>
      <c r="B4254" t="s">
        <v>631</v>
      </c>
      <c r="C4254" t="s">
        <v>235</v>
      </c>
      <c r="D4254" t="s">
        <v>132</v>
      </c>
      <c r="E4254" t="s">
        <v>377</v>
      </c>
      <c r="F4254" t="s">
        <v>312</v>
      </c>
      <c r="G4254" t="s">
        <v>349</v>
      </c>
      <c r="H4254" t="s">
        <v>749</v>
      </c>
      <c r="I4254" t="s">
        <v>743</v>
      </c>
      <c r="J4254" t="s">
        <v>379</v>
      </c>
      <c r="K4254" t="s">
        <v>546</v>
      </c>
      <c r="L4254" s="784">
        <v>0</v>
      </c>
      <c r="M4254" t="s">
        <v>745</v>
      </c>
      <c r="N4254" s="784" t="s">
        <v>575</v>
      </c>
      <c r="O4254" t="s">
        <v>737</v>
      </c>
      <c r="P4254" t="s">
        <v>1887</v>
      </c>
      <c r="R4254" t="s">
        <v>152</v>
      </c>
      <c r="S4254" t="s">
        <v>145</v>
      </c>
      <c r="U4254">
        <v>0</v>
      </c>
      <c r="V4254" t="s">
        <v>541</v>
      </c>
      <c r="W4254" t="s">
        <v>542</v>
      </c>
      <c r="X4254" s="784">
        <v>354560231.58276606</v>
      </c>
    </row>
    <row r="4255" spans="1:24">
      <c r="A4255" t="s">
        <v>358</v>
      </c>
      <c r="B4255" t="s">
        <v>632</v>
      </c>
      <c r="C4255" t="s">
        <v>236</v>
      </c>
      <c r="D4255" t="s">
        <v>129</v>
      </c>
      <c r="E4255" t="s">
        <v>377</v>
      </c>
      <c r="F4255" t="s">
        <v>312</v>
      </c>
      <c r="G4255" t="s">
        <v>349</v>
      </c>
      <c r="H4255" t="s">
        <v>749</v>
      </c>
      <c r="I4255" t="s">
        <v>743</v>
      </c>
      <c r="J4255" t="s">
        <v>379</v>
      </c>
      <c r="K4255" t="s">
        <v>546</v>
      </c>
      <c r="L4255" s="784">
        <v>0</v>
      </c>
      <c r="M4255" t="s">
        <v>745</v>
      </c>
      <c r="N4255" s="784" t="s">
        <v>575</v>
      </c>
      <c r="O4255" t="s">
        <v>737</v>
      </c>
      <c r="P4255" t="s">
        <v>1887</v>
      </c>
      <c r="R4255" t="s">
        <v>148</v>
      </c>
      <c r="S4255" t="s">
        <v>145</v>
      </c>
      <c r="U4255">
        <v>1</v>
      </c>
      <c r="V4255" t="s">
        <v>544</v>
      </c>
      <c r="W4255" t="s">
        <v>562</v>
      </c>
      <c r="X4255" s="784">
        <v>188169167.56540567</v>
      </c>
    </row>
    <row r="4256" spans="1:24">
      <c r="A4256" t="s">
        <v>358</v>
      </c>
      <c r="B4256" t="s">
        <v>633</v>
      </c>
      <c r="C4256" t="s">
        <v>237</v>
      </c>
      <c r="D4256" t="s">
        <v>126</v>
      </c>
      <c r="E4256" t="s">
        <v>377</v>
      </c>
      <c r="F4256" t="s">
        <v>312</v>
      </c>
      <c r="G4256" t="s">
        <v>349</v>
      </c>
      <c r="H4256" t="s">
        <v>749</v>
      </c>
      <c r="I4256" t="s">
        <v>743</v>
      </c>
      <c r="J4256" t="s">
        <v>379</v>
      </c>
      <c r="K4256" t="s">
        <v>546</v>
      </c>
      <c r="L4256" s="784">
        <v>0</v>
      </c>
      <c r="M4256" t="s">
        <v>745</v>
      </c>
      <c r="N4256" s="784" t="s">
        <v>575</v>
      </c>
      <c r="O4256" t="s">
        <v>737</v>
      </c>
      <c r="P4256" t="s">
        <v>1887</v>
      </c>
      <c r="R4256" t="s">
        <v>152</v>
      </c>
      <c r="S4256" t="s">
        <v>145</v>
      </c>
      <c r="U4256">
        <v>0</v>
      </c>
      <c r="V4256" t="s">
        <v>541</v>
      </c>
      <c r="W4256" t="s">
        <v>575</v>
      </c>
      <c r="X4256" s="784">
        <v>16312106.556340856</v>
      </c>
    </row>
    <row r="4257" spans="1:24">
      <c r="A4257" t="s">
        <v>358</v>
      </c>
      <c r="B4257" t="s">
        <v>634</v>
      </c>
      <c r="C4257" t="s">
        <v>238</v>
      </c>
      <c r="D4257" t="s">
        <v>129</v>
      </c>
      <c r="E4257" t="s">
        <v>377</v>
      </c>
      <c r="F4257" t="s">
        <v>312</v>
      </c>
      <c r="G4257" t="s">
        <v>349</v>
      </c>
      <c r="H4257" t="s">
        <v>749</v>
      </c>
      <c r="I4257" t="s">
        <v>743</v>
      </c>
      <c r="J4257" t="s">
        <v>379</v>
      </c>
      <c r="K4257" t="s">
        <v>546</v>
      </c>
      <c r="L4257" s="784">
        <v>0</v>
      </c>
      <c r="M4257" t="s">
        <v>745</v>
      </c>
      <c r="N4257" s="784" t="s">
        <v>575</v>
      </c>
      <c r="O4257" t="s">
        <v>737</v>
      </c>
      <c r="P4257" t="s">
        <v>1887</v>
      </c>
      <c r="R4257" t="s">
        <v>150</v>
      </c>
      <c r="S4257" t="s">
        <v>145</v>
      </c>
      <c r="U4257">
        <v>2</v>
      </c>
      <c r="V4257" t="s">
        <v>544</v>
      </c>
      <c r="W4257" t="s">
        <v>542</v>
      </c>
      <c r="X4257" s="784">
        <v>86083833.534053758</v>
      </c>
    </row>
    <row r="4258" spans="1:24">
      <c r="A4258" t="s">
        <v>358</v>
      </c>
      <c r="B4258" t="s">
        <v>635</v>
      </c>
      <c r="C4258" t="s">
        <v>239</v>
      </c>
      <c r="D4258" t="s">
        <v>128</v>
      </c>
      <c r="E4258" t="s">
        <v>377</v>
      </c>
      <c r="F4258" t="s">
        <v>312</v>
      </c>
      <c r="G4258" t="s">
        <v>349</v>
      </c>
      <c r="H4258" t="s">
        <v>749</v>
      </c>
      <c r="I4258" t="s">
        <v>743</v>
      </c>
      <c r="J4258" t="s">
        <v>379</v>
      </c>
      <c r="K4258" t="s">
        <v>546</v>
      </c>
      <c r="L4258" s="784">
        <v>0</v>
      </c>
      <c r="M4258" t="s">
        <v>745</v>
      </c>
      <c r="N4258" s="784" t="s">
        <v>575</v>
      </c>
      <c r="O4258" t="s">
        <v>737</v>
      </c>
      <c r="P4258" t="s">
        <v>1887</v>
      </c>
      <c r="R4258" t="s">
        <v>152</v>
      </c>
      <c r="S4258" t="s">
        <v>146</v>
      </c>
      <c r="U4258">
        <v>0</v>
      </c>
      <c r="V4258" t="s">
        <v>541</v>
      </c>
      <c r="W4258" t="s">
        <v>546</v>
      </c>
      <c r="X4258" s="784">
        <v>357220835.93762809</v>
      </c>
    </row>
    <row r="4259" spans="1:24">
      <c r="A4259" t="s">
        <v>358</v>
      </c>
      <c r="B4259" t="s">
        <v>636</v>
      </c>
      <c r="C4259" t="s">
        <v>240</v>
      </c>
      <c r="D4259" t="s">
        <v>130</v>
      </c>
      <c r="E4259" t="s">
        <v>377</v>
      </c>
      <c r="F4259" t="s">
        <v>312</v>
      </c>
      <c r="G4259" t="s">
        <v>349</v>
      </c>
      <c r="H4259" t="s">
        <v>749</v>
      </c>
      <c r="I4259" t="s">
        <v>743</v>
      </c>
      <c r="J4259" t="s">
        <v>379</v>
      </c>
      <c r="K4259" t="s">
        <v>546</v>
      </c>
      <c r="L4259" s="784">
        <v>0</v>
      </c>
      <c r="M4259" t="s">
        <v>745</v>
      </c>
      <c r="N4259" s="784" t="s">
        <v>575</v>
      </c>
      <c r="O4259" t="s">
        <v>737</v>
      </c>
      <c r="P4259" t="s">
        <v>1887</v>
      </c>
      <c r="R4259" t="s">
        <v>152</v>
      </c>
      <c r="S4259" t="s">
        <v>146</v>
      </c>
      <c r="U4259">
        <v>0</v>
      </c>
      <c r="V4259" t="s">
        <v>544</v>
      </c>
      <c r="W4259" t="s">
        <v>575</v>
      </c>
      <c r="X4259" s="784">
        <v>32831598153.796387</v>
      </c>
    </row>
    <row r="4260" spans="1:24">
      <c r="A4260" t="s">
        <v>358</v>
      </c>
      <c r="B4260" t="s">
        <v>637</v>
      </c>
      <c r="C4260" t="s">
        <v>241</v>
      </c>
      <c r="D4260" t="s">
        <v>126</v>
      </c>
      <c r="E4260" t="s">
        <v>377</v>
      </c>
      <c r="F4260" t="s">
        <v>312</v>
      </c>
      <c r="G4260" t="s">
        <v>349</v>
      </c>
      <c r="H4260" t="s">
        <v>749</v>
      </c>
      <c r="I4260" t="s">
        <v>743</v>
      </c>
      <c r="J4260" t="s">
        <v>379</v>
      </c>
      <c r="K4260" t="s">
        <v>546</v>
      </c>
      <c r="L4260" s="784">
        <v>0</v>
      </c>
      <c r="M4260" t="s">
        <v>745</v>
      </c>
      <c r="N4260" s="784" t="s">
        <v>575</v>
      </c>
      <c r="O4260" t="s">
        <v>737</v>
      </c>
      <c r="P4260" t="s">
        <v>1887</v>
      </c>
      <c r="R4260" t="s">
        <v>150</v>
      </c>
      <c r="S4260" t="s">
        <v>145</v>
      </c>
      <c r="U4260">
        <v>0</v>
      </c>
      <c r="V4260" t="s">
        <v>541</v>
      </c>
      <c r="W4260" t="s">
        <v>542</v>
      </c>
      <c r="X4260" s="784">
        <v>12329056.093798399</v>
      </c>
    </row>
    <row r="4261" spans="1:24">
      <c r="A4261" t="s">
        <v>358</v>
      </c>
      <c r="B4261" t="s">
        <v>638</v>
      </c>
      <c r="C4261" t="s">
        <v>242</v>
      </c>
      <c r="D4261" t="s">
        <v>127</v>
      </c>
      <c r="E4261" t="s">
        <v>377</v>
      </c>
      <c r="F4261" t="s">
        <v>312</v>
      </c>
      <c r="G4261" t="s">
        <v>349</v>
      </c>
      <c r="H4261" t="s">
        <v>749</v>
      </c>
      <c r="I4261" t="s">
        <v>743</v>
      </c>
      <c r="J4261" t="s">
        <v>379</v>
      </c>
      <c r="K4261" t="s">
        <v>546</v>
      </c>
      <c r="L4261" s="784">
        <v>0</v>
      </c>
      <c r="M4261" t="s">
        <v>745</v>
      </c>
      <c r="N4261" s="784" t="s">
        <v>575</v>
      </c>
      <c r="O4261" t="s">
        <v>737</v>
      </c>
      <c r="P4261" t="s">
        <v>1887</v>
      </c>
      <c r="R4261" t="s">
        <v>152</v>
      </c>
      <c r="S4261" t="s">
        <v>145</v>
      </c>
      <c r="U4261">
        <v>0</v>
      </c>
      <c r="V4261" t="s">
        <v>544</v>
      </c>
      <c r="W4261" t="s">
        <v>558</v>
      </c>
      <c r="X4261" s="784">
        <v>426639742.85328001</v>
      </c>
    </row>
    <row r="4262" spans="1:24">
      <c r="A4262" t="s">
        <v>358</v>
      </c>
      <c r="B4262" t="s">
        <v>639</v>
      </c>
      <c r="C4262" t="s">
        <v>243</v>
      </c>
      <c r="D4262" t="s">
        <v>126</v>
      </c>
      <c r="E4262" t="s">
        <v>377</v>
      </c>
      <c r="F4262" t="s">
        <v>312</v>
      </c>
      <c r="G4262" t="s">
        <v>349</v>
      </c>
      <c r="H4262" t="s">
        <v>749</v>
      </c>
      <c r="I4262" t="s">
        <v>743</v>
      </c>
      <c r="J4262" t="s">
        <v>379</v>
      </c>
      <c r="K4262" t="s">
        <v>546</v>
      </c>
      <c r="L4262" s="784">
        <v>0</v>
      </c>
      <c r="M4262" t="s">
        <v>745</v>
      </c>
      <c r="N4262" s="784" t="s">
        <v>575</v>
      </c>
      <c r="O4262" t="s">
        <v>737</v>
      </c>
      <c r="P4262" t="s">
        <v>1887</v>
      </c>
      <c r="R4262" t="s">
        <v>150</v>
      </c>
      <c r="S4262" t="s">
        <v>145</v>
      </c>
      <c r="U4262">
        <v>0</v>
      </c>
      <c r="V4262" t="s">
        <v>544</v>
      </c>
      <c r="W4262" t="s">
        <v>548</v>
      </c>
      <c r="X4262" s="784">
        <v>288519671.85870522</v>
      </c>
    </row>
    <row r="4263" spans="1:24">
      <c r="A4263" t="s">
        <v>358</v>
      </c>
      <c r="B4263" t="s">
        <v>640</v>
      </c>
      <c r="C4263" t="s">
        <v>244</v>
      </c>
      <c r="D4263" t="s">
        <v>127</v>
      </c>
      <c r="E4263" t="s">
        <v>377</v>
      </c>
      <c r="F4263" t="s">
        <v>312</v>
      </c>
      <c r="G4263" t="s">
        <v>349</v>
      </c>
      <c r="H4263" t="s">
        <v>749</v>
      </c>
      <c r="I4263" t="s">
        <v>743</v>
      </c>
      <c r="J4263" t="s">
        <v>379</v>
      </c>
      <c r="K4263" t="s">
        <v>546</v>
      </c>
      <c r="L4263" s="784">
        <v>0</v>
      </c>
      <c r="M4263" t="s">
        <v>745</v>
      </c>
      <c r="N4263" s="784" t="s">
        <v>575</v>
      </c>
      <c r="O4263" t="s">
        <v>737</v>
      </c>
      <c r="P4263" t="s">
        <v>1887</v>
      </c>
      <c r="R4263" t="s">
        <v>152</v>
      </c>
      <c r="S4263" t="s">
        <v>146</v>
      </c>
      <c r="U4263">
        <v>0</v>
      </c>
      <c r="V4263" t="s">
        <v>544</v>
      </c>
      <c r="W4263" t="s">
        <v>546</v>
      </c>
      <c r="X4263" s="784">
        <v>275606560.78491527</v>
      </c>
    </row>
    <row r="4264" spans="1:24">
      <c r="A4264" t="s">
        <v>358</v>
      </c>
      <c r="B4264" t="s">
        <v>641</v>
      </c>
      <c r="C4264" t="s">
        <v>245</v>
      </c>
      <c r="D4264" t="s">
        <v>131</v>
      </c>
      <c r="E4264" t="s">
        <v>377</v>
      </c>
      <c r="F4264" t="s">
        <v>312</v>
      </c>
      <c r="G4264" t="s">
        <v>349</v>
      </c>
      <c r="H4264" t="s">
        <v>749</v>
      </c>
      <c r="I4264" t="s">
        <v>743</v>
      </c>
      <c r="J4264" t="s">
        <v>379</v>
      </c>
      <c r="K4264" t="s">
        <v>546</v>
      </c>
      <c r="L4264" s="784">
        <v>0</v>
      </c>
      <c r="M4264" t="s">
        <v>745</v>
      </c>
      <c r="N4264" s="784" t="s">
        <v>575</v>
      </c>
      <c r="O4264" t="s">
        <v>737</v>
      </c>
      <c r="P4264" t="s">
        <v>1887</v>
      </c>
      <c r="R4264" t="s">
        <v>150</v>
      </c>
      <c r="S4264" t="s">
        <v>145</v>
      </c>
      <c r="U4264">
        <v>0</v>
      </c>
      <c r="V4264" t="s">
        <v>544</v>
      </c>
      <c r="W4264" t="s">
        <v>546</v>
      </c>
      <c r="X4264" s="784">
        <v>2530937679.3725696</v>
      </c>
    </row>
    <row r="4265" spans="1:24">
      <c r="A4265" t="s">
        <v>358</v>
      </c>
      <c r="B4265" t="s">
        <v>642</v>
      </c>
      <c r="C4265" t="s">
        <v>246</v>
      </c>
      <c r="D4265" t="s">
        <v>128</v>
      </c>
      <c r="E4265" t="s">
        <v>377</v>
      </c>
      <c r="F4265" t="s">
        <v>312</v>
      </c>
      <c r="G4265" t="s">
        <v>349</v>
      </c>
      <c r="H4265" t="s">
        <v>749</v>
      </c>
      <c r="I4265" t="s">
        <v>743</v>
      </c>
      <c r="J4265" t="s">
        <v>379</v>
      </c>
      <c r="K4265" t="s">
        <v>546</v>
      </c>
      <c r="L4265" s="784">
        <v>0</v>
      </c>
      <c r="M4265" t="s">
        <v>745</v>
      </c>
      <c r="N4265" s="784" t="s">
        <v>575</v>
      </c>
      <c r="O4265" t="s">
        <v>737</v>
      </c>
      <c r="P4265" t="s">
        <v>1887</v>
      </c>
      <c r="R4265" t="s">
        <v>148</v>
      </c>
      <c r="S4265" t="s">
        <v>145</v>
      </c>
      <c r="U4265">
        <v>0</v>
      </c>
      <c r="V4265" t="s">
        <v>544</v>
      </c>
      <c r="W4265" t="s">
        <v>583</v>
      </c>
      <c r="X4265" s="784">
        <v>251432156.86255455</v>
      </c>
    </row>
    <row r="4266" spans="1:24">
      <c r="A4266" t="s">
        <v>358</v>
      </c>
      <c r="B4266" t="s">
        <v>643</v>
      </c>
      <c r="C4266" t="s">
        <v>247</v>
      </c>
      <c r="D4266" t="s">
        <v>126</v>
      </c>
      <c r="E4266" t="s">
        <v>377</v>
      </c>
      <c r="F4266" t="s">
        <v>312</v>
      </c>
      <c r="G4266" t="s">
        <v>349</v>
      </c>
      <c r="H4266" t="s">
        <v>749</v>
      </c>
      <c r="I4266" t="s">
        <v>743</v>
      </c>
      <c r="J4266" t="s">
        <v>379</v>
      </c>
      <c r="K4266" t="s">
        <v>546</v>
      </c>
      <c r="L4266" s="784">
        <v>0</v>
      </c>
      <c r="M4266" t="s">
        <v>745</v>
      </c>
      <c r="N4266" s="784" t="s">
        <v>575</v>
      </c>
      <c r="O4266" t="s">
        <v>737</v>
      </c>
      <c r="P4266" t="s">
        <v>1887</v>
      </c>
      <c r="R4266" t="s">
        <v>150</v>
      </c>
      <c r="S4266" t="s">
        <v>145</v>
      </c>
      <c r="U4266">
        <v>0</v>
      </c>
      <c r="V4266" t="s">
        <v>544</v>
      </c>
      <c r="W4266" t="s">
        <v>558</v>
      </c>
      <c r="X4266" s="784">
        <v>471534500.60109437</v>
      </c>
    </row>
    <row r="4267" spans="1:24">
      <c r="A4267" t="s">
        <v>358</v>
      </c>
      <c r="B4267" t="s">
        <v>644</v>
      </c>
      <c r="C4267" t="s">
        <v>248</v>
      </c>
      <c r="D4267" t="s">
        <v>128</v>
      </c>
      <c r="E4267" t="s">
        <v>377</v>
      </c>
      <c r="F4267" t="s">
        <v>312</v>
      </c>
      <c r="G4267" t="s">
        <v>349</v>
      </c>
      <c r="H4267" t="s">
        <v>749</v>
      </c>
      <c r="I4267" t="s">
        <v>743</v>
      </c>
      <c r="J4267" t="s">
        <v>379</v>
      </c>
      <c r="K4267" t="s">
        <v>546</v>
      </c>
      <c r="L4267" s="784">
        <v>0</v>
      </c>
      <c r="M4267" t="s">
        <v>745</v>
      </c>
      <c r="N4267" s="784" t="s">
        <v>575</v>
      </c>
      <c r="O4267" t="s">
        <v>737</v>
      </c>
      <c r="P4267" t="s">
        <v>1887</v>
      </c>
      <c r="R4267" t="s">
        <v>152</v>
      </c>
      <c r="S4267" t="s">
        <v>146</v>
      </c>
      <c r="U4267">
        <v>0</v>
      </c>
      <c r="V4267" t="s">
        <v>544</v>
      </c>
      <c r="W4267" t="s">
        <v>575</v>
      </c>
      <c r="X4267" s="784">
        <v>531677611.80447447</v>
      </c>
    </row>
    <row r="4268" spans="1:24">
      <c r="A4268" t="s">
        <v>358</v>
      </c>
      <c r="B4268" t="s">
        <v>645</v>
      </c>
      <c r="C4268" t="s">
        <v>249</v>
      </c>
      <c r="D4268" t="s">
        <v>126</v>
      </c>
      <c r="E4268" t="s">
        <v>377</v>
      </c>
      <c r="F4268" t="s">
        <v>312</v>
      </c>
      <c r="G4268" t="s">
        <v>349</v>
      </c>
      <c r="H4268" t="s">
        <v>749</v>
      </c>
      <c r="I4268" t="s">
        <v>743</v>
      </c>
      <c r="J4268" t="s">
        <v>379</v>
      </c>
      <c r="K4268" t="s">
        <v>546</v>
      </c>
      <c r="L4268" s="784">
        <v>0</v>
      </c>
      <c r="M4268" t="s">
        <v>745</v>
      </c>
      <c r="N4268" s="784" t="s">
        <v>575</v>
      </c>
      <c r="O4268" t="s">
        <v>737</v>
      </c>
      <c r="P4268" t="s">
        <v>1887</v>
      </c>
      <c r="R4268" t="s">
        <v>550</v>
      </c>
      <c r="S4268" t="s">
        <v>146</v>
      </c>
      <c r="U4268">
        <v>0</v>
      </c>
      <c r="V4268" t="s">
        <v>541</v>
      </c>
      <c r="W4268" t="s">
        <v>575</v>
      </c>
      <c r="X4268" s="784">
        <v>8528751.6418357007</v>
      </c>
    </row>
    <row r="4269" spans="1:24">
      <c r="A4269" t="s">
        <v>358</v>
      </c>
      <c r="B4269" t="s">
        <v>646</v>
      </c>
      <c r="C4269" t="s">
        <v>250</v>
      </c>
      <c r="D4269" t="s">
        <v>132</v>
      </c>
      <c r="E4269" t="s">
        <v>377</v>
      </c>
      <c r="F4269" t="s">
        <v>312</v>
      </c>
      <c r="G4269" t="s">
        <v>349</v>
      </c>
      <c r="H4269" t="s">
        <v>749</v>
      </c>
      <c r="I4269" t="s">
        <v>743</v>
      </c>
      <c r="J4269" t="s">
        <v>379</v>
      </c>
      <c r="K4269" t="s">
        <v>546</v>
      </c>
      <c r="L4269" s="784">
        <v>0</v>
      </c>
      <c r="M4269" t="s">
        <v>745</v>
      </c>
      <c r="N4269" s="784" t="s">
        <v>575</v>
      </c>
      <c r="O4269" t="s">
        <v>737</v>
      </c>
      <c r="P4269" t="s">
        <v>1887</v>
      </c>
      <c r="R4269" t="s">
        <v>150</v>
      </c>
      <c r="S4269" t="s">
        <v>145</v>
      </c>
      <c r="U4269">
        <v>0</v>
      </c>
      <c r="V4269" t="s">
        <v>544</v>
      </c>
      <c r="W4269" t="s">
        <v>558</v>
      </c>
      <c r="X4269" s="784">
        <v>407084543.19089872</v>
      </c>
    </row>
    <row r="4270" spans="1:24">
      <c r="A4270" t="s">
        <v>358</v>
      </c>
      <c r="B4270" t="s">
        <v>647</v>
      </c>
      <c r="C4270" t="s">
        <v>251</v>
      </c>
      <c r="D4270" t="s">
        <v>130</v>
      </c>
      <c r="E4270" t="s">
        <v>377</v>
      </c>
      <c r="F4270" t="s">
        <v>312</v>
      </c>
      <c r="G4270" t="s">
        <v>349</v>
      </c>
      <c r="H4270" t="s">
        <v>749</v>
      </c>
      <c r="I4270" t="s">
        <v>743</v>
      </c>
      <c r="J4270" t="s">
        <v>379</v>
      </c>
      <c r="K4270" t="s">
        <v>546</v>
      </c>
      <c r="L4270" s="784">
        <v>0</v>
      </c>
      <c r="M4270" t="s">
        <v>745</v>
      </c>
      <c r="N4270" s="784" t="s">
        <v>575</v>
      </c>
      <c r="O4270" t="s">
        <v>737</v>
      </c>
      <c r="P4270" t="s">
        <v>1887</v>
      </c>
      <c r="R4270" t="s">
        <v>150</v>
      </c>
      <c r="S4270" t="s">
        <v>145</v>
      </c>
      <c r="U4270">
        <v>0</v>
      </c>
      <c r="V4270" t="s">
        <v>544</v>
      </c>
      <c r="W4270" t="s">
        <v>562</v>
      </c>
      <c r="X4270" s="784">
        <v>671998341.93592453</v>
      </c>
    </row>
    <row r="4271" spans="1:24">
      <c r="A4271" t="s">
        <v>358</v>
      </c>
      <c r="B4271" t="s">
        <v>648</v>
      </c>
      <c r="C4271" t="s">
        <v>252</v>
      </c>
      <c r="D4271" t="s">
        <v>129</v>
      </c>
      <c r="E4271" t="s">
        <v>377</v>
      </c>
      <c r="F4271" t="s">
        <v>312</v>
      </c>
      <c r="G4271" t="s">
        <v>349</v>
      </c>
      <c r="H4271" t="s">
        <v>749</v>
      </c>
      <c r="I4271" t="s">
        <v>743</v>
      </c>
      <c r="J4271" t="s">
        <v>379</v>
      </c>
      <c r="K4271" t="s">
        <v>546</v>
      </c>
      <c r="L4271" s="784">
        <v>0</v>
      </c>
      <c r="M4271" t="s">
        <v>745</v>
      </c>
      <c r="N4271" s="784" t="s">
        <v>575</v>
      </c>
      <c r="O4271" t="s">
        <v>737</v>
      </c>
      <c r="P4271" t="s">
        <v>1887</v>
      </c>
      <c r="R4271" t="s">
        <v>148</v>
      </c>
      <c r="S4271" t="s">
        <v>145</v>
      </c>
      <c r="U4271">
        <v>1</v>
      </c>
      <c r="V4271" t="s">
        <v>544</v>
      </c>
      <c r="W4271" t="s">
        <v>562</v>
      </c>
      <c r="X4271" s="784">
        <v>226203289.67158964</v>
      </c>
    </row>
    <row r="4272" spans="1:24">
      <c r="A4272" t="s">
        <v>358</v>
      </c>
      <c r="B4272" t="s">
        <v>649</v>
      </c>
      <c r="C4272" t="s">
        <v>253</v>
      </c>
      <c r="D4272" t="s">
        <v>129</v>
      </c>
      <c r="E4272" t="s">
        <v>377</v>
      </c>
      <c r="F4272" t="s">
        <v>312</v>
      </c>
      <c r="G4272" t="s">
        <v>349</v>
      </c>
      <c r="H4272" t="s">
        <v>749</v>
      </c>
      <c r="I4272" t="s">
        <v>743</v>
      </c>
      <c r="J4272" t="s">
        <v>379</v>
      </c>
      <c r="K4272" t="s">
        <v>546</v>
      </c>
      <c r="L4272" s="784">
        <v>0</v>
      </c>
      <c r="M4272" t="s">
        <v>745</v>
      </c>
      <c r="N4272" s="784" t="s">
        <v>575</v>
      </c>
      <c r="O4272" t="s">
        <v>737</v>
      </c>
      <c r="P4272" t="s">
        <v>1887</v>
      </c>
      <c r="R4272" t="s">
        <v>150</v>
      </c>
      <c r="S4272" t="s">
        <v>145</v>
      </c>
      <c r="U4272">
        <v>3</v>
      </c>
      <c r="V4272" t="s">
        <v>544</v>
      </c>
      <c r="W4272" t="s">
        <v>548</v>
      </c>
      <c r="X4272" s="784">
        <v>2438881113.1244688</v>
      </c>
    </row>
    <row r="4273" spans="1:24">
      <c r="A4273" t="s">
        <v>358</v>
      </c>
      <c r="B4273" t="s">
        <v>650</v>
      </c>
      <c r="C4273" t="s">
        <v>254</v>
      </c>
      <c r="D4273" t="s">
        <v>127</v>
      </c>
      <c r="E4273" t="s">
        <v>377</v>
      </c>
      <c r="F4273" t="s">
        <v>312</v>
      </c>
      <c r="G4273" t="s">
        <v>349</v>
      </c>
      <c r="H4273" t="s">
        <v>749</v>
      </c>
      <c r="I4273" t="s">
        <v>743</v>
      </c>
      <c r="J4273" t="s">
        <v>379</v>
      </c>
      <c r="K4273" t="s">
        <v>546</v>
      </c>
      <c r="L4273" s="784">
        <v>0</v>
      </c>
      <c r="M4273" t="s">
        <v>745</v>
      </c>
      <c r="N4273" s="784" t="s">
        <v>575</v>
      </c>
      <c r="O4273" t="s">
        <v>737</v>
      </c>
      <c r="P4273" t="s">
        <v>1887</v>
      </c>
      <c r="R4273" t="s">
        <v>152</v>
      </c>
      <c r="S4273" t="s">
        <v>146</v>
      </c>
      <c r="U4273">
        <v>0</v>
      </c>
      <c r="V4273" t="s">
        <v>544</v>
      </c>
      <c r="W4273" t="s">
        <v>575</v>
      </c>
      <c r="X4273" s="784">
        <v>476517795.73174149</v>
      </c>
    </row>
    <row r="4274" spans="1:24">
      <c r="A4274" t="s">
        <v>358</v>
      </c>
      <c r="B4274" t="s">
        <v>651</v>
      </c>
      <c r="C4274" t="s">
        <v>255</v>
      </c>
      <c r="D4274" t="s">
        <v>132</v>
      </c>
      <c r="E4274" t="s">
        <v>377</v>
      </c>
      <c r="F4274" t="s">
        <v>312</v>
      </c>
      <c r="G4274" t="s">
        <v>349</v>
      </c>
      <c r="H4274" t="s">
        <v>749</v>
      </c>
      <c r="I4274" t="s">
        <v>743</v>
      </c>
      <c r="J4274" t="s">
        <v>379</v>
      </c>
      <c r="K4274" t="s">
        <v>546</v>
      </c>
      <c r="L4274" s="784">
        <v>0</v>
      </c>
      <c r="M4274" t="s">
        <v>745</v>
      </c>
      <c r="N4274" s="784" t="s">
        <v>575</v>
      </c>
      <c r="O4274" t="s">
        <v>737</v>
      </c>
      <c r="P4274" t="s">
        <v>1887</v>
      </c>
      <c r="R4274" t="s">
        <v>150</v>
      </c>
      <c r="S4274" t="s">
        <v>145</v>
      </c>
      <c r="U4274">
        <v>0</v>
      </c>
      <c r="V4274" t="s">
        <v>544</v>
      </c>
      <c r="W4274" t="s">
        <v>548</v>
      </c>
      <c r="X4274" s="784">
        <v>3233351297.7679496</v>
      </c>
    </row>
    <row r="4275" spans="1:24">
      <c r="A4275" t="s">
        <v>358</v>
      </c>
      <c r="B4275" t="s">
        <v>652</v>
      </c>
      <c r="C4275" t="s">
        <v>256</v>
      </c>
      <c r="D4275" t="s">
        <v>130</v>
      </c>
      <c r="E4275" t="s">
        <v>377</v>
      </c>
      <c r="F4275" t="s">
        <v>312</v>
      </c>
      <c r="G4275" t="s">
        <v>349</v>
      </c>
      <c r="H4275" t="s">
        <v>749</v>
      </c>
      <c r="I4275" t="s">
        <v>743</v>
      </c>
      <c r="J4275" t="s">
        <v>379</v>
      </c>
      <c r="K4275" t="s">
        <v>546</v>
      </c>
      <c r="L4275" s="784">
        <v>0</v>
      </c>
      <c r="M4275" t="s">
        <v>745</v>
      </c>
      <c r="N4275" s="784" t="s">
        <v>575</v>
      </c>
      <c r="O4275" t="s">
        <v>737</v>
      </c>
      <c r="P4275" t="s">
        <v>1887</v>
      </c>
      <c r="R4275" t="s">
        <v>550</v>
      </c>
      <c r="S4275" t="s">
        <v>146</v>
      </c>
      <c r="U4275">
        <v>0</v>
      </c>
      <c r="V4275" t="s">
        <v>541</v>
      </c>
      <c r="W4275" t="s">
        <v>575</v>
      </c>
      <c r="X4275" s="784">
        <v>18180646.808608256</v>
      </c>
    </row>
    <row r="4276" spans="1:24">
      <c r="A4276" t="s">
        <v>358</v>
      </c>
      <c r="B4276" t="s">
        <v>653</v>
      </c>
      <c r="C4276" t="s">
        <v>257</v>
      </c>
      <c r="D4276" t="s">
        <v>130</v>
      </c>
      <c r="E4276" t="s">
        <v>377</v>
      </c>
      <c r="F4276" t="s">
        <v>312</v>
      </c>
      <c r="G4276" t="s">
        <v>349</v>
      </c>
      <c r="H4276" t="s">
        <v>749</v>
      </c>
      <c r="I4276" t="s">
        <v>743</v>
      </c>
      <c r="J4276" t="s">
        <v>379</v>
      </c>
      <c r="K4276" t="s">
        <v>546</v>
      </c>
      <c r="L4276" s="784">
        <v>0</v>
      </c>
      <c r="M4276" t="s">
        <v>745</v>
      </c>
      <c r="N4276" s="784" t="s">
        <v>575</v>
      </c>
      <c r="O4276" t="s">
        <v>737</v>
      </c>
      <c r="P4276" t="s">
        <v>1887</v>
      </c>
      <c r="R4276" t="s">
        <v>152</v>
      </c>
      <c r="S4276" t="s">
        <v>146</v>
      </c>
      <c r="U4276">
        <v>0</v>
      </c>
      <c r="V4276" t="s">
        <v>544</v>
      </c>
      <c r="W4276" t="s">
        <v>546</v>
      </c>
      <c r="X4276" s="784">
        <v>3020530707.3485303</v>
      </c>
    </row>
    <row r="4277" spans="1:24">
      <c r="A4277" t="s">
        <v>358</v>
      </c>
      <c r="B4277" t="s">
        <v>654</v>
      </c>
      <c r="C4277" t="s">
        <v>258</v>
      </c>
      <c r="D4277" t="s">
        <v>126</v>
      </c>
      <c r="E4277" t="s">
        <v>377</v>
      </c>
      <c r="F4277" t="s">
        <v>312</v>
      </c>
      <c r="G4277" t="s">
        <v>349</v>
      </c>
      <c r="H4277" t="s">
        <v>749</v>
      </c>
      <c r="I4277" t="s">
        <v>743</v>
      </c>
      <c r="J4277" t="s">
        <v>379</v>
      </c>
      <c r="K4277" t="s">
        <v>546</v>
      </c>
      <c r="L4277" s="784">
        <v>0</v>
      </c>
      <c r="M4277" t="s">
        <v>745</v>
      </c>
      <c r="N4277" s="784" t="s">
        <v>575</v>
      </c>
      <c r="O4277" t="s">
        <v>737</v>
      </c>
      <c r="P4277" t="s">
        <v>1887</v>
      </c>
      <c r="R4277" t="s">
        <v>150</v>
      </c>
      <c r="S4277" t="s">
        <v>145</v>
      </c>
      <c r="U4277">
        <v>1</v>
      </c>
      <c r="V4277" t="s">
        <v>541</v>
      </c>
      <c r="W4277" t="s">
        <v>542</v>
      </c>
      <c r="X4277" s="784">
        <v>384406316.46074712</v>
      </c>
    </row>
    <row r="4278" spans="1:24">
      <c r="A4278" t="s">
        <v>358</v>
      </c>
      <c r="B4278" t="s">
        <v>655</v>
      </c>
      <c r="C4278" t="s">
        <v>259</v>
      </c>
      <c r="D4278" t="s">
        <v>130</v>
      </c>
      <c r="E4278" t="s">
        <v>377</v>
      </c>
      <c r="F4278" t="s">
        <v>312</v>
      </c>
      <c r="G4278" t="s">
        <v>349</v>
      </c>
      <c r="H4278" t="s">
        <v>749</v>
      </c>
      <c r="I4278" t="s">
        <v>743</v>
      </c>
      <c r="J4278" t="s">
        <v>379</v>
      </c>
      <c r="K4278" t="s">
        <v>546</v>
      </c>
      <c r="L4278" s="784">
        <v>0</v>
      </c>
      <c r="M4278" t="s">
        <v>745</v>
      </c>
      <c r="N4278" s="784" t="s">
        <v>575</v>
      </c>
      <c r="O4278" t="s">
        <v>737</v>
      </c>
      <c r="P4278" t="s">
        <v>1887</v>
      </c>
      <c r="R4278" t="s">
        <v>152</v>
      </c>
      <c r="S4278" t="s">
        <v>146</v>
      </c>
      <c r="U4278">
        <v>0</v>
      </c>
      <c r="V4278" t="s">
        <v>544</v>
      </c>
      <c r="W4278" t="s">
        <v>575</v>
      </c>
      <c r="X4278" s="784">
        <v>1218747108.9554784</v>
      </c>
    </row>
    <row r="4279" spans="1:24">
      <c r="A4279" t="s">
        <v>358</v>
      </c>
      <c r="B4279" t="s">
        <v>656</v>
      </c>
      <c r="C4279" t="s">
        <v>260</v>
      </c>
      <c r="D4279" t="s">
        <v>130</v>
      </c>
      <c r="E4279" t="s">
        <v>377</v>
      </c>
      <c r="F4279" t="s">
        <v>312</v>
      </c>
      <c r="G4279" t="s">
        <v>349</v>
      </c>
      <c r="H4279" t="s">
        <v>749</v>
      </c>
      <c r="I4279" t="s">
        <v>743</v>
      </c>
      <c r="J4279" t="s">
        <v>379</v>
      </c>
      <c r="K4279" t="s">
        <v>546</v>
      </c>
      <c r="L4279" s="784">
        <v>0</v>
      </c>
      <c r="M4279" t="s">
        <v>745</v>
      </c>
      <c r="N4279" s="784" t="s">
        <v>575</v>
      </c>
      <c r="O4279" t="s">
        <v>737</v>
      </c>
      <c r="P4279" t="s">
        <v>1887</v>
      </c>
      <c r="R4279" t="s">
        <v>152</v>
      </c>
      <c r="S4279" t="s">
        <v>146</v>
      </c>
      <c r="U4279">
        <v>0</v>
      </c>
      <c r="V4279" t="s">
        <v>544</v>
      </c>
      <c r="W4279" t="s">
        <v>575</v>
      </c>
      <c r="X4279" s="784">
        <v>7392665952.5895758</v>
      </c>
    </row>
    <row r="4280" spans="1:24">
      <c r="A4280" t="s">
        <v>358</v>
      </c>
      <c r="B4280" t="s">
        <v>657</v>
      </c>
      <c r="C4280" t="s">
        <v>261</v>
      </c>
      <c r="D4280" t="s">
        <v>126</v>
      </c>
      <c r="E4280" t="s">
        <v>377</v>
      </c>
      <c r="F4280" t="s">
        <v>312</v>
      </c>
      <c r="G4280" t="s">
        <v>349</v>
      </c>
      <c r="H4280" t="s">
        <v>749</v>
      </c>
      <c r="I4280" t="s">
        <v>743</v>
      </c>
      <c r="J4280" t="s">
        <v>379</v>
      </c>
      <c r="K4280" t="s">
        <v>546</v>
      </c>
      <c r="L4280" s="784">
        <v>0</v>
      </c>
      <c r="M4280" t="s">
        <v>745</v>
      </c>
      <c r="N4280" s="784" t="s">
        <v>575</v>
      </c>
      <c r="O4280" t="s">
        <v>737</v>
      </c>
      <c r="P4280" t="s">
        <v>1887</v>
      </c>
      <c r="R4280" t="s">
        <v>150</v>
      </c>
      <c r="S4280" t="s">
        <v>145</v>
      </c>
      <c r="U4280">
        <v>0</v>
      </c>
      <c r="V4280" t="s">
        <v>544</v>
      </c>
      <c r="W4280" t="s">
        <v>546</v>
      </c>
      <c r="X4280" s="784">
        <v>4754985988.6004429</v>
      </c>
    </row>
    <row r="4281" spans="1:24">
      <c r="A4281" t="s">
        <v>358</v>
      </c>
      <c r="B4281" t="s">
        <v>658</v>
      </c>
      <c r="C4281" t="s">
        <v>262</v>
      </c>
      <c r="D4281" t="s">
        <v>127</v>
      </c>
      <c r="E4281" t="s">
        <v>377</v>
      </c>
      <c r="F4281" t="s">
        <v>312</v>
      </c>
      <c r="G4281" t="s">
        <v>349</v>
      </c>
      <c r="H4281" t="s">
        <v>749</v>
      </c>
      <c r="I4281" t="s">
        <v>743</v>
      </c>
      <c r="J4281" t="s">
        <v>379</v>
      </c>
      <c r="K4281" t="s">
        <v>546</v>
      </c>
      <c r="L4281" s="784">
        <v>0</v>
      </c>
      <c r="M4281" t="s">
        <v>745</v>
      </c>
      <c r="N4281" s="784" t="s">
        <v>575</v>
      </c>
      <c r="O4281" t="s">
        <v>737</v>
      </c>
      <c r="P4281" t="s">
        <v>1887</v>
      </c>
      <c r="R4281" t="s">
        <v>550</v>
      </c>
      <c r="S4281" t="s">
        <v>146</v>
      </c>
      <c r="U4281">
        <v>0</v>
      </c>
      <c r="V4281" t="s">
        <v>544</v>
      </c>
      <c r="W4281" t="s">
        <v>575</v>
      </c>
      <c r="X4281" s="784">
        <v>26422210443.037273</v>
      </c>
    </row>
    <row r="4282" spans="1:24">
      <c r="A4282" t="s">
        <v>358</v>
      </c>
      <c r="B4282" t="s">
        <v>659</v>
      </c>
      <c r="C4282" t="s">
        <v>151</v>
      </c>
      <c r="D4282" t="s">
        <v>127</v>
      </c>
      <c r="E4282" t="s">
        <v>377</v>
      </c>
      <c r="F4282" t="s">
        <v>312</v>
      </c>
      <c r="G4282" t="s">
        <v>349</v>
      </c>
      <c r="H4282" t="s">
        <v>749</v>
      </c>
      <c r="I4282" t="s">
        <v>743</v>
      </c>
      <c r="J4282" t="s">
        <v>379</v>
      </c>
      <c r="K4282" t="s">
        <v>546</v>
      </c>
      <c r="L4282" s="784">
        <v>0</v>
      </c>
      <c r="M4282" t="s">
        <v>745</v>
      </c>
      <c r="N4282" s="784" t="s">
        <v>575</v>
      </c>
      <c r="O4282" t="s">
        <v>737</v>
      </c>
      <c r="P4282" t="s">
        <v>1887</v>
      </c>
      <c r="R4282" t="s">
        <v>152</v>
      </c>
      <c r="S4282" t="s">
        <v>146</v>
      </c>
      <c r="U4282">
        <v>0</v>
      </c>
      <c r="V4282" t="s">
        <v>544</v>
      </c>
      <c r="W4282" t="s">
        <v>575</v>
      </c>
      <c r="X4282" s="784">
        <v>10696495313.15033</v>
      </c>
    </row>
    <row r="4283" spans="1:24">
      <c r="A4283" t="s">
        <v>358</v>
      </c>
      <c r="B4283" t="s">
        <v>660</v>
      </c>
      <c r="C4283" t="s">
        <v>263</v>
      </c>
      <c r="D4283" t="s">
        <v>127</v>
      </c>
      <c r="E4283" t="s">
        <v>377</v>
      </c>
      <c r="F4283" t="s">
        <v>312</v>
      </c>
      <c r="G4283" t="s">
        <v>349</v>
      </c>
      <c r="H4283" t="s">
        <v>749</v>
      </c>
      <c r="I4283" t="s">
        <v>743</v>
      </c>
      <c r="J4283" t="s">
        <v>379</v>
      </c>
      <c r="K4283" t="s">
        <v>546</v>
      </c>
      <c r="L4283" s="784">
        <v>0</v>
      </c>
      <c r="M4283" t="s">
        <v>745</v>
      </c>
      <c r="N4283" s="784" t="s">
        <v>575</v>
      </c>
      <c r="O4283" t="s">
        <v>737</v>
      </c>
      <c r="P4283" t="s">
        <v>1887</v>
      </c>
      <c r="R4283" t="s">
        <v>152</v>
      </c>
      <c r="S4283" t="s">
        <v>146</v>
      </c>
      <c r="U4283">
        <v>0</v>
      </c>
      <c r="V4283" t="s">
        <v>544</v>
      </c>
      <c r="W4283" t="s">
        <v>575</v>
      </c>
      <c r="X4283" s="784">
        <v>52769713433.240509</v>
      </c>
    </row>
    <row r="4284" spans="1:24">
      <c r="A4284" t="s">
        <v>358</v>
      </c>
      <c r="B4284" t="s">
        <v>661</v>
      </c>
      <c r="C4284" t="s">
        <v>264</v>
      </c>
      <c r="D4284" t="s">
        <v>128</v>
      </c>
      <c r="E4284" t="s">
        <v>377</v>
      </c>
      <c r="F4284" t="s">
        <v>312</v>
      </c>
      <c r="G4284" t="s">
        <v>349</v>
      </c>
      <c r="H4284" t="s">
        <v>749</v>
      </c>
      <c r="I4284" t="s">
        <v>743</v>
      </c>
      <c r="J4284" t="s">
        <v>379</v>
      </c>
      <c r="K4284" t="s">
        <v>546</v>
      </c>
      <c r="L4284" s="784">
        <v>0</v>
      </c>
      <c r="M4284" t="s">
        <v>745</v>
      </c>
      <c r="N4284" s="784" t="s">
        <v>575</v>
      </c>
      <c r="O4284" t="s">
        <v>737</v>
      </c>
      <c r="P4284" t="s">
        <v>1887</v>
      </c>
      <c r="R4284" t="s">
        <v>148</v>
      </c>
      <c r="S4284" t="s">
        <v>145</v>
      </c>
      <c r="U4284">
        <v>0</v>
      </c>
      <c r="V4284" t="s">
        <v>544</v>
      </c>
      <c r="W4284" t="s">
        <v>562</v>
      </c>
      <c r="X4284" s="784">
        <v>225799814.51943746</v>
      </c>
    </row>
    <row r="4285" spans="1:24">
      <c r="A4285" t="s">
        <v>358</v>
      </c>
      <c r="B4285" t="s">
        <v>662</v>
      </c>
      <c r="C4285" t="s">
        <v>265</v>
      </c>
      <c r="D4285" t="s">
        <v>126</v>
      </c>
      <c r="E4285" t="s">
        <v>377</v>
      </c>
      <c r="F4285" t="s">
        <v>312</v>
      </c>
      <c r="G4285" t="s">
        <v>349</v>
      </c>
      <c r="H4285" t="s">
        <v>749</v>
      </c>
      <c r="I4285" t="s">
        <v>743</v>
      </c>
      <c r="J4285" t="s">
        <v>379</v>
      </c>
      <c r="K4285" t="s">
        <v>546</v>
      </c>
      <c r="L4285" s="784">
        <v>0</v>
      </c>
      <c r="M4285" t="s">
        <v>745</v>
      </c>
      <c r="N4285" s="784" t="s">
        <v>575</v>
      </c>
      <c r="O4285" t="s">
        <v>737</v>
      </c>
      <c r="P4285" t="s">
        <v>1887</v>
      </c>
      <c r="R4285" t="s">
        <v>150</v>
      </c>
      <c r="S4285" t="s">
        <v>145</v>
      </c>
      <c r="U4285">
        <v>0</v>
      </c>
      <c r="V4285" t="s">
        <v>541</v>
      </c>
      <c r="W4285" t="s">
        <v>542</v>
      </c>
      <c r="X4285" s="784">
        <v>32192988.027009469</v>
      </c>
    </row>
    <row r="4286" spans="1:24">
      <c r="A4286" t="s">
        <v>358</v>
      </c>
      <c r="B4286" t="s">
        <v>663</v>
      </c>
      <c r="C4286" t="s">
        <v>266</v>
      </c>
      <c r="D4286" t="s">
        <v>129</v>
      </c>
      <c r="E4286" t="s">
        <v>377</v>
      </c>
      <c r="F4286" t="s">
        <v>312</v>
      </c>
      <c r="G4286" t="s">
        <v>349</v>
      </c>
      <c r="H4286" t="s">
        <v>749</v>
      </c>
      <c r="I4286" t="s">
        <v>743</v>
      </c>
      <c r="J4286" t="s">
        <v>379</v>
      </c>
      <c r="K4286" t="s">
        <v>546</v>
      </c>
      <c r="L4286" s="784">
        <v>0</v>
      </c>
      <c r="M4286" t="s">
        <v>745</v>
      </c>
      <c r="N4286" s="784" t="s">
        <v>575</v>
      </c>
      <c r="O4286" t="s">
        <v>737</v>
      </c>
      <c r="P4286" t="s">
        <v>1887</v>
      </c>
      <c r="R4286" t="s">
        <v>150</v>
      </c>
      <c r="S4286" t="s">
        <v>145</v>
      </c>
      <c r="U4286">
        <v>0</v>
      </c>
      <c r="V4286" t="s">
        <v>541</v>
      </c>
      <c r="W4286" t="s">
        <v>583</v>
      </c>
      <c r="X4286" s="784">
        <v>11633535.136477679</v>
      </c>
    </row>
    <row r="4287" spans="1:24">
      <c r="A4287" t="s">
        <v>358</v>
      </c>
      <c r="B4287" t="s">
        <v>664</v>
      </c>
      <c r="C4287" t="s">
        <v>267</v>
      </c>
      <c r="D4287" t="s">
        <v>129</v>
      </c>
      <c r="E4287" t="s">
        <v>377</v>
      </c>
      <c r="F4287" t="s">
        <v>312</v>
      </c>
      <c r="G4287" t="s">
        <v>349</v>
      </c>
      <c r="H4287" t="s">
        <v>749</v>
      </c>
      <c r="I4287" t="s">
        <v>743</v>
      </c>
      <c r="J4287" t="s">
        <v>379</v>
      </c>
      <c r="K4287" t="s">
        <v>546</v>
      </c>
      <c r="L4287" s="784">
        <v>0</v>
      </c>
      <c r="M4287" t="s">
        <v>745</v>
      </c>
      <c r="N4287" s="784" t="s">
        <v>575</v>
      </c>
      <c r="O4287" t="s">
        <v>737</v>
      </c>
      <c r="P4287" t="s">
        <v>1887</v>
      </c>
      <c r="R4287" t="s">
        <v>150</v>
      </c>
      <c r="S4287" t="s">
        <v>145</v>
      </c>
      <c r="U4287">
        <v>2</v>
      </c>
      <c r="V4287" t="s">
        <v>544</v>
      </c>
      <c r="W4287" t="s">
        <v>562</v>
      </c>
      <c r="X4287" s="784">
        <v>222008693.93354639</v>
      </c>
    </row>
    <row r="4288" spans="1:24">
      <c r="A4288" t="s">
        <v>358</v>
      </c>
      <c r="B4288" t="s">
        <v>665</v>
      </c>
      <c r="C4288" t="s">
        <v>153</v>
      </c>
      <c r="D4288" t="s">
        <v>127</v>
      </c>
      <c r="E4288" t="s">
        <v>377</v>
      </c>
      <c r="F4288" t="s">
        <v>312</v>
      </c>
      <c r="G4288" t="s">
        <v>349</v>
      </c>
      <c r="H4288" t="s">
        <v>749</v>
      </c>
      <c r="I4288" t="s">
        <v>743</v>
      </c>
      <c r="J4288" t="s">
        <v>379</v>
      </c>
      <c r="K4288" t="s">
        <v>546</v>
      </c>
      <c r="L4288" s="784">
        <v>0</v>
      </c>
      <c r="M4288" t="s">
        <v>745</v>
      </c>
      <c r="N4288" s="784" t="s">
        <v>575</v>
      </c>
      <c r="O4288" t="s">
        <v>737</v>
      </c>
      <c r="P4288" t="s">
        <v>1887</v>
      </c>
      <c r="R4288" t="s">
        <v>152</v>
      </c>
      <c r="S4288" t="s">
        <v>146</v>
      </c>
      <c r="U4288">
        <v>0</v>
      </c>
      <c r="V4288" t="s">
        <v>544</v>
      </c>
      <c r="W4288" t="s">
        <v>575</v>
      </c>
      <c r="X4288" s="784">
        <v>2564993795.1894679</v>
      </c>
    </row>
    <row r="4289" spans="1:24">
      <c r="A4289" t="s">
        <v>358</v>
      </c>
      <c r="B4289" t="s">
        <v>666</v>
      </c>
      <c r="C4289" t="s">
        <v>268</v>
      </c>
      <c r="D4289" t="s">
        <v>128</v>
      </c>
      <c r="E4289" t="s">
        <v>377</v>
      </c>
      <c r="F4289" t="s">
        <v>312</v>
      </c>
      <c r="G4289" t="s">
        <v>349</v>
      </c>
      <c r="H4289" t="s">
        <v>749</v>
      </c>
      <c r="I4289" t="s">
        <v>743</v>
      </c>
      <c r="J4289" t="s">
        <v>379</v>
      </c>
      <c r="K4289" t="s">
        <v>546</v>
      </c>
      <c r="L4289" s="784">
        <v>0</v>
      </c>
      <c r="M4289" t="s">
        <v>745</v>
      </c>
      <c r="N4289" s="784" t="s">
        <v>575</v>
      </c>
      <c r="O4289" t="s">
        <v>737</v>
      </c>
      <c r="P4289" t="s">
        <v>1887</v>
      </c>
      <c r="R4289" t="s">
        <v>550</v>
      </c>
      <c r="S4289" t="s">
        <v>146</v>
      </c>
      <c r="U4289">
        <v>0</v>
      </c>
      <c r="V4289" t="s">
        <v>541</v>
      </c>
      <c r="W4289" t="s">
        <v>546</v>
      </c>
      <c r="X4289" s="784">
        <v>60237542.945069775</v>
      </c>
    </row>
    <row r="4290" spans="1:24">
      <c r="A4290" t="s">
        <v>358</v>
      </c>
      <c r="B4290" t="s">
        <v>667</v>
      </c>
      <c r="C4290" t="s">
        <v>269</v>
      </c>
      <c r="D4290" t="s">
        <v>129</v>
      </c>
      <c r="E4290" t="s">
        <v>377</v>
      </c>
      <c r="F4290" t="s">
        <v>312</v>
      </c>
      <c r="G4290" t="s">
        <v>349</v>
      </c>
      <c r="H4290" t="s">
        <v>749</v>
      </c>
      <c r="I4290" t="s">
        <v>743</v>
      </c>
      <c r="J4290" t="s">
        <v>379</v>
      </c>
      <c r="K4290" t="s">
        <v>546</v>
      </c>
      <c r="L4290" s="784">
        <v>0</v>
      </c>
      <c r="M4290" t="s">
        <v>745</v>
      </c>
      <c r="N4290" s="784" t="s">
        <v>575</v>
      </c>
      <c r="O4290" t="s">
        <v>737</v>
      </c>
      <c r="P4290" t="s">
        <v>1887</v>
      </c>
      <c r="R4290" t="s">
        <v>148</v>
      </c>
      <c r="S4290" t="s">
        <v>145</v>
      </c>
      <c r="U4290">
        <v>0</v>
      </c>
      <c r="V4290" t="s">
        <v>544</v>
      </c>
      <c r="W4290" t="s">
        <v>542</v>
      </c>
      <c r="X4290" s="784">
        <v>63738640.538260505</v>
      </c>
    </row>
    <row r="4291" spans="1:24">
      <c r="A4291" t="s">
        <v>358</v>
      </c>
      <c r="B4291" t="s">
        <v>668</v>
      </c>
      <c r="C4291" t="s">
        <v>270</v>
      </c>
      <c r="D4291" t="s">
        <v>126</v>
      </c>
      <c r="E4291" t="s">
        <v>377</v>
      </c>
      <c r="F4291" t="s">
        <v>312</v>
      </c>
      <c r="G4291" t="s">
        <v>349</v>
      </c>
      <c r="H4291" t="s">
        <v>749</v>
      </c>
      <c r="I4291" t="s">
        <v>743</v>
      </c>
      <c r="J4291" t="s">
        <v>379</v>
      </c>
      <c r="K4291" t="s">
        <v>546</v>
      </c>
      <c r="L4291" s="784">
        <v>0</v>
      </c>
      <c r="M4291" t="s">
        <v>745</v>
      </c>
      <c r="N4291" s="784" t="s">
        <v>575</v>
      </c>
      <c r="O4291" t="s">
        <v>737</v>
      </c>
      <c r="P4291" t="s">
        <v>1887</v>
      </c>
      <c r="R4291" t="s">
        <v>150</v>
      </c>
      <c r="S4291" t="s">
        <v>145</v>
      </c>
      <c r="U4291">
        <v>0</v>
      </c>
      <c r="V4291" t="s">
        <v>541</v>
      </c>
      <c r="W4291" t="s">
        <v>562</v>
      </c>
      <c r="X4291" s="784">
        <v>49012774.055630356</v>
      </c>
    </row>
    <row r="4292" spans="1:24">
      <c r="A4292" t="s">
        <v>358</v>
      </c>
      <c r="B4292" t="s">
        <v>669</v>
      </c>
      <c r="C4292" t="s">
        <v>271</v>
      </c>
      <c r="D4292" t="s">
        <v>128</v>
      </c>
      <c r="E4292" t="s">
        <v>377</v>
      </c>
      <c r="F4292" t="s">
        <v>312</v>
      </c>
      <c r="G4292" t="s">
        <v>349</v>
      </c>
      <c r="H4292" t="s">
        <v>749</v>
      </c>
      <c r="I4292" t="s">
        <v>743</v>
      </c>
      <c r="J4292" t="s">
        <v>379</v>
      </c>
      <c r="K4292" t="s">
        <v>546</v>
      </c>
      <c r="L4292" s="784">
        <v>0</v>
      </c>
      <c r="M4292" t="s">
        <v>745</v>
      </c>
      <c r="N4292" s="784" t="s">
        <v>575</v>
      </c>
      <c r="O4292" t="s">
        <v>737</v>
      </c>
      <c r="P4292" t="s">
        <v>1887</v>
      </c>
      <c r="R4292" t="s">
        <v>148</v>
      </c>
      <c r="S4292" t="s">
        <v>145</v>
      </c>
      <c r="U4292">
        <v>1</v>
      </c>
      <c r="V4292" t="s">
        <v>544</v>
      </c>
      <c r="W4292" t="s">
        <v>583</v>
      </c>
      <c r="X4292" s="784" t="s">
        <v>575</v>
      </c>
    </row>
    <row r="4293" spans="1:24">
      <c r="A4293" t="s">
        <v>358</v>
      </c>
      <c r="B4293" t="s">
        <v>670</v>
      </c>
      <c r="C4293" t="s">
        <v>272</v>
      </c>
      <c r="D4293" t="s">
        <v>128</v>
      </c>
      <c r="E4293" t="s">
        <v>377</v>
      </c>
      <c r="F4293" t="s">
        <v>312</v>
      </c>
      <c r="G4293" t="s">
        <v>349</v>
      </c>
      <c r="H4293" t="s">
        <v>749</v>
      </c>
      <c r="I4293" t="s">
        <v>743</v>
      </c>
      <c r="J4293" t="s">
        <v>379</v>
      </c>
      <c r="K4293" t="s">
        <v>546</v>
      </c>
      <c r="L4293" s="784">
        <v>0</v>
      </c>
      <c r="M4293" t="s">
        <v>745</v>
      </c>
      <c r="N4293" s="784" t="s">
        <v>575</v>
      </c>
      <c r="O4293" t="s">
        <v>737</v>
      </c>
      <c r="P4293" t="s">
        <v>1887</v>
      </c>
      <c r="R4293" t="s">
        <v>152</v>
      </c>
      <c r="S4293" t="s">
        <v>146</v>
      </c>
      <c r="U4293">
        <v>0</v>
      </c>
      <c r="V4293" t="s">
        <v>544</v>
      </c>
      <c r="W4293" t="s">
        <v>546</v>
      </c>
      <c r="X4293" s="784">
        <v>16429121142.784708</v>
      </c>
    </row>
    <row r="4294" spans="1:24">
      <c r="A4294" t="s">
        <v>358</v>
      </c>
      <c r="B4294" t="s">
        <v>671</v>
      </c>
      <c r="C4294" t="s">
        <v>273</v>
      </c>
      <c r="D4294" t="s">
        <v>128</v>
      </c>
      <c r="E4294" t="s">
        <v>377</v>
      </c>
      <c r="F4294" t="s">
        <v>312</v>
      </c>
      <c r="G4294" t="s">
        <v>349</v>
      </c>
      <c r="H4294" t="s">
        <v>749</v>
      </c>
      <c r="I4294" t="s">
        <v>743</v>
      </c>
      <c r="J4294" t="s">
        <v>379</v>
      </c>
      <c r="K4294" t="s">
        <v>546</v>
      </c>
      <c r="L4294" s="784">
        <v>0</v>
      </c>
      <c r="M4294" t="s">
        <v>745</v>
      </c>
      <c r="N4294" s="784" t="s">
        <v>575</v>
      </c>
      <c r="O4294" t="s">
        <v>737</v>
      </c>
      <c r="P4294" t="s">
        <v>1887</v>
      </c>
      <c r="R4294" t="s">
        <v>148</v>
      </c>
      <c r="S4294" t="s">
        <v>145</v>
      </c>
      <c r="U4294">
        <v>1</v>
      </c>
      <c r="V4294" t="s">
        <v>544</v>
      </c>
      <c r="W4294" t="s">
        <v>542</v>
      </c>
      <c r="X4294" s="784">
        <v>31684581.76217727</v>
      </c>
    </row>
    <row r="4295" spans="1:24">
      <c r="A4295" t="s">
        <v>358</v>
      </c>
      <c r="B4295" t="s">
        <v>672</v>
      </c>
      <c r="C4295" t="s">
        <v>274</v>
      </c>
      <c r="D4295" t="s">
        <v>132</v>
      </c>
      <c r="E4295" t="s">
        <v>377</v>
      </c>
      <c r="F4295" t="s">
        <v>312</v>
      </c>
      <c r="G4295" t="s">
        <v>349</v>
      </c>
      <c r="H4295" t="s">
        <v>749</v>
      </c>
      <c r="I4295" t="s">
        <v>743</v>
      </c>
      <c r="J4295" t="s">
        <v>379</v>
      </c>
      <c r="K4295" t="s">
        <v>546</v>
      </c>
      <c r="L4295" s="784">
        <v>0</v>
      </c>
      <c r="M4295" t="s">
        <v>745</v>
      </c>
      <c r="N4295" s="784" t="s">
        <v>575</v>
      </c>
      <c r="O4295" t="s">
        <v>737</v>
      </c>
      <c r="P4295" t="s">
        <v>1887</v>
      </c>
      <c r="R4295" t="s">
        <v>150</v>
      </c>
      <c r="S4295" t="s">
        <v>145</v>
      </c>
      <c r="U4295">
        <v>0</v>
      </c>
      <c r="V4295" t="s">
        <v>544</v>
      </c>
      <c r="W4295" t="s">
        <v>546</v>
      </c>
      <c r="X4295" s="784">
        <v>1373621563.5182886</v>
      </c>
    </row>
    <row r="4296" spans="1:24">
      <c r="A4296" t="s">
        <v>358</v>
      </c>
      <c r="B4296" t="s">
        <v>673</v>
      </c>
      <c r="C4296" t="s">
        <v>275</v>
      </c>
      <c r="D4296" t="s">
        <v>130</v>
      </c>
      <c r="E4296" t="s">
        <v>377</v>
      </c>
      <c r="F4296" t="s">
        <v>312</v>
      </c>
      <c r="G4296" t="s">
        <v>349</v>
      </c>
      <c r="H4296" t="s">
        <v>749</v>
      </c>
      <c r="I4296" t="s">
        <v>743</v>
      </c>
      <c r="J4296" t="s">
        <v>379</v>
      </c>
      <c r="K4296" t="s">
        <v>546</v>
      </c>
      <c r="L4296" s="784">
        <v>0</v>
      </c>
      <c r="M4296" t="s">
        <v>745</v>
      </c>
      <c r="N4296" s="784" t="s">
        <v>575</v>
      </c>
      <c r="O4296" t="s">
        <v>737</v>
      </c>
      <c r="P4296" t="s">
        <v>1887</v>
      </c>
      <c r="R4296" t="s">
        <v>550</v>
      </c>
      <c r="S4296" t="s">
        <v>146</v>
      </c>
      <c r="U4296">
        <v>0</v>
      </c>
      <c r="V4296" t="s">
        <v>541</v>
      </c>
      <c r="W4296" t="s">
        <v>575</v>
      </c>
      <c r="X4296" s="784">
        <v>24214370.889062837</v>
      </c>
    </row>
    <row r="4297" spans="1:24">
      <c r="A4297" t="s">
        <v>358</v>
      </c>
      <c r="B4297" t="s">
        <v>674</v>
      </c>
      <c r="C4297" t="s">
        <v>154</v>
      </c>
      <c r="D4297" t="s">
        <v>130</v>
      </c>
      <c r="E4297" t="s">
        <v>377</v>
      </c>
      <c r="F4297" t="s">
        <v>312</v>
      </c>
      <c r="G4297" t="s">
        <v>349</v>
      </c>
      <c r="H4297" t="s">
        <v>749</v>
      </c>
      <c r="I4297" t="s">
        <v>743</v>
      </c>
      <c r="J4297" t="s">
        <v>379</v>
      </c>
      <c r="K4297" t="s">
        <v>546</v>
      </c>
      <c r="L4297" s="784">
        <v>0</v>
      </c>
      <c r="M4297" t="s">
        <v>745</v>
      </c>
      <c r="N4297" s="784" t="s">
        <v>575</v>
      </c>
      <c r="O4297" t="s">
        <v>737</v>
      </c>
      <c r="P4297" t="s">
        <v>1887</v>
      </c>
      <c r="R4297" t="s">
        <v>152</v>
      </c>
      <c r="S4297" t="s">
        <v>145</v>
      </c>
      <c r="U4297">
        <v>0</v>
      </c>
      <c r="V4297" t="s">
        <v>541</v>
      </c>
      <c r="W4297" t="s">
        <v>548</v>
      </c>
      <c r="X4297" s="784">
        <v>39941279.609447442</v>
      </c>
    </row>
    <row r="4298" spans="1:24">
      <c r="A4298" t="s">
        <v>358</v>
      </c>
      <c r="B4298" t="s">
        <v>675</v>
      </c>
      <c r="C4298" t="s">
        <v>155</v>
      </c>
      <c r="D4298" t="s">
        <v>130</v>
      </c>
      <c r="E4298" t="s">
        <v>377</v>
      </c>
      <c r="F4298" t="s">
        <v>312</v>
      </c>
      <c r="G4298" t="s">
        <v>349</v>
      </c>
      <c r="H4298" t="s">
        <v>749</v>
      </c>
      <c r="I4298" t="s">
        <v>743</v>
      </c>
      <c r="J4298" t="s">
        <v>379</v>
      </c>
      <c r="K4298" t="s">
        <v>546</v>
      </c>
      <c r="L4298" s="784">
        <v>0</v>
      </c>
      <c r="M4298" t="s">
        <v>745</v>
      </c>
      <c r="N4298" s="784" t="s">
        <v>575</v>
      </c>
      <c r="O4298" t="s">
        <v>737</v>
      </c>
      <c r="P4298" t="s">
        <v>1887</v>
      </c>
      <c r="R4298" t="s">
        <v>152</v>
      </c>
      <c r="S4298" t="s">
        <v>145</v>
      </c>
      <c r="U4298">
        <v>0</v>
      </c>
      <c r="V4298" t="s">
        <v>541</v>
      </c>
      <c r="W4298" t="s">
        <v>542</v>
      </c>
      <c r="X4298" s="784">
        <v>24761675.260059897</v>
      </c>
    </row>
    <row r="4299" spans="1:24">
      <c r="A4299" t="s">
        <v>358</v>
      </c>
      <c r="B4299" t="s">
        <v>676</v>
      </c>
      <c r="C4299" t="s">
        <v>276</v>
      </c>
      <c r="D4299" t="s">
        <v>131</v>
      </c>
      <c r="E4299" t="s">
        <v>377</v>
      </c>
      <c r="F4299" t="s">
        <v>312</v>
      </c>
      <c r="G4299" t="s">
        <v>349</v>
      </c>
      <c r="H4299" t="s">
        <v>749</v>
      </c>
      <c r="I4299" t="s">
        <v>743</v>
      </c>
      <c r="J4299" t="s">
        <v>379</v>
      </c>
      <c r="K4299" t="s">
        <v>546</v>
      </c>
      <c r="L4299" s="784">
        <v>0</v>
      </c>
      <c r="M4299" t="s">
        <v>745</v>
      </c>
      <c r="N4299" s="784" t="s">
        <v>575</v>
      </c>
      <c r="O4299" t="s">
        <v>737</v>
      </c>
      <c r="P4299" t="s">
        <v>1887</v>
      </c>
      <c r="R4299" t="s">
        <v>150</v>
      </c>
      <c r="S4299" t="s">
        <v>145</v>
      </c>
      <c r="U4299">
        <v>0</v>
      </c>
      <c r="V4299" t="s">
        <v>544</v>
      </c>
      <c r="W4299" t="s">
        <v>546</v>
      </c>
      <c r="X4299" s="784" t="s">
        <v>575</v>
      </c>
    </row>
    <row r="4300" spans="1:24">
      <c r="A4300" t="s">
        <v>358</v>
      </c>
      <c r="B4300" t="s">
        <v>677</v>
      </c>
      <c r="C4300" t="s">
        <v>277</v>
      </c>
      <c r="D4300" t="s">
        <v>131</v>
      </c>
      <c r="E4300" t="s">
        <v>377</v>
      </c>
      <c r="F4300" t="s">
        <v>312</v>
      </c>
      <c r="G4300" t="s">
        <v>349</v>
      </c>
      <c r="H4300" t="s">
        <v>749</v>
      </c>
      <c r="I4300" t="s">
        <v>743</v>
      </c>
      <c r="J4300" t="s">
        <v>379</v>
      </c>
      <c r="K4300" t="s">
        <v>546</v>
      </c>
      <c r="L4300" s="784">
        <v>0</v>
      </c>
      <c r="M4300" t="s">
        <v>745</v>
      </c>
      <c r="N4300" s="784" t="s">
        <v>575</v>
      </c>
      <c r="O4300" t="s">
        <v>737</v>
      </c>
      <c r="P4300" t="s">
        <v>1887</v>
      </c>
      <c r="R4300" t="s">
        <v>148</v>
      </c>
      <c r="S4300" t="s">
        <v>145</v>
      </c>
      <c r="U4300">
        <v>1</v>
      </c>
      <c r="V4300" t="s">
        <v>544</v>
      </c>
      <c r="W4300" t="s">
        <v>546</v>
      </c>
      <c r="X4300" s="784">
        <v>577156172.71229994</v>
      </c>
    </row>
    <row r="4301" spans="1:24">
      <c r="A4301" t="s">
        <v>358</v>
      </c>
      <c r="B4301" t="s">
        <v>678</v>
      </c>
      <c r="C4301" t="s">
        <v>278</v>
      </c>
      <c r="D4301" t="s">
        <v>126</v>
      </c>
      <c r="E4301" t="s">
        <v>377</v>
      </c>
      <c r="F4301" t="s">
        <v>312</v>
      </c>
      <c r="G4301" t="s">
        <v>349</v>
      </c>
      <c r="H4301" t="s">
        <v>749</v>
      </c>
      <c r="I4301" t="s">
        <v>743</v>
      </c>
      <c r="J4301" t="s">
        <v>379</v>
      </c>
      <c r="K4301" t="s">
        <v>546</v>
      </c>
      <c r="L4301" s="784">
        <v>0</v>
      </c>
      <c r="M4301" t="s">
        <v>745</v>
      </c>
      <c r="N4301" s="784" t="s">
        <v>575</v>
      </c>
      <c r="O4301" t="s">
        <v>737</v>
      </c>
      <c r="P4301" t="s">
        <v>1887</v>
      </c>
      <c r="R4301" t="s">
        <v>152</v>
      </c>
      <c r="S4301" t="s">
        <v>146</v>
      </c>
      <c r="U4301">
        <v>0</v>
      </c>
      <c r="V4301" t="s">
        <v>541</v>
      </c>
      <c r="W4301" t="s">
        <v>575</v>
      </c>
      <c r="X4301" s="784">
        <v>180052034.19851837</v>
      </c>
    </row>
    <row r="4302" spans="1:24">
      <c r="A4302" t="s">
        <v>358</v>
      </c>
      <c r="B4302" t="s">
        <v>679</v>
      </c>
      <c r="C4302" t="s">
        <v>279</v>
      </c>
      <c r="D4302" t="s">
        <v>131</v>
      </c>
      <c r="E4302" t="s">
        <v>377</v>
      </c>
      <c r="F4302" t="s">
        <v>312</v>
      </c>
      <c r="G4302" t="s">
        <v>349</v>
      </c>
      <c r="H4302" t="s">
        <v>749</v>
      </c>
      <c r="I4302" t="s">
        <v>743</v>
      </c>
      <c r="J4302" t="s">
        <v>379</v>
      </c>
      <c r="K4302" t="s">
        <v>546</v>
      </c>
      <c r="L4302" s="784">
        <v>0</v>
      </c>
      <c r="M4302" t="s">
        <v>745</v>
      </c>
      <c r="N4302" s="784" t="s">
        <v>575</v>
      </c>
      <c r="O4302" t="s">
        <v>737</v>
      </c>
      <c r="P4302" t="s">
        <v>1887</v>
      </c>
      <c r="R4302" t="s">
        <v>148</v>
      </c>
      <c r="S4302" t="s">
        <v>145</v>
      </c>
      <c r="U4302">
        <v>1</v>
      </c>
      <c r="V4302" t="s">
        <v>544</v>
      </c>
      <c r="W4302" t="s">
        <v>546</v>
      </c>
      <c r="X4302" s="784" t="s">
        <v>575</v>
      </c>
    </row>
    <row r="4303" spans="1:24">
      <c r="A4303" t="s">
        <v>358</v>
      </c>
      <c r="B4303" t="s">
        <v>680</v>
      </c>
      <c r="C4303" t="s">
        <v>280</v>
      </c>
      <c r="D4303" t="s">
        <v>127</v>
      </c>
      <c r="E4303" t="s">
        <v>377</v>
      </c>
      <c r="F4303" t="s">
        <v>312</v>
      </c>
      <c r="G4303" t="s">
        <v>349</v>
      </c>
      <c r="H4303" t="s">
        <v>749</v>
      </c>
      <c r="I4303" t="s">
        <v>743</v>
      </c>
      <c r="J4303" t="s">
        <v>379</v>
      </c>
      <c r="K4303" t="s">
        <v>546</v>
      </c>
      <c r="L4303" s="784">
        <v>0</v>
      </c>
      <c r="M4303" t="s">
        <v>745</v>
      </c>
      <c r="N4303" s="784" t="s">
        <v>575</v>
      </c>
      <c r="O4303" t="s">
        <v>737</v>
      </c>
      <c r="P4303" t="s">
        <v>1887</v>
      </c>
      <c r="R4303" t="s">
        <v>150</v>
      </c>
      <c r="S4303" t="s">
        <v>145</v>
      </c>
      <c r="U4303">
        <v>0</v>
      </c>
      <c r="V4303" t="s">
        <v>544</v>
      </c>
      <c r="W4303" t="s">
        <v>542</v>
      </c>
      <c r="X4303" s="784">
        <v>147296124.32232863</v>
      </c>
    </row>
    <row r="4304" spans="1:24">
      <c r="A4304" t="s">
        <v>358</v>
      </c>
      <c r="B4304" t="s">
        <v>681</v>
      </c>
      <c r="C4304" t="s">
        <v>156</v>
      </c>
      <c r="D4304" t="s">
        <v>128</v>
      </c>
      <c r="E4304" t="s">
        <v>377</v>
      </c>
      <c r="F4304" t="s">
        <v>312</v>
      </c>
      <c r="G4304" t="s">
        <v>349</v>
      </c>
      <c r="H4304" t="s">
        <v>749</v>
      </c>
      <c r="I4304" t="s">
        <v>743</v>
      </c>
      <c r="J4304" t="s">
        <v>379</v>
      </c>
      <c r="K4304" t="s">
        <v>546</v>
      </c>
      <c r="L4304" s="784">
        <v>0</v>
      </c>
      <c r="M4304" t="s">
        <v>745</v>
      </c>
      <c r="N4304" s="784" t="s">
        <v>575</v>
      </c>
      <c r="O4304" t="s">
        <v>737</v>
      </c>
      <c r="P4304" t="s">
        <v>1887</v>
      </c>
      <c r="R4304" t="s">
        <v>150</v>
      </c>
      <c r="S4304" t="s">
        <v>145</v>
      </c>
      <c r="U4304">
        <v>0</v>
      </c>
      <c r="V4304" t="s">
        <v>544</v>
      </c>
      <c r="W4304" t="s">
        <v>548</v>
      </c>
      <c r="X4304" s="784">
        <v>890576536.83065879</v>
      </c>
    </row>
    <row r="4305" spans="1:24">
      <c r="A4305" t="s">
        <v>358</v>
      </c>
      <c r="B4305" t="s">
        <v>682</v>
      </c>
      <c r="C4305" t="s">
        <v>157</v>
      </c>
      <c r="D4305" t="s">
        <v>126</v>
      </c>
      <c r="E4305" t="s">
        <v>377</v>
      </c>
      <c r="F4305" t="s">
        <v>312</v>
      </c>
      <c r="G4305" t="s">
        <v>349</v>
      </c>
      <c r="H4305" t="s">
        <v>749</v>
      </c>
      <c r="I4305" t="s">
        <v>743</v>
      </c>
      <c r="J4305" t="s">
        <v>379</v>
      </c>
      <c r="K4305" t="s">
        <v>546</v>
      </c>
      <c r="L4305" s="784">
        <v>0</v>
      </c>
      <c r="M4305" t="s">
        <v>745</v>
      </c>
      <c r="N4305" s="784" t="s">
        <v>575</v>
      </c>
      <c r="O4305" t="s">
        <v>737</v>
      </c>
      <c r="P4305" t="s">
        <v>1887</v>
      </c>
      <c r="R4305" t="s">
        <v>152</v>
      </c>
      <c r="S4305" t="s">
        <v>146</v>
      </c>
      <c r="U4305">
        <v>0</v>
      </c>
      <c r="V4305" t="s">
        <v>544</v>
      </c>
      <c r="W4305" t="s">
        <v>575</v>
      </c>
      <c r="X4305" s="784">
        <v>14611129792.346064</v>
      </c>
    </row>
    <row r="4306" spans="1:24">
      <c r="A4306" t="s">
        <v>358</v>
      </c>
      <c r="B4306" t="s">
        <v>683</v>
      </c>
      <c r="C4306" t="s">
        <v>281</v>
      </c>
      <c r="D4306" t="s">
        <v>126</v>
      </c>
      <c r="E4306" t="s">
        <v>377</v>
      </c>
      <c r="F4306" t="s">
        <v>312</v>
      </c>
      <c r="G4306" t="s">
        <v>349</v>
      </c>
      <c r="H4306" t="s">
        <v>749</v>
      </c>
      <c r="I4306" t="s">
        <v>743</v>
      </c>
      <c r="J4306" t="s">
        <v>379</v>
      </c>
      <c r="K4306" t="s">
        <v>546</v>
      </c>
      <c r="L4306" s="784">
        <v>0</v>
      </c>
      <c r="M4306" t="s">
        <v>745</v>
      </c>
      <c r="N4306" s="784" t="s">
        <v>575</v>
      </c>
      <c r="O4306" t="s">
        <v>737</v>
      </c>
      <c r="P4306" t="s">
        <v>1887</v>
      </c>
      <c r="R4306" t="s">
        <v>150</v>
      </c>
      <c r="S4306" t="s">
        <v>145</v>
      </c>
      <c r="U4306">
        <v>0</v>
      </c>
      <c r="V4306" t="s">
        <v>541</v>
      </c>
      <c r="W4306" t="s">
        <v>558</v>
      </c>
      <c r="X4306" s="784">
        <v>72046877.233008593</v>
      </c>
    </row>
    <row r="4307" spans="1:24">
      <c r="A4307" t="s">
        <v>358</v>
      </c>
      <c r="B4307" t="s">
        <v>684</v>
      </c>
      <c r="C4307" t="s">
        <v>282</v>
      </c>
      <c r="D4307" t="s">
        <v>129</v>
      </c>
      <c r="E4307" t="s">
        <v>377</v>
      </c>
      <c r="F4307" t="s">
        <v>312</v>
      </c>
      <c r="G4307" t="s">
        <v>349</v>
      </c>
      <c r="H4307" t="s">
        <v>749</v>
      </c>
      <c r="I4307" t="s">
        <v>743</v>
      </c>
      <c r="J4307" t="s">
        <v>379</v>
      </c>
      <c r="K4307" t="s">
        <v>546</v>
      </c>
      <c r="L4307" s="784">
        <v>0</v>
      </c>
      <c r="M4307" t="s">
        <v>745</v>
      </c>
      <c r="N4307" s="784" t="s">
        <v>575</v>
      </c>
      <c r="O4307" t="s">
        <v>737</v>
      </c>
      <c r="P4307" t="s">
        <v>1887</v>
      </c>
      <c r="R4307" t="s">
        <v>148</v>
      </c>
      <c r="S4307" t="s">
        <v>145</v>
      </c>
      <c r="U4307">
        <v>0</v>
      </c>
      <c r="V4307" t="s">
        <v>544</v>
      </c>
      <c r="W4307" t="s">
        <v>542</v>
      </c>
      <c r="X4307" s="784">
        <v>56248139.267255567</v>
      </c>
    </row>
    <row r="4308" spans="1:24">
      <c r="A4308" t="s">
        <v>358</v>
      </c>
      <c r="B4308" t="s">
        <v>685</v>
      </c>
      <c r="C4308" t="s">
        <v>283</v>
      </c>
      <c r="D4308" t="s">
        <v>126</v>
      </c>
      <c r="E4308" t="s">
        <v>377</v>
      </c>
      <c r="F4308" t="s">
        <v>312</v>
      </c>
      <c r="G4308" t="s">
        <v>349</v>
      </c>
      <c r="H4308" t="s">
        <v>749</v>
      </c>
      <c r="I4308" t="s">
        <v>743</v>
      </c>
      <c r="J4308" t="s">
        <v>379</v>
      </c>
      <c r="K4308" t="s">
        <v>546</v>
      </c>
      <c r="L4308" s="784">
        <v>0</v>
      </c>
      <c r="M4308" t="s">
        <v>745</v>
      </c>
      <c r="N4308" s="784" t="s">
        <v>575</v>
      </c>
      <c r="O4308" t="s">
        <v>737</v>
      </c>
      <c r="P4308" t="s">
        <v>1887</v>
      </c>
      <c r="R4308" t="s">
        <v>152</v>
      </c>
      <c r="S4308" t="s">
        <v>145</v>
      </c>
      <c r="U4308">
        <v>0</v>
      </c>
      <c r="V4308" t="s">
        <v>541</v>
      </c>
      <c r="W4308" t="s">
        <v>542</v>
      </c>
      <c r="X4308" s="784">
        <v>15464031.712942109</v>
      </c>
    </row>
    <row r="4309" spans="1:24">
      <c r="A4309" t="s">
        <v>358</v>
      </c>
      <c r="B4309" t="s">
        <v>686</v>
      </c>
      <c r="C4309" t="s">
        <v>284</v>
      </c>
      <c r="D4309" t="s">
        <v>130</v>
      </c>
      <c r="E4309" t="s">
        <v>377</v>
      </c>
      <c r="F4309" t="s">
        <v>312</v>
      </c>
      <c r="G4309" t="s">
        <v>349</v>
      </c>
      <c r="H4309" t="s">
        <v>749</v>
      </c>
      <c r="I4309" t="s">
        <v>743</v>
      </c>
      <c r="J4309" t="s">
        <v>379</v>
      </c>
      <c r="K4309" t="s">
        <v>546</v>
      </c>
      <c r="L4309" s="784">
        <v>0</v>
      </c>
      <c r="M4309" t="s">
        <v>745</v>
      </c>
      <c r="N4309" s="784" t="s">
        <v>575</v>
      </c>
      <c r="O4309" t="s">
        <v>737</v>
      </c>
      <c r="P4309" t="s">
        <v>1887</v>
      </c>
      <c r="R4309" t="s">
        <v>550</v>
      </c>
      <c r="S4309" t="s">
        <v>146</v>
      </c>
      <c r="U4309">
        <v>0</v>
      </c>
      <c r="V4309" t="s">
        <v>541</v>
      </c>
      <c r="W4309" t="s">
        <v>546</v>
      </c>
      <c r="X4309" s="784">
        <v>769564399.33249676</v>
      </c>
    </row>
    <row r="4310" spans="1:24">
      <c r="A4310" t="s">
        <v>358</v>
      </c>
      <c r="B4310" t="s">
        <v>687</v>
      </c>
      <c r="C4310" t="s">
        <v>285</v>
      </c>
      <c r="D4310" t="s">
        <v>131</v>
      </c>
      <c r="E4310" t="s">
        <v>377</v>
      </c>
      <c r="F4310" t="s">
        <v>312</v>
      </c>
      <c r="G4310" t="s">
        <v>349</v>
      </c>
      <c r="H4310" t="s">
        <v>749</v>
      </c>
      <c r="I4310" t="s">
        <v>743</v>
      </c>
      <c r="J4310" t="s">
        <v>379</v>
      </c>
      <c r="K4310" t="s">
        <v>546</v>
      </c>
      <c r="L4310" s="784">
        <v>0</v>
      </c>
      <c r="M4310" t="s">
        <v>745</v>
      </c>
      <c r="N4310" s="784" t="s">
        <v>575</v>
      </c>
      <c r="O4310" t="s">
        <v>737</v>
      </c>
      <c r="P4310" t="s">
        <v>1887</v>
      </c>
      <c r="R4310" t="s">
        <v>150</v>
      </c>
      <c r="S4310" t="s">
        <v>145</v>
      </c>
      <c r="U4310">
        <v>0</v>
      </c>
      <c r="V4310" t="s">
        <v>544</v>
      </c>
      <c r="W4310" t="s">
        <v>546</v>
      </c>
      <c r="X4310" s="784">
        <v>1668954539.7630196</v>
      </c>
    </row>
    <row r="4311" spans="1:24">
      <c r="A4311" t="s">
        <v>358</v>
      </c>
      <c r="B4311" t="s">
        <v>688</v>
      </c>
      <c r="C4311" t="s">
        <v>286</v>
      </c>
      <c r="D4311" t="s">
        <v>127</v>
      </c>
      <c r="E4311" t="s">
        <v>377</v>
      </c>
      <c r="F4311" t="s">
        <v>312</v>
      </c>
      <c r="G4311" t="s">
        <v>349</v>
      </c>
      <c r="H4311" t="s">
        <v>749</v>
      </c>
      <c r="I4311" t="s">
        <v>743</v>
      </c>
      <c r="J4311" t="s">
        <v>379</v>
      </c>
      <c r="K4311" t="s">
        <v>546</v>
      </c>
      <c r="L4311" s="784">
        <v>0</v>
      </c>
      <c r="M4311" t="s">
        <v>745</v>
      </c>
      <c r="N4311" s="784" t="s">
        <v>575</v>
      </c>
      <c r="O4311" t="s">
        <v>737</v>
      </c>
      <c r="P4311" t="s">
        <v>1887</v>
      </c>
      <c r="R4311" t="s">
        <v>152</v>
      </c>
      <c r="S4311" t="s">
        <v>146</v>
      </c>
      <c r="U4311">
        <v>0</v>
      </c>
      <c r="V4311" t="s">
        <v>544</v>
      </c>
      <c r="W4311" t="s">
        <v>575</v>
      </c>
      <c r="X4311" s="784">
        <v>24840920016.18832</v>
      </c>
    </row>
    <row r="4312" spans="1:24">
      <c r="A4312" t="s">
        <v>358</v>
      </c>
      <c r="B4312" t="s">
        <v>689</v>
      </c>
      <c r="C4312" t="s">
        <v>287</v>
      </c>
      <c r="D4312" t="s">
        <v>127</v>
      </c>
      <c r="E4312" t="s">
        <v>377</v>
      </c>
      <c r="F4312" t="s">
        <v>312</v>
      </c>
      <c r="G4312" t="s">
        <v>349</v>
      </c>
      <c r="H4312" t="s">
        <v>749</v>
      </c>
      <c r="I4312" t="s">
        <v>743</v>
      </c>
      <c r="J4312" t="s">
        <v>379</v>
      </c>
      <c r="K4312" t="s">
        <v>546</v>
      </c>
      <c r="L4312" s="784">
        <v>0</v>
      </c>
      <c r="M4312" t="s">
        <v>745</v>
      </c>
      <c r="N4312" s="784" t="s">
        <v>575</v>
      </c>
      <c r="O4312" t="s">
        <v>737</v>
      </c>
      <c r="P4312" t="s">
        <v>1887</v>
      </c>
      <c r="R4312" t="s">
        <v>152</v>
      </c>
      <c r="S4312" t="s">
        <v>146</v>
      </c>
      <c r="U4312">
        <v>0</v>
      </c>
      <c r="V4312" t="s">
        <v>544</v>
      </c>
      <c r="W4312" t="s">
        <v>546</v>
      </c>
      <c r="X4312" s="784">
        <v>487888462.83720118</v>
      </c>
    </row>
    <row r="4313" spans="1:24">
      <c r="A4313" t="s">
        <v>358</v>
      </c>
      <c r="B4313" t="s">
        <v>690</v>
      </c>
      <c r="C4313" t="s">
        <v>288</v>
      </c>
      <c r="D4313" t="s">
        <v>126</v>
      </c>
      <c r="E4313" t="s">
        <v>377</v>
      </c>
      <c r="F4313" t="s">
        <v>312</v>
      </c>
      <c r="G4313" t="s">
        <v>349</v>
      </c>
      <c r="H4313" t="s">
        <v>749</v>
      </c>
      <c r="I4313" t="s">
        <v>743</v>
      </c>
      <c r="J4313" t="s">
        <v>379</v>
      </c>
      <c r="K4313" t="s">
        <v>546</v>
      </c>
      <c r="L4313" s="784">
        <v>0</v>
      </c>
      <c r="M4313" t="s">
        <v>745</v>
      </c>
      <c r="N4313" s="784" t="s">
        <v>575</v>
      </c>
      <c r="O4313" t="s">
        <v>737</v>
      </c>
      <c r="P4313" t="s">
        <v>1887</v>
      </c>
      <c r="R4313" t="s">
        <v>152</v>
      </c>
      <c r="S4313" t="s">
        <v>145</v>
      </c>
      <c r="U4313">
        <v>0</v>
      </c>
      <c r="V4313" t="s">
        <v>541</v>
      </c>
      <c r="W4313" t="s">
        <v>548</v>
      </c>
      <c r="X4313" s="784">
        <v>6365061.1736073596</v>
      </c>
    </row>
    <row r="4314" spans="1:24">
      <c r="A4314" t="s">
        <v>358</v>
      </c>
      <c r="B4314" t="s">
        <v>691</v>
      </c>
      <c r="C4314" t="s">
        <v>289</v>
      </c>
      <c r="D4314" t="s">
        <v>128</v>
      </c>
      <c r="E4314" t="s">
        <v>377</v>
      </c>
      <c r="F4314" t="s">
        <v>312</v>
      </c>
      <c r="G4314" t="s">
        <v>349</v>
      </c>
      <c r="H4314" t="s">
        <v>749</v>
      </c>
      <c r="I4314" t="s">
        <v>743</v>
      </c>
      <c r="J4314" t="s">
        <v>379</v>
      </c>
      <c r="K4314" t="s">
        <v>546</v>
      </c>
      <c r="L4314" s="784">
        <v>1105023</v>
      </c>
      <c r="M4314" t="s">
        <v>745</v>
      </c>
      <c r="N4314" s="784" t="s">
        <v>575</v>
      </c>
      <c r="O4314" t="s">
        <v>737</v>
      </c>
      <c r="P4314" t="s">
        <v>1887</v>
      </c>
      <c r="R4314" t="s">
        <v>148</v>
      </c>
      <c r="S4314" t="s">
        <v>145</v>
      </c>
      <c r="U4314">
        <v>2</v>
      </c>
      <c r="V4314" t="s">
        <v>544</v>
      </c>
      <c r="W4314" t="s">
        <v>558</v>
      </c>
      <c r="X4314" s="784">
        <v>291799092.90196139</v>
      </c>
    </row>
    <row r="4315" spans="1:24">
      <c r="A4315" t="s">
        <v>358</v>
      </c>
      <c r="B4315" t="s">
        <v>692</v>
      </c>
      <c r="C4315" t="s">
        <v>290</v>
      </c>
      <c r="D4315" t="s">
        <v>127</v>
      </c>
      <c r="E4315" t="s">
        <v>377</v>
      </c>
      <c r="F4315" t="s">
        <v>312</v>
      </c>
      <c r="G4315" t="s">
        <v>349</v>
      </c>
      <c r="H4315" t="s">
        <v>749</v>
      </c>
      <c r="I4315" t="s">
        <v>743</v>
      </c>
      <c r="J4315" t="s">
        <v>379</v>
      </c>
      <c r="K4315" t="s">
        <v>546</v>
      </c>
      <c r="L4315" s="784">
        <v>0</v>
      </c>
      <c r="M4315" t="s">
        <v>745</v>
      </c>
      <c r="N4315" s="784" t="s">
        <v>575</v>
      </c>
      <c r="O4315" t="s">
        <v>737</v>
      </c>
      <c r="P4315" t="s">
        <v>1887</v>
      </c>
      <c r="R4315" t="s">
        <v>150</v>
      </c>
      <c r="S4315" t="s">
        <v>145</v>
      </c>
      <c r="U4315">
        <v>0</v>
      </c>
      <c r="V4315" t="s">
        <v>544</v>
      </c>
      <c r="W4315" t="s">
        <v>546</v>
      </c>
      <c r="X4315" s="784">
        <v>4844815340.2135534</v>
      </c>
    </row>
    <row r="4316" spans="1:24">
      <c r="A4316" t="s">
        <v>358</v>
      </c>
      <c r="B4316" t="s">
        <v>693</v>
      </c>
      <c r="C4316" t="s">
        <v>291</v>
      </c>
      <c r="D4316" t="s">
        <v>130</v>
      </c>
      <c r="E4316" t="s">
        <v>377</v>
      </c>
      <c r="F4316" t="s">
        <v>312</v>
      </c>
      <c r="G4316" t="s">
        <v>349</v>
      </c>
      <c r="H4316" t="s">
        <v>749</v>
      </c>
      <c r="I4316" t="s">
        <v>743</v>
      </c>
      <c r="J4316" t="s">
        <v>379</v>
      </c>
      <c r="K4316" t="s">
        <v>546</v>
      </c>
      <c r="L4316" s="784">
        <v>0</v>
      </c>
      <c r="M4316" t="s">
        <v>745</v>
      </c>
      <c r="N4316" s="784" t="s">
        <v>575</v>
      </c>
      <c r="O4316" t="s">
        <v>737</v>
      </c>
      <c r="P4316" t="s">
        <v>1887</v>
      </c>
      <c r="R4316" t="s">
        <v>550</v>
      </c>
      <c r="S4316" t="s">
        <v>146</v>
      </c>
      <c r="U4316">
        <v>0</v>
      </c>
      <c r="V4316" t="s">
        <v>544</v>
      </c>
      <c r="W4316" t="s">
        <v>575</v>
      </c>
      <c r="X4316" s="784">
        <v>4001891446.6871672</v>
      </c>
    </row>
    <row r="4317" spans="1:24">
      <c r="A4317" t="s">
        <v>358</v>
      </c>
      <c r="B4317" t="s">
        <v>694</v>
      </c>
      <c r="C4317" t="s">
        <v>292</v>
      </c>
      <c r="D4317" t="s">
        <v>127</v>
      </c>
      <c r="E4317" t="s">
        <v>377</v>
      </c>
      <c r="F4317" t="s">
        <v>312</v>
      </c>
      <c r="G4317" t="s">
        <v>349</v>
      </c>
      <c r="H4317" t="s">
        <v>749</v>
      </c>
      <c r="I4317" t="s">
        <v>743</v>
      </c>
      <c r="J4317" t="s">
        <v>379</v>
      </c>
      <c r="K4317" t="s">
        <v>546</v>
      </c>
      <c r="L4317" s="784">
        <v>0</v>
      </c>
      <c r="M4317" t="s">
        <v>745</v>
      </c>
      <c r="N4317" s="784" t="s">
        <v>575</v>
      </c>
      <c r="O4317" t="s">
        <v>737</v>
      </c>
      <c r="P4317" t="s">
        <v>1887</v>
      </c>
      <c r="R4317" t="s">
        <v>150</v>
      </c>
      <c r="S4317" t="s">
        <v>145</v>
      </c>
      <c r="U4317">
        <v>0</v>
      </c>
      <c r="V4317" t="s">
        <v>544</v>
      </c>
      <c r="W4317" t="s">
        <v>558</v>
      </c>
      <c r="X4317" s="784">
        <v>1019800630.5853213</v>
      </c>
    </row>
    <row r="4318" spans="1:24">
      <c r="A4318" t="s">
        <v>358</v>
      </c>
      <c r="B4318" t="s">
        <v>695</v>
      </c>
      <c r="C4318" t="s">
        <v>293</v>
      </c>
      <c r="D4318" t="s">
        <v>126</v>
      </c>
      <c r="E4318" t="s">
        <v>377</v>
      </c>
      <c r="F4318" t="s">
        <v>312</v>
      </c>
      <c r="G4318" t="s">
        <v>349</v>
      </c>
      <c r="H4318" t="s">
        <v>749</v>
      </c>
      <c r="I4318" t="s">
        <v>743</v>
      </c>
      <c r="J4318" t="s">
        <v>379</v>
      </c>
      <c r="K4318" t="s">
        <v>546</v>
      </c>
      <c r="L4318" s="784">
        <v>0</v>
      </c>
      <c r="M4318" t="s">
        <v>745</v>
      </c>
      <c r="N4318" s="784" t="s">
        <v>575</v>
      </c>
      <c r="O4318" t="s">
        <v>737</v>
      </c>
      <c r="P4318" t="s">
        <v>1887</v>
      </c>
      <c r="R4318" t="s">
        <v>150</v>
      </c>
      <c r="S4318" t="s">
        <v>145</v>
      </c>
      <c r="U4318">
        <v>0</v>
      </c>
      <c r="V4318" t="s">
        <v>541</v>
      </c>
      <c r="W4318" t="s">
        <v>562</v>
      </c>
      <c r="X4318" s="784">
        <v>19578671.310841195</v>
      </c>
    </row>
    <row r="4319" spans="1:24">
      <c r="A4319" t="s">
        <v>358</v>
      </c>
      <c r="B4319" t="s">
        <v>696</v>
      </c>
      <c r="C4319" t="s">
        <v>294</v>
      </c>
      <c r="D4319" t="s">
        <v>130</v>
      </c>
      <c r="E4319" t="s">
        <v>377</v>
      </c>
      <c r="F4319" t="s">
        <v>312</v>
      </c>
      <c r="G4319" t="s">
        <v>349</v>
      </c>
      <c r="H4319" t="s">
        <v>749</v>
      </c>
      <c r="I4319" t="s">
        <v>743</v>
      </c>
      <c r="J4319" t="s">
        <v>379</v>
      </c>
      <c r="K4319" t="s">
        <v>546</v>
      </c>
      <c r="L4319" s="784">
        <v>0</v>
      </c>
      <c r="M4319" t="s">
        <v>745</v>
      </c>
      <c r="N4319" s="784" t="s">
        <v>575</v>
      </c>
      <c r="O4319" t="s">
        <v>737</v>
      </c>
      <c r="P4319" t="s">
        <v>1887</v>
      </c>
      <c r="R4319" t="s">
        <v>322</v>
      </c>
      <c r="S4319" t="s">
        <v>146</v>
      </c>
      <c r="U4319">
        <v>0</v>
      </c>
      <c r="V4319" t="s">
        <v>544</v>
      </c>
      <c r="W4319" t="s">
        <v>546</v>
      </c>
      <c r="X4319" s="784">
        <v>3551452001.0684834</v>
      </c>
    </row>
    <row r="4320" spans="1:24">
      <c r="A4320" t="s">
        <v>358</v>
      </c>
      <c r="B4320" t="s">
        <v>697</v>
      </c>
      <c r="C4320" t="s">
        <v>295</v>
      </c>
      <c r="D4320" t="s">
        <v>126</v>
      </c>
      <c r="E4320" t="s">
        <v>377</v>
      </c>
      <c r="F4320" t="s">
        <v>312</v>
      </c>
      <c r="G4320" t="s">
        <v>349</v>
      </c>
      <c r="H4320" t="s">
        <v>749</v>
      </c>
      <c r="I4320" t="s">
        <v>743</v>
      </c>
      <c r="J4320" t="s">
        <v>379</v>
      </c>
      <c r="K4320" t="s">
        <v>546</v>
      </c>
      <c r="L4320" s="784">
        <v>0</v>
      </c>
      <c r="M4320" t="s">
        <v>745</v>
      </c>
      <c r="N4320" s="784" t="s">
        <v>575</v>
      </c>
      <c r="O4320" t="s">
        <v>737</v>
      </c>
      <c r="P4320" t="s">
        <v>1887</v>
      </c>
      <c r="R4320" t="s">
        <v>150</v>
      </c>
      <c r="S4320" t="s">
        <v>145</v>
      </c>
      <c r="U4320">
        <v>0</v>
      </c>
      <c r="V4320" t="s">
        <v>544</v>
      </c>
      <c r="W4320" t="s">
        <v>546</v>
      </c>
      <c r="X4320" s="784">
        <v>6603048821.7575006</v>
      </c>
    </row>
    <row r="4321" spans="1:24">
      <c r="A4321" t="s">
        <v>358</v>
      </c>
      <c r="B4321" t="s">
        <v>698</v>
      </c>
      <c r="C4321" t="s">
        <v>296</v>
      </c>
      <c r="D4321" t="s">
        <v>131</v>
      </c>
      <c r="E4321" t="s">
        <v>377</v>
      </c>
      <c r="F4321" t="s">
        <v>312</v>
      </c>
      <c r="G4321" t="s">
        <v>349</v>
      </c>
      <c r="H4321" t="s">
        <v>749</v>
      </c>
      <c r="I4321" t="s">
        <v>743</v>
      </c>
      <c r="J4321" t="s">
        <v>379</v>
      </c>
      <c r="K4321" t="s">
        <v>546</v>
      </c>
      <c r="L4321" s="784">
        <v>0</v>
      </c>
      <c r="M4321" t="s">
        <v>745</v>
      </c>
      <c r="N4321" s="784" t="s">
        <v>575</v>
      </c>
      <c r="O4321" t="s">
        <v>737</v>
      </c>
      <c r="P4321" t="s">
        <v>1887</v>
      </c>
      <c r="R4321" t="s">
        <v>148</v>
      </c>
      <c r="S4321" t="s">
        <v>145</v>
      </c>
      <c r="U4321">
        <v>1</v>
      </c>
      <c r="V4321" t="s">
        <v>544</v>
      </c>
      <c r="W4321" t="s">
        <v>548</v>
      </c>
      <c r="X4321" s="784" t="s">
        <v>575</v>
      </c>
    </row>
    <row r="4322" spans="1:24">
      <c r="A4322" t="s">
        <v>358</v>
      </c>
      <c r="B4322" t="s">
        <v>699</v>
      </c>
      <c r="C4322" t="s">
        <v>297</v>
      </c>
      <c r="D4322" t="s">
        <v>128</v>
      </c>
      <c r="E4322" t="s">
        <v>377</v>
      </c>
      <c r="F4322" t="s">
        <v>312</v>
      </c>
      <c r="G4322" t="s">
        <v>349</v>
      </c>
      <c r="H4322" t="s">
        <v>749</v>
      </c>
      <c r="I4322" t="s">
        <v>743</v>
      </c>
      <c r="J4322" t="s">
        <v>379</v>
      </c>
      <c r="K4322" t="s">
        <v>546</v>
      </c>
      <c r="L4322" s="784">
        <v>0</v>
      </c>
      <c r="M4322" t="s">
        <v>745</v>
      </c>
      <c r="N4322" s="784" t="s">
        <v>575</v>
      </c>
      <c r="O4322" t="s">
        <v>737</v>
      </c>
      <c r="P4322" t="s">
        <v>1887</v>
      </c>
      <c r="R4322" t="s">
        <v>150</v>
      </c>
      <c r="S4322" t="s">
        <v>145</v>
      </c>
      <c r="U4322">
        <v>0</v>
      </c>
      <c r="V4322" t="s">
        <v>544</v>
      </c>
      <c r="W4322" t="s">
        <v>542</v>
      </c>
      <c r="X4322" s="784">
        <v>515352723.9821828</v>
      </c>
    </row>
    <row r="4323" spans="1:24">
      <c r="A4323" t="s">
        <v>358</v>
      </c>
      <c r="B4323" t="s">
        <v>700</v>
      </c>
      <c r="C4323" t="s">
        <v>298</v>
      </c>
      <c r="D4323" t="s">
        <v>128</v>
      </c>
      <c r="E4323" t="s">
        <v>377</v>
      </c>
      <c r="F4323" t="s">
        <v>312</v>
      </c>
      <c r="G4323" t="s">
        <v>349</v>
      </c>
      <c r="H4323" t="s">
        <v>749</v>
      </c>
      <c r="I4323" t="s">
        <v>743</v>
      </c>
      <c r="J4323" t="s">
        <v>379</v>
      </c>
      <c r="K4323" t="s">
        <v>546</v>
      </c>
      <c r="L4323" s="784">
        <v>0</v>
      </c>
      <c r="M4323" t="s">
        <v>745</v>
      </c>
      <c r="N4323" s="784" t="s">
        <v>575</v>
      </c>
      <c r="O4323" t="s">
        <v>737</v>
      </c>
      <c r="P4323" t="s">
        <v>1887</v>
      </c>
      <c r="R4323" t="s">
        <v>150</v>
      </c>
      <c r="S4323" t="s">
        <v>145</v>
      </c>
      <c r="U4323">
        <v>0</v>
      </c>
      <c r="V4323" t="s">
        <v>544</v>
      </c>
      <c r="W4323" t="s">
        <v>546</v>
      </c>
      <c r="X4323" s="784">
        <v>566711742.22428358</v>
      </c>
    </row>
    <row r="4324" spans="1:24">
      <c r="A4324" t="s">
        <v>358</v>
      </c>
      <c r="B4324" t="s">
        <v>540</v>
      </c>
      <c r="C4324" t="s">
        <v>160</v>
      </c>
      <c r="D4324" t="s">
        <v>132</v>
      </c>
      <c r="E4324" t="s">
        <v>377</v>
      </c>
      <c r="F4324" t="s">
        <v>312</v>
      </c>
      <c r="G4324" t="s">
        <v>348</v>
      </c>
      <c r="H4324" t="s">
        <v>348</v>
      </c>
      <c r="I4324" t="s">
        <v>743</v>
      </c>
      <c r="J4324" t="s">
        <v>379</v>
      </c>
      <c r="K4324" t="s">
        <v>546</v>
      </c>
      <c r="L4324" s="784">
        <v>99000</v>
      </c>
      <c r="M4324" t="s">
        <v>745</v>
      </c>
      <c r="P4324" t="s">
        <v>1887</v>
      </c>
      <c r="R4324" t="s">
        <v>148</v>
      </c>
      <c r="S4324" t="s">
        <v>145</v>
      </c>
      <c r="U4324">
        <v>1</v>
      </c>
      <c r="V4324" t="s">
        <v>544</v>
      </c>
      <c r="W4324" t="s">
        <v>542</v>
      </c>
      <c r="X4324" s="784">
        <v>95829480.719269618</v>
      </c>
    </row>
    <row r="4325" spans="1:24">
      <c r="A4325" t="s">
        <v>358</v>
      </c>
      <c r="B4325" t="s">
        <v>543</v>
      </c>
      <c r="C4325" t="s">
        <v>161</v>
      </c>
      <c r="D4325" t="s">
        <v>127</v>
      </c>
      <c r="E4325" t="s">
        <v>377</v>
      </c>
      <c r="F4325" t="s">
        <v>312</v>
      </c>
      <c r="G4325" t="s">
        <v>348</v>
      </c>
      <c r="H4325" t="s">
        <v>348</v>
      </c>
      <c r="I4325" t="s">
        <v>743</v>
      </c>
      <c r="J4325" t="s">
        <v>379</v>
      </c>
      <c r="K4325" t="s">
        <v>546</v>
      </c>
      <c r="L4325" s="784" t="s">
        <v>575</v>
      </c>
      <c r="M4325" t="s">
        <v>745</v>
      </c>
      <c r="P4325" t="s">
        <v>1887</v>
      </c>
      <c r="R4325" t="s">
        <v>152</v>
      </c>
      <c r="S4325" t="s">
        <v>146</v>
      </c>
      <c r="U4325">
        <v>0</v>
      </c>
      <c r="V4325" t="s">
        <v>544</v>
      </c>
      <c r="W4325" t="s">
        <v>575</v>
      </c>
      <c r="X4325" s="784">
        <v>427904035.52443534</v>
      </c>
    </row>
    <row r="4326" spans="1:24">
      <c r="A4326" t="s">
        <v>358</v>
      </c>
      <c r="B4326" t="s">
        <v>545</v>
      </c>
      <c r="C4326" t="s">
        <v>143</v>
      </c>
      <c r="D4326" t="s">
        <v>131</v>
      </c>
      <c r="E4326" t="s">
        <v>377</v>
      </c>
      <c r="F4326" t="s">
        <v>312</v>
      </c>
      <c r="G4326" t="s">
        <v>348</v>
      </c>
      <c r="H4326" t="s">
        <v>348</v>
      </c>
      <c r="I4326" t="s">
        <v>743</v>
      </c>
      <c r="J4326" t="s">
        <v>379</v>
      </c>
      <c r="K4326" t="s">
        <v>546</v>
      </c>
      <c r="L4326" s="784" t="s">
        <v>575</v>
      </c>
      <c r="M4326" t="s">
        <v>745</v>
      </c>
      <c r="P4326" t="s">
        <v>1887</v>
      </c>
      <c r="R4326" t="s">
        <v>150</v>
      </c>
      <c r="S4326" t="s">
        <v>145</v>
      </c>
      <c r="U4326">
        <v>0</v>
      </c>
      <c r="V4326" t="s">
        <v>544</v>
      </c>
      <c r="W4326" t="s">
        <v>546</v>
      </c>
      <c r="X4326" s="784">
        <v>7113361022.7267885</v>
      </c>
    </row>
    <row r="4327" spans="1:24">
      <c r="A4327" t="s">
        <v>358</v>
      </c>
      <c r="B4327" t="s">
        <v>547</v>
      </c>
      <c r="C4327" t="s">
        <v>162</v>
      </c>
      <c r="D4327" t="s">
        <v>128</v>
      </c>
      <c r="E4327" t="s">
        <v>377</v>
      </c>
      <c r="F4327" t="s">
        <v>312</v>
      </c>
      <c r="G4327" t="s">
        <v>348</v>
      </c>
      <c r="H4327" t="s">
        <v>348</v>
      </c>
      <c r="I4327" t="s">
        <v>743</v>
      </c>
      <c r="J4327" t="s">
        <v>379</v>
      </c>
      <c r="K4327" t="s">
        <v>546</v>
      </c>
      <c r="L4327" s="784">
        <v>191000</v>
      </c>
      <c r="M4327" t="s">
        <v>745</v>
      </c>
      <c r="P4327" t="s">
        <v>1887</v>
      </c>
      <c r="R4327" t="s">
        <v>150</v>
      </c>
      <c r="S4327" t="s">
        <v>145</v>
      </c>
      <c r="U4327">
        <v>0</v>
      </c>
      <c r="V4327" t="s">
        <v>544</v>
      </c>
      <c r="W4327" t="s">
        <v>548</v>
      </c>
      <c r="X4327" s="784">
        <v>1131865946.5875781</v>
      </c>
    </row>
    <row r="4328" spans="1:24">
      <c r="A4328" t="s">
        <v>358</v>
      </c>
      <c r="B4328" t="s">
        <v>549</v>
      </c>
      <c r="C4328" t="s">
        <v>163</v>
      </c>
      <c r="D4328" t="s">
        <v>130</v>
      </c>
      <c r="E4328" t="s">
        <v>377</v>
      </c>
      <c r="F4328" t="s">
        <v>312</v>
      </c>
      <c r="G4328" t="s">
        <v>348</v>
      </c>
      <c r="H4328" t="s">
        <v>348</v>
      </c>
      <c r="I4328" t="s">
        <v>743</v>
      </c>
      <c r="J4328" t="s">
        <v>379</v>
      </c>
      <c r="K4328" t="s">
        <v>546</v>
      </c>
      <c r="L4328" s="784" t="s">
        <v>575</v>
      </c>
      <c r="M4328" t="s">
        <v>745</v>
      </c>
      <c r="P4328" t="s">
        <v>1887</v>
      </c>
      <c r="R4328" t="s">
        <v>550</v>
      </c>
      <c r="S4328" t="s">
        <v>146</v>
      </c>
      <c r="U4328">
        <v>0</v>
      </c>
      <c r="V4328" t="s">
        <v>541</v>
      </c>
      <c r="W4328" t="s">
        <v>575</v>
      </c>
      <c r="X4328" s="784">
        <v>46777779.823447868</v>
      </c>
    </row>
    <row r="4329" spans="1:24">
      <c r="A4329" t="s">
        <v>358</v>
      </c>
      <c r="B4329" t="s">
        <v>551</v>
      </c>
      <c r="C4329" t="s">
        <v>164</v>
      </c>
      <c r="D4329" t="s">
        <v>130</v>
      </c>
      <c r="E4329" t="s">
        <v>377</v>
      </c>
      <c r="F4329" t="s">
        <v>312</v>
      </c>
      <c r="G4329" t="s">
        <v>348</v>
      </c>
      <c r="H4329" t="s">
        <v>348</v>
      </c>
      <c r="I4329" t="s">
        <v>743</v>
      </c>
      <c r="J4329" t="s">
        <v>379</v>
      </c>
      <c r="K4329" t="s">
        <v>546</v>
      </c>
      <c r="L4329" s="784" t="s">
        <v>575</v>
      </c>
      <c r="M4329" t="s">
        <v>745</v>
      </c>
      <c r="P4329" t="s">
        <v>1887</v>
      </c>
      <c r="R4329" t="s">
        <v>152</v>
      </c>
      <c r="S4329" t="s">
        <v>146</v>
      </c>
      <c r="U4329">
        <v>0</v>
      </c>
      <c r="V4329" t="s">
        <v>544</v>
      </c>
      <c r="W4329" t="s">
        <v>575</v>
      </c>
      <c r="X4329" s="784">
        <v>30725305777.596794</v>
      </c>
    </row>
    <row r="4330" spans="1:24">
      <c r="A4330" t="s">
        <v>358</v>
      </c>
      <c r="B4330" t="s">
        <v>553</v>
      </c>
      <c r="C4330" t="s">
        <v>165</v>
      </c>
      <c r="D4330" t="s">
        <v>127</v>
      </c>
      <c r="E4330" t="s">
        <v>377</v>
      </c>
      <c r="F4330" t="s">
        <v>312</v>
      </c>
      <c r="G4330" t="s">
        <v>348</v>
      </c>
      <c r="H4330" t="s">
        <v>348</v>
      </c>
      <c r="I4330" t="s">
        <v>743</v>
      </c>
      <c r="J4330" t="s">
        <v>379</v>
      </c>
      <c r="K4330" t="s">
        <v>546</v>
      </c>
      <c r="L4330" s="784" t="s">
        <v>575</v>
      </c>
      <c r="M4330" t="s">
        <v>745</v>
      </c>
      <c r="P4330" t="s">
        <v>1887</v>
      </c>
      <c r="R4330" t="s">
        <v>152</v>
      </c>
      <c r="S4330" t="s">
        <v>146</v>
      </c>
      <c r="U4330">
        <v>0</v>
      </c>
      <c r="V4330" t="s">
        <v>544</v>
      </c>
      <c r="W4330" t="s">
        <v>575</v>
      </c>
      <c r="X4330" s="784">
        <v>153815827.8380394</v>
      </c>
    </row>
    <row r="4331" spans="1:24">
      <c r="A4331" t="s">
        <v>358</v>
      </c>
      <c r="B4331" t="s">
        <v>554</v>
      </c>
      <c r="C4331" t="s">
        <v>166</v>
      </c>
      <c r="D4331" t="s">
        <v>127</v>
      </c>
      <c r="E4331" t="s">
        <v>377</v>
      </c>
      <c r="F4331" t="s">
        <v>312</v>
      </c>
      <c r="G4331" t="s">
        <v>348</v>
      </c>
      <c r="H4331" t="s">
        <v>348</v>
      </c>
      <c r="I4331" t="s">
        <v>743</v>
      </c>
      <c r="J4331" t="s">
        <v>379</v>
      </c>
      <c r="K4331" t="s">
        <v>546</v>
      </c>
      <c r="L4331" s="784" t="s">
        <v>575</v>
      </c>
      <c r="M4331" t="s">
        <v>745</v>
      </c>
      <c r="P4331" t="s">
        <v>1887</v>
      </c>
      <c r="R4331" t="s">
        <v>152</v>
      </c>
      <c r="S4331" t="s">
        <v>146</v>
      </c>
      <c r="U4331">
        <v>0</v>
      </c>
      <c r="V4331" t="s">
        <v>544</v>
      </c>
      <c r="W4331" t="s">
        <v>546</v>
      </c>
      <c r="X4331" s="784">
        <v>437525105.31216973</v>
      </c>
    </row>
    <row r="4332" spans="1:24">
      <c r="A4332" t="s">
        <v>358</v>
      </c>
      <c r="B4332" t="s">
        <v>555</v>
      </c>
      <c r="C4332" t="s">
        <v>556</v>
      </c>
      <c r="D4332" t="s">
        <v>130</v>
      </c>
      <c r="E4332" t="s">
        <v>377</v>
      </c>
      <c r="F4332" t="s">
        <v>312</v>
      </c>
      <c r="G4332" t="s">
        <v>348</v>
      </c>
      <c r="H4332" t="s">
        <v>348</v>
      </c>
      <c r="I4332" t="s">
        <v>743</v>
      </c>
      <c r="J4332" t="s">
        <v>379</v>
      </c>
      <c r="K4332" t="s">
        <v>546</v>
      </c>
      <c r="L4332" s="784" t="s">
        <v>575</v>
      </c>
      <c r="M4332" t="s">
        <v>745</v>
      </c>
      <c r="P4332" t="s">
        <v>1887</v>
      </c>
      <c r="R4332" t="s">
        <v>550</v>
      </c>
      <c r="S4332" t="s">
        <v>146</v>
      </c>
      <c r="U4332">
        <v>0</v>
      </c>
      <c r="V4332" t="s">
        <v>541</v>
      </c>
      <c r="W4332" t="s">
        <v>575</v>
      </c>
      <c r="X4332" s="784">
        <v>149463302.00602186</v>
      </c>
    </row>
    <row r="4333" spans="1:24">
      <c r="A4333" t="s">
        <v>358</v>
      </c>
      <c r="B4333" t="s">
        <v>557</v>
      </c>
      <c r="C4333" t="s">
        <v>167</v>
      </c>
      <c r="D4333" t="s">
        <v>132</v>
      </c>
      <c r="E4333" t="s">
        <v>377</v>
      </c>
      <c r="F4333" t="s">
        <v>312</v>
      </c>
      <c r="G4333" t="s">
        <v>348</v>
      </c>
      <c r="H4333" t="s">
        <v>348</v>
      </c>
      <c r="I4333" t="s">
        <v>743</v>
      </c>
      <c r="J4333" t="s">
        <v>379</v>
      </c>
      <c r="K4333" t="s">
        <v>546</v>
      </c>
      <c r="L4333" s="784">
        <v>1074000</v>
      </c>
      <c r="M4333" t="s">
        <v>745</v>
      </c>
      <c r="P4333" t="s">
        <v>1887</v>
      </c>
      <c r="R4333" t="s">
        <v>150</v>
      </c>
      <c r="S4333" t="s">
        <v>145</v>
      </c>
      <c r="U4333">
        <v>0</v>
      </c>
      <c r="V4333" t="s">
        <v>544</v>
      </c>
      <c r="W4333" t="s">
        <v>558</v>
      </c>
      <c r="X4333" s="784">
        <v>1148322593.9600098</v>
      </c>
    </row>
    <row r="4334" spans="1:24">
      <c r="A4334" t="s">
        <v>358</v>
      </c>
      <c r="B4334" t="s">
        <v>559</v>
      </c>
      <c r="C4334" t="s">
        <v>168</v>
      </c>
      <c r="D4334" t="s">
        <v>127</v>
      </c>
      <c r="E4334" t="s">
        <v>377</v>
      </c>
      <c r="F4334" t="s">
        <v>312</v>
      </c>
      <c r="G4334" t="s">
        <v>348</v>
      </c>
      <c r="H4334" t="s">
        <v>348</v>
      </c>
      <c r="I4334" t="s">
        <v>743</v>
      </c>
      <c r="J4334" t="s">
        <v>379</v>
      </c>
      <c r="K4334" t="s">
        <v>546</v>
      </c>
      <c r="L4334" s="784" t="s">
        <v>575</v>
      </c>
      <c r="M4334" t="s">
        <v>745</v>
      </c>
      <c r="P4334" t="s">
        <v>1887</v>
      </c>
      <c r="R4334" t="s">
        <v>152</v>
      </c>
      <c r="S4334" t="s">
        <v>146</v>
      </c>
      <c r="U4334">
        <v>0</v>
      </c>
      <c r="V4334" t="s">
        <v>544</v>
      </c>
      <c r="W4334" t="s">
        <v>575</v>
      </c>
      <c r="X4334" s="784">
        <v>2371102058.1093163</v>
      </c>
    </row>
    <row r="4335" spans="1:24">
      <c r="A4335" t="s">
        <v>358</v>
      </c>
      <c r="B4335" t="s">
        <v>560</v>
      </c>
      <c r="C4335" t="s">
        <v>169</v>
      </c>
      <c r="D4335" t="s">
        <v>130</v>
      </c>
      <c r="E4335" t="s">
        <v>377</v>
      </c>
      <c r="F4335" t="s">
        <v>312</v>
      </c>
      <c r="G4335" t="s">
        <v>348</v>
      </c>
      <c r="H4335" t="s">
        <v>348</v>
      </c>
      <c r="I4335" t="s">
        <v>743</v>
      </c>
      <c r="J4335" t="s">
        <v>379</v>
      </c>
      <c r="K4335" t="s">
        <v>546</v>
      </c>
      <c r="L4335" s="784" t="s">
        <v>575</v>
      </c>
      <c r="M4335" t="s">
        <v>745</v>
      </c>
      <c r="P4335" t="s">
        <v>1887</v>
      </c>
      <c r="R4335" t="s">
        <v>150</v>
      </c>
      <c r="S4335" t="s">
        <v>146</v>
      </c>
      <c r="U4335">
        <v>0</v>
      </c>
      <c r="V4335" t="s">
        <v>541</v>
      </c>
      <c r="W4335" t="s">
        <v>546</v>
      </c>
      <c r="X4335" s="784">
        <v>75151620.005215243</v>
      </c>
    </row>
    <row r="4336" spans="1:24">
      <c r="A4336" t="s">
        <v>358</v>
      </c>
      <c r="B4336" t="s">
        <v>561</v>
      </c>
      <c r="C4336" t="s">
        <v>170</v>
      </c>
      <c r="D4336" t="s">
        <v>129</v>
      </c>
      <c r="E4336" t="s">
        <v>377</v>
      </c>
      <c r="F4336" t="s">
        <v>312</v>
      </c>
      <c r="G4336" t="s">
        <v>348</v>
      </c>
      <c r="H4336" t="s">
        <v>348</v>
      </c>
      <c r="I4336" t="s">
        <v>743</v>
      </c>
      <c r="J4336" t="s">
        <v>379</v>
      </c>
      <c r="K4336" t="s">
        <v>546</v>
      </c>
      <c r="L4336" s="784" t="s">
        <v>575</v>
      </c>
      <c r="M4336" t="s">
        <v>745</v>
      </c>
      <c r="P4336" t="s">
        <v>1887</v>
      </c>
      <c r="R4336" t="s">
        <v>150</v>
      </c>
      <c r="S4336" t="s">
        <v>145</v>
      </c>
      <c r="U4336">
        <v>0</v>
      </c>
      <c r="V4336" t="s">
        <v>544</v>
      </c>
      <c r="W4336" t="s">
        <v>562</v>
      </c>
      <c r="X4336" s="784">
        <v>69958487.197715744</v>
      </c>
    </row>
    <row r="4337" spans="1:24">
      <c r="A4337" t="s">
        <v>358</v>
      </c>
      <c r="B4337" t="s">
        <v>563</v>
      </c>
      <c r="C4337" t="s">
        <v>171</v>
      </c>
      <c r="D4337" t="s">
        <v>132</v>
      </c>
      <c r="E4337" t="s">
        <v>377</v>
      </c>
      <c r="F4337" t="s">
        <v>312</v>
      </c>
      <c r="G4337" t="s">
        <v>348</v>
      </c>
      <c r="H4337" t="s">
        <v>348</v>
      </c>
      <c r="I4337" t="s">
        <v>743</v>
      </c>
      <c r="J4337" t="s">
        <v>379</v>
      </c>
      <c r="K4337" t="s">
        <v>546</v>
      </c>
      <c r="L4337" s="784" t="s">
        <v>575</v>
      </c>
      <c r="M4337" t="s">
        <v>745</v>
      </c>
      <c r="P4337" t="s">
        <v>1887</v>
      </c>
      <c r="R4337" t="s">
        <v>150</v>
      </c>
      <c r="S4337" t="s">
        <v>145</v>
      </c>
      <c r="U4337">
        <v>0</v>
      </c>
      <c r="V4337" t="s">
        <v>544</v>
      </c>
      <c r="W4337" t="s">
        <v>548</v>
      </c>
      <c r="X4337" s="784">
        <v>61654608.560629159</v>
      </c>
    </row>
    <row r="4338" spans="1:24">
      <c r="A4338" t="s">
        <v>358</v>
      </c>
      <c r="B4338" t="s">
        <v>564</v>
      </c>
      <c r="C4338" t="s">
        <v>172</v>
      </c>
      <c r="D4338" t="s">
        <v>130</v>
      </c>
      <c r="E4338" t="s">
        <v>377</v>
      </c>
      <c r="F4338" t="s">
        <v>312</v>
      </c>
      <c r="G4338" t="s">
        <v>348</v>
      </c>
      <c r="H4338" t="s">
        <v>348</v>
      </c>
      <c r="I4338" t="s">
        <v>743</v>
      </c>
      <c r="J4338" t="s">
        <v>379</v>
      </c>
      <c r="K4338" t="s">
        <v>546</v>
      </c>
      <c r="L4338" s="784" t="s">
        <v>575</v>
      </c>
      <c r="M4338" t="s">
        <v>745</v>
      </c>
      <c r="P4338" t="s">
        <v>1887</v>
      </c>
      <c r="R4338" t="s">
        <v>150</v>
      </c>
      <c r="S4338" t="s">
        <v>145</v>
      </c>
      <c r="U4338">
        <v>0</v>
      </c>
      <c r="V4338" t="s">
        <v>544</v>
      </c>
      <c r="W4338" t="s">
        <v>546</v>
      </c>
      <c r="X4338" s="784">
        <v>1806638707.7615163</v>
      </c>
    </row>
    <row r="4339" spans="1:24">
      <c r="A4339" t="s">
        <v>358</v>
      </c>
      <c r="B4339" t="s">
        <v>565</v>
      </c>
      <c r="C4339" t="s">
        <v>174</v>
      </c>
      <c r="D4339" t="s">
        <v>127</v>
      </c>
      <c r="E4339" t="s">
        <v>377</v>
      </c>
      <c r="F4339" t="s">
        <v>312</v>
      </c>
      <c r="G4339" t="s">
        <v>348</v>
      </c>
      <c r="H4339" t="s">
        <v>348</v>
      </c>
      <c r="I4339" t="s">
        <v>743</v>
      </c>
      <c r="J4339" t="s">
        <v>379</v>
      </c>
      <c r="K4339" t="s">
        <v>546</v>
      </c>
      <c r="L4339" s="784" t="s">
        <v>575</v>
      </c>
      <c r="M4339" t="s">
        <v>745</v>
      </c>
      <c r="P4339" t="s">
        <v>1887</v>
      </c>
      <c r="R4339" t="s">
        <v>152</v>
      </c>
      <c r="S4339" t="s">
        <v>146</v>
      </c>
      <c r="U4339">
        <v>0</v>
      </c>
      <c r="V4339" t="s">
        <v>544</v>
      </c>
      <c r="W4339" t="s">
        <v>546</v>
      </c>
      <c r="X4339" s="784">
        <v>1252696525.0627904</v>
      </c>
    </row>
    <row r="4340" spans="1:24">
      <c r="A4340" t="s">
        <v>358</v>
      </c>
      <c r="B4340" t="s">
        <v>566</v>
      </c>
      <c r="C4340" t="s">
        <v>175</v>
      </c>
      <c r="D4340" t="s">
        <v>128</v>
      </c>
      <c r="E4340" t="s">
        <v>377</v>
      </c>
      <c r="F4340" t="s">
        <v>312</v>
      </c>
      <c r="G4340" t="s">
        <v>348</v>
      </c>
      <c r="H4340" t="s">
        <v>348</v>
      </c>
      <c r="I4340" t="s">
        <v>743</v>
      </c>
      <c r="J4340" t="s">
        <v>379</v>
      </c>
      <c r="K4340" t="s">
        <v>546</v>
      </c>
      <c r="L4340" s="784" t="s">
        <v>575</v>
      </c>
      <c r="M4340" t="s">
        <v>745</v>
      </c>
      <c r="P4340" t="s">
        <v>1887</v>
      </c>
      <c r="R4340" t="s">
        <v>152</v>
      </c>
      <c r="S4340" t="s">
        <v>146</v>
      </c>
      <c r="U4340">
        <v>0</v>
      </c>
      <c r="V4340" t="s">
        <v>544</v>
      </c>
      <c r="W4340" t="s">
        <v>575</v>
      </c>
      <c r="X4340" s="784">
        <v>843425084.07334602</v>
      </c>
    </row>
    <row r="4341" spans="1:24">
      <c r="A4341" t="s">
        <v>358</v>
      </c>
      <c r="B4341" t="s">
        <v>567</v>
      </c>
      <c r="C4341" t="s">
        <v>144</v>
      </c>
      <c r="D4341" t="s">
        <v>130</v>
      </c>
      <c r="E4341" t="s">
        <v>377</v>
      </c>
      <c r="F4341" t="s">
        <v>312</v>
      </c>
      <c r="G4341" t="s">
        <v>348</v>
      </c>
      <c r="H4341" t="s">
        <v>348</v>
      </c>
      <c r="I4341" t="s">
        <v>743</v>
      </c>
      <c r="J4341" t="s">
        <v>379</v>
      </c>
      <c r="K4341" t="s">
        <v>546</v>
      </c>
      <c r="L4341" s="784" t="s">
        <v>575</v>
      </c>
      <c r="M4341" t="s">
        <v>745</v>
      </c>
      <c r="P4341" t="s">
        <v>1887</v>
      </c>
      <c r="R4341" t="s">
        <v>152</v>
      </c>
      <c r="S4341" t="s">
        <v>146</v>
      </c>
      <c r="U4341">
        <v>0</v>
      </c>
      <c r="V4341" t="s">
        <v>544</v>
      </c>
      <c r="W4341" t="s">
        <v>546</v>
      </c>
      <c r="X4341" s="784">
        <v>74055620038.853683</v>
      </c>
    </row>
    <row r="4342" spans="1:24">
      <c r="A4342" t="s">
        <v>358</v>
      </c>
      <c r="B4342" t="s">
        <v>568</v>
      </c>
      <c r="C4342" t="s">
        <v>176</v>
      </c>
      <c r="D4342" t="s">
        <v>127</v>
      </c>
      <c r="E4342" t="s">
        <v>377</v>
      </c>
      <c r="F4342" t="s">
        <v>312</v>
      </c>
      <c r="G4342" t="s">
        <v>348</v>
      </c>
      <c r="H4342" t="s">
        <v>348</v>
      </c>
      <c r="I4342" t="s">
        <v>743</v>
      </c>
      <c r="J4342" t="s">
        <v>379</v>
      </c>
      <c r="K4342" t="s">
        <v>546</v>
      </c>
      <c r="L4342" s="784" t="s">
        <v>575</v>
      </c>
      <c r="M4342" t="s">
        <v>745</v>
      </c>
      <c r="P4342" t="s">
        <v>1887</v>
      </c>
      <c r="R4342" t="s">
        <v>152</v>
      </c>
      <c r="S4342" t="s">
        <v>146</v>
      </c>
      <c r="U4342">
        <v>0</v>
      </c>
      <c r="V4342" t="s">
        <v>544</v>
      </c>
      <c r="W4342" t="s">
        <v>575</v>
      </c>
      <c r="X4342" s="784">
        <v>2803357765.5888777</v>
      </c>
    </row>
    <row r="4343" spans="1:24">
      <c r="A4343" t="s">
        <v>358</v>
      </c>
      <c r="B4343" t="s">
        <v>569</v>
      </c>
      <c r="C4343" t="s">
        <v>177</v>
      </c>
      <c r="D4343" t="s">
        <v>129</v>
      </c>
      <c r="E4343" t="s">
        <v>377</v>
      </c>
      <c r="F4343" t="s">
        <v>312</v>
      </c>
      <c r="G4343" t="s">
        <v>348</v>
      </c>
      <c r="H4343" t="s">
        <v>348</v>
      </c>
      <c r="I4343" t="s">
        <v>743</v>
      </c>
      <c r="J4343" t="s">
        <v>379</v>
      </c>
      <c r="K4343" t="s">
        <v>546</v>
      </c>
      <c r="L4343" s="784">
        <v>2736000</v>
      </c>
      <c r="M4343" t="s">
        <v>745</v>
      </c>
      <c r="P4343" t="s">
        <v>1887</v>
      </c>
      <c r="R4343" t="s">
        <v>148</v>
      </c>
      <c r="S4343" t="s">
        <v>145</v>
      </c>
      <c r="U4343">
        <v>2</v>
      </c>
      <c r="V4343" t="s">
        <v>544</v>
      </c>
      <c r="W4343" t="s">
        <v>562</v>
      </c>
      <c r="X4343" s="784">
        <v>337927779.25510043</v>
      </c>
    </row>
    <row r="4344" spans="1:24">
      <c r="A4344" t="s">
        <v>358</v>
      </c>
      <c r="B4344" t="s">
        <v>570</v>
      </c>
      <c r="C4344" t="s">
        <v>178</v>
      </c>
      <c r="D4344" t="s">
        <v>128</v>
      </c>
      <c r="E4344" t="s">
        <v>377</v>
      </c>
      <c r="F4344" t="s">
        <v>312</v>
      </c>
      <c r="G4344" t="s">
        <v>348</v>
      </c>
      <c r="H4344" t="s">
        <v>348</v>
      </c>
      <c r="I4344" t="s">
        <v>743</v>
      </c>
      <c r="J4344" t="s">
        <v>379</v>
      </c>
      <c r="K4344" t="s">
        <v>546</v>
      </c>
      <c r="L4344" s="784" t="s">
        <v>575</v>
      </c>
      <c r="M4344" t="s">
        <v>745</v>
      </c>
      <c r="P4344" t="s">
        <v>1887</v>
      </c>
      <c r="R4344" t="s">
        <v>148</v>
      </c>
      <c r="S4344" t="s">
        <v>145</v>
      </c>
      <c r="U4344">
        <v>2</v>
      </c>
      <c r="V4344" t="s">
        <v>544</v>
      </c>
      <c r="W4344" t="s">
        <v>548</v>
      </c>
      <c r="X4344" s="784">
        <v>65979512.47399316</v>
      </c>
    </row>
    <row r="4345" spans="1:24">
      <c r="A4345" t="s">
        <v>358</v>
      </c>
      <c r="B4345" t="s">
        <v>571</v>
      </c>
      <c r="C4345" t="s">
        <v>179</v>
      </c>
      <c r="D4345" t="s">
        <v>129</v>
      </c>
      <c r="E4345" t="s">
        <v>377</v>
      </c>
      <c r="F4345" t="s">
        <v>312</v>
      </c>
      <c r="G4345" t="s">
        <v>348</v>
      </c>
      <c r="H4345" t="s">
        <v>348</v>
      </c>
      <c r="I4345" t="s">
        <v>743</v>
      </c>
      <c r="J4345" t="s">
        <v>379</v>
      </c>
      <c r="K4345" t="s">
        <v>546</v>
      </c>
      <c r="L4345" s="784" t="s">
        <v>575</v>
      </c>
      <c r="M4345" t="s">
        <v>745</v>
      </c>
      <c r="P4345" t="s">
        <v>1887</v>
      </c>
      <c r="R4345" t="s">
        <v>150</v>
      </c>
      <c r="S4345" t="s">
        <v>145</v>
      </c>
      <c r="U4345">
        <v>0</v>
      </c>
      <c r="V4345" t="s">
        <v>541</v>
      </c>
      <c r="W4345" t="s">
        <v>542</v>
      </c>
      <c r="X4345" s="784">
        <v>63748362.778827004</v>
      </c>
    </row>
    <row r="4346" spans="1:24">
      <c r="A4346" t="s">
        <v>358</v>
      </c>
      <c r="B4346" t="s">
        <v>572</v>
      </c>
      <c r="C4346" t="s">
        <v>180</v>
      </c>
      <c r="D4346" t="s">
        <v>126</v>
      </c>
      <c r="E4346" t="s">
        <v>377</v>
      </c>
      <c r="F4346" t="s">
        <v>312</v>
      </c>
      <c r="G4346" t="s">
        <v>348</v>
      </c>
      <c r="H4346" t="s">
        <v>348</v>
      </c>
      <c r="I4346" t="s">
        <v>743</v>
      </c>
      <c r="J4346" t="s">
        <v>379</v>
      </c>
      <c r="K4346" t="s">
        <v>546</v>
      </c>
      <c r="L4346" s="784">
        <v>354000</v>
      </c>
      <c r="M4346" t="s">
        <v>745</v>
      </c>
      <c r="P4346" t="s">
        <v>1887</v>
      </c>
      <c r="R4346" t="s">
        <v>150</v>
      </c>
      <c r="S4346" t="s">
        <v>145</v>
      </c>
      <c r="U4346">
        <v>0</v>
      </c>
      <c r="V4346" t="s">
        <v>544</v>
      </c>
      <c r="W4346" t="s">
        <v>558</v>
      </c>
      <c r="X4346" s="784">
        <v>313039649.45369786</v>
      </c>
    </row>
    <row r="4347" spans="1:24">
      <c r="A4347" t="s">
        <v>358</v>
      </c>
      <c r="B4347" t="s">
        <v>573</v>
      </c>
      <c r="C4347" t="s">
        <v>181</v>
      </c>
      <c r="D4347" t="s">
        <v>129</v>
      </c>
      <c r="E4347" t="s">
        <v>377</v>
      </c>
      <c r="F4347" t="s">
        <v>312</v>
      </c>
      <c r="G4347" t="s">
        <v>348</v>
      </c>
      <c r="H4347" t="s">
        <v>348</v>
      </c>
      <c r="I4347" t="s">
        <v>743</v>
      </c>
      <c r="J4347" t="s">
        <v>379</v>
      </c>
      <c r="K4347" t="s">
        <v>546</v>
      </c>
      <c r="L4347" s="784" t="s">
        <v>575</v>
      </c>
      <c r="M4347" t="s">
        <v>745</v>
      </c>
      <c r="P4347" t="s">
        <v>1887</v>
      </c>
      <c r="R4347" t="s">
        <v>150</v>
      </c>
      <c r="S4347" t="s">
        <v>145</v>
      </c>
      <c r="U4347">
        <v>2</v>
      </c>
      <c r="V4347" t="s">
        <v>544</v>
      </c>
      <c r="W4347" t="s">
        <v>542</v>
      </c>
      <c r="X4347" s="784">
        <v>81361801.477472037</v>
      </c>
    </row>
    <row r="4348" spans="1:24">
      <c r="A4348" t="s">
        <v>358</v>
      </c>
      <c r="B4348" t="s">
        <v>574</v>
      </c>
      <c r="C4348" t="s">
        <v>182</v>
      </c>
      <c r="D4348" t="s">
        <v>129</v>
      </c>
      <c r="E4348" t="s">
        <v>377</v>
      </c>
      <c r="F4348" t="s">
        <v>312</v>
      </c>
      <c r="G4348" t="s">
        <v>348</v>
      </c>
      <c r="H4348" t="s">
        <v>348</v>
      </c>
      <c r="I4348" t="s">
        <v>743</v>
      </c>
      <c r="J4348" t="s">
        <v>379</v>
      </c>
      <c r="K4348" t="s">
        <v>546</v>
      </c>
      <c r="L4348" s="784" t="s">
        <v>575</v>
      </c>
      <c r="M4348" t="s">
        <v>745</v>
      </c>
      <c r="P4348" t="s">
        <v>1887</v>
      </c>
      <c r="R4348" t="s">
        <v>148</v>
      </c>
      <c r="S4348" t="s">
        <v>145</v>
      </c>
      <c r="U4348">
        <v>1</v>
      </c>
      <c r="V4348" t="s">
        <v>544</v>
      </c>
      <c r="W4348" t="s">
        <v>542</v>
      </c>
      <c r="X4348" s="784" t="s">
        <v>575</v>
      </c>
    </row>
    <row r="4349" spans="1:24">
      <c r="A4349" t="s">
        <v>358</v>
      </c>
      <c r="B4349" t="s">
        <v>576</v>
      </c>
      <c r="C4349" t="s">
        <v>183</v>
      </c>
      <c r="D4349" t="s">
        <v>129</v>
      </c>
      <c r="E4349" t="s">
        <v>377</v>
      </c>
      <c r="F4349" t="s">
        <v>312</v>
      </c>
      <c r="G4349" t="s">
        <v>348</v>
      </c>
      <c r="H4349" t="s">
        <v>348</v>
      </c>
      <c r="I4349" t="s">
        <v>743</v>
      </c>
      <c r="J4349" t="s">
        <v>379</v>
      </c>
      <c r="K4349" t="s">
        <v>546</v>
      </c>
      <c r="L4349" s="784" t="s">
        <v>575</v>
      </c>
      <c r="M4349" t="s">
        <v>745</v>
      </c>
      <c r="P4349" t="s">
        <v>1887</v>
      </c>
      <c r="R4349" t="s">
        <v>148</v>
      </c>
      <c r="S4349" t="s">
        <v>145</v>
      </c>
      <c r="U4349">
        <v>1</v>
      </c>
      <c r="V4349" t="s">
        <v>544</v>
      </c>
      <c r="W4349" t="s">
        <v>542</v>
      </c>
      <c r="X4349" s="784">
        <v>76939306.715636879</v>
      </c>
    </row>
    <row r="4350" spans="1:24">
      <c r="A4350" t="s">
        <v>358</v>
      </c>
      <c r="B4350" t="s">
        <v>577</v>
      </c>
      <c r="C4350" t="s">
        <v>184</v>
      </c>
      <c r="D4350" t="s">
        <v>130</v>
      </c>
      <c r="E4350" t="s">
        <v>377</v>
      </c>
      <c r="F4350" t="s">
        <v>312</v>
      </c>
      <c r="G4350" t="s">
        <v>348</v>
      </c>
      <c r="H4350" t="s">
        <v>348</v>
      </c>
      <c r="I4350" t="s">
        <v>743</v>
      </c>
      <c r="J4350" t="s">
        <v>379</v>
      </c>
      <c r="K4350" t="s">
        <v>546</v>
      </c>
      <c r="L4350" s="784" t="s">
        <v>575</v>
      </c>
      <c r="M4350" t="s">
        <v>745</v>
      </c>
      <c r="P4350" t="s">
        <v>1887</v>
      </c>
      <c r="R4350" t="s">
        <v>550</v>
      </c>
      <c r="S4350" t="s">
        <v>146</v>
      </c>
      <c r="U4350">
        <v>0</v>
      </c>
      <c r="V4350" t="s">
        <v>544</v>
      </c>
      <c r="W4350" t="s">
        <v>575</v>
      </c>
      <c r="X4350" s="784">
        <v>13859708717.682571</v>
      </c>
    </row>
    <row r="4351" spans="1:24">
      <c r="A4351" t="s">
        <v>358</v>
      </c>
      <c r="B4351" t="s">
        <v>578</v>
      </c>
      <c r="C4351" t="s">
        <v>185</v>
      </c>
      <c r="D4351" t="s">
        <v>126</v>
      </c>
      <c r="E4351" t="s">
        <v>377</v>
      </c>
      <c r="F4351" t="s">
        <v>312</v>
      </c>
      <c r="G4351" t="s">
        <v>348</v>
      </c>
      <c r="H4351" t="s">
        <v>348</v>
      </c>
      <c r="I4351" t="s">
        <v>743</v>
      </c>
      <c r="J4351" t="s">
        <v>379</v>
      </c>
      <c r="K4351" t="s">
        <v>546</v>
      </c>
      <c r="L4351" s="784" t="s">
        <v>575</v>
      </c>
      <c r="M4351" t="s">
        <v>745</v>
      </c>
      <c r="P4351" t="s">
        <v>1887</v>
      </c>
      <c r="R4351" t="s">
        <v>152</v>
      </c>
      <c r="S4351" t="s">
        <v>146</v>
      </c>
      <c r="U4351">
        <v>0</v>
      </c>
      <c r="V4351" t="s">
        <v>544</v>
      </c>
      <c r="W4351" t="s">
        <v>575</v>
      </c>
      <c r="X4351" s="784">
        <v>403567160707.7016</v>
      </c>
    </row>
    <row r="4352" spans="1:24">
      <c r="A4352" t="s">
        <v>358</v>
      </c>
      <c r="B4352" t="s">
        <v>579</v>
      </c>
      <c r="C4352" t="s">
        <v>186</v>
      </c>
      <c r="D4352" t="s">
        <v>130</v>
      </c>
      <c r="E4352" t="s">
        <v>377</v>
      </c>
      <c r="F4352" t="s">
        <v>312</v>
      </c>
      <c r="G4352" t="s">
        <v>348</v>
      </c>
      <c r="H4352" t="s">
        <v>348</v>
      </c>
      <c r="I4352" t="s">
        <v>743</v>
      </c>
      <c r="J4352" t="s">
        <v>379</v>
      </c>
      <c r="K4352" t="s">
        <v>546</v>
      </c>
      <c r="L4352" s="784" t="s">
        <v>575</v>
      </c>
      <c r="M4352" t="s">
        <v>745</v>
      </c>
      <c r="P4352" t="s">
        <v>1887</v>
      </c>
      <c r="R4352" t="s">
        <v>152</v>
      </c>
      <c r="S4352" t="s">
        <v>146</v>
      </c>
      <c r="U4352">
        <v>0</v>
      </c>
      <c r="V4352" t="s">
        <v>544</v>
      </c>
      <c r="W4352" t="s">
        <v>575</v>
      </c>
      <c r="X4352" s="784">
        <v>18250225995.972618</v>
      </c>
    </row>
    <row r="4353" spans="1:24">
      <c r="A4353" t="s">
        <v>358</v>
      </c>
      <c r="B4353" t="s">
        <v>580</v>
      </c>
      <c r="C4353" t="s">
        <v>187</v>
      </c>
      <c r="D4353" t="s">
        <v>128</v>
      </c>
      <c r="E4353" t="s">
        <v>377</v>
      </c>
      <c r="F4353" t="s">
        <v>312</v>
      </c>
      <c r="G4353" t="s">
        <v>348</v>
      </c>
      <c r="H4353" t="s">
        <v>348</v>
      </c>
      <c r="I4353" t="s">
        <v>743</v>
      </c>
      <c r="J4353" t="s">
        <v>379</v>
      </c>
      <c r="K4353" t="s">
        <v>546</v>
      </c>
      <c r="L4353" s="784" t="s">
        <v>575</v>
      </c>
      <c r="M4353" t="s">
        <v>745</v>
      </c>
      <c r="P4353" t="s">
        <v>1887</v>
      </c>
      <c r="R4353" t="s">
        <v>150</v>
      </c>
      <c r="S4353" t="s">
        <v>145</v>
      </c>
      <c r="U4353">
        <v>0</v>
      </c>
      <c r="V4353" t="s">
        <v>541</v>
      </c>
      <c r="W4353" t="s">
        <v>562</v>
      </c>
      <c r="X4353" s="784">
        <v>5027591.1682657599</v>
      </c>
    </row>
    <row r="4354" spans="1:24">
      <c r="A4354" t="s">
        <v>358</v>
      </c>
      <c r="B4354" t="s">
        <v>581</v>
      </c>
      <c r="C4354" t="s">
        <v>188</v>
      </c>
      <c r="D4354" t="s">
        <v>129</v>
      </c>
      <c r="E4354" t="s">
        <v>377</v>
      </c>
      <c r="F4354" t="s">
        <v>312</v>
      </c>
      <c r="G4354" t="s">
        <v>348</v>
      </c>
      <c r="H4354" t="s">
        <v>348</v>
      </c>
      <c r="I4354" t="s">
        <v>743</v>
      </c>
      <c r="J4354" t="s">
        <v>379</v>
      </c>
      <c r="K4354" t="s">
        <v>546</v>
      </c>
      <c r="L4354" s="784">
        <v>850000</v>
      </c>
      <c r="M4354" t="s">
        <v>745</v>
      </c>
      <c r="P4354" t="s">
        <v>1887</v>
      </c>
      <c r="R4354" t="s">
        <v>148</v>
      </c>
      <c r="S4354" t="s">
        <v>145</v>
      </c>
      <c r="U4354">
        <v>3</v>
      </c>
      <c r="V4354" t="s">
        <v>544</v>
      </c>
      <c r="W4354" t="s">
        <v>562</v>
      </c>
      <c r="X4354" s="784">
        <v>234645958.63289919</v>
      </c>
    </row>
    <row r="4355" spans="1:24">
      <c r="A4355" t="s">
        <v>358</v>
      </c>
      <c r="B4355" t="s">
        <v>582</v>
      </c>
      <c r="C4355" t="s">
        <v>189</v>
      </c>
      <c r="D4355" t="s">
        <v>129</v>
      </c>
      <c r="E4355" t="s">
        <v>377</v>
      </c>
      <c r="F4355" t="s">
        <v>312</v>
      </c>
      <c r="G4355" t="s">
        <v>348</v>
      </c>
      <c r="H4355" t="s">
        <v>348</v>
      </c>
      <c r="I4355" t="s">
        <v>743</v>
      </c>
      <c r="J4355" t="s">
        <v>379</v>
      </c>
      <c r="K4355" t="s">
        <v>546</v>
      </c>
      <c r="L4355" s="784" t="s">
        <v>575</v>
      </c>
      <c r="M4355" t="s">
        <v>745</v>
      </c>
      <c r="P4355" t="s">
        <v>1887</v>
      </c>
      <c r="R4355" t="s">
        <v>150</v>
      </c>
      <c r="S4355" t="s">
        <v>145</v>
      </c>
      <c r="U4355">
        <v>2</v>
      </c>
      <c r="V4355" t="s">
        <v>544</v>
      </c>
      <c r="W4355" t="s">
        <v>583</v>
      </c>
      <c r="X4355" s="784">
        <v>91590910.247314155</v>
      </c>
    </row>
    <row r="4356" spans="1:24">
      <c r="A4356" t="s">
        <v>358</v>
      </c>
      <c r="B4356" t="s">
        <v>584</v>
      </c>
      <c r="C4356" t="s">
        <v>190</v>
      </c>
      <c r="D4356" t="s">
        <v>126</v>
      </c>
      <c r="E4356" t="s">
        <v>377</v>
      </c>
      <c r="F4356" t="s">
        <v>312</v>
      </c>
      <c r="G4356" t="s">
        <v>348</v>
      </c>
      <c r="H4356" t="s">
        <v>348</v>
      </c>
      <c r="I4356" t="s">
        <v>743</v>
      </c>
      <c r="J4356" t="s">
        <v>379</v>
      </c>
      <c r="K4356" t="s">
        <v>546</v>
      </c>
      <c r="L4356" s="784" t="s">
        <v>575</v>
      </c>
      <c r="M4356" t="s">
        <v>745</v>
      </c>
      <c r="P4356" t="s">
        <v>1887</v>
      </c>
      <c r="R4356" t="s">
        <v>322</v>
      </c>
      <c r="S4356" t="s">
        <v>146</v>
      </c>
      <c r="U4356">
        <v>0</v>
      </c>
      <c r="V4356" t="s">
        <v>541</v>
      </c>
      <c r="W4356" t="s">
        <v>546</v>
      </c>
      <c r="X4356" s="784">
        <v>8560012.8840167802</v>
      </c>
    </row>
    <row r="4357" spans="1:24">
      <c r="A4357" t="s">
        <v>358</v>
      </c>
      <c r="B4357" t="s">
        <v>585</v>
      </c>
      <c r="C4357" t="s">
        <v>191</v>
      </c>
      <c r="D4357" t="s">
        <v>130</v>
      </c>
      <c r="E4357" t="s">
        <v>377</v>
      </c>
      <c r="F4357" t="s">
        <v>312</v>
      </c>
      <c r="G4357" t="s">
        <v>348</v>
      </c>
      <c r="H4357" t="s">
        <v>348</v>
      </c>
      <c r="I4357" t="s">
        <v>743</v>
      </c>
      <c r="J4357" t="s">
        <v>379</v>
      </c>
      <c r="K4357" t="s">
        <v>546</v>
      </c>
      <c r="L4357" s="784" t="s">
        <v>575</v>
      </c>
      <c r="M4357" t="s">
        <v>745</v>
      </c>
      <c r="P4357" t="s">
        <v>1887</v>
      </c>
      <c r="R4357" t="s">
        <v>152</v>
      </c>
      <c r="S4357" t="s">
        <v>146</v>
      </c>
      <c r="U4357">
        <v>0</v>
      </c>
      <c r="V4357" t="s">
        <v>544</v>
      </c>
      <c r="W4357" t="s">
        <v>546</v>
      </c>
      <c r="X4357" s="784">
        <v>3292372960.3962669</v>
      </c>
    </row>
    <row r="4358" spans="1:24">
      <c r="A4358" t="s">
        <v>358</v>
      </c>
      <c r="B4358" t="s">
        <v>586</v>
      </c>
      <c r="C4358" t="s">
        <v>192</v>
      </c>
      <c r="D4358" t="s">
        <v>129</v>
      </c>
      <c r="E4358" t="s">
        <v>377</v>
      </c>
      <c r="F4358" t="s">
        <v>312</v>
      </c>
      <c r="G4358" t="s">
        <v>348</v>
      </c>
      <c r="H4358" t="s">
        <v>348</v>
      </c>
      <c r="I4358" t="s">
        <v>743</v>
      </c>
      <c r="J4358" t="s">
        <v>379</v>
      </c>
      <c r="K4358" t="s">
        <v>546</v>
      </c>
      <c r="L4358" s="784">
        <v>1500000</v>
      </c>
      <c r="M4358" t="s">
        <v>745</v>
      </c>
      <c r="P4358" t="s">
        <v>1887</v>
      </c>
      <c r="R4358" t="s">
        <v>150</v>
      </c>
      <c r="S4358" t="s">
        <v>145</v>
      </c>
      <c r="U4358">
        <v>0</v>
      </c>
      <c r="V4358" t="s">
        <v>544</v>
      </c>
      <c r="W4358" t="s">
        <v>562</v>
      </c>
      <c r="X4358" s="784">
        <v>519209981.22981054</v>
      </c>
    </row>
    <row r="4359" spans="1:24">
      <c r="A4359" t="s">
        <v>358</v>
      </c>
      <c r="B4359" t="s">
        <v>587</v>
      </c>
      <c r="C4359" t="s">
        <v>193</v>
      </c>
      <c r="D4359" t="s">
        <v>127</v>
      </c>
      <c r="E4359" t="s">
        <v>377</v>
      </c>
      <c r="F4359" t="s">
        <v>312</v>
      </c>
      <c r="G4359" t="s">
        <v>348</v>
      </c>
      <c r="H4359" t="s">
        <v>348</v>
      </c>
      <c r="I4359" t="s">
        <v>743</v>
      </c>
      <c r="J4359" t="s">
        <v>379</v>
      </c>
      <c r="K4359" t="s">
        <v>546</v>
      </c>
      <c r="L4359" s="784" t="s">
        <v>575</v>
      </c>
      <c r="M4359" t="s">
        <v>745</v>
      </c>
      <c r="P4359" t="s">
        <v>1887</v>
      </c>
      <c r="R4359" t="s">
        <v>550</v>
      </c>
      <c r="S4359" t="s">
        <v>146</v>
      </c>
      <c r="U4359">
        <v>0</v>
      </c>
      <c r="V4359" t="s">
        <v>544</v>
      </c>
      <c r="W4359" t="s">
        <v>575</v>
      </c>
      <c r="X4359" s="784">
        <v>3464739907.1604805</v>
      </c>
    </row>
    <row r="4360" spans="1:24">
      <c r="A4360" t="s">
        <v>358</v>
      </c>
      <c r="B4360" t="s">
        <v>588</v>
      </c>
      <c r="C4360" t="s">
        <v>147</v>
      </c>
      <c r="D4360" t="s">
        <v>130</v>
      </c>
      <c r="E4360" t="s">
        <v>377</v>
      </c>
      <c r="F4360" t="s">
        <v>312</v>
      </c>
      <c r="G4360" t="s">
        <v>348</v>
      </c>
      <c r="H4360" t="s">
        <v>348</v>
      </c>
      <c r="I4360" t="s">
        <v>743</v>
      </c>
      <c r="J4360" t="s">
        <v>379</v>
      </c>
      <c r="K4360" t="s">
        <v>546</v>
      </c>
      <c r="L4360" s="784" t="s">
        <v>575</v>
      </c>
      <c r="M4360" t="s">
        <v>745</v>
      </c>
      <c r="P4360" t="s">
        <v>1887</v>
      </c>
      <c r="R4360" t="s">
        <v>152</v>
      </c>
      <c r="S4360" t="s">
        <v>146</v>
      </c>
      <c r="U4360">
        <v>0</v>
      </c>
      <c r="V4360" t="s">
        <v>541</v>
      </c>
      <c r="W4360" t="s">
        <v>575</v>
      </c>
      <c r="X4360" s="784">
        <v>9948521252.2569065</v>
      </c>
    </row>
    <row r="4361" spans="1:24">
      <c r="A4361" t="s">
        <v>358</v>
      </c>
      <c r="B4361" t="s">
        <v>589</v>
      </c>
      <c r="C4361" t="s">
        <v>194</v>
      </c>
      <c r="D4361" t="s">
        <v>131</v>
      </c>
      <c r="E4361" t="s">
        <v>377</v>
      </c>
      <c r="F4361" t="s">
        <v>312</v>
      </c>
      <c r="G4361" t="s">
        <v>348</v>
      </c>
      <c r="H4361" t="s">
        <v>348</v>
      </c>
      <c r="I4361" t="s">
        <v>743</v>
      </c>
      <c r="J4361" t="s">
        <v>379</v>
      </c>
      <c r="K4361" t="s">
        <v>546</v>
      </c>
      <c r="L4361" s="784" t="s">
        <v>575</v>
      </c>
      <c r="M4361" t="s">
        <v>745</v>
      </c>
      <c r="P4361" t="s">
        <v>1887</v>
      </c>
      <c r="R4361" t="s">
        <v>150</v>
      </c>
      <c r="S4361" t="s">
        <v>145</v>
      </c>
      <c r="U4361">
        <v>1</v>
      </c>
      <c r="V4361" t="s">
        <v>544</v>
      </c>
      <c r="W4361" t="s">
        <v>542</v>
      </c>
      <c r="X4361" s="784">
        <v>33679192.765657313</v>
      </c>
    </row>
    <row r="4362" spans="1:24">
      <c r="A4362" t="s">
        <v>358</v>
      </c>
      <c r="B4362" t="s">
        <v>590</v>
      </c>
      <c r="C4362" t="s">
        <v>195</v>
      </c>
      <c r="D4362" t="s">
        <v>130</v>
      </c>
      <c r="E4362" t="s">
        <v>377</v>
      </c>
      <c r="F4362" t="s">
        <v>312</v>
      </c>
      <c r="G4362" t="s">
        <v>348</v>
      </c>
      <c r="H4362" t="s">
        <v>348</v>
      </c>
      <c r="I4362" t="s">
        <v>743</v>
      </c>
      <c r="J4362" t="s">
        <v>379</v>
      </c>
      <c r="K4362" t="s">
        <v>546</v>
      </c>
      <c r="L4362" s="784" t="s">
        <v>575</v>
      </c>
      <c r="M4362" t="s">
        <v>745</v>
      </c>
      <c r="P4362" t="s">
        <v>1887</v>
      </c>
      <c r="R4362" t="s">
        <v>152</v>
      </c>
      <c r="S4362" t="s">
        <v>145</v>
      </c>
      <c r="U4362">
        <v>0</v>
      </c>
      <c r="V4362" t="s">
        <v>541</v>
      </c>
      <c r="W4362" t="s">
        <v>548</v>
      </c>
      <c r="X4362" s="784">
        <v>22784494.365742501</v>
      </c>
    </row>
    <row r="4363" spans="1:24">
      <c r="A4363" t="s">
        <v>358</v>
      </c>
      <c r="B4363" t="s">
        <v>591</v>
      </c>
      <c r="C4363" t="s">
        <v>196</v>
      </c>
      <c r="D4363" t="s">
        <v>130</v>
      </c>
      <c r="E4363" t="s">
        <v>377</v>
      </c>
      <c r="F4363" t="s">
        <v>312</v>
      </c>
      <c r="G4363" t="s">
        <v>348</v>
      </c>
      <c r="H4363" t="s">
        <v>348</v>
      </c>
      <c r="I4363" t="s">
        <v>743</v>
      </c>
      <c r="J4363" t="s">
        <v>379</v>
      </c>
      <c r="K4363" t="s">
        <v>546</v>
      </c>
      <c r="L4363" s="784" t="s">
        <v>575</v>
      </c>
      <c r="M4363" t="s">
        <v>745</v>
      </c>
      <c r="P4363" t="s">
        <v>1887</v>
      </c>
      <c r="R4363" t="s">
        <v>152</v>
      </c>
      <c r="S4363" t="s">
        <v>146</v>
      </c>
      <c r="U4363">
        <v>0</v>
      </c>
      <c r="V4363" t="s">
        <v>541</v>
      </c>
      <c r="W4363" t="s">
        <v>575</v>
      </c>
      <c r="X4363" s="784">
        <v>2173208011.4858823</v>
      </c>
    </row>
    <row r="4364" spans="1:24">
      <c r="A4364" t="s">
        <v>358</v>
      </c>
      <c r="B4364" t="s">
        <v>592</v>
      </c>
      <c r="C4364" t="s">
        <v>197</v>
      </c>
      <c r="D4364" t="s">
        <v>130</v>
      </c>
      <c r="E4364" t="s">
        <v>377</v>
      </c>
      <c r="F4364" t="s">
        <v>312</v>
      </c>
      <c r="G4364" t="s">
        <v>348</v>
      </c>
      <c r="H4364" t="s">
        <v>348</v>
      </c>
      <c r="I4364" t="s">
        <v>743</v>
      </c>
      <c r="J4364" t="s">
        <v>379</v>
      </c>
      <c r="K4364" t="s">
        <v>546</v>
      </c>
      <c r="L4364" s="784" t="s">
        <v>575</v>
      </c>
      <c r="M4364" t="s">
        <v>745</v>
      </c>
      <c r="P4364" t="s">
        <v>1887</v>
      </c>
      <c r="R4364" t="s">
        <v>152</v>
      </c>
      <c r="S4364" t="s">
        <v>146</v>
      </c>
      <c r="U4364">
        <v>0</v>
      </c>
      <c r="V4364" t="s">
        <v>544</v>
      </c>
      <c r="W4364" t="s">
        <v>546</v>
      </c>
      <c r="X4364" s="784">
        <v>4585736158.8323269</v>
      </c>
    </row>
    <row r="4365" spans="1:24">
      <c r="A4365" t="s">
        <v>358</v>
      </c>
      <c r="B4365" t="s">
        <v>593</v>
      </c>
      <c r="C4365" t="s">
        <v>198</v>
      </c>
      <c r="D4365" t="s">
        <v>131</v>
      </c>
      <c r="E4365" t="s">
        <v>377</v>
      </c>
      <c r="F4365" t="s">
        <v>312</v>
      </c>
      <c r="G4365" t="s">
        <v>348</v>
      </c>
      <c r="H4365" t="s">
        <v>348</v>
      </c>
      <c r="I4365" t="s">
        <v>743</v>
      </c>
      <c r="J4365" t="s">
        <v>379</v>
      </c>
      <c r="K4365" t="s">
        <v>546</v>
      </c>
      <c r="L4365" s="784" t="s">
        <v>575</v>
      </c>
      <c r="M4365" t="s">
        <v>745</v>
      </c>
      <c r="P4365" t="s">
        <v>1887</v>
      </c>
      <c r="R4365" t="s">
        <v>150</v>
      </c>
      <c r="S4365" t="s">
        <v>145</v>
      </c>
      <c r="U4365">
        <v>0</v>
      </c>
      <c r="V4365" t="s">
        <v>544</v>
      </c>
      <c r="W4365" t="s">
        <v>546</v>
      </c>
      <c r="X4365" s="784">
        <v>3550291584.8645592</v>
      </c>
    </row>
    <row r="4366" spans="1:24">
      <c r="A4366" t="s">
        <v>358</v>
      </c>
      <c r="B4366" t="s">
        <v>594</v>
      </c>
      <c r="C4366" t="s">
        <v>199</v>
      </c>
      <c r="D4366" t="s">
        <v>130</v>
      </c>
      <c r="E4366" t="s">
        <v>377</v>
      </c>
      <c r="F4366" t="s">
        <v>312</v>
      </c>
      <c r="G4366" t="s">
        <v>348</v>
      </c>
      <c r="H4366" t="s">
        <v>348</v>
      </c>
      <c r="I4366" t="s">
        <v>743</v>
      </c>
      <c r="J4366" t="s">
        <v>379</v>
      </c>
      <c r="K4366" t="s">
        <v>546</v>
      </c>
      <c r="L4366" s="784" t="s">
        <v>575</v>
      </c>
      <c r="M4366" t="s">
        <v>745</v>
      </c>
      <c r="P4366" t="s">
        <v>1887</v>
      </c>
      <c r="R4366" t="s">
        <v>150</v>
      </c>
      <c r="S4366" t="s">
        <v>145</v>
      </c>
      <c r="U4366">
        <v>0</v>
      </c>
      <c r="V4366" t="s">
        <v>544</v>
      </c>
      <c r="W4366" t="s">
        <v>546</v>
      </c>
      <c r="X4366" s="784">
        <v>1182840319.0410969</v>
      </c>
    </row>
    <row r="4367" spans="1:24">
      <c r="A4367" t="s">
        <v>358</v>
      </c>
      <c r="B4367" t="s">
        <v>595</v>
      </c>
      <c r="C4367" t="s">
        <v>200</v>
      </c>
      <c r="D4367" t="s">
        <v>130</v>
      </c>
      <c r="E4367" t="s">
        <v>377</v>
      </c>
      <c r="F4367" t="s">
        <v>312</v>
      </c>
      <c r="G4367" t="s">
        <v>348</v>
      </c>
      <c r="H4367" t="s">
        <v>348</v>
      </c>
      <c r="I4367" t="s">
        <v>743</v>
      </c>
      <c r="J4367" t="s">
        <v>379</v>
      </c>
      <c r="K4367" t="s">
        <v>546</v>
      </c>
      <c r="L4367" s="784" t="s">
        <v>575</v>
      </c>
      <c r="M4367" t="s">
        <v>745</v>
      </c>
      <c r="P4367" t="s">
        <v>1887</v>
      </c>
      <c r="R4367" t="s">
        <v>152</v>
      </c>
      <c r="S4367" t="s">
        <v>146</v>
      </c>
      <c r="U4367">
        <v>0</v>
      </c>
      <c r="V4367" t="s">
        <v>544</v>
      </c>
      <c r="W4367" t="s">
        <v>575</v>
      </c>
      <c r="X4367" s="784">
        <v>81728347.604567245</v>
      </c>
    </row>
    <row r="4368" spans="1:24">
      <c r="A4368" t="s">
        <v>358</v>
      </c>
      <c r="B4368" t="s">
        <v>596</v>
      </c>
      <c r="C4368" t="s">
        <v>201</v>
      </c>
      <c r="D4368" t="s">
        <v>128</v>
      </c>
      <c r="E4368" t="s">
        <v>377</v>
      </c>
      <c r="F4368" t="s">
        <v>312</v>
      </c>
      <c r="G4368" t="s">
        <v>348</v>
      </c>
      <c r="H4368" t="s">
        <v>348</v>
      </c>
      <c r="I4368" t="s">
        <v>743</v>
      </c>
      <c r="J4368" t="s">
        <v>379</v>
      </c>
      <c r="K4368" t="s">
        <v>546</v>
      </c>
      <c r="L4368" s="784" t="s">
        <v>575</v>
      </c>
      <c r="M4368" t="s">
        <v>745</v>
      </c>
      <c r="P4368" t="s">
        <v>1887</v>
      </c>
      <c r="R4368" t="s">
        <v>148</v>
      </c>
      <c r="S4368" t="s">
        <v>145</v>
      </c>
      <c r="U4368">
        <v>2</v>
      </c>
      <c r="V4368" t="s">
        <v>544</v>
      </c>
      <c r="W4368" t="s">
        <v>546</v>
      </c>
      <c r="X4368" s="784">
        <v>12787914.977715338</v>
      </c>
    </row>
    <row r="4369" spans="1:24">
      <c r="A4369" t="s">
        <v>358</v>
      </c>
      <c r="B4369" t="s">
        <v>597</v>
      </c>
      <c r="C4369" t="s">
        <v>202</v>
      </c>
      <c r="D4369" t="s">
        <v>128</v>
      </c>
      <c r="E4369" t="s">
        <v>377</v>
      </c>
      <c r="F4369" t="s">
        <v>312</v>
      </c>
      <c r="G4369" t="s">
        <v>348</v>
      </c>
      <c r="H4369" t="s">
        <v>348</v>
      </c>
      <c r="I4369" t="s">
        <v>743</v>
      </c>
      <c r="J4369" t="s">
        <v>379</v>
      </c>
      <c r="K4369" t="s">
        <v>546</v>
      </c>
      <c r="L4369" s="784" t="s">
        <v>575</v>
      </c>
      <c r="M4369" t="s">
        <v>745</v>
      </c>
      <c r="P4369" t="s">
        <v>1887</v>
      </c>
      <c r="R4369" t="s">
        <v>150</v>
      </c>
      <c r="S4369" t="s">
        <v>145</v>
      </c>
      <c r="U4369">
        <v>2</v>
      </c>
      <c r="V4369" t="s">
        <v>544</v>
      </c>
      <c r="W4369" t="s">
        <v>546</v>
      </c>
      <c r="X4369" s="784">
        <v>101271737.65410839</v>
      </c>
    </row>
    <row r="4370" spans="1:24">
      <c r="A4370" t="s">
        <v>358</v>
      </c>
      <c r="B4370" t="s">
        <v>598</v>
      </c>
      <c r="C4370" t="s">
        <v>203</v>
      </c>
      <c r="D4370" t="s">
        <v>128</v>
      </c>
      <c r="E4370" t="s">
        <v>377</v>
      </c>
      <c r="F4370" t="s">
        <v>312</v>
      </c>
      <c r="G4370" t="s">
        <v>348</v>
      </c>
      <c r="H4370" t="s">
        <v>348</v>
      </c>
      <c r="I4370" t="s">
        <v>743</v>
      </c>
      <c r="J4370" t="s">
        <v>379</v>
      </c>
      <c r="K4370" t="s">
        <v>546</v>
      </c>
      <c r="L4370" s="784">
        <v>3158000</v>
      </c>
      <c r="M4370" t="s">
        <v>745</v>
      </c>
      <c r="P4370" t="s">
        <v>1887</v>
      </c>
      <c r="R4370" t="s">
        <v>148</v>
      </c>
      <c r="S4370" t="s">
        <v>145</v>
      </c>
      <c r="U4370">
        <v>3</v>
      </c>
      <c r="V4370" t="s">
        <v>544</v>
      </c>
      <c r="W4370" t="s">
        <v>542</v>
      </c>
      <c r="X4370" s="784">
        <v>618344226.71759331</v>
      </c>
    </row>
    <row r="4371" spans="1:24">
      <c r="A4371" t="s">
        <v>358</v>
      </c>
      <c r="B4371" t="s">
        <v>599</v>
      </c>
      <c r="C4371" t="s">
        <v>204</v>
      </c>
      <c r="D4371" t="s">
        <v>126</v>
      </c>
      <c r="E4371" t="s">
        <v>377</v>
      </c>
      <c r="F4371" t="s">
        <v>312</v>
      </c>
      <c r="G4371" t="s">
        <v>348</v>
      </c>
      <c r="H4371" t="s">
        <v>348</v>
      </c>
      <c r="I4371" t="s">
        <v>743</v>
      </c>
      <c r="J4371" t="s">
        <v>379</v>
      </c>
      <c r="K4371" t="s">
        <v>546</v>
      </c>
      <c r="L4371" s="784" t="s">
        <v>575</v>
      </c>
      <c r="M4371" t="s">
        <v>745</v>
      </c>
      <c r="P4371" t="s">
        <v>1887</v>
      </c>
      <c r="R4371" t="s">
        <v>152</v>
      </c>
      <c r="S4371" t="s">
        <v>145</v>
      </c>
      <c r="U4371">
        <v>0</v>
      </c>
      <c r="V4371" t="s">
        <v>541</v>
      </c>
      <c r="W4371" t="s">
        <v>548</v>
      </c>
      <c r="X4371" s="784">
        <v>129483872.95906857</v>
      </c>
    </row>
    <row r="4372" spans="1:24">
      <c r="A4372" t="s">
        <v>358</v>
      </c>
      <c r="B4372" t="s">
        <v>600</v>
      </c>
      <c r="C4372" t="s">
        <v>205</v>
      </c>
      <c r="D4372" t="s">
        <v>129</v>
      </c>
      <c r="E4372" t="s">
        <v>377</v>
      </c>
      <c r="F4372" t="s">
        <v>312</v>
      </c>
      <c r="G4372" t="s">
        <v>348</v>
      </c>
      <c r="H4372" t="s">
        <v>348</v>
      </c>
      <c r="I4372" t="s">
        <v>743</v>
      </c>
      <c r="J4372" t="s">
        <v>379</v>
      </c>
      <c r="K4372" t="s">
        <v>546</v>
      </c>
      <c r="L4372" s="784" t="s">
        <v>575</v>
      </c>
      <c r="M4372" t="s">
        <v>745</v>
      </c>
      <c r="P4372" t="s">
        <v>1887</v>
      </c>
      <c r="R4372" t="s">
        <v>152</v>
      </c>
      <c r="S4372" t="s">
        <v>146</v>
      </c>
      <c r="U4372">
        <v>0</v>
      </c>
      <c r="V4372" t="s">
        <v>544</v>
      </c>
      <c r="W4372" t="s">
        <v>546</v>
      </c>
      <c r="X4372" s="784">
        <v>271184658.35014349</v>
      </c>
    </row>
    <row r="4373" spans="1:24">
      <c r="A4373" t="s">
        <v>358</v>
      </c>
      <c r="B4373" t="s">
        <v>601</v>
      </c>
      <c r="C4373" t="s">
        <v>206</v>
      </c>
      <c r="D4373" t="s">
        <v>129</v>
      </c>
      <c r="E4373" t="s">
        <v>377</v>
      </c>
      <c r="F4373" t="s">
        <v>312</v>
      </c>
      <c r="G4373" t="s">
        <v>348</v>
      </c>
      <c r="H4373" t="s">
        <v>348</v>
      </c>
      <c r="I4373" t="s">
        <v>743</v>
      </c>
      <c r="J4373" t="s">
        <v>379</v>
      </c>
      <c r="K4373" t="s">
        <v>546</v>
      </c>
      <c r="L4373" s="784" t="s">
        <v>575</v>
      </c>
      <c r="M4373" t="s">
        <v>745</v>
      </c>
      <c r="P4373" t="s">
        <v>1887</v>
      </c>
      <c r="R4373" t="s">
        <v>148</v>
      </c>
      <c r="S4373" t="s">
        <v>145</v>
      </c>
      <c r="U4373">
        <v>0</v>
      </c>
      <c r="V4373" t="s">
        <v>544</v>
      </c>
      <c r="W4373" t="s">
        <v>542</v>
      </c>
      <c r="X4373" s="784">
        <v>15455265.086884515</v>
      </c>
    </row>
    <row r="4374" spans="1:24">
      <c r="A4374" t="s">
        <v>358</v>
      </c>
      <c r="B4374" t="s">
        <v>602</v>
      </c>
      <c r="C4374" t="s">
        <v>207</v>
      </c>
      <c r="D4374" t="s">
        <v>127</v>
      </c>
      <c r="E4374" t="s">
        <v>377</v>
      </c>
      <c r="F4374" t="s">
        <v>312</v>
      </c>
      <c r="G4374" t="s">
        <v>348</v>
      </c>
      <c r="H4374" t="s">
        <v>348</v>
      </c>
      <c r="I4374" t="s">
        <v>743</v>
      </c>
      <c r="J4374" t="s">
        <v>379</v>
      </c>
      <c r="K4374" t="s">
        <v>546</v>
      </c>
      <c r="L4374" s="784" t="s">
        <v>575</v>
      </c>
      <c r="M4374" t="s">
        <v>745</v>
      </c>
      <c r="P4374" t="s">
        <v>1887</v>
      </c>
      <c r="R4374" t="s">
        <v>152</v>
      </c>
      <c r="S4374" t="s">
        <v>146</v>
      </c>
      <c r="U4374">
        <v>0</v>
      </c>
      <c r="V4374" t="s">
        <v>544</v>
      </c>
      <c r="W4374" t="s">
        <v>546</v>
      </c>
      <c r="X4374" s="784">
        <v>494021502.525527</v>
      </c>
    </row>
    <row r="4375" spans="1:24">
      <c r="A4375" t="s">
        <v>358</v>
      </c>
      <c r="B4375" t="s">
        <v>603</v>
      </c>
      <c r="C4375" t="s">
        <v>208</v>
      </c>
      <c r="D4375" t="s">
        <v>129</v>
      </c>
      <c r="E4375" t="s">
        <v>377</v>
      </c>
      <c r="F4375" t="s">
        <v>312</v>
      </c>
      <c r="G4375" t="s">
        <v>348</v>
      </c>
      <c r="H4375" t="s">
        <v>348</v>
      </c>
      <c r="I4375" t="s">
        <v>743</v>
      </c>
      <c r="J4375" t="s">
        <v>379</v>
      </c>
      <c r="K4375" t="s">
        <v>546</v>
      </c>
      <c r="L4375" s="784">
        <v>223000</v>
      </c>
      <c r="M4375" t="s">
        <v>745</v>
      </c>
      <c r="P4375" t="s">
        <v>1887</v>
      </c>
      <c r="R4375" t="s">
        <v>150</v>
      </c>
      <c r="S4375" t="s">
        <v>145</v>
      </c>
      <c r="U4375">
        <v>0</v>
      </c>
      <c r="V4375" t="s">
        <v>544</v>
      </c>
      <c r="W4375" t="s">
        <v>542</v>
      </c>
      <c r="X4375" s="784">
        <v>902005621.73836684</v>
      </c>
    </row>
    <row r="4376" spans="1:24">
      <c r="A4376" t="s">
        <v>358</v>
      </c>
      <c r="B4376" t="s">
        <v>604</v>
      </c>
      <c r="C4376" t="s">
        <v>209</v>
      </c>
      <c r="D4376" t="s">
        <v>130</v>
      </c>
      <c r="E4376" t="s">
        <v>377</v>
      </c>
      <c r="F4376" t="s">
        <v>312</v>
      </c>
      <c r="G4376" t="s">
        <v>348</v>
      </c>
      <c r="H4376" t="s">
        <v>348</v>
      </c>
      <c r="I4376" t="s">
        <v>743</v>
      </c>
      <c r="J4376" t="s">
        <v>379</v>
      </c>
      <c r="K4376" t="s">
        <v>546</v>
      </c>
      <c r="L4376" s="784" t="s">
        <v>575</v>
      </c>
      <c r="M4376" t="s">
        <v>745</v>
      </c>
      <c r="P4376" t="s">
        <v>1887</v>
      </c>
      <c r="R4376" t="s">
        <v>152</v>
      </c>
      <c r="S4376" t="s">
        <v>145</v>
      </c>
      <c r="U4376">
        <v>0</v>
      </c>
      <c r="V4376" t="s">
        <v>541</v>
      </c>
      <c r="W4376" t="s">
        <v>583</v>
      </c>
      <c r="X4376" s="784">
        <v>20201670.142996579</v>
      </c>
    </row>
    <row r="4377" spans="1:24">
      <c r="A4377" t="s">
        <v>358</v>
      </c>
      <c r="B4377" t="s">
        <v>605</v>
      </c>
      <c r="C4377" t="s">
        <v>210</v>
      </c>
      <c r="D4377" t="s">
        <v>130</v>
      </c>
      <c r="E4377" t="s">
        <v>377</v>
      </c>
      <c r="F4377" t="s">
        <v>312</v>
      </c>
      <c r="G4377" t="s">
        <v>348</v>
      </c>
      <c r="H4377" t="s">
        <v>348</v>
      </c>
      <c r="I4377" t="s">
        <v>743</v>
      </c>
      <c r="J4377" t="s">
        <v>379</v>
      </c>
      <c r="K4377" t="s">
        <v>546</v>
      </c>
      <c r="L4377" s="784" t="s">
        <v>575</v>
      </c>
      <c r="M4377" t="s">
        <v>745</v>
      </c>
      <c r="P4377" t="s">
        <v>1887</v>
      </c>
      <c r="R4377" t="s">
        <v>152</v>
      </c>
      <c r="S4377" t="s">
        <v>146</v>
      </c>
      <c r="U4377">
        <v>0</v>
      </c>
      <c r="V4377" t="s">
        <v>544</v>
      </c>
      <c r="W4377" t="s">
        <v>575</v>
      </c>
      <c r="X4377" s="784">
        <v>1612434649.6948864</v>
      </c>
    </row>
    <row r="4378" spans="1:24">
      <c r="A4378" t="s">
        <v>358</v>
      </c>
      <c r="B4378" t="s">
        <v>606</v>
      </c>
      <c r="C4378" t="s">
        <v>211</v>
      </c>
      <c r="D4378" t="s">
        <v>129</v>
      </c>
      <c r="E4378" t="s">
        <v>377</v>
      </c>
      <c r="F4378" t="s">
        <v>312</v>
      </c>
      <c r="G4378" t="s">
        <v>348</v>
      </c>
      <c r="H4378" t="s">
        <v>348</v>
      </c>
      <c r="I4378" t="s">
        <v>743</v>
      </c>
      <c r="J4378" t="s">
        <v>379</v>
      </c>
      <c r="K4378" t="s">
        <v>546</v>
      </c>
      <c r="L4378" s="784" t="s">
        <v>575</v>
      </c>
      <c r="M4378" t="s">
        <v>745</v>
      </c>
      <c r="P4378" t="s">
        <v>1887</v>
      </c>
      <c r="R4378" t="s">
        <v>148</v>
      </c>
      <c r="S4378" t="s">
        <v>145</v>
      </c>
      <c r="U4378">
        <v>0</v>
      </c>
      <c r="V4378" t="s">
        <v>544</v>
      </c>
      <c r="W4378" t="s">
        <v>562</v>
      </c>
      <c r="X4378" s="784">
        <v>78203134.118229344</v>
      </c>
    </row>
    <row r="4379" spans="1:24">
      <c r="A4379" t="s">
        <v>358</v>
      </c>
      <c r="B4379" t="s">
        <v>607</v>
      </c>
      <c r="C4379" t="s">
        <v>212</v>
      </c>
      <c r="D4379" t="s">
        <v>129</v>
      </c>
      <c r="E4379" t="s">
        <v>377</v>
      </c>
      <c r="F4379" t="s">
        <v>312</v>
      </c>
      <c r="G4379" t="s">
        <v>348</v>
      </c>
      <c r="H4379" t="s">
        <v>348</v>
      </c>
      <c r="I4379" t="s">
        <v>743</v>
      </c>
      <c r="J4379" t="s">
        <v>379</v>
      </c>
      <c r="K4379" t="s">
        <v>546</v>
      </c>
      <c r="L4379" s="784" t="s">
        <v>575</v>
      </c>
      <c r="M4379" t="s">
        <v>745</v>
      </c>
      <c r="P4379" t="s">
        <v>1887</v>
      </c>
      <c r="R4379" t="s">
        <v>148</v>
      </c>
      <c r="S4379" t="s">
        <v>145</v>
      </c>
      <c r="U4379">
        <v>2</v>
      </c>
      <c r="V4379" t="s">
        <v>541</v>
      </c>
      <c r="W4379" t="s">
        <v>542</v>
      </c>
      <c r="X4379" s="784">
        <v>9151637.7411015611</v>
      </c>
    </row>
    <row r="4380" spans="1:24">
      <c r="A4380" t="s">
        <v>358</v>
      </c>
      <c r="B4380" t="s">
        <v>608</v>
      </c>
      <c r="C4380" t="s">
        <v>213</v>
      </c>
      <c r="D4380" t="s">
        <v>130</v>
      </c>
      <c r="E4380" t="s">
        <v>377</v>
      </c>
      <c r="F4380" t="s">
        <v>312</v>
      </c>
      <c r="G4380" t="s">
        <v>348</v>
      </c>
      <c r="H4380" t="s">
        <v>348</v>
      </c>
      <c r="I4380" t="s">
        <v>743</v>
      </c>
      <c r="J4380" t="s">
        <v>379</v>
      </c>
      <c r="K4380" t="s">
        <v>546</v>
      </c>
      <c r="L4380" s="784" t="s">
        <v>575</v>
      </c>
      <c r="M4380" t="s">
        <v>745</v>
      </c>
      <c r="P4380" t="s">
        <v>1887</v>
      </c>
      <c r="R4380" t="s">
        <v>152</v>
      </c>
      <c r="S4380" t="s">
        <v>145</v>
      </c>
      <c r="U4380">
        <v>0</v>
      </c>
      <c r="V4380" t="s">
        <v>541</v>
      </c>
      <c r="W4380" t="s">
        <v>562</v>
      </c>
      <c r="X4380" s="784">
        <v>142455920.02856269</v>
      </c>
    </row>
    <row r="4381" spans="1:24">
      <c r="A4381" t="s">
        <v>358</v>
      </c>
      <c r="B4381" t="s">
        <v>609</v>
      </c>
      <c r="C4381" t="s">
        <v>214</v>
      </c>
      <c r="D4381" t="s">
        <v>130</v>
      </c>
      <c r="E4381" t="s">
        <v>377</v>
      </c>
      <c r="F4381" t="s">
        <v>312</v>
      </c>
      <c r="G4381" t="s">
        <v>348</v>
      </c>
      <c r="H4381" t="s">
        <v>348</v>
      </c>
      <c r="I4381" t="s">
        <v>743</v>
      </c>
      <c r="J4381" t="s">
        <v>379</v>
      </c>
      <c r="K4381" t="s">
        <v>546</v>
      </c>
      <c r="L4381" s="784">
        <v>99000</v>
      </c>
      <c r="M4381" t="s">
        <v>745</v>
      </c>
      <c r="P4381" t="s">
        <v>1887</v>
      </c>
      <c r="R4381" t="s">
        <v>150</v>
      </c>
      <c r="S4381" t="s">
        <v>145</v>
      </c>
      <c r="U4381">
        <v>1</v>
      </c>
      <c r="V4381" t="s">
        <v>541</v>
      </c>
      <c r="W4381" t="s">
        <v>542</v>
      </c>
      <c r="X4381" s="784">
        <v>85611818.171245083</v>
      </c>
    </row>
    <row r="4382" spans="1:24">
      <c r="A4382" t="s">
        <v>358</v>
      </c>
      <c r="B4382" t="s">
        <v>610</v>
      </c>
      <c r="C4382" t="s">
        <v>215</v>
      </c>
      <c r="D4382" t="s">
        <v>130</v>
      </c>
      <c r="E4382" t="s">
        <v>377</v>
      </c>
      <c r="F4382" t="s">
        <v>312</v>
      </c>
      <c r="G4382" t="s">
        <v>348</v>
      </c>
      <c r="H4382" t="s">
        <v>348</v>
      </c>
      <c r="I4382" t="s">
        <v>743</v>
      </c>
      <c r="J4382" t="s">
        <v>379</v>
      </c>
      <c r="K4382" t="s">
        <v>546</v>
      </c>
      <c r="L4382" s="784" t="s">
        <v>575</v>
      </c>
      <c r="M4382" t="s">
        <v>745</v>
      </c>
      <c r="P4382" t="s">
        <v>1887</v>
      </c>
      <c r="R4382" t="s">
        <v>150</v>
      </c>
      <c r="S4382" t="s">
        <v>145</v>
      </c>
      <c r="U4382">
        <v>0</v>
      </c>
      <c r="V4382" t="s">
        <v>544</v>
      </c>
      <c r="W4382" t="s">
        <v>558</v>
      </c>
      <c r="X4382" s="784">
        <v>680289736.30082119</v>
      </c>
    </row>
    <row r="4383" spans="1:24">
      <c r="A4383" t="s">
        <v>358</v>
      </c>
      <c r="B4383" t="s">
        <v>611</v>
      </c>
      <c r="C4383" t="s">
        <v>216</v>
      </c>
      <c r="D4383" t="s">
        <v>132</v>
      </c>
      <c r="E4383" t="s">
        <v>377</v>
      </c>
      <c r="F4383" t="s">
        <v>312</v>
      </c>
      <c r="G4383" t="s">
        <v>348</v>
      </c>
      <c r="H4383" t="s">
        <v>348</v>
      </c>
      <c r="I4383" t="s">
        <v>743</v>
      </c>
      <c r="J4383" t="s">
        <v>379</v>
      </c>
      <c r="K4383" t="s">
        <v>546</v>
      </c>
      <c r="L4383" s="784">
        <v>81000</v>
      </c>
      <c r="M4383" t="s">
        <v>745</v>
      </c>
      <c r="P4383" t="s">
        <v>1887</v>
      </c>
      <c r="R4383" t="s">
        <v>150</v>
      </c>
      <c r="S4383" t="s">
        <v>145</v>
      </c>
      <c r="U4383">
        <v>0</v>
      </c>
      <c r="V4383" t="s">
        <v>544</v>
      </c>
      <c r="W4383" t="s">
        <v>546</v>
      </c>
      <c r="X4383" s="784">
        <v>26554332750.47023</v>
      </c>
    </row>
    <row r="4384" spans="1:24">
      <c r="A4384" t="s">
        <v>358</v>
      </c>
      <c r="B4384" t="s">
        <v>612</v>
      </c>
      <c r="C4384" t="s">
        <v>217</v>
      </c>
      <c r="D4384" t="s">
        <v>126</v>
      </c>
      <c r="E4384" t="s">
        <v>377</v>
      </c>
      <c r="F4384" t="s">
        <v>312</v>
      </c>
      <c r="G4384" t="s">
        <v>348</v>
      </c>
      <c r="H4384" t="s">
        <v>348</v>
      </c>
      <c r="I4384" t="s">
        <v>743</v>
      </c>
      <c r="J4384" t="s">
        <v>379</v>
      </c>
      <c r="K4384" t="s">
        <v>546</v>
      </c>
      <c r="L4384" s="784" t="s">
        <v>575</v>
      </c>
      <c r="M4384" t="s">
        <v>745</v>
      </c>
      <c r="P4384" t="s">
        <v>1887</v>
      </c>
      <c r="R4384" t="s">
        <v>150</v>
      </c>
      <c r="S4384" t="s">
        <v>145</v>
      </c>
      <c r="U4384">
        <v>0</v>
      </c>
      <c r="V4384" t="s">
        <v>544</v>
      </c>
      <c r="W4384" t="s">
        <v>546</v>
      </c>
      <c r="X4384" s="784">
        <v>14745961064.890842</v>
      </c>
    </row>
    <row r="4385" spans="1:24">
      <c r="A4385" t="s">
        <v>358</v>
      </c>
      <c r="B4385" t="s">
        <v>613</v>
      </c>
      <c r="C4385" t="s">
        <v>149</v>
      </c>
      <c r="D4385" t="s">
        <v>131</v>
      </c>
      <c r="E4385" t="s">
        <v>377</v>
      </c>
      <c r="F4385" t="s">
        <v>312</v>
      </c>
      <c r="G4385" t="s">
        <v>348</v>
      </c>
      <c r="H4385" t="s">
        <v>348</v>
      </c>
      <c r="I4385" t="s">
        <v>743</v>
      </c>
      <c r="J4385" t="s">
        <v>379</v>
      </c>
      <c r="K4385" t="s">
        <v>546</v>
      </c>
      <c r="L4385" s="784" t="s">
        <v>575</v>
      </c>
      <c r="M4385" t="s">
        <v>745</v>
      </c>
      <c r="P4385" t="s">
        <v>1887</v>
      </c>
      <c r="R4385" t="s">
        <v>150</v>
      </c>
      <c r="S4385" t="s">
        <v>146</v>
      </c>
      <c r="U4385">
        <v>0</v>
      </c>
      <c r="V4385" t="s">
        <v>544</v>
      </c>
      <c r="W4385" t="s">
        <v>546</v>
      </c>
      <c r="X4385" s="784">
        <v>18194076299.786381</v>
      </c>
    </row>
    <row r="4386" spans="1:24">
      <c r="A4386" t="s">
        <v>358</v>
      </c>
      <c r="B4386" t="s">
        <v>614</v>
      </c>
      <c r="C4386" t="s">
        <v>218</v>
      </c>
      <c r="D4386" t="s">
        <v>131</v>
      </c>
      <c r="E4386" t="s">
        <v>377</v>
      </c>
      <c r="F4386" t="s">
        <v>312</v>
      </c>
      <c r="G4386" t="s">
        <v>348</v>
      </c>
      <c r="H4386" t="s">
        <v>348</v>
      </c>
      <c r="I4386" t="s">
        <v>743</v>
      </c>
      <c r="J4386" t="s">
        <v>379</v>
      </c>
      <c r="K4386" t="s">
        <v>546</v>
      </c>
      <c r="L4386" s="784" t="s">
        <v>575</v>
      </c>
      <c r="M4386" t="s">
        <v>745</v>
      </c>
      <c r="P4386" t="s">
        <v>1887</v>
      </c>
      <c r="R4386" t="s">
        <v>152</v>
      </c>
      <c r="S4386" t="s">
        <v>146</v>
      </c>
      <c r="U4386">
        <v>0</v>
      </c>
      <c r="V4386" t="s">
        <v>544</v>
      </c>
      <c r="W4386" t="s">
        <v>546</v>
      </c>
      <c r="X4386" s="784">
        <v>4428819387.769825</v>
      </c>
    </row>
    <row r="4387" spans="1:24">
      <c r="A4387" t="s">
        <v>358</v>
      </c>
      <c r="B4387" t="s">
        <v>615</v>
      </c>
      <c r="C4387" t="s">
        <v>219</v>
      </c>
      <c r="D4387" t="s">
        <v>130</v>
      </c>
      <c r="E4387" t="s">
        <v>377</v>
      </c>
      <c r="F4387" t="s">
        <v>312</v>
      </c>
      <c r="G4387" t="s">
        <v>348</v>
      </c>
      <c r="H4387" t="s">
        <v>348</v>
      </c>
      <c r="I4387" t="s">
        <v>743</v>
      </c>
      <c r="J4387" t="s">
        <v>379</v>
      </c>
      <c r="K4387" t="s">
        <v>546</v>
      </c>
      <c r="L4387" s="784" t="s">
        <v>575</v>
      </c>
      <c r="M4387" t="s">
        <v>745</v>
      </c>
      <c r="P4387" t="s">
        <v>1887</v>
      </c>
      <c r="R4387" t="s">
        <v>152</v>
      </c>
      <c r="S4387" t="s">
        <v>146</v>
      </c>
      <c r="U4387">
        <v>0</v>
      </c>
      <c r="V4387" t="s">
        <v>541</v>
      </c>
      <c r="W4387" t="s">
        <v>575</v>
      </c>
      <c r="X4387" s="784">
        <v>611739560.62679195</v>
      </c>
    </row>
    <row r="4388" spans="1:24">
      <c r="A4388" t="s">
        <v>358</v>
      </c>
      <c r="B4388" t="s">
        <v>616</v>
      </c>
      <c r="C4388" t="s">
        <v>220</v>
      </c>
      <c r="D4388" t="s">
        <v>131</v>
      </c>
      <c r="E4388" t="s">
        <v>377</v>
      </c>
      <c r="F4388" t="s">
        <v>312</v>
      </c>
      <c r="G4388" t="s">
        <v>348</v>
      </c>
      <c r="H4388" t="s">
        <v>348</v>
      </c>
      <c r="I4388" t="s">
        <v>743</v>
      </c>
      <c r="J4388" t="s">
        <v>379</v>
      </c>
      <c r="K4388" t="s">
        <v>546</v>
      </c>
      <c r="L4388" s="784" t="s">
        <v>575</v>
      </c>
      <c r="M4388" t="s">
        <v>745</v>
      </c>
      <c r="P4388" t="s">
        <v>1887</v>
      </c>
      <c r="R4388" t="s">
        <v>152</v>
      </c>
      <c r="S4388" t="s">
        <v>146</v>
      </c>
      <c r="U4388">
        <v>0</v>
      </c>
      <c r="V4388" t="s">
        <v>544</v>
      </c>
      <c r="W4388" t="s">
        <v>546</v>
      </c>
      <c r="X4388" s="784">
        <v>1617913383.0481031</v>
      </c>
    </row>
    <row r="4389" spans="1:24">
      <c r="A4389" t="s">
        <v>358</v>
      </c>
      <c r="B4389" t="s">
        <v>617</v>
      </c>
      <c r="C4389" t="s">
        <v>221</v>
      </c>
      <c r="D4389" t="s">
        <v>127</v>
      </c>
      <c r="E4389" t="s">
        <v>377</v>
      </c>
      <c r="F4389" t="s">
        <v>312</v>
      </c>
      <c r="G4389" t="s">
        <v>348</v>
      </c>
      <c r="H4389" t="s">
        <v>348</v>
      </c>
      <c r="I4389" t="s">
        <v>743</v>
      </c>
      <c r="J4389" t="s">
        <v>379</v>
      </c>
      <c r="K4389" t="s">
        <v>546</v>
      </c>
      <c r="L4389" s="784" t="s">
        <v>575</v>
      </c>
      <c r="M4389" t="s">
        <v>745</v>
      </c>
      <c r="P4389" t="s">
        <v>1887</v>
      </c>
      <c r="R4389" t="s">
        <v>152</v>
      </c>
      <c r="S4389" t="s">
        <v>146</v>
      </c>
      <c r="U4389">
        <v>0</v>
      </c>
      <c r="V4389" t="s">
        <v>544</v>
      </c>
      <c r="W4389" t="s">
        <v>575</v>
      </c>
      <c r="X4389" s="784">
        <v>3074419112.4562683</v>
      </c>
    </row>
    <row r="4390" spans="1:24">
      <c r="A4390" t="s">
        <v>358</v>
      </c>
      <c r="B4390" t="s">
        <v>618</v>
      </c>
      <c r="C4390" t="s">
        <v>222</v>
      </c>
      <c r="D4390" t="s">
        <v>128</v>
      </c>
      <c r="E4390" t="s">
        <v>377</v>
      </c>
      <c r="F4390" t="s">
        <v>312</v>
      </c>
      <c r="G4390" t="s">
        <v>348</v>
      </c>
      <c r="H4390" t="s">
        <v>348</v>
      </c>
      <c r="I4390" t="s">
        <v>743</v>
      </c>
      <c r="J4390" t="s">
        <v>379</v>
      </c>
      <c r="K4390" t="s">
        <v>546</v>
      </c>
      <c r="L4390" s="784">
        <v>2702000</v>
      </c>
      <c r="M4390" t="s">
        <v>745</v>
      </c>
      <c r="P4390" t="s">
        <v>1887</v>
      </c>
      <c r="R4390" t="s">
        <v>150</v>
      </c>
      <c r="S4390" t="s">
        <v>145</v>
      </c>
      <c r="U4390">
        <v>0</v>
      </c>
      <c r="V4390" t="s">
        <v>544</v>
      </c>
      <c r="W4390" t="s">
        <v>542</v>
      </c>
      <c r="X4390" s="784">
        <v>1914014279.8929913</v>
      </c>
    </row>
    <row r="4391" spans="1:24">
      <c r="A4391" t="s">
        <v>358</v>
      </c>
      <c r="B4391" t="s">
        <v>619</v>
      </c>
      <c r="C4391" t="s">
        <v>223</v>
      </c>
      <c r="D4391" t="s">
        <v>126</v>
      </c>
      <c r="E4391" t="s">
        <v>377</v>
      </c>
      <c r="F4391" t="s">
        <v>312</v>
      </c>
      <c r="G4391" t="s">
        <v>348</v>
      </c>
      <c r="H4391" t="s">
        <v>348</v>
      </c>
      <c r="I4391" t="s">
        <v>743</v>
      </c>
      <c r="J4391" t="s">
        <v>379</v>
      </c>
      <c r="K4391" t="s">
        <v>546</v>
      </c>
      <c r="L4391" s="784">
        <v>99000</v>
      </c>
      <c r="M4391" t="s">
        <v>745</v>
      </c>
      <c r="P4391" t="s">
        <v>1887</v>
      </c>
      <c r="R4391" t="s">
        <v>150</v>
      </c>
      <c r="S4391" t="s">
        <v>145</v>
      </c>
      <c r="U4391">
        <v>0</v>
      </c>
      <c r="V4391" t="s">
        <v>541</v>
      </c>
      <c r="W4391" t="s">
        <v>542</v>
      </c>
      <c r="X4391" s="784">
        <v>17422005.762907442</v>
      </c>
    </row>
    <row r="4392" spans="1:24">
      <c r="A4392" t="s">
        <v>358</v>
      </c>
      <c r="B4392" t="s">
        <v>620</v>
      </c>
      <c r="C4392" t="s">
        <v>224</v>
      </c>
      <c r="D4392" t="s">
        <v>126</v>
      </c>
      <c r="E4392" t="s">
        <v>377</v>
      </c>
      <c r="F4392" t="s">
        <v>312</v>
      </c>
      <c r="G4392" t="s">
        <v>348</v>
      </c>
      <c r="H4392" t="s">
        <v>348</v>
      </c>
      <c r="I4392" t="s">
        <v>743</v>
      </c>
      <c r="J4392" t="s">
        <v>379</v>
      </c>
      <c r="K4392" t="s">
        <v>546</v>
      </c>
      <c r="L4392" s="784" t="s">
        <v>575</v>
      </c>
      <c r="M4392" t="s">
        <v>745</v>
      </c>
      <c r="P4392" t="s">
        <v>1887</v>
      </c>
      <c r="R4392" t="s">
        <v>148</v>
      </c>
      <c r="S4392" t="s">
        <v>145</v>
      </c>
      <c r="U4392">
        <v>0</v>
      </c>
      <c r="V4392" t="s">
        <v>544</v>
      </c>
      <c r="W4392" t="s">
        <v>546</v>
      </c>
      <c r="X4392" s="784" t="s">
        <v>575</v>
      </c>
    </row>
    <row r="4393" spans="1:24">
      <c r="A4393" t="s">
        <v>358</v>
      </c>
      <c r="B4393" t="s">
        <v>621</v>
      </c>
      <c r="C4393" t="s">
        <v>225</v>
      </c>
      <c r="D4393" t="s">
        <v>127</v>
      </c>
      <c r="E4393" t="s">
        <v>377</v>
      </c>
      <c r="F4393" t="s">
        <v>312</v>
      </c>
      <c r="G4393" t="s">
        <v>348</v>
      </c>
      <c r="H4393" t="s">
        <v>348</v>
      </c>
      <c r="I4393" t="s">
        <v>743</v>
      </c>
      <c r="J4393" t="s">
        <v>379</v>
      </c>
      <c r="K4393" t="s">
        <v>546</v>
      </c>
      <c r="L4393" s="784" t="s">
        <v>575</v>
      </c>
      <c r="M4393" t="s">
        <v>745</v>
      </c>
      <c r="P4393" t="s">
        <v>1887</v>
      </c>
      <c r="R4393" t="s">
        <v>152</v>
      </c>
      <c r="S4393" t="s">
        <v>145</v>
      </c>
      <c r="U4393">
        <v>0</v>
      </c>
      <c r="V4393" t="s">
        <v>544</v>
      </c>
      <c r="W4393" t="s">
        <v>548</v>
      </c>
      <c r="X4393" s="784" t="s">
        <v>575</v>
      </c>
    </row>
    <row r="4394" spans="1:24">
      <c r="A4394" t="s">
        <v>358</v>
      </c>
      <c r="B4394" t="s">
        <v>622</v>
      </c>
      <c r="C4394" t="s">
        <v>226</v>
      </c>
      <c r="D4394" t="s">
        <v>127</v>
      </c>
      <c r="E4394" t="s">
        <v>377</v>
      </c>
      <c r="F4394" t="s">
        <v>312</v>
      </c>
      <c r="G4394" t="s">
        <v>348</v>
      </c>
      <c r="H4394" t="s">
        <v>348</v>
      </c>
      <c r="I4394" t="s">
        <v>743</v>
      </c>
      <c r="J4394" t="s">
        <v>379</v>
      </c>
      <c r="K4394" t="s">
        <v>546</v>
      </c>
      <c r="L4394" s="784" t="s">
        <v>575</v>
      </c>
      <c r="M4394" t="s">
        <v>745</v>
      </c>
      <c r="P4394" t="s">
        <v>1887</v>
      </c>
      <c r="R4394" t="s">
        <v>150</v>
      </c>
      <c r="S4394" t="s">
        <v>145</v>
      </c>
      <c r="U4394">
        <v>2</v>
      </c>
      <c r="V4394" t="s">
        <v>544</v>
      </c>
      <c r="W4394" t="s">
        <v>562</v>
      </c>
      <c r="X4394" s="784">
        <v>231506834.84347546</v>
      </c>
    </row>
    <row r="4395" spans="1:24">
      <c r="A4395" t="s">
        <v>358</v>
      </c>
      <c r="B4395" t="s">
        <v>623</v>
      </c>
      <c r="C4395" t="s">
        <v>227</v>
      </c>
      <c r="D4395" t="s">
        <v>126</v>
      </c>
      <c r="E4395" t="s">
        <v>377</v>
      </c>
      <c r="F4395" t="s">
        <v>312</v>
      </c>
      <c r="G4395" t="s">
        <v>348</v>
      </c>
      <c r="H4395" t="s">
        <v>348</v>
      </c>
      <c r="I4395" t="s">
        <v>743</v>
      </c>
      <c r="J4395" t="s">
        <v>379</v>
      </c>
      <c r="K4395" t="s">
        <v>546</v>
      </c>
      <c r="L4395" s="784">
        <v>248000</v>
      </c>
      <c r="M4395" t="s">
        <v>745</v>
      </c>
      <c r="P4395" t="s">
        <v>1887</v>
      </c>
      <c r="R4395" t="s">
        <v>150</v>
      </c>
      <c r="S4395" t="s">
        <v>145</v>
      </c>
      <c r="U4395">
        <v>0</v>
      </c>
      <c r="V4395" t="s">
        <v>544</v>
      </c>
      <c r="W4395" t="s">
        <v>542</v>
      </c>
      <c r="X4395" s="784">
        <v>156059428.62944782</v>
      </c>
    </row>
    <row r="4396" spans="1:24">
      <c r="A4396" t="s">
        <v>358</v>
      </c>
      <c r="B4396" t="s">
        <v>624</v>
      </c>
      <c r="C4396" t="s">
        <v>228</v>
      </c>
      <c r="D4396" t="s">
        <v>131</v>
      </c>
      <c r="E4396" t="s">
        <v>377</v>
      </c>
      <c r="F4396" t="s">
        <v>312</v>
      </c>
      <c r="G4396" t="s">
        <v>348</v>
      </c>
      <c r="H4396" t="s">
        <v>348</v>
      </c>
      <c r="I4396" t="s">
        <v>743</v>
      </c>
      <c r="J4396" t="s">
        <v>379</v>
      </c>
      <c r="K4396" t="s">
        <v>546</v>
      </c>
      <c r="L4396" s="784" t="s">
        <v>575</v>
      </c>
      <c r="M4396" t="s">
        <v>745</v>
      </c>
      <c r="P4396" t="s">
        <v>1887</v>
      </c>
      <c r="R4396" t="s">
        <v>152</v>
      </c>
      <c r="S4396" t="s">
        <v>146</v>
      </c>
      <c r="U4396">
        <v>0</v>
      </c>
      <c r="V4396" t="s">
        <v>544</v>
      </c>
      <c r="W4396" t="s">
        <v>546</v>
      </c>
      <c r="X4396" s="784">
        <v>2355391507.1635861</v>
      </c>
    </row>
    <row r="4397" spans="1:24">
      <c r="A4397" t="s">
        <v>358</v>
      </c>
      <c r="B4397" t="s">
        <v>625</v>
      </c>
      <c r="C4397" t="s">
        <v>229</v>
      </c>
      <c r="D4397" t="s">
        <v>128</v>
      </c>
      <c r="E4397" t="s">
        <v>377</v>
      </c>
      <c r="F4397" t="s">
        <v>312</v>
      </c>
      <c r="G4397" t="s">
        <v>348</v>
      </c>
      <c r="H4397" t="s">
        <v>348</v>
      </c>
      <c r="I4397" t="s">
        <v>743</v>
      </c>
      <c r="J4397" t="s">
        <v>379</v>
      </c>
      <c r="K4397" t="s">
        <v>546</v>
      </c>
      <c r="L4397" s="784" t="s">
        <v>575</v>
      </c>
      <c r="M4397" t="s">
        <v>745</v>
      </c>
      <c r="P4397" t="s">
        <v>1887</v>
      </c>
      <c r="R4397" t="s">
        <v>150</v>
      </c>
      <c r="S4397" t="s">
        <v>145</v>
      </c>
      <c r="U4397">
        <v>0</v>
      </c>
      <c r="V4397" t="s">
        <v>544</v>
      </c>
      <c r="W4397" t="s">
        <v>562</v>
      </c>
      <c r="X4397" s="784">
        <v>152760919.7684873</v>
      </c>
    </row>
    <row r="4398" spans="1:24">
      <c r="A4398" t="s">
        <v>358</v>
      </c>
      <c r="B4398" t="s">
        <v>626</v>
      </c>
      <c r="C4398" t="s">
        <v>230</v>
      </c>
      <c r="D4398" t="s">
        <v>129</v>
      </c>
      <c r="E4398" t="s">
        <v>377</v>
      </c>
      <c r="F4398" t="s">
        <v>312</v>
      </c>
      <c r="G4398" t="s">
        <v>348</v>
      </c>
      <c r="H4398" t="s">
        <v>348</v>
      </c>
      <c r="I4398" t="s">
        <v>743</v>
      </c>
      <c r="J4398" t="s">
        <v>379</v>
      </c>
      <c r="K4398" t="s">
        <v>546</v>
      </c>
      <c r="L4398" s="784" t="s">
        <v>575</v>
      </c>
      <c r="M4398" t="s">
        <v>745</v>
      </c>
      <c r="P4398" t="s">
        <v>1887</v>
      </c>
      <c r="R4398" t="s">
        <v>148</v>
      </c>
      <c r="S4398" t="s">
        <v>145</v>
      </c>
      <c r="U4398">
        <v>0</v>
      </c>
      <c r="V4398" t="s">
        <v>544</v>
      </c>
      <c r="W4398" t="s">
        <v>542</v>
      </c>
      <c r="X4398" s="784">
        <v>55072006.864440605</v>
      </c>
    </row>
    <row r="4399" spans="1:24">
      <c r="A4399" t="s">
        <v>358</v>
      </c>
      <c r="B4399" t="s">
        <v>627</v>
      </c>
      <c r="C4399" t="s">
        <v>231</v>
      </c>
      <c r="D4399" t="s">
        <v>131</v>
      </c>
      <c r="E4399" t="s">
        <v>377</v>
      </c>
      <c r="F4399" t="s">
        <v>312</v>
      </c>
      <c r="G4399" t="s">
        <v>348</v>
      </c>
      <c r="H4399" t="s">
        <v>348</v>
      </c>
      <c r="I4399" t="s">
        <v>743</v>
      </c>
      <c r="J4399" t="s">
        <v>379</v>
      </c>
      <c r="K4399" t="s">
        <v>546</v>
      </c>
      <c r="L4399" s="784" t="s">
        <v>575</v>
      </c>
      <c r="M4399" t="s">
        <v>745</v>
      </c>
      <c r="P4399" t="s">
        <v>1887</v>
      </c>
      <c r="R4399" t="s">
        <v>152</v>
      </c>
      <c r="S4399" t="s">
        <v>146</v>
      </c>
      <c r="U4399">
        <v>0</v>
      </c>
      <c r="V4399" t="s">
        <v>544</v>
      </c>
      <c r="W4399" t="s">
        <v>546</v>
      </c>
      <c r="X4399" s="784" t="s">
        <v>575</v>
      </c>
    </row>
    <row r="4400" spans="1:24">
      <c r="A4400" t="s">
        <v>358</v>
      </c>
      <c r="B4400" t="s">
        <v>628</v>
      </c>
      <c r="C4400" t="s">
        <v>232</v>
      </c>
      <c r="D4400" t="s">
        <v>128</v>
      </c>
      <c r="E4400" t="s">
        <v>377</v>
      </c>
      <c r="F4400" t="s">
        <v>312</v>
      </c>
      <c r="G4400" t="s">
        <v>348</v>
      </c>
      <c r="H4400" t="s">
        <v>348</v>
      </c>
      <c r="I4400" t="s">
        <v>743</v>
      </c>
      <c r="J4400" t="s">
        <v>379</v>
      </c>
      <c r="K4400" t="s">
        <v>546</v>
      </c>
      <c r="L4400" s="784" t="s">
        <v>575</v>
      </c>
      <c r="M4400" t="s">
        <v>745</v>
      </c>
      <c r="P4400" t="s">
        <v>1887</v>
      </c>
      <c r="R4400" t="s">
        <v>148</v>
      </c>
      <c r="S4400" t="s">
        <v>145</v>
      </c>
      <c r="U4400">
        <v>2</v>
      </c>
      <c r="V4400" t="s">
        <v>544</v>
      </c>
      <c r="W4400" t="s">
        <v>562</v>
      </c>
      <c r="X4400" s="784">
        <v>206914157.05429548</v>
      </c>
    </row>
    <row r="4401" spans="1:24">
      <c r="A4401" t="s">
        <v>358</v>
      </c>
      <c r="B4401" t="s">
        <v>629</v>
      </c>
      <c r="C4401" t="s">
        <v>233</v>
      </c>
      <c r="D4401" t="s">
        <v>128</v>
      </c>
      <c r="E4401" t="s">
        <v>377</v>
      </c>
      <c r="F4401" t="s">
        <v>312</v>
      </c>
      <c r="G4401" t="s">
        <v>348</v>
      </c>
      <c r="H4401" t="s">
        <v>348</v>
      </c>
      <c r="I4401" t="s">
        <v>743</v>
      </c>
      <c r="J4401" t="s">
        <v>379</v>
      </c>
      <c r="K4401" t="s">
        <v>546</v>
      </c>
      <c r="L4401" s="784" t="s">
        <v>575</v>
      </c>
      <c r="M4401" t="s">
        <v>745</v>
      </c>
      <c r="P4401" t="s">
        <v>1887</v>
      </c>
      <c r="R4401" t="s">
        <v>148</v>
      </c>
      <c r="S4401" t="s">
        <v>145</v>
      </c>
      <c r="U4401">
        <v>2</v>
      </c>
      <c r="V4401" t="s">
        <v>544</v>
      </c>
      <c r="W4401" t="s">
        <v>542</v>
      </c>
      <c r="X4401" s="784">
        <v>185999915.02066413</v>
      </c>
    </row>
    <row r="4402" spans="1:24">
      <c r="A4402" t="s">
        <v>358</v>
      </c>
      <c r="B4402" t="s">
        <v>630</v>
      </c>
      <c r="C4402" t="s">
        <v>234</v>
      </c>
      <c r="D4402" t="s">
        <v>126</v>
      </c>
      <c r="E4402" t="s">
        <v>377</v>
      </c>
      <c r="F4402" t="s">
        <v>312</v>
      </c>
      <c r="G4402" t="s">
        <v>348</v>
      </c>
      <c r="H4402" t="s">
        <v>348</v>
      </c>
      <c r="I4402" t="s">
        <v>743</v>
      </c>
      <c r="J4402" t="s">
        <v>379</v>
      </c>
      <c r="K4402" t="s">
        <v>546</v>
      </c>
      <c r="L4402" s="784" t="s">
        <v>575</v>
      </c>
      <c r="M4402" t="s">
        <v>745</v>
      </c>
      <c r="P4402" t="s">
        <v>1887</v>
      </c>
      <c r="R4402" t="s">
        <v>152</v>
      </c>
      <c r="S4402" t="s">
        <v>146</v>
      </c>
      <c r="U4402">
        <v>0</v>
      </c>
      <c r="V4402" t="s">
        <v>544</v>
      </c>
      <c r="W4402" t="s">
        <v>575</v>
      </c>
      <c r="X4402" s="784">
        <v>6893755763.2501726</v>
      </c>
    </row>
    <row r="4403" spans="1:24">
      <c r="A4403" t="s">
        <v>358</v>
      </c>
      <c r="B4403" t="s">
        <v>631</v>
      </c>
      <c r="C4403" t="s">
        <v>235</v>
      </c>
      <c r="D4403" t="s">
        <v>132</v>
      </c>
      <c r="E4403" t="s">
        <v>377</v>
      </c>
      <c r="F4403" t="s">
        <v>312</v>
      </c>
      <c r="G4403" t="s">
        <v>348</v>
      </c>
      <c r="H4403" t="s">
        <v>348</v>
      </c>
      <c r="I4403" t="s">
        <v>743</v>
      </c>
      <c r="J4403" t="s">
        <v>379</v>
      </c>
      <c r="K4403" t="s">
        <v>546</v>
      </c>
      <c r="L4403" s="784" t="s">
        <v>575</v>
      </c>
      <c r="M4403" t="s">
        <v>745</v>
      </c>
      <c r="P4403" t="s">
        <v>1887</v>
      </c>
      <c r="R4403" t="s">
        <v>152</v>
      </c>
      <c r="S4403" t="s">
        <v>145</v>
      </c>
      <c r="U4403">
        <v>0</v>
      </c>
      <c r="V4403" t="s">
        <v>541</v>
      </c>
      <c r="W4403" t="s">
        <v>542</v>
      </c>
      <c r="X4403" s="784">
        <v>354560231.58276606</v>
      </c>
    </row>
    <row r="4404" spans="1:24">
      <c r="A4404" t="s">
        <v>358</v>
      </c>
      <c r="B4404" t="s">
        <v>632</v>
      </c>
      <c r="C4404" t="s">
        <v>236</v>
      </c>
      <c r="D4404" t="s">
        <v>129</v>
      </c>
      <c r="E4404" t="s">
        <v>377</v>
      </c>
      <c r="F4404" t="s">
        <v>312</v>
      </c>
      <c r="G4404" t="s">
        <v>348</v>
      </c>
      <c r="H4404" t="s">
        <v>348</v>
      </c>
      <c r="I4404" t="s">
        <v>743</v>
      </c>
      <c r="J4404" t="s">
        <v>379</v>
      </c>
      <c r="K4404" t="s">
        <v>546</v>
      </c>
      <c r="L4404" s="784" t="s">
        <v>575</v>
      </c>
      <c r="M4404" t="s">
        <v>745</v>
      </c>
      <c r="P4404" t="s">
        <v>1887</v>
      </c>
      <c r="R4404" t="s">
        <v>148</v>
      </c>
      <c r="S4404" t="s">
        <v>145</v>
      </c>
      <c r="U4404">
        <v>1</v>
      </c>
      <c r="V4404" t="s">
        <v>544</v>
      </c>
      <c r="W4404" t="s">
        <v>562</v>
      </c>
      <c r="X4404" s="784">
        <v>188169167.56540567</v>
      </c>
    </row>
    <row r="4405" spans="1:24">
      <c r="A4405" t="s">
        <v>358</v>
      </c>
      <c r="B4405" t="s">
        <v>633</v>
      </c>
      <c r="C4405" t="s">
        <v>237</v>
      </c>
      <c r="D4405" t="s">
        <v>126</v>
      </c>
      <c r="E4405" t="s">
        <v>377</v>
      </c>
      <c r="F4405" t="s">
        <v>312</v>
      </c>
      <c r="G4405" t="s">
        <v>348</v>
      </c>
      <c r="H4405" t="s">
        <v>348</v>
      </c>
      <c r="I4405" t="s">
        <v>743</v>
      </c>
      <c r="J4405" t="s">
        <v>379</v>
      </c>
      <c r="K4405" t="s">
        <v>546</v>
      </c>
      <c r="L4405" s="784" t="s">
        <v>575</v>
      </c>
      <c r="M4405" t="s">
        <v>745</v>
      </c>
      <c r="P4405" t="s">
        <v>1887</v>
      </c>
      <c r="R4405" t="s">
        <v>152</v>
      </c>
      <c r="S4405" t="s">
        <v>145</v>
      </c>
      <c r="U4405">
        <v>0</v>
      </c>
      <c r="V4405" t="s">
        <v>541</v>
      </c>
      <c r="W4405" t="s">
        <v>575</v>
      </c>
      <c r="X4405" s="784">
        <v>16312106.556340856</v>
      </c>
    </row>
    <row r="4406" spans="1:24">
      <c r="A4406" t="s">
        <v>358</v>
      </c>
      <c r="B4406" t="s">
        <v>634</v>
      </c>
      <c r="C4406" t="s">
        <v>238</v>
      </c>
      <c r="D4406" t="s">
        <v>129</v>
      </c>
      <c r="E4406" t="s">
        <v>377</v>
      </c>
      <c r="F4406" t="s">
        <v>312</v>
      </c>
      <c r="G4406" t="s">
        <v>348</v>
      </c>
      <c r="H4406" t="s">
        <v>348</v>
      </c>
      <c r="I4406" t="s">
        <v>743</v>
      </c>
      <c r="J4406" t="s">
        <v>379</v>
      </c>
      <c r="K4406" t="s">
        <v>546</v>
      </c>
      <c r="L4406" s="784" t="s">
        <v>575</v>
      </c>
      <c r="M4406" t="s">
        <v>745</v>
      </c>
      <c r="P4406" t="s">
        <v>1887</v>
      </c>
      <c r="R4406" t="s">
        <v>150</v>
      </c>
      <c r="S4406" t="s">
        <v>145</v>
      </c>
      <c r="U4406">
        <v>2</v>
      </c>
      <c r="V4406" t="s">
        <v>544</v>
      </c>
      <c r="W4406" t="s">
        <v>542</v>
      </c>
      <c r="X4406" s="784">
        <v>86083833.534053758</v>
      </c>
    </row>
    <row r="4407" spans="1:24">
      <c r="A4407" t="s">
        <v>358</v>
      </c>
      <c r="B4407" t="s">
        <v>635</v>
      </c>
      <c r="C4407" t="s">
        <v>239</v>
      </c>
      <c r="D4407" t="s">
        <v>128</v>
      </c>
      <c r="E4407" t="s">
        <v>377</v>
      </c>
      <c r="F4407" t="s">
        <v>312</v>
      </c>
      <c r="G4407" t="s">
        <v>348</v>
      </c>
      <c r="H4407" t="s">
        <v>348</v>
      </c>
      <c r="I4407" t="s">
        <v>743</v>
      </c>
      <c r="J4407" t="s">
        <v>379</v>
      </c>
      <c r="K4407" t="s">
        <v>546</v>
      </c>
      <c r="L4407" s="784" t="s">
        <v>575</v>
      </c>
      <c r="M4407" t="s">
        <v>745</v>
      </c>
      <c r="P4407" t="s">
        <v>1887</v>
      </c>
      <c r="R4407" t="s">
        <v>152</v>
      </c>
      <c r="S4407" t="s">
        <v>146</v>
      </c>
      <c r="U4407">
        <v>0</v>
      </c>
      <c r="V4407" t="s">
        <v>541</v>
      </c>
      <c r="W4407" t="s">
        <v>546</v>
      </c>
      <c r="X4407" s="784">
        <v>357220835.93762809</v>
      </c>
    </row>
    <row r="4408" spans="1:24">
      <c r="A4408" t="s">
        <v>358</v>
      </c>
      <c r="B4408" t="s">
        <v>636</v>
      </c>
      <c r="C4408" t="s">
        <v>240</v>
      </c>
      <c r="D4408" t="s">
        <v>130</v>
      </c>
      <c r="E4408" t="s">
        <v>377</v>
      </c>
      <c r="F4408" t="s">
        <v>312</v>
      </c>
      <c r="G4408" t="s">
        <v>348</v>
      </c>
      <c r="H4408" t="s">
        <v>348</v>
      </c>
      <c r="I4408" t="s">
        <v>743</v>
      </c>
      <c r="J4408" t="s">
        <v>379</v>
      </c>
      <c r="K4408" t="s">
        <v>546</v>
      </c>
      <c r="L4408" s="784" t="s">
        <v>575</v>
      </c>
      <c r="M4408" t="s">
        <v>745</v>
      </c>
      <c r="P4408" t="s">
        <v>1887</v>
      </c>
      <c r="R4408" t="s">
        <v>152</v>
      </c>
      <c r="S4408" t="s">
        <v>146</v>
      </c>
      <c r="U4408">
        <v>0</v>
      </c>
      <c r="V4408" t="s">
        <v>544</v>
      </c>
      <c r="W4408" t="s">
        <v>575</v>
      </c>
      <c r="X4408" s="784">
        <v>32831598153.796387</v>
      </c>
    </row>
    <row r="4409" spans="1:24">
      <c r="A4409" t="s">
        <v>358</v>
      </c>
      <c r="B4409" t="s">
        <v>637</v>
      </c>
      <c r="C4409" t="s">
        <v>241</v>
      </c>
      <c r="D4409" t="s">
        <v>126</v>
      </c>
      <c r="E4409" t="s">
        <v>377</v>
      </c>
      <c r="F4409" t="s">
        <v>312</v>
      </c>
      <c r="G4409" t="s">
        <v>348</v>
      </c>
      <c r="H4409" t="s">
        <v>348</v>
      </c>
      <c r="I4409" t="s">
        <v>743</v>
      </c>
      <c r="J4409" t="s">
        <v>379</v>
      </c>
      <c r="K4409" t="s">
        <v>546</v>
      </c>
      <c r="L4409" s="784" t="s">
        <v>575</v>
      </c>
      <c r="M4409" t="s">
        <v>745</v>
      </c>
      <c r="P4409" t="s">
        <v>1887</v>
      </c>
      <c r="R4409" t="s">
        <v>150</v>
      </c>
      <c r="S4409" t="s">
        <v>145</v>
      </c>
      <c r="U4409">
        <v>0</v>
      </c>
      <c r="V4409" t="s">
        <v>541</v>
      </c>
      <c r="W4409" t="s">
        <v>542</v>
      </c>
      <c r="X4409" s="784">
        <v>12329056.093798399</v>
      </c>
    </row>
    <row r="4410" spans="1:24">
      <c r="A4410" t="s">
        <v>358</v>
      </c>
      <c r="B4410" t="s">
        <v>638</v>
      </c>
      <c r="C4410" t="s">
        <v>242</v>
      </c>
      <c r="D4410" t="s">
        <v>127</v>
      </c>
      <c r="E4410" t="s">
        <v>377</v>
      </c>
      <c r="F4410" t="s">
        <v>312</v>
      </c>
      <c r="G4410" t="s">
        <v>348</v>
      </c>
      <c r="H4410" t="s">
        <v>348</v>
      </c>
      <c r="I4410" t="s">
        <v>743</v>
      </c>
      <c r="J4410" t="s">
        <v>379</v>
      </c>
      <c r="K4410" t="s">
        <v>546</v>
      </c>
      <c r="L4410" s="784" t="s">
        <v>575</v>
      </c>
      <c r="M4410" t="s">
        <v>745</v>
      </c>
      <c r="P4410" t="s">
        <v>1887</v>
      </c>
      <c r="R4410" t="s">
        <v>152</v>
      </c>
      <c r="S4410" t="s">
        <v>145</v>
      </c>
      <c r="U4410">
        <v>0</v>
      </c>
      <c r="V4410" t="s">
        <v>544</v>
      </c>
      <c r="W4410" t="s">
        <v>558</v>
      </c>
      <c r="X4410" s="784">
        <v>426639742.85328001</v>
      </c>
    </row>
    <row r="4411" spans="1:24">
      <c r="A4411" t="s">
        <v>358</v>
      </c>
      <c r="B4411" t="s">
        <v>639</v>
      </c>
      <c r="C4411" t="s">
        <v>243</v>
      </c>
      <c r="D4411" t="s">
        <v>126</v>
      </c>
      <c r="E4411" t="s">
        <v>377</v>
      </c>
      <c r="F4411" t="s">
        <v>312</v>
      </c>
      <c r="G4411" t="s">
        <v>348</v>
      </c>
      <c r="H4411" t="s">
        <v>348</v>
      </c>
      <c r="I4411" t="s">
        <v>743</v>
      </c>
      <c r="J4411" t="s">
        <v>379</v>
      </c>
      <c r="K4411" t="s">
        <v>546</v>
      </c>
      <c r="L4411" s="784">
        <v>99000</v>
      </c>
      <c r="M4411" t="s">
        <v>745</v>
      </c>
      <c r="P4411" t="s">
        <v>1887</v>
      </c>
      <c r="R4411" t="s">
        <v>150</v>
      </c>
      <c r="S4411" t="s">
        <v>145</v>
      </c>
      <c r="U4411">
        <v>0</v>
      </c>
      <c r="V4411" t="s">
        <v>544</v>
      </c>
      <c r="W4411" t="s">
        <v>548</v>
      </c>
      <c r="X4411" s="784">
        <v>288519671.85870522</v>
      </c>
    </row>
    <row r="4412" spans="1:24">
      <c r="A4412" t="s">
        <v>358</v>
      </c>
      <c r="B4412" t="s">
        <v>640</v>
      </c>
      <c r="C4412" t="s">
        <v>244</v>
      </c>
      <c r="D4412" t="s">
        <v>127</v>
      </c>
      <c r="E4412" t="s">
        <v>377</v>
      </c>
      <c r="F4412" t="s">
        <v>312</v>
      </c>
      <c r="G4412" t="s">
        <v>348</v>
      </c>
      <c r="H4412" t="s">
        <v>348</v>
      </c>
      <c r="I4412" t="s">
        <v>743</v>
      </c>
      <c r="J4412" t="s">
        <v>379</v>
      </c>
      <c r="K4412" t="s">
        <v>546</v>
      </c>
      <c r="L4412" s="784" t="s">
        <v>575</v>
      </c>
      <c r="M4412" t="s">
        <v>745</v>
      </c>
      <c r="P4412" t="s">
        <v>1887</v>
      </c>
      <c r="R4412" t="s">
        <v>152</v>
      </c>
      <c r="S4412" t="s">
        <v>146</v>
      </c>
      <c r="U4412">
        <v>0</v>
      </c>
      <c r="V4412" t="s">
        <v>544</v>
      </c>
      <c r="W4412" t="s">
        <v>546</v>
      </c>
      <c r="X4412" s="784">
        <v>275606560.78491527</v>
      </c>
    </row>
    <row r="4413" spans="1:24">
      <c r="A4413" t="s">
        <v>358</v>
      </c>
      <c r="B4413" t="s">
        <v>641</v>
      </c>
      <c r="C4413" t="s">
        <v>245</v>
      </c>
      <c r="D4413" t="s">
        <v>131</v>
      </c>
      <c r="E4413" t="s">
        <v>377</v>
      </c>
      <c r="F4413" t="s">
        <v>312</v>
      </c>
      <c r="G4413" t="s">
        <v>348</v>
      </c>
      <c r="H4413" t="s">
        <v>348</v>
      </c>
      <c r="I4413" t="s">
        <v>743</v>
      </c>
      <c r="J4413" t="s">
        <v>379</v>
      </c>
      <c r="K4413" t="s">
        <v>546</v>
      </c>
      <c r="L4413" s="784" t="s">
        <v>575</v>
      </c>
      <c r="M4413" t="s">
        <v>745</v>
      </c>
      <c r="P4413" t="s">
        <v>1887</v>
      </c>
      <c r="R4413" t="s">
        <v>150</v>
      </c>
      <c r="S4413" t="s">
        <v>145</v>
      </c>
      <c r="U4413">
        <v>0</v>
      </c>
      <c r="V4413" t="s">
        <v>544</v>
      </c>
      <c r="W4413" t="s">
        <v>546</v>
      </c>
      <c r="X4413" s="784">
        <v>2530937679.3725696</v>
      </c>
    </row>
    <row r="4414" spans="1:24">
      <c r="A4414" t="s">
        <v>358</v>
      </c>
      <c r="B4414" t="s">
        <v>642</v>
      </c>
      <c r="C4414" t="s">
        <v>246</v>
      </c>
      <c r="D4414" t="s">
        <v>128</v>
      </c>
      <c r="E4414" t="s">
        <v>377</v>
      </c>
      <c r="F4414" t="s">
        <v>312</v>
      </c>
      <c r="G4414" t="s">
        <v>348</v>
      </c>
      <c r="H4414" t="s">
        <v>348</v>
      </c>
      <c r="I4414" t="s">
        <v>743</v>
      </c>
      <c r="J4414" t="s">
        <v>379</v>
      </c>
      <c r="K4414" t="s">
        <v>546</v>
      </c>
      <c r="L4414" s="784">
        <v>1328000</v>
      </c>
      <c r="M4414" t="s">
        <v>745</v>
      </c>
      <c r="P4414" t="s">
        <v>1887</v>
      </c>
      <c r="R4414" t="s">
        <v>148</v>
      </c>
      <c r="S4414" t="s">
        <v>145</v>
      </c>
      <c r="U4414">
        <v>0</v>
      </c>
      <c r="V4414" t="s">
        <v>544</v>
      </c>
      <c r="W4414" t="s">
        <v>583</v>
      </c>
      <c r="X4414" s="784">
        <v>251432156.86255455</v>
      </c>
    </row>
    <row r="4415" spans="1:24">
      <c r="A4415" t="s">
        <v>358</v>
      </c>
      <c r="B4415" t="s">
        <v>643</v>
      </c>
      <c r="C4415" t="s">
        <v>247</v>
      </c>
      <c r="D4415" t="s">
        <v>126</v>
      </c>
      <c r="E4415" t="s">
        <v>377</v>
      </c>
      <c r="F4415" t="s">
        <v>312</v>
      </c>
      <c r="G4415" t="s">
        <v>348</v>
      </c>
      <c r="H4415" t="s">
        <v>348</v>
      </c>
      <c r="I4415" t="s">
        <v>743</v>
      </c>
      <c r="J4415" t="s">
        <v>379</v>
      </c>
      <c r="K4415" t="s">
        <v>546</v>
      </c>
      <c r="L4415" s="784" t="s">
        <v>575</v>
      </c>
      <c r="M4415" t="s">
        <v>745</v>
      </c>
      <c r="P4415" t="s">
        <v>1887</v>
      </c>
      <c r="R4415" t="s">
        <v>150</v>
      </c>
      <c r="S4415" t="s">
        <v>145</v>
      </c>
      <c r="U4415">
        <v>0</v>
      </c>
      <c r="V4415" t="s">
        <v>544</v>
      </c>
      <c r="W4415" t="s">
        <v>558</v>
      </c>
      <c r="X4415" s="784">
        <v>471534500.60109437</v>
      </c>
    </row>
    <row r="4416" spans="1:24">
      <c r="A4416" t="s">
        <v>358</v>
      </c>
      <c r="B4416" t="s">
        <v>644</v>
      </c>
      <c r="C4416" t="s">
        <v>248</v>
      </c>
      <c r="D4416" t="s">
        <v>128</v>
      </c>
      <c r="E4416" t="s">
        <v>377</v>
      </c>
      <c r="F4416" t="s">
        <v>312</v>
      </c>
      <c r="G4416" t="s">
        <v>348</v>
      </c>
      <c r="H4416" t="s">
        <v>348</v>
      </c>
      <c r="I4416" t="s">
        <v>743</v>
      </c>
      <c r="J4416" t="s">
        <v>379</v>
      </c>
      <c r="K4416" t="s">
        <v>546</v>
      </c>
      <c r="L4416" s="784" t="s">
        <v>575</v>
      </c>
      <c r="M4416" t="s">
        <v>745</v>
      </c>
      <c r="P4416" t="s">
        <v>1887</v>
      </c>
      <c r="R4416" t="s">
        <v>152</v>
      </c>
      <c r="S4416" t="s">
        <v>146</v>
      </c>
      <c r="U4416">
        <v>0</v>
      </c>
      <c r="V4416" t="s">
        <v>544</v>
      </c>
      <c r="W4416" t="s">
        <v>575</v>
      </c>
      <c r="X4416" s="784">
        <v>531677611.80447447</v>
      </c>
    </row>
    <row r="4417" spans="1:24">
      <c r="A4417" t="s">
        <v>358</v>
      </c>
      <c r="B4417" t="s">
        <v>645</v>
      </c>
      <c r="C4417" t="s">
        <v>249</v>
      </c>
      <c r="D4417" t="s">
        <v>126</v>
      </c>
      <c r="E4417" t="s">
        <v>377</v>
      </c>
      <c r="F4417" t="s">
        <v>312</v>
      </c>
      <c r="G4417" t="s">
        <v>348</v>
      </c>
      <c r="H4417" t="s">
        <v>348</v>
      </c>
      <c r="I4417" t="s">
        <v>743</v>
      </c>
      <c r="J4417" t="s">
        <v>379</v>
      </c>
      <c r="K4417" t="s">
        <v>546</v>
      </c>
      <c r="L4417" s="784" t="s">
        <v>575</v>
      </c>
      <c r="M4417" t="s">
        <v>745</v>
      </c>
      <c r="P4417" t="s">
        <v>1887</v>
      </c>
      <c r="R4417" t="s">
        <v>550</v>
      </c>
      <c r="S4417" t="s">
        <v>146</v>
      </c>
      <c r="U4417">
        <v>0</v>
      </c>
      <c r="V4417" t="s">
        <v>541</v>
      </c>
      <c r="W4417" t="s">
        <v>575</v>
      </c>
      <c r="X4417" s="784">
        <v>8528751.6418357007</v>
      </c>
    </row>
    <row r="4418" spans="1:24">
      <c r="A4418" t="s">
        <v>358</v>
      </c>
      <c r="B4418" t="s">
        <v>646</v>
      </c>
      <c r="C4418" t="s">
        <v>250</v>
      </c>
      <c r="D4418" t="s">
        <v>132</v>
      </c>
      <c r="E4418" t="s">
        <v>377</v>
      </c>
      <c r="F4418" t="s">
        <v>312</v>
      </c>
      <c r="G4418" t="s">
        <v>348</v>
      </c>
      <c r="H4418" t="s">
        <v>348</v>
      </c>
      <c r="I4418" t="s">
        <v>743</v>
      </c>
      <c r="J4418" t="s">
        <v>379</v>
      </c>
      <c r="K4418" t="s">
        <v>546</v>
      </c>
      <c r="L4418" s="784">
        <v>99000</v>
      </c>
      <c r="M4418" t="s">
        <v>745</v>
      </c>
      <c r="P4418" t="s">
        <v>1887</v>
      </c>
      <c r="R4418" t="s">
        <v>150</v>
      </c>
      <c r="S4418" t="s">
        <v>145</v>
      </c>
      <c r="U4418">
        <v>0</v>
      </c>
      <c r="V4418" t="s">
        <v>544</v>
      </c>
      <c r="W4418" t="s">
        <v>558</v>
      </c>
      <c r="X4418" s="784">
        <v>407084543.19089872</v>
      </c>
    </row>
    <row r="4419" spans="1:24">
      <c r="A4419" t="s">
        <v>358</v>
      </c>
      <c r="B4419" t="s">
        <v>647</v>
      </c>
      <c r="C4419" t="s">
        <v>251</v>
      </c>
      <c r="D4419" t="s">
        <v>130</v>
      </c>
      <c r="E4419" t="s">
        <v>377</v>
      </c>
      <c r="F4419" t="s">
        <v>312</v>
      </c>
      <c r="G4419" t="s">
        <v>348</v>
      </c>
      <c r="H4419" t="s">
        <v>348</v>
      </c>
      <c r="I4419" t="s">
        <v>743</v>
      </c>
      <c r="J4419" t="s">
        <v>379</v>
      </c>
      <c r="K4419" t="s">
        <v>546</v>
      </c>
      <c r="L4419" s="784" t="s">
        <v>575</v>
      </c>
      <c r="M4419" t="s">
        <v>745</v>
      </c>
      <c r="P4419" t="s">
        <v>1887</v>
      </c>
      <c r="R4419" t="s">
        <v>150</v>
      </c>
      <c r="S4419" t="s">
        <v>145</v>
      </c>
      <c r="U4419">
        <v>0</v>
      </c>
      <c r="V4419" t="s">
        <v>544</v>
      </c>
      <c r="W4419" t="s">
        <v>562</v>
      </c>
      <c r="X4419" s="784">
        <v>671998341.93592453</v>
      </c>
    </row>
    <row r="4420" spans="1:24">
      <c r="A4420" t="s">
        <v>358</v>
      </c>
      <c r="B4420" t="s">
        <v>648</v>
      </c>
      <c r="C4420" t="s">
        <v>252</v>
      </c>
      <c r="D4420" t="s">
        <v>129</v>
      </c>
      <c r="E4420" t="s">
        <v>377</v>
      </c>
      <c r="F4420" t="s">
        <v>312</v>
      </c>
      <c r="G4420" t="s">
        <v>348</v>
      </c>
      <c r="H4420" t="s">
        <v>348</v>
      </c>
      <c r="I4420" t="s">
        <v>743</v>
      </c>
      <c r="J4420" t="s">
        <v>379</v>
      </c>
      <c r="K4420" t="s">
        <v>546</v>
      </c>
      <c r="L4420" s="784" t="s">
        <v>575</v>
      </c>
      <c r="M4420" t="s">
        <v>745</v>
      </c>
      <c r="P4420" t="s">
        <v>1887</v>
      </c>
      <c r="R4420" t="s">
        <v>148</v>
      </c>
      <c r="S4420" t="s">
        <v>145</v>
      </c>
      <c r="U4420">
        <v>1</v>
      </c>
      <c r="V4420" t="s">
        <v>544</v>
      </c>
      <c r="W4420" t="s">
        <v>562</v>
      </c>
      <c r="X4420" s="784">
        <v>226203289.67158964</v>
      </c>
    </row>
    <row r="4421" spans="1:24">
      <c r="A4421" t="s">
        <v>358</v>
      </c>
      <c r="B4421" t="s">
        <v>649</v>
      </c>
      <c r="C4421" t="s">
        <v>253</v>
      </c>
      <c r="D4421" t="s">
        <v>129</v>
      </c>
      <c r="E4421" t="s">
        <v>377</v>
      </c>
      <c r="F4421" t="s">
        <v>312</v>
      </c>
      <c r="G4421" t="s">
        <v>348</v>
      </c>
      <c r="H4421" t="s">
        <v>348</v>
      </c>
      <c r="I4421" t="s">
        <v>743</v>
      </c>
      <c r="J4421" t="s">
        <v>379</v>
      </c>
      <c r="K4421" t="s">
        <v>546</v>
      </c>
      <c r="L4421" s="784">
        <v>1714000</v>
      </c>
      <c r="M4421" t="s">
        <v>745</v>
      </c>
      <c r="P4421" t="s">
        <v>1887</v>
      </c>
      <c r="R4421" t="s">
        <v>150</v>
      </c>
      <c r="S4421" t="s">
        <v>145</v>
      </c>
      <c r="U4421">
        <v>3</v>
      </c>
      <c r="V4421" t="s">
        <v>544</v>
      </c>
      <c r="W4421" t="s">
        <v>548</v>
      </c>
      <c r="X4421" s="784">
        <v>2438881113.1244688</v>
      </c>
    </row>
    <row r="4422" spans="1:24">
      <c r="A4422" t="s">
        <v>358</v>
      </c>
      <c r="B4422" t="s">
        <v>650</v>
      </c>
      <c r="C4422" t="s">
        <v>254</v>
      </c>
      <c r="D4422" t="s">
        <v>127</v>
      </c>
      <c r="E4422" t="s">
        <v>377</v>
      </c>
      <c r="F4422" t="s">
        <v>312</v>
      </c>
      <c r="G4422" t="s">
        <v>348</v>
      </c>
      <c r="H4422" t="s">
        <v>348</v>
      </c>
      <c r="I4422" t="s">
        <v>743</v>
      </c>
      <c r="J4422" t="s">
        <v>379</v>
      </c>
      <c r="K4422" t="s">
        <v>546</v>
      </c>
      <c r="L4422" s="784" t="s">
        <v>575</v>
      </c>
      <c r="M4422" t="s">
        <v>745</v>
      </c>
      <c r="P4422" t="s">
        <v>1887</v>
      </c>
      <c r="R4422" t="s">
        <v>152</v>
      </c>
      <c r="S4422" t="s">
        <v>146</v>
      </c>
      <c r="U4422">
        <v>0</v>
      </c>
      <c r="V4422" t="s">
        <v>544</v>
      </c>
      <c r="W4422" t="s">
        <v>575</v>
      </c>
      <c r="X4422" s="784">
        <v>476517795.73174149</v>
      </c>
    </row>
    <row r="4423" spans="1:24">
      <c r="A4423" t="s">
        <v>358</v>
      </c>
      <c r="B4423" t="s">
        <v>651</v>
      </c>
      <c r="C4423" t="s">
        <v>255</v>
      </c>
      <c r="D4423" t="s">
        <v>132</v>
      </c>
      <c r="E4423" t="s">
        <v>377</v>
      </c>
      <c r="F4423" t="s">
        <v>312</v>
      </c>
      <c r="G4423" t="s">
        <v>348</v>
      </c>
      <c r="H4423" t="s">
        <v>348</v>
      </c>
      <c r="I4423" t="s">
        <v>743</v>
      </c>
      <c r="J4423" t="s">
        <v>379</v>
      </c>
      <c r="K4423" t="s">
        <v>546</v>
      </c>
      <c r="L4423" s="784">
        <v>697000</v>
      </c>
      <c r="M4423" t="s">
        <v>745</v>
      </c>
      <c r="P4423" t="s">
        <v>1887</v>
      </c>
      <c r="R4423" t="s">
        <v>150</v>
      </c>
      <c r="S4423" t="s">
        <v>145</v>
      </c>
      <c r="U4423">
        <v>0</v>
      </c>
      <c r="V4423" t="s">
        <v>544</v>
      </c>
      <c r="W4423" t="s">
        <v>548</v>
      </c>
      <c r="X4423" s="784">
        <v>3233351297.7679496</v>
      </c>
    </row>
    <row r="4424" spans="1:24">
      <c r="A4424" t="s">
        <v>358</v>
      </c>
      <c r="B4424" t="s">
        <v>652</v>
      </c>
      <c r="C4424" t="s">
        <v>256</v>
      </c>
      <c r="D4424" t="s">
        <v>130</v>
      </c>
      <c r="E4424" t="s">
        <v>377</v>
      </c>
      <c r="F4424" t="s">
        <v>312</v>
      </c>
      <c r="G4424" t="s">
        <v>348</v>
      </c>
      <c r="H4424" t="s">
        <v>348</v>
      </c>
      <c r="I4424" t="s">
        <v>743</v>
      </c>
      <c r="J4424" t="s">
        <v>379</v>
      </c>
      <c r="K4424" t="s">
        <v>546</v>
      </c>
      <c r="L4424" s="784" t="s">
        <v>575</v>
      </c>
      <c r="M4424" t="s">
        <v>745</v>
      </c>
      <c r="P4424" t="s">
        <v>1887</v>
      </c>
      <c r="R4424" t="s">
        <v>550</v>
      </c>
      <c r="S4424" t="s">
        <v>146</v>
      </c>
      <c r="U4424">
        <v>0</v>
      </c>
      <c r="V4424" t="s">
        <v>541</v>
      </c>
      <c r="W4424" t="s">
        <v>575</v>
      </c>
      <c r="X4424" s="784">
        <v>18180646.808608256</v>
      </c>
    </row>
    <row r="4425" spans="1:24">
      <c r="A4425" t="s">
        <v>358</v>
      </c>
      <c r="B4425" t="s">
        <v>653</v>
      </c>
      <c r="C4425" t="s">
        <v>257</v>
      </c>
      <c r="D4425" t="s">
        <v>130</v>
      </c>
      <c r="E4425" t="s">
        <v>377</v>
      </c>
      <c r="F4425" t="s">
        <v>312</v>
      </c>
      <c r="G4425" t="s">
        <v>348</v>
      </c>
      <c r="H4425" t="s">
        <v>348</v>
      </c>
      <c r="I4425" t="s">
        <v>743</v>
      </c>
      <c r="J4425" t="s">
        <v>379</v>
      </c>
      <c r="K4425" t="s">
        <v>546</v>
      </c>
      <c r="L4425" s="784" t="s">
        <v>575</v>
      </c>
      <c r="M4425" t="s">
        <v>745</v>
      </c>
      <c r="P4425" t="s">
        <v>1887</v>
      </c>
      <c r="R4425" t="s">
        <v>152</v>
      </c>
      <c r="S4425" t="s">
        <v>146</v>
      </c>
      <c r="U4425">
        <v>0</v>
      </c>
      <c r="V4425" t="s">
        <v>544</v>
      </c>
      <c r="W4425" t="s">
        <v>546</v>
      </c>
      <c r="X4425" s="784">
        <v>3020530707.3485303</v>
      </c>
    </row>
    <row r="4426" spans="1:24">
      <c r="A4426" t="s">
        <v>358</v>
      </c>
      <c r="B4426" t="s">
        <v>654</v>
      </c>
      <c r="C4426" t="s">
        <v>258</v>
      </c>
      <c r="D4426" t="s">
        <v>126</v>
      </c>
      <c r="E4426" t="s">
        <v>377</v>
      </c>
      <c r="F4426" t="s">
        <v>312</v>
      </c>
      <c r="G4426" t="s">
        <v>348</v>
      </c>
      <c r="H4426" t="s">
        <v>348</v>
      </c>
      <c r="I4426" t="s">
        <v>743</v>
      </c>
      <c r="J4426" t="s">
        <v>379</v>
      </c>
      <c r="K4426" t="s">
        <v>546</v>
      </c>
      <c r="L4426" s="784" t="s">
        <v>575</v>
      </c>
      <c r="M4426" t="s">
        <v>745</v>
      </c>
      <c r="P4426" t="s">
        <v>1887</v>
      </c>
      <c r="R4426" t="s">
        <v>150</v>
      </c>
      <c r="S4426" t="s">
        <v>145</v>
      </c>
      <c r="U4426">
        <v>1</v>
      </c>
      <c r="V4426" t="s">
        <v>541</v>
      </c>
      <c r="W4426" t="s">
        <v>542</v>
      </c>
      <c r="X4426" s="784">
        <v>384406316.46074712</v>
      </c>
    </row>
    <row r="4427" spans="1:24">
      <c r="A4427" t="s">
        <v>358</v>
      </c>
      <c r="B4427" t="s">
        <v>655</v>
      </c>
      <c r="C4427" t="s">
        <v>259</v>
      </c>
      <c r="D4427" t="s">
        <v>130</v>
      </c>
      <c r="E4427" t="s">
        <v>377</v>
      </c>
      <c r="F4427" t="s">
        <v>312</v>
      </c>
      <c r="G4427" t="s">
        <v>348</v>
      </c>
      <c r="H4427" t="s">
        <v>348</v>
      </c>
      <c r="I4427" t="s">
        <v>743</v>
      </c>
      <c r="J4427" t="s">
        <v>379</v>
      </c>
      <c r="K4427" t="s">
        <v>546</v>
      </c>
      <c r="L4427" s="784" t="s">
        <v>575</v>
      </c>
      <c r="M4427" t="s">
        <v>745</v>
      </c>
      <c r="P4427" t="s">
        <v>1887</v>
      </c>
      <c r="R4427" t="s">
        <v>152</v>
      </c>
      <c r="S4427" t="s">
        <v>146</v>
      </c>
      <c r="U4427">
        <v>0</v>
      </c>
      <c r="V4427" t="s">
        <v>544</v>
      </c>
      <c r="W4427" t="s">
        <v>575</v>
      </c>
      <c r="X4427" s="784">
        <v>1218747108.9554784</v>
      </c>
    </row>
    <row r="4428" spans="1:24">
      <c r="A4428" t="s">
        <v>358</v>
      </c>
      <c r="B4428" t="s">
        <v>656</v>
      </c>
      <c r="C4428" t="s">
        <v>260</v>
      </c>
      <c r="D4428" t="s">
        <v>130</v>
      </c>
      <c r="E4428" t="s">
        <v>377</v>
      </c>
      <c r="F4428" t="s">
        <v>312</v>
      </c>
      <c r="G4428" t="s">
        <v>348</v>
      </c>
      <c r="H4428" t="s">
        <v>348</v>
      </c>
      <c r="I4428" t="s">
        <v>743</v>
      </c>
      <c r="J4428" t="s">
        <v>379</v>
      </c>
      <c r="K4428" t="s">
        <v>546</v>
      </c>
      <c r="L4428" s="784" t="s">
        <v>575</v>
      </c>
      <c r="M4428" t="s">
        <v>745</v>
      </c>
      <c r="P4428" t="s">
        <v>1887</v>
      </c>
      <c r="R4428" t="s">
        <v>152</v>
      </c>
      <c r="S4428" t="s">
        <v>146</v>
      </c>
      <c r="U4428">
        <v>0</v>
      </c>
      <c r="V4428" t="s">
        <v>544</v>
      </c>
      <c r="W4428" t="s">
        <v>575</v>
      </c>
      <c r="X4428" s="784">
        <v>7392665952.5895758</v>
      </c>
    </row>
    <row r="4429" spans="1:24">
      <c r="A4429" t="s">
        <v>358</v>
      </c>
      <c r="B4429" t="s">
        <v>657</v>
      </c>
      <c r="C4429" t="s">
        <v>261</v>
      </c>
      <c r="D4429" t="s">
        <v>126</v>
      </c>
      <c r="E4429" t="s">
        <v>377</v>
      </c>
      <c r="F4429" t="s">
        <v>312</v>
      </c>
      <c r="G4429" t="s">
        <v>348</v>
      </c>
      <c r="H4429" t="s">
        <v>348</v>
      </c>
      <c r="I4429" t="s">
        <v>743</v>
      </c>
      <c r="J4429" t="s">
        <v>379</v>
      </c>
      <c r="K4429" t="s">
        <v>546</v>
      </c>
      <c r="L4429" s="784">
        <v>99000</v>
      </c>
      <c r="M4429" t="s">
        <v>745</v>
      </c>
      <c r="P4429" t="s">
        <v>1887</v>
      </c>
      <c r="R4429" t="s">
        <v>150</v>
      </c>
      <c r="S4429" t="s">
        <v>145</v>
      </c>
      <c r="U4429">
        <v>0</v>
      </c>
      <c r="V4429" t="s">
        <v>544</v>
      </c>
      <c r="W4429" t="s">
        <v>546</v>
      </c>
      <c r="X4429" s="784">
        <v>4754985988.6004429</v>
      </c>
    </row>
    <row r="4430" spans="1:24">
      <c r="A4430" t="s">
        <v>358</v>
      </c>
      <c r="B4430" t="s">
        <v>658</v>
      </c>
      <c r="C4430" t="s">
        <v>262</v>
      </c>
      <c r="D4430" t="s">
        <v>127</v>
      </c>
      <c r="E4430" t="s">
        <v>377</v>
      </c>
      <c r="F4430" t="s">
        <v>312</v>
      </c>
      <c r="G4430" t="s">
        <v>348</v>
      </c>
      <c r="H4430" t="s">
        <v>348</v>
      </c>
      <c r="I4430" t="s">
        <v>743</v>
      </c>
      <c r="J4430" t="s">
        <v>379</v>
      </c>
      <c r="K4430" t="s">
        <v>546</v>
      </c>
      <c r="L4430" s="784" t="s">
        <v>575</v>
      </c>
      <c r="M4430" t="s">
        <v>745</v>
      </c>
      <c r="P4430" t="s">
        <v>1887</v>
      </c>
      <c r="R4430" t="s">
        <v>550</v>
      </c>
      <c r="S4430" t="s">
        <v>146</v>
      </c>
      <c r="U4430">
        <v>0</v>
      </c>
      <c r="V4430" t="s">
        <v>544</v>
      </c>
      <c r="W4430" t="s">
        <v>575</v>
      </c>
      <c r="X4430" s="784">
        <v>26422210443.037273</v>
      </c>
    </row>
    <row r="4431" spans="1:24">
      <c r="A4431" t="s">
        <v>358</v>
      </c>
      <c r="B4431" t="s">
        <v>659</v>
      </c>
      <c r="C4431" t="s">
        <v>151</v>
      </c>
      <c r="D4431" t="s">
        <v>127</v>
      </c>
      <c r="E4431" t="s">
        <v>377</v>
      </c>
      <c r="F4431" t="s">
        <v>312</v>
      </c>
      <c r="G4431" t="s">
        <v>348</v>
      </c>
      <c r="H4431" t="s">
        <v>348</v>
      </c>
      <c r="I4431" t="s">
        <v>743</v>
      </c>
      <c r="J4431" t="s">
        <v>379</v>
      </c>
      <c r="K4431" t="s">
        <v>546</v>
      </c>
      <c r="L4431" s="784" t="s">
        <v>575</v>
      </c>
      <c r="M4431" t="s">
        <v>745</v>
      </c>
      <c r="P4431" t="s">
        <v>1887</v>
      </c>
      <c r="R4431" t="s">
        <v>152</v>
      </c>
      <c r="S4431" t="s">
        <v>146</v>
      </c>
      <c r="U4431">
        <v>0</v>
      </c>
      <c r="V4431" t="s">
        <v>544</v>
      </c>
      <c r="W4431" t="s">
        <v>575</v>
      </c>
      <c r="X4431" s="784">
        <v>10696495313.15033</v>
      </c>
    </row>
    <row r="4432" spans="1:24">
      <c r="A4432" t="s">
        <v>358</v>
      </c>
      <c r="B4432" t="s">
        <v>660</v>
      </c>
      <c r="C4432" t="s">
        <v>263</v>
      </c>
      <c r="D4432" t="s">
        <v>127</v>
      </c>
      <c r="E4432" t="s">
        <v>377</v>
      </c>
      <c r="F4432" t="s">
        <v>312</v>
      </c>
      <c r="G4432" t="s">
        <v>348</v>
      </c>
      <c r="H4432" t="s">
        <v>348</v>
      </c>
      <c r="I4432" t="s">
        <v>743</v>
      </c>
      <c r="J4432" t="s">
        <v>379</v>
      </c>
      <c r="K4432" t="s">
        <v>546</v>
      </c>
      <c r="L4432" s="784" t="s">
        <v>575</v>
      </c>
      <c r="M4432" t="s">
        <v>745</v>
      </c>
      <c r="P4432" t="s">
        <v>1887</v>
      </c>
      <c r="R4432" t="s">
        <v>152</v>
      </c>
      <c r="S4432" t="s">
        <v>146</v>
      </c>
      <c r="U4432">
        <v>0</v>
      </c>
      <c r="V4432" t="s">
        <v>544</v>
      </c>
      <c r="W4432" t="s">
        <v>575</v>
      </c>
      <c r="X4432" s="784">
        <v>52769713433.240509</v>
      </c>
    </row>
    <row r="4433" spans="1:24">
      <c r="A4433" t="s">
        <v>358</v>
      </c>
      <c r="B4433" t="s">
        <v>661</v>
      </c>
      <c r="C4433" t="s">
        <v>264</v>
      </c>
      <c r="D4433" t="s">
        <v>128</v>
      </c>
      <c r="E4433" t="s">
        <v>377</v>
      </c>
      <c r="F4433" t="s">
        <v>312</v>
      </c>
      <c r="G4433" t="s">
        <v>348</v>
      </c>
      <c r="H4433" t="s">
        <v>348</v>
      </c>
      <c r="I4433" t="s">
        <v>743</v>
      </c>
      <c r="J4433" t="s">
        <v>379</v>
      </c>
      <c r="K4433" t="s">
        <v>546</v>
      </c>
      <c r="L4433" s="784" t="s">
        <v>575</v>
      </c>
      <c r="M4433" t="s">
        <v>745</v>
      </c>
      <c r="P4433" t="s">
        <v>1887</v>
      </c>
      <c r="R4433" t="s">
        <v>148</v>
      </c>
      <c r="S4433" t="s">
        <v>145</v>
      </c>
      <c r="U4433">
        <v>0</v>
      </c>
      <c r="V4433" t="s">
        <v>544</v>
      </c>
      <c r="W4433" t="s">
        <v>562</v>
      </c>
      <c r="X4433" s="784">
        <v>225799814.51943746</v>
      </c>
    </row>
    <row r="4434" spans="1:24">
      <c r="A4434" t="s">
        <v>358</v>
      </c>
      <c r="B4434" t="s">
        <v>662</v>
      </c>
      <c r="C4434" t="s">
        <v>265</v>
      </c>
      <c r="D4434" t="s">
        <v>126</v>
      </c>
      <c r="E4434" t="s">
        <v>377</v>
      </c>
      <c r="F4434" t="s">
        <v>312</v>
      </c>
      <c r="G4434" t="s">
        <v>348</v>
      </c>
      <c r="H4434" t="s">
        <v>348</v>
      </c>
      <c r="I4434" t="s">
        <v>743</v>
      </c>
      <c r="J4434" t="s">
        <v>379</v>
      </c>
      <c r="K4434" t="s">
        <v>546</v>
      </c>
      <c r="L4434" s="784" t="s">
        <v>575</v>
      </c>
      <c r="M4434" t="s">
        <v>745</v>
      </c>
      <c r="P4434" t="s">
        <v>1887</v>
      </c>
      <c r="R4434" t="s">
        <v>150</v>
      </c>
      <c r="S4434" t="s">
        <v>145</v>
      </c>
      <c r="U4434">
        <v>0</v>
      </c>
      <c r="V4434" t="s">
        <v>541</v>
      </c>
      <c r="W4434" t="s">
        <v>542</v>
      </c>
      <c r="X4434" s="784">
        <v>32192988.027009469</v>
      </c>
    </row>
    <row r="4435" spans="1:24">
      <c r="A4435" t="s">
        <v>358</v>
      </c>
      <c r="B4435" t="s">
        <v>663</v>
      </c>
      <c r="C4435" t="s">
        <v>266</v>
      </c>
      <c r="D4435" t="s">
        <v>129</v>
      </c>
      <c r="E4435" t="s">
        <v>377</v>
      </c>
      <c r="F4435" t="s">
        <v>312</v>
      </c>
      <c r="G4435" t="s">
        <v>348</v>
      </c>
      <c r="H4435" t="s">
        <v>348</v>
      </c>
      <c r="I4435" t="s">
        <v>743</v>
      </c>
      <c r="J4435" t="s">
        <v>379</v>
      </c>
      <c r="K4435" t="s">
        <v>546</v>
      </c>
      <c r="L4435" s="784" t="s">
        <v>575</v>
      </c>
      <c r="M4435" t="s">
        <v>745</v>
      </c>
      <c r="P4435" t="s">
        <v>1887</v>
      </c>
      <c r="R4435" t="s">
        <v>150</v>
      </c>
      <c r="S4435" t="s">
        <v>145</v>
      </c>
      <c r="U4435">
        <v>0</v>
      </c>
      <c r="V4435" t="s">
        <v>541</v>
      </c>
      <c r="W4435" t="s">
        <v>583</v>
      </c>
      <c r="X4435" s="784">
        <v>11633535.136477679</v>
      </c>
    </row>
    <row r="4436" spans="1:24">
      <c r="A4436" t="s">
        <v>358</v>
      </c>
      <c r="B4436" t="s">
        <v>664</v>
      </c>
      <c r="C4436" t="s">
        <v>267</v>
      </c>
      <c r="D4436" t="s">
        <v>129</v>
      </c>
      <c r="E4436" t="s">
        <v>377</v>
      </c>
      <c r="F4436" t="s">
        <v>312</v>
      </c>
      <c r="G4436" t="s">
        <v>348</v>
      </c>
      <c r="H4436" t="s">
        <v>348</v>
      </c>
      <c r="I4436" t="s">
        <v>743</v>
      </c>
      <c r="J4436" t="s">
        <v>379</v>
      </c>
      <c r="K4436" t="s">
        <v>546</v>
      </c>
      <c r="L4436" s="784" t="s">
        <v>575</v>
      </c>
      <c r="M4436" t="s">
        <v>745</v>
      </c>
      <c r="P4436" t="s">
        <v>1887</v>
      </c>
      <c r="R4436" t="s">
        <v>150</v>
      </c>
      <c r="S4436" t="s">
        <v>145</v>
      </c>
      <c r="U4436">
        <v>2</v>
      </c>
      <c r="V4436" t="s">
        <v>544</v>
      </c>
      <c r="W4436" t="s">
        <v>562</v>
      </c>
      <c r="X4436" s="784">
        <v>222008693.93354639</v>
      </c>
    </row>
    <row r="4437" spans="1:24">
      <c r="A4437" t="s">
        <v>358</v>
      </c>
      <c r="B4437" t="s">
        <v>665</v>
      </c>
      <c r="C4437" t="s">
        <v>153</v>
      </c>
      <c r="D4437" t="s">
        <v>127</v>
      </c>
      <c r="E4437" t="s">
        <v>377</v>
      </c>
      <c r="F4437" t="s">
        <v>312</v>
      </c>
      <c r="G4437" t="s">
        <v>348</v>
      </c>
      <c r="H4437" t="s">
        <v>348</v>
      </c>
      <c r="I4437" t="s">
        <v>743</v>
      </c>
      <c r="J4437" t="s">
        <v>379</v>
      </c>
      <c r="K4437" t="s">
        <v>546</v>
      </c>
      <c r="L4437" s="784" t="s">
        <v>575</v>
      </c>
      <c r="M4437" t="s">
        <v>745</v>
      </c>
      <c r="P4437" t="s">
        <v>1887</v>
      </c>
      <c r="R4437" t="s">
        <v>152</v>
      </c>
      <c r="S4437" t="s">
        <v>146</v>
      </c>
      <c r="U4437">
        <v>0</v>
      </c>
      <c r="V4437" t="s">
        <v>544</v>
      </c>
      <c r="W4437" t="s">
        <v>575</v>
      </c>
      <c r="X4437" s="784">
        <v>2564993795.1894679</v>
      </c>
    </row>
    <row r="4438" spans="1:24">
      <c r="A4438" t="s">
        <v>358</v>
      </c>
      <c r="B4438" t="s">
        <v>666</v>
      </c>
      <c r="C4438" t="s">
        <v>268</v>
      </c>
      <c r="D4438" t="s">
        <v>128</v>
      </c>
      <c r="E4438" t="s">
        <v>377</v>
      </c>
      <c r="F4438" t="s">
        <v>312</v>
      </c>
      <c r="G4438" t="s">
        <v>348</v>
      </c>
      <c r="H4438" t="s">
        <v>348</v>
      </c>
      <c r="I4438" t="s">
        <v>743</v>
      </c>
      <c r="J4438" t="s">
        <v>379</v>
      </c>
      <c r="K4438" t="s">
        <v>546</v>
      </c>
      <c r="L4438" s="784" t="s">
        <v>575</v>
      </c>
      <c r="M4438" t="s">
        <v>745</v>
      </c>
      <c r="P4438" t="s">
        <v>1887</v>
      </c>
      <c r="R4438" t="s">
        <v>550</v>
      </c>
      <c r="S4438" t="s">
        <v>146</v>
      </c>
      <c r="U4438">
        <v>0</v>
      </c>
      <c r="V4438" t="s">
        <v>541</v>
      </c>
      <c r="W4438" t="s">
        <v>546</v>
      </c>
      <c r="X4438" s="784">
        <v>60237542.945069775</v>
      </c>
    </row>
    <row r="4439" spans="1:24">
      <c r="A4439" t="s">
        <v>358</v>
      </c>
      <c r="B4439" t="s">
        <v>667</v>
      </c>
      <c r="C4439" t="s">
        <v>269</v>
      </c>
      <c r="D4439" t="s">
        <v>129</v>
      </c>
      <c r="E4439" t="s">
        <v>377</v>
      </c>
      <c r="F4439" t="s">
        <v>312</v>
      </c>
      <c r="G4439" t="s">
        <v>348</v>
      </c>
      <c r="H4439" t="s">
        <v>348</v>
      </c>
      <c r="I4439" t="s">
        <v>743</v>
      </c>
      <c r="J4439" t="s">
        <v>379</v>
      </c>
      <c r="K4439" t="s">
        <v>546</v>
      </c>
      <c r="L4439" s="784" t="s">
        <v>575</v>
      </c>
      <c r="M4439" t="s">
        <v>745</v>
      </c>
      <c r="P4439" t="s">
        <v>1887</v>
      </c>
      <c r="R4439" t="s">
        <v>148</v>
      </c>
      <c r="S4439" t="s">
        <v>145</v>
      </c>
      <c r="U4439">
        <v>0</v>
      </c>
      <c r="V4439" t="s">
        <v>544</v>
      </c>
      <c r="W4439" t="s">
        <v>542</v>
      </c>
      <c r="X4439" s="784">
        <v>63738640.538260505</v>
      </c>
    </row>
    <row r="4440" spans="1:24">
      <c r="A4440" t="s">
        <v>358</v>
      </c>
      <c r="B4440" t="s">
        <v>668</v>
      </c>
      <c r="C4440" t="s">
        <v>270</v>
      </c>
      <c r="D4440" t="s">
        <v>126</v>
      </c>
      <c r="E4440" t="s">
        <v>377</v>
      </c>
      <c r="F4440" t="s">
        <v>312</v>
      </c>
      <c r="G4440" t="s">
        <v>348</v>
      </c>
      <c r="H4440" t="s">
        <v>348</v>
      </c>
      <c r="I4440" t="s">
        <v>743</v>
      </c>
      <c r="J4440" t="s">
        <v>379</v>
      </c>
      <c r="K4440" t="s">
        <v>546</v>
      </c>
      <c r="L4440" s="784" t="s">
        <v>575</v>
      </c>
      <c r="M4440" t="s">
        <v>745</v>
      </c>
      <c r="P4440" t="s">
        <v>1887</v>
      </c>
      <c r="R4440" t="s">
        <v>150</v>
      </c>
      <c r="S4440" t="s">
        <v>145</v>
      </c>
      <c r="U4440">
        <v>0</v>
      </c>
      <c r="V4440" t="s">
        <v>541</v>
      </c>
      <c r="W4440" t="s">
        <v>562</v>
      </c>
      <c r="X4440" s="784">
        <v>49012774.055630356</v>
      </c>
    </row>
    <row r="4441" spans="1:24">
      <c r="A4441" t="s">
        <v>358</v>
      </c>
      <c r="B4441" t="s">
        <v>669</v>
      </c>
      <c r="C4441" t="s">
        <v>271</v>
      </c>
      <c r="D4441" t="s">
        <v>128</v>
      </c>
      <c r="E4441" t="s">
        <v>377</v>
      </c>
      <c r="F4441" t="s">
        <v>312</v>
      </c>
      <c r="G4441" t="s">
        <v>348</v>
      </c>
      <c r="H4441" t="s">
        <v>348</v>
      </c>
      <c r="I4441" t="s">
        <v>743</v>
      </c>
      <c r="J4441" t="s">
        <v>379</v>
      </c>
      <c r="K4441" t="s">
        <v>546</v>
      </c>
      <c r="L4441" s="784" t="s">
        <v>575</v>
      </c>
      <c r="M4441" t="s">
        <v>745</v>
      </c>
      <c r="P4441" t="s">
        <v>1887</v>
      </c>
      <c r="R4441" t="s">
        <v>148</v>
      </c>
      <c r="S4441" t="s">
        <v>145</v>
      </c>
      <c r="U4441">
        <v>1</v>
      </c>
      <c r="V4441" t="s">
        <v>544</v>
      </c>
      <c r="W4441" t="s">
        <v>583</v>
      </c>
      <c r="X4441" s="784" t="s">
        <v>575</v>
      </c>
    </row>
    <row r="4442" spans="1:24">
      <c r="A4442" t="s">
        <v>358</v>
      </c>
      <c r="B4442" t="s">
        <v>670</v>
      </c>
      <c r="C4442" t="s">
        <v>272</v>
      </c>
      <c r="D4442" t="s">
        <v>128</v>
      </c>
      <c r="E4442" t="s">
        <v>377</v>
      </c>
      <c r="F4442" t="s">
        <v>312</v>
      </c>
      <c r="G4442" t="s">
        <v>348</v>
      </c>
      <c r="H4442" t="s">
        <v>348</v>
      </c>
      <c r="I4442" t="s">
        <v>743</v>
      </c>
      <c r="J4442" t="s">
        <v>379</v>
      </c>
      <c r="K4442" t="s">
        <v>546</v>
      </c>
      <c r="L4442" s="784">
        <v>987000</v>
      </c>
      <c r="M4442" t="s">
        <v>745</v>
      </c>
      <c r="P4442" t="s">
        <v>1887</v>
      </c>
      <c r="R4442" t="s">
        <v>152</v>
      </c>
      <c r="S4442" t="s">
        <v>146</v>
      </c>
      <c r="U4442">
        <v>0</v>
      </c>
      <c r="V4442" t="s">
        <v>544</v>
      </c>
      <c r="W4442" t="s">
        <v>546</v>
      </c>
      <c r="X4442" s="784">
        <v>16429121142.784708</v>
      </c>
    </row>
    <row r="4443" spans="1:24">
      <c r="A4443" t="s">
        <v>358</v>
      </c>
      <c r="B4443" t="s">
        <v>671</v>
      </c>
      <c r="C4443" t="s">
        <v>273</v>
      </c>
      <c r="D4443" t="s">
        <v>128</v>
      </c>
      <c r="E4443" t="s">
        <v>377</v>
      </c>
      <c r="F4443" t="s">
        <v>312</v>
      </c>
      <c r="G4443" t="s">
        <v>348</v>
      </c>
      <c r="H4443" t="s">
        <v>348</v>
      </c>
      <c r="I4443" t="s">
        <v>743</v>
      </c>
      <c r="J4443" t="s">
        <v>379</v>
      </c>
      <c r="K4443" t="s">
        <v>546</v>
      </c>
      <c r="L4443" s="784" t="s">
        <v>575</v>
      </c>
      <c r="M4443" t="s">
        <v>745</v>
      </c>
      <c r="P4443" t="s">
        <v>1887</v>
      </c>
      <c r="R4443" t="s">
        <v>148</v>
      </c>
      <c r="S4443" t="s">
        <v>145</v>
      </c>
      <c r="U4443">
        <v>1</v>
      </c>
      <c r="V4443" t="s">
        <v>544</v>
      </c>
      <c r="W4443" t="s">
        <v>542</v>
      </c>
      <c r="X4443" s="784">
        <v>31684581.76217727</v>
      </c>
    </row>
    <row r="4444" spans="1:24">
      <c r="A4444" t="s">
        <v>358</v>
      </c>
      <c r="B4444" t="s">
        <v>672</v>
      </c>
      <c r="C4444" t="s">
        <v>274</v>
      </c>
      <c r="D4444" t="s">
        <v>132</v>
      </c>
      <c r="E4444" t="s">
        <v>377</v>
      </c>
      <c r="F4444" t="s">
        <v>312</v>
      </c>
      <c r="G4444" t="s">
        <v>348</v>
      </c>
      <c r="H4444" t="s">
        <v>348</v>
      </c>
      <c r="I4444" t="s">
        <v>743</v>
      </c>
      <c r="J4444" t="s">
        <v>379</v>
      </c>
      <c r="K4444" t="s">
        <v>546</v>
      </c>
      <c r="L4444" s="784" t="s">
        <v>575</v>
      </c>
      <c r="M4444" t="s">
        <v>745</v>
      </c>
      <c r="P4444" t="s">
        <v>1887</v>
      </c>
      <c r="R4444" t="s">
        <v>150</v>
      </c>
      <c r="S4444" t="s">
        <v>145</v>
      </c>
      <c r="U4444">
        <v>0</v>
      </c>
      <c r="V4444" t="s">
        <v>544</v>
      </c>
      <c r="W4444" t="s">
        <v>546</v>
      </c>
      <c r="X4444" s="784">
        <v>1373621563.5182886</v>
      </c>
    </row>
    <row r="4445" spans="1:24">
      <c r="A4445" t="s">
        <v>358</v>
      </c>
      <c r="B4445" t="s">
        <v>673</v>
      </c>
      <c r="C4445" t="s">
        <v>275</v>
      </c>
      <c r="D4445" t="s">
        <v>130</v>
      </c>
      <c r="E4445" t="s">
        <v>377</v>
      </c>
      <c r="F4445" t="s">
        <v>312</v>
      </c>
      <c r="G4445" t="s">
        <v>348</v>
      </c>
      <c r="H4445" t="s">
        <v>348</v>
      </c>
      <c r="I4445" t="s">
        <v>743</v>
      </c>
      <c r="J4445" t="s">
        <v>379</v>
      </c>
      <c r="K4445" t="s">
        <v>546</v>
      </c>
      <c r="L4445" s="784" t="s">
        <v>575</v>
      </c>
      <c r="M4445" t="s">
        <v>745</v>
      </c>
      <c r="P4445" t="s">
        <v>1887</v>
      </c>
      <c r="R4445" t="s">
        <v>550</v>
      </c>
      <c r="S4445" t="s">
        <v>146</v>
      </c>
      <c r="U4445">
        <v>0</v>
      </c>
      <c r="V4445" t="s">
        <v>541</v>
      </c>
      <c r="W4445" t="s">
        <v>575</v>
      </c>
      <c r="X4445" s="784">
        <v>24214370.889062837</v>
      </c>
    </row>
    <row r="4446" spans="1:24">
      <c r="A4446" t="s">
        <v>358</v>
      </c>
      <c r="B4446" t="s">
        <v>674</v>
      </c>
      <c r="C4446" t="s">
        <v>154</v>
      </c>
      <c r="D4446" t="s">
        <v>130</v>
      </c>
      <c r="E4446" t="s">
        <v>377</v>
      </c>
      <c r="F4446" t="s">
        <v>312</v>
      </c>
      <c r="G4446" t="s">
        <v>348</v>
      </c>
      <c r="H4446" t="s">
        <v>348</v>
      </c>
      <c r="I4446" t="s">
        <v>743</v>
      </c>
      <c r="J4446" t="s">
        <v>379</v>
      </c>
      <c r="K4446" t="s">
        <v>546</v>
      </c>
      <c r="L4446" s="784" t="s">
        <v>575</v>
      </c>
      <c r="M4446" t="s">
        <v>745</v>
      </c>
      <c r="P4446" t="s">
        <v>1887</v>
      </c>
      <c r="R4446" t="s">
        <v>152</v>
      </c>
      <c r="S4446" t="s">
        <v>145</v>
      </c>
      <c r="U4446">
        <v>0</v>
      </c>
      <c r="V4446" t="s">
        <v>541</v>
      </c>
      <c r="W4446" t="s">
        <v>548</v>
      </c>
      <c r="X4446" s="784">
        <v>39941279.609447442</v>
      </c>
    </row>
    <row r="4447" spans="1:24">
      <c r="A4447" t="s">
        <v>358</v>
      </c>
      <c r="B4447" t="s">
        <v>675</v>
      </c>
      <c r="C4447" t="s">
        <v>155</v>
      </c>
      <c r="D4447" t="s">
        <v>130</v>
      </c>
      <c r="E4447" t="s">
        <v>377</v>
      </c>
      <c r="F4447" t="s">
        <v>312</v>
      </c>
      <c r="G4447" t="s">
        <v>348</v>
      </c>
      <c r="H4447" t="s">
        <v>348</v>
      </c>
      <c r="I4447" t="s">
        <v>743</v>
      </c>
      <c r="J4447" t="s">
        <v>379</v>
      </c>
      <c r="K4447" t="s">
        <v>546</v>
      </c>
      <c r="L4447" s="784" t="s">
        <v>575</v>
      </c>
      <c r="M4447" t="s">
        <v>745</v>
      </c>
      <c r="P4447" t="s">
        <v>1887</v>
      </c>
      <c r="R4447" t="s">
        <v>152</v>
      </c>
      <c r="S4447" t="s">
        <v>145</v>
      </c>
      <c r="U4447">
        <v>0</v>
      </c>
      <c r="V4447" t="s">
        <v>541</v>
      </c>
      <c r="W4447" t="s">
        <v>542</v>
      </c>
      <c r="X4447" s="784">
        <v>24761675.260059897</v>
      </c>
    </row>
    <row r="4448" spans="1:24">
      <c r="A4448" t="s">
        <v>358</v>
      </c>
      <c r="B4448" t="s">
        <v>676</v>
      </c>
      <c r="C4448" t="s">
        <v>276</v>
      </c>
      <c r="D4448" t="s">
        <v>131</v>
      </c>
      <c r="E4448" t="s">
        <v>377</v>
      </c>
      <c r="F4448" t="s">
        <v>312</v>
      </c>
      <c r="G4448" t="s">
        <v>348</v>
      </c>
      <c r="H4448" t="s">
        <v>348</v>
      </c>
      <c r="I4448" t="s">
        <v>743</v>
      </c>
      <c r="J4448" t="s">
        <v>379</v>
      </c>
      <c r="K4448" t="s">
        <v>546</v>
      </c>
      <c r="L4448" s="784" t="s">
        <v>575</v>
      </c>
      <c r="M4448" t="s">
        <v>745</v>
      </c>
      <c r="P4448" t="s">
        <v>1887</v>
      </c>
      <c r="R4448" t="s">
        <v>150</v>
      </c>
      <c r="S4448" t="s">
        <v>145</v>
      </c>
      <c r="U4448">
        <v>0</v>
      </c>
      <c r="V4448" t="s">
        <v>544</v>
      </c>
      <c r="W4448" t="s">
        <v>546</v>
      </c>
      <c r="X4448" s="784" t="s">
        <v>575</v>
      </c>
    </row>
    <row r="4449" spans="1:24">
      <c r="A4449" t="s">
        <v>358</v>
      </c>
      <c r="B4449" t="s">
        <v>677</v>
      </c>
      <c r="C4449" t="s">
        <v>277</v>
      </c>
      <c r="D4449" t="s">
        <v>131</v>
      </c>
      <c r="E4449" t="s">
        <v>377</v>
      </c>
      <c r="F4449" t="s">
        <v>312</v>
      </c>
      <c r="G4449" t="s">
        <v>348</v>
      </c>
      <c r="H4449" t="s">
        <v>348</v>
      </c>
      <c r="I4449" t="s">
        <v>743</v>
      </c>
      <c r="J4449" t="s">
        <v>379</v>
      </c>
      <c r="K4449" t="s">
        <v>546</v>
      </c>
      <c r="L4449" s="784" t="s">
        <v>575</v>
      </c>
      <c r="M4449" t="s">
        <v>745</v>
      </c>
      <c r="P4449" t="s">
        <v>1887</v>
      </c>
      <c r="R4449" t="s">
        <v>148</v>
      </c>
      <c r="S4449" t="s">
        <v>145</v>
      </c>
      <c r="U4449">
        <v>1</v>
      </c>
      <c r="V4449" t="s">
        <v>544</v>
      </c>
      <c r="W4449" t="s">
        <v>546</v>
      </c>
      <c r="X4449" s="784">
        <v>577156172.71229994</v>
      </c>
    </row>
    <row r="4450" spans="1:24">
      <c r="A4450" t="s">
        <v>358</v>
      </c>
      <c r="B4450" t="s">
        <v>678</v>
      </c>
      <c r="C4450" t="s">
        <v>278</v>
      </c>
      <c r="D4450" t="s">
        <v>126</v>
      </c>
      <c r="E4450" t="s">
        <v>377</v>
      </c>
      <c r="F4450" t="s">
        <v>312</v>
      </c>
      <c r="G4450" t="s">
        <v>348</v>
      </c>
      <c r="H4450" t="s">
        <v>348</v>
      </c>
      <c r="I4450" t="s">
        <v>743</v>
      </c>
      <c r="J4450" t="s">
        <v>379</v>
      </c>
      <c r="K4450" t="s">
        <v>546</v>
      </c>
      <c r="L4450" s="784" t="s">
        <v>575</v>
      </c>
      <c r="M4450" t="s">
        <v>745</v>
      </c>
      <c r="P4450" t="s">
        <v>1887</v>
      </c>
      <c r="R4450" t="s">
        <v>152</v>
      </c>
      <c r="S4450" t="s">
        <v>146</v>
      </c>
      <c r="U4450">
        <v>0</v>
      </c>
      <c r="V4450" t="s">
        <v>541</v>
      </c>
      <c r="W4450" t="s">
        <v>575</v>
      </c>
      <c r="X4450" s="784">
        <v>180052034.19851837</v>
      </c>
    </row>
    <row r="4451" spans="1:24">
      <c r="A4451" t="s">
        <v>358</v>
      </c>
      <c r="B4451" t="s">
        <v>679</v>
      </c>
      <c r="C4451" t="s">
        <v>279</v>
      </c>
      <c r="D4451" t="s">
        <v>131</v>
      </c>
      <c r="E4451" t="s">
        <v>377</v>
      </c>
      <c r="F4451" t="s">
        <v>312</v>
      </c>
      <c r="G4451" t="s">
        <v>348</v>
      </c>
      <c r="H4451" t="s">
        <v>348</v>
      </c>
      <c r="I4451" t="s">
        <v>743</v>
      </c>
      <c r="J4451" t="s">
        <v>379</v>
      </c>
      <c r="K4451" t="s">
        <v>546</v>
      </c>
      <c r="L4451" s="784" t="s">
        <v>575</v>
      </c>
      <c r="M4451" t="s">
        <v>745</v>
      </c>
      <c r="P4451" t="s">
        <v>1887</v>
      </c>
      <c r="R4451" t="s">
        <v>148</v>
      </c>
      <c r="S4451" t="s">
        <v>145</v>
      </c>
      <c r="U4451">
        <v>1</v>
      </c>
      <c r="V4451" t="s">
        <v>544</v>
      </c>
      <c r="W4451" t="s">
        <v>546</v>
      </c>
      <c r="X4451" s="784" t="s">
        <v>575</v>
      </c>
    </row>
    <row r="4452" spans="1:24">
      <c r="A4452" t="s">
        <v>358</v>
      </c>
      <c r="B4452" t="s">
        <v>680</v>
      </c>
      <c r="C4452" t="s">
        <v>280</v>
      </c>
      <c r="D4452" t="s">
        <v>127</v>
      </c>
      <c r="E4452" t="s">
        <v>377</v>
      </c>
      <c r="F4452" t="s">
        <v>312</v>
      </c>
      <c r="G4452" t="s">
        <v>348</v>
      </c>
      <c r="H4452" t="s">
        <v>348</v>
      </c>
      <c r="I4452" t="s">
        <v>743</v>
      </c>
      <c r="J4452" t="s">
        <v>379</v>
      </c>
      <c r="K4452" t="s">
        <v>546</v>
      </c>
      <c r="L4452" s="784" t="s">
        <v>575</v>
      </c>
      <c r="M4452" t="s">
        <v>745</v>
      </c>
      <c r="P4452" t="s">
        <v>1887</v>
      </c>
      <c r="R4452" t="s">
        <v>150</v>
      </c>
      <c r="S4452" t="s">
        <v>145</v>
      </c>
      <c r="U4452">
        <v>0</v>
      </c>
      <c r="V4452" t="s">
        <v>544</v>
      </c>
      <c r="W4452" t="s">
        <v>542</v>
      </c>
      <c r="X4452" s="784">
        <v>147296124.32232863</v>
      </c>
    </row>
    <row r="4453" spans="1:24">
      <c r="A4453" t="s">
        <v>358</v>
      </c>
      <c r="B4453" t="s">
        <v>681</v>
      </c>
      <c r="C4453" t="s">
        <v>156</v>
      </c>
      <c r="D4453" t="s">
        <v>128</v>
      </c>
      <c r="E4453" t="s">
        <v>377</v>
      </c>
      <c r="F4453" t="s">
        <v>312</v>
      </c>
      <c r="G4453" t="s">
        <v>348</v>
      </c>
      <c r="H4453" t="s">
        <v>348</v>
      </c>
      <c r="I4453" t="s">
        <v>743</v>
      </c>
      <c r="J4453" t="s">
        <v>379</v>
      </c>
      <c r="K4453" t="s">
        <v>546</v>
      </c>
      <c r="L4453" s="784" t="s">
        <v>575</v>
      </c>
      <c r="M4453" t="s">
        <v>745</v>
      </c>
      <c r="P4453" t="s">
        <v>1887</v>
      </c>
      <c r="R4453" t="s">
        <v>150</v>
      </c>
      <c r="S4453" t="s">
        <v>145</v>
      </c>
      <c r="U4453">
        <v>0</v>
      </c>
      <c r="V4453" t="s">
        <v>544</v>
      </c>
      <c r="W4453" t="s">
        <v>548</v>
      </c>
      <c r="X4453" s="784">
        <v>890576536.83065879</v>
      </c>
    </row>
    <row r="4454" spans="1:24">
      <c r="A4454" t="s">
        <v>358</v>
      </c>
      <c r="B4454" t="s">
        <v>682</v>
      </c>
      <c r="C4454" t="s">
        <v>157</v>
      </c>
      <c r="D4454" t="s">
        <v>126</v>
      </c>
      <c r="E4454" t="s">
        <v>377</v>
      </c>
      <c r="F4454" t="s">
        <v>312</v>
      </c>
      <c r="G4454" t="s">
        <v>348</v>
      </c>
      <c r="H4454" t="s">
        <v>348</v>
      </c>
      <c r="I4454" t="s">
        <v>743</v>
      </c>
      <c r="J4454" t="s">
        <v>379</v>
      </c>
      <c r="K4454" t="s">
        <v>546</v>
      </c>
      <c r="L4454" s="784" t="s">
        <v>575</v>
      </c>
      <c r="M4454" t="s">
        <v>745</v>
      </c>
      <c r="P4454" t="s">
        <v>1887</v>
      </c>
      <c r="R4454" t="s">
        <v>152</v>
      </c>
      <c r="S4454" t="s">
        <v>146</v>
      </c>
      <c r="U4454">
        <v>0</v>
      </c>
      <c r="V4454" t="s">
        <v>544</v>
      </c>
      <c r="W4454" t="s">
        <v>575</v>
      </c>
      <c r="X4454" s="784">
        <v>14611129792.346064</v>
      </c>
    </row>
    <row r="4455" spans="1:24">
      <c r="A4455" t="s">
        <v>358</v>
      </c>
      <c r="B4455" t="s">
        <v>683</v>
      </c>
      <c r="C4455" t="s">
        <v>281</v>
      </c>
      <c r="D4455" t="s">
        <v>126</v>
      </c>
      <c r="E4455" t="s">
        <v>377</v>
      </c>
      <c r="F4455" t="s">
        <v>312</v>
      </c>
      <c r="G4455" t="s">
        <v>348</v>
      </c>
      <c r="H4455" t="s">
        <v>348</v>
      </c>
      <c r="I4455" t="s">
        <v>743</v>
      </c>
      <c r="J4455" t="s">
        <v>379</v>
      </c>
      <c r="K4455" t="s">
        <v>546</v>
      </c>
      <c r="L4455" s="784">
        <v>99000</v>
      </c>
      <c r="M4455" t="s">
        <v>745</v>
      </c>
      <c r="P4455" t="s">
        <v>1887</v>
      </c>
      <c r="R4455" t="s">
        <v>150</v>
      </c>
      <c r="S4455" t="s">
        <v>145</v>
      </c>
      <c r="U4455">
        <v>0</v>
      </c>
      <c r="V4455" t="s">
        <v>541</v>
      </c>
      <c r="W4455" t="s">
        <v>558</v>
      </c>
      <c r="X4455" s="784">
        <v>72046877.233008593</v>
      </c>
    </row>
    <row r="4456" spans="1:24">
      <c r="A4456" t="s">
        <v>358</v>
      </c>
      <c r="B4456" t="s">
        <v>684</v>
      </c>
      <c r="C4456" t="s">
        <v>282</v>
      </c>
      <c r="D4456" t="s">
        <v>129</v>
      </c>
      <c r="E4456" t="s">
        <v>377</v>
      </c>
      <c r="F4456" t="s">
        <v>312</v>
      </c>
      <c r="G4456" t="s">
        <v>348</v>
      </c>
      <c r="H4456" t="s">
        <v>348</v>
      </c>
      <c r="I4456" t="s">
        <v>743</v>
      </c>
      <c r="J4456" t="s">
        <v>379</v>
      </c>
      <c r="K4456" t="s">
        <v>546</v>
      </c>
      <c r="L4456" s="784" t="s">
        <v>575</v>
      </c>
      <c r="M4456" t="s">
        <v>745</v>
      </c>
      <c r="P4456" t="s">
        <v>1887</v>
      </c>
      <c r="R4456" t="s">
        <v>148</v>
      </c>
      <c r="S4456" t="s">
        <v>145</v>
      </c>
      <c r="U4456">
        <v>0</v>
      </c>
      <c r="V4456" t="s">
        <v>544</v>
      </c>
      <c r="W4456" t="s">
        <v>542</v>
      </c>
      <c r="X4456" s="784">
        <v>56248139.267255567</v>
      </c>
    </row>
    <row r="4457" spans="1:24">
      <c r="A4457" t="s">
        <v>358</v>
      </c>
      <c r="B4457" t="s">
        <v>685</v>
      </c>
      <c r="C4457" t="s">
        <v>283</v>
      </c>
      <c r="D4457" t="s">
        <v>126</v>
      </c>
      <c r="E4457" t="s">
        <v>377</v>
      </c>
      <c r="F4457" t="s">
        <v>312</v>
      </c>
      <c r="G4457" t="s">
        <v>348</v>
      </c>
      <c r="H4457" t="s">
        <v>348</v>
      </c>
      <c r="I4457" t="s">
        <v>743</v>
      </c>
      <c r="J4457" t="s">
        <v>379</v>
      </c>
      <c r="K4457" t="s">
        <v>546</v>
      </c>
      <c r="L4457" s="784" t="s">
        <v>575</v>
      </c>
      <c r="M4457" t="s">
        <v>745</v>
      </c>
      <c r="P4457" t="s">
        <v>1887</v>
      </c>
      <c r="R4457" t="s">
        <v>152</v>
      </c>
      <c r="S4457" t="s">
        <v>145</v>
      </c>
      <c r="U4457">
        <v>0</v>
      </c>
      <c r="V4457" t="s">
        <v>541</v>
      </c>
      <c r="W4457" t="s">
        <v>542</v>
      </c>
      <c r="X4457" s="784">
        <v>15464031.712942109</v>
      </c>
    </row>
    <row r="4458" spans="1:24">
      <c r="A4458" t="s">
        <v>358</v>
      </c>
      <c r="B4458" t="s">
        <v>686</v>
      </c>
      <c r="C4458" t="s">
        <v>284</v>
      </c>
      <c r="D4458" t="s">
        <v>130</v>
      </c>
      <c r="E4458" t="s">
        <v>377</v>
      </c>
      <c r="F4458" t="s">
        <v>312</v>
      </c>
      <c r="G4458" t="s">
        <v>348</v>
      </c>
      <c r="H4458" t="s">
        <v>348</v>
      </c>
      <c r="I4458" t="s">
        <v>743</v>
      </c>
      <c r="J4458" t="s">
        <v>379</v>
      </c>
      <c r="K4458" t="s">
        <v>546</v>
      </c>
      <c r="L4458" s="784" t="s">
        <v>575</v>
      </c>
      <c r="M4458" t="s">
        <v>745</v>
      </c>
      <c r="P4458" t="s">
        <v>1887</v>
      </c>
      <c r="R4458" t="s">
        <v>550</v>
      </c>
      <c r="S4458" t="s">
        <v>146</v>
      </c>
      <c r="U4458">
        <v>0</v>
      </c>
      <c r="V4458" t="s">
        <v>541</v>
      </c>
      <c r="W4458" t="s">
        <v>546</v>
      </c>
      <c r="X4458" s="784">
        <v>769564399.33249676</v>
      </c>
    </row>
    <row r="4459" spans="1:24">
      <c r="A4459" t="s">
        <v>358</v>
      </c>
      <c r="B4459" t="s">
        <v>687</v>
      </c>
      <c r="C4459" t="s">
        <v>285</v>
      </c>
      <c r="D4459" t="s">
        <v>131</v>
      </c>
      <c r="E4459" t="s">
        <v>377</v>
      </c>
      <c r="F4459" t="s">
        <v>312</v>
      </c>
      <c r="G4459" t="s">
        <v>348</v>
      </c>
      <c r="H4459" t="s">
        <v>348</v>
      </c>
      <c r="I4459" t="s">
        <v>743</v>
      </c>
      <c r="J4459" t="s">
        <v>379</v>
      </c>
      <c r="K4459" t="s">
        <v>546</v>
      </c>
      <c r="L4459" s="784" t="s">
        <v>575</v>
      </c>
      <c r="M4459" t="s">
        <v>745</v>
      </c>
      <c r="P4459" t="s">
        <v>1887</v>
      </c>
      <c r="R4459" t="s">
        <v>150</v>
      </c>
      <c r="S4459" t="s">
        <v>145</v>
      </c>
      <c r="U4459">
        <v>0</v>
      </c>
      <c r="V4459" t="s">
        <v>544</v>
      </c>
      <c r="W4459" t="s">
        <v>546</v>
      </c>
      <c r="X4459" s="784">
        <v>1668954539.7630196</v>
      </c>
    </row>
    <row r="4460" spans="1:24">
      <c r="A4460" t="s">
        <v>358</v>
      </c>
      <c r="B4460" t="s">
        <v>688</v>
      </c>
      <c r="C4460" t="s">
        <v>286</v>
      </c>
      <c r="D4460" t="s">
        <v>127</v>
      </c>
      <c r="E4460" t="s">
        <v>377</v>
      </c>
      <c r="F4460" t="s">
        <v>312</v>
      </c>
      <c r="G4460" t="s">
        <v>348</v>
      </c>
      <c r="H4460" t="s">
        <v>348</v>
      </c>
      <c r="I4460" t="s">
        <v>743</v>
      </c>
      <c r="J4460" t="s">
        <v>379</v>
      </c>
      <c r="K4460" t="s">
        <v>546</v>
      </c>
      <c r="L4460" s="784" t="s">
        <v>575</v>
      </c>
      <c r="M4460" t="s">
        <v>745</v>
      </c>
      <c r="P4460" t="s">
        <v>1887</v>
      </c>
      <c r="R4460" t="s">
        <v>152</v>
      </c>
      <c r="S4460" t="s">
        <v>146</v>
      </c>
      <c r="U4460">
        <v>0</v>
      </c>
      <c r="V4460" t="s">
        <v>544</v>
      </c>
      <c r="W4460" t="s">
        <v>575</v>
      </c>
      <c r="X4460" s="784">
        <v>24840920016.18832</v>
      </c>
    </row>
    <row r="4461" spans="1:24">
      <c r="A4461" t="s">
        <v>358</v>
      </c>
      <c r="B4461" t="s">
        <v>689</v>
      </c>
      <c r="C4461" t="s">
        <v>287</v>
      </c>
      <c r="D4461" t="s">
        <v>127</v>
      </c>
      <c r="E4461" t="s">
        <v>377</v>
      </c>
      <c r="F4461" t="s">
        <v>312</v>
      </c>
      <c r="G4461" t="s">
        <v>348</v>
      </c>
      <c r="H4461" t="s">
        <v>348</v>
      </c>
      <c r="I4461" t="s">
        <v>743</v>
      </c>
      <c r="J4461" t="s">
        <v>379</v>
      </c>
      <c r="K4461" t="s">
        <v>546</v>
      </c>
      <c r="L4461" s="784" t="s">
        <v>575</v>
      </c>
      <c r="M4461" t="s">
        <v>745</v>
      </c>
      <c r="P4461" t="s">
        <v>1887</v>
      </c>
      <c r="R4461" t="s">
        <v>152</v>
      </c>
      <c r="S4461" t="s">
        <v>146</v>
      </c>
      <c r="U4461">
        <v>0</v>
      </c>
      <c r="V4461" t="s">
        <v>544</v>
      </c>
      <c r="W4461" t="s">
        <v>546</v>
      </c>
      <c r="X4461" s="784">
        <v>487888462.83720118</v>
      </c>
    </row>
    <row r="4462" spans="1:24">
      <c r="A4462" t="s">
        <v>358</v>
      </c>
      <c r="B4462" t="s">
        <v>690</v>
      </c>
      <c r="C4462" t="s">
        <v>288</v>
      </c>
      <c r="D4462" t="s">
        <v>126</v>
      </c>
      <c r="E4462" t="s">
        <v>377</v>
      </c>
      <c r="F4462" t="s">
        <v>312</v>
      </c>
      <c r="G4462" t="s">
        <v>348</v>
      </c>
      <c r="H4462" t="s">
        <v>348</v>
      </c>
      <c r="I4462" t="s">
        <v>743</v>
      </c>
      <c r="J4462" t="s">
        <v>379</v>
      </c>
      <c r="K4462" t="s">
        <v>546</v>
      </c>
      <c r="L4462" s="784" t="s">
        <v>575</v>
      </c>
      <c r="M4462" t="s">
        <v>745</v>
      </c>
      <c r="P4462" t="s">
        <v>1887</v>
      </c>
      <c r="R4462" t="s">
        <v>152</v>
      </c>
      <c r="S4462" t="s">
        <v>145</v>
      </c>
      <c r="U4462">
        <v>0</v>
      </c>
      <c r="V4462" t="s">
        <v>541</v>
      </c>
      <c r="W4462" t="s">
        <v>548</v>
      </c>
      <c r="X4462" s="784">
        <v>6365061.1736073596</v>
      </c>
    </row>
    <row r="4463" spans="1:24">
      <c r="A4463" t="s">
        <v>358</v>
      </c>
      <c r="B4463" t="s">
        <v>691</v>
      </c>
      <c r="C4463" t="s">
        <v>289</v>
      </c>
      <c r="D4463" t="s">
        <v>128</v>
      </c>
      <c r="E4463" t="s">
        <v>377</v>
      </c>
      <c r="F4463" t="s">
        <v>312</v>
      </c>
      <c r="G4463" t="s">
        <v>348</v>
      </c>
      <c r="H4463" t="s">
        <v>348</v>
      </c>
      <c r="I4463" t="s">
        <v>743</v>
      </c>
      <c r="J4463" t="s">
        <v>379</v>
      </c>
      <c r="K4463" t="s">
        <v>546</v>
      </c>
      <c r="L4463" s="784">
        <v>1106000</v>
      </c>
      <c r="M4463" t="s">
        <v>745</v>
      </c>
      <c r="P4463" t="s">
        <v>1887</v>
      </c>
      <c r="R4463" t="s">
        <v>148</v>
      </c>
      <c r="S4463" t="s">
        <v>145</v>
      </c>
      <c r="U4463">
        <v>2</v>
      </c>
      <c r="V4463" t="s">
        <v>544</v>
      </c>
      <c r="W4463" t="s">
        <v>558</v>
      </c>
      <c r="X4463" s="784">
        <v>291799092.90196139</v>
      </c>
    </row>
    <row r="4464" spans="1:24">
      <c r="A4464" t="s">
        <v>358</v>
      </c>
      <c r="B4464" t="s">
        <v>692</v>
      </c>
      <c r="C4464" t="s">
        <v>290</v>
      </c>
      <c r="D4464" t="s">
        <v>127</v>
      </c>
      <c r="E4464" t="s">
        <v>377</v>
      </c>
      <c r="F4464" t="s">
        <v>312</v>
      </c>
      <c r="G4464" t="s">
        <v>348</v>
      </c>
      <c r="H4464" t="s">
        <v>348</v>
      </c>
      <c r="I4464" t="s">
        <v>743</v>
      </c>
      <c r="J4464" t="s">
        <v>379</v>
      </c>
      <c r="K4464" t="s">
        <v>546</v>
      </c>
      <c r="L4464" s="784" t="s">
        <v>575</v>
      </c>
      <c r="M4464" t="s">
        <v>745</v>
      </c>
      <c r="P4464" t="s">
        <v>1887</v>
      </c>
      <c r="R4464" t="s">
        <v>150</v>
      </c>
      <c r="S4464" t="s">
        <v>145</v>
      </c>
      <c r="U4464">
        <v>0</v>
      </c>
      <c r="V4464" t="s">
        <v>544</v>
      </c>
      <c r="W4464" t="s">
        <v>546</v>
      </c>
      <c r="X4464" s="784">
        <v>4844815340.2135534</v>
      </c>
    </row>
    <row r="4465" spans="1:24">
      <c r="A4465" t="s">
        <v>358</v>
      </c>
      <c r="B4465" t="s">
        <v>693</v>
      </c>
      <c r="C4465" t="s">
        <v>291</v>
      </c>
      <c r="D4465" t="s">
        <v>130</v>
      </c>
      <c r="E4465" t="s">
        <v>377</v>
      </c>
      <c r="F4465" t="s">
        <v>312</v>
      </c>
      <c r="G4465" t="s">
        <v>348</v>
      </c>
      <c r="H4465" t="s">
        <v>348</v>
      </c>
      <c r="I4465" t="s">
        <v>743</v>
      </c>
      <c r="J4465" t="s">
        <v>379</v>
      </c>
      <c r="K4465" t="s">
        <v>546</v>
      </c>
      <c r="L4465" s="784" t="s">
        <v>575</v>
      </c>
      <c r="M4465" t="s">
        <v>745</v>
      </c>
      <c r="P4465" t="s">
        <v>1887</v>
      </c>
      <c r="R4465" t="s">
        <v>550</v>
      </c>
      <c r="S4465" t="s">
        <v>146</v>
      </c>
      <c r="U4465">
        <v>0</v>
      </c>
      <c r="V4465" t="s">
        <v>544</v>
      </c>
      <c r="W4465" t="s">
        <v>575</v>
      </c>
      <c r="X4465" s="784">
        <v>4001891446.6871672</v>
      </c>
    </row>
    <row r="4466" spans="1:24">
      <c r="A4466" t="s">
        <v>358</v>
      </c>
      <c r="B4466" t="s">
        <v>694</v>
      </c>
      <c r="C4466" t="s">
        <v>292</v>
      </c>
      <c r="D4466" t="s">
        <v>127</v>
      </c>
      <c r="E4466" t="s">
        <v>377</v>
      </c>
      <c r="F4466" t="s">
        <v>312</v>
      </c>
      <c r="G4466" t="s">
        <v>348</v>
      </c>
      <c r="H4466" t="s">
        <v>348</v>
      </c>
      <c r="I4466" t="s">
        <v>743</v>
      </c>
      <c r="J4466" t="s">
        <v>379</v>
      </c>
      <c r="K4466" t="s">
        <v>546</v>
      </c>
      <c r="L4466" s="784" t="s">
        <v>575</v>
      </c>
      <c r="M4466" t="s">
        <v>745</v>
      </c>
      <c r="P4466" t="s">
        <v>1887</v>
      </c>
      <c r="R4466" t="s">
        <v>150</v>
      </c>
      <c r="S4466" t="s">
        <v>145</v>
      </c>
      <c r="U4466">
        <v>0</v>
      </c>
      <c r="V4466" t="s">
        <v>544</v>
      </c>
      <c r="W4466" t="s">
        <v>558</v>
      </c>
      <c r="X4466" s="784">
        <v>1019800630.5853213</v>
      </c>
    </row>
    <row r="4467" spans="1:24">
      <c r="A4467" t="s">
        <v>358</v>
      </c>
      <c r="B4467" t="s">
        <v>695</v>
      </c>
      <c r="C4467" t="s">
        <v>293</v>
      </c>
      <c r="D4467" t="s">
        <v>126</v>
      </c>
      <c r="E4467" t="s">
        <v>377</v>
      </c>
      <c r="F4467" t="s">
        <v>312</v>
      </c>
      <c r="G4467" t="s">
        <v>348</v>
      </c>
      <c r="H4467" t="s">
        <v>348</v>
      </c>
      <c r="I4467" t="s">
        <v>743</v>
      </c>
      <c r="J4467" t="s">
        <v>379</v>
      </c>
      <c r="K4467" t="s">
        <v>546</v>
      </c>
      <c r="L4467" s="784" t="s">
        <v>575</v>
      </c>
      <c r="M4467" t="s">
        <v>745</v>
      </c>
      <c r="P4467" t="s">
        <v>1887</v>
      </c>
      <c r="R4467" t="s">
        <v>150</v>
      </c>
      <c r="S4467" t="s">
        <v>145</v>
      </c>
      <c r="U4467">
        <v>0</v>
      </c>
      <c r="V4467" t="s">
        <v>541</v>
      </c>
      <c r="W4467" t="s">
        <v>562</v>
      </c>
      <c r="X4467" s="784">
        <v>19578671.310841195</v>
      </c>
    </row>
    <row r="4468" spans="1:24">
      <c r="A4468" t="s">
        <v>358</v>
      </c>
      <c r="B4468" t="s">
        <v>696</v>
      </c>
      <c r="C4468" t="s">
        <v>294</v>
      </c>
      <c r="D4468" t="s">
        <v>130</v>
      </c>
      <c r="E4468" t="s">
        <v>377</v>
      </c>
      <c r="F4468" t="s">
        <v>312</v>
      </c>
      <c r="G4468" t="s">
        <v>348</v>
      </c>
      <c r="H4468" t="s">
        <v>348</v>
      </c>
      <c r="I4468" t="s">
        <v>743</v>
      </c>
      <c r="J4468" t="s">
        <v>379</v>
      </c>
      <c r="K4468" t="s">
        <v>546</v>
      </c>
      <c r="L4468" s="784" t="s">
        <v>575</v>
      </c>
      <c r="M4468" t="s">
        <v>745</v>
      </c>
      <c r="P4468" t="s">
        <v>1887</v>
      </c>
      <c r="R4468" t="s">
        <v>322</v>
      </c>
      <c r="S4468" t="s">
        <v>146</v>
      </c>
      <c r="U4468">
        <v>0</v>
      </c>
      <c r="V4468" t="s">
        <v>544</v>
      </c>
      <c r="W4468" t="s">
        <v>546</v>
      </c>
      <c r="X4468" s="784">
        <v>3551452001.0684834</v>
      </c>
    </row>
    <row r="4469" spans="1:24">
      <c r="A4469" t="s">
        <v>358</v>
      </c>
      <c r="B4469" t="s">
        <v>697</v>
      </c>
      <c r="C4469" t="s">
        <v>295</v>
      </c>
      <c r="D4469" t="s">
        <v>126</v>
      </c>
      <c r="E4469" t="s">
        <v>377</v>
      </c>
      <c r="F4469" t="s">
        <v>312</v>
      </c>
      <c r="G4469" t="s">
        <v>348</v>
      </c>
      <c r="H4469" t="s">
        <v>348</v>
      </c>
      <c r="I4469" t="s">
        <v>743</v>
      </c>
      <c r="J4469" t="s">
        <v>379</v>
      </c>
      <c r="K4469" t="s">
        <v>546</v>
      </c>
      <c r="L4469" s="784" t="s">
        <v>575</v>
      </c>
      <c r="M4469" t="s">
        <v>745</v>
      </c>
      <c r="P4469" t="s">
        <v>1887</v>
      </c>
      <c r="R4469" t="s">
        <v>150</v>
      </c>
      <c r="S4469" t="s">
        <v>145</v>
      </c>
      <c r="U4469">
        <v>0</v>
      </c>
      <c r="V4469" t="s">
        <v>544</v>
      </c>
      <c r="W4469" t="s">
        <v>546</v>
      </c>
      <c r="X4469" s="784">
        <v>6603048821.7575006</v>
      </c>
    </row>
    <row r="4470" spans="1:24">
      <c r="A4470" t="s">
        <v>358</v>
      </c>
      <c r="B4470" t="s">
        <v>698</v>
      </c>
      <c r="C4470" t="s">
        <v>296</v>
      </c>
      <c r="D4470" t="s">
        <v>131</v>
      </c>
      <c r="E4470" t="s">
        <v>377</v>
      </c>
      <c r="F4470" t="s">
        <v>312</v>
      </c>
      <c r="G4470" t="s">
        <v>348</v>
      </c>
      <c r="H4470" t="s">
        <v>348</v>
      </c>
      <c r="I4470" t="s">
        <v>743</v>
      </c>
      <c r="J4470" t="s">
        <v>379</v>
      </c>
      <c r="K4470" t="s">
        <v>546</v>
      </c>
      <c r="L4470" s="784" t="s">
        <v>575</v>
      </c>
      <c r="M4470" t="s">
        <v>745</v>
      </c>
      <c r="P4470" t="s">
        <v>1887</v>
      </c>
      <c r="R4470" t="s">
        <v>148</v>
      </c>
      <c r="S4470" t="s">
        <v>145</v>
      </c>
      <c r="U4470">
        <v>1</v>
      </c>
      <c r="V4470" t="s">
        <v>544</v>
      </c>
      <c r="W4470" t="s">
        <v>548</v>
      </c>
      <c r="X4470" s="784" t="s">
        <v>575</v>
      </c>
    </row>
    <row r="4471" spans="1:24">
      <c r="A4471" t="s">
        <v>358</v>
      </c>
      <c r="B4471" t="s">
        <v>699</v>
      </c>
      <c r="C4471" t="s">
        <v>297</v>
      </c>
      <c r="D4471" t="s">
        <v>128</v>
      </c>
      <c r="E4471" t="s">
        <v>377</v>
      </c>
      <c r="F4471" t="s">
        <v>312</v>
      </c>
      <c r="G4471" t="s">
        <v>348</v>
      </c>
      <c r="H4471" t="s">
        <v>348</v>
      </c>
      <c r="I4471" t="s">
        <v>743</v>
      </c>
      <c r="J4471" t="s">
        <v>379</v>
      </c>
      <c r="K4471" t="s">
        <v>546</v>
      </c>
      <c r="L4471" s="784" t="s">
        <v>575</v>
      </c>
      <c r="M4471" t="s">
        <v>745</v>
      </c>
      <c r="P4471" t="s">
        <v>1887</v>
      </c>
      <c r="R4471" t="s">
        <v>150</v>
      </c>
      <c r="S4471" t="s">
        <v>145</v>
      </c>
      <c r="U4471">
        <v>0</v>
      </c>
      <c r="V4471" t="s">
        <v>544</v>
      </c>
      <c r="W4471" t="s">
        <v>542</v>
      </c>
      <c r="X4471" s="784">
        <v>515352723.9821828</v>
      </c>
    </row>
    <row r="4472" spans="1:24">
      <c r="A4472" t="s">
        <v>358</v>
      </c>
      <c r="B4472" t="s">
        <v>700</v>
      </c>
      <c r="C4472" t="s">
        <v>298</v>
      </c>
      <c r="D4472" t="s">
        <v>128</v>
      </c>
      <c r="E4472" t="s">
        <v>377</v>
      </c>
      <c r="F4472" t="s">
        <v>312</v>
      </c>
      <c r="G4472" t="s">
        <v>348</v>
      </c>
      <c r="H4472" t="s">
        <v>348</v>
      </c>
      <c r="I4472" t="s">
        <v>743</v>
      </c>
      <c r="J4472" t="s">
        <v>379</v>
      </c>
      <c r="K4472" t="s">
        <v>546</v>
      </c>
      <c r="L4472" s="784">
        <v>100000</v>
      </c>
      <c r="M4472" t="s">
        <v>745</v>
      </c>
      <c r="P4472" t="s">
        <v>1887</v>
      </c>
      <c r="R4472" t="s">
        <v>150</v>
      </c>
      <c r="S4472" t="s">
        <v>145</v>
      </c>
      <c r="U4472">
        <v>0</v>
      </c>
      <c r="V4472" t="s">
        <v>544</v>
      </c>
      <c r="W4472" t="s">
        <v>546</v>
      </c>
      <c r="X4472" s="784">
        <v>566711742.22428358</v>
      </c>
    </row>
    <row r="4473" spans="1:24">
      <c r="A4473" t="s">
        <v>358</v>
      </c>
      <c r="B4473" t="s">
        <v>540</v>
      </c>
      <c r="C4473" t="s">
        <v>160</v>
      </c>
      <c r="D4473" t="s">
        <v>132</v>
      </c>
      <c r="E4473" t="s">
        <v>377</v>
      </c>
      <c r="F4473" t="s">
        <v>384</v>
      </c>
      <c r="G4473" t="s">
        <v>105</v>
      </c>
      <c r="H4473" t="s">
        <v>749</v>
      </c>
      <c r="I4473" t="s">
        <v>743</v>
      </c>
      <c r="J4473" t="s">
        <v>379</v>
      </c>
      <c r="K4473" t="s">
        <v>546</v>
      </c>
      <c r="L4473" s="784" t="s">
        <v>575</v>
      </c>
      <c r="M4473" t="s">
        <v>745</v>
      </c>
      <c r="N4473" s="784" t="s">
        <v>575</v>
      </c>
      <c r="O4473" t="s">
        <v>737</v>
      </c>
      <c r="P4473" t="s">
        <v>1887</v>
      </c>
      <c r="R4473" t="s">
        <v>148</v>
      </c>
      <c r="S4473" t="s">
        <v>145</v>
      </c>
      <c r="U4473">
        <v>1</v>
      </c>
      <c r="V4473" t="s">
        <v>544</v>
      </c>
      <c r="W4473" t="s">
        <v>542</v>
      </c>
      <c r="X4473" s="784">
        <v>95829480.719269618</v>
      </c>
    </row>
    <row r="4474" spans="1:24">
      <c r="A4474" t="s">
        <v>358</v>
      </c>
      <c r="B4474" t="s">
        <v>543</v>
      </c>
      <c r="C4474" t="s">
        <v>161</v>
      </c>
      <c r="D4474" t="s">
        <v>127</v>
      </c>
      <c r="E4474" t="s">
        <v>377</v>
      </c>
      <c r="F4474" t="s">
        <v>384</v>
      </c>
      <c r="G4474" t="s">
        <v>105</v>
      </c>
      <c r="H4474" t="s">
        <v>749</v>
      </c>
      <c r="I4474" t="s">
        <v>743</v>
      </c>
      <c r="J4474" t="s">
        <v>379</v>
      </c>
      <c r="K4474" t="s">
        <v>546</v>
      </c>
      <c r="L4474" s="784" t="s">
        <v>575</v>
      </c>
      <c r="M4474" t="s">
        <v>745</v>
      </c>
      <c r="N4474" s="784" t="s">
        <v>575</v>
      </c>
      <c r="O4474" t="s">
        <v>737</v>
      </c>
      <c r="P4474" t="s">
        <v>1887</v>
      </c>
      <c r="R4474" t="s">
        <v>152</v>
      </c>
      <c r="S4474" t="s">
        <v>146</v>
      </c>
      <c r="U4474">
        <v>0</v>
      </c>
      <c r="V4474" t="s">
        <v>544</v>
      </c>
      <c r="W4474" t="s">
        <v>575</v>
      </c>
      <c r="X4474" s="784">
        <v>427904035.52443534</v>
      </c>
    </row>
    <row r="4475" spans="1:24">
      <c r="A4475" t="s">
        <v>358</v>
      </c>
      <c r="B4475" t="s">
        <v>545</v>
      </c>
      <c r="C4475" t="s">
        <v>143</v>
      </c>
      <c r="D4475" t="s">
        <v>131</v>
      </c>
      <c r="E4475" t="s">
        <v>377</v>
      </c>
      <c r="F4475" t="s">
        <v>384</v>
      </c>
      <c r="G4475" t="s">
        <v>105</v>
      </c>
      <c r="H4475" t="s">
        <v>749</v>
      </c>
      <c r="I4475" t="s">
        <v>743</v>
      </c>
      <c r="J4475" t="s">
        <v>379</v>
      </c>
      <c r="K4475" t="s">
        <v>546</v>
      </c>
      <c r="L4475" s="784" t="s">
        <v>575</v>
      </c>
      <c r="M4475" t="s">
        <v>745</v>
      </c>
      <c r="N4475" s="784" t="s">
        <v>575</v>
      </c>
      <c r="O4475" t="s">
        <v>737</v>
      </c>
      <c r="P4475" t="s">
        <v>1887</v>
      </c>
      <c r="R4475" t="s">
        <v>150</v>
      </c>
      <c r="S4475" t="s">
        <v>145</v>
      </c>
      <c r="U4475">
        <v>0</v>
      </c>
      <c r="V4475" t="s">
        <v>544</v>
      </c>
      <c r="W4475" t="s">
        <v>546</v>
      </c>
      <c r="X4475" s="784">
        <v>7113361022.7267885</v>
      </c>
    </row>
    <row r="4476" spans="1:24">
      <c r="A4476" t="s">
        <v>358</v>
      </c>
      <c r="B4476" t="s">
        <v>547</v>
      </c>
      <c r="C4476" t="s">
        <v>162</v>
      </c>
      <c r="D4476" t="s">
        <v>128</v>
      </c>
      <c r="E4476" t="s">
        <v>377</v>
      </c>
      <c r="F4476" t="s">
        <v>384</v>
      </c>
      <c r="G4476" t="s">
        <v>105</v>
      </c>
      <c r="H4476" t="s">
        <v>749</v>
      </c>
      <c r="I4476" t="s">
        <v>743</v>
      </c>
      <c r="J4476" t="s">
        <v>379</v>
      </c>
      <c r="K4476" t="s">
        <v>546</v>
      </c>
      <c r="L4476" s="784" t="s">
        <v>575</v>
      </c>
      <c r="M4476" t="s">
        <v>745</v>
      </c>
      <c r="N4476" s="784" t="s">
        <v>575</v>
      </c>
      <c r="O4476" t="s">
        <v>737</v>
      </c>
      <c r="P4476" t="s">
        <v>1887</v>
      </c>
      <c r="R4476" t="s">
        <v>150</v>
      </c>
      <c r="S4476" t="s">
        <v>145</v>
      </c>
      <c r="U4476">
        <v>0</v>
      </c>
      <c r="V4476" t="s">
        <v>544</v>
      </c>
      <c r="W4476" t="s">
        <v>548</v>
      </c>
      <c r="X4476" s="784">
        <v>1131865946.5875781</v>
      </c>
    </row>
    <row r="4477" spans="1:24">
      <c r="A4477" t="s">
        <v>358</v>
      </c>
      <c r="B4477" t="s">
        <v>549</v>
      </c>
      <c r="C4477" t="s">
        <v>163</v>
      </c>
      <c r="D4477" t="s">
        <v>130</v>
      </c>
      <c r="E4477" t="s">
        <v>377</v>
      </c>
      <c r="F4477" t="s">
        <v>384</v>
      </c>
      <c r="G4477" t="s">
        <v>105</v>
      </c>
      <c r="H4477" t="s">
        <v>749</v>
      </c>
      <c r="I4477" t="s">
        <v>743</v>
      </c>
      <c r="J4477" t="s">
        <v>379</v>
      </c>
      <c r="K4477" t="s">
        <v>546</v>
      </c>
      <c r="L4477" s="784" t="s">
        <v>575</v>
      </c>
      <c r="M4477" t="s">
        <v>745</v>
      </c>
      <c r="N4477" s="784" t="s">
        <v>575</v>
      </c>
      <c r="O4477" t="s">
        <v>737</v>
      </c>
      <c r="P4477" t="s">
        <v>1887</v>
      </c>
      <c r="R4477" t="s">
        <v>550</v>
      </c>
      <c r="S4477" t="s">
        <v>146</v>
      </c>
      <c r="U4477">
        <v>0</v>
      </c>
      <c r="V4477" t="s">
        <v>541</v>
      </c>
      <c r="W4477" t="s">
        <v>575</v>
      </c>
      <c r="X4477" s="784">
        <v>46777779.823447868</v>
      </c>
    </row>
    <row r="4478" spans="1:24">
      <c r="A4478" t="s">
        <v>358</v>
      </c>
      <c r="B4478" t="s">
        <v>551</v>
      </c>
      <c r="C4478" t="s">
        <v>164</v>
      </c>
      <c r="D4478" t="s">
        <v>130</v>
      </c>
      <c r="E4478" t="s">
        <v>377</v>
      </c>
      <c r="F4478" t="s">
        <v>384</v>
      </c>
      <c r="G4478" t="s">
        <v>105</v>
      </c>
      <c r="H4478" t="s">
        <v>749</v>
      </c>
      <c r="I4478" t="s">
        <v>743</v>
      </c>
      <c r="J4478" t="s">
        <v>379</v>
      </c>
      <c r="K4478" t="s">
        <v>546</v>
      </c>
      <c r="L4478" s="784" t="s">
        <v>575</v>
      </c>
      <c r="M4478" t="s">
        <v>745</v>
      </c>
      <c r="N4478" s="784" t="s">
        <v>575</v>
      </c>
      <c r="O4478" t="s">
        <v>737</v>
      </c>
      <c r="P4478" t="s">
        <v>1887</v>
      </c>
      <c r="R4478" t="s">
        <v>152</v>
      </c>
      <c r="S4478" t="s">
        <v>146</v>
      </c>
      <c r="U4478">
        <v>0</v>
      </c>
      <c r="V4478" t="s">
        <v>544</v>
      </c>
      <c r="W4478" t="s">
        <v>575</v>
      </c>
      <c r="X4478" s="784">
        <v>30725305777.596794</v>
      </c>
    </row>
    <row r="4479" spans="1:24">
      <c r="A4479" t="s">
        <v>358</v>
      </c>
      <c r="B4479" t="s">
        <v>553</v>
      </c>
      <c r="C4479" t="s">
        <v>165</v>
      </c>
      <c r="D4479" t="s">
        <v>127</v>
      </c>
      <c r="E4479" t="s">
        <v>377</v>
      </c>
      <c r="F4479" t="s">
        <v>384</v>
      </c>
      <c r="G4479" t="s">
        <v>105</v>
      </c>
      <c r="H4479" t="s">
        <v>749</v>
      </c>
      <c r="I4479" t="s">
        <v>743</v>
      </c>
      <c r="J4479" t="s">
        <v>379</v>
      </c>
      <c r="K4479" t="s">
        <v>546</v>
      </c>
      <c r="L4479" s="784" t="s">
        <v>575</v>
      </c>
      <c r="M4479" t="s">
        <v>745</v>
      </c>
      <c r="N4479" s="784" t="s">
        <v>575</v>
      </c>
      <c r="O4479" t="s">
        <v>737</v>
      </c>
      <c r="P4479" t="s">
        <v>1887</v>
      </c>
      <c r="R4479" t="s">
        <v>152</v>
      </c>
      <c r="S4479" t="s">
        <v>146</v>
      </c>
      <c r="U4479">
        <v>0</v>
      </c>
      <c r="V4479" t="s">
        <v>544</v>
      </c>
      <c r="W4479" t="s">
        <v>575</v>
      </c>
      <c r="X4479" s="784">
        <v>153815827.8380394</v>
      </c>
    </row>
    <row r="4480" spans="1:24">
      <c r="A4480" t="s">
        <v>358</v>
      </c>
      <c r="B4480" t="s">
        <v>554</v>
      </c>
      <c r="C4480" t="s">
        <v>166</v>
      </c>
      <c r="D4480" t="s">
        <v>127</v>
      </c>
      <c r="E4480" t="s">
        <v>377</v>
      </c>
      <c r="F4480" t="s">
        <v>384</v>
      </c>
      <c r="G4480" t="s">
        <v>105</v>
      </c>
      <c r="H4480" t="s">
        <v>749</v>
      </c>
      <c r="I4480" t="s">
        <v>743</v>
      </c>
      <c r="J4480" t="s">
        <v>379</v>
      </c>
      <c r="K4480" t="s">
        <v>546</v>
      </c>
      <c r="L4480" s="784" t="s">
        <v>575</v>
      </c>
      <c r="M4480" t="s">
        <v>745</v>
      </c>
      <c r="N4480" s="784" t="s">
        <v>575</v>
      </c>
      <c r="O4480" t="s">
        <v>737</v>
      </c>
      <c r="P4480" t="s">
        <v>1887</v>
      </c>
      <c r="R4480" t="s">
        <v>152</v>
      </c>
      <c r="S4480" t="s">
        <v>146</v>
      </c>
      <c r="U4480">
        <v>0</v>
      </c>
      <c r="V4480" t="s">
        <v>544</v>
      </c>
      <c r="W4480" t="s">
        <v>546</v>
      </c>
      <c r="X4480" s="784">
        <v>437525105.31216973</v>
      </c>
    </row>
    <row r="4481" spans="1:24">
      <c r="A4481" t="s">
        <v>358</v>
      </c>
      <c r="B4481" t="s">
        <v>555</v>
      </c>
      <c r="C4481" t="s">
        <v>556</v>
      </c>
      <c r="D4481" t="s">
        <v>130</v>
      </c>
      <c r="E4481" t="s">
        <v>377</v>
      </c>
      <c r="F4481" t="s">
        <v>384</v>
      </c>
      <c r="G4481" t="s">
        <v>105</v>
      </c>
      <c r="H4481" t="s">
        <v>749</v>
      </c>
      <c r="I4481" t="s">
        <v>743</v>
      </c>
      <c r="J4481" t="s">
        <v>379</v>
      </c>
      <c r="K4481" t="s">
        <v>546</v>
      </c>
      <c r="L4481" s="784" t="s">
        <v>575</v>
      </c>
      <c r="M4481" t="s">
        <v>745</v>
      </c>
      <c r="N4481" s="784" t="s">
        <v>575</v>
      </c>
      <c r="O4481" t="s">
        <v>737</v>
      </c>
      <c r="P4481" t="s">
        <v>1887</v>
      </c>
      <c r="R4481" t="s">
        <v>550</v>
      </c>
      <c r="S4481" t="s">
        <v>146</v>
      </c>
      <c r="U4481">
        <v>0</v>
      </c>
      <c r="V4481" t="s">
        <v>541</v>
      </c>
      <c r="W4481" t="s">
        <v>575</v>
      </c>
      <c r="X4481" s="784">
        <v>149463302.00602186</v>
      </c>
    </row>
    <row r="4482" spans="1:24">
      <c r="A4482" t="s">
        <v>358</v>
      </c>
      <c r="B4482" t="s">
        <v>557</v>
      </c>
      <c r="C4482" t="s">
        <v>167</v>
      </c>
      <c r="D4482" t="s">
        <v>132</v>
      </c>
      <c r="E4482" t="s">
        <v>377</v>
      </c>
      <c r="F4482" t="s">
        <v>384</v>
      </c>
      <c r="G4482" t="s">
        <v>105</v>
      </c>
      <c r="H4482" t="s">
        <v>749</v>
      </c>
      <c r="I4482" t="s">
        <v>743</v>
      </c>
      <c r="J4482" t="s">
        <v>379</v>
      </c>
      <c r="K4482" t="s">
        <v>546</v>
      </c>
      <c r="L4482" s="784" t="s">
        <v>575</v>
      </c>
      <c r="M4482" t="s">
        <v>745</v>
      </c>
      <c r="N4482" s="784" t="s">
        <v>575</v>
      </c>
      <c r="O4482" t="s">
        <v>737</v>
      </c>
      <c r="P4482" t="s">
        <v>1887</v>
      </c>
      <c r="R4482" t="s">
        <v>150</v>
      </c>
      <c r="S4482" t="s">
        <v>145</v>
      </c>
      <c r="U4482">
        <v>0</v>
      </c>
      <c r="V4482" t="s">
        <v>544</v>
      </c>
      <c r="W4482" t="s">
        <v>558</v>
      </c>
      <c r="X4482" s="784">
        <v>1148322593.9600098</v>
      </c>
    </row>
    <row r="4483" spans="1:24">
      <c r="A4483" t="s">
        <v>358</v>
      </c>
      <c r="B4483" t="s">
        <v>559</v>
      </c>
      <c r="C4483" t="s">
        <v>168</v>
      </c>
      <c r="D4483" t="s">
        <v>127</v>
      </c>
      <c r="E4483" t="s">
        <v>377</v>
      </c>
      <c r="F4483" t="s">
        <v>384</v>
      </c>
      <c r="G4483" t="s">
        <v>105</v>
      </c>
      <c r="H4483" t="s">
        <v>749</v>
      </c>
      <c r="I4483" t="s">
        <v>743</v>
      </c>
      <c r="J4483" t="s">
        <v>379</v>
      </c>
      <c r="K4483" t="s">
        <v>546</v>
      </c>
      <c r="L4483" s="784" t="s">
        <v>575</v>
      </c>
      <c r="M4483" t="s">
        <v>745</v>
      </c>
      <c r="N4483" s="784" t="s">
        <v>575</v>
      </c>
      <c r="O4483" t="s">
        <v>737</v>
      </c>
      <c r="P4483" t="s">
        <v>1887</v>
      </c>
      <c r="R4483" t="s">
        <v>152</v>
      </c>
      <c r="S4483" t="s">
        <v>146</v>
      </c>
      <c r="U4483">
        <v>0</v>
      </c>
      <c r="V4483" t="s">
        <v>544</v>
      </c>
      <c r="W4483" t="s">
        <v>575</v>
      </c>
      <c r="X4483" s="784">
        <v>2371102058.1093163</v>
      </c>
    </row>
    <row r="4484" spans="1:24">
      <c r="A4484" t="s">
        <v>358</v>
      </c>
      <c r="B4484" t="s">
        <v>560</v>
      </c>
      <c r="C4484" t="s">
        <v>169</v>
      </c>
      <c r="D4484" t="s">
        <v>130</v>
      </c>
      <c r="E4484" t="s">
        <v>377</v>
      </c>
      <c r="F4484" t="s">
        <v>384</v>
      </c>
      <c r="G4484" t="s">
        <v>105</v>
      </c>
      <c r="H4484" t="s">
        <v>749</v>
      </c>
      <c r="I4484" t="s">
        <v>743</v>
      </c>
      <c r="J4484" t="s">
        <v>379</v>
      </c>
      <c r="K4484" t="s">
        <v>546</v>
      </c>
      <c r="L4484" s="784" t="s">
        <v>575</v>
      </c>
      <c r="M4484" t="s">
        <v>745</v>
      </c>
      <c r="N4484" s="784" t="s">
        <v>575</v>
      </c>
      <c r="O4484" t="s">
        <v>737</v>
      </c>
      <c r="P4484" t="s">
        <v>1887</v>
      </c>
      <c r="R4484" t="s">
        <v>150</v>
      </c>
      <c r="S4484" t="s">
        <v>146</v>
      </c>
      <c r="U4484">
        <v>0</v>
      </c>
      <c r="V4484" t="s">
        <v>541</v>
      </c>
      <c r="W4484" t="s">
        <v>546</v>
      </c>
      <c r="X4484" s="784">
        <v>75151620.005215243</v>
      </c>
    </row>
    <row r="4485" spans="1:24">
      <c r="A4485" t="s">
        <v>358</v>
      </c>
      <c r="B4485" t="s">
        <v>561</v>
      </c>
      <c r="C4485" t="s">
        <v>170</v>
      </c>
      <c r="D4485" t="s">
        <v>129</v>
      </c>
      <c r="E4485" t="s">
        <v>377</v>
      </c>
      <c r="F4485" t="s">
        <v>384</v>
      </c>
      <c r="G4485" t="s">
        <v>105</v>
      </c>
      <c r="H4485" t="s">
        <v>749</v>
      </c>
      <c r="I4485" t="s">
        <v>743</v>
      </c>
      <c r="J4485" t="s">
        <v>379</v>
      </c>
      <c r="K4485" t="s">
        <v>546</v>
      </c>
      <c r="L4485" s="784" t="s">
        <v>575</v>
      </c>
      <c r="M4485" t="s">
        <v>745</v>
      </c>
      <c r="N4485" s="784" t="s">
        <v>575</v>
      </c>
      <c r="O4485" t="s">
        <v>737</v>
      </c>
      <c r="P4485" t="s">
        <v>1887</v>
      </c>
      <c r="R4485" t="s">
        <v>150</v>
      </c>
      <c r="S4485" t="s">
        <v>145</v>
      </c>
      <c r="U4485">
        <v>0</v>
      </c>
      <c r="V4485" t="s">
        <v>544</v>
      </c>
      <c r="W4485" t="s">
        <v>562</v>
      </c>
      <c r="X4485" s="784">
        <v>69958487.197715744</v>
      </c>
    </row>
    <row r="4486" spans="1:24">
      <c r="A4486" t="s">
        <v>358</v>
      </c>
      <c r="B4486" t="s">
        <v>563</v>
      </c>
      <c r="C4486" t="s">
        <v>171</v>
      </c>
      <c r="D4486" t="s">
        <v>132</v>
      </c>
      <c r="E4486" t="s">
        <v>377</v>
      </c>
      <c r="F4486" t="s">
        <v>384</v>
      </c>
      <c r="G4486" t="s">
        <v>105</v>
      </c>
      <c r="H4486" t="s">
        <v>749</v>
      </c>
      <c r="I4486" t="s">
        <v>743</v>
      </c>
      <c r="J4486" t="s">
        <v>379</v>
      </c>
      <c r="K4486" t="s">
        <v>546</v>
      </c>
      <c r="L4486" s="784" t="s">
        <v>575</v>
      </c>
      <c r="M4486" t="s">
        <v>745</v>
      </c>
      <c r="N4486" s="784" t="s">
        <v>575</v>
      </c>
      <c r="O4486" t="s">
        <v>737</v>
      </c>
      <c r="P4486" t="s">
        <v>1887</v>
      </c>
      <c r="R4486" t="s">
        <v>150</v>
      </c>
      <c r="S4486" t="s">
        <v>145</v>
      </c>
      <c r="U4486">
        <v>0</v>
      </c>
      <c r="V4486" t="s">
        <v>544</v>
      </c>
      <c r="W4486" t="s">
        <v>548</v>
      </c>
      <c r="X4486" s="784">
        <v>61654608.560629159</v>
      </c>
    </row>
    <row r="4487" spans="1:24">
      <c r="A4487" t="s">
        <v>358</v>
      </c>
      <c r="B4487" t="s">
        <v>564</v>
      </c>
      <c r="C4487" t="s">
        <v>172</v>
      </c>
      <c r="D4487" t="s">
        <v>130</v>
      </c>
      <c r="E4487" t="s">
        <v>377</v>
      </c>
      <c r="F4487" t="s">
        <v>384</v>
      </c>
      <c r="G4487" t="s">
        <v>105</v>
      </c>
      <c r="H4487" t="s">
        <v>749</v>
      </c>
      <c r="I4487" t="s">
        <v>743</v>
      </c>
      <c r="J4487" t="s">
        <v>379</v>
      </c>
      <c r="K4487" t="s">
        <v>546</v>
      </c>
      <c r="L4487" s="784" t="s">
        <v>575</v>
      </c>
      <c r="M4487" t="s">
        <v>745</v>
      </c>
      <c r="N4487" s="784" t="s">
        <v>575</v>
      </c>
      <c r="O4487" t="s">
        <v>737</v>
      </c>
      <c r="P4487" t="s">
        <v>1887</v>
      </c>
      <c r="R4487" t="s">
        <v>150</v>
      </c>
      <c r="S4487" t="s">
        <v>145</v>
      </c>
      <c r="U4487">
        <v>0</v>
      </c>
      <c r="V4487" t="s">
        <v>544</v>
      </c>
      <c r="W4487" t="s">
        <v>546</v>
      </c>
      <c r="X4487" s="784">
        <v>1806638707.7615163</v>
      </c>
    </row>
    <row r="4488" spans="1:24">
      <c r="A4488" t="s">
        <v>358</v>
      </c>
      <c r="B4488" t="s">
        <v>565</v>
      </c>
      <c r="C4488" t="s">
        <v>174</v>
      </c>
      <c r="D4488" t="s">
        <v>127</v>
      </c>
      <c r="E4488" t="s">
        <v>377</v>
      </c>
      <c r="F4488" t="s">
        <v>384</v>
      </c>
      <c r="G4488" t="s">
        <v>105</v>
      </c>
      <c r="H4488" t="s">
        <v>749</v>
      </c>
      <c r="I4488" t="s">
        <v>743</v>
      </c>
      <c r="J4488" t="s">
        <v>379</v>
      </c>
      <c r="K4488" t="s">
        <v>546</v>
      </c>
      <c r="L4488" s="784" t="s">
        <v>575</v>
      </c>
      <c r="M4488" t="s">
        <v>745</v>
      </c>
      <c r="N4488" s="784" t="s">
        <v>575</v>
      </c>
      <c r="O4488" t="s">
        <v>737</v>
      </c>
      <c r="P4488" t="s">
        <v>1887</v>
      </c>
      <c r="R4488" t="s">
        <v>152</v>
      </c>
      <c r="S4488" t="s">
        <v>146</v>
      </c>
      <c r="U4488">
        <v>0</v>
      </c>
      <c r="V4488" t="s">
        <v>544</v>
      </c>
      <c r="W4488" t="s">
        <v>546</v>
      </c>
      <c r="X4488" s="784">
        <v>1252696525.0627904</v>
      </c>
    </row>
    <row r="4489" spans="1:24">
      <c r="A4489" t="s">
        <v>358</v>
      </c>
      <c r="B4489" t="s">
        <v>566</v>
      </c>
      <c r="C4489" t="s">
        <v>175</v>
      </c>
      <c r="D4489" t="s">
        <v>128</v>
      </c>
      <c r="E4489" t="s">
        <v>377</v>
      </c>
      <c r="F4489" t="s">
        <v>384</v>
      </c>
      <c r="G4489" t="s">
        <v>105</v>
      </c>
      <c r="H4489" t="s">
        <v>749</v>
      </c>
      <c r="I4489" t="s">
        <v>743</v>
      </c>
      <c r="J4489" t="s">
        <v>379</v>
      </c>
      <c r="K4489" t="s">
        <v>546</v>
      </c>
      <c r="L4489" s="784" t="s">
        <v>575</v>
      </c>
      <c r="M4489" t="s">
        <v>745</v>
      </c>
      <c r="N4489" s="784" t="s">
        <v>575</v>
      </c>
      <c r="O4489" t="s">
        <v>737</v>
      </c>
      <c r="P4489" t="s">
        <v>1887</v>
      </c>
      <c r="R4489" t="s">
        <v>152</v>
      </c>
      <c r="S4489" t="s">
        <v>146</v>
      </c>
      <c r="U4489">
        <v>0</v>
      </c>
      <c r="V4489" t="s">
        <v>544</v>
      </c>
      <c r="W4489" t="s">
        <v>575</v>
      </c>
      <c r="X4489" s="784">
        <v>843425084.07334602</v>
      </c>
    </row>
    <row r="4490" spans="1:24">
      <c r="A4490" t="s">
        <v>358</v>
      </c>
      <c r="B4490" t="s">
        <v>567</v>
      </c>
      <c r="C4490" t="s">
        <v>144</v>
      </c>
      <c r="D4490" t="s">
        <v>130</v>
      </c>
      <c r="E4490" t="s">
        <v>377</v>
      </c>
      <c r="F4490" t="s">
        <v>384</v>
      </c>
      <c r="G4490" t="s">
        <v>105</v>
      </c>
      <c r="H4490" t="s">
        <v>749</v>
      </c>
      <c r="I4490" t="s">
        <v>743</v>
      </c>
      <c r="J4490" t="s">
        <v>379</v>
      </c>
      <c r="K4490" t="s">
        <v>546</v>
      </c>
      <c r="L4490" s="784" t="s">
        <v>575</v>
      </c>
      <c r="M4490" t="s">
        <v>745</v>
      </c>
      <c r="N4490" s="784" t="s">
        <v>575</v>
      </c>
      <c r="O4490" t="s">
        <v>737</v>
      </c>
      <c r="P4490" t="s">
        <v>1887</v>
      </c>
      <c r="R4490" t="s">
        <v>152</v>
      </c>
      <c r="S4490" t="s">
        <v>146</v>
      </c>
      <c r="U4490">
        <v>0</v>
      </c>
      <c r="V4490" t="s">
        <v>544</v>
      </c>
      <c r="W4490" t="s">
        <v>546</v>
      </c>
      <c r="X4490" s="784">
        <v>74055620038.853683</v>
      </c>
    </row>
    <row r="4491" spans="1:24">
      <c r="A4491" t="s">
        <v>358</v>
      </c>
      <c r="B4491" t="s">
        <v>568</v>
      </c>
      <c r="C4491" t="s">
        <v>176</v>
      </c>
      <c r="D4491" t="s">
        <v>127</v>
      </c>
      <c r="E4491" t="s">
        <v>377</v>
      </c>
      <c r="F4491" t="s">
        <v>384</v>
      </c>
      <c r="G4491" t="s">
        <v>105</v>
      </c>
      <c r="H4491" t="s">
        <v>749</v>
      </c>
      <c r="I4491" t="s">
        <v>743</v>
      </c>
      <c r="J4491" t="s">
        <v>379</v>
      </c>
      <c r="K4491" t="s">
        <v>546</v>
      </c>
      <c r="L4491" s="784" t="s">
        <v>575</v>
      </c>
      <c r="M4491" t="s">
        <v>745</v>
      </c>
      <c r="N4491" s="784" t="s">
        <v>575</v>
      </c>
      <c r="O4491" t="s">
        <v>737</v>
      </c>
      <c r="P4491" t="s">
        <v>1887</v>
      </c>
      <c r="R4491" t="s">
        <v>152</v>
      </c>
      <c r="S4491" t="s">
        <v>146</v>
      </c>
      <c r="U4491">
        <v>0</v>
      </c>
      <c r="V4491" t="s">
        <v>544</v>
      </c>
      <c r="W4491" t="s">
        <v>575</v>
      </c>
      <c r="X4491" s="784">
        <v>2803357765.5888777</v>
      </c>
    </row>
    <row r="4492" spans="1:24">
      <c r="A4492" t="s">
        <v>358</v>
      </c>
      <c r="B4492" t="s">
        <v>569</v>
      </c>
      <c r="C4492" t="s">
        <v>177</v>
      </c>
      <c r="D4492" t="s">
        <v>129</v>
      </c>
      <c r="E4492" t="s">
        <v>377</v>
      </c>
      <c r="F4492" t="s">
        <v>384</v>
      </c>
      <c r="G4492" t="s">
        <v>105</v>
      </c>
      <c r="H4492" t="s">
        <v>749</v>
      </c>
      <c r="I4492" t="s">
        <v>743</v>
      </c>
      <c r="J4492" t="s">
        <v>379</v>
      </c>
      <c r="K4492" t="s">
        <v>546</v>
      </c>
      <c r="L4492" s="784" t="s">
        <v>575</v>
      </c>
      <c r="M4492" t="s">
        <v>745</v>
      </c>
      <c r="N4492" s="784" t="s">
        <v>575</v>
      </c>
      <c r="O4492" t="s">
        <v>737</v>
      </c>
      <c r="P4492" t="s">
        <v>1887</v>
      </c>
      <c r="R4492" t="s">
        <v>148</v>
      </c>
      <c r="S4492" t="s">
        <v>145</v>
      </c>
      <c r="U4492">
        <v>2</v>
      </c>
      <c r="V4492" t="s">
        <v>544</v>
      </c>
      <c r="W4492" t="s">
        <v>562</v>
      </c>
      <c r="X4492" s="784">
        <v>337927779.25510043</v>
      </c>
    </row>
    <row r="4493" spans="1:24">
      <c r="A4493" t="s">
        <v>358</v>
      </c>
      <c r="B4493" t="s">
        <v>570</v>
      </c>
      <c r="C4493" t="s">
        <v>178</v>
      </c>
      <c r="D4493" t="s">
        <v>128</v>
      </c>
      <c r="E4493" t="s">
        <v>377</v>
      </c>
      <c r="F4493" t="s">
        <v>384</v>
      </c>
      <c r="G4493" t="s">
        <v>105</v>
      </c>
      <c r="H4493" t="s">
        <v>749</v>
      </c>
      <c r="I4493" t="s">
        <v>743</v>
      </c>
      <c r="J4493" t="s">
        <v>379</v>
      </c>
      <c r="K4493" t="s">
        <v>546</v>
      </c>
      <c r="L4493" s="784" t="s">
        <v>575</v>
      </c>
      <c r="M4493" t="s">
        <v>745</v>
      </c>
      <c r="N4493" s="784" t="s">
        <v>575</v>
      </c>
      <c r="O4493" t="s">
        <v>737</v>
      </c>
      <c r="P4493" t="s">
        <v>1887</v>
      </c>
      <c r="R4493" t="s">
        <v>148</v>
      </c>
      <c r="S4493" t="s">
        <v>145</v>
      </c>
      <c r="U4493">
        <v>2</v>
      </c>
      <c r="V4493" t="s">
        <v>544</v>
      </c>
      <c r="W4493" t="s">
        <v>548</v>
      </c>
      <c r="X4493" s="784">
        <v>65979512.47399316</v>
      </c>
    </row>
    <row r="4494" spans="1:24">
      <c r="A4494" t="s">
        <v>358</v>
      </c>
      <c r="B4494" t="s">
        <v>571</v>
      </c>
      <c r="C4494" t="s">
        <v>179</v>
      </c>
      <c r="D4494" t="s">
        <v>129</v>
      </c>
      <c r="E4494" t="s">
        <v>377</v>
      </c>
      <c r="F4494" t="s">
        <v>384</v>
      </c>
      <c r="G4494" t="s">
        <v>105</v>
      </c>
      <c r="H4494" t="s">
        <v>749</v>
      </c>
      <c r="I4494" t="s">
        <v>743</v>
      </c>
      <c r="J4494" t="s">
        <v>379</v>
      </c>
      <c r="K4494" t="s">
        <v>546</v>
      </c>
      <c r="L4494" s="784" t="s">
        <v>575</v>
      </c>
      <c r="M4494" t="s">
        <v>745</v>
      </c>
      <c r="N4494" s="784" t="s">
        <v>575</v>
      </c>
      <c r="O4494" t="s">
        <v>737</v>
      </c>
      <c r="P4494" t="s">
        <v>1887</v>
      </c>
      <c r="R4494" t="s">
        <v>150</v>
      </c>
      <c r="S4494" t="s">
        <v>145</v>
      </c>
      <c r="U4494">
        <v>0</v>
      </c>
      <c r="V4494" t="s">
        <v>541</v>
      </c>
      <c r="W4494" t="s">
        <v>542</v>
      </c>
      <c r="X4494" s="784">
        <v>63748362.778827004</v>
      </c>
    </row>
    <row r="4495" spans="1:24">
      <c r="A4495" t="s">
        <v>358</v>
      </c>
      <c r="B4495" t="s">
        <v>572</v>
      </c>
      <c r="C4495" t="s">
        <v>180</v>
      </c>
      <c r="D4495" t="s">
        <v>126</v>
      </c>
      <c r="E4495" t="s">
        <v>377</v>
      </c>
      <c r="F4495" t="s">
        <v>384</v>
      </c>
      <c r="G4495" t="s">
        <v>105</v>
      </c>
      <c r="H4495" t="s">
        <v>749</v>
      </c>
      <c r="I4495" t="s">
        <v>743</v>
      </c>
      <c r="J4495" t="s">
        <v>379</v>
      </c>
      <c r="K4495" t="s">
        <v>546</v>
      </c>
      <c r="L4495" s="784" t="s">
        <v>575</v>
      </c>
      <c r="M4495" t="s">
        <v>745</v>
      </c>
      <c r="N4495" s="784" t="s">
        <v>575</v>
      </c>
      <c r="O4495" t="s">
        <v>737</v>
      </c>
      <c r="P4495" t="s">
        <v>1887</v>
      </c>
      <c r="R4495" t="s">
        <v>150</v>
      </c>
      <c r="S4495" t="s">
        <v>145</v>
      </c>
      <c r="U4495">
        <v>0</v>
      </c>
      <c r="V4495" t="s">
        <v>544</v>
      </c>
      <c r="W4495" t="s">
        <v>558</v>
      </c>
      <c r="X4495" s="784">
        <v>313039649.45369786</v>
      </c>
    </row>
    <row r="4496" spans="1:24">
      <c r="A4496" t="s">
        <v>358</v>
      </c>
      <c r="B4496" t="s">
        <v>573</v>
      </c>
      <c r="C4496" t="s">
        <v>181</v>
      </c>
      <c r="D4496" t="s">
        <v>129</v>
      </c>
      <c r="E4496" t="s">
        <v>377</v>
      </c>
      <c r="F4496" t="s">
        <v>384</v>
      </c>
      <c r="G4496" t="s">
        <v>105</v>
      </c>
      <c r="H4496" t="s">
        <v>749</v>
      </c>
      <c r="I4496" t="s">
        <v>743</v>
      </c>
      <c r="J4496" t="s">
        <v>379</v>
      </c>
      <c r="K4496" t="s">
        <v>546</v>
      </c>
      <c r="L4496" s="784" t="s">
        <v>575</v>
      </c>
      <c r="M4496" t="s">
        <v>745</v>
      </c>
      <c r="N4496" s="784" t="s">
        <v>575</v>
      </c>
      <c r="O4496" t="s">
        <v>737</v>
      </c>
      <c r="P4496" t="s">
        <v>1887</v>
      </c>
      <c r="R4496" t="s">
        <v>150</v>
      </c>
      <c r="S4496" t="s">
        <v>145</v>
      </c>
      <c r="U4496">
        <v>2</v>
      </c>
      <c r="V4496" t="s">
        <v>544</v>
      </c>
      <c r="W4496" t="s">
        <v>542</v>
      </c>
      <c r="X4496" s="784">
        <v>81361801.477472037</v>
      </c>
    </row>
    <row r="4497" spans="1:24">
      <c r="A4497" t="s">
        <v>358</v>
      </c>
      <c r="B4497" t="s">
        <v>574</v>
      </c>
      <c r="C4497" t="s">
        <v>182</v>
      </c>
      <c r="D4497" t="s">
        <v>129</v>
      </c>
      <c r="E4497" t="s">
        <v>377</v>
      </c>
      <c r="F4497" t="s">
        <v>384</v>
      </c>
      <c r="G4497" t="s">
        <v>105</v>
      </c>
      <c r="H4497" t="s">
        <v>749</v>
      </c>
      <c r="I4497" t="s">
        <v>743</v>
      </c>
      <c r="J4497" t="s">
        <v>379</v>
      </c>
      <c r="K4497" t="s">
        <v>546</v>
      </c>
      <c r="L4497" s="784" t="s">
        <v>575</v>
      </c>
      <c r="M4497" t="s">
        <v>745</v>
      </c>
      <c r="N4497" s="784" t="s">
        <v>575</v>
      </c>
      <c r="O4497" t="s">
        <v>737</v>
      </c>
      <c r="P4497" t="s">
        <v>1887</v>
      </c>
      <c r="R4497" t="s">
        <v>148</v>
      </c>
      <c r="S4497" t="s">
        <v>145</v>
      </c>
      <c r="U4497">
        <v>1</v>
      </c>
      <c r="V4497" t="s">
        <v>544</v>
      </c>
      <c r="W4497" t="s">
        <v>542</v>
      </c>
      <c r="X4497" s="784" t="s">
        <v>575</v>
      </c>
    </row>
    <row r="4498" spans="1:24">
      <c r="A4498" t="s">
        <v>358</v>
      </c>
      <c r="B4498" t="s">
        <v>576</v>
      </c>
      <c r="C4498" t="s">
        <v>183</v>
      </c>
      <c r="D4498" t="s">
        <v>129</v>
      </c>
      <c r="E4498" t="s">
        <v>377</v>
      </c>
      <c r="F4498" t="s">
        <v>384</v>
      </c>
      <c r="G4498" t="s">
        <v>105</v>
      </c>
      <c r="H4498" t="s">
        <v>749</v>
      </c>
      <c r="I4498" t="s">
        <v>743</v>
      </c>
      <c r="J4498" t="s">
        <v>379</v>
      </c>
      <c r="K4498" t="s">
        <v>546</v>
      </c>
      <c r="L4498" s="784" t="s">
        <v>575</v>
      </c>
      <c r="M4498" t="s">
        <v>745</v>
      </c>
      <c r="N4498" s="784" t="s">
        <v>575</v>
      </c>
      <c r="O4498" t="s">
        <v>737</v>
      </c>
      <c r="P4498" t="s">
        <v>1887</v>
      </c>
      <c r="R4498" t="s">
        <v>148</v>
      </c>
      <c r="S4498" t="s">
        <v>145</v>
      </c>
      <c r="U4498">
        <v>1</v>
      </c>
      <c r="V4498" t="s">
        <v>544</v>
      </c>
      <c r="W4498" t="s">
        <v>542</v>
      </c>
      <c r="X4498" s="784">
        <v>76939306.715636879</v>
      </c>
    </row>
    <row r="4499" spans="1:24">
      <c r="A4499" t="s">
        <v>358</v>
      </c>
      <c r="B4499" t="s">
        <v>577</v>
      </c>
      <c r="C4499" t="s">
        <v>184</v>
      </c>
      <c r="D4499" t="s">
        <v>130</v>
      </c>
      <c r="E4499" t="s">
        <v>377</v>
      </c>
      <c r="F4499" t="s">
        <v>384</v>
      </c>
      <c r="G4499" t="s">
        <v>105</v>
      </c>
      <c r="H4499" t="s">
        <v>749</v>
      </c>
      <c r="I4499" t="s">
        <v>743</v>
      </c>
      <c r="J4499" t="s">
        <v>379</v>
      </c>
      <c r="K4499" t="s">
        <v>546</v>
      </c>
      <c r="L4499" s="784" t="s">
        <v>575</v>
      </c>
      <c r="M4499" t="s">
        <v>745</v>
      </c>
      <c r="N4499" s="784" t="s">
        <v>575</v>
      </c>
      <c r="O4499" t="s">
        <v>737</v>
      </c>
      <c r="P4499" t="s">
        <v>1887</v>
      </c>
      <c r="R4499" t="s">
        <v>550</v>
      </c>
      <c r="S4499" t="s">
        <v>146</v>
      </c>
      <c r="U4499">
        <v>0</v>
      </c>
      <c r="V4499" t="s">
        <v>544</v>
      </c>
      <c r="W4499" t="s">
        <v>575</v>
      </c>
      <c r="X4499" s="784">
        <v>13859708717.682571</v>
      </c>
    </row>
    <row r="4500" spans="1:24">
      <c r="A4500" t="s">
        <v>358</v>
      </c>
      <c r="B4500" t="s">
        <v>578</v>
      </c>
      <c r="C4500" t="s">
        <v>185</v>
      </c>
      <c r="D4500" t="s">
        <v>126</v>
      </c>
      <c r="E4500" t="s">
        <v>377</v>
      </c>
      <c r="F4500" t="s">
        <v>384</v>
      </c>
      <c r="G4500" t="s">
        <v>105</v>
      </c>
      <c r="H4500" t="s">
        <v>749</v>
      </c>
      <c r="I4500" t="s">
        <v>743</v>
      </c>
      <c r="J4500" t="s">
        <v>379</v>
      </c>
      <c r="K4500" t="s">
        <v>546</v>
      </c>
      <c r="L4500" s="784" t="s">
        <v>575</v>
      </c>
      <c r="M4500" t="s">
        <v>745</v>
      </c>
      <c r="N4500" s="784" t="s">
        <v>575</v>
      </c>
      <c r="O4500" t="s">
        <v>737</v>
      </c>
      <c r="P4500" t="s">
        <v>1887</v>
      </c>
      <c r="R4500" t="s">
        <v>152</v>
      </c>
      <c r="S4500" t="s">
        <v>146</v>
      </c>
      <c r="U4500">
        <v>0</v>
      </c>
      <c r="V4500" t="s">
        <v>544</v>
      </c>
      <c r="W4500" t="s">
        <v>575</v>
      </c>
      <c r="X4500" s="784">
        <v>403567160707.7016</v>
      </c>
    </row>
    <row r="4501" spans="1:24">
      <c r="A4501" t="s">
        <v>358</v>
      </c>
      <c r="B4501" t="s">
        <v>579</v>
      </c>
      <c r="C4501" t="s">
        <v>186</v>
      </c>
      <c r="D4501" t="s">
        <v>130</v>
      </c>
      <c r="E4501" t="s">
        <v>377</v>
      </c>
      <c r="F4501" t="s">
        <v>384</v>
      </c>
      <c r="G4501" t="s">
        <v>105</v>
      </c>
      <c r="H4501" t="s">
        <v>749</v>
      </c>
      <c r="I4501" t="s">
        <v>743</v>
      </c>
      <c r="J4501" t="s">
        <v>379</v>
      </c>
      <c r="K4501" t="s">
        <v>546</v>
      </c>
      <c r="L4501" s="784" t="s">
        <v>575</v>
      </c>
      <c r="M4501" t="s">
        <v>745</v>
      </c>
      <c r="N4501" s="784" t="s">
        <v>575</v>
      </c>
      <c r="O4501" t="s">
        <v>737</v>
      </c>
      <c r="P4501" t="s">
        <v>1887</v>
      </c>
      <c r="R4501" t="s">
        <v>152</v>
      </c>
      <c r="S4501" t="s">
        <v>146</v>
      </c>
      <c r="U4501">
        <v>0</v>
      </c>
      <c r="V4501" t="s">
        <v>544</v>
      </c>
      <c r="W4501" t="s">
        <v>575</v>
      </c>
      <c r="X4501" s="784">
        <v>18250225995.972618</v>
      </c>
    </row>
    <row r="4502" spans="1:24">
      <c r="A4502" t="s">
        <v>358</v>
      </c>
      <c r="B4502" t="s">
        <v>580</v>
      </c>
      <c r="C4502" t="s">
        <v>187</v>
      </c>
      <c r="D4502" t="s">
        <v>128</v>
      </c>
      <c r="E4502" t="s">
        <v>377</v>
      </c>
      <c r="F4502" t="s">
        <v>384</v>
      </c>
      <c r="G4502" t="s">
        <v>105</v>
      </c>
      <c r="H4502" t="s">
        <v>749</v>
      </c>
      <c r="I4502" t="s">
        <v>743</v>
      </c>
      <c r="J4502" t="s">
        <v>379</v>
      </c>
      <c r="K4502" t="s">
        <v>546</v>
      </c>
      <c r="L4502" s="784" t="s">
        <v>575</v>
      </c>
      <c r="M4502" t="s">
        <v>745</v>
      </c>
      <c r="N4502" s="784" t="s">
        <v>575</v>
      </c>
      <c r="O4502" t="s">
        <v>737</v>
      </c>
      <c r="P4502" t="s">
        <v>1887</v>
      </c>
      <c r="R4502" t="s">
        <v>150</v>
      </c>
      <c r="S4502" t="s">
        <v>145</v>
      </c>
      <c r="U4502">
        <v>0</v>
      </c>
      <c r="V4502" t="s">
        <v>541</v>
      </c>
      <c r="W4502" t="s">
        <v>562</v>
      </c>
      <c r="X4502" s="784">
        <v>5027591.1682657599</v>
      </c>
    </row>
    <row r="4503" spans="1:24">
      <c r="A4503" t="s">
        <v>358</v>
      </c>
      <c r="B4503" t="s">
        <v>581</v>
      </c>
      <c r="C4503" t="s">
        <v>188</v>
      </c>
      <c r="D4503" t="s">
        <v>129</v>
      </c>
      <c r="E4503" t="s">
        <v>377</v>
      </c>
      <c r="F4503" t="s">
        <v>384</v>
      </c>
      <c r="G4503" t="s">
        <v>105</v>
      </c>
      <c r="H4503" t="s">
        <v>749</v>
      </c>
      <c r="I4503" t="s">
        <v>743</v>
      </c>
      <c r="J4503" t="s">
        <v>379</v>
      </c>
      <c r="K4503" t="s">
        <v>546</v>
      </c>
      <c r="L4503" s="784" t="s">
        <v>575</v>
      </c>
      <c r="M4503" t="s">
        <v>745</v>
      </c>
      <c r="N4503" s="784" t="s">
        <v>575</v>
      </c>
      <c r="O4503" t="s">
        <v>737</v>
      </c>
      <c r="P4503" t="s">
        <v>1887</v>
      </c>
      <c r="R4503" t="s">
        <v>148</v>
      </c>
      <c r="S4503" t="s">
        <v>145</v>
      </c>
      <c r="U4503">
        <v>3</v>
      </c>
      <c r="V4503" t="s">
        <v>544</v>
      </c>
      <c r="W4503" t="s">
        <v>562</v>
      </c>
      <c r="X4503" s="784">
        <v>234645958.63289919</v>
      </c>
    </row>
    <row r="4504" spans="1:24">
      <c r="A4504" t="s">
        <v>358</v>
      </c>
      <c r="B4504" t="s">
        <v>582</v>
      </c>
      <c r="C4504" t="s">
        <v>189</v>
      </c>
      <c r="D4504" t="s">
        <v>129</v>
      </c>
      <c r="E4504" t="s">
        <v>377</v>
      </c>
      <c r="F4504" t="s">
        <v>384</v>
      </c>
      <c r="G4504" t="s">
        <v>105</v>
      </c>
      <c r="H4504" t="s">
        <v>749</v>
      </c>
      <c r="I4504" t="s">
        <v>743</v>
      </c>
      <c r="J4504" t="s">
        <v>379</v>
      </c>
      <c r="K4504" t="s">
        <v>546</v>
      </c>
      <c r="L4504" s="784" t="s">
        <v>575</v>
      </c>
      <c r="M4504" t="s">
        <v>745</v>
      </c>
      <c r="N4504" s="784" t="s">
        <v>575</v>
      </c>
      <c r="O4504" t="s">
        <v>737</v>
      </c>
      <c r="P4504" t="s">
        <v>1887</v>
      </c>
      <c r="R4504" t="s">
        <v>150</v>
      </c>
      <c r="S4504" t="s">
        <v>145</v>
      </c>
      <c r="U4504">
        <v>2</v>
      </c>
      <c r="V4504" t="s">
        <v>544</v>
      </c>
      <c r="W4504" t="s">
        <v>583</v>
      </c>
      <c r="X4504" s="784">
        <v>91590910.247314155</v>
      </c>
    </row>
    <row r="4505" spans="1:24">
      <c r="A4505" t="s">
        <v>358</v>
      </c>
      <c r="B4505" t="s">
        <v>584</v>
      </c>
      <c r="C4505" t="s">
        <v>190</v>
      </c>
      <c r="D4505" t="s">
        <v>126</v>
      </c>
      <c r="E4505" t="s">
        <v>377</v>
      </c>
      <c r="F4505" t="s">
        <v>384</v>
      </c>
      <c r="G4505" t="s">
        <v>105</v>
      </c>
      <c r="H4505" t="s">
        <v>749</v>
      </c>
      <c r="I4505" t="s">
        <v>743</v>
      </c>
      <c r="J4505" t="s">
        <v>379</v>
      </c>
      <c r="K4505" t="s">
        <v>546</v>
      </c>
      <c r="L4505" s="784" t="s">
        <v>575</v>
      </c>
      <c r="M4505" t="s">
        <v>745</v>
      </c>
      <c r="N4505" s="784" t="s">
        <v>575</v>
      </c>
      <c r="O4505" t="s">
        <v>737</v>
      </c>
      <c r="P4505" t="s">
        <v>1887</v>
      </c>
      <c r="R4505" t="s">
        <v>322</v>
      </c>
      <c r="S4505" t="s">
        <v>146</v>
      </c>
      <c r="U4505">
        <v>0</v>
      </c>
      <c r="V4505" t="s">
        <v>541</v>
      </c>
      <c r="W4505" t="s">
        <v>546</v>
      </c>
      <c r="X4505" s="784">
        <v>8560012.8840167802</v>
      </c>
    </row>
    <row r="4506" spans="1:24">
      <c r="A4506" t="s">
        <v>358</v>
      </c>
      <c r="B4506" t="s">
        <v>585</v>
      </c>
      <c r="C4506" t="s">
        <v>191</v>
      </c>
      <c r="D4506" t="s">
        <v>130</v>
      </c>
      <c r="E4506" t="s">
        <v>377</v>
      </c>
      <c r="F4506" t="s">
        <v>384</v>
      </c>
      <c r="G4506" t="s">
        <v>105</v>
      </c>
      <c r="H4506" t="s">
        <v>749</v>
      </c>
      <c r="I4506" t="s">
        <v>743</v>
      </c>
      <c r="J4506" t="s">
        <v>379</v>
      </c>
      <c r="K4506" t="s">
        <v>546</v>
      </c>
      <c r="L4506" s="784" t="s">
        <v>575</v>
      </c>
      <c r="M4506" t="s">
        <v>745</v>
      </c>
      <c r="N4506" s="784" t="s">
        <v>575</v>
      </c>
      <c r="O4506" t="s">
        <v>737</v>
      </c>
      <c r="P4506" t="s">
        <v>1887</v>
      </c>
      <c r="R4506" t="s">
        <v>152</v>
      </c>
      <c r="S4506" t="s">
        <v>146</v>
      </c>
      <c r="U4506">
        <v>0</v>
      </c>
      <c r="V4506" t="s">
        <v>544</v>
      </c>
      <c r="W4506" t="s">
        <v>546</v>
      </c>
      <c r="X4506" s="784">
        <v>3292372960.3962669</v>
      </c>
    </row>
    <row r="4507" spans="1:24">
      <c r="A4507" t="s">
        <v>358</v>
      </c>
      <c r="B4507" t="s">
        <v>586</v>
      </c>
      <c r="C4507" t="s">
        <v>192</v>
      </c>
      <c r="D4507" t="s">
        <v>129</v>
      </c>
      <c r="E4507" t="s">
        <v>377</v>
      </c>
      <c r="F4507" t="s">
        <v>384</v>
      </c>
      <c r="G4507" t="s">
        <v>105</v>
      </c>
      <c r="H4507" t="s">
        <v>749</v>
      </c>
      <c r="I4507" t="s">
        <v>743</v>
      </c>
      <c r="J4507" t="s">
        <v>379</v>
      </c>
      <c r="K4507" t="s">
        <v>546</v>
      </c>
      <c r="L4507" s="784" t="s">
        <v>575</v>
      </c>
      <c r="M4507" t="s">
        <v>745</v>
      </c>
      <c r="N4507" s="784" t="s">
        <v>575</v>
      </c>
      <c r="O4507" t="s">
        <v>737</v>
      </c>
      <c r="P4507" t="s">
        <v>1887</v>
      </c>
      <c r="R4507" t="s">
        <v>150</v>
      </c>
      <c r="S4507" t="s">
        <v>145</v>
      </c>
      <c r="U4507">
        <v>0</v>
      </c>
      <c r="V4507" t="s">
        <v>544</v>
      </c>
      <c r="W4507" t="s">
        <v>562</v>
      </c>
      <c r="X4507" s="784">
        <v>519209981.22981054</v>
      </c>
    </row>
    <row r="4508" spans="1:24">
      <c r="A4508" t="s">
        <v>358</v>
      </c>
      <c r="B4508" t="s">
        <v>587</v>
      </c>
      <c r="C4508" t="s">
        <v>193</v>
      </c>
      <c r="D4508" t="s">
        <v>127</v>
      </c>
      <c r="E4508" t="s">
        <v>377</v>
      </c>
      <c r="F4508" t="s">
        <v>384</v>
      </c>
      <c r="G4508" t="s">
        <v>105</v>
      </c>
      <c r="H4508" t="s">
        <v>749</v>
      </c>
      <c r="I4508" t="s">
        <v>743</v>
      </c>
      <c r="J4508" t="s">
        <v>379</v>
      </c>
      <c r="K4508" t="s">
        <v>546</v>
      </c>
      <c r="L4508" s="784" t="s">
        <v>575</v>
      </c>
      <c r="M4508" t="s">
        <v>745</v>
      </c>
      <c r="N4508" s="784" t="s">
        <v>575</v>
      </c>
      <c r="O4508" t="s">
        <v>737</v>
      </c>
      <c r="P4508" t="s">
        <v>1887</v>
      </c>
      <c r="R4508" t="s">
        <v>550</v>
      </c>
      <c r="S4508" t="s">
        <v>146</v>
      </c>
      <c r="U4508">
        <v>0</v>
      </c>
      <c r="V4508" t="s">
        <v>544</v>
      </c>
      <c r="W4508" t="s">
        <v>575</v>
      </c>
      <c r="X4508" s="784">
        <v>3464739907.1604805</v>
      </c>
    </row>
    <row r="4509" spans="1:24">
      <c r="A4509" t="s">
        <v>358</v>
      </c>
      <c r="B4509" t="s">
        <v>588</v>
      </c>
      <c r="C4509" t="s">
        <v>147</v>
      </c>
      <c r="D4509" t="s">
        <v>130</v>
      </c>
      <c r="E4509" t="s">
        <v>377</v>
      </c>
      <c r="F4509" t="s">
        <v>384</v>
      </c>
      <c r="G4509" t="s">
        <v>105</v>
      </c>
      <c r="H4509" t="s">
        <v>749</v>
      </c>
      <c r="I4509" t="s">
        <v>743</v>
      </c>
      <c r="J4509" t="s">
        <v>379</v>
      </c>
      <c r="K4509" t="s">
        <v>546</v>
      </c>
      <c r="L4509" s="784" t="s">
        <v>575</v>
      </c>
      <c r="M4509" t="s">
        <v>745</v>
      </c>
      <c r="N4509" s="784" t="s">
        <v>575</v>
      </c>
      <c r="O4509" t="s">
        <v>737</v>
      </c>
      <c r="P4509" t="s">
        <v>1887</v>
      </c>
      <c r="R4509" t="s">
        <v>152</v>
      </c>
      <c r="S4509" t="s">
        <v>146</v>
      </c>
      <c r="U4509">
        <v>0</v>
      </c>
      <c r="V4509" t="s">
        <v>541</v>
      </c>
      <c r="W4509" t="s">
        <v>575</v>
      </c>
      <c r="X4509" s="784">
        <v>9948521252.2569065</v>
      </c>
    </row>
    <row r="4510" spans="1:24">
      <c r="A4510" t="s">
        <v>358</v>
      </c>
      <c r="B4510" t="s">
        <v>589</v>
      </c>
      <c r="C4510" t="s">
        <v>194</v>
      </c>
      <c r="D4510" t="s">
        <v>131</v>
      </c>
      <c r="E4510" t="s">
        <v>377</v>
      </c>
      <c r="F4510" t="s">
        <v>384</v>
      </c>
      <c r="G4510" t="s">
        <v>105</v>
      </c>
      <c r="H4510" t="s">
        <v>749</v>
      </c>
      <c r="I4510" t="s">
        <v>743</v>
      </c>
      <c r="J4510" t="s">
        <v>379</v>
      </c>
      <c r="K4510" t="s">
        <v>546</v>
      </c>
      <c r="L4510" s="784" t="s">
        <v>575</v>
      </c>
      <c r="M4510" t="s">
        <v>745</v>
      </c>
      <c r="N4510" s="784" t="s">
        <v>575</v>
      </c>
      <c r="O4510" t="s">
        <v>737</v>
      </c>
      <c r="P4510" t="s">
        <v>1887</v>
      </c>
      <c r="R4510" t="s">
        <v>150</v>
      </c>
      <c r="S4510" t="s">
        <v>145</v>
      </c>
      <c r="U4510">
        <v>1</v>
      </c>
      <c r="V4510" t="s">
        <v>544</v>
      </c>
      <c r="W4510" t="s">
        <v>542</v>
      </c>
      <c r="X4510" s="784">
        <v>33679192.765657313</v>
      </c>
    </row>
    <row r="4511" spans="1:24">
      <c r="A4511" t="s">
        <v>358</v>
      </c>
      <c r="B4511" t="s">
        <v>590</v>
      </c>
      <c r="C4511" t="s">
        <v>195</v>
      </c>
      <c r="D4511" t="s">
        <v>130</v>
      </c>
      <c r="E4511" t="s">
        <v>377</v>
      </c>
      <c r="F4511" t="s">
        <v>384</v>
      </c>
      <c r="G4511" t="s">
        <v>105</v>
      </c>
      <c r="H4511" t="s">
        <v>749</v>
      </c>
      <c r="I4511" t="s">
        <v>743</v>
      </c>
      <c r="J4511" t="s">
        <v>379</v>
      </c>
      <c r="K4511" t="s">
        <v>546</v>
      </c>
      <c r="L4511" s="784" t="s">
        <v>575</v>
      </c>
      <c r="M4511" t="s">
        <v>745</v>
      </c>
      <c r="N4511" s="784" t="s">
        <v>575</v>
      </c>
      <c r="O4511" t="s">
        <v>737</v>
      </c>
      <c r="P4511" t="s">
        <v>1887</v>
      </c>
      <c r="R4511" t="s">
        <v>152</v>
      </c>
      <c r="S4511" t="s">
        <v>145</v>
      </c>
      <c r="U4511">
        <v>0</v>
      </c>
      <c r="V4511" t="s">
        <v>541</v>
      </c>
      <c r="W4511" t="s">
        <v>548</v>
      </c>
      <c r="X4511" s="784">
        <v>22784494.365742501</v>
      </c>
    </row>
    <row r="4512" spans="1:24">
      <c r="A4512" t="s">
        <v>358</v>
      </c>
      <c r="B4512" t="s">
        <v>591</v>
      </c>
      <c r="C4512" t="s">
        <v>196</v>
      </c>
      <c r="D4512" t="s">
        <v>130</v>
      </c>
      <c r="E4512" t="s">
        <v>377</v>
      </c>
      <c r="F4512" t="s">
        <v>384</v>
      </c>
      <c r="G4512" t="s">
        <v>105</v>
      </c>
      <c r="H4512" t="s">
        <v>749</v>
      </c>
      <c r="I4512" t="s">
        <v>743</v>
      </c>
      <c r="J4512" t="s">
        <v>379</v>
      </c>
      <c r="K4512" t="s">
        <v>546</v>
      </c>
      <c r="L4512" s="784" t="s">
        <v>575</v>
      </c>
      <c r="M4512" t="s">
        <v>745</v>
      </c>
      <c r="N4512" s="784" t="s">
        <v>575</v>
      </c>
      <c r="O4512" t="s">
        <v>737</v>
      </c>
      <c r="P4512" t="s">
        <v>1887</v>
      </c>
      <c r="R4512" t="s">
        <v>152</v>
      </c>
      <c r="S4512" t="s">
        <v>146</v>
      </c>
      <c r="U4512">
        <v>0</v>
      </c>
      <c r="V4512" t="s">
        <v>541</v>
      </c>
      <c r="W4512" t="s">
        <v>575</v>
      </c>
      <c r="X4512" s="784">
        <v>2173208011.4858823</v>
      </c>
    </row>
    <row r="4513" spans="1:24">
      <c r="A4513" t="s">
        <v>358</v>
      </c>
      <c r="B4513" t="s">
        <v>592</v>
      </c>
      <c r="C4513" t="s">
        <v>197</v>
      </c>
      <c r="D4513" t="s">
        <v>130</v>
      </c>
      <c r="E4513" t="s">
        <v>377</v>
      </c>
      <c r="F4513" t="s">
        <v>384</v>
      </c>
      <c r="G4513" t="s">
        <v>105</v>
      </c>
      <c r="H4513" t="s">
        <v>749</v>
      </c>
      <c r="I4513" t="s">
        <v>743</v>
      </c>
      <c r="J4513" t="s">
        <v>379</v>
      </c>
      <c r="K4513" t="s">
        <v>546</v>
      </c>
      <c r="L4513" s="784" t="s">
        <v>575</v>
      </c>
      <c r="M4513" t="s">
        <v>745</v>
      </c>
      <c r="N4513" s="784" t="s">
        <v>575</v>
      </c>
      <c r="O4513" t="s">
        <v>737</v>
      </c>
      <c r="P4513" t="s">
        <v>1887</v>
      </c>
      <c r="R4513" t="s">
        <v>152</v>
      </c>
      <c r="S4513" t="s">
        <v>146</v>
      </c>
      <c r="U4513">
        <v>0</v>
      </c>
      <c r="V4513" t="s">
        <v>544</v>
      </c>
      <c r="W4513" t="s">
        <v>546</v>
      </c>
      <c r="X4513" s="784">
        <v>4585736158.8323269</v>
      </c>
    </row>
    <row r="4514" spans="1:24">
      <c r="A4514" t="s">
        <v>358</v>
      </c>
      <c r="B4514" t="s">
        <v>593</v>
      </c>
      <c r="C4514" t="s">
        <v>198</v>
      </c>
      <c r="D4514" t="s">
        <v>131</v>
      </c>
      <c r="E4514" t="s">
        <v>377</v>
      </c>
      <c r="F4514" t="s">
        <v>384</v>
      </c>
      <c r="G4514" t="s">
        <v>105</v>
      </c>
      <c r="H4514" t="s">
        <v>749</v>
      </c>
      <c r="I4514" t="s">
        <v>743</v>
      </c>
      <c r="J4514" t="s">
        <v>379</v>
      </c>
      <c r="K4514" t="s">
        <v>546</v>
      </c>
      <c r="L4514" s="784" t="s">
        <v>575</v>
      </c>
      <c r="M4514" t="s">
        <v>745</v>
      </c>
      <c r="N4514" s="784" t="s">
        <v>575</v>
      </c>
      <c r="O4514" t="s">
        <v>737</v>
      </c>
      <c r="P4514" t="s">
        <v>1887</v>
      </c>
      <c r="R4514" t="s">
        <v>150</v>
      </c>
      <c r="S4514" t="s">
        <v>145</v>
      </c>
      <c r="U4514">
        <v>0</v>
      </c>
      <c r="V4514" t="s">
        <v>544</v>
      </c>
      <c r="W4514" t="s">
        <v>546</v>
      </c>
      <c r="X4514" s="784">
        <v>3550291584.8645592</v>
      </c>
    </row>
    <row r="4515" spans="1:24">
      <c r="A4515" t="s">
        <v>358</v>
      </c>
      <c r="B4515" t="s">
        <v>594</v>
      </c>
      <c r="C4515" t="s">
        <v>199</v>
      </c>
      <c r="D4515" t="s">
        <v>130</v>
      </c>
      <c r="E4515" t="s">
        <v>377</v>
      </c>
      <c r="F4515" t="s">
        <v>384</v>
      </c>
      <c r="G4515" t="s">
        <v>105</v>
      </c>
      <c r="H4515" t="s">
        <v>749</v>
      </c>
      <c r="I4515" t="s">
        <v>743</v>
      </c>
      <c r="J4515" t="s">
        <v>379</v>
      </c>
      <c r="K4515" t="s">
        <v>546</v>
      </c>
      <c r="L4515" s="784" t="s">
        <v>575</v>
      </c>
      <c r="M4515" t="s">
        <v>745</v>
      </c>
      <c r="N4515" s="784" t="s">
        <v>575</v>
      </c>
      <c r="O4515" t="s">
        <v>737</v>
      </c>
      <c r="P4515" t="s">
        <v>1887</v>
      </c>
      <c r="R4515" t="s">
        <v>150</v>
      </c>
      <c r="S4515" t="s">
        <v>145</v>
      </c>
      <c r="U4515">
        <v>0</v>
      </c>
      <c r="V4515" t="s">
        <v>544</v>
      </c>
      <c r="W4515" t="s">
        <v>546</v>
      </c>
      <c r="X4515" s="784">
        <v>1182840319.0410969</v>
      </c>
    </row>
    <row r="4516" spans="1:24">
      <c r="A4516" t="s">
        <v>358</v>
      </c>
      <c r="B4516" t="s">
        <v>595</v>
      </c>
      <c r="C4516" t="s">
        <v>200</v>
      </c>
      <c r="D4516" t="s">
        <v>130</v>
      </c>
      <c r="E4516" t="s">
        <v>377</v>
      </c>
      <c r="F4516" t="s">
        <v>384</v>
      </c>
      <c r="G4516" t="s">
        <v>105</v>
      </c>
      <c r="H4516" t="s">
        <v>749</v>
      </c>
      <c r="I4516" t="s">
        <v>743</v>
      </c>
      <c r="J4516" t="s">
        <v>379</v>
      </c>
      <c r="K4516" t="s">
        <v>546</v>
      </c>
      <c r="L4516" s="784" t="s">
        <v>575</v>
      </c>
      <c r="M4516" t="s">
        <v>745</v>
      </c>
      <c r="N4516" s="784" t="s">
        <v>575</v>
      </c>
      <c r="O4516" t="s">
        <v>737</v>
      </c>
      <c r="P4516" t="s">
        <v>1887</v>
      </c>
      <c r="R4516" t="s">
        <v>152</v>
      </c>
      <c r="S4516" t="s">
        <v>146</v>
      </c>
      <c r="U4516">
        <v>0</v>
      </c>
      <c r="V4516" t="s">
        <v>544</v>
      </c>
      <c r="W4516" t="s">
        <v>575</v>
      </c>
      <c r="X4516" s="784">
        <v>81728347.604567245</v>
      </c>
    </row>
    <row r="4517" spans="1:24">
      <c r="A4517" t="s">
        <v>358</v>
      </c>
      <c r="B4517" t="s">
        <v>596</v>
      </c>
      <c r="C4517" t="s">
        <v>201</v>
      </c>
      <c r="D4517" t="s">
        <v>128</v>
      </c>
      <c r="E4517" t="s">
        <v>377</v>
      </c>
      <c r="F4517" t="s">
        <v>384</v>
      </c>
      <c r="G4517" t="s">
        <v>105</v>
      </c>
      <c r="H4517" t="s">
        <v>749</v>
      </c>
      <c r="I4517" t="s">
        <v>743</v>
      </c>
      <c r="J4517" t="s">
        <v>379</v>
      </c>
      <c r="K4517" t="s">
        <v>546</v>
      </c>
      <c r="L4517" s="784" t="s">
        <v>575</v>
      </c>
      <c r="M4517" t="s">
        <v>745</v>
      </c>
      <c r="N4517" s="784" t="s">
        <v>575</v>
      </c>
      <c r="O4517" t="s">
        <v>737</v>
      </c>
      <c r="P4517" t="s">
        <v>1887</v>
      </c>
      <c r="R4517" t="s">
        <v>148</v>
      </c>
      <c r="S4517" t="s">
        <v>145</v>
      </c>
      <c r="U4517">
        <v>2</v>
      </c>
      <c r="V4517" t="s">
        <v>544</v>
      </c>
      <c r="W4517" t="s">
        <v>546</v>
      </c>
      <c r="X4517" s="784">
        <v>12787914.977715338</v>
      </c>
    </row>
    <row r="4518" spans="1:24">
      <c r="A4518" t="s">
        <v>358</v>
      </c>
      <c r="B4518" t="s">
        <v>597</v>
      </c>
      <c r="C4518" t="s">
        <v>202</v>
      </c>
      <c r="D4518" t="s">
        <v>128</v>
      </c>
      <c r="E4518" t="s">
        <v>377</v>
      </c>
      <c r="F4518" t="s">
        <v>384</v>
      </c>
      <c r="G4518" t="s">
        <v>105</v>
      </c>
      <c r="H4518" t="s">
        <v>749</v>
      </c>
      <c r="I4518" t="s">
        <v>743</v>
      </c>
      <c r="J4518" t="s">
        <v>379</v>
      </c>
      <c r="K4518" t="s">
        <v>546</v>
      </c>
      <c r="L4518" s="784" t="s">
        <v>575</v>
      </c>
      <c r="M4518" t="s">
        <v>745</v>
      </c>
      <c r="N4518" s="784" t="s">
        <v>575</v>
      </c>
      <c r="O4518" t="s">
        <v>737</v>
      </c>
      <c r="P4518" t="s">
        <v>1887</v>
      </c>
      <c r="R4518" t="s">
        <v>150</v>
      </c>
      <c r="S4518" t="s">
        <v>145</v>
      </c>
      <c r="U4518">
        <v>2</v>
      </c>
      <c r="V4518" t="s">
        <v>544</v>
      </c>
      <c r="W4518" t="s">
        <v>546</v>
      </c>
      <c r="X4518" s="784">
        <v>101271737.65410839</v>
      </c>
    </row>
    <row r="4519" spans="1:24">
      <c r="A4519" t="s">
        <v>358</v>
      </c>
      <c r="B4519" t="s">
        <v>598</v>
      </c>
      <c r="C4519" t="s">
        <v>203</v>
      </c>
      <c r="D4519" t="s">
        <v>128</v>
      </c>
      <c r="E4519" t="s">
        <v>377</v>
      </c>
      <c r="F4519" t="s">
        <v>384</v>
      </c>
      <c r="G4519" t="s">
        <v>105</v>
      </c>
      <c r="H4519" t="s">
        <v>749</v>
      </c>
      <c r="I4519" t="s">
        <v>743</v>
      </c>
      <c r="J4519" t="s">
        <v>379</v>
      </c>
      <c r="K4519" t="s">
        <v>546</v>
      </c>
      <c r="L4519" s="784" t="s">
        <v>575</v>
      </c>
      <c r="M4519" t="s">
        <v>745</v>
      </c>
      <c r="N4519" s="784" t="s">
        <v>575</v>
      </c>
      <c r="O4519" t="s">
        <v>737</v>
      </c>
      <c r="P4519" t="s">
        <v>1887</v>
      </c>
      <c r="R4519" t="s">
        <v>148</v>
      </c>
      <c r="S4519" t="s">
        <v>145</v>
      </c>
      <c r="U4519">
        <v>3</v>
      </c>
      <c r="V4519" t="s">
        <v>544</v>
      </c>
      <c r="W4519" t="s">
        <v>542</v>
      </c>
      <c r="X4519" s="784">
        <v>618344226.71759331</v>
      </c>
    </row>
    <row r="4520" spans="1:24">
      <c r="A4520" t="s">
        <v>358</v>
      </c>
      <c r="B4520" t="s">
        <v>599</v>
      </c>
      <c r="C4520" t="s">
        <v>204</v>
      </c>
      <c r="D4520" t="s">
        <v>126</v>
      </c>
      <c r="E4520" t="s">
        <v>377</v>
      </c>
      <c r="F4520" t="s">
        <v>384</v>
      </c>
      <c r="G4520" t="s">
        <v>105</v>
      </c>
      <c r="H4520" t="s">
        <v>749</v>
      </c>
      <c r="I4520" t="s">
        <v>743</v>
      </c>
      <c r="J4520" t="s">
        <v>379</v>
      </c>
      <c r="K4520" t="s">
        <v>546</v>
      </c>
      <c r="L4520" s="784" t="s">
        <v>575</v>
      </c>
      <c r="M4520" t="s">
        <v>745</v>
      </c>
      <c r="N4520" s="784" t="s">
        <v>575</v>
      </c>
      <c r="O4520" t="s">
        <v>737</v>
      </c>
      <c r="P4520" t="s">
        <v>1887</v>
      </c>
      <c r="R4520" t="s">
        <v>152</v>
      </c>
      <c r="S4520" t="s">
        <v>145</v>
      </c>
      <c r="U4520">
        <v>0</v>
      </c>
      <c r="V4520" t="s">
        <v>541</v>
      </c>
      <c r="W4520" t="s">
        <v>548</v>
      </c>
      <c r="X4520" s="784">
        <v>129483872.95906857</v>
      </c>
    </row>
    <row r="4521" spans="1:24">
      <c r="A4521" t="s">
        <v>358</v>
      </c>
      <c r="B4521" t="s">
        <v>600</v>
      </c>
      <c r="C4521" t="s">
        <v>205</v>
      </c>
      <c r="D4521" t="s">
        <v>129</v>
      </c>
      <c r="E4521" t="s">
        <v>377</v>
      </c>
      <c r="F4521" t="s">
        <v>384</v>
      </c>
      <c r="G4521" t="s">
        <v>105</v>
      </c>
      <c r="H4521" t="s">
        <v>749</v>
      </c>
      <c r="I4521" t="s">
        <v>743</v>
      </c>
      <c r="J4521" t="s">
        <v>379</v>
      </c>
      <c r="K4521" t="s">
        <v>546</v>
      </c>
      <c r="L4521" s="784" t="s">
        <v>575</v>
      </c>
      <c r="M4521" t="s">
        <v>745</v>
      </c>
      <c r="N4521" s="784" t="s">
        <v>575</v>
      </c>
      <c r="O4521" t="s">
        <v>737</v>
      </c>
      <c r="P4521" t="s">
        <v>1887</v>
      </c>
      <c r="R4521" t="s">
        <v>152</v>
      </c>
      <c r="S4521" t="s">
        <v>146</v>
      </c>
      <c r="U4521">
        <v>0</v>
      </c>
      <c r="V4521" t="s">
        <v>544</v>
      </c>
      <c r="W4521" t="s">
        <v>546</v>
      </c>
      <c r="X4521" s="784">
        <v>271184658.35014349</v>
      </c>
    </row>
    <row r="4522" spans="1:24">
      <c r="A4522" t="s">
        <v>358</v>
      </c>
      <c r="B4522" t="s">
        <v>601</v>
      </c>
      <c r="C4522" t="s">
        <v>206</v>
      </c>
      <c r="D4522" t="s">
        <v>129</v>
      </c>
      <c r="E4522" t="s">
        <v>377</v>
      </c>
      <c r="F4522" t="s">
        <v>384</v>
      </c>
      <c r="G4522" t="s">
        <v>105</v>
      </c>
      <c r="H4522" t="s">
        <v>749</v>
      </c>
      <c r="I4522" t="s">
        <v>743</v>
      </c>
      <c r="J4522" t="s">
        <v>379</v>
      </c>
      <c r="K4522" t="s">
        <v>546</v>
      </c>
      <c r="L4522" s="784" t="s">
        <v>575</v>
      </c>
      <c r="M4522" t="s">
        <v>745</v>
      </c>
      <c r="N4522" s="784" t="s">
        <v>575</v>
      </c>
      <c r="O4522" t="s">
        <v>737</v>
      </c>
      <c r="P4522" t="s">
        <v>1887</v>
      </c>
      <c r="R4522" t="s">
        <v>148</v>
      </c>
      <c r="S4522" t="s">
        <v>145</v>
      </c>
      <c r="U4522">
        <v>0</v>
      </c>
      <c r="V4522" t="s">
        <v>544</v>
      </c>
      <c r="W4522" t="s">
        <v>542</v>
      </c>
      <c r="X4522" s="784">
        <v>15455265.086884515</v>
      </c>
    </row>
    <row r="4523" spans="1:24">
      <c r="A4523" t="s">
        <v>358</v>
      </c>
      <c r="B4523" t="s">
        <v>602</v>
      </c>
      <c r="C4523" t="s">
        <v>207</v>
      </c>
      <c r="D4523" t="s">
        <v>127</v>
      </c>
      <c r="E4523" t="s">
        <v>377</v>
      </c>
      <c r="F4523" t="s">
        <v>384</v>
      </c>
      <c r="G4523" t="s">
        <v>105</v>
      </c>
      <c r="H4523" t="s">
        <v>749</v>
      </c>
      <c r="I4523" t="s">
        <v>743</v>
      </c>
      <c r="J4523" t="s">
        <v>379</v>
      </c>
      <c r="K4523" t="s">
        <v>546</v>
      </c>
      <c r="L4523" s="784" t="s">
        <v>575</v>
      </c>
      <c r="M4523" t="s">
        <v>745</v>
      </c>
      <c r="N4523" s="784" t="s">
        <v>575</v>
      </c>
      <c r="O4523" t="s">
        <v>737</v>
      </c>
      <c r="P4523" t="s">
        <v>1887</v>
      </c>
      <c r="R4523" t="s">
        <v>152</v>
      </c>
      <c r="S4523" t="s">
        <v>146</v>
      </c>
      <c r="U4523">
        <v>0</v>
      </c>
      <c r="V4523" t="s">
        <v>544</v>
      </c>
      <c r="W4523" t="s">
        <v>546</v>
      </c>
      <c r="X4523" s="784">
        <v>494021502.525527</v>
      </c>
    </row>
    <row r="4524" spans="1:24">
      <c r="A4524" t="s">
        <v>358</v>
      </c>
      <c r="B4524" t="s">
        <v>603</v>
      </c>
      <c r="C4524" t="s">
        <v>208</v>
      </c>
      <c r="D4524" t="s">
        <v>129</v>
      </c>
      <c r="E4524" t="s">
        <v>377</v>
      </c>
      <c r="F4524" t="s">
        <v>384</v>
      </c>
      <c r="G4524" t="s">
        <v>105</v>
      </c>
      <c r="H4524" t="s">
        <v>749</v>
      </c>
      <c r="I4524" t="s">
        <v>743</v>
      </c>
      <c r="J4524" t="s">
        <v>379</v>
      </c>
      <c r="K4524" t="s">
        <v>546</v>
      </c>
      <c r="L4524" s="784" t="s">
        <v>575</v>
      </c>
      <c r="M4524" t="s">
        <v>745</v>
      </c>
      <c r="N4524" s="784" t="s">
        <v>575</v>
      </c>
      <c r="O4524" t="s">
        <v>737</v>
      </c>
      <c r="P4524" t="s">
        <v>1887</v>
      </c>
      <c r="R4524" t="s">
        <v>150</v>
      </c>
      <c r="S4524" t="s">
        <v>145</v>
      </c>
      <c r="U4524">
        <v>0</v>
      </c>
      <c r="V4524" t="s">
        <v>544</v>
      </c>
      <c r="W4524" t="s">
        <v>542</v>
      </c>
      <c r="X4524" s="784">
        <v>902005621.73836684</v>
      </c>
    </row>
    <row r="4525" spans="1:24">
      <c r="A4525" t="s">
        <v>358</v>
      </c>
      <c r="B4525" t="s">
        <v>604</v>
      </c>
      <c r="C4525" t="s">
        <v>209</v>
      </c>
      <c r="D4525" t="s">
        <v>130</v>
      </c>
      <c r="E4525" t="s">
        <v>377</v>
      </c>
      <c r="F4525" t="s">
        <v>384</v>
      </c>
      <c r="G4525" t="s">
        <v>105</v>
      </c>
      <c r="H4525" t="s">
        <v>749</v>
      </c>
      <c r="I4525" t="s">
        <v>743</v>
      </c>
      <c r="J4525" t="s">
        <v>379</v>
      </c>
      <c r="K4525" t="s">
        <v>546</v>
      </c>
      <c r="L4525" s="784" t="s">
        <v>575</v>
      </c>
      <c r="M4525" t="s">
        <v>745</v>
      </c>
      <c r="N4525" s="784" t="s">
        <v>575</v>
      </c>
      <c r="O4525" t="s">
        <v>737</v>
      </c>
      <c r="P4525" t="s">
        <v>1887</v>
      </c>
      <c r="R4525" t="s">
        <v>152</v>
      </c>
      <c r="S4525" t="s">
        <v>145</v>
      </c>
      <c r="U4525">
        <v>0</v>
      </c>
      <c r="V4525" t="s">
        <v>541</v>
      </c>
      <c r="W4525" t="s">
        <v>583</v>
      </c>
      <c r="X4525" s="784">
        <v>20201670.142996579</v>
      </c>
    </row>
    <row r="4526" spans="1:24">
      <c r="A4526" t="s">
        <v>358</v>
      </c>
      <c r="B4526" t="s">
        <v>605</v>
      </c>
      <c r="C4526" t="s">
        <v>210</v>
      </c>
      <c r="D4526" t="s">
        <v>130</v>
      </c>
      <c r="E4526" t="s">
        <v>377</v>
      </c>
      <c r="F4526" t="s">
        <v>384</v>
      </c>
      <c r="G4526" t="s">
        <v>105</v>
      </c>
      <c r="H4526" t="s">
        <v>749</v>
      </c>
      <c r="I4526" t="s">
        <v>743</v>
      </c>
      <c r="J4526" t="s">
        <v>379</v>
      </c>
      <c r="K4526" t="s">
        <v>546</v>
      </c>
      <c r="L4526" s="784" t="s">
        <v>575</v>
      </c>
      <c r="M4526" t="s">
        <v>745</v>
      </c>
      <c r="N4526" s="784" t="s">
        <v>575</v>
      </c>
      <c r="O4526" t="s">
        <v>737</v>
      </c>
      <c r="P4526" t="s">
        <v>1887</v>
      </c>
      <c r="R4526" t="s">
        <v>152</v>
      </c>
      <c r="S4526" t="s">
        <v>146</v>
      </c>
      <c r="U4526">
        <v>0</v>
      </c>
      <c r="V4526" t="s">
        <v>544</v>
      </c>
      <c r="W4526" t="s">
        <v>575</v>
      </c>
      <c r="X4526" s="784">
        <v>1612434649.6948864</v>
      </c>
    </row>
    <row r="4527" spans="1:24">
      <c r="A4527" t="s">
        <v>358</v>
      </c>
      <c r="B4527" t="s">
        <v>606</v>
      </c>
      <c r="C4527" t="s">
        <v>211</v>
      </c>
      <c r="D4527" t="s">
        <v>129</v>
      </c>
      <c r="E4527" t="s">
        <v>377</v>
      </c>
      <c r="F4527" t="s">
        <v>384</v>
      </c>
      <c r="G4527" t="s">
        <v>105</v>
      </c>
      <c r="H4527" t="s">
        <v>749</v>
      </c>
      <c r="I4527" t="s">
        <v>743</v>
      </c>
      <c r="J4527" t="s">
        <v>379</v>
      </c>
      <c r="K4527" t="s">
        <v>546</v>
      </c>
      <c r="L4527" s="784" t="s">
        <v>575</v>
      </c>
      <c r="M4527" t="s">
        <v>745</v>
      </c>
      <c r="N4527" s="784" t="s">
        <v>575</v>
      </c>
      <c r="O4527" t="s">
        <v>737</v>
      </c>
      <c r="P4527" t="s">
        <v>1887</v>
      </c>
      <c r="R4527" t="s">
        <v>148</v>
      </c>
      <c r="S4527" t="s">
        <v>145</v>
      </c>
      <c r="U4527">
        <v>0</v>
      </c>
      <c r="V4527" t="s">
        <v>544</v>
      </c>
      <c r="W4527" t="s">
        <v>562</v>
      </c>
      <c r="X4527" s="784">
        <v>78203134.118229344</v>
      </c>
    </row>
    <row r="4528" spans="1:24">
      <c r="A4528" t="s">
        <v>358</v>
      </c>
      <c r="B4528" t="s">
        <v>607</v>
      </c>
      <c r="C4528" t="s">
        <v>212</v>
      </c>
      <c r="D4528" t="s">
        <v>129</v>
      </c>
      <c r="E4528" t="s">
        <v>377</v>
      </c>
      <c r="F4528" t="s">
        <v>384</v>
      </c>
      <c r="G4528" t="s">
        <v>105</v>
      </c>
      <c r="H4528" t="s">
        <v>749</v>
      </c>
      <c r="I4528" t="s">
        <v>743</v>
      </c>
      <c r="J4528" t="s">
        <v>379</v>
      </c>
      <c r="K4528" t="s">
        <v>546</v>
      </c>
      <c r="L4528" s="784" t="s">
        <v>575</v>
      </c>
      <c r="M4528" t="s">
        <v>745</v>
      </c>
      <c r="N4528" s="784" t="s">
        <v>575</v>
      </c>
      <c r="O4528" t="s">
        <v>737</v>
      </c>
      <c r="P4528" t="s">
        <v>1887</v>
      </c>
      <c r="R4528" t="s">
        <v>148</v>
      </c>
      <c r="S4528" t="s">
        <v>145</v>
      </c>
      <c r="U4528">
        <v>2</v>
      </c>
      <c r="V4528" t="s">
        <v>541</v>
      </c>
      <c r="W4528" t="s">
        <v>542</v>
      </c>
      <c r="X4528" s="784">
        <v>9151637.7411015611</v>
      </c>
    </row>
    <row r="4529" spans="1:24">
      <c r="A4529" t="s">
        <v>358</v>
      </c>
      <c r="B4529" t="s">
        <v>608</v>
      </c>
      <c r="C4529" t="s">
        <v>213</v>
      </c>
      <c r="D4529" t="s">
        <v>130</v>
      </c>
      <c r="E4529" t="s">
        <v>377</v>
      </c>
      <c r="F4529" t="s">
        <v>384</v>
      </c>
      <c r="G4529" t="s">
        <v>105</v>
      </c>
      <c r="H4529" t="s">
        <v>749</v>
      </c>
      <c r="I4529" t="s">
        <v>743</v>
      </c>
      <c r="J4529" t="s">
        <v>379</v>
      </c>
      <c r="K4529" t="s">
        <v>546</v>
      </c>
      <c r="L4529" s="784" t="s">
        <v>575</v>
      </c>
      <c r="M4529" t="s">
        <v>745</v>
      </c>
      <c r="N4529" s="784" t="s">
        <v>575</v>
      </c>
      <c r="O4529" t="s">
        <v>737</v>
      </c>
      <c r="P4529" t="s">
        <v>1887</v>
      </c>
      <c r="R4529" t="s">
        <v>152</v>
      </c>
      <c r="S4529" t="s">
        <v>145</v>
      </c>
      <c r="U4529">
        <v>0</v>
      </c>
      <c r="V4529" t="s">
        <v>541</v>
      </c>
      <c r="W4529" t="s">
        <v>562</v>
      </c>
      <c r="X4529" s="784">
        <v>142455920.02856269</v>
      </c>
    </row>
    <row r="4530" spans="1:24">
      <c r="A4530" t="s">
        <v>358</v>
      </c>
      <c r="B4530" t="s">
        <v>609</v>
      </c>
      <c r="C4530" t="s">
        <v>214</v>
      </c>
      <c r="D4530" t="s">
        <v>130</v>
      </c>
      <c r="E4530" t="s">
        <v>377</v>
      </c>
      <c r="F4530" t="s">
        <v>384</v>
      </c>
      <c r="G4530" t="s">
        <v>105</v>
      </c>
      <c r="H4530" t="s">
        <v>749</v>
      </c>
      <c r="I4530" t="s">
        <v>743</v>
      </c>
      <c r="J4530" t="s">
        <v>379</v>
      </c>
      <c r="K4530" t="s">
        <v>546</v>
      </c>
      <c r="L4530" s="784" t="s">
        <v>575</v>
      </c>
      <c r="M4530" t="s">
        <v>745</v>
      </c>
      <c r="N4530" s="784" t="s">
        <v>575</v>
      </c>
      <c r="O4530" t="s">
        <v>737</v>
      </c>
      <c r="P4530" t="s">
        <v>1887</v>
      </c>
      <c r="R4530" t="s">
        <v>150</v>
      </c>
      <c r="S4530" t="s">
        <v>145</v>
      </c>
      <c r="U4530">
        <v>1</v>
      </c>
      <c r="V4530" t="s">
        <v>541</v>
      </c>
      <c r="W4530" t="s">
        <v>542</v>
      </c>
      <c r="X4530" s="784">
        <v>85611818.171245083</v>
      </c>
    </row>
    <row r="4531" spans="1:24">
      <c r="A4531" t="s">
        <v>358</v>
      </c>
      <c r="B4531" t="s">
        <v>610</v>
      </c>
      <c r="C4531" t="s">
        <v>215</v>
      </c>
      <c r="D4531" t="s">
        <v>130</v>
      </c>
      <c r="E4531" t="s">
        <v>377</v>
      </c>
      <c r="F4531" t="s">
        <v>384</v>
      </c>
      <c r="G4531" t="s">
        <v>105</v>
      </c>
      <c r="H4531" t="s">
        <v>749</v>
      </c>
      <c r="I4531" t="s">
        <v>743</v>
      </c>
      <c r="J4531" t="s">
        <v>379</v>
      </c>
      <c r="K4531" t="s">
        <v>546</v>
      </c>
      <c r="L4531" s="784" t="s">
        <v>575</v>
      </c>
      <c r="M4531" t="s">
        <v>745</v>
      </c>
      <c r="N4531" s="784" t="s">
        <v>575</v>
      </c>
      <c r="O4531" t="s">
        <v>737</v>
      </c>
      <c r="P4531" t="s">
        <v>1887</v>
      </c>
      <c r="R4531" t="s">
        <v>150</v>
      </c>
      <c r="S4531" t="s">
        <v>145</v>
      </c>
      <c r="U4531">
        <v>0</v>
      </c>
      <c r="V4531" t="s">
        <v>544</v>
      </c>
      <c r="W4531" t="s">
        <v>558</v>
      </c>
      <c r="X4531" s="784">
        <v>680289736.30082119</v>
      </c>
    </row>
    <row r="4532" spans="1:24">
      <c r="A4532" t="s">
        <v>358</v>
      </c>
      <c r="B4532" t="s">
        <v>611</v>
      </c>
      <c r="C4532" t="s">
        <v>216</v>
      </c>
      <c r="D4532" t="s">
        <v>132</v>
      </c>
      <c r="E4532" t="s">
        <v>377</v>
      </c>
      <c r="F4532" t="s">
        <v>384</v>
      </c>
      <c r="G4532" t="s">
        <v>105</v>
      </c>
      <c r="H4532" t="s">
        <v>749</v>
      </c>
      <c r="I4532" t="s">
        <v>743</v>
      </c>
      <c r="J4532" t="s">
        <v>379</v>
      </c>
      <c r="K4532" t="s">
        <v>546</v>
      </c>
      <c r="L4532" s="784" t="s">
        <v>575</v>
      </c>
      <c r="M4532" t="s">
        <v>745</v>
      </c>
      <c r="N4532" s="784" t="s">
        <v>575</v>
      </c>
      <c r="O4532" t="s">
        <v>737</v>
      </c>
      <c r="P4532" t="s">
        <v>1887</v>
      </c>
      <c r="R4532" t="s">
        <v>150</v>
      </c>
      <c r="S4532" t="s">
        <v>145</v>
      </c>
      <c r="U4532">
        <v>0</v>
      </c>
      <c r="V4532" t="s">
        <v>544</v>
      </c>
      <c r="W4532" t="s">
        <v>546</v>
      </c>
      <c r="X4532" s="784">
        <v>26554332750.47023</v>
      </c>
    </row>
    <row r="4533" spans="1:24">
      <c r="A4533" t="s">
        <v>358</v>
      </c>
      <c r="B4533" t="s">
        <v>612</v>
      </c>
      <c r="C4533" t="s">
        <v>217</v>
      </c>
      <c r="D4533" t="s">
        <v>126</v>
      </c>
      <c r="E4533" t="s">
        <v>377</v>
      </c>
      <c r="F4533" t="s">
        <v>384</v>
      </c>
      <c r="G4533" t="s">
        <v>105</v>
      </c>
      <c r="H4533" t="s">
        <v>749</v>
      </c>
      <c r="I4533" t="s">
        <v>743</v>
      </c>
      <c r="J4533" t="s">
        <v>379</v>
      </c>
      <c r="K4533" t="s">
        <v>546</v>
      </c>
      <c r="L4533" s="784" t="s">
        <v>575</v>
      </c>
      <c r="M4533" t="s">
        <v>745</v>
      </c>
      <c r="N4533" s="784" t="s">
        <v>575</v>
      </c>
      <c r="O4533" t="s">
        <v>737</v>
      </c>
      <c r="P4533" t="s">
        <v>1887</v>
      </c>
      <c r="R4533" t="s">
        <v>150</v>
      </c>
      <c r="S4533" t="s">
        <v>145</v>
      </c>
      <c r="U4533">
        <v>0</v>
      </c>
      <c r="V4533" t="s">
        <v>544</v>
      </c>
      <c r="W4533" t="s">
        <v>546</v>
      </c>
      <c r="X4533" s="784">
        <v>14745961064.890842</v>
      </c>
    </row>
    <row r="4534" spans="1:24">
      <c r="A4534" t="s">
        <v>358</v>
      </c>
      <c r="B4534" t="s">
        <v>613</v>
      </c>
      <c r="C4534" t="s">
        <v>149</v>
      </c>
      <c r="D4534" t="s">
        <v>131</v>
      </c>
      <c r="E4534" t="s">
        <v>377</v>
      </c>
      <c r="F4534" t="s">
        <v>384</v>
      </c>
      <c r="G4534" t="s">
        <v>105</v>
      </c>
      <c r="H4534" t="s">
        <v>749</v>
      </c>
      <c r="I4534" t="s">
        <v>743</v>
      </c>
      <c r="J4534" t="s">
        <v>379</v>
      </c>
      <c r="K4534" t="s">
        <v>546</v>
      </c>
      <c r="L4534" s="784" t="s">
        <v>575</v>
      </c>
      <c r="M4534" t="s">
        <v>745</v>
      </c>
      <c r="N4534" s="784" t="s">
        <v>575</v>
      </c>
      <c r="O4534" t="s">
        <v>737</v>
      </c>
      <c r="P4534" t="s">
        <v>1887</v>
      </c>
      <c r="R4534" t="s">
        <v>150</v>
      </c>
      <c r="S4534" t="s">
        <v>146</v>
      </c>
      <c r="U4534">
        <v>0</v>
      </c>
      <c r="V4534" t="s">
        <v>544</v>
      </c>
      <c r="W4534" t="s">
        <v>546</v>
      </c>
      <c r="X4534" s="784">
        <v>18194076299.786381</v>
      </c>
    </row>
    <row r="4535" spans="1:24">
      <c r="A4535" t="s">
        <v>358</v>
      </c>
      <c r="B4535" t="s">
        <v>614</v>
      </c>
      <c r="C4535" t="s">
        <v>218</v>
      </c>
      <c r="D4535" t="s">
        <v>131</v>
      </c>
      <c r="E4535" t="s">
        <v>377</v>
      </c>
      <c r="F4535" t="s">
        <v>384</v>
      </c>
      <c r="G4535" t="s">
        <v>105</v>
      </c>
      <c r="H4535" t="s">
        <v>749</v>
      </c>
      <c r="I4535" t="s">
        <v>743</v>
      </c>
      <c r="J4535" t="s">
        <v>379</v>
      </c>
      <c r="K4535" t="s">
        <v>546</v>
      </c>
      <c r="L4535" s="784" t="s">
        <v>575</v>
      </c>
      <c r="M4535" t="s">
        <v>745</v>
      </c>
      <c r="N4535" s="784" t="s">
        <v>575</v>
      </c>
      <c r="O4535" t="s">
        <v>737</v>
      </c>
      <c r="P4535" t="s">
        <v>1887</v>
      </c>
      <c r="R4535" t="s">
        <v>152</v>
      </c>
      <c r="S4535" t="s">
        <v>146</v>
      </c>
      <c r="U4535">
        <v>0</v>
      </c>
      <c r="V4535" t="s">
        <v>544</v>
      </c>
      <c r="W4535" t="s">
        <v>546</v>
      </c>
      <c r="X4535" s="784">
        <v>4428819387.769825</v>
      </c>
    </row>
    <row r="4536" spans="1:24">
      <c r="A4536" t="s">
        <v>358</v>
      </c>
      <c r="B4536" t="s">
        <v>615</v>
      </c>
      <c r="C4536" t="s">
        <v>219</v>
      </c>
      <c r="D4536" t="s">
        <v>130</v>
      </c>
      <c r="E4536" t="s">
        <v>377</v>
      </c>
      <c r="F4536" t="s">
        <v>384</v>
      </c>
      <c r="G4536" t="s">
        <v>105</v>
      </c>
      <c r="H4536" t="s">
        <v>749</v>
      </c>
      <c r="I4536" t="s">
        <v>743</v>
      </c>
      <c r="J4536" t="s">
        <v>379</v>
      </c>
      <c r="K4536" t="s">
        <v>546</v>
      </c>
      <c r="L4536" s="784" t="s">
        <v>575</v>
      </c>
      <c r="M4536" t="s">
        <v>745</v>
      </c>
      <c r="N4536" s="784" t="s">
        <v>575</v>
      </c>
      <c r="O4536" t="s">
        <v>737</v>
      </c>
      <c r="P4536" t="s">
        <v>1887</v>
      </c>
      <c r="R4536" t="s">
        <v>152</v>
      </c>
      <c r="S4536" t="s">
        <v>146</v>
      </c>
      <c r="U4536">
        <v>0</v>
      </c>
      <c r="V4536" t="s">
        <v>541</v>
      </c>
      <c r="W4536" t="s">
        <v>575</v>
      </c>
      <c r="X4536" s="784">
        <v>611739560.62679195</v>
      </c>
    </row>
    <row r="4537" spans="1:24">
      <c r="A4537" t="s">
        <v>358</v>
      </c>
      <c r="B4537" t="s">
        <v>616</v>
      </c>
      <c r="C4537" t="s">
        <v>220</v>
      </c>
      <c r="D4537" t="s">
        <v>131</v>
      </c>
      <c r="E4537" t="s">
        <v>377</v>
      </c>
      <c r="F4537" t="s">
        <v>384</v>
      </c>
      <c r="G4537" t="s">
        <v>105</v>
      </c>
      <c r="H4537" t="s">
        <v>749</v>
      </c>
      <c r="I4537" t="s">
        <v>743</v>
      </c>
      <c r="J4537" t="s">
        <v>379</v>
      </c>
      <c r="K4537" t="s">
        <v>546</v>
      </c>
      <c r="L4537" s="784" t="s">
        <v>575</v>
      </c>
      <c r="M4537" t="s">
        <v>745</v>
      </c>
      <c r="N4537" s="784" t="s">
        <v>575</v>
      </c>
      <c r="O4537" t="s">
        <v>737</v>
      </c>
      <c r="P4537" t="s">
        <v>1887</v>
      </c>
      <c r="R4537" t="s">
        <v>152</v>
      </c>
      <c r="S4537" t="s">
        <v>146</v>
      </c>
      <c r="U4537">
        <v>0</v>
      </c>
      <c r="V4537" t="s">
        <v>544</v>
      </c>
      <c r="W4537" t="s">
        <v>546</v>
      </c>
      <c r="X4537" s="784">
        <v>1617913383.0481031</v>
      </c>
    </row>
    <row r="4538" spans="1:24">
      <c r="A4538" t="s">
        <v>358</v>
      </c>
      <c r="B4538" t="s">
        <v>617</v>
      </c>
      <c r="C4538" t="s">
        <v>221</v>
      </c>
      <c r="D4538" t="s">
        <v>127</v>
      </c>
      <c r="E4538" t="s">
        <v>377</v>
      </c>
      <c r="F4538" t="s">
        <v>384</v>
      </c>
      <c r="G4538" t="s">
        <v>105</v>
      </c>
      <c r="H4538" t="s">
        <v>749</v>
      </c>
      <c r="I4538" t="s">
        <v>743</v>
      </c>
      <c r="J4538" t="s">
        <v>379</v>
      </c>
      <c r="K4538" t="s">
        <v>546</v>
      </c>
      <c r="L4538" s="784" t="s">
        <v>575</v>
      </c>
      <c r="M4538" t="s">
        <v>745</v>
      </c>
      <c r="N4538" s="784" t="s">
        <v>575</v>
      </c>
      <c r="O4538" t="s">
        <v>737</v>
      </c>
      <c r="P4538" t="s">
        <v>1887</v>
      </c>
      <c r="R4538" t="s">
        <v>152</v>
      </c>
      <c r="S4538" t="s">
        <v>146</v>
      </c>
      <c r="U4538">
        <v>0</v>
      </c>
      <c r="V4538" t="s">
        <v>544</v>
      </c>
      <c r="W4538" t="s">
        <v>575</v>
      </c>
      <c r="X4538" s="784">
        <v>3074419112.4562683</v>
      </c>
    </row>
    <row r="4539" spans="1:24">
      <c r="A4539" t="s">
        <v>358</v>
      </c>
      <c r="B4539" t="s">
        <v>618</v>
      </c>
      <c r="C4539" t="s">
        <v>222</v>
      </c>
      <c r="D4539" t="s">
        <v>128</v>
      </c>
      <c r="E4539" t="s">
        <v>377</v>
      </c>
      <c r="F4539" t="s">
        <v>384</v>
      </c>
      <c r="G4539" t="s">
        <v>105</v>
      </c>
      <c r="H4539" t="s">
        <v>749</v>
      </c>
      <c r="I4539" t="s">
        <v>743</v>
      </c>
      <c r="J4539" t="s">
        <v>379</v>
      </c>
      <c r="K4539" t="s">
        <v>546</v>
      </c>
      <c r="L4539" s="784" t="s">
        <v>575</v>
      </c>
      <c r="M4539" t="s">
        <v>745</v>
      </c>
      <c r="N4539" s="784" t="s">
        <v>575</v>
      </c>
      <c r="O4539" t="s">
        <v>737</v>
      </c>
      <c r="P4539" t="s">
        <v>1887</v>
      </c>
      <c r="R4539" t="s">
        <v>150</v>
      </c>
      <c r="S4539" t="s">
        <v>145</v>
      </c>
      <c r="U4539">
        <v>0</v>
      </c>
      <c r="V4539" t="s">
        <v>544</v>
      </c>
      <c r="W4539" t="s">
        <v>542</v>
      </c>
      <c r="X4539" s="784">
        <v>1914014279.8929913</v>
      </c>
    </row>
    <row r="4540" spans="1:24">
      <c r="A4540" t="s">
        <v>358</v>
      </c>
      <c r="B4540" t="s">
        <v>619</v>
      </c>
      <c r="C4540" t="s">
        <v>223</v>
      </c>
      <c r="D4540" t="s">
        <v>126</v>
      </c>
      <c r="E4540" t="s">
        <v>377</v>
      </c>
      <c r="F4540" t="s">
        <v>384</v>
      </c>
      <c r="G4540" t="s">
        <v>105</v>
      </c>
      <c r="H4540" t="s">
        <v>749</v>
      </c>
      <c r="I4540" t="s">
        <v>743</v>
      </c>
      <c r="J4540" t="s">
        <v>379</v>
      </c>
      <c r="K4540" t="s">
        <v>546</v>
      </c>
      <c r="L4540" s="784" t="s">
        <v>575</v>
      </c>
      <c r="M4540" t="s">
        <v>745</v>
      </c>
      <c r="N4540" s="784" t="s">
        <v>575</v>
      </c>
      <c r="O4540" t="s">
        <v>737</v>
      </c>
      <c r="P4540" t="s">
        <v>1887</v>
      </c>
      <c r="R4540" t="s">
        <v>150</v>
      </c>
      <c r="S4540" t="s">
        <v>145</v>
      </c>
      <c r="U4540">
        <v>0</v>
      </c>
      <c r="V4540" t="s">
        <v>541</v>
      </c>
      <c r="W4540" t="s">
        <v>542</v>
      </c>
      <c r="X4540" s="784">
        <v>17422005.762907442</v>
      </c>
    </row>
    <row r="4541" spans="1:24">
      <c r="A4541" t="s">
        <v>358</v>
      </c>
      <c r="B4541" t="s">
        <v>620</v>
      </c>
      <c r="C4541" t="s">
        <v>224</v>
      </c>
      <c r="D4541" t="s">
        <v>126</v>
      </c>
      <c r="E4541" t="s">
        <v>377</v>
      </c>
      <c r="F4541" t="s">
        <v>384</v>
      </c>
      <c r="G4541" t="s">
        <v>105</v>
      </c>
      <c r="H4541" t="s">
        <v>749</v>
      </c>
      <c r="I4541" t="s">
        <v>743</v>
      </c>
      <c r="J4541" t="s">
        <v>379</v>
      </c>
      <c r="K4541" t="s">
        <v>546</v>
      </c>
      <c r="L4541" s="784" t="s">
        <v>575</v>
      </c>
      <c r="M4541" t="s">
        <v>745</v>
      </c>
      <c r="N4541" s="784" t="s">
        <v>575</v>
      </c>
      <c r="O4541" t="s">
        <v>737</v>
      </c>
      <c r="P4541" t="s">
        <v>1887</v>
      </c>
      <c r="R4541" t="s">
        <v>148</v>
      </c>
      <c r="S4541" t="s">
        <v>145</v>
      </c>
      <c r="U4541">
        <v>0</v>
      </c>
      <c r="V4541" t="s">
        <v>544</v>
      </c>
      <c r="W4541" t="s">
        <v>546</v>
      </c>
      <c r="X4541" s="784" t="s">
        <v>575</v>
      </c>
    </row>
    <row r="4542" spans="1:24">
      <c r="A4542" t="s">
        <v>358</v>
      </c>
      <c r="B4542" t="s">
        <v>621</v>
      </c>
      <c r="C4542" t="s">
        <v>225</v>
      </c>
      <c r="D4542" t="s">
        <v>127</v>
      </c>
      <c r="E4542" t="s">
        <v>377</v>
      </c>
      <c r="F4542" t="s">
        <v>384</v>
      </c>
      <c r="G4542" t="s">
        <v>105</v>
      </c>
      <c r="H4542" t="s">
        <v>749</v>
      </c>
      <c r="I4542" t="s">
        <v>743</v>
      </c>
      <c r="J4542" t="s">
        <v>379</v>
      </c>
      <c r="K4542" t="s">
        <v>546</v>
      </c>
      <c r="L4542" s="784" t="s">
        <v>575</v>
      </c>
      <c r="M4542" t="s">
        <v>745</v>
      </c>
      <c r="N4542" s="784" t="s">
        <v>575</v>
      </c>
      <c r="O4542" t="s">
        <v>737</v>
      </c>
      <c r="P4542" t="s">
        <v>1887</v>
      </c>
      <c r="R4542" t="s">
        <v>152</v>
      </c>
      <c r="S4542" t="s">
        <v>145</v>
      </c>
      <c r="U4542">
        <v>0</v>
      </c>
      <c r="V4542" t="s">
        <v>544</v>
      </c>
      <c r="W4542" t="s">
        <v>548</v>
      </c>
      <c r="X4542" s="784" t="s">
        <v>575</v>
      </c>
    </row>
    <row r="4543" spans="1:24">
      <c r="A4543" t="s">
        <v>358</v>
      </c>
      <c r="B4543" t="s">
        <v>622</v>
      </c>
      <c r="C4543" t="s">
        <v>226</v>
      </c>
      <c r="D4543" t="s">
        <v>127</v>
      </c>
      <c r="E4543" t="s">
        <v>377</v>
      </c>
      <c r="F4543" t="s">
        <v>384</v>
      </c>
      <c r="G4543" t="s">
        <v>105</v>
      </c>
      <c r="H4543" t="s">
        <v>749</v>
      </c>
      <c r="I4543" t="s">
        <v>743</v>
      </c>
      <c r="J4543" t="s">
        <v>379</v>
      </c>
      <c r="K4543" t="s">
        <v>546</v>
      </c>
      <c r="L4543" s="784" t="s">
        <v>575</v>
      </c>
      <c r="M4543" t="s">
        <v>745</v>
      </c>
      <c r="N4543" s="784" t="s">
        <v>575</v>
      </c>
      <c r="O4543" t="s">
        <v>737</v>
      </c>
      <c r="P4543" t="s">
        <v>1887</v>
      </c>
      <c r="R4543" t="s">
        <v>150</v>
      </c>
      <c r="S4543" t="s">
        <v>145</v>
      </c>
      <c r="U4543">
        <v>2</v>
      </c>
      <c r="V4543" t="s">
        <v>544</v>
      </c>
      <c r="W4543" t="s">
        <v>562</v>
      </c>
      <c r="X4543" s="784">
        <v>231506834.84347546</v>
      </c>
    </row>
    <row r="4544" spans="1:24">
      <c r="A4544" t="s">
        <v>358</v>
      </c>
      <c r="B4544" t="s">
        <v>623</v>
      </c>
      <c r="C4544" t="s">
        <v>227</v>
      </c>
      <c r="D4544" t="s">
        <v>126</v>
      </c>
      <c r="E4544" t="s">
        <v>377</v>
      </c>
      <c r="F4544" t="s">
        <v>384</v>
      </c>
      <c r="G4544" t="s">
        <v>105</v>
      </c>
      <c r="H4544" t="s">
        <v>749</v>
      </c>
      <c r="I4544" t="s">
        <v>743</v>
      </c>
      <c r="J4544" t="s">
        <v>379</v>
      </c>
      <c r="K4544" t="s">
        <v>546</v>
      </c>
      <c r="L4544" s="784" t="s">
        <v>575</v>
      </c>
      <c r="M4544" t="s">
        <v>745</v>
      </c>
      <c r="N4544" s="784" t="s">
        <v>575</v>
      </c>
      <c r="O4544" t="s">
        <v>737</v>
      </c>
      <c r="P4544" t="s">
        <v>1887</v>
      </c>
      <c r="R4544" t="s">
        <v>150</v>
      </c>
      <c r="S4544" t="s">
        <v>145</v>
      </c>
      <c r="U4544">
        <v>0</v>
      </c>
      <c r="V4544" t="s">
        <v>544</v>
      </c>
      <c r="W4544" t="s">
        <v>542</v>
      </c>
      <c r="X4544" s="784">
        <v>156059428.62944782</v>
      </c>
    </row>
    <row r="4545" spans="1:24">
      <c r="A4545" t="s">
        <v>358</v>
      </c>
      <c r="B4545" t="s">
        <v>624</v>
      </c>
      <c r="C4545" t="s">
        <v>228</v>
      </c>
      <c r="D4545" t="s">
        <v>131</v>
      </c>
      <c r="E4545" t="s">
        <v>377</v>
      </c>
      <c r="F4545" t="s">
        <v>384</v>
      </c>
      <c r="G4545" t="s">
        <v>105</v>
      </c>
      <c r="H4545" t="s">
        <v>749</v>
      </c>
      <c r="I4545" t="s">
        <v>743</v>
      </c>
      <c r="J4545" t="s">
        <v>379</v>
      </c>
      <c r="K4545" t="s">
        <v>546</v>
      </c>
      <c r="L4545" s="784" t="s">
        <v>575</v>
      </c>
      <c r="M4545" t="s">
        <v>745</v>
      </c>
      <c r="N4545" s="784" t="s">
        <v>575</v>
      </c>
      <c r="O4545" t="s">
        <v>737</v>
      </c>
      <c r="P4545" t="s">
        <v>1887</v>
      </c>
      <c r="R4545" t="s">
        <v>152</v>
      </c>
      <c r="S4545" t="s">
        <v>146</v>
      </c>
      <c r="U4545">
        <v>0</v>
      </c>
      <c r="V4545" t="s">
        <v>544</v>
      </c>
      <c r="W4545" t="s">
        <v>546</v>
      </c>
      <c r="X4545" s="784">
        <v>2355391507.1635861</v>
      </c>
    </row>
    <row r="4546" spans="1:24">
      <c r="A4546" t="s">
        <v>358</v>
      </c>
      <c r="B4546" t="s">
        <v>625</v>
      </c>
      <c r="C4546" t="s">
        <v>229</v>
      </c>
      <c r="D4546" t="s">
        <v>128</v>
      </c>
      <c r="E4546" t="s">
        <v>377</v>
      </c>
      <c r="F4546" t="s">
        <v>384</v>
      </c>
      <c r="G4546" t="s">
        <v>105</v>
      </c>
      <c r="H4546" t="s">
        <v>749</v>
      </c>
      <c r="I4546" t="s">
        <v>743</v>
      </c>
      <c r="J4546" t="s">
        <v>379</v>
      </c>
      <c r="K4546" t="s">
        <v>546</v>
      </c>
      <c r="L4546" s="784" t="s">
        <v>575</v>
      </c>
      <c r="M4546" t="s">
        <v>745</v>
      </c>
      <c r="N4546" s="784" t="s">
        <v>575</v>
      </c>
      <c r="O4546" t="s">
        <v>737</v>
      </c>
      <c r="P4546" t="s">
        <v>1887</v>
      </c>
      <c r="R4546" t="s">
        <v>150</v>
      </c>
      <c r="S4546" t="s">
        <v>145</v>
      </c>
      <c r="U4546">
        <v>0</v>
      </c>
      <c r="V4546" t="s">
        <v>544</v>
      </c>
      <c r="W4546" t="s">
        <v>562</v>
      </c>
      <c r="X4546" s="784">
        <v>152760919.7684873</v>
      </c>
    </row>
    <row r="4547" spans="1:24">
      <c r="A4547" t="s">
        <v>358</v>
      </c>
      <c r="B4547" t="s">
        <v>626</v>
      </c>
      <c r="C4547" t="s">
        <v>230</v>
      </c>
      <c r="D4547" t="s">
        <v>129</v>
      </c>
      <c r="E4547" t="s">
        <v>377</v>
      </c>
      <c r="F4547" t="s">
        <v>384</v>
      </c>
      <c r="G4547" t="s">
        <v>105</v>
      </c>
      <c r="H4547" t="s">
        <v>749</v>
      </c>
      <c r="I4547" t="s">
        <v>743</v>
      </c>
      <c r="J4547" t="s">
        <v>379</v>
      </c>
      <c r="K4547" t="s">
        <v>546</v>
      </c>
      <c r="L4547" s="784" t="s">
        <v>575</v>
      </c>
      <c r="M4547" t="s">
        <v>745</v>
      </c>
      <c r="N4547" s="784" t="s">
        <v>575</v>
      </c>
      <c r="O4547" t="s">
        <v>737</v>
      </c>
      <c r="P4547" t="s">
        <v>1887</v>
      </c>
      <c r="R4547" t="s">
        <v>148</v>
      </c>
      <c r="S4547" t="s">
        <v>145</v>
      </c>
      <c r="U4547">
        <v>0</v>
      </c>
      <c r="V4547" t="s">
        <v>544</v>
      </c>
      <c r="W4547" t="s">
        <v>542</v>
      </c>
      <c r="X4547" s="784">
        <v>55072006.864440605</v>
      </c>
    </row>
    <row r="4548" spans="1:24">
      <c r="A4548" t="s">
        <v>358</v>
      </c>
      <c r="B4548" t="s">
        <v>627</v>
      </c>
      <c r="C4548" t="s">
        <v>231</v>
      </c>
      <c r="D4548" t="s">
        <v>131</v>
      </c>
      <c r="E4548" t="s">
        <v>377</v>
      </c>
      <c r="F4548" t="s">
        <v>384</v>
      </c>
      <c r="G4548" t="s">
        <v>105</v>
      </c>
      <c r="H4548" t="s">
        <v>749</v>
      </c>
      <c r="I4548" t="s">
        <v>743</v>
      </c>
      <c r="J4548" t="s">
        <v>379</v>
      </c>
      <c r="K4548" t="s">
        <v>546</v>
      </c>
      <c r="L4548" s="784" t="s">
        <v>575</v>
      </c>
      <c r="M4548" t="s">
        <v>745</v>
      </c>
      <c r="N4548" s="784" t="s">
        <v>575</v>
      </c>
      <c r="O4548" t="s">
        <v>737</v>
      </c>
      <c r="P4548" t="s">
        <v>1887</v>
      </c>
      <c r="R4548" t="s">
        <v>152</v>
      </c>
      <c r="S4548" t="s">
        <v>146</v>
      </c>
      <c r="U4548">
        <v>0</v>
      </c>
      <c r="V4548" t="s">
        <v>544</v>
      </c>
      <c r="W4548" t="s">
        <v>546</v>
      </c>
      <c r="X4548" s="784" t="s">
        <v>575</v>
      </c>
    </row>
    <row r="4549" spans="1:24">
      <c r="A4549" t="s">
        <v>358</v>
      </c>
      <c r="B4549" t="s">
        <v>628</v>
      </c>
      <c r="C4549" t="s">
        <v>232</v>
      </c>
      <c r="D4549" t="s">
        <v>128</v>
      </c>
      <c r="E4549" t="s">
        <v>377</v>
      </c>
      <c r="F4549" t="s">
        <v>384</v>
      </c>
      <c r="G4549" t="s">
        <v>105</v>
      </c>
      <c r="H4549" t="s">
        <v>749</v>
      </c>
      <c r="I4549" t="s">
        <v>743</v>
      </c>
      <c r="J4549" t="s">
        <v>379</v>
      </c>
      <c r="K4549" t="s">
        <v>546</v>
      </c>
      <c r="L4549" s="784" t="s">
        <v>575</v>
      </c>
      <c r="M4549" t="s">
        <v>745</v>
      </c>
      <c r="N4549" s="784" t="s">
        <v>575</v>
      </c>
      <c r="O4549" t="s">
        <v>737</v>
      </c>
      <c r="P4549" t="s">
        <v>1887</v>
      </c>
      <c r="R4549" t="s">
        <v>148</v>
      </c>
      <c r="S4549" t="s">
        <v>145</v>
      </c>
      <c r="U4549">
        <v>2</v>
      </c>
      <c r="V4549" t="s">
        <v>544</v>
      </c>
      <c r="W4549" t="s">
        <v>562</v>
      </c>
      <c r="X4549" s="784">
        <v>206914157.05429548</v>
      </c>
    </row>
    <row r="4550" spans="1:24">
      <c r="A4550" t="s">
        <v>358</v>
      </c>
      <c r="B4550" t="s">
        <v>629</v>
      </c>
      <c r="C4550" t="s">
        <v>233</v>
      </c>
      <c r="D4550" t="s">
        <v>128</v>
      </c>
      <c r="E4550" t="s">
        <v>377</v>
      </c>
      <c r="F4550" t="s">
        <v>384</v>
      </c>
      <c r="G4550" t="s">
        <v>105</v>
      </c>
      <c r="H4550" t="s">
        <v>749</v>
      </c>
      <c r="I4550" t="s">
        <v>743</v>
      </c>
      <c r="J4550" t="s">
        <v>379</v>
      </c>
      <c r="K4550" t="s">
        <v>546</v>
      </c>
      <c r="L4550" s="784" t="s">
        <v>575</v>
      </c>
      <c r="M4550" t="s">
        <v>745</v>
      </c>
      <c r="N4550" s="784" t="s">
        <v>575</v>
      </c>
      <c r="O4550" t="s">
        <v>737</v>
      </c>
      <c r="P4550" t="s">
        <v>1887</v>
      </c>
      <c r="R4550" t="s">
        <v>148</v>
      </c>
      <c r="S4550" t="s">
        <v>145</v>
      </c>
      <c r="U4550">
        <v>2</v>
      </c>
      <c r="V4550" t="s">
        <v>544</v>
      </c>
      <c r="W4550" t="s">
        <v>542</v>
      </c>
      <c r="X4550" s="784">
        <v>185999915.02066413</v>
      </c>
    </row>
    <row r="4551" spans="1:24">
      <c r="A4551" t="s">
        <v>358</v>
      </c>
      <c r="B4551" t="s">
        <v>630</v>
      </c>
      <c r="C4551" t="s">
        <v>234</v>
      </c>
      <c r="D4551" t="s">
        <v>126</v>
      </c>
      <c r="E4551" t="s">
        <v>377</v>
      </c>
      <c r="F4551" t="s">
        <v>384</v>
      </c>
      <c r="G4551" t="s">
        <v>105</v>
      </c>
      <c r="H4551" t="s">
        <v>749</v>
      </c>
      <c r="I4551" t="s">
        <v>743</v>
      </c>
      <c r="J4551" t="s">
        <v>379</v>
      </c>
      <c r="K4551" t="s">
        <v>546</v>
      </c>
      <c r="L4551" s="784" t="s">
        <v>575</v>
      </c>
      <c r="M4551" t="s">
        <v>745</v>
      </c>
      <c r="N4551" s="784" t="s">
        <v>575</v>
      </c>
      <c r="O4551" t="s">
        <v>737</v>
      </c>
      <c r="P4551" t="s">
        <v>1887</v>
      </c>
      <c r="R4551" t="s">
        <v>152</v>
      </c>
      <c r="S4551" t="s">
        <v>146</v>
      </c>
      <c r="U4551">
        <v>0</v>
      </c>
      <c r="V4551" t="s">
        <v>544</v>
      </c>
      <c r="W4551" t="s">
        <v>575</v>
      </c>
      <c r="X4551" s="784">
        <v>6893755763.2501726</v>
      </c>
    </row>
    <row r="4552" spans="1:24">
      <c r="A4552" t="s">
        <v>358</v>
      </c>
      <c r="B4552" t="s">
        <v>631</v>
      </c>
      <c r="C4552" t="s">
        <v>235</v>
      </c>
      <c r="D4552" t="s">
        <v>132</v>
      </c>
      <c r="E4552" t="s">
        <v>377</v>
      </c>
      <c r="F4552" t="s">
        <v>384</v>
      </c>
      <c r="G4552" t="s">
        <v>105</v>
      </c>
      <c r="H4552" t="s">
        <v>749</v>
      </c>
      <c r="I4552" t="s">
        <v>743</v>
      </c>
      <c r="J4552" t="s">
        <v>379</v>
      </c>
      <c r="K4552" t="s">
        <v>546</v>
      </c>
      <c r="L4552" s="784" t="s">
        <v>575</v>
      </c>
      <c r="M4552" t="s">
        <v>745</v>
      </c>
      <c r="N4552" s="784" t="s">
        <v>575</v>
      </c>
      <c r="O4552" t="s">
        <v>737</v>
      </c>
      <c r="P4552" t="s">
        <v>1887</v>
      </c>
      <c r="R4552" t="s">
        <v>152</v>
      </c>
      <c r="S4552" t="s">
        <v>145</v>
      </c>
      <c r="U4552">
        <v>0</v>
      </c>
      <c r="V4552" t="s">
        <v>541</v>
      </c>
      <c r="W4552" t="s">
        <v>542</v>
      </c>
      <c r="X4552" s="784">
        <v>354560231.58276606</v>
      </c>
    </row>
    <row r="4553" spans="1:24">
      <c r="A4553" t="s">
        <v>358</v>
      </c>
      <c r="B4553" t="s">
        <v>632</v>
      </c>
      <c r="C4553" t="s">
        <v>236</v>
      </c>
      <c r="D4553" t="s">
        <v>129</v>
      </c>
      <c r="E4553" t="s">
        <v>377</v>
      </c>
      <c r="F4553" t="s">
        <v>384</v>
      </c>
      <c r="G4553" t="s">
        <v>105</v>
      </c>
      <c r="H4553" t="s">
        <v>749</v>
      </c>
      <c r="I4553" t="s">
        <v>743</v>
      </c>
      <c r="J4553" t="s">
        <v>379</v>
      </c>
      <c r="K4553" t="s">
        <v>546</v>
      </c>
      <c r="L4553" s="784" t="s">
        <v>575</v>
      </c>
      <c r="M4553" t="s">
        <v>745</v>
      </c>
      <c r="N4553" s="784" t="s">
        <v>575</v>
      </c>
      <c r="O4553" t="s">
        <v>737</v>
      </c>
      <c r="P4553" t="s">
        <v>1887</v>
      </c>
      <c r="R4553" t="s">
        <v>148</v>
      </c>
      <c r="S4553" t="s">
        <v>145</v>
      </c>
      <c r="U4553">
        <v>1</v>
      </c>
      <c r="V4553" t="s">
        <v>544</v>
      </c>
      <c r="W4553" t="s">
        <v>562</v>
      </c>
      <c r="X4553" s="784">
        <v>188169167.56540567</v>
      </c>
    </row>
    <row r="4554" spans="1:24">
      <c r="A4554" t="s">
        <v>358</v>
      </c>
      <c r="B4554" t="s">
        <v>633</v>
      </c>
      <c r="C4554" t="s">
        <v>237</v>
      </c>
      <c r="D4554" t="s">
        <v>126</v>
      </c>
      <c r="E4554" t="s">
        <v>377</v>
      </c>
      <c r="F4554" t="s">
        <v>384</v>
      </c>
      <c r="G4554" t="s">
        <v>105</v>
      </c>
      <c r="H4554" t="s">
        <v>749</v>
      </c>
      <c r="I4554" t="s">
        <v>743</v>
      </c>
      <c r="J4554" t="s">
        <v>379</v>
      </c>
      <c r="K4554" t="s">
        <v>546</v>
      </c>
      <c r="L4554" s="784" t="s">
        <v>575</v>
      </c>
      <c r="M4554" t="s">
        <v>745</v>
      </c>
      <c r="N4554" s="784" t="s">
        <v>575</v>
      </c>
      <c r="O4554" t="s">
        <v>737</v>
      </c>
      <c r="P4554" t="s">
        <v>1887</v>
      </c>
      <c r="R4554" t="s">
        <v>152</v>
      </c>
      <c r="S4554" t="s">
        <v>145</v>
      </c>
      <c r="U4554">
        <v>0</v>
      </c>
      <c r="V4554" t="s">
        <v>541</v>
      </c>
      <c r="W4554" t="s">
        <v>575</v>
      </c>
      <c r="X4554" s="784">
        <v>16312106.556340856</v>
      </c>
    </row>
    <row r="4555" spans="1:24">
      <c r="A4555" t="s">
        <v>358</v>
      </c>
      <c r="B4555" t="s">
        <v>634</v>
      </c>
      <c r="C4555" t="s">
        <v>238</v>
      </c>
      <c r="D4555" t="s">
        <v>129</v>
      </c>
      <c r="E4555" t="s">
        <v>377</v>
      </c>
      <c r="F4555" t="s">
        <v>384</v>
      </c>
      <c r="G4555" t="s">
        <v>105</v>
      </c>
      <c r="H4555" t="s">
        <v>749</v>
      </c>
      <c r="I4555" t="s">
        <v>743</v>
      </c>
      <c r="J4555" t="s">
        <v>379</v>
      </c>
      <c r="K4555" t="s">
        <v>546</v>
      </c>
      <c r="L4555" s="784" t="s">
        <v>575</v>
      </c>
      <c r="M4555" t="s">
        <v>745</v>
      </c>
      <c r="N4555" s="784" t="s">
        <v>575</v>
      </c>
      <c r="O4555" t="s">
        <v>737</v>
      </c>
      <c r="P4555" t="s">
        <v>1887</v>
      </c>
      <c r="R4555" t="s">
        <v>150</v>
      </c>
      <c r="S4555" t="s">
        <v>145</v>
      </c>
      <c r="U4555">
        <v>2</v>
      </c>
      <c r="V4555" t="s">
        <v>544</v>
      </c>
      <c r="W4555" t="s">
        <v>542</v>
      </c>
      <c r="X4555" s="784">
        <v>86083833.534053758</v>
      </c>
    </row>
    <row r="4556" spans="1:24">
      <c r="A4556" t="s">
        <v>358</v>
      </c>
      <c r="B4556" t="s">
        <v>635</v>
      </c>
      <c r="C4556" t="s">
        <v>239</v>
      </c>
      <c r="D4556" t="s">
        <v>128</v>
      </c>
      <c r="E4556" t="s">
        <v>377</v>
      </c>
      <c r="F4556" t="s">
        <v>384</v>
      </c>
      <c r="G4556" t="s">
        <v>105</v>
      </c>
      <c r="H4556" t="s">
        <v>749</v>
      </c>
      <c r="I4556" t="s">
        <v>743</v>
      </c>
      <c r="J4556" t="s">
        <v>379</v>
      </c>
      <c r="K4556" t="s">
        <v>546</v>
      </c>
      <c r="L4556" s="784" t="s">
        <v>575</v>
      </c>
      <c r="M4556" t="s">
        <v>745</v>
      </c>
      <c r="N4556" s="784" t="s">
        <v>575</v>
      </c>
      <c r="O4556" t="s">
        <v>737</v>
      </c>
      <c r="P4556" t="s">
        <v>1887</v>
      </c>
      <c r="R4556" t="s">
        <v>152</v>
      </c>
      <c r="S4556" t="s">
        <v>146</v>
      </c>
      <c r="U4556">
        <v>0</v>
      </c>
      <c r="V4556" t="s">
        <v>541</v>
      </c>
      <c r="W4556" t="s">
        <v>546</v>
      </c>
      <c r="X4556" s="784">
        <v>357220835.93762809</v>
      </c>
    </row>
    <row r="4557" spans="1:24">
      <c r="A4557" t="s">
        <v>358</v>
      </c>
      <c r="B4557" t="s">
        <v>636</v>
      </c>
      <c r="C4557" t="s">
        <v>240</v>
      </c>
      <c r="D4557" t="s">
        <v>130</v>
      </c>
      <c r="E4557" t="s">
        <v>377</v>
      </c>
      <c r="F4557" t="s">
        <v>384</v>
      </c>
      <c r="G4557" t="s">
        <v>105</v>
      </c>
      <c r="H4557" t="s">
        <v>749</v>
      </c>
      <c r="I4557" t="s">
        <v>743</v>
      </c>
      <c r="J4557" t="s">
        <v>379</v>
      </c>
      <c r="K4557" t="s">
        <v>546</v>
      </c>
      <c r="L4557" s="784" t="s">
        <v>575</v>
      </c>
      <c r="M4557" t="s">
        <v>745</v>
      </c>
      <c r="N4557" s="784" t="s">
        <v>575</v>
      </c>
      <c r="O4557" t="s">
        <v>737</v>
      </c>
      <c r="P4557" t="s">
        <v>1887</v>
      </c>
      <c r="R4557" t="s">
        <v>152</v>
      </c>
      <c r="S4557" t="s">
        <v>146</v>
      </c>
      <c r="U4557">
        <v>0</v>
      </c>
      <c r="V4557" t="s">
        <v>544</v>
      </c>
      <c r="W4557" t="s">
        <v>575</v>
      </c>
      <c r="X4557" s="784">
        <v>32831598153.796387</v>
      </c>
    </row>
    <row r="4558" spans="1:24">
      <c r="A4558" t="s">
        <v>358</v>
      </c>
      <c r="B4558" t="s">
        <v>637</v>
      </c>
      <c r="C4558" t="s">
        <v>241</v>
      </c>
      <c r="D4558" t="s">
        <v>126</v>
      </c>
      <c r="E4558" t="s">
        <v>377</v>
      </c>
      <c r="F4558" t="s">
        <v>384</v>
      </c>
      <c r="G4558" t="s">
        <v>105</v>
      </c>
      <c r="H4558" t="s">
        <v>749</v>
      </c>
      <c r="I4558" t="s">
        <v>743</v>
      </c>
      <c r="J4558" t="s">
        <v>379</v>
      </c>
      <c r="K4558" t="s">
        <v>546</v>
      </c>
      <c r="L4558" s="784" t="s">
        <v>575</v>
      </c>
      <c r="M4558" t="s">
        <v>745</v>
      </c>
      <c r="N4558" s="784" t="s">
        <v>575</v>
      </c>
      <c r="O4558" t="s">
        <v>737</v>
      </c>
      <c r="P4558" t="s">
        <v>1887</v>
      </c>
      <c r="R4558" t="s">
        <v>150</v>
      </c>
      <c r="S4558" t="s">
        <v>145</v>
      </c>
      <c r="U4558">
        <v>0</v>
      </c>
      <c r="V4558" t="s">
        <v>541</v>
      </c>
      <c r="W4558" t="s">
        <v>542</v>
      </c>
      <c r="X4558" s="784">
        <v>12329056.093798399</v>
      </c>
    </row>
    <row r="4559" spans="1:24">
      <c r="A4559" t="s">
        <v>358</v>
      </c>
      <c r="B4559" t="s">
        <v>638</v>
      </c>
      <c r="C4559" t="s">
        <v>242</v>
      </c>
      <c r="D4559" t="s">
        <v>127</v>
      </c>
      <c r="E4559" t="s">
        <v>377</v>
      </c>
      <c r="F4559" t="s">
        <v>384</v>
      </c>
      <c r="G4559" t="s">
        <v>105</v>
      </c>
      <c r="H4559" t="s">
        <v>749</v>
      </c>
      <c r="I4559" t="s">
        <v>743</v>
      </c>
      <c r="J4559" t="s">
        <v>379</v>
      </c>
      <c r="K4559" t="s">
        <v>546</v>
      </c>
      <c r="L4559" s="784" t="s">
        <v>575</v>
      </c>
      <c r="M4559" t="s">
        <v>745</v>
      </c>
      <c r="N4559" s="784" t="s">
        <v>575</v>
      </c>
      <c r="O4559" t="s">
        <v>737</v>
      </c>
      <c r="P4559" t="s">
        <v>1887</v>
      </c>
      <c r="R4559" t="s">
        <v>152</v>
      </c>
      <c r="S4559" t="s">
        <v>145</v>
      </c>
      <c r="U4559">
        <v>0</v>
      </c>
      <c r="V4559" t="s">
        <v>544</v>
      </c>
      <c r="W4559" t="s">
        <v>558</v>
      </c>
      <c r="X4559" s="784">
        <v>426639742.85328001</v>
      </c>
    </row>
    <row r="4560" spans="1:24">
      <c r="A4560" t="s">
        <v>358</v>
      </c>
      <c r="B4560" t="s">
        <v>639</v>
      </c>
      <c r="C4560" t="s">
        <v>243</v>
      </c>
      <c r="D4560" t="s">
        <v>126</v>
      </c>
      <c r="E4560" t="s">
        <v>377</v>
      </c>
      <c r="F4560" t="s">
        <v>384</v>
      </c>
      <c r="G4560" t="s">
        <v>105</v>
      </c>
      <c r="H4560" t="s">
        <v>749</v>
      </c>
      <c r="I4560" t="s">
        <v>743</v>
      </c>
      <c r="J4560" t="s">
        <v>379</v>
      </c>
      <c r="K4560" t="s">
        <v>546</v>
      </c>
      <c r="L4560" s="784" t="s">
        <v>575</v>
      </c>
      <c r="M4560" t="s">
        <v>745</v>
      </c>
      <c r="N4560" s="784" t="s">
        <v>575</v>
      </c>
      <c r="O4560" t="s">
        <v>737</v>
      </c>
      <c r="P4560" t="s">
        <v>1887</v>
      </c>
      <c r="R4560" t="s">
        <v>150</v>
      </c>
      <c r="S4560" t="s">
        <v>145</v>
      </c>
      <c r="U4560">
        <v>0</v>
      </c>
      <c r="V4560" t="s">
        <v>544</v>
      </c>
      <c r="W4560" t="s">
        <v>548</v>
      </c>
      <c r="X4560" s="784">
        <v>288519671.85870522</v>
      </c>
    </row>
    <row r="4561" spans="1:24">
      <c r="A4561" t="s">
        <v>358</v>
      </c>
      <c r="B4561" t="s">
        <v>640</v>
      </c>
      <c r="C4561" t="s">
        <v>244</v>
      </c>
      <c r="D4561" t="s">
        <v>127</v>
      </c>
      <c r="E4561" t="s">
        <v>377</v>
      </c>
      <c r="F4561" t="s">
        <v>384</v>
      </c>
      <c r="G4561" t="s">
        <v>105</v>
      </c>
      <c r="H4561" t="s">
        <v>749</v>
      </c>
      <c r="I4561" t="s">
        <v>743</v>
      </c>
      <c r="J4561" t="s">
        <v>379</v>
      </c>
      <c r="K4561" t="s">
        <v>546</v>
      </c>
      <c r="L4561" s="784" t="s">
        <v>575</v>
      </c>
      <c r="M4561" t="s">
        <v>745</v>
      </c>
      <c r="N4561" s="784" t="s">
        <v>575</v>
      </c>
      <c r="O4561" t="s">
        <v>737</v>
      </c>
      <c r="P4561" t="s">
        <v>1887</v>
      </c>
      <c r="R4561" t="s">
        <v>152</v>
      </c>
      <c r="S4561" t="s">
        <v>146</v>
      </c>
      <c r="U4561">
        <v>0</v>
      </c>
      <c r="V4561" t="s">
        <v>544</v>
      </c>
      <c r="W4561" t="s">
        <v>546</v>
      </c>
      <c r="X4561" s="784">
        <v>275606560.78491527</v>
      </c>
    </row>
    <row r="4562" spans="1:24">
      <c r="A4562" t="s">
        <v>358</v>
      </c>
      <c r="B4562" t="s">
        <v>641</v>
      </c>
      <c r="C4562" t="s">
        <v>245</v>
      </c>
      <c r="D4562" t="s">
        <v>131</v>
      </c>
      <c r="E4562" t="s">
        <v>377</v>
      </c>
      <c r="F4562" t="s">
        <v>384</v>
      </c>
      <c r="G4562" t="s">
        <v>105</v>
      </c>
      <c r="H4562" t="s">
        <v>749</v>
      </c>
      <c r="I4562" t="s">
        <v>743</v>
      </c>
      <c r="J4562" t="s">
        <v>379</v>
      </c>
      <c r="K4562" t="s">
        <v>546</v>
      </c>
      <c r="L4562" s="784" t="s">
        <v>575</v>
      </c>
      <c r="M4562" t="s">
        <v>745</v>
      </c>
      <c r="N4562" s="784" t="s">
        <v>575</v>
      </c>
      <c r="O4562" t="s">
        <v>737</v>
      </c>
      <c r="P4562" t="s">
        <v>1887</v>
      </c>
      <c r="R4562" t="s">
        <v>150</v>
      </c>
      <c r="S4562" t="s">
        <v>145</v>
      </c>
      <c r="U4562">
        <v>0</v>
      </c>
      <c r="V4562" t="s">
        <v>544</v>
      </c>
      <c r="W4562" t="s">
        <v>546</v>
      </c>
      <c r="X4562" s="784">
        <v>2530937679.3725696</v>
      </c>
    </row>
    <row r="4563" spans="1:24">
      <c r="A4563" t="s">
        <v>358</v>
      </c>
      <c r="B4563" t="s">
        <v>642</v>
      </c>
      <c r="C4563" t="s">
        <v>246</v>
      </c>
      <c r="D4563" t="s">
        <v>128</v>
      </c>
      <c r="E4563" t="s">
        <v>377</v>
      </c>
      <c r="F4563" t="s">
        <v>384</v>
      </c>
      <c r="G4563" t="s">
        <v>105</v>
      </c>
      <c r="H4563" t="s">
        <v>749</v>
      </c>
      <c r="I4563" t="s">
        <v>743</v>
      </c>
      <c r="J4563" t="s">
        <v>379</v>
      </c>
      <c r="K4563" t="s">
        <v>546</v>
      </c>
      <c r="L4563" s="784" t="s">
        <v>575</v>
      </c>
      <c r="M4563" t="s">
        <v>745</v>
      </c>
      <c r="N4563" s="784" t="s">
        <v>575</v>
      </c>
      <c r="O4563" t="s">
        <v>737</v>
      </c>
      <c r="P4563" t="s">
        <v>1887</v>
      </c>
      <c r="R4563" t="s">
        <v>148</v>
      </c>
      <c r="S4563" t="s">
        <v>145</v>
      </c>
      <c r="U4563">
        <v>0</v>
      </c>
      <c r="V4563" t="s">
        <v>544</v>
      </c>
      <c r="W4563" t="s">
        <v>583</v>
      </c>
      <c r="X4563" s="784">
        <v>251432156.86255455</v>
      </c>
    </row>
    <row r="4564" spans="1:24">
      <c r="A4564" t="s">
        <v>358</v>
      </c>
      <c r="B4564" t="s">
        <v>643</v>
      </c>
      <c r="C4564" t="s">
        <v>247</v>
      </c>
      <c r="D4564" t="s">
        <v>126</v>
      </c>
      <c r="E4564" t="s">
        <v>377</v>
      </c>
      <c r="F4564" t="s">
        <v>384</v>
      </c>
      <c r="G4564" t="s">
        <v>105</v>
      </c>
      <c r="H4564" t="s">
        <v>749</v>
      </c>
      <c r="I4564" t="s">
        <v>743</v>
      </c>
      <c r="J4564" t="s">
        <v>379</v>
      </c>
      <c r="K4564" t="s">
        <v>546</v>
      </c>
      <c r="L4564" s="784" t="s">
        <v>575</v>
      </c>
      <c r="M4564" t="s">
        <v>745</v>
      </c>
      <c r="N4564" s="784" t="s">
        <v>575</v>
      </c>
      <c r="O4564" t="s">
        <v>737</v>
      </c>
      <c r="P4564" t="s">
        <v>1887</v>
      </c>
      <c r="R4564" t="s">
        <v>150</v>
      </c>
      <c r="S4564" t="s">
        <v>145</v>
      </c>
      <c r="U4564">
        <v>0</v>
      </c>
      <c r="V4564" t="s">
        <v>544</v>
      </c>
      <c r="W4564" t="s">
        <v>558</v>
      </c>
      <c r="X4564" s="784">
        <v>471534500.60109437</v>
      </c>
    </row>
    <row r="4565" spans="1:24">
      <c r="A4565" t="s">
        <v>358</v>
      </c>
      <c r="B4565" t="s">
        <v>644</v>
      </c>
      <c r="C4565" t="s">
        <v>248</v>
      </c>
      <c r="D4565" t="s">
        <v>128</v>
      </c>
      <c r="E4565" t="s">
        <v>377</v>
      </c>
      <c r="F4565" t="s">
        <v>384</v>
      </c>
      <c r="G4565" t="s">
        <v>105</v>
      </c>
      <c r="H4565" t="s">
        <v>749</v>
      </c>
      <c r="I4565" t="s">
        <v>743</v>
      </c>
      <c r="J4565" t="s">
        <v>379</v>
      </c>
      <c r="K4565" t="s">
        <v>546</v>
      </c>
      <c r="L4565" s="784" t="s">
        <v>575</v>
      </c>
      <c r="M4565" t="s">
        <v>745</v>
      </c>
      <c r="N4565" s="784" t="s">
        <v>575</v>
      </c>
      <c r="O4565" t="s">
        <v>737</v>
      </c>
      <c r="P4565" t="s">
        <v>1887</v>
      </c>
      <c r="R4565" t="s">
        <v>152</v>
      </c>
      <c r="S4565" t="s">
        <v>146</v>
      </c>
      <c r="U4565">
        <v>0</v>
      </c>
      <c r="V4565" t="s">
        <v>544</v>
      </c>
      <c r="W4565" t="s">
        <v>575</v>
      </c>
      <c r="X4565" s="784">
        <v>531677611.80447447</v>
      </c>
    </row>
    <row r="4566" spans="1:24">
      <c r="A4566" t="s">
        <v>358</v>
      </c>
      <c r="B4566" t="s">
        <v>645</v>
      </c>
      <c r="C4566" t="s">
        <v>249</v>
      </c>
      <c r="D4566" t="s">
        <v>126</v>
      </c>
      <c r="E4566" t="s">
        <v>377</v>
      </c>
      <c r="F4566" t="s">
        <v>384</v>
      </c>
      <c r="G4566" t="s">
        <v>105</v>
      </c>
      <c r="H4566" t="s">
        <v>749</v>
      </c>
      <c r="I4566" t="s">
        <v>743</v>
      </c>
      <c r="J4566" t="s">
        <v>379</v>
      </c>
      <c r="K4566" t="s">
        <v>546</v>
      </c>
      <c r="L4566" s="784" t="s">
        <v>575</v>
      </c>
      <c r="M4566" t="s">
        <v>745</v>
      </c>
      <c r="N4566" s="784" t="s">
        <v>575</v>
      </c>
      <c r="O4566" t="s">
        <v>737</v>
      </c>
      <c r="P4566" t="s">
        <v>1887</v>
      </c>
      <c r="R4566" t="s">
        <v>550</v>
      </c>
      <c r="S4566" t="s">
        <v>146</v>
      </c>
      <c r="U4566">
        <v>0</v>
      </c>
      <c r="V4566" t="s">
        <v>541</v>
      </c>
      <c r="W4566" t="s">
        <v>575</v>
      </c>
      <c r="X4566" s="784">
        <v>8528751.6418357007</v>
      </c>
    </row>
    <row r="4567" spans="1:24">
      <c r="A4567" t="s">
        <v>358</v>
      </c>
      <c r="B4567" t="s">
        <v>646</v>
      </c>
      <c r="C4567" t="s">
        <v>250</v>
      </c>
      <c r="D4567" t="s">
        <v>132</v>
      </c>
      <c r="E4567" t="s">
        <v>377</v>
      </c>
      <c r="F4567" t="s">
        <v>384</v>
      </c>
      <c r="G4567" t="s">
        <v>105</v>
      </c>
      <c r="H4567" t="s">
        <v>749</v>
      </c>
      <c r="I4567" t="s">
        <v>743</v>
      </c>
      <c r="J4567" t="s">
        <v>379</v>
      </c>
      <c r="K4567" t="s">
        <v>546</v>
      </c>
      <c r="L4567" s="784" t="s">
        <v>575</v>
      </c>
      <c r="M4567" t="s">
        <v>745</v>
      </c>
      <c r="N4567" s="784" t="s">
        <v>575</v>
      </c>
      <c r="O4567" t="s">
        <v>737</v>
      </c>
      <c r="P4567" t="s">
        <v>1887</v>
      </c>
      <c r="R4567" t="s">
        <v>150</v>
      </c>
      <c r="S4567" t="s">
        <v>145</v>
      </c>
      <c r="U4567">
        <v>0</v>
      </c>
      <c r="V4567" t="s">
        <v>544</v>
      </c>
      <c r="W4567" t="s">
        <v>558</v>
      </c>
      <c r="X4567" s="784">
        <v>407084543.19089872</v>
      </c>
    </row>
    <row r="4568" spans="1:24">
      <c r="A4568" t="s">
        <v>358</v>
      </c>
      <c r="B4568" t="s">
        <v>647</v>
      </c>
      <c r="C4568" t="s">
        <v>251</v>
      </c>
      <c r="D4568" t="s">
        <v>130</v>
      </c>
      <c r="E4568" t="s">
        <v>377</v>
      </c>
      <c r="F4568" t="s">
        <v>384</v>
      </c>
      <c r="G4568" t="s">
        <v>105</v>
      </c>
      <c r="H4568" t="s">
        <v>749</v>
      </c>
      <c r="I4568" t="s">
        <v>743</v>
      </c>
      <c r="J4568" t="s">
        <v>379</v>
      </c>
      <c r="K4568" t="s">
        <v>546</v>
      </c>
      <c r="L4568" s="784" t="s">
        <v>575</v>
      </c>
      <c r="M4568" t="s">
        <v>745</v>
      </c>
      <c r="N4568" s="784" t="s">
        <v>575</v>
      </c>
      <c r="O4568" t="s">
        <v>737</v>
      </c>
      <c r="P4568" t="s">
        <v>1887</v>
      </c>
      <c r="R4568" t="s">
        <v>150</v>
      </c>
      <c r="S4568" t="s">
        <v>145</v>
      </c>
      <c r="U4568">
        <v>0</v>
      </c>
      <c r="V4568" t="s">
        <v>544</v>
      </c>
      <c r="W4568" t="s">
        <v>562</v>
      </c>
      <c r="X4568" s="784">
        <v>671998341.93592453</v>
      </c>
    </row>
    <row r="4569" spans="1:24">
      <c r="A4569" t="s">
        <v>358</v>
      </c>
      <c r="B4569" t="s">
        <v>648</v>
      </c>
      <c r="C4569" t="s">
        <v>252</v>
      </c>
      <c r="D4569" t="s">
        <v>129</v>
      </c>
      <c r="E4569" t="s">
        <v>377</v>
      </c>
      <c r="F4569" t="s">
        <v>384</v>
      </c>
      <c r="G4569" t="s">
        <v>105</v>
      </c>
      <c r="H4569" t="s">
        <v>749</v>
      </c>
      <c r="I4569" t="s">
        <v>743</v>
      </c>
      <c r="J4569" t="s">
        <v>379</v>
      </c>
      <c r="K4569" t="s">
        <v>546</v>
      </c>
      <c r="L4569" s="784" t="s">
        <v>575</v>
      </c>
      <c r="M4569" t="s">
        <v>745</v>
      </c>
      <c r="N4569" s="784" t="s">
        <v>575</v>
      </c>
      <c r="O4569" t="s">
        <v>737</v>
      </c>
      <c r="P4569" t="s">
        <v>1887</v>
      </c>
      <c r="R4569" t="s">
        <v>148</v>
      </c>
      <c r="S4569" t="s">
        <v>145</v>
      </c>
      <c r="U4569">
        <v>1</v>
      </c>
      <c r="V4569" t="s">
        <v>544</v>
      </c>
      <c r="W4569" t="s">
        <v>562</v>
      </c>
      <c r="X4569" s="784">
        <v>226203289.67158964</v>
      </c>
    </row>
    <row r="4570" spans="1:24">
      <c r="A4570" t="s">
        <v>358</v>
      </c>
      <c r="B4570" t="s">
        <v>649</v>
      </c>
      <c r="C4570" t="s">
        <v>253</v>
      </c>
      <c r="D4570" t="s">
        <v>129</v>
      </c>
      <c r="E4570" t="s">
        <v>377</v>
      </c>
      <c r="F4570" t="s">
        <v>384</v>
      </c>
      <c r="G4570" t="s">
        <v>105</v>
      </c>
      <c r="H4570" t="s">
        <v>749</v>
      </c>
      <c r="I4570" t="s">
        <v>743</v>
      </c>
      <c r="J4570" t="s">
        <v>379</v>
      </c>
      <c r="K4570" t="s">
        <v>546</v>
      </c>
      <c r="L4570" s="784" t="s">
        <v>575</v>
      </c>
      <c r="M4570" t="s">
        <v>745</v>
      </c>
      <c r="N4570" s="784" t="s">
        <v>575</v>
      </c>
      <c r="O4570" t="s">
        <v>737</v>
      </c>
      <c r="P4570" t="s">
        <v>1887</v>
      </c>
      <c r="R4570" t="s">
        <v>150</v>
      </c>
      <c r="S4570" t="s">
        <v>145</v>
      </c>
      <c r="U4570">
        <v>3</v>
      </c>
      <c r="V4570" t="s">
        <v>544</v>
      </c>
      <c r="W4570" t="s">
        <v>548</v>
      </c>
      <c r="X4570" s="784">
        <v>2438881113.1244688</v>
      </c>
    </row>
    <row r="4571" spans="1:24">
      <c r="A4571" t="s">
        <v>358</v>
      </c>
      <c r="B4571" t="s">
        <v>650</v>
      </c>
      <c r="C4571" t="s">
        <v>254</v>
      </c>
      <c r="D4571" t="s">
        <v>127</v>
      </c>
      <c r="E4571" t="s">
        <v>377</v>
      </c>
      <c r="F4571" t="s">
        <v>384</v>
      </c>
      <c r="G4571" t="s">
        <v>105</v>
      </c>
      <c r="H4571" t="s">
        <v>749</v>
      </c>
      <c r="I4571" t="s">
        <v>743</v>
      </c>
      <c r="J4571" t="s">
        <v>379</v>
      </c>
      <c r="K4571" t="s">
        <v>546</v>
      </c>
      <c r="L4571" s="784" t="s">
        <v>575</v>
      </c>
      <c r="M4571" t="s">
        <v>745</v>
      </c>
      <c r="N4571" s="784" t="s">
        <v>575</v>
      </c>
      <c r="O4571" t="s">
        <v>737</v>
      </c>
      <c r="P4571" t="s">
        <v>1887</v>
      </c>
      <c r="R4571" t="s">
        <v>152</v>
      </c>
      <c r="S4571" t="s">
        <v>146</v>
      </c>
      <c r="U4571">
        <v>0</v>
      </c>
      <c r="V4571" t="s">
        <v>544</v>
      </c>
      <c r="W4571" t="s">
        <v>575</v>
      </c>
      <c r="X4571" s="784">
        <v>476517795.73174149</v>
      </c>
    </row>
    <row r="4572" spans="1:24">
      <c r="A4572" t="s">
        <v>358</v>
      </c>
      <c r="B4572" t="s">
        <v>651</v>
      </c>
      <c r="C4572" t="s">
        <v>255</v>
      </c>
      <c r="D4572" t="s">
        <v>132</v>
      </c>
      <c r="E4572" t="s">
        <v>377</v>
      </c>
      <c r="F4572" t="s">
        <v>384</v>
      </c>
      <c r="G4572" t="s">
        <v>105</v>
      </c>
      <c r="H4572" t="s">
        <v>749</v>
      </c>
      <c r="I4572" t="s">
        <v>743</v>
      </c>
      <c r="J4572" t="s">
        <v>379</v>
      </c>
      <c r="K4572" t="s">
        <v>546</v>
      </c>
      <c r="L4572" s="784" t="s">
        <v>575</v>
      </c>
      <c r="M4572" t="s">
        <v>745</v>
      </c>
      <c r="N4572" s="784" t="s">
        <v>575</v>
      </c>
      <c r="O4572" t="s">
        <v>737</v>
      </c>
      <c r="P4572" t="s">
        <v>1887</v>
      </c>
      <c r="R4572" t="s">
        <v>150</v>
      </c>
      <c r="S4572" t="s">
        <v>145</v>
      </c>
      <c r="U4572">
        <v>0</v>
      </c>
      <c r="V4572" t="s">
        <v>544</v>
      </c>
      <c r="W4572" t="s">
        <v>548</v>
      </c>
      <c r="X4572" s="784">
        <v>3233351297.7679496</v>
      </c>
    </row>
    <row r="4573" spans="1:24">
      <c r="A4573" t="s">
        <v>358</v>
      </c>
      <c r="B4573" t="s">
        <v>652</v>
      </c>
      <c r="C4573" t="s">
        <v>256</v>
      </c>
      <c r="D4573" t="s">
        <v>130</v>
      </c>
      <c r="E4573" t="s">
        <v>377</v>
      </c>
      <c r="F4573" t="s">
        <v>384</v>
      </c>
      <c r="G4573" t="s">
        <v>105</v>
      </c>
      <c r="H4573" t="s">
        <v>749</v>
      </c>
      <c r="I4573" t="s">
        <v>743</v>
      </c>
      <c r="J4573" t="s">
        <v>379</v>
      </c>
      <c r="K4573" t="s">
        <v>546</v>
      </c>
      <c r="L4573" s="784" t="s">
        <v>575</v>
      </c>
      <c r="M4573" t="s">
        <v>745</v>
      </c>
      <c r="N4573" s="784" t="s">
        <v>575</v>
      </c>
      <c r="O4573" t="s">
        <v>737</v>
      </c>
      <c r="P4573" t="s">
        <v>1887</v>
      </c>
      <c r="R4573" t="s">
        <v>550</v>
      </c>
      <c r="S4573" t="s">
        <v>146</v>
      </c>
      <c r="U4573">
        <v>0</v>
      </c>
      <c r="V4573" t="s">
        <v>541</v>
      </c>
      <c r="W4573" t="s">
        <v>575</v>
      </c>
      <c r="X4573" s="784">
        <v>18180646.808608256</v>
      </c>
    </row>
    <row r="4574" spans="1:24">
      <c r="A4574" t="s">
        <v>358</v>
      </c>
      <c r="B4574" t="s">
        <v>653</v>
      </c>
      <c r="C4574" t="s">
        <v>257</v>
      </c>
      <c r="D4574" t="s">
        <v>130</v>
      </c>
      <c r="E4574" t="s">
        <v>377</v>
      </c>
      <c r="F4574" t="s">
        <v>384</v>
      </c>
      <c r="G4574" t="s">
        <v>105</v>
      </c>
      <c r="H4574" t="s">
        <v>749</v>
      </c>
      <c r="I4574" t="s">
        <v>743</v>
      </c>
      <c r="J4574" t="s">
        <v>379</v>
      </c>
      <c r="K4574" t="s">
        <v>546</v>
      </c>
      <c r="L4574" s="784" t="s">
        <v>575</v>
      </c>
      <c r="M4574" t="s">
        <v>745</v>
      </c>
      <c r="N4574" s="784" t="s">
        <v>575</v>
      </c>
      <c r="O4574" t="s">
        <v>737</v>
      </c>
      <c r="P4574" t="s">
        <v>1887</v>
      </c>
      <c r="R4574" t="s">
        <v>152</v>
      </c>
      <c r="S4574" t="s">
        <v>146</v>
      </c>
      <c r="U4574">
        <v>0</v>
      </c>
      <c r="V4574" t="s">
        <v>544</v>
      </c>
      <c r="W4574" t="s">
        <v>546</v>
      </c>
      <c r="X4574" s="784">
        <v>3020530707.3485303</v>
      </c>
    </row>
    <row r="4575" spans="1:24">
      <c r="A4575" t="s">
        <v>358</v>
      </c>
      <c r="B4575" t="s">
        <v>654</v>
      </c>
      <c r="C4575" t="s">
        <v>258</v>
      </c>
      <c r="D4575" t="s">
        <v>126</v>
      </c>
      <c r="E4575" t="s">
        <v>377</v>
      </c>
      <c r="F4575" t="s">
        <v>384</v>
      </c>
      <c r="G4575" t="s">
        <v>105</v>
      </c>
      <c r="H4575" t="s">
        <v>749</v>
      </c>
      <c r="I4575" t="s">
        <v>743</v>
      </c>
      <c r="J4575" t="s">
        <v>379</v>
      </c>
      <c r="K4575" t="s">
        <v>546</v>
      </c>
      <c r="L4575" s="784" t="s">
        <v>575</v>
      </c>
      <c r="M4575" t="s">
        <v>745</v>
      </c>
      <c r="N4575" s="784" t="s">
        <v>575</v>
      </c>
      <c r="O4575" t="s">
        <v>737</v>
      </c>
      <c r="P4575" t="s">
        <v>1887</v>
      </c>
      <c r="R4575" t="s">
        <v>150</v>
      </c>
      <c r="S4575" t="s">
        <v>145</v>
      </c>
      <c r="U4575">
        <v>1</v>
      </c>
      <c r="V4575" t="s">
        <v>541</v>
      </c>
      <c r="W4575" t="s">
        <v>542</v>
      </c>
      <c r="X4575" s="784">
        <v>384406316.46074712</v>
      </c>
    </row>
    <row r="4576" spans="1:24">
      <c r="A4576" t="s">
        <v>358</v>
      </c>
      <c r="B4576" t="s">
        <v>655</v>
      </c>
      <c r="C4576" t="s">
        <v>259</v>
      </c>
      <c r="D4576" t="s">
        <v>130</v>
      </c>
      <c r="E4576" t="s">
        <v>377</v>
      </c>
      <c r="F4576" t="s">
        <v>384</v>
      </c>
      <c r="G4576" t="s">
        <v>105</v>
      </c>
      <c r="H4576" t="s">
        <v>749</v>
      </c>
      <c r="I4576" t="s">
        <v>743</v>
      </c>
      <c r="J4576" t="s">
        <v>379</v>
      </c>
      <c r="K4576" t="s">
        <v>546</v>
      </c>
      <c r="L4576" s="784" t="s">
        <v>575</v>
      </c>
      <c r="M4576" t="s">
        <v>745</v>
      </c>
      <c r="N4576" s="784" t="s">
        <v>575</v>
      </c>
      <c r="O4576" t="s">
        <v>737</v>
      </c>
      <c r="P4576" t="s">
        <v>1887</v>
      </c>
      <c r="R4576" t="s">
        <v>152</v>
      </c>
      <c r="S4576" t="s">
        <v>146</v>
      </c>
      <c r="U4576">
        <v>0</v>
      </c>
      <c r="V4576" t="s">
        <v>544</v>
      </c>
      <c r="W4576" t="s">
        <v>575</v>
      </c>
      <c r="X4576" s="784">
        <v>1218747108.9554784</v>
      </c>
    </row>
    <row r="4577" spans="1:24">
      <c r="A4577" t="s">
        <v>358</v>
      </c>
      <c r="B4577" t="s">
        <v>656</v>
      </c>
      <c r="C4577" t="s">
        <v>260</v>
      </c>
      <c r="D4577" t="s">
        <v>130</v>
      </c>
      <c r="E4577" t="s">
        <v>377</v>
      </c>
      <c r="F4577" t="s">
        <v>384</v>
      </c>
      <c r="G4577" t="s">
        <v>105</v>
      </c>
      <c r="H4577" t="s">
        <v>749</v>
      </c>
      <c r="I4577" t="s">
        <v>743</v>
      </c>
      <c r="J4577" t="s">
        <v>379</v>
      </c>
      <c r="K4577" t="s">
        <v>546</v>
      </c>
      <c r="L4577" s="784" t="s">
        <v>575</v>
      </c>
      <c r="M4577" t="s">
        <v>745</v>
      </c>
      <c r="N4577" s="784" t="s">
        <v>575</v>
      </c>
      <c r="O4577" t="s">
        <v>737</v>
      </c>
      <c r="P4577" t="s">
        <v>1887</v>
      </c>
      <c r="R4577" t="s">
        <v>152</v>
      </c>
      <c r="S4577" t="s">
        <v>146</v>
      </c>
      <c r="U4577">
        <v>0</v>
      </c>
      <c r="V4577" t="s">
        <v>544</v>
      </c>
      <c r="W4577" t="s">
        <v>575</v>
      </c>
      <c r="X4577" s="784">
        <v>7392665952.5895758</v>
      </c>
    </row>
    <row r="4578" spans="1:24">
      <c r="A4578" t="s">
        <v>358</v>
      </c>
      <c r="B4578" t="s">
        <v>657</v>
      </c>
      <c r="C4578" t="s">
        <v>261</v>
      </c>
      <c r="D4578" t="s">
        <v>126</v>
      </c>
      <c r="E4578" t="s">
        <v>377</v>
      </c>
      <c r="F4578" t="s">
        <v>384</v>
      </c>
      <c r="G4578" t="s">
        <v>105</v>
      </c>
      <c r="H4578" t="s">
        <v>749</v>
      </c>
      <c r="I4578" t="s">
        <v>743</v>
      </c>
      <c r="J4578" t="s">
        <v>379</v>
      </c>
      <c r="K4578" t="s">
        <v>546</v>
      </c>
      <c r="L4578" s="784" t="s">
        <v>575</v>
      </c>
      <c r="M4578" t="s">
        <v>745</v>
      </c>
      <c r="N4578" s="784" t="s">
        <v>575</v>
      </c>
      <c r="O4578" t="s">
        <v>737</v>
      </c>
      <c r="P4578" t="s">
        <v>1887</v>
      </c>
      <c r="R4578" t="s">
        <v>150</v>
      </c>
      <c r="S4578" t="s">
        <v>145</v>
      </c>
      <c r="U4578">
        <v>0</v>
      </c>
      <c r="V4578" t="s">
        <v>544</v>
      </c>
      <c r="W4578" t="s">
        <v>546</v>
      </c>
      <c r="X4578" s="784">
        <v>4754985988.6004429</v>
      </c>
    </row>
    <row r="4579" spans="1:24">
      <c r="A4579" t="s">
        <v>358</v>
      </c>
      <c r="B4579" t="s">
        <v>658</v>
      </c>
      <c r="C4579" t="s">
        <v>262</v>
      </c>
      <c r="D4579" t="s">
        <v>127</v>
      </c>
      <c r="E4579" t="s">
        <v>377</v>
      </c>
      <c r="F4579" t="s">
        <v>384</v>
      </c>
      <c r="G4579" t="s">
        <v>105</v>
      </c>
      <c r="H4579" t="s">
        <v>749</v>
      </c>
      <c r="I4579" t="s">
        <v>743</v>
      </c>
      <c r="J4579" t="s">
        <v>379</v>
      </c>
      <c r="K4579" t="s">
        <v>546</v>
      </c>
      <c r="L4579" s="784" t="s">
        <v>575</v>
      </c>
      <c r="M4579" t="s">
        <v>745</v>
      </c>
      <c r="N4579" s="784" t="s">
        <v>575</v>
      </c>
      <c r="O4579" t="s">
        <v>737</v>
      </c>
      <c r="P4579" t="s">
        <v>1887</v>
      </c>
      <c r="R4579" t="s">
        <v>550</v>
      </c>
      <c r="S4579" t="s">
        <v>146</v>
      </c>
      <c r="U4579">
        <v>0</v>
      </c>
      <c r="V4579" t="s">
        <v>544</v>
      </c>
      <c r="W4579" t="s">
        <v>575</v>
      </c>
      <c r="X4579" s="784">
        <v>26422210443.037273</v>
      </c>
    </row>
    <row r="4580" spans="1:24">
      <c r="A4580" t="s">
        <v>358</v>
      </c>
      <c r="B4580" t="s">
        <v>659</v>
      </c>
      <c r="C4580" t="s">
        <v>151</v>
      </c>
      <c r="D4580" t="s">
        <v>127</v>
      </c>
      <c r="E4580" t="s">
        <v>377</v>
      </c>
      <c r="F4580" t="s">
        <v>384</v>
      </c>
      <c r="G4580" t="s">
        <v>105</v>
      </c>
      <c r="H4580" t="s">
        <v>749</v>
      </c>
      <c r="I4580" t="s">
        <v>743</v>
      </c>
      <c r="J4580" t="s">
        <v>379</v>
      </c>
      <c r="K4580" t="s">
        <v>546</v>
      </c>
      <c r="L4580" s="784" t="s">
        <v>575</v>
      </c>
      <c r="M4580" t="s">
        <v>745</v>
      </c>
      <c r="N4580" s="784" t="s">
        <v>575</v>
      </c>
      <c r="O4580" t="s">
        <v>737</v>
      </c>
      <c r="P4580" t="s">
        <v>1887</v>
      </c>
      <c r="R4580" t="s">
        <v>152</v>
      </c>
      <c r="S4580" t="s">
        <v>146</v>
      </c>
      <c r="U4580">
        <v>0</v>
      </c>
      <c r="V4580" t="s">
        <v>544</v>
      </c>
      <c r="W4580" t="s">
        <v>575</v>
      </c>
      <c r="X4580" s="784">
        <v>10696495313.15033</v>
      </c>
    </row>
    <row r="4581" spans="1:24">
      <c r="A4581" t="s">
        <v>358</v>
      </c>
      <c r="B4581" t="s">
        <v>660</v>
      </c>
      <c r="C4581" t="s">
        <v>263</v>
      </c>
      <c r="D4581" t="s">
        <v>127</v>
      </c>
      <c r="E4581" t="s">
        <v>377</v>
      </c>
      <c r="F4581" t="s">
        <v>384</v>
      </c>
      <c r="G4581" t="s">
        <v>105</v>
      </c>
      <c r="H4581" t="s">
        <v>749</v>
      </c>
      <c r="I4581" t="s">
        <v>743</v>
      </c>
      <c r="J4581" t="s">
        <v>379</v>
      </c>
      <c r="K4581" t="s">
        <v>546</v>
      </c>
      <c r="L4581" s="784" t="s">
        <v>575</v>
      </c>
      <c r="M4581" t="s">
        <v>745</v>
      </c>
      <c r="N4581" s="784" t="s">
        <v>575</v>
      </c>
      <c r="O4581" t="s">
        <v>737</v>
      </c>
      <c r="P4581" t="s">
        <v>1887</v>
      </c>
      <c r="R4581" t="s">
        <v>152</v>
      </c>
      <c r="S4581" t="s">
        <v>146</v>
      </c>
      <c r="U4581">
        <v>0</v>
      </c>
      <c r="V4581" t="s">
        <v>544</v>
      </c>
      <c r="W4581" t="s">
        <v>575</v>
      </c>
      <c r="X4581" s="784">
        <v>52769713433.240509</v>
      </c>
    </row>
    <row r="4582" spans="1:24">
      <c r="A4582" t="s">
        <v>358</v>
      </c>
      <c r="B4582" t="s">
        <v>661</v>
      </c>
      <c r="C4582" t="s">
        <v>264</v>
      </c>
      <c r="D4582" t="s">
        <v>128</v>
      </c>
      <c r="E4582" t="s">
        <v>377</v>
      </c>
      <c r="F4582" t="s">
        <v>384</v>
      </c>
      <c r="G4582" t="s">
        <v>105</v>
      </c>
      <c r="H4582" t="s">
        <v>749</v>
      </c>
      <c r="I4582" t="s">
        <v>743</v>
      </c>
      <c r="J4582" t="s">
        <v>379</v>
      </c>
      <c r="K4582" t="s">
        <v>546</v>
      </c>
      <c r="L4582" s="784" t="s">
        <v>575</v>
      </c>
      <c r="M4582" t="s">
        <v>745</v>
      </c>
      <c r="N4582" s="784" t="s">
        <v>575</v>
      </c>
      <c r="O4582" t="s">
        <v>737</v>
      </c>
      <c r="P4582" t="s">
        <v>1887</v>
      </c>
      <c r="R4582" t="s">
        <v>148</v>
      </c>
      <c r="S4582" t="s">
        <v>145</v>
      </c>
      <c r="U4582">
        <v>0</v>
      </c>
      <c r="V4582" t="s">
        <v>544</v>
      </c>
      <c r="W4582" t="s">
        <v>562</v>
      </c>
      <c r="X4582" s="784">
        <v>225799814.51943746</v>
      </c>
    </row>
    <row r="4583" spans="1:24">
      <c r="A4583" t="s">
        <v>358</v>
      </c>
      <c r="B4583" t="s">
        <v>662</v>
      </c>
      <c r="C4583" t="s">
        <v>265</v>
      </c>
      <c r="D4583" t="s">
        <v>126</v>
      </c>
      <c r="E4583" t="s">
        <v>377</v>
      </c>
      <c r="F4583" t="s">
        <v>384</v>
      </c>
      <c r="G4583" t="s">
        <v>105</v>
      </c>
      <c r="H4583" t="s">
        <v>749</v>
      </c>
      <c r="I4583" t="s">
        <v>743</v>
      </c>
      <c r="J4583" t="s">
        <v>379</v>
      </c>
      <c r="K4583" t="s">
        <v>546</v>
      </c>
      <c r="L4583" s="784" t="s">
        <v>575</v>
      </c>
      <c r="M4583" t="s">
        <v>745</v>
      </c>
      <c r="N4583" s="784" t="s">
        <v>575</v>
      </c>
      <c r="O4583" t="s">
        <v>737</v>
      </c>
      <c r="P4583" t="s">
        <v>1887</v>
      </c>
      <c r="R4583" t="s">
        <v>150</v>
      </c>
      <c r="S4583" t="s">
        <v>145</v>
      </c>
      <c r="U4583">
        <v>0</v>
      </c>
      <c r="V4583" t="s">
        <v>541</v>
      </c>
      <c r="W4583" t="s">
        <v>542</v>
      </c>
      <c r="X4583" s="784">
        <v>32192988.027009469</v>
      </c>
    </row>
    <row r="4584" spans="1:24">
      <c r="A4584" t="s">
        <v>358</v>
      </c>
      <c r="B4584" t="s">
        <v>663</v>
      </c>
      <c r="C4584" t="s">
        <v>266</v>
      </c>
      <c r="D4584" t="s">
        <v>129</v>
      </c>
      <c r="E4584" t="s">
        <v>377</v>
      </c>
      <c r="F4584" t="s">
        <v>384</v>
      </c>
      <c r="G4584" t="s">
        <v>105</v>
      </c>
      <c r="H4584" t="s">
        <v>749</v>
      </c>
      <c r="I4584" t="s">
        <v>743</v>
      </c>
      <c r="J4584" t="s">
        <v>379</v>
      </c>
      <c r="K4584" t="s">
        <v>546</v>
      </c>
      <c r="L4584" s="784" t="s">
        <v>575</v>
      </c>
      <c r="M4584" t="s">
        <v>745</v>
      </c>
      <c r="N4584" s="784" t="s">
        <v>575</v>
      </c>
      <c r="O4584" t="s">
        <v>737</v>
      </c>
      <c r="P4584" t="s">
        <v>1887</v>
      </c>
      <c r="R4584" t="s">
        <v>150</v>
      </c>
      <c r="S4584" t="s">
        <v>145</v>
      </c>
      <c r="U4584">
        <v>0</v>
      </c>
      <c r="V4584" t="s">
        <v>541</v>
      </c>
      <c r="W4584" t="s">
        <v>583</v>
      </c>
      <c r="X4584" s="784">
        <v>11633535.136477679</v>
      </c>
    </row>
    <row r="4585" spans="1:24">
      <c r="A4585" t="s">
        <v>358</v>
      </c>
      <c r="B4585" t="s">
        <v>664</v>
      </c>
      <c r="C4585" t="s">
        <v>267</v>
      </c>
      <c r="D4585" t="s">
        <v>129</v>
      </c>
      <c r="E4585" t="s">
        <v>377</v>
      </c>
      <c r="F4585" t="s">
        <v>384</v>
      </c>
      <c r="G4585" t="s">
        <v>105</v>
      </c>
      <c r="H4585" t="s">
        <v>749</v>
      </c>
      <c r="I4585" t="s">
        <v>743</v>
      </c>
      <c r="J4585" t="s">
        <v>379</v>
      </c>
      <c r="K4585" t="s">
        <v>546</v>
      </c>
      <c r="L4585" s="784" t="s">
        <v>575</v>
      </c>
      <c r="M4585" t="s">
        <v>745</v>
      </c>
      <c r="N4585" s="784" t="s">
        <v>575</v>
      </c>
      <c r="O4585" t="s">
        <v>737</v>
      </c>
      <c r="P4585" t="s">
        <v>1887</v>
      </c>
      <c r="R4585" t="s">
        <v>150</v>
      </c>
      <c r="S4585" t="s">
        <v>145</v>
      </c>
      <c r="U4585">
        <v>2</v>
      </c>
      <c r="V4585" t="s">
        <v>544</v>
      </c>
      <c r="W4585" t="s">
        <v>562</v>
      </c>
      <c r="X4585" s="784">
        <v>222008693.93354639</v>
      </c>
    </row>
    <row r="4586" spans="1:24">
      <c r="A4586" t="s">
        <v>358</v>
      </c>
      <c r="B4586" t="s">
        <v>665</v>
      </c>
      <c r="C4586" t="s">
        <v>153</v>
      </c>
      <c r="D4586" t="s">
        <v>127</v>
      </c>
      <c r="E4586" t="s">
        <v>377</v>
      </c>
      <c r="F4586" t="s">
        <v>384</v>
      </c>
      <c r="G4586" t="s">
        <v>105</v>
      </c>
      <c r="H4586" t="s">
        <v>749</v>
      </c>
      <c r="I4586" t="s">
        <v>743</v>
      </c>
      <c r="J4586" t="s">
        <v>379</v>
      </c>
      <c r="K4586" t="s">
        <v>546</v>
      </c>
      <c r="L4586" s="784" t="s">
        <v>575</v>
      </c>
      <c r="M4586" t="s">
        <v>745</v>
      </c>
      <c r="N4586" s="784" t="s">
        <v>575</v>
      </c>
      <c r="O4586" t="s">
        <v>737</v>
      </c>
      <c r="P4586" t="s">
        <v>1887</v>
      </c>
      <c r="R4586" t="s">
        <v>152</v>
      </c>
      <c r="S4586" t="s">
        <v>146</v>
      </c>
      <c r="U4586">
        <v>0</v>
      </c>
      <c r="V4586" t="s">
        <v>544</v>
      </c>
      <c r="W4586" t="s">
        <v>575</v>
      </c>
      <c r="X4586" s="784">
        <v>2564993795.1894679</v>
      </c>
    </row>
    <row r="4587" spans="1:24">
      <c r="A4587" t="s">
        <v>358</v>
      </c>
      <c r="B4587" t="s">
        <v>666</v>
      </c>
      <c r="C4587" t="s">
        <v>268</v>
      </c>
      <c r="D4587" t="s">
        <v>128</v>
      </c>
      <c r="E4587" t="s">
        <v>377</v>
      </c>
      <c r="F4587" t="s">
        <v>384</v>
      </c>
      <c r="G4587" t="s">
        <v>105</v>
      </c>
      <c r="H4587" t="s">
        <v>749</v>
      </c>
      <c r="I4587" t="s">
        <v>743</v>
      </c>
      <c r="J4587" t="s">
        <v>379</v>
      </c>
      <c r="K4587" t="s">
        <v>546</v>
      </c>
      <c r="L4587" s="784" t="s">
        <v>575</v>
      </c>
      <c r="M4587" t="s">
        <v>745</v>
      </c>
      <c r="N4587" s="784" t="s">
        <v>575</v>
      </c>
      <c r="O4587" t="s">
        <v>737</v>
      </c>
      <c r="P4587" t="s">
        <v>1887</v>
      </c>
      <c r="R4587" t="s">
        <v>550</v>
      </c>
      <c r="S4587" t="s">
        <v>146</v>
      </c>
      <c r="U4587">
        <v>0</v>
      </c>
      <c r="V4587" t="s">
        <v>541</v>
      </c>
      <c r="W4587" t="s">
        <v>546</v>
      </c>
      <c r="X4587" s="784">
        <v>60237542.945069775</v>
      </c>
    </row>
    <row r="4588" spans="1:24">
      <c r="A4588" t="s">
        <v>358</v>
      </c>
      <c r="B4588" t="s">
        <v>667</v>
      </c>
      <c r="C4588" t="s">
        <v>269</v>
      </c>
      <c r="D4588" t="s">
        <v>129</v>
      </c>
      <c r="E4588" t="s">
        <v>377</v>
      </c>
      <c r="F4588" t="s">
        <v>384</v>
      </c>
      <c r="G4588" t="s">
        <v>105</v>
      </c>
      <c r="H4588" t="s">
        <v>749</v>
      </c>
      <c r="I4588" t="s">
        <v>743</v>
      </c>
      <c r="J4588" t="s">
        <v>379</v>
      </c>
      <c r="K4588" t="s">
        <v>546</v>
      </c>
      <c r="L4588" s="784">
        <v>1114766</v>
      </c>
      <c r="M4588" t="s">
        <v>745</v>
      </c>
      <c r="N4588" s="784" t="s">
        <v>575</v>
      </c>
      <c r="O4588" t="s">
        <v>737</v>
      </c>
      <c r="P4588" t="s">
        <v>1887</v>
      </c>
      <c r="R4588" t="s">
        <v>148</v>
      </c>
      <c r="S4588" t="s">
        <v>145</v>
      </c>
      <c r="U4588">
        <v>0</v>
      </c>
      <c r="V4588" t="s">
        <v>544</v>
      </c>
      <c r="W4588" t="s">
        <v>542</v>
      </c>
      <c r="X4588" s="784">
        <v>63738640.538260505</v>
      </c>
    </row>
    <row r="4589" spans="1:24">
      <c r="A4589" t="s">
        <v>358</v>
      </c>
      <c r="B4589" t="s">
        <v>668</v>
      </c>
      <c r="C4589" t="s">
        <v>270</v>
      </c>
      <c r="D4589" t="s">
        <v>126</v>
      </c>
      <c r="E4589" t="s">
        <v>377</v>
      </c>
      <c r="F4589" t="s">
        <v>384</v>
      </c>
      <c r="G4589" t="s">
        <v>105</v>
      </c>
      <c r="H4589" t="s">
        <v>749</v>
      </c>
      <c r="I4589" t="s">
        <v>743</v>
      </c>
      <c r="J4589" t="s">
        <v>379</v>
      </c>
      <c r="K4589" t="s">
        <v>546</v>
      </c>
      <c r="L4589" s="784" t="s">
        <v>575</v>
      </c>
      <c r="M4589" t="s">
        <v>745</v>
      </c>
      <c r="N4589" s="784" t="s">
        <v>575</v>
      </c>
      <c r="O4589" t="s">
        <v>737</v>
      </c>
      <c r="P4589" t="s">
        <v>1887</v>
      </c>
      <c r="R4589" t="s">
        <v>150</v>
      </c>
      <c r="S4589" t="s">
        <v>145</v>
      </c>
      <c r="U4589">
        <v>0</v>
      </c>
      <c r="V4589" t="s">
        <v>541</v>
      </c>
      <c r="W4589" t="s">
        <v>562</v>
      </c>
      <c r="X4589" s="784">
        <v>49012774.055630356</v>
      </c>
    </row>
    <row r="4590" spans="1:24">
      <c r="A4590" t="s">
        <v>358</v>
      </c>
      <c r="B4590" t="s">
        <v>669</v>
      </c>
      <c r="C4590" t="s">
        <v>271</v>
      </c>
      <c r="D4590" t="s">
        <v>128</v>
      </c>
      <c r="E4590" t="s">
        <v>377</v>
      </c>
      <c r="F4590" t="s">
        <v>384</v>
      </c>
      <c r="G4590" t="s">
        <v>105</v>
      </c>
      <c r="H4590" t="s">
        <v>749</v>
      </c>
      <c r="I4590" t="s">
        <v>743</v>
      </c>
      <c r="J4590" t="s">
        <v>379</v>
      </c>
      <c r="K4590" t="s">
        <v>546</v>
      </c>
      <c r="L4590" s="784" t="s">
        <v>575</v>
      </c>
      <c r="M4590" t="s">
        <v>745</v>
      </c>
      <c r="N4590" s="784" t="s">
        <v>575</v>
      </c>
      <c r="O4590" t="s">
        <v>737</v>
      </c>
      <c r="P4590" t="s">
        <v>1887</v>
      </c>
      <c r="R4590" t="s">
        <v>148</v>
      </c>
      <c r="S4590" t="s">
        <v>145</v>
      </c>
      <c r="U4590">
        <v>1</v>
      </c>
      <c r="V4590" t="s">
        <v>544</v>
      </c>
      <c r="W4590" t="s">
        <v>583</v>
      </c>
      <c r="X4590" s="784" t="s">
        <v>575</v>
      </c>
    </row>
    <row r="4591" spans="1:24">
      <c r="A4591" t="s">
        <v>358</v>
      </c>
      <c r="B4591" t="s">
        <v>670</v>
      </c>
      <c r="C4591" t="s">
        <v>272</v>
      </c>
      <c r="D4591" t="s">
        <v>128</v>
      </c>
      <c r="E4591" t="s">
        <v>377</v>
      </c>
      <c r="F4591" t="s">
        <v>384</v>
      </c>
      <c r="G4591" t="s">
        <v>105</v>
      </c>
      <c r="H4591" t="s">
        <v>749</v>
      </c>
      <c r="I4591" t="s">
        <v>743</v>
      </c>
      <c r="J4591" t="s">
        <v>379</v>
      </c>
      <c r="K4591" t="s">
        <v>546</v>
      </c>
      <c r="L4591" s="784" t="s">
        <v>575</v>
      </c>
      <c r="M4591" t="s">
        <v>745</v>
      </c>
      <c r="N4591" s="784" t="s">
        <v>575</v>
      </c>
      <c r="O4591" t="s">
        <v>737</v>
      </c>
      <c r="P4591" t="s">
        <v>1887</v>
      </c>
      <c r="R4591" t="s">
        <v>152</v>
      </c>
      <c r="S4591" t="s">
        <v>146</v>
      </c>
      <c r="U4591">
        <v>0</v>
      </c>
      <c r="V4591" t="s">
        <v>544</v>
      </c>
      <c r="W4591" t="s">
        <v>546</v>
      </c>
      <c r="X4591" s="784">
        <v>16429121142.784708</v>
      </c>
    </row>
    <row r="4592" spans="1:24">
      <c r="A4592" t="s">
        <v>358</v>
      </c>
      <c r="B4592" t="s">
        <v>671</v>
      </c>
      <c r="C4592" t="s">
        <v>273</v>
      </c>
      <c r="D4592" t="s">
        <v>128</v>
      </c>
      <c r="E4592" t="s">
        <v>377</v>
      </c>
      <c r="F4592" t="s">
        <v>384</v>
      </c>
      <c r="G4592" t="s">
        <v>105</v>
      </c>
      <c r="H4592" t="s">
        <v>749</v>
      </c>
      <c r="I4592" t="s">
        <v>743</v>
      </c>
      <c r="J4592" t="s">
        <v>379</v>
      </c>
      <c r="K4592" t="s">
        <v>546</v>
      </c>
      <c r="L4592" s="784" t="s">
        <v>575</v>
      </c>
      <c r="M4592" t="s">
        <v>745</v>
      </c>
      <c r="N4592" s="784" t="s">
        <v>575</v>
      </c>
      <c r="O4592" t="s">
        <v>737</v>
      </c>
      <c r="P4592" t="s">
        <v>1887</v>
      </c>
      <c r="R4592" t="s">
        <v>148</v>
      </c>
      <c r="S4592" t="s">
        <v>145</v>
      </c>
      <c r="U4592">
        <v>1</v>
      </c>
      <c r="V4592" t="s">
        <v>544</v>
      </c>
      <c r="W4592" t="s">
        <v>542</v>
      </c>
      <c r="X4592" s="784">
        <v>31684581.76217727</v>
      </c>
    </row>
    <row r="4593" spans="1:24">
      <c r="A4593" t="s">
        <v>358</v>
      </c>
      <c r="B4593" t="s">
        <v>672</v>
      </c>
      <c r="C4593" t="s">
        <v>274</v>
      </c>
      <c r="D4593" t="s">
        <v>132</v>
      </c>
      <c r="E4593" t="s">
        <v>377</v>
      </c>
      <c r="F4593" t="s">
        <v>384</v>
      </c>
      <c r="G4593" t="s">
        <v>105</v>
      </c>
      <c r="H4593" t="s">
        <v>749</v>
      </c>
      <c r="I4593" t="s">
        <v>743</v>
      </c>
      <c r="J4593" t="s">
        <v>379</v>
      </c>
      <c r="K4593" t="s">
        <v>546</v>
      </c>
      <c r="L4593" s="784" t="s">
        <v>575</v>
      </c>
      <c r="M4593" t="s">
        <v>745</v>
      </c>
      <c r="N4593" s="784" t="s">
        <v>575</v>
      </c>
      <c r="O4593" t="s">
        <v>737</v>
      </c>
      <c r="P4593" t="s">
        <v>1887</v>
      </c>
      <c r="R4593" t="s">
        <v>150</v>
      </c>
      <c r="S4593" t="s">
        <v>145</v>
      </c>
      <c r="U4593">
        <v>0</v>
      </c>
      <c r="V4593" t="s">
        <v>544</v>
      </c>
      <c r="W4593" t="s">
        <v>546</v>
      </c>
      <c r="X4593" s="784">
        <v>1373621563.5182886</v>
      </c>
    </row>
    <row r="4594" spans="1:24">
      <c r="A4594" t="s">
        <v>358</v>
      </c>
      <c r="B4594" t="s">
        <v>673</v>
      </c>
      <c r="C4594" t="s">
        <v>275</v>
      </c>
      <c r="D4594" t="s">
        <v>130</v>
      </c>
      <c r="E4594" t="s">
        <v>377</v>
      </c>
      <c r="F4594" t="s">
        <v>384</v>
      </c>
      <c r="G4594" t="s">
        <v>105</v>
      </c>
      <c r="H4594" t="s">
        <v>749</v>
      </c>
      <c r="I4594" t="s">
        <v>743</v>
      </c>
      <c r="J4594" t="s">
        <v>379</v>
      </c>
      <c r="K4594" t="s">
        <v>546</v>
      </c>
      <c r="L4594" s="784" t="s">
        <v>575</v>
      </c>
      <c r="M4594" t="s">
        <v>745</v>
      </c>
      <c r="N4594" s="784" t="s">
        <v>575</v>
      </c>
      <c r="O4594" t="s">
        <v>737</v>
      </c>
      <c r="P4594" t="s">
        <v>1887</v>
      </c>
      <c r="R4594" t="s">
        <v>550</v>
      </c>
      <c r="S4594" t="s">
        <v>146</v>
      </c>
      <c r="U4594">
        <v>0</v>
      </c>
      <c r="V4594" t="s">
        <v>541</v>
      </c>
      <c r="W4594" t="s">
        <v>575</v>
      </c>
      <c r="X4594" s="784">
        <v>24214370.889062837</v>
      </c>
    </row>
    <row r="4595" spans="1:24">
      <c r="A4595" t="s">
        <v>358</v>
      </c>
      <c r="B4595" t="s">
        <v>674</v>
      </c>
      <c r="C4595" t="s">
        <v>154</v>
      </c>
      <c r="D4595" t="s">
        <v>130</v>
      </c>
      <c r="E4595" t="s">
        <v>377</v>
      </c>
      <c r="F4595" t="s">
        <v>384</v>
      </c>
      <c r="G4595" t="s">
        <v>105</v>
      </c>
      <c r="H4595" t="s">
        <v>749</v>
      </c>
      <c r="I4595" t="s">
        <v>743</v>
      </c>
      <c r="J4595" t="s">
        <v>379</v>
      </c>
      <c r="K4595" t="s">
        <v>546</v>
      </c>
      <c r="L4595" s="784" t="s">
        <v>575</v>
      </c>
      <c r="M4595" t="s">
        <v>745</v>
      </c>
      <c r="N4595" s="784" t="s">
        <v>575</v>
      </c>
      <c r="O4595" t="s">
        <v>737</v>
      </c>
      <c r="P4595" t="s">
        <v>1887</v>
      </c>
      <c r="R4595" t="s">
        <v>152</v>
      </c>
      <c r="S4595" t="s">
        <v>145</v>
      </c>
      <c r="U4595">
        <v>0</v>
      </c>
      <c r="V4595" t="s">
        <v>541</v>
      </c>
      <c r="W4595" t="s">
        <v>548</v>
      </c>
      <c r="X4595" s="784">
        <v>39941279.609447442</v>
      </c>
    </row>
    <row r="4596" spans="1:24">
      <c r="A4596" t="s">
        <v>358</v>
      </c>
      <c r="B4596" t="s">
        <v>675</v>
      </c>
      <c r="C4596" t="s">
        <v>155</v>
      </c>
      <c r="D4596" t="s">
        <v>130</v>
      </c>
      <c r="E4596" t="s">
        <v>377</v>
      </c>
      <c r="F4596" t="s">
        <v>384</v>
      </c>
      <c r="G4596" t="s">
        <v>105</v>
      </c>
      <c r="H4596" t="s">
        <v>749</v>
      </c>
      <c r="I4596" t="s">
        <v>743</v>
      </c>
      <c r="J4596" t="s">
        <v>379</v>
      </c>
      <c r="K4596" t="s">
        <v>546</v>
      </c>
      <c r="L4596" s="784" t="s">
        <v>575</v>
      </c>
      <c r="M4596" t="s">
        <v>745</v>
      </c>
      <c r="N4596" s="784" t="s">
        <v>575</v>
      </c>
      <c r="O4596" t="s">
        <v>737</v>
      </c>
      <c r="P4596" t="s">
        <v>1887</v>
      </c>
      <c r="R4596" t="s">
        <v>152</v>
      </c>
      <c r="S4596" t="s">
        <v>145</v>
      </c>
      <c r="U4596">
        <v>0</v>
      </c>
      <c r="V4596" t="s">
        <v>541</v>
      </c>
      <c r="W4596" t="s">
        <v>542</v>
      </c>
      <c r="X4596" s="784">
        <v>24761675.260059897</v>
      </c>
    </row>
    <row r="4597" spans="1:24">
      <c r="A4597" t="s">
        <v>358</v>
      </c>
      <c r="B4597" t="s">
        <v>676</v>
      </c>
      <c r="C4597" t="s">
        <v>276</v>
      </c>
      <c r="D4597" t="s">
        <v>131</v>
      </c>
      <c r="E4597" t="s">
        <v>377</v>
      </c>
      <c r="F4597" t="s">
        <v>384</v>
      </c>
      <c r="G4597" t="s">
        <v>105</v>
      </c>
      <c r="H4597" t="s">
        <v>749</v>
      </c>
      <c r="I4597" t="s">
        <v>743</v>
      </c>
      <c r="J4597" t="s">
        <v>379</v>
      </c>
      <c r="K4597" t="s">
        <v>546</v>
      </c>
      <c r="L4597" s="784" t="s">
        <v>575</v>
      </c>
      <c r="M4597" t="s">
        <v>745</v>
      </c>
      <c r="N4597" s="784" t="s">
        <v>575</v>
      </c>
      <c r="O4597" t="s">
        <v>737</v>
      </c>
      <c r="P4597" t="s">
        <v>1887</v>
      </c>
      <c r="R4597" t="s">
        <v>150</v>
      </c>
      <c r="S4597" t="s">
        <v>145</v>
      </c>
      <c r="U4597">
        <v>0</v>
      </c>
      <c r="V4597" t="s">
        <v>544</v>
      </c>
      <c r="W4597" t="s">
        <v>546</v>
      </c>
      <c r="X4597" s="784" t="s">
        <v>575</v>
      </c>
    </row>
    <row r="4598" spans="1:24">
      <c r="A4598" t="s">
        <v>358</v>
      </c>
      <c r="B4598" t="s">
        <v>677</v>
      </c>
      <c r="C4598" t="s">
        <v>277</v>
      </c>
      <c r="D4598" t="s">
        <v>131</v>
      </c>
      <c r="E4598" t="s">
        <v>377</v>
      </c>
      <c r="F4598" t="s">
        <v>384</v>
      </c>
      <c r="G4598" t="s">
        <v>105</v>
      </c>
      <c r="H4598" t="s">
        <v>749</v>
      </c>
      <c r="I4598" t="s">
        <v>743</v>
      </c>
      <c r="J4598" t="s">
        <v>379</v>
      </c>
      <c r="K4598" t="s">
        <v>546</v>
      </c>
      <c r="L4598" s="784" t="s">
        <v>575</v>
      </c>
      <c r="M4598" t="s">
        <v>745</v>
      </c>
      <c r="N4598" s="784" t="s">
        <v>575</v>
      </c>
      <c r="O4598" t="s">
        <v>737</v>
      </c>
      <c r="P4598" t="s">
        <v>1887</v>
      </c>
      <c r="R4598" t="s">
        <v>148</v>
      </c>
      <c r="S4598" t="s">
        <v>145</v>
      </c>
      <c r="U4598">
        <v>1</v>
      </c>
      <c r="V4598" t="s">
        <v>544</v>
      </c>
      <c r="W4598" t="s">
        <v>546</v>
      </c>
      <c r="X4598" s="784">
        <v>577156172.71229994</v>
      </c>
    </row>
    <row r="4599" spans="1:24">
      <c r="A4599" t="s">
        <v>358</v>
      </c>
      <c r="B4599" t="s">
        <v>678</v>
      </c>
      <c r="C4599" t="s">
        <v>278</v>
      </c>
      <c r="D4599" t="s">
        <v>126</v>
      </c>
      <c r="E4599" t="s">
        <v>377</v>
      </c>
      <c r="F4599" t="s">
        <v>384</v>
      </c>
      <c r="G4599" t="s">
        <v>105</v>
      </c>
      <c r="H4599" t="s">
        <v>749</v>
      </c>
      <c r="I4599" t="s">
        <v>743</v>
      </c>
      <c r="J4599" t="s">
        <v>379</v>
      </c>
      <c r="K4599" t="s">
        <v>546</v>
      </c>
      <c r="L4599" s="784" t="s">
        <v>575</v>
      </c>
      <c r="M4599" t="s">
        <v>745</v>
      </c>
      <c r="N4599" s="784" t="s">
        <v>575</v>
      </c>
      <c r="O4599" t="s">
        <v>737</v>
      </c>
      <c r="P4599" t="s">
        <v>1887</v>
      </c>
      <c r="R4599" t="s">
        <v>152</v>
      </c>
      <c r="S4599" t="s">
        <v>146</v>
      </c>
      <c r="U4599">
        <v>0</v>
      </c>
      <c r="V4599" t="s">
        <v>541</v>
      </c>
      <c r="W4599" t="s">
        <v>575</v>
      </c>
      <c r="X4599" s="784">
        <v>180052034.19851837</v>
      </c>
    </row>
    <row r="4600" spans="1:24">
      <c r="A4600" t="s">
        <v>358</v>
      </c>
      <c r="B4600" t="s">
        <v>679</v>
      </c>
      <c r="C4600" t="s">
        <v>279</v>
      </c>
      <c r="D4600" t="s">
        <v>131</v>
      </c>
      <c r="E4600" t="s">
        <v>377</v>
      </c>
      <c r="F4600" t="s">
        <v>384</v>
      </c>
      <c r="G4600" t="s">
        <v>105</v>
      </c>
      <c r="H4600" t="s">
        <v>749</v>
      </c>
      <c r="I4600" t="s">
        <v>743</v>
      </c>
      <c r="J4600" t="s">
        <v>379</v>
      </c>
      <c r="K4600" t="s">
        <v>546</v>
      </c>
      <c r="L4600" s="784" t="s">
        <v>575</v>
      </c>
      <c r="M4600" t="s">
        <v>745</v>
      </c>
      <c r="N4600" s="784" t="s">
        <v>575</v>
      </c>
      <c r="O4600" t="s">
        <v>737</v>
      </c>
      <c r="P4600" t="s">
        <v>1887</v>
      </c>
      <c r="R4600" t="s">
        <v>148</v>
      </c>
      <c r="S4600" t="s">
        <v>145</v>
      </c>
      <c r="U4600">
        <v>1</v>
      </c>
      <c r="V4600" t="s">
        <v>544</v>
      </c>
      <c r="W4600" t="s">
        <v>546</v>
      </c>
      <c r="X4600" s="784" t="s">
        <v>575</v>
      </c>
    </row>
    <row r="4601" spans="1:24">
      <c r="A4601" t="s">
        <v>358</v>
      </c>
      <c r="B4601" t="s">
        <v>680</v>
      </c>
      <c r="C4601" t="s">
        <v>280</v>
      </c>
      <c r="D4601" t="s">
        <v>127</v>
      </c>
      <c r="E4601" t="s">
        <v>377</v>
      </c>
      <c r="F4601" t="s">
        <v>384</v>
      </c>
      <c r="G4601" t="s">
        <v>105</v>
      </c>
      <c r="H4601" t="s">
        <v>749</v>
      </c>
      <c r="I4601" t="s">
        <v>743</v>
      </c>
      <c r="J4601" t="s">
        <v>379</v>
      </c>
      <c r="K4601" t="s">
        <v>546</v>
      </c>
      <c r="L4601" s="784" t="s">
        <v>575</v>
      </c>
      <c r="M4601" t="s">
        <v>745</v>
      </c>
      <c r="N4601" s="784" t="s">
        <v>575</v>
      </c>
      <c r="O4601" t="s">
        <v>737</v>
      </c>
      <c r="P4601" t="s">
        <v>1887</v>
      </c>
      <c r="R4601" t="s">
        <v>150</v>
      </c>
      <c r="S4601" t="s">
        <v>145</v>
      </c>
      <c r="U4601">
        <v>0</v>
      </c>
      <c r="V4601" t="s">
        <v>544</v>
      </c>
      <c r="W4601" t="s">
        <v>542</v>
      </c>
      <c r="X4601" s="784">
        <v>147296124.32232863</v>
      </c>
    </row>
    <row r="4602" spans="1:24">
      <c r="A4602" t="s">
        <v>358</v>
      </c>
      <c r="B4602" t="s">
        <v>681</v>
      </c>
      <c r="C4602" t="s">
        <v>156</v>
      </c>
      <c r="D4602" t="s">
        <v>128</v>
      </c>
      <c r="E4602" t="s">
        <v>377</v>
      </c>
      <c r="F4602" t="s">
        <v>384</v>
      </c>
      <c r="G4602" t="s">
        <v>105</v>
      </c>
      <c r="H4602" t="s">
        <v>749</v>
      </c>
      <c r="I4602" t="s">
        <v>743</v>
      </c>
      <c r="J4602" t="s">
        <v>379</v>
      </c>
      <c r="K4602" t="s">
        <v>546</v>
      </c>
      <c r="L4602" s="784" t="s">
        <v>575</v>
      </c>
      <c r="M4602" t="s">
        <v>745</v>
      </c>
      <c r="N4602" s="784" t="s">
        <v>575</v>
      </c>
      <c r="O4602" t="s">
        <v>737</v>
      </c>
      <c r="P4602" t="s">
        <v>1887</v>
      </c>
      <c r="R4602" t="s">
        <v>150</v>
      </c>
      <c r="S4602" t="s">
        <v>145</v>
      </c>
      <c r="U4602">
        <v>0</v>
      </c>
      <c r="V4602" t="s">
        <v>544</v>
      </c>
      <c r="W4602" t="s">
        <v>548</v>
      </c>
      <c r="X4602" s="784">
        <v>890576536.83065879</v>
      </c>
    </row>
    <row r="4603" spans="1:24">
      <c r="A4603" t="s">
        <v>358</v>
      </c>
      <c r="B4603" t="s">
        <v>682</v>
      </c>
      <c r="C4603" t="s">
        <v>157</v>
      </c>
      <c r="D4603" t="s">
        <v>126</v>
      </c>
      <c r="E4603" t="s">
        <v>377</v>
      </c>
      <c r="F4603" t="s">
        <v>384</v>
      </c>
      <c r="G4603" t="s">
        <v>105</v>
      </c>
      <c r="H4603" t="s">
        <v>749</v>
      </c>
      <c r="I4603" t="s">
        <v>743</v>
      </c>
      <c r="J4603" t="s">
        <v>379</v>
      </c>
      <c r="K4603" t="s">
        <v>546</v>
      </c>
      <c r="L4603" s="784" t="s">
        <v>575</v>
      </c>
      <c r="M4603" t="s">
        <v>745</v>
      </c>
      <c r="N4603" s="784" t="s">
        <v>575</v>
      </c>
      <c r="O4603" t="s">
        <v>737</v>
      </c>
      <c r="P4603" t="s">
        <v>1887</v>
      </c>
      <c r="R4603" t="s">
        <v>152</v>
      </c>
      <c r="S4603" t="s">
        <v>146</v>
      </c>
      <c r="U4603">
        <v>0</v>
      </c>
      <c r="V4603" t="s">
        <v>544</v>
      </c>
      <c r="W4603" t="s">
        <v>575</v>
      </c>
      <c r="X4603" s="784">
        <v>14611129792.346064</v>
      </c>
    </row>
    <row r="4604" spans="1:24">
      <c r="A4604" t="s">
        <v>358</v>
      </c>
      <c r="B4604" t="s">
        <v>683</v>
      </c>
      <c r="C4604" t="s">
        <v>281</v>
      </c>
      <c r="D4604" t="s">
        <v>126</v>
      </c>
      <c r="E4604" t="s">
        <v>377</v>
      </c>
      <c r="F4604" t="s">
        <v>384</v>
      </c>
      <c r="G4604" t="s">
        <v>105</v>
      </c>
      <c r="H4604" t="s">
        <v>749</v>
      </c>
      <c r="I4604" t="s">
        <v>743</v>
      </c>
      <c r="J4604" t="s">
        <v>379</v>
      </c>
      <c r="K4604" t="s">
        <v>546</v>
      </c>
      <c r="L4604" s="784" t="s">
        <v>575</v>
      </c>
      <c r="M4604" t="s">
        <v>745</v>
      </c>
      <c r="N4604" s="784" t="s">
        <v>575</v>
      </c>
      <c r="O4604" t="s">
        <v>737</v>
      </c>
      <c r="P4604" t="s">
        <v>1887</v>
      </c>
      <c r="R4604" t="s">
        <v>150</v>
      </c>
      <c r="S4604" t="s">
        <v>145</v>
      </c>
      <c r="U4604">
        <v>0</v>
      </c>
      <c r="V4604" t="s">
        <v>541</v>
      </c>
      <c r="W4604" t="s">
        <v>558</v>
      </c>
      <c r="X4604" s="784">
        <v>72046877.233008593</v>
      </c>
    </row>
    <row r="4605" spans="1:24">
      <c r="A4605" t="s">
        <v>358</v>
      </c>
      <c r="B4605" t="s">
        <v>684</v>
      </c>
      <c r="C4605" t="s">
        <v>282</v>
      </c>
      <c r="D4605" t="s">
        <v>129</v>
      </c>
      <c r="E4605" t="s">
        <v>377</v>
      </c>
      <c r="F4605" t="s">
        <v>384</v>
      </c>
      <c r="G4605" t="s">
        <v>105</v>
      </c>
      <c r="H4605" t="s">
        <v>749</v>
      </c>
      <c r="I4605" t="s">
        <v>743</v>
      </c>
      <c r="J4605" t="s">
        <v>379</v>
      </c>
      <c r="K4605" t="s">
        <v>546</v>
      </c>
      <c r="L4605" s="784" t="s">
        <v>575</v>
      </c>
      <c r="M4605" t="s">
        <v>745</v>
      </c>
      <c r="N4605" s="784" t="s">
        <v>575</v>
      </c>
      <c r="O4605" t="s">
        <v>737</v>
      </c>
      <c r="P4605" t="s">
        <v>1887</v>
      </c>
      <c r="R4605" t="s">
        <v>148</v>
      </c>
      <c r="S4605" t="s">
        <v>145</v>
      </c>
      <c r="U4605">
        <v>0</v>
      </c>
      <c r="V4605" t="s">
        <v>544</v>
      </c>
      <c r="W4605" t="s">
        <v>542</v>
      </c>
      <c r="X4605" s="784">
        <v>56248139.267255567</v>
      </c>
    </row>
    <row r="4606" spans="1:24">
      <c r="A4606" t="s">
        <v>358</v>
      </c>
      <c r="B4606" t="s">
        <v>685</v>
      </c>
      <c r="C4606" t="s">
        <v>283</v>
      </c>
      <c r="D4606" t="s">
        <v>126</v>
      </c>
      <c r="E4606" t="s">
        <v>377</v>
      </c>
      <c r="F4606" t="s">
        <v>384</v>
      </c>
      <c r="G4606" t="s">
        <v>105</v>
      </c>
      <c r="H4606" t="s">
        <v>749</v>
      </c>
      <c r="I4606" t="s">
        <v>743</v>
      </c>
      <c r="J4606" t="s">
        <v>379</v>
      </c>
      <c r="K4606" t="s">
        <v>546</v>
      </c>
      <c r="L4606" s="784" t="s">
        <v>575</v>
      </c>
      <c r="M4606" t="s">
        <v>745</v>
      </c>
      <c r="N4606" s="784" t="s">
        <v>575</v>
      </c>
      <c r="O4606" t="s">
        <v>737</v>
      </c>
      <c r="P4606" t="s">
        <v>1887</v>
      </c>
      <c r="R4606" t="s">
        <v>152</v>
      </c>
      <c r="S4606" t="s">
        <v>145</v>
      </c>
      <c r="U4606">
        <v>0</v>
      </c>
      <c r="V4606" t="s">
        <v>541</v>
      </c>
      <c r="W4606" t="s">
        <v>542</v>
      </c>
      <c r="X4606" s="784">
        <v>15464031.712942109</v>
      </c>
    </row>
    <row r="4607" spans="1:24">
      <c r="A4607" t="s">
        <v>358</v>
      </c>
      <c r="B4607" t="s">
        <v>686</v>
      </c>
      <c r="C4607" t="s">
        <v>284</v>
      </c>
      <c r="D4607" t="s">
        <v>130</v>
      </c>
      <c r="E4607" t="s">
        <v>377</v>
      </c>
      <c r="F4607" t="s">
        <v>384</v>
      </c>
      <c r="G4607" t="s">
        <v>105</v>
      </c>
      <c r="H4607" t="s">
        <v>749</v>
      </c>
      <c r="I4607" t="s">
        <v>743</v>
      </c>
      <c r="J4607" t="s">
        <v>379</v>
      </c>
      <c r="K4607" t="s">
        <v>546</v>
      </c>
      <c r="L4607" s="784" t="s">
        <v>575</v>
      </c>
      <c r="M4607" t="s">
        <v>745</v>
      </c>
      <c r="N4607" s="784" t="s">
        <v>575</v>
      </c>
      <c r="O4607" t="s">
        <v>737</v>
      </c>
      <c r="P4607" t="s">
        <v>1887</v>
      </c>
      <c r="R4607" t="s">
        <v>550</v>
      </c>
      <c r="S4607" t="s">
        <v>146</v>
      </c>
      <c r="U4607">
        <v>0</v>
      </c>
      <c r="V4607" t="s">
        <v>541</v>
      </c>
      <c r="W4607" t="s">
        <v>546</v>
      </c>
      <c r="X4607" s="784">
        <v>769564399.33249676</v>
      </c>
    </row>
    <row r="4608" spans="1:24">
      <c r="A4608" t="s">
        <v>358</v>
      </c>
      <c r="B4608" t="s">
        <v>687</v>
      </c>
      <c r="C4608" t="s">
        <v>285</v>
      </c>
      <c r="D4608" t="s">
        <v>131</v>
      </c>
      <c r="E4608" t="s">
        <v>377</v>
      </c>
      <c r="F4608" t="s">
        <v>384</v>
      </c>
      <c r="G4608" t="s">
        <v>105</v>
      </c>
      <c r="H4608" t="s">
        <v>749</v>
      </c>
      <c r="I4608" t="s">
        <v>743</v>
      </c>
      <c r="J4608" t="s">
        <v>379</v>
      </c>
      <c r="K4608" t="s">
        <v>546</v>
      </c>
      <c r="L4608" s="784" t="s">
        <v>575</v>
      </c>
      <c r="M4608" t="s">
        <v>745</v>
      </c>
      <c r="N4608" s="784" t="s">
        <v>575</v>
      </c>
      <c r="O4608" t="s">
        <v>737</v>
      </c>
      <c r="P4608" t="s">
        <v>1887</v>
      </c>
      <c r="R4608" t="s">
        <v>150</v>
      </c>
      <c r="S4608" t="s">
        <v>145</v>
      </c>
      <c r="U4608">
        <v>0</v>
      </c>
      <c r="V4608" t="s">
        <v>544</v>
      </c>
      <c r="W4608" t="s">
        <v>546</v>
      </c>
      <c r="X4608" s="784">
        <v>1668954539.7630196</v>
      </c>
    </row>
    <row r="4609" spans="1:24">
      <c r="A4609" t="s">
        <v>358</v>
      </c>
      <c r="B4609" t="s">
        <v>688</v>
      </c>
      <c r="C4609" t="s">
        <v>286</v>
      </c>
      <c r="D4609" t="s">
        <v>127</v>
      </c>
      <c r="E4609" t="s">
        <v>377</v>
      </c>
      <c r="F4609" t="s">
        <v>384</v>
      </c>
      <c r="G4609" t="s">
        <v>105</v>
      </c>
      <c r="H4609" t="s">
        <v>749</v>
      </c>
      <c r="I4609" t="s">
        <v>743</v>
      </c>
      <c r="J4609" t="s">
        <v>379</v>
      </c>
      <c r="K4609" t="s">
        <v>546</v>
      </c>
      <c r="L4609" s="784" t="s">
        <v>575</v>
      </c>
      <c r="M4609" t="s">
        <v>745</v>
      </c>
      <c r="N4609" s="784" t="s">
        <v>575</v>
      </c>
      <c r="O4609" t="s">
        <v>737</v>
      </c>
      <c r="P4609" t="s">
        <v>1887</v>
      </c>
      <c r="R4609" t="s">
        <v>152</v>
      </c>
      <c r="S4609" t="s">
        <v>146</v>
      </c>
      <c r="U4609">
        <v>0</v>
      </c>
      <c r="V4609" t="s">
        <v>544</v>
      </c>
      <c r="W4609" t="s">
        <v>575</v>
      </c>
      <c r="X4609" s="784">
        <v>24840920016.18832</v>
      </c>
    </row>
    <row r="4610" spans="1:24">
      <c r="A4610" t="s">
        <v>358</v>
      </c>
      <c r="B4610" t="s">
        <v>689</v>
      </c>
      <c r="C4610" t="s">
        <v>287</v>
      </c>
      <c r="D4610" t="s">
        <v>127</v>
      </c>
      <c r="E4610" t="s">
        <v>377</v>
      </c>
      <c r="F4610" t="s">
        <v>384</v>
      </c>
      <c r="G4610" t="s">
        <v>105</v>
      </c>
      <c r="H4610" t="s">
        <v>749</v>
      </c>
      <c r="I4610" t="s">
        <v>743</v>
      </c>
      <c r="J4610" t="s">
        <v>379</v>
      </c>
      <c r="K4610" t="s">
        <v>546</v>
      </c>
      <c r="L4610" s="784" t="s">
        <v>575</v>
      </c>
      <c r="M4610" t="s">
        <v>745</v>
      </c>
      <c r="N4610" s="784" t="s">
        <v>575</v>
      </c>
      <c r="O4610" t="s">
        <v>737</v>
      </c>
      <c r="P4610" t="s">
        <v>1887</v>
      </c>
      <c r="R4610" t="s">
        <v>152</v>
      </c>
      <c r="S4610" t="s">
        <v>146</v>
      </c>
      <c r="U4610">
        <v>0</v>
      </c>
      <c r="V4610" t="s">
        <v>544</v>
      </c>
      <c r="W4610" t="s">
        <v>546</v>
      </c>
      <c r="X4610" s="784">
        <v>487888462.83720118</v>
      </c>
    </row>
    <row r="4611" spans="1:24">
      <c r="A4611" t="s">
        <v>358</v>
      </c>
      <c r="B4611" t="s">
        <v>690</v>
      </c>
      <c r="C4611" t="s">
        <v>288</v>
      </c>
      <c r="D4611" t="s">
        <v>126</v>
      </c>
      <c r="E4611" t="s">
        <v>377</v>
      </c>
      <c r="F4611" t="s">
        <v>384</v>
      </c>
      <c r="G4611" t="s">
        <v>105</v>
      </c>
      <c r="H4611" t="s">
        <v>749</v>
      </c>
      <c r="I4611" t="s">
        <v>743</v>
      </c>
      <c r="J4611" t="s">
        <v>379</v>
      </c>
      <c r="K4611" t="s">
        <v>546</v>
      </c>
      <c r="L4611" s="784" t="s">
        <v>575</v>
      </c>
      <c r="M4611" t="s">
        <v>745</v>
      </c>
      <c r="N4611" s="784" t="s">
        <v>575</v>
      </c>
      <c r="O4611" t="s">
        <v>737</v>
      </c>
      <c r="P4611" t="s">
        <v>1887</v>
      </c>
      <c r="R4611" t="s">
        <v>152</v>
      </c>
      <c r="S4611" t="s">
        <v>145</v>
      </c>
      <c r="U4611">
        <v>0</v>
      </c>
      <c r="V4611" t="s">
        <v>541</v>
      </c>
      <c r="W4611" t="s">
        <v>548</v>
      </c>
      <c r="X4611" s="784">
        <v>6365061.1736073596</v>
      </c>
    </row>
    <row r="4612" spans="1:24">
      <c r="A4612" t="s">
        <v>358</v>
      </c>
      <c r="B4612" t="s">
        <v>691</v>
      </c>
      <c r="C4612" t="s">
        <v>289</v>
      </c>
      <c r="D4612" t="s">
        <v>128</v>
      </c>
      <c r="E4612" t="s">
        <v>377</v>
      </c>
      <c r="F4612" t="s">
        <v>384</v>
      </c>
      <c r="G4612" t="s">
        <v>105</v>
      </c>
      <c r="H4612" t="s">
        <v>749</v>
      </c>
      <c r="I4612" t="s">
        <v>743</v>
      </c>
      <c r="J4612" t="s">
        <v>379</v>
      </c>
      <c r="K4612" t="s">
        <v>546</v>
      </c>
      <c r="L4612" s="784" t="s">
        <v>575</v>
      </c>
      <c r="M4612" t="s">
        <v>745</v>
      </c>
      <c r="N4612" s="784" t="s">
        <v>575</v>
      </c>
      <c r="O4612" t="s">
        <v>737</v>
      </c>
      <c r="P4612" t="s">
        <v>1887</v>
      </c>
      <c r="R4612" t="s">
        <v>148</v>
      </c>
      <c r="S4612" t="s">
        <v>145</v>
      </c>
      <c r="U4612">
        <v>2</v>
      </c>
      <c r="V4612" t="s">
        <v>544</v>
      </c>
      <c r="W4612" t="s">
        <v>558</v>
      </c>
      <c r="X4612" s="784">
        <v>291799092.90196139</v>
      </c>
    </row>
    <row r="4613" spans="1:24">
      <c r="A4613" t="s">
        <v>358</v>
      </c>
      <c r="B4613" t="s">
        <v>692</v>
      </c>
      <c r="C4613" t="s">
        <v>290</v>
      </c>
      <c r="D4613" t="s">
        <v>127</v>
      </c>
      <c r="E4613" t="s">
        <v>377</v>
      </c>
      <c r="F4613" t="s">
        <v>384</v>
      </c>
      <c r="G4613" t="s">
        <v>105</v>
      </c>
      <c r="H4613" t="s">
        <v>749</v>
      </c>
      <c r="I4613" t="s">
        <v>743</v>
      </c>
      <c r="J4613" t="s">
        <v>379</v>
      </c>
      <c r="K4613" t="s">
        <v>546</v>
      </c>
      <c r="L4613" s="784" t="s">
        <v>575</v>
      </c>
      <c r="M4613" t="s">
        <v>745</v>
      </c>
      <c r="N4613" s="784" t="s">
        <v>575</v>
      </c>
      <c r="O4613" t="s">
        <v>737</v>
      </c>
      <c r="P4613" t="s">
        <v>1887</v>
      </c>
      <c r="R4613" t="s">
        <v>150</v>
      </c>
      <c r="S4613" t="s">
        <v>145</v>
      </c>
      <c r="U4613">
        <v>0</v>
      </c>
      <c r="V4613" t="s">
        <v>544</v>
      </c>
      <c r="W4613" t="s">
        <v>546</v>
      </c>
      <c r="X4613" s="784">
        <v>4844815340.2135534</v>
      </c>
    </row>
    <row r="4614" spans="1:24">
      <c r="A4614" t="s">
        <v>358</v>
      </c>
      <c r="B4614" t="s">
        <v>693</v>
      </c>
      <c r="C4614" t="s">
        <v>291</v>
      </c>
      <c r="D4614" t="s">
        <v>130</v>
      </c>
      <c r="E4614" t="s">
        <v>377</v>
      </c>
      <c r="F4614" t="s">
        <v>384</v>
      </c>
      <c r="G4614" t="s">
        <v>105</v>
      </c>
      <c r="H4614" t="s">
        <v>749</v>
      </c>
      <c r="I4614" t="s">
        <v>743</v>
      </c>
      <c r="J4614" t="s">
        <v>379</v>
      </c>
      <c r="K4614" t="s">
        <v>546</v>
      </c>
      <c r="L4614" s="784" t="s">
        <v>575</v>
      </c>
      <c r="M4614" t="s">
        <v>745</v>
      </c>
      <c r="N4614" s="784" t="s">
        <v>575</v>
      </c>
      <c r="O4614" t="s">
        <v>737</v>
      </c>
      <c r="P4614" t="s">
        <v>1887</v>
      </c>
      <c r="R4614" t="s">
        <v>550</v>
      </c>
      <c r="S4614" t="s">
        <v>146</v>
      </c>
      <c r="U4614">
        <v>0</v>
      </c>
      <c r="V4614" t="s">
        <v>544</v>
      </c>
      <c r="W4614" t="s">
        <v>575</v>
      </c>
      <c r="X4614" s="784">
        <v>4001891446.6871672</v>
      </c>
    </row>
    <row r="4615" spans="1:24">
      <c r="A4615" t="s">
        <v>358</v>
      </c>
      <c r="B4615" t="s">
        <v>694</v>
      </c>
      <c r="C4615" t="s">
        <v>292</v>
      </c>
      <c r="D4615" t="s">
        <v>127</v>
      </c>
      <c r="E4615" t="s">
        <v>377</v>
      </c>
      <c r="F4615" t="s">
        <v>384</v>
      </c>
      <c r="G4615" t="s">
        <v>105</v>
      </c>
      <c r="H4615" t="s">
        <v>749</v>
      </c>
      <c r="I4615" t="s">
        <v>743</v>
      </c>
      <c r="J4615" t="s">
        <v>379</v>
      </c>
      <c r="K4615" t="s">
        <v>546</v>
      </c>
      <c r="L4615" s="784" t="s">
        <v>575</v>
      </c>
      <c r="M4615" t="s">
        <v>745</v>
      </c>
      <c r="N4615" s="784" t="s">
        <v>575</v>
      </c>
      <c r="O4615" t="s">
        <v>737</v>
      </c>
      <c r="P4615" t="s">
        <v>1887</v>
      </c>
      <c r="R4615" t="s">
        <v>150</v>
      </c>
      <c r="S4615" t="s">
        <v>145</v>
      </c>
      <c r="U4615">
        <v>0</v>
      </c>
      <c r="V4615" t="s">
        <v>544</v>
      </c>
      <c r="W4615" t="s">
        <v>558</v>
      </c>
      <c r="X4615" s="784">
        <v>1019800630.5853213</v>
      </c>
    </row>
    <row r="4616" spans="1:24">
      <c r="A4616" t="s">
        <v>358</v>
      </c>
      <c r="B4616" t="s">
        <v>695</v>
      </c>
      <c r="C4616" t="s">
        <v>293</v>
      </c>
      <c r="D4616" t="s">
        <v>126</v>
      </c>
      <c r="E4616" t="s">
        <v>377</v>
      </c>
      <c r="F4616" t="s">
        <v>384</v>
      </c>
      <c r="G4616" t="s">
        <v>105</v>
      </c>
      <c r="H4616" t="s">
        <v>749</v>
      </c>
      <c r="I4616" t="s">
        <v>743</v>
      </c>
      <c r="J4616" t="s">
        <v>379</v>
      </c>
      <c r="K4616" t="s">
        <v>546</v>
      </c>
      <c r="L4616" s="784" t="s">
        <v>575</v>
      </c>
      <c r="M4616" t="s">
        <v>745</v>
      </c>
      <c r="N4616" s="784" t="s">
        <v>575</v>
      </c>
      <c r="O4616" t="s">
        <v>737</v>
      </c>
      <c r="P4616" t="s">
        <v>1887</v>
      </c>
      <c r="R4616" t="s">
        <v>150</v>
      </c>
      <c r="S4616" t="s">
        <v>145</v>
      </c>
      <c r="U4616">
        <v>0</v>
      </c>
      <c r="V4616" t="s">
        <v>541</v>
      </c>
      <c r="W4616" t="s">
        <v>562</v>
      </c>
      <c r="X4616" s="784">
        <v>19578671.310841195</v>
      </c>
    </row>
    <row r="4617" spans="1:24">
      <c r="A4617" t="s">
        <v>358</v>
      </c>
      <c r="B4617" t="s">
        <v>696</v>
      </c>
      <c r="C4617" t="s">
        <v>294</v>
      </c>
      <c r="D4617" t="s">
        <v>130</v>
      </c>
      <c r="E4617" t="s">
        <v>377</v>
      </c>
      <c r="F4617" t="s">
        <v>384</v>
      </c>
      <c r="G4617" t="s">
        <v>105</v>
      </c>
      <c r="H4617" t="s">
        <v>749</v>
      </c>
      <c r="I4617" t="s">
        <v>743</v>
      </c>
      <c r="J4617" t="s">
        <v>379</v>
      </c>
      <c r="K4617" t="s">
        <v>546</v>
      </c>
      <c r="L4617" s="784" t="s">
        <v>575</v>
      </c>
      <c r="M4617" t="s">
        <v>745</v>
      </c>
      <c r="N4617" s="784" t="s">
        <v>575</v>
      </c>
      <c r="O4617" t="s">
        <v>737</v>
      </c>
      <c r="P4617" t="s">
        <v>1887</v>
      </c>
      <c r="R4617" t="s">
        <v>322</v>
      </c>
      <c r="S4617" t="s">
        <v>146</v>
      </c>
      <c r="U4617">
        <v>0</v>
      </c>
      <c r="V4617" t="s">
        <v>544</v>
      </c>
      <c r="W4617" t="s">
        <v>546</v>
      </c>
      <c r="X4617" s="784">
        <v>3551452001.0684834</v>
      </c>
    </row>
    <row r="4618" spans="1:24">
      <c r="A4618" t="s">
        <v>358</v>
      </c>
      <c r="B4618" t="s">
        <v>697</v>
      </c>
      <c r="C4618" t="s">
        <v>295</v>
      </c>
      <c r="D4618" t="s">
        <v>126</v>
      </c>
      <c r="E4618" t="s">
        <v>377</v>
      </c>
      <c r="F4618" t="s">
        <v>384</v>
      </c>
      <c r="G4618" t="s">
        <v>105</v>
      </c>
      <c r="H4618" t="s">
        <v>749</v>
      </c>
      <c r="I4618" t="s">
        <v>743</v>
      </c>
      <c r="J4618" t="s">
        <v>379</v>
      </c>
      <c r="K4618" t="s">
        <v>546</v>
      </c>
      <c r="L4618" s="784" t="s">
        <v>575</v>
      </c>
      <c r="M4618" t="s">
        <v>745</v>
      </c>
      <c r="N4618" s="784" t="s">
        <v>575</v>
      </c>
      <c r="O4618" t="s">
        <v>737</v>
      </c>
      <c r="P4618" t="s">
        <v>1887</v>
      </c>
      <c r="R4618" t="s">
        <v>150</v>
      </c>
      <c r="S4618" t="s">
        <v>145</v>
      </c>
      <c r="U4618">
        <v>0</v>
      </c>
      <c r="V4618" t="s">
        <v>544</v>
      </c>
      <c r="W4618" t="s">
        <v>546</v>
      </c>
      <c r="X4618" s="784">
        <v>6603048821.7575006</v>
      </c>
    </row>
    <row r="4619" spans="1:24">
      <c r="A4619" t="s">
        <v>358</v>
      </c>
      <c r="B4619" t="s">
        <v>698</v>
      </c>
      <c r="C4619" t="s">
        <v>296</v>
      </c>
      <c r="D4619" t="s">
        <v>131</v>
      </c>
      <c r="E4619" t="s">
        <v>377</v>
      </c>
      <c r="F4619" t="s">
        <v>384</v>
      </c>
      <c r="G4619" t="s">
        <v>105</v>
      </c>
      <c r="H4619" t="s">
        <v>749</v>
      </c>
      <c r="I4619" t="s">
        <v>743</v>
      </c>
      <c r="J4619" t="s">
        <v>379</v>
      </c>
      <c r="K4619" t="s">
        <v>546</v>
      </c>
      <c r="L4619" s="784" t="s">
        <v>575</v>
      </c>
      <c r="M4619" t="s">
        <v>745</v>
      </c>
      <c r="N4619" s="784" t="s">
        <v>575</v>
      </c>
      <c r="O4619" t="s">
        <v>737</v>
      </c>
      <c r="P4619" t="s">
        <v>1887</v>
      </c>
      <c r="R4619" t="s">
        <v>148</v>
      </c>
      <c r="S4619" t="s">
        <v>145</v>
      </c>
      <c r="U4619">
        <v>1</v>
      </c>
      <c r="V4619" t="s">
        <v>544</v>
      </c>
      <c r="W4619" t="s">
        <v>548</v>
      </c>
      <c r="X4619" s="784" t="s">
        <v>575</v>
      </c>
    </row>
    <row r="4620" spans="1:24">
      <c r="A4620" t="s">
        <v>358</v>
      </c>
      <c r="B4620" t="s">
        <v>699</v>
      </c>
      <c r="C4620" t="s">
        <v>297</v>
      </c>
      <c r="D4620" t="s">
        <v>128</v>
      </c>
      <c r="E4620" t="s">
        <v>377</v>
      </c>
      <c r="F4620" t="s">
        <v>384</v>
      </c>
      <c r="G4620" t="s">
        <v>105</v>
      </c>
      <c r="H4620" t="s">
        <v>749</v>
      </c>
      <c r="I4620" t="s">
        <v>743</v>
      </c>
      <c r="J4620" t="s">
        <v>379</v>
      </c>
      <c r="K4620" t="s">
        <v>546</v>
      </c>
      <c r="L4620" s="784" t="s">
        <v>575</v>
      </c>
      <c r="M4620" t="s">
        <v>745</v>
      </c>
      <c r="N4620" s="784" t="s">
        <v>575</v>
      </c>
      <c r="O4620" t="s">
        <v>737</v>
      </c>
      <c r="P4620" t="s">
        <v>1887</v>
      </c>
      <c r="R4620" t="s">
        <v>150</v>
      </c>
      <c r="S4620" t="s">
        <v>145</v>
      </c>
      <c r="U4620">
        <v>0</v>
      </c>
      <c r="V4620" t="s">
        <v>544</v>
      </c>
      <c r="W4620" t="s">
        <v>542</v>
      </c>
      <c r="X4620" s="784">
        <v>515352723.9821828</v>
      </c>
    </row>
    <row r="4621" spans="1:24">
      <c r="A4621" t="s">
        <v>358</v>
      </c>
      <c r="B4621" t="s">
        <v>700</v>
      </c>
      <c r="C4621" t="s">
        <v>298</v>
      </c>
      <c r="D4621" t="s">
        <v>128</v>
      </c>
      <c r="E4621" t="s">
        <v>377</v>
      </c>
      <c r="F4621" t="s">
        <v>384</v>
      </c>
      <c r="G4621" t="s">
        <v>105</v>
      </c>
      <c r="H4621" t="s">
        <v>749</v>
      </c>
      <c r="I4621" t="s">
        <v>743</v>
      </c>
      <c r="J4621" t="s">
        <v>379</v>
      </c>
      <c r="K4621" t="s">
        <v>546</v>
      </c>
      <c r="L4621" s="784" t="s">
        <v>575</v>
      </c>
      <c r="M4621" t="s">
        <v>745</v>
      </c>
      <c r="N4621" s="784" t="s">
        <v>575</v>
      </c>
      <c r="O4621" t="s">
        <v>737</v>
      </c>
      <c r="P4621" t="s">
        <v>1887</v>
      </c>
      <c r="R4621" t="s">
        <v>150</v>
      </c>
      <c r="S4621" t="s">
        <v>145</v>
      </c>
      <c r="U4621">
        <v>0</v>
      </c>
      <c r="V4621" t="s">
        <v>544</v>
      </c>
      <c r="W4621" t="s">
        <v>546</v>
      </c>
      <c r="X4621" s="784">
        <v>566711742.22428358</v>
      </c>
    </row>
    <row r="4622" spans="1:24">
      <c r="A4622" t="s">
        <v>358</v>
      </c>
      <c r="B4622" t="s">
        <v>540</v>
      </c>
      <c r="C4622" t="s">
        <v>160</v>
      </c>
      <c r="D4622" t="s">
        <v>132</v>
      </c>
      <c r="E4622" t="s">
        <v>377</v>
      </c>
      <c r="F4622" t="s">
        <v>385</v>
      </c>
      <c r="G4622" t="s">
        <v>347</v>
      </c>
      <c r="H4622" t="s">
        <v>749</v>
      </c>
      <c r="I4622" t="s">
        <v>743</v>
      </c>
      <c r="J4622" t="s">
        <v>379</v>
      </c>
      <c r="K4622" t="s">
        <v>546</v>
      </c>
      <c r="L4622" s="784">
        <v>2000000</v>
      </c>
      <c r="M4622" t="s">
        <v>745</v>
      </c>
      <c r="N4622" s="784"/>
      <c r="O4622" t="s">
        <v>737</v>
      </c>
      <c r="P4622" t="s">
        <v>1887</v>
      </c>
      <c r="R4622" t="s">
        <v>148</v>
      </c>
      <c r="S4622" t="s">
        <v>145</v>
      </c>
      <c r="U4622">
        <v>1</v>
      </c>
      <c r="V4622" t="s">
        <v>544</v>
      </c>
      <c r="W4622" t="s">
        <v>542</v>
      </c>
      <c r="X4622" s="784">
        <v>95829480.719269618</v>
      </c>
    </row>
    <row r="4623" spans="1:24">
      <c r="A4623" t="s">
        <v>358</v>
      </c>
      <c r="B4623" t="s">
        <v>543</v>
      </c>
      <c r="C4623" t="s">
        <v>161</v>
      </c>
      <c r="D4623" t="s">
        <v>127</v>
      </c>
      <c r="E4623" t="s">
        <v>377</v>
      </c>
      <c r="F4623" t="s">
        <v>385</v>
      </c>
      <c r="G4623" t="s">
        <v>347</v>
      </c>
      <c r="H4623" t="s">
        <v>749</v>
      </c>
      <c r="I4623" t="s">
        <v>743</v>
      </c>
      <c r="J4623" t="s">
        <v>379</v>
      </c>
      <c r="K4623" t="s">
        <v>546</v>
      </c>
      <c r="L4623" s="784">
        <v>100000</v>
      </c>
      <c r="M4623" t="s">
        <v>745</v>
      </c>
      <c r="N4623" s="784"/>
      <c r="O4623" t="s">
        <v>737</v>
      </c>
      <c r="P4623" t="s">
        <v>1887</v>
      </c>
      <c r="R4623" t="s">
        <v>152</v>
      </c>
      <c r="S4623" t="s">
        <v>146</v>
      </c>
      <c r="U4623">
        <v>0</v>
      </c>
      <c r="V4623" t="s">
        <v>544</v>
      </c>
      <c r="W4623" t="s">
        <v>575</v>
      </c>
      <c r="X4623" s="784">
        <v>427904035.52443534</v>
      </c>
    </row>
    <row r="4624" spans="1:24">
      <c r="A4624" t="s">
        <v>358</v>
      </c>
      <c r="B4624" t="s">
        <v>545</v>
      </c>
      <c r="C4624" t="s">
        <v>143</v>
      </c>
      <c r="D4624" t="s">
        <v>131</v>
      </c>
      <c r="E4624" t="s">
        <v>377</v>
      </c>
      <c r="F4624" t="s">
        <v>385</v>
      </c>
      <c r="G4624" t="s">
        <v>347</v>
      </c>
      <c r="H4624" t="s">
        <v>749</v>
      </c>
      <c r="I4624" t="s">
        <v>743</v>
      </c>
      <c r="J4624" t="s">
        <v>379</v>
      </c>
      <c r="K4624" t="s">
        <v>546</v>
      </c>
      <c r="L4624" s="784">
        <v>0</v>
      </c>
      <c r="M4624" t="s">
        <v>745</v>
      </c>
      <c r="N4624" s="784"/>
      <c r="O4624" t="s">
        <v>737</v>
      </c>
      <c r="P4624" t="s">
        <v>1887</v>
      </c>
      <c r="R4624" t="s">
        <v>150</v>
      </c>
      <c r="S4624" t="s">
        <v>145</v>
      </c>
      <c r="U4624">
        <v>0</v>
      </c>
      <c r="V4624" t="s">
        <v>544</v>
      </c>
      <c r="W4624" t="s">
        <v>546</v>
      </c>
      <c r="X4624" s="784">
        <v>7113361022.7267885</v>
      </c>
    </row>
    <row r="4625" spans="1:24">
      <c r="A4625" t="s">
        <v>358</v>
      </c>
      <c r="B4625" t="s">
        <v>547</v>
      </c>
      <c r="C4625" t="s">
        <v>162</v>
      </c>
      <c r="D4625" t="s">
        <v>128</v>
      </c>
      <c r="E4625" t="s">
        <v>377</v>
      </c>
      <c r="F4625" t="s">
        <v>385</v>
      </c>
      <c r="G4625" t="s">
        <v>347</v>
      </c>
      <c r="H4625" t="s">
        <v>749</v>
      </c>
      <c r="I4625" t="s">
        <v>743</v>
      </c>
      <c r="J4625" t="s">
        <v>379</v>
      </c>
      <c r="K4625" t="s">
        <v>546</v>
      </c>
      <c r="L4625" s="784">
        <v>839236</v>
      </c>
      <c r="M4625" t="s">
        <v>745</v>
      </c>
      <c r="N4625" s="784"/>
      <c r="O4625" t="s">
        <v>737</v>
      </c>
      <c r="P4625" t="s">
        <v>1887</v>
      </c>
      <c r="R4625" t="s">
        <v>150</v>
      </c>
      <c r="S4625" t="s">
        <v>145</v>
      </c>
      <c r="U4625">
        <v>0</v>
      </c>
      <c r="V4625" t="s">
        <v>544</v>
      </c>
      <c r="W4625" t="s">
        <v>548</v>
      </c>
      <c r="X4625" s="784">
        <v>1131865946.5875781</v>
      </c>
    </row>
    <row r="4626" spans="1:24">
      <c r="A4626" t="s">
        <v>358</v>
      </c>
      <c r="B4626" t="s">
        <v>549</v>
      </c>
      <c r="C4626" t="s">
        <v>163</v>
      </c>
      <c r="D4626" t="s">
        <v>130</v>
      </c>
      <c r="E4626" t="s">
        <v>377</v>
      </c>
      <c r="F4626" t="s">
        <v>385</v>
      </c>
      <c r="G4626" t="s">
        <v>347</v>
      </c>
      <c r="H4626" t="s">
        <v>749</v>
      </c>
      <c r="I4626" t="s">
        <v>743</v>
      </c>
      <c r="J4626" t="s">
        <v>379</v>
      </c>
      <c r="K4626" t="s">
        <v>546</v>
      </c>
      <c r="L4626" s="784" t="s">
        <v>575</v>
      </c>
      <c r="M4626" t="s">
        <v>745</v>
      </c>
      <c r="N4626" s="784"/>
      <c r="O4626" t="s">
        <v>737</v>
      </c>
      <c r="P4626" t="s">
        <v>1887</v>
      </c>
      <c r="R4626" t="s">
        <v>550</v>
      </c>
      <c r="S4626" t="s">
        <v>146</v>
      </c>
      <c r="U4626">
        <v>0</v>
      </c>
      <c r="V4626" t="s">
        <v>541</v>
      </c>
      <c r="W4626" t="s">
        <v>575</v>
      </c>
      <c r="X4626" s="784">
        <v>46777779.823447868</v>
      </c>
    </row>
    <row r="4627" spans="1:24">
      <c r="A4627" t="s">
        <v>358</v>
      </c>
      <c r="B4627" t="s">
        <v>551</v>
      </c>
      <c r="C4627" t="s">
        <v>164</v>
      </c>
      <c r="D4627" t="s">
        <v>130</v>
      </c>
      <c r="E4627" t="s">
        <v>377</v>
      </c>
      <c r="F4627" t="s">
        <v>385</v>
      </c>
      <c r="G4627" t="s">
        <v>347</v>
      </c>
      <c r="H4627" t="s">
        <v>749</v>
      </c>
      <c r="I4627" t="s">
        <v>743</v>
      </c>
      <c r="J4627" t="s">
        <v>379</v>
      </c>
      <c r="K4627" t="s">
        <v>546</v>
      </c>
      <c r="L4627" s="784">
        <v>0</v>
      </c>
      <c r="M4627" t="s">
        <v>745</v>
      </c>
      <c r="N4627" s="784"/>
      <c r="O4627" t="s">
        <v>737</v>
      </c>
      <c r="P4627" t="s">
        <v>1887</v>
      </c>
      <c r="R4627" t="s">
        <v>152</v>
      </c>
      <c r="S4627" t="s">
        <v>146</v>
      </c>
      <c r="U4627">
        <v>0</v>
      </c>
      <c r="V4627" t="s">
        <v>544</v>
      </c>
      <c r="W4627" t="s">
        <v>575</v>
      </c>
      <c r="X4627" s="784">
        <v>30725305777.596794</v>
      </c>
    </row>
    <row r="4628" spans="1:24">
      <c r="A4628" t="s">
        <v>358</v>
      </c>
      <c r="B4628" t="s">
        <v>553</v>
      </c>
      <c r="C4628" t="s">
        <v>165</v>
      </c>
      <c r="D4628" t="s">
        <v>127</v>
      </c>
      <c r="E4628" t="s">
        <v>377</v>
      </c>
      <c r="F4628" t="s">
        <v>385</v>
      </c>
      <c r="G4628" t="s">
        <v>347</v>
      </c>
      <c r="H4628" t="s">
        <v>749</v>
      </c>
      <c r="I4628" t="s">
        <v>743</v>
      </c>
      <c r="J4628" t="s">
        <v>379</v>
      </c>
      <c r="K4628" t="s">
        <v>546</v>
      </c>
      <c r="L4628" s="784">
        <v>100000</v>
      </c>
      <c r="M4628" t="s">
        <v>745</v>
      </c>
      <c r="N4628" s="784"/>
      <c r="O4628" t="s">
        <v>737</v>
      </c>
      <c r="P4628" t="s">
        <v>1887</v>
      </c>
      <c r="R4628" t="s">
        <v>152</v>
      </c>
      <c r="S4628" t="s">
        <v>146</v>
      </c>
      <c r="U4628">
        <v>0</v>
      </c>
      <c r="V4628" t="s">
        <v>544</v>
      </c>
      <c r="W4628" t="s">
        <v>575</v>
      </c>
      <c r="X4628" s="784">
        <v>153815827.8380394</v>
      </c>
    </row>
    <row r="4629" spans="1:24">
      <c r="A4629" t="s">
        <v>358</v>
      </c>
      <c r="B4629" t="s">
        <v>554</v>
      </c>
      <c r="C4629" t="s">
        <v>166</v>
      </c>
      <c r="D4629" t="s">
        <v>127</v>
      </c>
      <c r="E4629" t="s">
        <v>377</v>
      </c>
      <c r="F4629" t="s">
        <v>385</v>
      </c>
      <c r="G4629" t="s">
        <v>347</v>
      </c>
      <c r="H4629" t="s">
        <v>749</v>
      </c>
      <c r="I4629" t="s">
        <v>743</v>
      </c>
      <c r="J4629" t="s">
        <v>379</v>
      </c>
      <c r="K4629" t="s">
        <v>546</v>
      </c>
      <c r="L4629" s="784">
        <v>100000</v>
      </c>
      <c r="M4629" t="s">
        <v>745</v>
      </c>
      <c r="N4629" s="784"/>
      <c r="O4629" t="s">
        <v>737</v>
      </c>
      <c r="P4629" t="s">
        <v>1887</v>
      </c>
      <c r="R4629" t="s">
        <v>152</v>
      </c>
      <c r="S4629" t="s">
        <v>146</v>
      </c>
      <c r="U4629">
        <v>0</v>
      </c>
      <c r="V4629" t="s">
        <v>544</v>
      </c>
      <c r="W4629" t="s">
        <v>546</v>
      </c>
      <c r="X4629" s="784">
        <v>437525105.31216973</v>
      </c>
    </row>
    <row r="4630" spans="1:24">
      <c r="A4630" t="s">
        <v>358</v>
      </c>
      <c r="B4630" t="s">
        <v>555</v>
      </c>
      <c r="C4630" t="s">
        <v>556</v>
      </c>
      <c r="D4630" t="s">
        <v>130</v>
      </c>
      <c r="E4630" t="s">
        <v>377</v>
      </c>
      <c r="F4630" t="s">
        <v>385</v>
      </c>
      <c r="G4630" t="s">
        <v>347</v>
      </c>
      <c r="H4630" t="s">
        <v>749</v>
      </c>
      <c r="I4630" t="s">
        <v>743</v>
      </c>
      <c r="J4630" t="s">
        <v>379</v>
      </c>
      <c r="K4630" t="s">
        <v>546</v>
      </c>
      <c r="L4630" s="784" t="s">
        <v>575</v>
      </c>
      <c r="M4630" t="s">
        <v>745</v>
      </c>
      <c r="N4630" s="784"/>
      <c r="O4630" t="s">
        <v>737</v>
      </c>
      <c r="P4630" t="s">
        <v>1887</v>
      </c>
      <c r="R4630" t="s">
        <v>550</v>
      </c>
      <c r="S4630" t="s">
        <v>146</v>
      </c>
      <c r="U4630">
        <v>0</v>
      </c>
      <c r="V4630" t="s">
        <v>541</v>
      </c>
      <c r="W4630" t="s">
        <v>575</v>
      </c>
      <c r="X4630" s="784">
        <v>149463302.00602186</v>
      </c>
    </row>
    <row r="4631" spans="1:24">
      <c r="A4631" t="s">
        <v>358</v>
      </c>
      <c r="B4631" t="s">
        <v>557</v>
      </c>
      <c r="C4631" t="s">
        <v>167</v>
      </c>
      <c r="D4631" t="s">
        <v>132</v>
      </c>
      <c r="E4631" t="s">
        <v>377</v>
      </c>
      <c r="F4631" t="s">
        <v>385</v>
      </c>
      <c r="G4631" t="s">
        <v>347</v>
      </c>
      <c r="H4631" t="s">
        <v>749</v>
      </c>
      <c r="I4631" t="s">
        <v>743</v>
      </c>
      <c r="J4631" t="s">
        <v>379</v>
      </c>
      <c r="K4631" t="s">
        <v>546</v>
      </c>
      <c r="L4631" s="784">
        <v>3000000</v>
      </c>
      <c r="M4631" t="s">
        <v>745</v>
      </c>
      <c r="N4631" s="784"/>
      <c r="O4631" t="s">
        <v>737</v>
      </c>
      <c r="P4631" t="s">
        <v>1887</v>
      </c>
      <c r="R4631" t="s">
        <v>150</v>
      </c>
      <c r="S4631" t="s">
        <v>145</v>
      </c>
      <c r="U4631">
        <v>0</v>
      </c>
      <c r="V4631" t="s">
        <v>544</v>
      </c>
      <c r="W4631" t="s">
        <v>558</v>
      </c>
      <c r="X4631" s="784">
        <v>1148322593.9600098</v>
      </c>
    </row>
    <row r="4632" spans="1:24">
      <c r="A4632" t="s">
        <v>358</v>
      </c>
      <c r="B4632" t="s">
        <v>559</v>
      </c>
      <c r="C4632" t="s">
        <v>168</v>
      </c>
      <c r="D4632" t="s">
        <v>127</v>
      </c>
      <c r="E4632" t="s">
        <v>377</v>
      </c>
      <c r="F4632" t="s">
        <v>385</v>
      </c>
      <c r="G4632" t="s">
        <v>347</v>
      </c>
      <c r="H4632" t="s">
        <v>749</v>
      </c>
      <c r="I4632" t="s">
        <v>743</v>
      </c>
      <c r="J4632" t="s">
        <v>379</v>
      </c>
      <c r="K4632" t="s">
        <v>546</v>
      </c>
      <c r="L4632" s="784" t="s">
        <v>575</v>
      </c>
      <c r="M4632" t="s">
        <v>745</v>
      </c>
      <c r="N4632" s="784"/>
      <c r="O4632" t="s">
        <v>737</v>
      </c>
      <c r="P4632" t="s">
        <v>1887</v>
      </c>
      <c r="R4632" t="s">
        <v>152</v>
      </c>
      <c r="S4632" t="s">
        <v>146</v>
      </c>
      <c r="U4632">
        <v>0</v>
      </c>
      <c r="V4632" t="s">
        <v>544</v>
      </c>
      <c r="W4632" t="s">
        <v>575</v>
      </c>
      <c r="X4632" s="784">
        <v>2371102058.1093163</v>
      </c>
    </row>
    <row r="4633" spans="1:24">
      <c r="A4633" t="s">
        <v>358</v>
      </c>
      <c r="B4633" t="s">
        <v>560</v>
      </c>
      <c r="C4633" t="s">
        <v>169</v>
      </c>
      <c r="D4633" t="s">
        <v>130</v>
      </c>
      <c r="E4633" t="s">
        <v>377</v>
      </c>
      <c r="F4633" t="s">
        <v>385</v>
      </c>
      <c r="G4633" t="s">
        <v>347</v>
      </c>
      <c r="H4633" t="s">
        <v>749</v>
      </c>
      <c r="I4633" t="s">
        <v>743</v>
      </c>
      <c r="J4633" t="s">
        <v>379</v>
      </c>
      <c r="K4633" t="s">
        <v>546</v>
      </c>
      <c r="L4633" s="784">
        <v>100000</v>
      </c>
      <c r="M4633" t="s">
        <v>745</v>
      </c>
      <c r="N4633" s="784"/>
      <c r="O4633" t="s">
        <v>737</v>
      </c>
      <c r="P4633" t="s">
        <v>1887</v>
      </c>
      <c r="R4633" t="s">
        <v>150</v>
      </c>
      <c r="S4633" t="s">
        <v>146</v>
      </c>
      <c r="U4633">
        <v>0</v>
      </c>
      <c r="V4633" t="s">
        <v>541</v>
      </c>
      <c r="W4633" t="s">
        <v>546</v>
      </c>
      <c r="X4633" s="784">
        <v>75151620.005215243</v>
      </c>
    </row>
    <row r="4634" spans="1:24">
      <c r="A4634" t="s">
        <v>358</v>
      </c>
      <c r="B4634" t="s">
        <v>561</v>
      </c>
      <c r="C4634" t="s">
        <v>170</v>
      </c>
      <c r="D4634" t="s">
        <v>129</v>
      </c>
      <c r="E4634" t="s">
        <v>377</v>
      </c>
      <c r="F4634" t="s">
        <v>385</v>
      </c>
      <c r="G4634" t="s">
        <v>347</v>
      </c>
      <c r="H4634" t="s">
        <v>749</v>
      </c>
      <c r="I4634" t="s">
        <v>743</v>
      </c>
      <c r="J4634" t="s">
        <v>379</v>
      </c>
      <c r="K4634" t="s">
        <v>546</v>
      </c>
      <c r="L4634" s="784">
        <v>564235</v>
      </c>
      <c r="M4634" t="s">
        <v>745</v>
      </c>
      <c r="N4634" s="784"/>
      <c r="O4634" t="s">
        <v>737</v>
      </c>
      <c r="P4634" t="s">
        <v>1887</v>
      </c>
      <c r="R4634" t="s">
        <v>150</v>
      </c>
      <c r="S4634" t="s">
        <v>145</v>
      </c>
      <c r="U4634">
        <v>0</v>
      </c>
      <c r="V4634" t="s">
        <v>544</v>
      </c>
      <c r="W4634" t="s">
        <v>562</v>
      </c>
      <c r="X4634" s="784">
        <v>69958487.197715744</v>
      </c>
    </row>
    <row r="4635" spans="1:24">
      <c r="A4635" t="s">
        <v>358</v>
      </c>
      <c r="B4635" t="s">
        <v>563</v>
      </c>
      <c r="C4635" t="s">
        <v>171</v>
      </c>
      <c r="D4635" t="s">
        <v>132</v>
      </c>
      <c r="E4635" t="s">
        <v>377</v>
      </c>
      <c r="F4635" t="s">
        <v>385</v>
      </c>
      <c r="G4635" t="s">
        <v>347</v>
      </c>
      <c r="H4635" t="s">
        <v>749</v>
      </c>
      <c r="I4635" t="s">
        <v>743</v>
      </c>
      <c r="J4635" t="s">
        <v>379</v>
      </c>
      <c r="K4635" t="s">
        <v>546</v>
      </c>
      <c r="L4635" s="784">
        <v>110950</v>
      </c>
      <c r="M4635" t="s">
        <v>745</v>
      </c>
      <c r="N4635" s="784"/>
      <c r="O4635" t="s">
        <v>737</v>
      </c>
      <c r="P4635" t="s">
        <v>1887</v>
      </c>
      <c r="R4635" t="s">
        <v>150</v>
      </c>
      <c r="S4635" t="s">
        <v>145</v>
      </c>
      <c r="U4635">
        <v>0</v>
      </c>
      <c r="V4635" t="s">
        <v>544</v>
      </c>
      <c r="W4635" t="s">
        <v>548</v>
      </c>
      <c r="X4635" s="784">
        <v>61654608.560629159</v>
      </c>
    </row>
    <row r="4636" spans="1:24">
      <c r="A4636" t="s">
        <v>358</v>
      </c>
      <c r="B4636" t="s">
        <v>564</v>
      </c>
      <c r="C4636" t="s">
        <v>172</v>
      </c>
      <c r="D4636" t="s">
        <v>130</v>
      </c>
      <c r="E4636" t="s">
        <v>377</v>
      </c>
      <c r="F4636" t="s">
        <v>385</v>
      </c>
      <c r="G4636" t="s">
        <v>347</v>
      </c>
      <c r="H4636" t="s">
        <v>749</v>
      </c>
      <c r="I4636" t="s">
        <v>743</v>
      </c>
      <c r="J4636" t="s">
        <v>379</v>
      </c>
      <c r="K4636" t="s">
        <v>546</v>
      </c>
      <c r="L4636" s="784">
        <v>400000</v>
      </c>
      <c r="M4636" t="s">
        <v>745</v>
      </c>
      <c r="N4636" s="784"/>
      <c r="O4636" t="s">
        <v>737</v>
      </c>
      <c r="P4636" t="s">
        <v>1887</v>
      </c>
      <c r="R4636" t="s">
        <v>150</v>
      </c>
      <c r="S4636" t="s">
        <v>145</v>
      </c>
      <c r="U4636">
        <v>0</v>
      </c>
      <c r="V4636" t="s">
        <v>544</v>
      </c>
      <c r="W4636" t="s">
        <v>546</v>
      </c>
      <c r="X4636" s="784">
        <v>1806638707.7615163</v>
      </c>
    </row>
    <row r="4637" spans="1:24">
      <c r="A4637" t="s">
        <v>358</v>
      </c>
      <c r="B4637" t="s">
        <v>565</v>
      </c>
      <c r="C4637" t="s">
        <v>174</v>
      </c>
      <c r="D4637" t="s">
        <v>127</v>
      </c>
      <c r="E4637" t="s">
        <v>377</v>
      </c>
      <c r="F4637" t="s">
        <v>385</v>
      </c>
      <c r="G4637" t="s">
        <v>347</v>
      </c>
      <c r="H4637" t="s">
        <v>749</v>
      </c>
      <c r="I4637" t="s">
        <v>743</v>
      </c>
      <c r="J4637" t="s">
        <v>379</v>
      </c>
      <c r="K4637" t="s">
        <v>546</v>
      </c>
      <c r="L4637" s="784">
        <v>200000</v>
      </c>
      <c r="M4637" t="s">
        <v>745</v>
      </c>
      <c r="N4637" s="784"/>
      <c r="O4637" t="s">
        <v>737</v>
      </c>
      <c r="P4637" t="s">
        <v>1887</v>
      </c>
      <c r="R4637" t="s">
        <v>152</v>
      </c>
      <c r="S4637" t="s">
        <v>146</v>
      </c>
      <c r="U4637">
        <v>0</v>
      </c>
      <c r="V4637" t="s">
        <v>544</v>
      </c>
      <c r="W4637" t="s">
        <v>546</v>
      </c>
      <c r="X4637" s="784">
        <v>1252696525.0627904</v>
      </c>
    </row>
    <row r="4638" spans="1:24">
      <c r="A4638" t="s">
        <v>358</v>
      </c>
      <c r="B4638" t="s">
        <v>566</v>
      </c>
      <c r="C4638" t="s">
        <v>175</v>
      </c>
      <c r="D4638" t="s">
        <v>128</v>
      </c>
      <c r="E4638" t="s">
        <v>377</v>
      </c>
      <c r="F4638" t="s">
        <v>385</v>
      </c>
      <c r="G4638" t="s">
        <v>347</v>
      </c>
      <c r="H4638" t="s">
        <v>749</v>
      </c>
      <c r="I4638" t="s">
        <v>743</v>
      </c>
      <c r="J4638" t="s">
        <v>379</v>
      </c>
      <c r="K4638" t="s">
        <v>546</v>
      </c>
      <c r="L4638" s="784">
        <v>650000</v>
      </c>
      <c r="M4638" t="s">
        <v>745</v>
      </c>
      <c r="N4638" s="784"/>
      <c r="O4638" t="s">
        <v>737</v>
      </c>
      <c r="P4638" t="s">
        <v>1887</v>
      </c>
      <c r="R4638" t="s">
        <v>152</v>
      </c>
      <c r="S4638" t="s">
        <v>146</v>
      </c>
      <c r="U4638">
        <v>0</v>
      </c>
      <c r="V4638" t="s">
        <v>544</v>
      </c>
      <c r="W4638" t="s">
        <v>575</v>
      </c>
      <c r="X4638" s="784">
        <v>843425084.07334602</v>
      </c>
    </row>
    <row r="4639" spans="1:24">
      <c r="A4639" t="s">
        <v>358</v>
      </c>
      <c r="B4639" t="s">
        <v>567</v>
      </c>
      <c r="C4639" t="s">
        <v>144</v>
      </c>
      <c r="D4639" t="s">
        <v>130</v>
      </c>
      <c r="E4639" t="s">
        <v>377</v>
      </c>
      <c r="F4639" t="s">
        <v>385</v>
      </c>
      <c r="G4639" t="s">
        <v>347</v>
      </c>
      <c r="H4639" t="s">
        <v>749</v>
      </c>
      <c r="I4639" t="s">
        <v>743</v>
      </c>
      <c r="J4639" t="s">
        <v>379</v>
      </c>
      <c r="K4639" t="s">
        <v>546</v>
      </c>
      <c r="L4639" s="784">
        <v>660000</v>
      </c>
      <c r="M4639" t="s">
        <v>745</v>
      </c>
      <c r="N4639" s="784"/>
      <c r="O4639" t="s">
        <v>737</v>
      </c>
      <c r="P4639" t="s">
        <v>1887</v>
      </c>
      <c r="R4639" t="s">
        <v>152</v>
      </c>
      <c r="S4639" t="s">
        <v>146</v>
      </c>
      <c r="U4639">
        <v>0</v>
      </c>
      <c r="V4639" t="s">
        <v>544</v>
      </c>
      <c r="W4639" t="s">
        <v>546</v>
      </c>
      <c r="X4639" s="784">
        <v>74055620038.853683</v>
      </c>
    </row>
    <row r="4640" spans="1:24">
      <c r="A4640" t="s">
        <v>358</v>
      </c>
      <c r="B4640" t="s">
        <v>568</v>
      </c>
      <c r="C4640" t="s">
        <v>176</v>
      </c>
      <c r="D4640" t="s">
        <v>127</v>
      </c>
      <c r="E4640" t="s">
        <v>377</v>
      </c>
      <c r="F4640" t="s">
        <v>385</v>
      </c>
      <c r="G4640" t="s">
        <v>347</v>
      </c>
      <c r="H4640" t="s">
        <v>749</v>
      </c>
      <c r="I4640" t="s">
        <v>743</v>
      </c>
      <c r="J4640" t="s">
        <v>379</v>
      </c>
      <c r="K4640" t="s">
        <v>546</v>
      </c>
      <c r="L4640" s="784" t="s">
        <v>575</v>
      </c>
      <c r="M4640" t="s">
        <v>745</v>
      </c>
      <c r="N4640" s="784"/>
      <c r="O4640" t="s">
        <v>737</v>
      </c>
      <c r="P4640" t="s">
        <v>1887</v>
      </c>
      <c r="R4640" t="s">
        <v>152</v>
      </c>
      <c r="S4640" t="s">
        <v>146</v>
      </c>
      <c r="U4640">
        <v>0</v>
      </c>
      <c r="V4640" t="s">
        <v>544</v>
      </c>
      <c r="W4640" t="s">
        <v>575</v>
      </c>
      <c r="X4640" s="784">
        <v>2803357765.5888777</v>
      </c>
    </row>
    <row r="4641" spans="1:24">
      <c r="A4641" t="s">
        <v>358</v>
      </c>
      <c r="B4641" t="s">
        <v>569</v>
      </c>
      <c r="C4641" t="s">
        <v>177</v>
      </c>
      <c r="D4641" t="s">
        <v>129</v>
      </c>
      <c r="E4641" t="s">
        <v>377</v>
      </c>
      <c r="F4641" t="s">
        <v>385</v>
      </c>
      <c r="G4641" t="s">
        <v>347</v>
      </c>
      <c r="H4641" t="s">
        <v>749</v>
      </c>
      <c r="I4641" t="s">
        <v>743</v>
      </c>
      <c r="J4641" t="s">
        <v>379</v>
      </c>
      <c r="K4641" t="s">
        <v>546</v>
      </c>
      <c r="L4641" s="784">
        <v>898700</v>
      </c>
      <c r="M4641" t="s">
        <v>745</v>
      </c>
      <c r="N4641" s="784"/>
      <c r="O4641" t="s">
        <v>737</v>
      </c>
      <c r="P4641" t="s">
        <v>1887</v>
      </c>
      <c r="R4641" t="s">
        <v>148</v>
      </c>
      <c r="S4641" t="s">
        <v>145</v>
      </c>
      <c r="U4641">
        <v>2</v>
      </c>
      <c r="V4641" t="s">
        <v>544</v>
      </c>
      <c r="W4641" t="s">
        <v>562</v>
      </c>
      <c r="X4641" s="784">
        <v>337927779.25510043</v>
      </c>
    </row>
    <row r="4642" spans="1:24">
      <c r="A4642" t="s">
        <v>358</v>
      </c>
      <c r="B4642" t="s">
        <v>570</v>
      </c>
      <c r="C4642" t="s">
        <v>178</v>
      </c>
      <c r="D4642" t="s">
        <v>128</v>
      </c>
      <c r="E4642" t="s">
        <v>377</v>
      </c>
      <c r="F4642" t="s">
        <v>385</v>
      </c>
      <c r="G4642" t="s">
        <v>347</v>
      </c>
      <c r="H4642" t="s">
        <v>749</v>
      </c>
      <c r="I4642" t="s">
        <v>743</v>
      </c>
      <c r="J4642" t="s">
        <v>379</v>
      </c>
      <c r="K4642" t="s">
        <v>546</v>
      </c>
      <c r="L4642" s="784">
        <v>575000</v>
      </c>
      <c r="M4642" t="s">
        <v>745</v>
      </c>
      <c r="N4642" s="784"/>
      <c r="O4642" t="s">
        <v>737</v>
      </c>
      <c r="P4642" t="s">
        <v>1887</v>
      </c>
      <c r="R4642" t="s">
        <v>148</v>
      </c>
      <c r="S4642" t="s">
        <v>145</v>
      </c>
      <c r="U4642">
        <v>2</v>
      </c>
      <c r="V4642" t="s">
        <v>544</v>
      </c>
      <c r="W4642" t="s">
        <v>548</v>
      </c>
      <c r="X4642" s="784">
        <v>65979512.47399316</v>
      </c>
    </row>
    <row r="4643" spans="1:24">
      <c r="A4643" t="s">
        <v>358</v>
      </c>
      <c r="B4643" t="s">
        <v>571</v>
      </c>
      <c r="C4643" t="s">
        <v>179</v>
      </c>
      <c r="D4643" t="s">
        <v>129</v>
      </c>
      <c r="E4643" t="s">
        <v>377</v>
      </c>
      <c r="F4643" t="s">
        <v>385</v>
      </c>
      <c r="G4643" t="s">
        <v>347</v>
      </c>
      <c r="H4643" t="s">
        <v>749</v>
      </c>
      <c r="I4643" t="s">
        <v>743</v>
      </c>
      <c r="J4643" t="s">
        <v>379</v>
      </c>
      <c r="K4643" t="s">
        <v>546</v>
      </c>
      <c r="L4643" s="784">
        <v>0</v>
      </c>
      <c r="M4643" t="s">
        <v>745</v>
      </c>
      <c r="N4643" s="784"/>
      <c r="O4643" t="s">
        <v>737</v>
      </c>
      <c r="P4643" t="s">
        <v>1887</v>
      </c>
      <c r="R4643" t="s">
        <v>150</v>
      </c>
      <c r="S4643" t="s">
        <v>145</v>
      </c>
      <c r="U4643">
        <v>0</v>
      </c>
      <c r="V4643" t="s">
        <v>541</v>
      </c>
      <c r="W4643" t="s">
        <v>542</v>
      </c>
      <c r="X4643" s="784">
        <v>63748362.778827004</v>
      </c>
    </row>
    <row r="4644" spans="1:24">
      <c r="A4644" t="s">
        <v>358</v>
      </c>
      <c r="B4644" t="s">
        <v>572</v>
      </c>
      <c r="C4644" t="s">
        <v>180</v>
      </c>
      <c r="D4644" t="s">
        <v>126</v>
      </c>
      <c r="E4644" t="s">
        <v>377</v>
      </c>
      <c r="F4644" t="s">
        <v>385</v>
      </c>
      <c r="G4644" t="s">
        <v>347</v>
      </c>
      <c r="H4644" t="s">
        <v>749</v>
      </c>
      <c r="I4644" t="s">
        <v>743</v>
      </c>
      <c r="J4644" t="s">
        <v>379</v>
      </c>
      <c r="K4644" t="s">
        <v>546</v>
      </c>
      <c r="L4644" s="784">
        <v>0</v>
      </c>
      <c r="M4644" t="s">
        <v>745</v>
      </c>
      <c r="N4644" s="784"/>
      <c r="O4644" t="s">
        <v>737</v>
      </c>
      <c r="P4644" t="s">
        <v>1887</v>
      </c>
      <c r="R4644" t="s">
        <v>150</v>
      </c>
      <c r="S4644" t="s">
        <v>145</v>
      </c>
      <c r="U4644">
        <v>0</v>
      </c>
      <c r="V4644" t="s">
        <v>544</v>
      </c>
      <c r="W4644" t="s">
        <v>558</v>
      </c>
      <c r="X4644" s="784">
        <v>313039649.45369786</v>
      </c>
    </row>
    <row r="4645" spans="1:24">
      <c r="A4645" t="s">
        <v>358</v>
      </c>
      <c r="B4645" t="s">
        <v>573</v>
      </c>
      <c r="C4645" t="s">
        <v>181</v>
      </c>
      <c r="D4645" t="s">
        <v>129</v>
      </c>
      <c r="E4645" t="s">
        <v>377</v>
      </c>
      <c r="F4645" t="s">
        <v>385</v>
      </c>
      <c r="G4645" t="s">
        <v>347</v>
      </c>
      <c r="H4645" t="s">
        <v>749</v>
      </c>
      <c r="I4645" t="s">
        <v>743</v>
      </c>
      <c r="J4645" t="s">
        <v>379</v>
      </c>
      <c r="K4645" t="s">
        <v>546</v>
      </c>
      <c r="L4645" s="784">
        <v>1645844</v>
      </c>
      <c r="M4645" t="s">
        <v>745</v>
      </c>
      <c r="N4645" s="784"/>
      <c r="O4645" t="s">
        <v>737</v>
      </c>
      <c r="P4645" t="s">
        <v>1887</v>
      </c>
      <c r="R4645" t="s">
        <v>150</v>
      </c>
      <c r="S4645" t="s">
        <v>145</v>
      </c>
      <c r="U4645">
        <v>2</v>
      </c>
      <c r="V4645" t="s">
        <v>544</v>
      </c>
      <c r="W4645" t="s">
        <v>542</v>
      </c>
      <c r="X4645" s="784">
        <v>81361801.477472037</v>
      </c>
    </row>
    <row r="4646" spans="1:24">
      <c r="A4646" t="s">
        <v>358</v>
      </c>
      <c r="B4646" t="s">
        <v>574</v>
      </c>
      <c r="C4646" t="s">
        <v>182</v>
      </c>
      <c r="D4646" t="s">
        <v>129</v>
      </c>
      <c r="E4646" t="s">
        <v>377</v>
      </c>
      <c r="F4646" t="s">
        <v>385</v>
      </c>
      <c r="G4646" t="s">
        <v>347</v>
      </c>
      <c r="H4646" t="s">
        <v>749</v>
      </c>
      <c r="I4646" t="s">
        <v>743</v>
      </c>
      <c r="J4646" t="s">
        <v>379</v>
      </c>
      <c r="K4646" t="s">
        <v>546</v>
      </c>
      <c r="L4646" s="784">
        <v>0</v>
      </c>
      <c r="M4646" t="s">
        <v>745</v>
      </c>
      <c r="N4646" s="784"/>
      <c r="O4646" t="s">
        <v>737</v>
      </c>
      <c r="P4646" t="s">
        <v>1887</v>
      </c>
      <c r="R4646" t="s">
        <v>148</v>
      </c>
      <c r="S4646" t="s">
        <v>145</v>
      </c>
      <c r="U4646">
        <v>1</v>
      </c>
      <c r="V4646" t="s">
        <v>544</v>
      </c>
      <c r="W4646" t="s">
        <v>542</v>
      </c>
      <c r="X4646" s="784" t="s">
        <v>575</v>
      </c>
    </row>
    <row r="4647" spans="1:24">
      <c r="A4647" t="s">
        <v>358</v>
      </c>
      <c r="B4647" t="s">
        <v>576</v>
      </c>
      <c r="C4647" t="s">
        <v>183</v>
      </c>
      <c r="D4647" t="s">
        <v>129</v>
      </c>
      <c r="E4647" t="s">
        <v>377</v>
      </c>
      <c r="F4647" t="s">
        <v>385</v>
      </c>
      <c r="G4647" t="s">
        <v>347</v>
      </c>
      <c r="H4647" t="s">
        <v>749</v>
      </c>
      <c r="I4647" t="s">
        <v>743</v>
      </c>
      <c r="J4647" t="s">
        <v>379</v>
      </c>
      <c r="K4647" t="s">
        <v>546</v>
      </c>
      <c r="L4647" s="784">
        <v>1086043</v>
      </c>
      <c r="M4647" t="s">
        <v>745</v>
      </c>
      <c r="N4647" s="784"/>
      <c r="O4647" t="s">
        <v>737</v>
      </c>
      <c r="P4647" t="s">
        <v>1887</v>
      </c>
      <c r="R4647" t="s">
        <v>148</v>
      </c>
      <c r="S4647" t="s">
        <v>145</v>
      </c>
      <c r="U4647">
        <v>1</v>
      </c>
      <c r="V4647" t="s">
        <v>544</v>
      </c>
      <c r="W4647" t="s">
        <v>542</v>
      </c>
      <c r="X4647" s="784">
        <v>76939306.715636879</v>
      </c>
    </row>
    <row r="4648" spans="1:24">
      <c r="A4648" t="s">
        <v>358</v>
      </c>
      <c r="B4648" t="s">
        <v>577</v>
      </c>
      <c r="C4648" t="s">
        <v>184</v>
      </c>
      <c r="D4648" t="s">
        <v>130</v>
      </c>
      <c r="E4648" t="s">
        <v>377</v>
      </c>
      <c r="F4648" t="s">
        <v>385</v>
      </c>
      <c r="G4648" t="s">
        <v>347</v>
      </c>
      <c r="H4648" t="s">
        <v>749</v>
      </c>
      <c r="I4648" t="s">
        <v>743</v>
      </c>
      <c r="J4648" t="s">
        <v>379</v>
      </c>
      <c r="K4648" t="s">
        <v>546</v>
      </c>
      <c r="L4648" s="784">
        <v>0</v>
      </c>
      <c r="M4648" t="s">
        <v>745</v>
      </c>
      <c r="N4648" s="784"/>
      <c r="O4648" t="s">
        <v>737</v>
      </c>
      <c r="P4648" t="s">
        <v>1887</v>
      </c>
      <c r="R4648" t="s">
        <v>550</v>
      </c>
      <c r="S4648" t="s">
        <v>146</v>
      </c>
      <c r="U4648">
        <v>0</v>
      </c>
      <c r="V4648" t="s">
        <v>544</v>
      </c>
      <c r="W4648" t="s">
        <v>575</v>
      </c>
      <c r="X4648" s="784">
        <v>13859708717.682571</v>
      </c>
    </row>
    <row r="4649" spans="1:24">
      <c r="A4649" t="s">
        <v>358</v>
      </c>
      <c r="B4649" t="s">
        <v>578</v>
      </c>
      <c r="C4649" t="s">
        <v>185</v>
      </c>
      <c r="D4649" t="s">
        <v>126</v>
      </c>
      <c r="E4649" t="s">
        <v>377</v>
      </c>
      <c r="F4649" t="s">
        <v>385</v>
      </c>
      <c r="G4649" t="s">
        <v>347</v>
      </c>
      <c r="H4649" t="s">
        <v>749</v>
      </c>
      <c r="I4649" t="s">
        <v>743</v>
      </c>
      <c r="J4649" t="s">
        <v>379</v>
      </c>
      <c r="K4649" t="s">
        <v>546</v>
      </c>
      <c r="L4649" s="784" t="s">
        <v>575</v>
      </c>
      <c r="M4649" t="s">
        <v>745</v>
      </c>
      <c r="N4649" s="784"/>
      <c r="O4649" t="s">
        <v>737</v>
      </c>
      <c r="P4649" t="s">
        <v>1887</v>
      </c>
      <c r="R4649" t="s">
        <v>152</v>
      </c>
      <c r="S4649" t="s">
        <v>146</v>
      </c>
      <c r="U4649">
        <v>0</v>
      </c>
      <c r="V4649" t="s">
        <v>544</v>
      </c>
      <c r="W4649" t="s">
        <v>575</v>
      </c>
      <c r="X4649" s="784">
        <v>403567160707.7016</v>
      </c>
    </row>
    <row r="4650" spans="1:24">
      <c r="A4650" t="s">
        <v>358</v>
      </c>
      <c r="B4650" t="s">
        <v>579</v>
      </c>
      <c r="C4650" t="s">
        <v>186</v>
      </c>
      <c r="D4650" t="s">
        <v>130</v>
      </c>
      <c r="E4650" t="s">
        <v>377</v>
      </c>
      <c r="F4650" t="s">
        <v>385</v>
      </c>
      <c r="G4650" t="s">
        <v>347</v>
      </c>
      <c r="H4650" t="s">
        <v>749</v>
      </c>
      <c r="I4650" t="s">
        <v>743</v>
      </c>
      <c r="J4650" t="s">
        <v>379</v>
      </c>
      <c r="K4650" t="s">
        <v>546</v>
      </c>
      <c r="L4650" s="784">
        <v>200000</v>
      </c>
      <c r="M4650" t="s">
        <v>745</v>
      </c>
      <c r="N4650" s="784"/>
      <c r="O4650" t="s">
        <v>737</v>
      </c>
      <c r="P4650" t="s">
        <v>1887</v>
      </c>
      <c r="R4650" t="s">
        <v>152</v>
      </c>
      <c r="S4650" t="s">
        <v>146</v>
      </c>
      <c r="U4650">
        <v>0</v>
      </c>
      <c r="V4650" t="s">
        <v>544</v>
      </c>
      <c r="W4650" t="s">
        <v>575</v>
      </c>
      <c r="X4650" s="784">
        <v>18250225995.972618</v>
      </c>
    </row>
    <row r="4651" spans="1:24">
      <c r="A4651" t="s">
        <v>358</v>
      </c>
      <c r="B4651" t="s">
        <v>580</v>
      </c>
      <c r="C4651" t="s">
        <v>187</v>
      </c>
      <c r="D4651" t="s">
        <v>128</v>
      </c>
      <c r="E4651" t="s">
        <v>377</v>
      </c>
      <c r="F4651" t="s">
        <v>385</v>
      </c>
      <c r="G4651" t="s">
        <v>347</v>
      </c>
      <c r="H4651" t="s">
        <v>749</v>
      </c>
      <c r="I4651" t="s">
        <v>743</v>
      </c>
      <c r="J4651" t="s">
        <v>379</v>
      </c>
      <c r="K4651" t="s">
        <v>546</v>
      </c>
      <c r="L4651" s="784">
        <v>143500</v>
      </c>
      <c r="M4651" t="s">
        <v>745</v>
      </c>
      <c r="N4651" s="784"/>
      <c r="O4651" t="s">
        <v>737</v>
      </c>
      <c r="P4651" t="s">
        <v>1887</v>
      </c>
      <c r="R4651" t="s">
        <v>150</v>
      </c>
      <c r="S4651" t="s">
        <v>145</v>
      </c>
      <c r="U4651">
        <v>0</v>
      </c>
      <c r="V4651" t="s">
        <v>541</v>
      </c>
      <c r="W4651" t="s">
        <v>562</v>
      </c>
      <c r="X4651" s="784">
        <v>5027591.1682657599</v>
      </c>
    </row>
    <row r="4652" spans="1:24">
      <c r="A4652" t="s">
        <v>358</v>
      </c>
      <c r="B4652" t="s">
        <v>581</v>
      </c>
      <c r="C4652" t="s">
        <v>188</v>
      </c>
      <c r="D4652" t="s">
        <v>129</v>
      </c>
      <c r="E4652" t="s">
        <v>377</v>
      </c>
      <c r="F4652" t="s">
        <v>385</v>
      </c>
      <c r="G4652" t="s">
        <v>347</v>
      </c>
      <c r="H4652" t="s">
        <v>749</v>
      </c>
      <c r="I4652" t="s">
        <v>743</v>
      </c>
      <c r="J4652" t="s">
        <v>379</v>
      </c>
      <c r="K4652" t="s">
        <v>546</v>
      </c>
      <c r="L4652" s="784">
        <v>3858268</v>
      </c>
      <c r="M4652" t="s">
        <v>745</v>
      </c>
      <c r="N4652" s="784"/>
      <c r="O4652" t="s">
        <v>737</v>
      </c>
      <c r="P4652" t="s">
        <v>1887</v>
      </c>
      <c r="R4652" t="s">
        <v>148</v>
      </c>
      <c r="S4652" t="s">
        <v>145</v>
      </c>
      <c r="U4652">
        <v>3</v>
      </c>
      <c r="V4652" t="s">
        <v>544</v>
      </c>
      <c r="W4652" t="s">
        <v>562</v>
      </c>
      <c r="X4652" s="784">
        <v>234645958.63289919</v>
      </c>
    </row>
    <row r="4653" spans="1:24">
      <c r="A4653" t="s">
        <v>358</v>
      </c>
      <c r="B4653" t="s">
        <v>582</v>
      </c>
      <c r="C4653" t="s">
        <v>189</v>
      </c>
      <c r="D4653" t="s">
        <v>129</v>
      </c>
      <c r="E4653" t="s">
        <v>377</v>
      </c>
      <c r="F4653" t="s">
        <v>385</v>
      </c>
      <c r="G4653" t="s">
        <v>347</v>
      </c>
      <c r="H4653" t="s">
        <v>749</v>
      </c>
      <c r="I4653" t="s">
        <v>743</v>
      </c>
      <c r="J4653" t="s">
        <v>379</v>
      </c>
      <c r="K4653" t="s">
        <v>546</v>
      </c>
      <c r="L4653" s="784">
        <v>555079</v>
      </c>
      <c r="M4653" t="s">
        <v>745</v>
      </c>
      <c r="N4653" s="784"/>
      <c r="O4653" t="s">
        <v>737</v>
      </c>
      <c r="P4653" t="s">
        <v>1887</v>
      </c>
      <c r="R4653" t="s">
        <v>150</v>
      </c>
      <c r="S4653" t="s">
        <v>145</v>
      </c>
      <c r="U4653">
        <v>2</v>
      </c>
      <c r="V4653" t="s">
        <v>544</v>
      </c>
      <c r="W4653" t="s">
        <v>583</v>
      </c>
      <c r="X4653" s="784">
        <v>91590910.247314155</v>
      </c>
    </row>
    <row r="4654" spans="1:24">
      <c r="A4654" t="s">
        <v>358</v>
      </c>
      <c r="B4654" t="s">
        <v>584</v>
      </c>
      <c r="C4654" t="s">
        <v>190</v>
      </c>
      <c r="D4654" t="s">
        <v>126</v>
      </c>
      <c r="E4654" t="s">
        <v>377</v>
      </c>
      <c r="F4654" t="s">
        <v>385</v>
      </c>
      <c r="G4654" t="s">
        <v>347</v>
      </c>
      <c r="H4654" t="s">
        <v>749</v>
      </c>
      <c r="I4654" t="s">
        <v>743</v>
      </c>
      <c r="J4654" t="s">
        <v>379</v>
      </c>
      <c r="K4654" t="s">
        <v>546</v>
      </c>
      <c r="L4654" s="784" t="s">
        <v>575</v>
      </c>
      <c r="M4654" t="s">
        <v>745</v>
      </c>
      <c r="N4654" s="784"/>
      <c r="O4654" t="s">
        <v>737</v>
      </c>
      <c r="P4654" t="s">
        <v>1887</v>
      </c>
      <c r="R4654" t="s">
        <v>322</v>
      </c>
      <c r="S4654" t="s">
        <v>146</v>
      </c>
      <c r="U4654">
        <v>0</v>
      </c>
      <c r="V4654" t="s">
        <v>541</v>
      </c>
      <c r="W4654" t="s">
        <v>546</v>
      </c>
      <c r="X4654" s="784">
        <v>8560012.8840167802</v>
      </c>
    </row>
    <row r="4655" spans="1:24">
      <c r="A4655" t="s">
        <v>358</v>
      </c>
      <c r="B4655" t="s">
        <v>585</v>
      </c>
      <c r="C4655" t="s">
        <v>191</v>
      </c>
      <c r="D4655" t="s">
        <v>130</v>
      </c>
      <c r="E4655" t="s">
        <v>377</v>
      </c>
      <c r="F4655" t="s">
        <v>385</v>
      </c>
      <c r="G4655" t="s">
        <v>347</v>
      </c>
      <c r="H4655" t="s">
        <v>749</v>
      </c>
      <c r="I4655" t="s">
        <v>743</v>
      </c>
      <c r="J4655" t="s">
        <v>379</v>
      </c>
      <c r="K4655" t="s">
        <v>546</v>
      </c>
      <c r="L4655" s="784">
        <v>0</v>
      </c>
      <c r="M4655" t="s">
        <v>745</v>
      </c>
      <c r="N4655" s="784"/>
      <c r="O4655" t="s">
        <v>737</v>
      </c>
      <c r="P4655" t="s">
        <v>1887</v>
      </c>
      <c r="R4655" t="s">
        <v>152</v>
      </c>
      <c r="S4655" t="s">
        <v>146</v>
      </c>
      <c r="U4655">
        <v>0</v>
      </c>
      <c r="V4655" t="s">
        <v>544</v>
      </c>
      <c r="W4655" t="s">
        <v>546</v>
      </c>
      <c r="X4655" s="784">
        <v>3292372960.3962669</v>
      </c>
    </row>
    <row r="4656" spans="1:24">
      <c r="A4656" t="s">
        <v>358</v>
      </c>
      <c r="B4656" t="s">
        <v>586</v>
      </c>
      <c r="C4656" t="s">
        <v>192</v>
      </c>
      <c r="D4656" t="s">
        <v>129</v>
      </c>
      <c r="E4656" t="s">
        <v>377</v>
      </c>
      <c r="F4656" t="s">
        <v>385</v>
      </c>
      <c r="G4656" t="s">
        <v>347</v>
      </c>
      <c r="H4656" t="s">
        <v>749</v>
      </c>
      <c r="I4656" t="s">
        <v>743</v>
      </c>
      <c r="J4656" t="s">
        <v>379</v>
      </c>
      <c r="K4656" t="s">
        <v>546</v>
      </c>
      <c r="L4656" s="784">
        <v>1677055</v>
      </c>
      <c r="M4656" t="s">
        <v>745</v>
      </c>
      <c r="N4656" s="784"/>
      <c r="O4656" t="s">
        <v>737</v>
      </c>
      <c r="P4656" t="s">
        <v>1887</v>
      </c>
      <c r="R4656" t="s">
        <v>150</v>
      </c>
      <c r="S4656" t="s">
        <v>145</v>
      </c>
      <c r="U4656">
        <v>0</v>
      </c>
      <c r="V4656" t="s">
        <v>544</v>
      </c>
      <c r="W4656" t="s">
        <v>562</v>
      </c>
      <c r="X4656" s="784">
        <v>519209981.22981054</v>
      </c>
    </row>
    <row r="4657" spans="1:24">
      <c r="A4657" t="s">
        <v>358</v>
      </c>
      <c r="B4657" t="s">
        <v>587</v>
      </c>
      <c r="C4657" t="s">
        <v>193</v>
      </c>
      <c r="D4657" t="s">
        <v>127</v>
      </c>
      <c r="E4657" t="s">
        <v>377</v>
      </c>
      <c r="F4657" t="s">
        <v>385</v>
      </c>
      <c r="G4657" t="s">
        <v>347</v>
      </c>
      <c r="H4657" t="s">
        <v>749</v>
      </c>
      <c r="I4657" t="s">
        <v>743</v>
      </c>
      <c r="J4657" t="s">
        <v>379</v>
      </c>
      <c r="K4657" t="s">
        <v>546</v>
      </c>
      <c r="L4657" s="784" t="s">
        <v>575</v>
      </c>
      <c r="M4657" t="s">
        <v>745</v>
      </c>
      <c r="N4657" s="784"/>
      <c r="O4657" t="s">
        <v>737</v>
      </c>
      <c r="P4657" t="s">
        <v>1887</v>
      </c>
      <c r="R4657" t="s">
        <v>550</v>
      </c>
      <c r="S4657" t="s">
        <v>146</v>
      </c>
      <c r="U4657">
        <v>0</v>
      </c>
      <c r="V4657" t="s">
        <v>544</v>
      </c>
      <c r="W4657" t="s">
        <v>575</v>
      </c>
      <c r="X4657" s="784">
        <v>3464739907.1604805</v>
      </c>
    </row>
    <row r="4658" spans="1:24">
      <c r="A4658" t="s">
        <v>358</v>
      </c>
      <c r="B4658" t="s">
        <v>588</v>
      </c>
      <c r="C4658" t="s">
        <v>147</v>
      </c>
      <c r="D4658" t="s">
        <v>130</v>
      </c>
      <c r="E4658" t="s">
        <v>377</v>
      </c>
      <c r="F4658" t="s">
        <v>385</v>
      </c>
      <c r="G4658" t="s">
        <v>347</v>
      </c>
      <c r="H4658" t="s">
        <v>749</v>
      </c>
      <c r="I4658" t="s">
        <v>743</v>
      </c>
      <c r="J4658" t="s">
        <v>379</v>
      </c>
      <c r="K4658" t="s">
        <v>546</v>
      </c>
      <c r="L4658" s="784">
        <v>500000</v>
      </c>
      <c r="M4658" t="s">
        <v>745</v>
      </c>
      <c r="N4658" s="784"/>
      <c r="O4658" t="s">
        <v>737</v>
      </c>
      <c r="P4658" t="s">
        <v>1887</v>
      </c>
      <c r="R4658" t="s">
        <v>152</v>
      </c>
      <c r="S4658" t="s">
        <v>146</v>
      </c>
      <c r="U4658">
        <v>0</v>
      </c>
      <c r="V4658" t="s">
        <v>541</v>
      </c>
      <c r="W4658" t="s">
        <v>575</v>
      </c>
      <c r="X4658" s="784">
        <v>9948521252.2569065</v>
      </c>
    </row>
    <row r="4659" spans="1:24">
      <c r="A4659" t="s">
        <v>358</v>
      </c>
      <c r="B4659" t="s">
        <v>589</v>
      </c>
      <c r="C4659" t="s">
        <v>194</v>
      </c>
      <c r="D4659" t="s">
        <v>131</v>
      </c>
      <c r="E4659" t="s">
        <v>377</v>
      </c>
      <c r="F4659" t="s">
        <v>385</v>
      </c>
      <c r="G4659" t="s">
        <v>347</v>
      </c>
      <c r="H4659" t="s">
        <v>749</v>
      </c>
      <c r="I4659" t="s">
        <v>743</v>
      </c>
      <c r="J4659" t="s">
        <v>379</v>
      </c>
      <c r="K4659" t="s">
        <v>546</v>
      </c>
      <c r="L4659" s="784">
        <v>0</v>
      </c>
      <c r="M4659" t="s">
        <v>745</v>
      </c>
      <c r="N4659" s="784"/>
      <c r="O4659" t="s">
        <v>737</v>
      </c>
      <c r="P4659" t="s">
        <v>1887</v>
      </c>
      <c r="R4659" t="s">
        <v>150</v>
      </c>
      <c r="S4659" t="s">
        <v>145</v>
      </c>
      <c r="U4659">
        <v>1</v>
      </c>
      <c r="V4659" t="s">
        <v>544</v>
      </c>
      <c r="W4659" t="s">
        <v>542</v>
      </c>
      <c r="X4659" s="784">
        <v>33679192.765657313</v>
      </c>
    </row>
    <row r="4660" spans="1:24">
      <c r="A4660" t="s">
        <v>358</v>
      </c>
      <c r="B4660" t="s">
        <v>590</v>
      </c>
      <c r="C4660" t="s">
        <v>195</v>
      </c>
      <c r="D4660" t="s">
        <v>130</v>
      </c>
      <c r="E4660" t="s">
        <v>377</v>
      </c>
      <c r="F4660" t="s">
        <v>385</v>
      </c>
      <c r="G4660" t="s">
        <v>347</v>
      </c>
      <c r="H4660" t="s">
        <v>749</v>
      </c>
      <c r="I4660" t="s">
        <v>743</v>
      </c>
      <c r="J4660" t="s">
        <v>379</v>
      </c>
      <c r="K4660" t="s">
        <v>546</v>
      </c>
      <c r="L4660" s="784">
        <v>75000</v>
      </c>
      <c r="M4660" t="s">
        <v>745</v>
      </c>
      <c r="N4660" s="784"/>
      <c r="O4660" t="s">
        <v>737</v>
      </c>
      <c r="P4660" t="s">
        <v>1887</v>
      </c>
      <c r="R4660" t="s">
        <v>152</v>
      </c>
      <c r="S4660" t="s">
        <v>145</v>
      </c>
      <c r="U4660">
        <v>0</v>
      </c>
      <c r="V4660" t="s">
        <v>541</v>
      </c>
      <c r="W4660" t="s">
        <v>548</v>
      </c>
      <c r="X4660" s="784">
        <v>22784494.365742501</v>
      </c>
    </row>
    <row r="4661" spans="1:24">
      <c r="A4661" t="s">
        <v>358</v>
      </c>
      <c r="B4661" t="s">
        <v>591</v>
      </c>
      <c r="C4661" t="s">
        <v>196</v>
      </c>
      <c r="D4661" t="s">
        <v>130</v>
      </c>
      <c r="E4661" t="s">
        <v>377</v>
      </c>
      <c r="F4661" t="s">
        <v>385</v>
      </c>
      <c r="G4661" t="s">
        <v>347</v>
      </c>
      <c r="H4661" t="s">
        <v>749</v>
      </c>
      <c r="I4661" t="s">
        <v>743</v>
      </c>
      <c r="J4661" t="s">
        <v>379</v>
      </c>
      <c r="K4661" t="s">
        <v>546</v>
      </c>
      <c r="L4661" s="784">
        <v>200000</v>
      </c>
      <c r="M4661" t="s">
        <v>745</v>
      </c>
      <c r="N4661" s="784"/>
      <c r="O4661" t="s">
        <v>737</v>
      </c>
      <c r="P4661" t="s">
        <v>1887</v>
      </c>
      <c r="R4661" t="s">
        <v>152</v>
      </c>
      <c r="S4661" t="s">
        <v>146</v>
      </c>
      <c r="U4661">
        <v>0</v>
      </c>
      <c r="V4661" t="s">
        <v>541</v>
      </c>
      <c r="W4661" t="s">
        <v>575</v>
      </c>
      <c r="X4661" s="784">
        <v>2173208011.4858823</v>
      </c>
    </row>
    <row r="4662" spans="1:24">
      <c r="A4662" t="s">
        <v>358</v>
      </c>
      <c r="B4662" t="s">
        <v>592</v>
      </c>
      <c r="C4662" t="s">
        <v>197</v>
      </c>
      <c r="D4662" t="s">
        <v>130</v>
      </c>
      <c r="E4662" t="s">
        <v>377</v>
      </c>
      <c r="F4662" t="s">
        <v>385</v>
      </c>
      <c r="G4662" t="s">
        <v>347</v>
      </c>
      <c r="H4662" t="s">
        <v>749</v>
      </c>
      <c r="I4662" t="s">
        <v>743</v>
      </c>
      <c r="J4662" t="s">
        <v>379</v>
      </c>
      <c r="K4662" t="s">
        <v>546</v>
      </c>
      <c r="L4662" s="784">
        <v>0</v>
      </c>
      <c r="M4662" t="s">
        <v>745</v>
      </c>
      <c r="N4662" s="784"/>
      <c r="O4662" t="s">
        <v>737</v>
      </c>
      <c r="P4662" t="s">
        <v>1887</v>
      </c>
      <c r="R4662" t="s">
        <v>152</v>
      </c>
      <c r="S4662" t="s">
        <v>146</v>
      </c>
      <c r="U4662">
        <v>0</v>
      </c>
      <c r="V4662" t="s">
        <v>544</v>
      </c>
      <c r="W4662" t="s">
        <v>546</v>
      </c>
      <c r="X4662" s="784">
        <v>4585736158.8323269</v>
      </c>
    </row>
    <row r="4663" spans="1:24">
      <c r="A4663" t="s">
        <v>358</v>
      </c>
      <c r="B4663" t="s">
        <v>593</v>
      </c>
      <c r="C4663" t="s">
        <v>198</v>
      </c>
      <c r="D4663" t="s">
        <v>131</v>
      </c>
      <c r="E4663" t="s">
        <v>377</v>
      </c>
      <c r="F4663" t="s">
        <v>385</v>
      </c>
      <c r="G4663" t="s">
        <v>347</v>
      </c>
      <c r="H4663" t="s">
        <v>749</v>
      </c>
      <c r="I4663" t="s">
        <v>743</v>
      </c>
      <c r="J4663" t="s">
        <v>379</v>
      </c>
      <c r="K4663" t="s">
        <v>546</v>
      </c>
      <c r="L4663" s="784">
        <v>1458302</v>
      </c>
      <c r="M4663" t="s">
        <v>745</v>
      </c>
      <c r="N4663" s="784"/>
      <c r="O4663" t="s">
        <v>737</v>
      </c>
      <c r="P4663" t="s">
        <v>1887</v>
      </c>
      <c r="R4663" t="s">
        <v>150</v>
      </c>
      <c r="S4663" t="s">
        <v>145</v>
      </c>
      <c r="U4663">
        <v>0</v>
      </c>
      <c r="V4663" t="s">
        <v>544</v>
      </c>
      <c r="W4663" t="s">
        <v>546</v>
      </c>
      <c r="X4663" s="784">
        <v>3550291584.8645592</v>
      </c>
    </row>
    <row r="4664" spans="1:24">
      <c r="A4664" t="s">
        <v>358</v>
      </c>
      <c r="B4664" t="s">
        <v>594</v>
      </c>
      <c r="C4664" t="s">
        <v>199</v>
      </c>
      <c r="D4664" t="s">
        <v>130</v>
      </c>
      <c r="E4664" t="s">
        <v>377</v>
      </c>
      <c r="F4664" t="s">
        <v>385</v>
      </c>
      <c r="G4664" t="s">
        <v>347</v>
      </c>
      <c r="H4664" t="s">
        <v>749</v>
      </c>
      <c r="I4664" t="s">
        <v>743</v>
      </c>
      <c r="J4664" t="s">
        <v>379</v>
      </c>
      <c r="K4664" t="s">
        <v>546</v>
      </c>
      <c r="L4664" s="784">
        <v>300000</v>
      </c>
      <c r="M4664" t="s">
        <v>745</v>
      </c>
      <c r="N4664" s="784"/>
      <c r="O4664" t="s">
        <v>737</v>
      </c>
      <c r="P4664" t="s">
        <v>1887</v>
      </c>
      <c r="R4664" t="s">
        <v>150</v>
      </c>
      <c r="S4664" t="s">
        <v>145</v>
      </c>
      <c r="U4664">
        <v>0</v>
      </c>
      <c r="V4664" t="s">
        <v>544</v>
      </c>
      <c r="W4664" t="s">
        <v>546</v>
      </c>
      <c r="X4664" s="784">
        <v>1182840319.0410969</v>
      </c>
    </row>
    <row r="4665" spans="1:24">
      <c r="A4665" t="s">
        <v>358</v>
      </c>
      <c r="B4665" t="s">
        <v>595</v>
      </c>
      <c r="C4665" t="s">
        <v>200</v>
      </c>
      <c r="D4665" t="s">
        <v>130</v>
      </c>
      <c r="E4665" t="s">
        <v>377</v>
      </c>
      <c r="F4665" t="s">
        <v>385</v>
      </c>
      <c r="G4665" t="s">
        <v>347</v>
      </c>
      <c r="H4665" t="s">
        <v>749</v>
      </c>
      <c r="I4665" t="s">
        <v>743</v>
      </c>
      <c r="J4665" t="s">
        <v>379</v>
      </c>
      <c r="K4665" t="s">
        <v>546</v>
      </c>
      <c r="L4665" s="784" t="s">
        <v>575</v>
      </c>
      <c r="M4665" t="s">
        <v>745</v>
      </c>
      <c r="N4665" s="784"/>
      <c r="O4665" t="s">
        <v>737</v>
      </c>
      <c r="P4665" t="s">
        <v>1887</v>
      </c>
      <c r="R4665" t="s">
        <v>152</v>
      </c>
      <c r="S4665" t="s">
        <v>146</v>
      </c>
      <c r="U4665">
        <v>0</v>
      </c>
      <c r="V4665" t="s">
        <v>544</v>
      </c>
      <c r="W4665" t="s">
        <v>575</v>
      </c>
      <c r="X4665" s="784">
        <v>81728347.604567245</v>
      </c>
    </row>
    <row r="4666" spans="1:24">
      <c r="A4666" t="s">
        <v>358</v>
      </c>
      <c r="B4666" t="s">
        <v>596</v>
      </c>
      <c r="C4666" t="s">
        <v>201</v>
      </c>
      <c r="D4666" t="s">
        <v>128</v>
      </c>
      <c r="E4666" t="s">
        <v>377</v>
      </c>
      <c r="F4666" t="s">
        <v>385</v>
      </c>
      <c r="G4666" t="s">
        <v>347</v>
      </c>
      <c r="H4666" t="s">
        <v>749</v>
      </c>
      <c r="I4666" t="s">
        <v>743</v>
      </c>
      <c r="J4666" t="s">
        <v>379</v>
      </c>
      <c r="K4666" t="s">
        <v>546</v>
      </c>
      <c r="L4666" s="784">
        <v>0</v>
      </c>
      <c r="M4666" t="s">
        <v>745</v>
      </c>
      <c r="N4666" s="784"/>
      <c r="O4666" t="s">
        <v>737</v>
      </c>
      <c r="P4666" t="s">
        <v>1887</v>
      </c>
      <c r="R4666" t="s">
        <v>148</v>
      </c>
      <c r="S4666" t="s">
        <v>145</v>
      </c>
      <c r="U4666">
        <v>2</v>
      </c>
      <c r="V4666" t="s">
        <v>544</v>
      </c>
      <c r="W4666" t="s">
        <v>546</v>
      </c>
      <c r="X4666" s="784">
        <v>12787914.977715338</v>
      </c>
    </row>
    <row r="4667" spans="1:24">
      <c r="A4667" t="s">
        <v>358</v>
      </c>
      <c r="B4667" t="s">
        <v>597</v>
      </c>
      <c r="C4667" t="s">
        <v>202</v>
      </c>
      <c r="D4667" t="s">
        <v>128</v>
      </c>
      <c r="E4667" t="s">
        <v>377</v>
      </c>
      <c r="F4667" t="s">
        <v>385</v>
      </c>
      <c r="G4667" t="s">
        <v>347</v>
      </c>
      <c r="H4667" t="s">
        <v>749</v>
      </c>
      <c r="I4667" t="s">
        <v>743</v>
      </c>
      <c r="J4667" t="s">
        <v>379</v>
      </c>
      <c r="K4667" t="s">
        <v>546</v>
      </c>
      <c r="L4667" s="784">
        <v>766500</v>
      </c>
      <c r="M4667" t="s">
        <v>745</v>
      </c>
      <c r="N4667" s="784"/>
      <c r="O4667" t="s">
        <v>737</v>
      </c>
      <c r="P4667" t="s">
        <v>1887</v>
      </c>
      <c r="R4667" t="s">
        <v>150</v>
      </c>
      <c r="S4667" t="s">
        <v>145</v>
      </c>
      <c r="U4667">
        <v>2</v>
      </c>
      <c r="V4667" t="s">
        <v>544</v>
      </c>
      <c r="W4667" t="s">
        <v>546</v>
      </c>
      <c r="X4667" s="784">
        <v>101271737.65410839</v>
      </c>
    </row>
    <row r="4668" spans="1:24">
      <c r="A4668" t="s">
        <v>358</v>
      </c>
      <c r="B4668" t="s">
        <v>598</v>
      </c>
      <c r="C4668" t="s">
        <v>203</v>
      </c>
      <c r="D4668" t="s">
        <v>128</v>
      </c>
      <c r="E4668" t="s">
        <v>377</v>
      </c>
      <c r="F4668" t="s">
        <v>385</v>
      </c>
      <c r="G4668" t="s">
        <v>347</v>
      </c>
      <c r="H4668" t="s">
        <v>749</v>
      </c>
      <c r="I4668" t="s">
        <v>743</v>
      </c>
      <c r="J4668" t="s">
        <v>379</v>
      </c>
      <c r="K4668" t="s">
        <v>546</v>
      </c>
      <c r="L4668" s="784">
        <v>2775000</v>
      </c>
      <c r="M4668" t="s">
        <v>745</v>
      </c>
      <c r="N4668" s="784"/>
      <c r="O4668" t="s">
        <v>737</v>
      </c>
      <c r="P4668" t="s">
        <v>1887</v>
      </c>
      <c r="R4668" t="s">
        <v>148</v>
      </c>
      <c r="S4668" t="s">
        <v>145</v>
      </c>
      <c r="U4668">
        <v>3</v>
      </c>
      <c r="V4668" t="s">
        <v>544</v>
      </c>
      <c r="W4668" t="s">
        <v>542</v>
      </c>
      <c r="X4668" s="784">
        <v>618344226.71759331</v>
      </c>
    </row>
    <row r="4669" spans="1:24">
      <c r="A4669" t="s">
        <v>358</v>
      </c>
      <c r="B4669" t="s">
        <v>599</v>
      </c>
      <c r="C4669" t="s">
        <v>204</v>
      </c>
      <c r="D4669" t="s">
        <v>126</v>
      </c>
      <c r="E4669" t="s">
        <v>377</v>
      </c>
      <c r="F4669" t="s">
        <v>385</v>
      </c>
      <c r="G4669" t="s">
        <v>347</v>
      </c>
      <c r="H4669" t="s">
        <v>749</v>
      </c>
      <c r="I4669" t="s">
        <v>743</v>
      </c>
      <c r="J4669" t="s">
        <v>379</v>
      </c>
      <c r="K4669" t="s">
        <v>546</v>
      </c>
      <c r="L4669" s="784">
        <v>400000</v>
      </c>
      <c r="M4669" t="s">
        <v>745</v>
      </c>
      <c r="N4669" s="784"/>
      <c r="O4669" t="s">
        <v>737</v>
      </c>
      <c r="P4669" t="s">
        <v>1887</v>
      </c>
      <c r="R4669" t="s">
        <v>152</v>
      </c>
      <c r="S4669" t="s">
        <v>145</v>
      </c>
      <c r="U4669">
        <v>0</v>
      </c>
      <c r="V4669" t="s">
        <v>541</v>
      </c>
      <c r="W4669" t="s">
        <v>548</v>
      </c>
      <c r="X4669" s="784">
        <v>129483872.95906857</v>
      </c>
    </row>
    <row r="4670" spans="1:24">
      <c r="A4670" t="s">
        <v>358</v>
      </c>
      <c r="B4670" t="s">
        <v>600</v>
      </c>
      <c r="C4670" t="s">
        <v>205</v>
      </c>
      <c r="D4670" t="s">
        <v>129</v>
      </c>
      <c r="E4670" t="s">
        <v>377</v>
      </c>
      <c r="F4670" t="s">
        <v>385</v>
      </c>
      <c r="G4670" t="s">
        <v>347</v>
      </c>
      <c r="H4670" t="s">
        <v>749</v>
      </c>
      <c r="I4670" t="s">
        <v>743</v>
      </c>
      <c r="J4670" t="s">
        <v>379</v>
      </c>
      <c r="K4670" t="s">
        <v>546</v>
      </c>
      <c r="L4670" s="784" t="s">
        <v>575</v>
      </c>
      <c r="M4670" t="s">
        <v>745</v>
      </c>
      <c r="N4670" s="784"/>
      <c r="O4670" t="s">
        <v>737</v>
      </c>
      <c r="P4670" t="s">
        <v>1887</v>
      </c>
      <c r="R4670" t="s">
        <v>152</v>
      </c>
      <c r="S4670" t="s">
        <v>146</v>
      </c>
      <c r="U4670">
        <v>0</v>
      </c>
      <c r="V4670" t="s">
        <v>544</v>
      </c>
      <c r="W4670" t="s">
        <v>546</v>
      </c>
      <c r="X4670" s="784">
        <v>271184658.35014349</v>
      </c>
    </row>
    <row r="4671" spans="1:24">
      <c r="A4671" t="s">
        <v>358</v>
      </c>
      <c r="B4671" t="s">
        <v>601</v>
      </c>
      <c r="C4671" t="s">
        <v>206</v>
      </c>
      <c r="D4671" t="s">
        <v>129</v>
      </c>
      <c r="E4671" t="s">
        <v>377</v>
      </c>
      <c r="F4671" t="s">
        <v>385</v>
      </c>
      <c r="G4671" t="s">
        <v>347</v>
      </c>
      <c r="H4671" t="s">
        <v>749</v>
      </c>
      <c r="I4671" t="s">
        <v>743</v>
      </c>
      <c r="J4671" t="s">
        <v>379</v>
      </c>
      <c r="K4671" t="s">
        <v>546</v>
      </c>
      <c r="L4671" s="784">
        <v>552287</v>
      </c>
      <c r="M4671" t="s">
        <v>745</v>
      </c>
      <c r="N4671" s="784"/>
      <c r="O4671" t="s">
        <v>737</v>
      </c>
      <c r="P4671" t="s">
        <v>1887</v>
      </c>
      <c r="R4671" t="s">
        <v>148</v>
      </c>
      <c r="S4671" t="s">
        <v>145</v>
      </c>
      <c r="U4671">
        <v>0</v>
      </c>
      <c r="V4671" t="s">
        <v>544</v>
      </c>
      <c r="W4671" t="s">
        <v>542</v>
      </c>
      <c r="X4671" s="784">
        <v>15455265.086884515</v>
      </c>
    </row>
    <row r="4672" spans="1:24">
      <c r="A4672" t="s">
        <v>358</v>
      </c>
      <c r="B4672" t="s">
        <v>602</v>
      </c>
      <c r="C4672" t="s">
        <v>207</v>
      </c>
      <c r="D4672" t="s">
        <v>127</v>
      </c>
      <c r="E4672" t="s">
        <v>377</v>
      </c>
      <c r="F4672" t="s">
        <v>385</v>
      </c>
      <c r="G4672" t="s">
        <v>347</v>
      </c>
      <c r="H4672" t="s">
        <v>749</v>
      </c>
      <c r="I4672" t="s">
        <v>743</v>
      </c>
      <c r="J4672" t="s">
        <v>379</v>
      </c>
      <c r="K4672" t="s">
        <v>546</v>
      </c>
      <c r="L4672" s="784">
        <v>200000</v>
      </c>
      <c r="M4672" t="s">
        <v>745</v>
      </c>
      <c r="N4672" s="784"/>
      <c r="O4672" t="s">
        <v>737</v>
      </c>
      <c r="P4672" t="s">
        <v>1887</v>
      </c>
      <c r="R4672" t="s">
        <v>152</v>
      </c>
      <c r="S4672" t="s">
        <v>146</v>
      </c>
      <c r="U4672">
        <v>0</v>
      </c>
      <c r="V4672" t="s">
        <v>544</v>
      </c>
      <c r="W4672" t="s">
        <v>546</v>
      </c>
      <c r="X4672" s="784">
        <v>494021502.525527</v>
      </c>
    </row>
    <row r="4673" spans="1:24">
      <c r="A4673" t="s">
        <v>358</v>
      </c>
      <c r="B4673" t="s">
        <v>603</v>
      </c>
      <c r="C4673" t="s">
        <v>208</v>
      </c>
      <c r="D4673" t="s">
        <v>129</v>
      </c>
      <c r="E4673" t="s">
        <v>377</v>
      </c>
      <c r="F4673" t="s">
        <v>385</v>
      </c>
      <c r="G4673" t="s">
        <v>347</v>
      </c>
      <c r="H4673" t="s">
        <v>749</v>
      </c>
      <c r="I4673" t="s">
        <v>743</v>
      </c>
      <c r="J4673" t="s">
        <v>379</v>
      </c>
      <c r="K4673" t="s">
        <v>546</v>
      </c>
      <c r="L4673" s="784">
        <v>0</v>
      </c>
      <c r="M4673" t="s">
        <v>745</v>
      </c>
      <c r="N4673" s="784"/>
      <c r="O4673" t="s">
        <v>737</v>
      </c>
      <c r="P4673" t="s">
        <v>1887</v>
      </c>
      <c r="R4673" t="s">
        <v>150</v>
      </c>
      <c r="S4673" t="s">
        <v>145</v>
      </c>
      <c r="U4673">
        <v>0</v>
      </c>
      <c r="V4673" t="s">
        <v>544</v>
      </c>
      <c r="W4673" t="s">
        <v>542</v>
      </c>
      <c r="X4673" s="784">
        <v>902005621.73836684</v>
      </c>
    </row>
    <row r="4674" spans="1:24">
      <c r="A4674" t="s">
        <v>358</v>
      </c>
      <c r="B4674" t="s">
        <v>604</v>
      </c>
      <c r="C4674" t="s">
        <v>209</v>
      </c>
      <c r="D4674" t="s">
        <v>130</v>
      </c>
      <c r="E4674" t="s">
        <v>377</v>
      </c>
      <c r="F4674" t="s">
        <v>385</v>
      </c>
      <c r="G4674" t="s">
        <v>347</v>
      </c>
      <c r="H4674" t="s">
        <v>749</v>
      </c>
      <c r="I4674" t="s">
        <v>743</v>
      </c>
      <c r="J4674" t="s">
        <v>379</v>
      </c>
      <c r="K4674" t="s">
        <v>546</v>
      </c>
      <c r="L4674" s="784">
        <v>75000</v>
      </c>
      <c r="M4674" t="s">
        <v>745</v>
      </c>
      <c r="N4674" s="784"/>
      <c r="O4674" t="s">
        <v>737</v>
      </c>
      <c r="P4674" t="s">
        <v>1887</v>
      </c>
      <c r="R4674" t="s">
        <v>152</v>
      </c>
      <c r="S4674" t="s">
        <v>145</v>
      </c>
      <c r="U4674">
        <v>0</v>
      </c>
      <c r="V4674" t="s">
        <v>541</v>
      </c>
      <c r="W4674" t="s">
        <v>583</v>
      </c>
      <c r="X4674" s="784">
        <v>20201670.142996579</v>
      </c>
    </row>
    <row r="4675" spans="1:24">
      <c r="A4675" t="s">
        <v>358</v>
      </c>
      <c r="B4675" t="s">
        <v>605</v>
      </c>
      <c r="C4675" t="s">
        <v>210</v>
      </c>
      <c r="D4675" t="s">
        <v>130</v>
      </c>
      <c r="E4675" t="s">
        <v>377</v>
      </c>
      <c r="F4675" t="s">
        <v>385</v>
      </c>
      <c r="G4675" t="s">
        <v>347</v>
      </c>
      <c r="H4675" t="s">
        <v>749</v>
      </c>
      <c r="I4675" t="s">
        <v>743</v>
      </c>
      <c r="J4675" t="s">
        <v>379</v>
      </c>
      <c r="K4675" t="s">
        <v>546</v>
      </c>
      <c r="L4675" s="784">
        <v>0</v>
      </c>
      <c r="M4675" t="s">
        <v>745</v>
      </c>
      <c r="N4675" s="784"/>
      <c r="O4675" t="s">
        <v>737</v>
      </c>
      <c r="P4675" t="s">
        <v>1887</v>
      </c>
      <c r="R4675" t="s">
        <v>152</v>
      </c>
      <c r="S4675" t="s">
        <v>146</v>
      </c>
      <c r="U4675">
        <v>0</v>
      </c>
      <c r="V4675" t="s">
        <v>544</v>
      </c>
      <c r="W4675" t="s">
        <v>575</v>
      </c>
      <c r="X4675" s="784">
        <v>1612434649.6948864</v>
      </c>
    </row>
    <row r="4676" spans="1:24">
      <c r="A4676" t="s">
        <v>358</v>
      </c>
      <c r="B4676" t="s">
        <v>606</v>
      </c>
      <c r="C4676" t="s">
        <v>211</v>
      </c>
      <c r="D4676" t="s">
        <v>129</v>
      </c>
      <c r="E4676" t="s">
        <v>377</v>
      </c>
      <c r="F4676" t="s">
        <v>385</v>
      </c>
      <c r="G4676" t="s">
        <v>347</v>
      </c>
      <c r="H4676" t="s">
        <v>749</v>
      </c>
      <c r="I4676" t="s">
        <v>743</v>
      </c>
      <c r="J4676" t="s">
        <v>379</v>
      </c>
      <c r="K4676" t="s">
        <v>546</v>
      </c>
      <c r="L4676" s="784">
        <v>378110</v>
      </c>
      <c r="M4676" t="s">
        <v>745</v>
      </c>
      <c r="N4676" s="784"/>
      <c r="O4676" t="s">
        <v>737</v>
      </c>
      <c r="P4676" t="s">
        <v>1887</v>
      </c>
      <c r="R4676" t="s">
        <v>148</v>
      </c>
      <c r="S4676" t="s">
        <v>145</v>
      </c>
      <c r="U4676">
        <v>0</v>
      </c>
      <c r="V4676" t="s">
        <v>544</v>
      </c>
      <c r="W4676" t="s">
        <v>562</v>
      </c>
      <c r="X4676" s="784">
        <v>78203134.118229344</v>
      </c>
    </row>
    <row r="4677" spans="1:24">
      <c r="A4677" t="s">
        <v>358</v>
      </c>
      <c r="B4677" t="s">
        <v>607</v>
      </c>
      <c r="C4677" t="s">
        <v>212</v>
      </c>
      <c r="D4677" t="s">
        <v>129</v>
      </c>
      <c r="E4677" t="s">
        <v>377</v>
      </c>
      <c r="F4677" t="s">
        <v>385</v>
      </c>
      <c r="G4677" t="s">
        <v>347</v>
      </c>
      <c r="H4677" t="s">
        <v>749</v>
      </c>
      <c r="I4677" t="s">
        <v>743</v>
      </c>
      <c r="J4677" t="s">
        <v>379</v>
      </c>
      <c r="K4677" t="s">
        <v>546</v>
      </c>
      <c r="L4677" s="784">
        <v>225847</v>
      </c>
      <c r="M4677" t="s">
        <v>745</v>
      </c>
      <c r="N4677" s="784"/>
      <c r="O4677" t="s">
        <v>737</v>
      </c>
      <c r="P4677" t="s">
        <v>1887</v>
      </c>
      <c r="R4677" t="s">
        <v>148</v>
      </c>
      <c r="S4677" t="s">
        <v>145</v>
      </c>
      <c r="U4677">
        <v>2</v>
      </c>
      <c r="V4677" t="s">
        <v>541</v>
      </c>
      <c r="W4677" t="s">
        <v>542</v>
      </c>
      <c r="X4677" s="784">
        <v>9151637.7411015611</v>
      </c>
    </row>
    <row r="4678" spans="1:24">
      <c r="A4678" t="s">
        <v>358</v>
      </c>
      <c r="B4678" t="s">
        <v>608</v>
      </c>
      <c r="C4678" t="s">
        <v>213</v>
      </c>
      <c r="D4678" t="s">
        <v>130</v>
      </c>
      <c r="E4678" t="s">
        <v>377</v>
      </c>
      <c r="F4678" t="s">
        <v>385</v>
      </c>
      <c r="G4678" t="s">
        <v>347</v>
      </c>
      <c r="H4678" t="s">
        <v>749</v>
      </c>
      <c r="I4678" t="s">
        <v>743</v>
      </c>
      <c r="J4678" t="s">
        <v>379</v>
      </c>
      <c r="K4678" t="s">
        <v>546</v>
      </c>
      <c r="L4678" s="784">
        <v>100000</v>
      </c>
      <c r="M4678" t="s">
        <v>745</v>
      </c>
      <c r="N4678" s="784"/>
      <c r="O4678" t="s">
        <v>737</v>
      </c>
      <c r="P4678" t="s">
        <v>1887</v>
      </c>
      <c r="R4678" t="s">
        <v>152</v>
      </c>
      <c r="S4678" t="s">
        <v>145</v>
      </c>
      <c r="U4678">
        <v>0</v>
      </c>
      <c r="V4678" t="s">
        <v>541</v>
      </c>
      <c r="W4678" t="s">
        <v>562</v>
      </c>
      <c r="X4678" s="784">
        <v>142455920.02856269</v>
      </c>
    </row>
    <row r="4679" spans="1:24">
      <c r="A4679" t="s">
        <v>358</v>
      </c>
      <c r="B4679" t="s">
        <v>609</v>
      </c>
      <c r="C4679" t="s">
        <v>214</v>
      </c>
      <c r="D4679" t="s">
        <v>130</v>
      </c>
      <c r="E4679" t="s">
        <v>377</v>
      </c>
      <c r="F4679" t="s">
        <v>385</v>
      </c>
      <c r="G4679" t="s">
        <v>347</v>
      </c>
      <c r="H4679" t="s">
        <v>749</v>
      </c>
      <c r="I4679" t="s">
        <v>743</v>
      </c>
      <c r="J4679" t="s">
        <v>379</v>
      </c>
      <c r="K4679" t="s">
        <v>546</v>
      </c>
      <c r="L4679" s="784">
        <v>1500000</v>
      </c>
      <c r="M4679" t="s">
        <v>745</v>
      </c>
      <c r="N4679" s="784"/>
      <c r="O4679" t="s">
        <v>737</v>
      </c>
      <c r="P4679" t="s">
        <v>1887</v>
      </c>
      <c r="R4679" t="s">
        <v>150</v>
      </c>
      <c r="S4679" t="s">
        <v>145</v>
      </c>
      <c r="U4679">
        <v>1</v>
      </c>
      <c r="V4679" t="s">
        <v>541</v>
      </c>
      <c r="W4679" t="s">
        <v>542</v>
      </c>
      <c r="X4679" s="784">
        <v>85611818.171245083</v>
      </c>
    </row>
    <row r="4680" spans="1:24">
      <c r="A4680" t="s">
        <v>358</v>
      </c>
      <c r="B4680" t="s">
        <v>610</v>
      </c>
      <c r="C4680" t="s">
        <v>215</v>
      </c>
      <c r="D4680" t="s">
        <v>130</v>
      </c>
      <c r="E4680" t="s">
        <v>377</v>
      </c>
      <c r="F4680" t="s">
        <v>385</v>
      </c>
      <c r="G4680" t="s">
        <v>347</v>
      </c>
      <c r="H4680" t="s">
        <v>749</v>
      </c>
      <c r="I4680" t="s">
        <v>743</v>
      </c>
      <c r="J4680" t="s">
        <v>379</v>
      </c>
      <c r="K4680" t="s">
        <v>546</v>
      </c>
      <c r="L4680" s="784">
        <v>300000</v>
      </c>
      <c r="M4680" t="s">
        <v>745</v>
      </c>
      <c r="N4680" s="784"/>
      <c r="O4680" t="s">
        <v>737</v>
      </c>
      <c r="P4680" t="s">
        <v>1887</v>
      </c>
      <c r="R4680" t="s">
        <v>150</v>
      </c>
      <c r="S4680" t="s">
        <v>145</v>
      </c>
      <c r="U4680">
        <v>0</v>
      </c>
      <c r="V4680" t="s">
        <v>544</v>
      </c>
      <c r="W4680" t="s">
        <v>558</v>
      </c>
      <c r="X4680" s="784">
        <v>680289736.30082119</v>
      </c>
    </row>
    <row r="4681" spans="1:24">
      <c r="A4681" t="s">
        <v>358</v>
      </c>
      <c r="B4681" t="s">
        <v>611</v>
      </c>
      <c r="C4681" t="s">
        <v>216</v>
      </c>
      <c r="D4681" t="s">
        <v>132</v>
      </c>
      <c r="E4681" t="s">
        <v>377</v>
      </c>
      <c r="F4681" t="s">
        <v>385</v>
      </c>
      <c r="G4681" t="s">
        <v>347</v>
      </c>
      <c r="H4681" t="s">
        <v>749</v>
      </c>
      <c r="I4681" t="s">
        <v>743</v>
      </c>
      <c r="J4681" t="s">
        <v>379</v>
      </c>
      <c r="K4681" t="s">
        <v>546</v>
      </c>
      <c r="L4681" s="784">
        <v>12694456</v>
      </c>
      <c r="M4681" t="s">
        <v>745</v>
      </c>
      <c r="N4681" s="784"/>
      <c r="O4681" t="s">
        <v>737</v>
      </c>
      <c r="P4681" t="s">
        <v>1887</v>
      </c>
      <c r="R4681" t="s">
        <v>150</v>
      </c>
      <c r="S4681" t="s">
        <v>145</v>
      </c>
      <c r="U4681">
        <v>0</v>
      </c>
      <c r="V4681" t="s">
        <v>544</v>
      </c>
      <c r="W4681" t="s">
        <v>546</v>
      </c>
      <c r="X4681" s="784">
        <v>26554332750.47023</v>
      </c>
    </row>
    <row r="4682" spans="1:24">
      <c r="A4682" t="s">
        <v>358</v>
      </c>
      <c r="B4682" t="s">
        <v>612</v>
      </c>
      <c r="C4682" t="s">
        <v>217</v>
      </c>
      <c r="D4682" t="s">
        <v>126</v>
      </c>
      <c r="E4682" t="s">
        <v>377</v>
      </c>
      <c r="F4682" t="s">
        <v>385</v>
      </c>
      <c r="G4682" t="s">
        <v>347</v>
      </c>
      <c r="H4682" t="s">
        <v>749</v>
      </c>
      <c r="I4682" t="s">
        <v>743</v>
      </c>
      <c r="J4682" t="s">
        <v>379</v>
      </c>
      <c r="K4682" t="s">
        <v>546</v>
      </c>
      <c r="L4682" s="784">
        <v>0</v>
      </c>
      <c r="M4682" t="s">
        <v>745</v>
      </c>
      <c r="N4682" s="784"/>
      <c r="O4682" t="s">
        <v>737</v>
      </c>
      <c r="P4682" t="s">
        <v>1887</v>
      </c>
      <c r="R4682" t="s">
        <v>150</v>
      </c>
      <c r="S4682" t="s">
        <v>145</v>
      </c>
      <c r="U4682">
        <v>0</v>
      </c>
      <c r="V4682" t="s">
        <v>544</v>
      </c>
      <c r="W4682" t="s">
        <v>546</v>
      </c>
      <c r="X4682" s="784">
        <v>14745961064.890842</v>
      </c>
    </row>
    <row r="4683" spans="1:24">
      <c r="A4683" t="s">
        <v>358</v>
      </c>
      <c r="B4683" t="s">
        <v>613</v>
      </c>
      <c r="C4683" t="s">
        <v>149</v>
      </c>
      <c r="D4683" t="s">
        <v>131</v>
      </c>
      <c r="E4683" t="s">
        <v>377</v>
      </c>
      <c r="F4683" t="s">
        <v>385</v>
      </c>
      <c r="G4683" t="s">
        <v>347</v>
      </c>
      <c r="H4683" t="s">
        <v>749</v>
      </c>
      <c r="I4683" t="s">
        <v>743</v>
      </c>
      <c r="J4683" t="s">
        <v>379</v>
      </c>
      <c r="K4683" t="s">
        <v>546</v>
      </c>
      <c r="L4683" s="784">
        <v>2428858</v>
      </c>
      <c r="M4683" t="s">
        <v>745</v>
      </c>
      <c r="N4683" s="784"/>
      <c r="O4683" t="s">
        <v>737</v>
      </c>
      <c r="P4683" t="s">
        <v>1887</v>
      </c>
      <c r="R4683" t="s">
        <v>150</v>
      </c>
      <c r="S4683" t="s">
        <v>146</v>
      </c>
      <c r="U4683">
        <v>0</v>
      </c>
      <c r="V4683" t="s">
        <v>544</v>
      </c>
      <c r="W4683" t="s">
        <v>546</v>
      </c>
      <c r="X4683" s="784">
        <v>18194076299.786381</v>
      </c>
    </row>
    <row r="4684" spans="1:24">
      <c r="A4684" t="s">
        <v>358</v>
      </c>
      <c r="B4684" t="s">
        <v>614</v>
      </c>
      <c r="C4684" t="s">
        <v>218</v>
      </c>
      <c r="D4684" t="s">
        <v>131</v>
      </c>
      <c r="E4684" t="s">
        <v>377</v>
      </c>
      <c r="F4684" t="s">
        <v>385</v>
      </c>
      <c r="G4684" t="s">
        <v>347</v>
      </c>
      <c r="H4684" t="s">
        <v>749</v>
      </c>
      <c r="I4684" t="s">
        <v>743</v>
      </c>
      <c r="J4684" t="s">
        <v>379</v>
      </c>
      <c r="K4684" t="s">
        <v>546</v>
      </c>
      <c r="L4684" s="784">
        <v>5799334</v>
      </c>
      <c r="M4684" t="s">
        <v>745</v>
      </c>
      <c r="N4684" s="784"/>
      <c r="O4684" t="s">
        <v>737</v>
      </c>
      <c r="P4684" t="s">
        <v>1887</v>
      </c>
      <c r="R4684" t="s">
        <v>152</v>
      </c>
      <c r="S4684" t="s">
        <v>146</v>
      </c>
      <c r="U4684">
        <v>0</v>
      </c>
      <c r="V4684" t="s">
        <v>544</v>
      </c>
      <c r="W4684" t="s">
        <v>546</v>
      </c>
      <c r="X4684" s="784">
        <v>4428819387.769825</v>
      </c>
    </row>
    <row r="4685" spans="1:24">
      <c r="A4685" t="s">
        <v>358</v>
      </c>
      <c r="B4685" t="s">
        <v>615</v>
      </c>
      <c r="C4685" t="s">
        <v>219</v>
      </c>
      <c r="D4685" t="s">
        <v>130</v>
      </c>
      <c r="E4685" t="s">
        <v>377</v>
      </c>
      <c r="F4685" t="s">
        <v>385</v>
      </c>
      <c r="G4685" t="s">
        <v>347</v>
      </c>
      <c r="H4685" t="s">
        <v>749</v>
      </c>
      <c r="I4685" t="s">
        <v>743</v>
      </c>
      <c r="J4685" t="s">
        <v>379</v>
      </c>
      <c r="K4685" t="s">
        <v>546</v>
      </c>
      <c r="L4685" s="784">
        <v>0</v>
      </c>
      <c r="M4685" t="s">
        <v>745</v>
      </c>
      <c r="N4685" s="784"/>
      <c r="O4685" t="s">
        <v>737</v>
      </c>
      <c r="P4685" t="s">
        <v>1887</v>
      </c>
      <c r="R4685" t="s">
        <v>152</v>
      </c>
      <c r="S4685" t="s">
        <v>146</v>
      </c>
      <c r="U4685">
        <v>0</v>
      </c>
      <c r="V4685" t="s">
        <v>541</v>
      </c>
      <c r="W4685" t="s">
        <v>575</v>
      </c>
      <c r="X4685" s="784">
        <v>611739560.62679195</v>
      </c>
    </row>
    <row r="4686" spans="1:24">
      <c r="A4686" t="s">
        <v>358</v>
      </c>
      <c r="B4686" t="s">
        <v>616</v>
      </c>
      <c r="C4686" t="s">
        <v>220</v>
      </c>
      <c r="D4686" t="s">
        <v>131</v>
      </c>
      <c r="E4686" t="s">
        <v>377</v>
      </c>
      <c r="F4686" t="s">
        <v>385</v>
      </c>
      <c r="G4686" t="s">
        <v>347</v>
      </c>
      <c r="H4686" t="s">
        <v>749</v>
      </c>
      <c r="I4686" t="s">
        <v>743</v>
      </c>
      <c r="J4686" t="s">
        <v>379</v>
      </c>
      <c r="K4686" t="s">
        <v>546</v>
      </c>
      <c r="L4686" s="784">
        <v>1423400</v>
      </c>
      <c r="M4686" t="s">
        <v>745</v>
      </c>
      <c r="N4686" s="784"/>
      <c r="O4686" t="s">
        <v>737</v>
      </c>
      <c r="P4686" t="s">
        <v>1887</v>
      </c>
      <c r="R4686" t="s">
        <v>152</v>
      </c>
      <c r="S4686" t="s">
        <v>146</v>
      </c>
      <c r="U4686">
        <v>0</v>
      </c>
      <c r="V4686" t="s">
        <v>544</v>
      </c>
      <c r="W4686" t="s">
        <v>546</v>
      </c>
      <c r="X4686" s="784">
        <v>1617913383.0481031</v>
      </c>
    </row>
    <row r="4687" spans="1:24">
      <c r="A4687" t="s">
        <v>358</v>
      </c>
      <c r="B4687" t="s">
        <v>617</v>
      </c>
      <c r="C4687" t="s">
        <v>221</v>
      </c>
      <c r="D4687" t="s">
        <v>127</v>
      </c>
      <c r="E4687" t="s">
        <v>377</v>
      </c>
      <c r="F4687" t="s">
        <v>385</v>
      </c>
      <c r="G4687" t="s">
        <v>347</v>
      </c>
      <c r="H4687" t="s">
        <v>749</v>
      </c>
      <c r="I4687" t="s">
        <v>743</v>
      </c>
      <c r="J4687" t="s">
        <v>379</v>
      </c>
      <c r="K4687" t="s">
        <v>546</v>
      </c>
      <c r="L4687" s="784">
        <v>50000</v>
      </c>
      <c r="M4687" t="s">
        <v>745</v>
      </c>
      <c r="N4687" s="784"/>
      <c r="O4687" t="s">
        <v>737</v>
      </c>
      <c r="P4687" t="s">
        <v>1887</v>
      </c>
      <c r="R4687" t="s">
        <v>152</v>
      </c>
      <c r="S4687" t="s">
        <v>146</v>
      </c>
      <c r="U4687">
        <v>0</v>
      </c>
      <c r="V4687" t="s">
        <v>544</v>
      </c>
      <c r="W4687" t="s">
        <v>575</v>
      </c>
      <c r="X4687" s="784">
        <v>3074419112.4562683</v>
      </c>
    </row>
    <row r="4688" spans="1:24">
      <c r="A4688" t="s">
        <v>358</v>
      </c>
      <c r="B4688" t="s">
        <v>618</v>
      </c>
      <c r="C4688" t="s">
        <v>222</v>
      </c>
      <c r="D4688" t="s">
        <v>128</v>
      </c>
      <c r="E4688" t="s">
        <v>377</v>
      </c>
      <c r="F4688" t="s">
        <v>385</v>
      </c>
      <c r="G4688" t="s">
        <v>347</v>
      </c>
      <c r="H4688" t="s">
        <v>749</v>
      </c>
      <c r="I4688" t="s">
        <v>743</v>
      </c>
      <c r="J4688" t="s">
        <v>379</v>
      </c>
      <c r="K4688" t="s">
        <v>546</v>
      </c>
      <c r="L4688" s="784">
        <v>500000</v>
      </c>
      <c r="M4688" t="s">
        <v>745</v>
      </c>
      <c r="N4688" s="784"/>
      <c r="O4688" t="s">
        <v>737</v>
      </c>
      <c r="P4688" t="s">
        <v>1887</v>
      </c>
      <c r="R4688" t="s">
        <v>150</v>
      </c>
      <c r="S4688" t="s">
        <v>145</v>
      </c>
      <c r="U4688">
        <v>0</v>
      </c>
      <c r="V4688" t="s">
        <v>544</v>
      </c>
      <c r="W4688" t="s">
        <v>542</v>
      </c>
      <c r="X4688" s="784">
        <v>1914014279.8929913</v>
      </c>
    </row>
    <row r="4689" spans="1:24">
      <c r="A4689" t="s">
        <v>358</v>
      </c>
      <c r="B4689" t="s">
        <v>619</v>
      </c>
      <c r="C4689" t="s">
        <v>223</v>
      </c>
      <c r="D4689" t="s">
        <v>126</v>
      </c>
      <c r="E4689" t="s">
        <v>377</v>
      </c>
      <c r="F4689" t="s">
        <v>385</v>
      </c>
      <c r="G4689" t="s">
        <v>347</v>
      </c>
      <c r="H4689" t="s">
        <v>749</v>
      </c>
      <c r="I4689" t="s">
        <v>743</v>
      </c>
      <c r="J4689" t="s">
        <v>379</v>
      </c>
      <c r="K4689" t="s">
        <v>546</v>
      </c>
      <c r="L4689" s="784">
        <v>0</v>
      </c>
      <c r="M4689" t="s">
        <v>745</v>
      </c>
      <c r="N4689" s="784"/>
      <c r="O4689" t="s">
        <v>737</v>
      </c>
      <c r="P4689" t="s">
        <v>1887</v>
      </c>
      <c r="R4689" t="s">
        <v>150</v>
      </c>
      <c r="S4689" t="s">
        <v>145</v>
      </c>
      <c r="U4689">
        <v>0</v>
      </c>
      <c r="V4689" t="s">
        <v>541</v>
      </c>
      <c r="W4689" t="s">
        <v>542</v>
      </c>
      <c r="X4689" s="784">
        <v>17422005.762907442</v>
      </c>
    </row>
    <row r="4690" spans="1:24">
      <c r="A4690" t="s">
        <v>358</v>
      </c>
      <c r="B4690" t="s">
        <v>620</v>
      </c>
      <c r="C4690" t="s">
        <v>224</v>
      </c>
      <c r="D4690" t="s">
        <v>126</v>
      </c>
      <c r="E4690" t="s">
        <v>377</v>
      </c>
      <c r="F4690" t="s">
        <v>385</v>
      </c>
      <c r="G4690" t="s">
        <v>347</v>
      </c>
      <c r="H4690" t="s">
        <v>749</v>
      </c>
      <c r="I4690" t="s">
        <v>743</v>
      </c>
      <c r="J4690" t="s">
        <v>379</v>
      </c>
      <c r="K4690" t="s">
        <v>546</v>
      </c>
      <c r="L4690" s="784">
        <v>0</v>
      </c>
      <c r="M4690" t="s">
        <v>745</v>
      </c>
      <c r="N4690" s="784"/>
      <c r="O4690" t="s">
        <v>737</v>
      </c>
      <c r="P4690" t="s">
        <v>1887</v>
      </c>
      <c r="R4690" t="s">
        <v>148</v>
      </c>
      <c r="S4690" t="s">
        <v>145</v>
      </c>
      <c r="U4690">
        <v>0</v>
      </c>
      <c r="V4690" t="s">
        <v>544</v>
      </c>
      <c r="W4690" t="s">
        <v>546</v>
      </c>
      <c r="X4690" s="784" t="s">
        <v>575</v>
      </c>
    </row>
    <row r="4691" spans="1:24">
      <c r="A4691" t="s">
        <v>358</v>
      </c>
      <c r="B4691" t="s">
        <v>621</v>
      </c>
      <c r="C4691" t="s">
        <v>225</v>
      </c>
      <c r="D4691" t="s">
        <v>127</v>
      </c>
      <c r="E4691" t="s">
        <v>377</v>
      </c>
      <c r="F4691" t="s">
        <v>385</v>
      </c>
      <c r="G4691" t="s">
        <v>347</v>
      </c>
      <c r="H4691" t="s">
        <v>749</v>
      </c>
      <c r="I4691" t="s">
        <v>743</v>
      </c>
      <c r="J4691" t="s">
        <v>379</v>
      </c>
      <c r="K4691" t="s">
        <v>546</v>
      </c>
      <c r="L4691" s="784">
        <v>619000</v>
      </c>
      <c r="M4691" t="s">
        <v>745</v>
      </c>
      <c r="N4691" s="784"/>
      <c r="O4691" t="s">
        <v>737</v>
      </c>
      <c r="P4691" t="s">
        <v>1887</v>
      </c>
      <c r="R4691" t="s">
        <v>152</v>
      </c>
      <c r="S4691" t="s">
        <v>145</v>
      </c>
      <c r="U4691">
        <v>0</v>
      </c>
      <c r="V4691" t="s">
        <v>544</v>
      </c>
      <c r="W4691" t="s">
        <v>548</v>
      </c>
      <c r="X4691" s="784" t="s">
        <v>575</v>
      </c>
    </row>
    <row r="4692" spans="1:24">
      <c r="A4692" t="s">
        <v>358</v>
      </c>
      <c r="B4692" t="s">
        <v>622</v>
      </c>
      <c r="C4692" t="s">
        <v>226</v>
      </c>
      <c r="D4692" t="s">
        <v>127</v>
      </c>
      <c r="E4692" t="s">
        <v>377</v>
      </c>
      <c r="F4692" t="s">
        <v>385</v>
      </c>
      <c r="G4692" t="s">
        <v>347</v>
      </c>
      <c r="H4692" t="s">
        <v>749</v>
      </c>
      <c r="I4692" t="s">
        <v>743</v>
      </c>
      <c r="J4692" t="s">
        <v>379</v>
      </c>
      <c r="K4692" t="s">
        <v>546</v>
      </c>
      <c r="L4692" s="784">
        <v>1220000</v>
      </c>
      <c r="M4692" t="s">
        <v>745</v>
      </c>
      <c r="N4692" s="784"/>
      <c r="O4692" t="s">
        <v>737</v>
      </c>
      <c r="P4692" t="s">
        <v>1887</v>
      </c>
      <c r="R4692" t="s">
        <v>150</v>
      </c>
      <c r="S4692" t="s">
        <v>145</v>
      </c>
      <c r="U4692">
        <v>2</v>
      </c>
      <c r="V4692" t="s">
        <v>544</v>
      </c>
      <c r="W4692" t="s">
        <v>562</v>
      </c>
      <c r="X4692" s="784">
        <v>231506834.84347546</v>
      </c>
    </row>
    <row r="4693" spans="1:24">
      <c r="A4693" t="s">
        <v>358</v>
      </c>
      <c r="B4693" t="s">
        <v>623</v>
      </c>
      <c r="C4693" t="s">
        <v>227</v>
      </c>
      <c r="D4693" t="s">
        <v>126</v>
      </c>
      <c r="E4693" t="s">
        <v>377</v>
      </c>
      <c r="F4693" t="s">
        <v>385</v>
      </c>
      <c r="G4693" t="s">
        <v>347</v>
      </c>
      <c r="H4693" t="s">
        <v>749</v>
      </c>
      <c r="I4693" t="s">
        <v>743</v>
      </c>
      <c r="J4693" t="s">
        <v>379</v>
      </c>
      <c r="K4693" t="s">
        <v>546</v>
      </c>
      <c r="L4693" s="784">
        <v>850000</v>
      </c>
      <c r="M4693" t="s">
        <v>745</v>
      </c>
      <c r="N4693" s="784"/>
      <c r="O4693" t="s">
        <v>737</v>
      </c>
      <c r="P4693" t="s">
        <v>1887</v>
      </c>
      <c r="R4693" t="s">
        <v>150</v>
      </c>
      <c r="S4693" t="s">
        <v>145</v>
      </c>
      <c r="U4693">
        <v>0</v>
      </c>
      <c r="V4693" t="s">
        <v>544</v>
      </c>
      <c r="W4693" t="s">
        <v>542</v>
      </c>
      <c r="X4693" s="784">
        <v>156059428.62944782</v>
      </c>
    </row>
    <row r="4694" spans="1:24">
      <c r="A4694" t="s">
        <v>358</v>
      </c>
      <c r="B4694" t="s">
        <v>624</v>
      </c>
      <c r="C4694" t="s">
        <v>228</v>
      </c>
      <c r="D4694" t="s">
        <v>131</v>
      </c>
      <c r="E4694" t="s">
        <v>377</v>
      </c>
      <c r="F4694" t="s">
        <v>385</v>
      </c>
      <c r="G4694" t="s">
        <v>347</v>
      </c>
      <c r="H4694" t="s">
        <v>749</v>
      </c>
      <c r="I4694" t="s">
        <v>743</v>
      </c>
      <c r="J4694" t="s">
        <v>379</v>
      </c>
      <c r="K4694" t="s">
        <v>546</v>
      </c>
      <c r="L4694" s="784">
        <v>8535626</v>
      </c>
      <c r="M4694" t="s">
        <v>745</v>
      </c>
      <c r="N4694" s="784"/>
      <c r="O4694" t="s">
        <v>737</v>
      </c>
      <c r="P4694" t="s">
        <v>1887</v>
      </c>
      <c r="R4694" t="s">
        <v>152</v>
      </c>
      <c r="S4694" t="s">
        <v>146</v>
      </c>
      <c r="U4694">
        <v>0</v>
      </c>
      <c r="V4694" t="s">
        <v>544</v>
      </c>
      <c r="W4694" t="s">
        <v>546</v>
      </c>
      <c r="X4694" s="784">
        <v>2355391507.1635861</v>
      </c>
    </row>
    <row r="4695" spans="1:24">
      <c r="A4695" t="s">
        <v>358</v>
      </c>
      <c r="B4695" t="s">
        <v>625</v>
      </c>
      <c r="C4695" t="s">
        <v>229</v>
      </c>
      <c r="D4695" t="s">
        <v>128</v>
      </c>
      <c r="E4695" t="s">
        <v>377</v>
      </c>
      <c r="F4695" t="s">
        <v>385</v>
      </c>
      <c r="G4695" t="s">
        <v>347</v>
      </c>
      <c r="H4695" t="s">
        <v>749</v>
      </c>
      <c r="I4695" t="s">
        <v>743</v>
      </c>
      <c r="J4695" t="s">
        <v>379</v>
      </c>
      <c r="K4695" t="s">
        <v>546</v>
      </c>
      <c r="L4695" s="784">
        <v>720000</v>
      </c>
      <c r="M4695" t="s">
        <v>745</v>
      </c>
      <c r="N4695" s="784"/>
      <c r="O4695" t="s">
        <v>737</v>
      </c>
      <c r="P4695" t="s">
        <v>1887</v>
      </c>
      <c r="R4695" t="s">
        <v>150</v>
      </c>
      <c r="S4695" t="s">
        <v>145</v>
      </c>
      <c r="U4695">
        <v>0</v>
      </c>
      <c r="V4695" t="s">
        <v>544</v>
      </c>
      <c r="W4695" t="s">
        <v>562</v>
      </c>
      <c r="X4695" s="784">
        <v>152760919.7684873</v>
      </c>
    </row>
    <row r="4696" spans="1:24">
      <c r="A4696" t="s">
        <v>358</v>
      </c>
      <c r="B4696" t="s">
        <v>626</v>
      </c>
      <c r="C4696" t="s">
        <v>230</v>
      </c>
      <c r="D4696" t="s">
        <v>129</v>
      </c>
      <c r="E4696" t="s">
        <v>377</v>
      </c>
      <c r="F4696" t="s">
        <v>385</v>
      </c>
      <c r="G4696" t="s">
        <v>347</v>
      </c>
      <c r="H4696" t="s">
        <v>749</v>
      </c>
      <c r="I4696" t="s">
        <v>743</v>
      </c>
      <c r="J4696" t="s">
        <v>379</v>
      </c>
      <c r="K4696" t="s">
        <v>546</v>
      </c>
      <c r="L4696" s="784">
        <v>586872</v>
      </c>
      <c r="M4696" t="s">
        <v>745</v>
      </c>
      <c r="N4696" s="784"/>
      <c r="O4696" t="s">
        <v>737</v>
      </c>
      <c r="P4696" t="s">
        <v>1887</v>
      </c>
      <c r="R4696" t="s">
        <v>148</v>
      </c>
      <c r="S4696" t="s">
        <v>145</v>
      </c>
      <c r="U4696">
        <v>0</v>
      </c>
      <c r="V4696" t="s">
        <v>544</v>
      </c>
      <c r="W4696" t="s">
        <v>542</v>
      </c>
      <c r="X4696" s="784">
        <v>55072006.864440605</v>
      </c>
    </row>
    <row r="4697" spans="1:24">
      <c r="A4697" t="s">
        <v>358</v>
      </c>
      <c r="B4697" t="s">
        <v>627</v>
      </c>
      <c r="C4697" t="s">
        <v>231</v>
      </c>
      <c r="D4697" t="s">
        <v>131</v>
      </c>
      <c r="E4697" t="s">
        <v>377</v>
      </c>
      <c r="F4697" t="s">
        <v>385</v>
      </c>
      <c r="G4697" t="s">
        <v>347</v>
      </c>
      <c r="H4697" t="s">
        <v>749</v>
      </c>
      <c r="I4697" t="s">
        <v>743</v>
      </c>
      <c r="J4697" t="s">
        <v>379</v>
      </c>
      <c r="K4697" t="s">
        <v>546</v>
      </c>
      <c r="L4697" s="784">
        <v>1000000</v>
      </c>
      <c r="M4697" t="s">
        <v>745</v>
      </c>
      <c r="N4697" s="784"/>
      <c r="O4697" t="s">
        <v>737</v>
      </c>
      <c r="P4697" t="s">
        <v>1887</v>
      </c>
      <c r="R4697" t="s">
        <v>152</v>
      </c>
      <c r="S4697" t="s">
        <v>146</v>
      </c>
      <c r="U4697">
        <v>0</v>
      </c>
      <c r="V4697" t="s">
        <v>544</v>
      </c>
      <c r="W4697" t="s">
        <v>546</v>
      </c>
      <c r="X4697" s="784" t="s">
        <v>575</v>
      </c>
    </row>
    <row r="4698" spans="1:24">
      <c r="A4698" t="s">
        <v>358</v>
      </c>
      <c r="B4698" t="s">
        <v>628</v>
      </c>
      <c r="C4698" t="s">
        <v>232</v>
      </c>
      <c r="D4698" t="s">
        <v>128</v>
      </c>
      <c r="E4698" t="s">
        <v>377</v>
      </c>
      <c r="F4698" t="s">
        <v>385</v>
      </c>
      <c r="G4698" t="s">
        <v>347</v>
      </c>
      <c r="H4698" t="s">
        <v>749</v>
      </c>
      <c r="I4698" t="s">
        <v>743</v>
      </c>
      <c r="J4698" t="s">
        <v>379</v>
      </c>
      <c r="K4698" t="s">
        <v>546</v>
      </c>
      <c r="L4698" s="784">
        <v>1100000</v>
      </c>
      <c r="M4698" t="s">
        <v>745</v>
      </c>
      <c r="N4698" s="784"/>
      <c r="O4698" t="s">
        <v>737</v>
      </c>
      <c r="P4698" t="s">
        <v>1887</v>
      </c>
      <c r="R4698" t="s">
        <v>148</v>
      </c>
      <c r="S4698" t="s">
        <v>145</v>
      </c>
      <c r="U4698">
        <v>2</v>
      </c>
      <c r="V4698" t="s">
        <v>544</v>
      </c>
      <c r="W4698" t="s">
        <v>562</v>
      </c>
      <c r="X4698" s="784">
        <v>206914157.05429548</v>
      </c>
    </row>
    <row r="4699" spans="1:24">
      <c r="A4699" t="s">
        <v>358</v>
      </c>
      <c r="B4699" t="s">
        <v>629</v>
      </c>
      <c r="C4699" t="s">
        <v>233</v>
      </c>
      <c r="D4699" t="s">
        <v>128</v>
      </c>
      <c r="E4699" t="s">
        <v>377</v>
      </c>
      <c r="F4699" t="s">
        <v>385</v>
      </c>
      <c r="G4699" t="s">
        <v>347</v>
      </c>
      <c r="H4699" t="s">
        <v>749</v>
      </c>
      <c r="I4699" t="s">
        <v>743</v>
      </c>
      <c r="J4699" t="s">
        <v>379</v>
      </c>
      <c r="K4699" t="s">
        <v>546</v>
      </c>
      <c r="L4699" s="784">
        <v>1066214</v>
      </c>
      <c r="M4699" t="s">
        <v>745</v>
      </c>
      <c r="N4699" s="784"/>
      <c r="O4699" t="s">
        <v>737</v>
      </c>
      <c r="P4699" t="s">
        <v>1887</v>
      </c>
      <c r="R4699" t="s">
        <v>148</v>
      </c>
      <c r="S4699" t="s">
        <v>145</v>
      </c>
      <c r="U4699">
        <v>2</v>
      </c>
      <c r="V4699" t="s">
        <v>544</v>
      </c>
      <c r="W4699" t="s">
        <v>542</v>
      </c>
      <c r="X4699" s="784">
        <v>185999915.02066413</v>
      </c>
    </row>
    <row r="4700" spans="1:24">
      <c r="A4700" t="s">
        <v>358</v>
      </c>
      <c r="B4700" t="s">
        <v>630</v>
      </c>
      <c r="C4700" t="s">
        <v>234</v>
      </c>
      <c r="D4700" t="s">
        <v>126</v>
      </c>
      <c r="E4700" t="s">
        <v>377</v>
      </c>
      <c r="F4700" t="s">
        <v>385</v>
      </c>
      <c r="G4700" t="s">
        <v>347</v>
      </c>
      <c r="H4700" t="s">
        <v>749</v>
      </c>
      <c r="I4700" t="s">
        <v>743</v>
      </c>
      <c r="J4700" t="s">
        <v>379</v>
      </c>
      <c r="K4700" t="s">
        <v>546</v>
      </c>
      <c r="L4700" s="784" t="s">
        <v>575</v>
      </c>
      <c r="M4700" t="s">
        <v>745</v>
      </c>
      <c r="N4700" s="784"/>
      <c r="O4700" t="s">
        <v>737</v>
      </c>
      <c r="P4700" t="s">
        <v>1887</v>
      </c>
      <c r="R4700" t="s">
        <v>152</v>
      </c>
      <c r="S4700" t="s">
        <v>146</v>
      </c>
      <c r="U4700">
        <v>0</v>
      </c>
      <c r="V4700" t="s">
        <v>544</v>
      </c>
      <c r="W4700" t="s">
        <v>575</v>
      </c>
      <c r="X4700" s="784">
        <v>6893755763.2501726</v>
      </c>
    </row>
    <row r="4701" spans="1:24">
      <c r="A4701" t="s">
        <v>358</v>
      </c>
      <c r="B4701" t="s">
        <v>631</v>
      </c>
      <c r="C4701" t="s">
        <v>235</v>
      </c>
      <c r="D4701" t="s">
        <v>132</v>
      </c>
      <c r="E4701" t="s">
        <v>377</v>
      </c>
      <c r="F4701" t="s">
        <v>385</v>
      </c>
      <c r="G4701" t="s">
        <v>347</v>
      </c>
      <c r="H4701" t="s">
        <v>749</v>
      </c>
      <c r="I4701" t="s">
        <v>743</v>
      </c>
      <c r="J4701" t="s">
        <v>379</v>
      </c>
      <c r="K4701" t="s">
        <v>546</v>
      </c>
      <c r="L4701" s="784">
        <v>77341</v>
      </c>
      <c r="M4701" t="s">
        <v>745</v>
      </c>
      <c r="N4701" s="784"/>
      <c r="O4701" t="s">
        <v>737</v>
      </c>
      <c r="P4701" t="s">
        <v>1887</v>
      </c>
      <c r="R4701" t="s">
        <v>152</v>
      </c>
      <c r="S4701" t="s">
        <v>145</v>
      </c>
      <c r="U4701">
        <v>0</v>
      </c>
      <c r="V4701" t="s">
        <v>541</v>
      </c>
      <c r="W4701" t="s">
        <v>542</v>
      </c>
      <c r="X4701" s="784">
        <v>354560231.58276606</v>
      </c>
    </row>
    <row r="4702" spans="1:24">
      <c r="A4702" t="s">
        <v>358</v>
      </c>
      <c r="B4702" t="s">
        <v>632</v>
      </c>
      <c r="C4702" t="s">
        <v>236</v>
      </c>
      <c r="D4702" t="s">
        <v>129</v>
      </c>
      <c r="E4702" t="s">
        <v>377</v>
      </c>
      <c r="F4702" t="s">
        <v>385</v>
      </c>
      <c r="G4702" t="s">
        <v>347</v>
      </c>
      <c r="H4702" t="s">
        <v>749</v>
      </c>
      <c r="I4702" t="s">
        <v>743</v>
      </c>
      <c r="J4702" t="s">
        <v>379</v>
      </c>
      <c r="K4702" t="s">
        <v>546</v>
      </c>
      <c r="L4702" s="784">
        <v>1802789</v>
      </c>
      <c r="M4702" t="s">
        <v>745</v>
      </c>
      <c r="N4702" s="784"/>
      <c r="O4702" t="s">
        <v>737</v>
      </c>
      <c r="P4702" t="s">
        <v>1887</v>
      </c>
      <c r="R4702" t="s">
        <v>148</v>
      </c>
      <c r="S4702" t="s">
        <v>145</v>
      </c>
      <c r="U4702">
        <v>1</v>
      </c>
      <c r="V4702" t="s">
        <v>544</v>
      </c>
      <c r="W4702" t="s">
        <v>562</v>
      </c>
      <c r="X4702" s="784">
        <v>188169167.56540567</v>
      </c>
    </row>
    <row r="4703" spans="1:24">
      <c r="A4703" t="s">
        <v>358</v>
      </c>
      <c r="B4703" t="s">
        <v>633</v>
      </c>
      <c r="C4703" t="s">
        <v>237</v>
      </c>
      <c r="D4703" t="s">
        <v>126</v>
      </c>
      <c r="E4703" t="s">
        <v>377</v>
      </c>
      <c r="F4703" t="s">
        <v>385</v>
      </c>
      <c r="G4703" t="s">
        <v>347</v>
      </c>
      <c r="H4703" t="s">
        <v>749</v>
      </c>
      <c r="I4703" t="s">
        <v>743</v>
      </c>
      <c r="J4703" t="s">
        <v>379</v>
      </c>
      <c r="K4703" t="s">
        <v>546</v>
      </c>
      <c r="L4703" s="784" t="s">
        <v>575</v>
      </c>
      <c r="M4703" t="s">
        <v>745</v>
      </c>
      <c r="N4703" s="784"/>
      <c r="O4703" t="s">
        <v>737</v>
      </c>
      <c r="P4703" t="s">
        <v>1887</v>
      </c>
      <c r="R4703" t="s">
        <v>152</v>
      </c>
      <c r="S4703" t="s">
        <v>145</v>
      </c>
      <c r="U4703">
        <v>0</v>
      </c>
      <c r="V4703" t="s">
        <v>541</v>
      </c>
      <c r="W4703" t="s">
        <v>575</v>
      </c>
      <c r="X4703" s="784">
        <v>16312106.556340856</v>
      </c>
    </row>
    <row r="4704" spans="1:24">
      <c r="A4704" t="s">
        <v>358</v>
      </c>
      <c r="B4704" t="s">
        <v>634</v>
      </c>
      <c r="C4704" t="s">
        <v>238</v>
      </c>
      <c r="D4704" t="s">
        <v>129</v>
      </c>
      <c r="E4704" t="s">
        <v>377</v>
      </c>
      <c r="F4704" t="s">
        <v>385</v>
      </c>
      <c r="G4704" t="s">
        <v>347</v>
      </c>
      <c r="H4704" t="s">
        <v>749</v>
      </c>
      <c r="I4704" t="s">
        <v>743</v>
      </c>
      <c r="J4704" t="s">
        <v>379</v>
      </c>
      <c r="K4704" t="s">
        <v>546</v>
      </c>
      <c r="L4704" s="784">
        <v>535076</v>
      </c>
      <c r="M4704" t="s">
        <v>745</v>
      </c>
      <c r="N4704" s="784"/>
      <c r="O4704" t="s">
        <v>737</v>
      </c>
      <c r="P4704" t="s">
        <v>1887</v>
      </c>
      <c r="R4704" t="s">
        <v>150</v>
      </c>
      <c r="S4704" t="s">
        <v>145</v>
      </c>
      <c r="U4704">
        <v>2</v>
      </c>
      <c r="V4704" t="s">
        <v>544</v>
      </c>
      <c r="W4704" t="s">
        <v>542</v>
      </c>
      <c r="X4704" s="784">
        <v>86083833.534053758</v>
      </c>
    </row>
    <row r="4705" spans="1:24">
      <c r="A4705" t="s">
        <v>358</v>
      </c>
      <c r="B4705" t="s">
        <v>635</v>
      </c>
      <c r="C4705" t="s">
        <v>239</v>
      </c>
      <c r="D4705" t="s">
        <v>128</v>
      </c>
      <c r="E4705" t="s">
        <v>377</v>
      </c>
      <c r="F4705" t="s">
        <v>385</v>
      </c>
      <c r="G4705" t="s">
        <v>347</v>
      </c>
      <c r="H4705" t="s">
        <v>749</v>
      </c>
      <c r="I4705" t="s">
        <v>743</v>
      </c>
      <c r="J4705" t="s">
        <v>379</v>
      </c>
      <c r="K4705" t="s">
        <v>546</v>
      </c>
      <c r="L4705" s="784" t="s">
        <v>575</v>
      </c>
      <c r="M4705" t="s">
        <v>745</v>
      </c>
      <c r="N4705" s="784"/>
      <c r="O4705" t="s">
        <v>737</v>
      </c>
      <c r="P4705" t="s">
        <v>1887</v>
      </c>
      <c r="R4705" t="s">
        <v>152</v>
      </c>
      <c r="S4705" t="s">
        <v>146</v>
      </c>
      <c r="U4705">
        <v>0</v>
      </c>
      <c r="V4705" t="s">
        <v>541</v>
      </c>
      <c r="W4705" t="s">
        <v>546</v>
      </c>
      <c r="X4705" s="784">
        <v>357220835.93762809</v>
      </c>
    </row>
    <row r="4706" spans="1:24">
      <c r="A4706" t="s">
        <v>358</v>
      </c>
      <c r="B4706" t="s">
        <v>636</v>
      </c>
      <c r="C4706" t="s">
        <v>240</v>
      </c>
      <c r="D4706" t="s">
        <v>130</v>
      </c>
      <c r="E4706" t="s">
        <v>377</v>
      </c>
      <c r="F4706" t="s">
        <v>385</v>
      </c>
      <c r="G4706" t="s">
        <v>347</v>
      </c>
      <c r="H4706" t="s">
        <v>749</v>
      </c>
      <c r="I4706" t="s">
        <v>743</v>
      </c>
      <c r="J4706" t="s">
        <v>379</v>
      </c>
      <c r="K4706" t="s">
        <v>546</v>
      </c>
      <c r="L4706" s="784">
        <v>0</v>
      </c>
      <c r="M4706" t="s">
        <v>745</v>
      </c>
      <c r="N4706" s="784"/>
      <c r="O4706" t="s">
        <v>737</v>
      </c>
      <c r="P4706" t="s">
        <v>1887</v>
      </c>
      <c r="R4706" t="s">
        <v>152</v>
      </c>
      <c r="S4706" t="s">
        <v>146</v>
      </c>
      <c r="U4706">
        <v>0</v>
      </c>
      <c r="V4706" t="s">
        <v>544</v>
      </c>
      <c r="W4706" t="s">
        <v>575</v>
      </c>
      <c r="X4706" s="784">
        <v>32831598153.796387</v>
      </c>
    </row>
    <row r="4707" spans="1:24">
      <c r="A4707" t="s">
        <v>358</v>
      </c>
      <c r="B4707" t="s">
        <v>637</v>
      </c>
      <c r="C4707" t="s">
        <v>241</v>
      </c>
      <c r="D4707" t="s">
        <v>126</v>
      </c>
      <c r="E4707" t="s">
        <v>377</v>
      </c>
      <c r="F4707" t="s">
        <v>385</v>
      </c>
      <c r="G4707" t="s">
        <v>347</v>
      </c>
      <c r="H4707" t="s">
        <v>749</v>
      </c>
      <c r="I4707" t="s">
        <v>743</v>
      </c>
      <c r="J4707" t="s">
        <v>379</v>
      </c>
      <c r="K4707" t="s">
        <v>546</v>
      </c>
      <c r="L4707" s="784">
        <v>0</v>
      </c>
      <c r="M4707" t="s">
        <v>745</v>
      </c>
      <c r="N4707" s="784"/>
      <c r="O4707" t="s">
        <v>737</v>
      </c>
      <c r="P4707" t="s">
        <v>1887</v>
      </c>
      <c r="R4707" t="s">
        <v>150</v>
      </c>
      <c r="S4707" t="s">
        <v>145</v>
      </c>
      <c r="U4707">
        <v>0</v>
      </c>
      <c r="V4707" t="s">
        <v>541</v>
      </c>
      <c r="W4707" t="s">
        <v>542</v>
      </c>
      <c r="X4707" s="784">
        <v>12329056.093798399</v>
      </c>
    </row>
    <row r="4708" spans="1:24">
      <c r="A4708" t="s">
        <v>358</v>
      </c>
      <c r="B4708" t="s">
        <v>638</v>
      </c>
      <c r="C4708" t="s">
        <v>242</v>
      </c>
      <c r="D4708" t="s">
        <v>127</v>
      </c>
      <c r="E4708" t="s">
        <v>377</v>
      </c>
      <c r="F4708" t="s">
        <v>385</v>
      </c>
      <c r="G4708" t="s">
        <v>347</v>
      </c>
      <c r="H4708" t="s">
        <v>749</v>
      </c>
      <c r="I4708" t="s">
        <v>743</v>
      </c>
      <c r="J4708" t="s">
        <v>379</v>
      </c>
      <c r="K4708" t="s">
        <v>546</v>
      </c>
      <c r="L4708" s="784">
        <v>672500</v>
      </c>
      <c r="M4708" t="s">
        <v>745</v>
      </c>
      <c r="N4708" s="784"/>
      <c r="O4708" t="s">
        <v>737</v>
      </c>
      <c r="P4708" t="s">
        <v>1887</v>
      </c>
      <c r="R4708" t="s">
        <v>152</v>
      </c>
      <c r="S4708" t="s">
        <v>145</v>
      </c>
      <c r="U4708">
        <v>0</v>
      </c>
      <c r="V4708" t="s">
        <v>544</v>
      </c>
      <c r="W4708" t="s">
        <v>558</v>
      </c>
      <c r="X4708" s="784">
        <v>426639742.85328001</v>
      </c>
    </row>
    <row r="4709" spans="1:24">
      <c r="A4709" t="s">
        <v>358</v>
      </c>
      <c r="B4709" t="s">
        <v>639</v>
      </c>
      <c r="C4709" t="s">
        <v>243</v>
      </c>
      <c r="D4709" t="s">
        <v>126</v>
      </c>
      <c r="E4709" t="s">
        <v>377</v>
      </c>
      <c r="F4709" t="s">
        <v>385</v>
      </c>
      <c r="G4709" t="s">
        <v>347</v>
      </c>
      <c r="H4709" t="s">
        <v>749</v>
      </c>
      <c r="I4709" t="s">
        <v>743</v>
      </c>
      <c r="J4709" t="s">
        <v>379</v>
      </c>
      <c r="K4709" t="s">
        <v>546</v>
      </c>
      <c r="L4709" s="784">
        <v>0</v>
      </c>
      <c r="M4709" t="s">
        <v>745</v>
      </c>
      <c r="N4709" s="784"/>
      <c r="O4709" t="s">
        <v>737</v>
      </c>
      <c r="P4709" t="s">
        <v>1887</v>
      </c>
      <c r="R4709" t="s">
        <v>150</v>
      </c>
      <c r="S4709" t="s">
        <v>145</v>
      </c>
      <c r="U4709">
        <v>0</v>
      </c>
      <c r="V4709" t="s">
        <v>544</v>
      </c>
      <c r="W4709" t="s">
        <v>548</v>
      </c>
      <c r="X4709" s="784">
        <v>288519671.85870522</v>
      </c>
    </row>
    <row r="4710" spans="1:24">
      <c r="A4710" t="s">
        <v>358</v>
      </c>
      <c r="B4710" t="s">
        <v>640</v>
      </c>
      <c r="C4710" t="s">
        <v>244</v>
      </c>
      <c r="D4710" t="s">
        <v>127</v>
      </c>
      <c r="E4710" t="s">
        <v>377</v>
      </c>
      <c r="F4710" t="s">
        <v>385</v>
      </c>
      <c r="G4710" t="s">
        <v>347</v>
      </c>
      <c r="H4710" t="s">
        <v>749</v>
      </c>
      <c r="I4710" t="s">
        <v>743</v>
      </c>
      <c r="J4710" t="s">
        <v>379</v>
      </c>
      <c r="K4710" t="s">
        <v>546</v>
      </c>
      <c r="L4710" s="784">
        <v>100000</v>
      </c>
      <c r="M4710" t="s">
        <v>745</v>
      </c>
      <c r="N4710" s="784"/>
      <c r="O4710" t="s">
        <v>737</v>
      </c>
      <c r="P4710" t="s">
        <v>1887</v>
      </c>
      <c r="R4710" t="s">
        <v>152</v>
      </c>
      <c r="S4710" t="s">
        <v>146</v>
      </c>
      <c r="U4710">
        <v>0</v>
      </c>
      <c r="V4710" t="s">
        <v>544</v>
      </c>
      <c r="W4710" t="s">
        <v>546</v>
      </c>
      <c r="X4710" s="784">
        <v>275606560.78491527</v>
      </c>
    </row>
    <row r="4711" spans="1:24">
      <c r="A4711" t="s">
        <v>358</v>
      </c>
      <c r="B4711" t="s">
        <v>641</v>
      </c>
      <c r="C4711" t="s">
        <v>245</v>
      </c>
      <c r="D4711" t="s">
        <v>131</v>
      </c>
      <c r="E4711" t="s">
        <v>377</v>
      </c>
      <c r="F4711" t="s">
        <v>385</v>
      </c>
      <c r="G4711" t="s">
        <v>347</v>
      </c>
      <c r="H4711" t="s">
        <v>749</v>
      </c>
      <c r="I4711" t="s">
        <v>743</v>
      </c>
      <c r="J4711" t="s">
        <v>379</v>
      </c>
      <c r="K4711" t="s">
        <v>546</v>
      </c>
      <c r="L4711" s="784">
        <v>200000</v>
      </c>
      <c r="M4711" t="s">
        <v>745</v>
      </c>
      <c r="N4711" s="784"/>
      <c r="O4711" t="s">
        <v>737</v>
      </c>
      <c r="P4711" t="s">
        <v>1887</v>
      </c>
      <c r="R4711" t="s">
        <v>150</v>
      </c>
      <c r="S4711" t="s">
        <v>145</v>
      </c>
      <c r="U4711">
        <v>0</v>
      </c>
      <c r="V4711" t="s">
        <v>544</v>
      </c>
      <c r="W4711" t="s">
        <v>546</v>
      </c>
      <c r="X4711" s="784">
        <v>2530937679.3725696</v>
      </c>
    </row>
    <row r="4712" spans="1:24">
      <c r="A4712" t="s">
        <v>358</v>
      </c>
      <c r="B4712" t="s">
        <v>642</v>
      </c>
      <c r="C4712" t="s">
        <v>246</v>
      </c>
      <c r="D4712" t="s">
        <v>128</v>
      </c>
      <c r="E4712" t="s">
        <v>377</v>
      </c>
      <c r="F4712" t="s">
        <v>385</v>
      </c>
      <c r="G4712" t="s">
        <v>347</v>
      </c>
      <c r="H4712" t="s">
        <v>749</v>
      </c>
      <c r="I4712" t="s">
        <v>743</v>
      </c>
      <c r="J4712" t="s">
        <v>379</v>
      </c>
      <c r="K4712" t="s">
        <v>546</v>
      </c>
      <c r="L4712" s="784">
        <v>860469</v>
      </c>
      <c r="M4712" t="s">
        <v>745</v>
      </c>
      <c r="N4712" s="784"/>
      <c r="O4712" t="s">
        <v>737</v>
      </c>
      <c r="P4712" t="s">
        <v>1887</v>
      </c>
      <c r="R4712" t="s">
        <v>148</v>
      </c>
      <c r="S4712" t="s">
        <v>145</v>
      </c>
      <c r="U4712">
        <v>0</v>
      </c>
      <c r="V4712" t="s">
        <v>544</v>
      </c>
      <c r="W4712" t="s">
        <v>583</v>
      </c>
      <c r="X4712" s="784">
        <v>251432156.86255455</v>
      </c>
    </row>
    <row r="4713" spans="1:24">
      <c r="A4713" t="s">
        <v>358</v>
      </c>
      <c r="B4713" t="s">
        <v>643</v>
      </c>
      <c r="C4713" t="s">
        <v>247</v>
      </c>
      <c r="D4713" t="s">
        <v>126</v>
      </c>
      <c r="E4713" t="s">
        <v>377</v>
      </c>
      <c r="F4713" t="s">
        <v>385</v>
      </c>
      <c r="G4713" t="s">
        <v>347</v>
      </c>
      <c r="H4713" t="s">
        <v>749</v>
      </c>
      <c r="I4713" t="s">
        <v>743</v>
      </c>
      <c r="J4713" t="s">
        <v>379</v>
      </c>
      <c r="K4713" t="s">
        <v>546</v>
      </c>
      <c r="L4713" s="784">
        <v>1240000</v>
      </c>
      <c r="M4713" t="s">
        <v>745</v>
      </c>
      <c r="N4713" s="784"/>
      <c r="O4713" t="s">
        <v>737</v>
      </c>
      <c r="P4713" t="s">
        <v>1887</v>
      </c>
      <c r="R4713" t="s">
        <v>150</v>
      </c>
      <c r="S4713" t="s">
        <v>145</v>
      </c>
      <c r="U4713">
        <v>0</v>
      </c>
      <c r="V4713" t="s">
        <v>544</v>
      </c>
      <c r="W4713" t="s">
        <v>558</v>
      </c>
      <c r="X4713" s="784">
        <v>471534500.60109437</v>
      </c>
    </row>
    <row r="4714" spans="1:24">
      <c r="A4714" t="s">
        <v>358</v>
      </c>
      <c r="B4714" t="s">
        <v>644</v>
      </c>
      <c r="C4714" t="s">
        <v>248</v>
      </c>
      <c r="D4714" t="s">
        <v>128</v>
      </c>
      <c r="E4714" t="s">
        <v>377</v>
      </c>
      <c r="F4714" t="s">
        <v>385</v>
      </c>
      <c r="G4714" t="s">
        <v>347</v>
      </c>
      <c r="H4714" t="s">
        <v>749</v>
      </c>
      <c r="I4714" t="s">
        <v>743</v>
      </c>
      <c r="J4714" t="s">
        <v>379</v>
      </c>
      <c r="K4714" t="s">
        <v>546</v>
      </c>
      <c r="L4714" s="784">
        <v>1642000</v>
      </c>
      <c r="M4714" t="s">
        <v>745</v>
      </c>
      <c r="N4714" s="784"/>
      <c r="O4714" t="s">
        <v>737</v>
      </c>
      <c r="P4714" t="s">
        <v>1887</v>
      </c>
      <c r="R4714" t="s">
        <v>152</v>
      </c>
      <c r="S4714" t="s">
        <v>146</v>
      </c>
      <c r="U4714">
        <v>0</v>
      </c>
      <c r="V4714" t="s">
        <v>544</v>
      </c>
      <c r="W4714" t="s">
        <v>575</v>
      </c>
      <c r="X4714" s="784">
        <v>531677611.80447447</v>
      </c>
    </row>
    <row r="4715" spans="1:24">
      <c r="A4715" t="s">
        <v>358</v>
      </c>
      <c r="B4715" t="s">
        <v>645</v>
      </c>
      <c r="C4715" t="s">
        <v>249</v>
      </c>
      <c r="D4715" t="s">
        <v>126</v>
      </c>
      <c r="E4715" t="s">
        <v>377</v>
      </c>
      <c r="F4715" t="s">
        <v>385</v>
      </c>
      <c r="G4715" t="s">
        <v>347</v>
      </c>
      <c r="H4715" t="s">
        <v>749</v>
      </c>
      <c r="I4715" t="s">
        <v>743</v>
      </c>
      <c r="J4715" t="s">
        <v>379</v>
      </c>
      <c r="K4715" t="s">
        <v>546</v>
      </c>
      <c r="L4715" s="784" t="s">
        <v>575</v>
      </c>
      <c r="M4715" t="s">
        <v>745</v>
      </c>
      <c r="N4715" s="784"/>
      <c r="O4715" t="s">
        <v>737</v>
      </c>
      <c r="P4715" t="s">
        <v>1887</v>
      </c>
      <c r="R4715" t="s">
        <v>550</v>
      </c>
      <c r="S4715" t="s">
        <v>146</v>
      </c>
      <c r="U4715">
        <v>0</v>
      </c>
      <c r="V4715" t="s">
        <v>541</v>
      </c>
      <c r="W4715" t="s">
        <v>575</v>
      </c>
      <c r="X4715" s="784">
        <v>8528751.6418357007</v>
      </c>
    </row>
    <row r="4716" spans="1:24">
      <c r="A4716" t="s">
        <v>358</v>
      </c>
      <c r="B4716" t="s">
        <v>646</v>
      </c>
      <c r="C4716" t="s">
        <v>250</v>
      </c>
      <c r="D4716" t="s">
        <v>132</v>
      </c>
      <c r="E4716" t="s">
        <v>377</v>
      </c>
      <c r="F4716" t="s">
        <v>385</v>
      </c>
      <c r="G4716" t="s">
        <v>347</v>
      </c>
      <c r="H4716" t="s">
        <v>749</v>
      </c>
      <c r="I4716" t="s">
        <v>743</v>
      </c>
      <c r="J4716" t="s">
        <v>379</v>
      </c>
      <c r="K4716" t="s">
        <v>546</v>
      </c>
      <c r="L4716" s="784">
        <v>1889000</v>
      </c>
      <c r="M4716" t="s">
        <v>745</v>
      </c>
      <c r="N4716" s="784"/>
      <c r="O4716" t="s">
        <v>737</v>
      </c>
      <c r="P4716" t="s">
        <v>1887</v>
      </c>
      <c r="R4716" t="s">
        <v>150</v>
      </c>
      <c r="S4716" t="s">
        <v>145</v>
      </c>
      <c r="U4716">
        <v>0</v>
      </c>
      <c r="V4716" t="s">
        <v>544</v>
      </c>
      <c r="W4716" t="s">
        <v>558</v>
      </c>
      <c r="X4716" s="784">
        <v>407084543.19089872</v>
      </c>
    </row>
    <row r="4717" spans="1:24">
      <c r="A4717" t="s">
        <v>358</v>
      </c>
      <c r="B4717" t="s">
        <v>647</v>
      </c>
      <c r="C4717" t="s">
        <v>251</v>
      </c>
      <c r="D4717" t="s">
        <v>130</v>
      </c>
      <c r="E4717" t="s">
        <v>377</v>
      </c>
      <c r="F4717" t="s">
        <v>385</v>
      </c>
      <c r="G4717" t="s">
        <v>347</v>
      </c>
      <c r="H4717" t="s">
        <v>749</v>
      </c>
      <c r="I4717" t="s">
        <v>743</v>
      </c>
      <c r="J4717" t="s">
        <v>379</v>
      </c>
      <c r="K4717" t="s">
        <v>546</v>
      </c>
      <c r="L4717" s="784">
        <v>800000</v>
      </c>
      <c r="M4717" t="s">
        <v>745</v>
      </c>
      <c r="N4717" s="784"/>
      <c r="O4717" t="s">
        <v>737</v>
      </c>
      <c r="P4717" t="s">
        <v>1887</v>
      </c>
      <c r="R4717" t="s">
        <v>150</v>
      </c>
      <c r="S4717" t="s">
        <v>145</v>
      </c>
      <c r="U4717">
        <v>0</v>
      </c>
      <c r="V4717" t="s">
        <v>544</v>
      </c>
      <c r="W4717" t="s">
        <v>562</v>
      </c>
      <c r="X4717" s="784">
        <v>671998341.93592453</v>
      </c>
    </row>
    <row r="4718" spans="1:24">
      <c r="A4718" t="s">
        <v>358</v>
      </c>
      <c r="B4718" t="s">
        <v>648</v>
      </c>
      <c r="C4718" t="s">
        <v>252</v>
      </c>
      <c r="D4718" t="s">
        <v>129</v>
      </c>
      <c r="E4718" t="s">
        <v>377</v>
      </c>
      <c r="F4718" t="s">
        <v>385</v>
      </c>
      <c r="G4718" t="s">
        <v>347</v>
      </c>
      <c r="H4718" t="s">
        <v>749</v>
      </c>
      <c r="I4718" t="s">
        <v>743</v>
      </c>
      <c r="J4718" t="s">
        <v>379</v>
      </c>
      <c r="K4718" t="s">
        <v>546</v>
      </c>
      <c r="L4718" s="784">
        <v>1345921</v>
      </c>
      <c r="M4718" t="s">
        <v>745</v>
      </c>
      <c r="N4718" s="784"/>
      <c r="O4718" t="s">
        <v>737</v>
      </c>
      <c r="P4718" t="s">
        <v>1887</v>
      </c>
      <c r="R4718" t="s">
        <v>148</v>
      </c>
      <c r="S4718" t="s">
        <v>145</v>
      </c>
      <c r="U4718">
        <v>1</v>
      </c>
      <c r="V4718" t="s">
        <v>544</v>
      </c>
      <c r="W4718" t="s">
        <v>562</v>
      </c>
      <c r="X4718" s="784">
        <v>226203289.67158964</v>
      </c>
    </row>
    <row r="4719" spans="1:24">
      <c r="A4719" t="s">
        <v>358</v>
      </c>
      <c r="B4719" t="s">
        <v>649</v>
      </c>
      <c r="C4719" t="s">
        <v>253</v>
      </c>
      <c r="D4719" t="s">
        <v>129</v>
      </c>
      <c r="E4719" t="s">
        <v>377</v>
      </c>
      <c r="F4719" t="s">
        <v>385</v>
      </c>
      <c r="G4719" t="s">
        <v>347</v>
      </c>
      <c r="H4719" t="s">
        <v>749</v>
      </c>
      <c r="I4719" t="s">
        <v>743</v>
      </c>
      <c r="J4719" t="s">
        <v>379</v>
      </c>
      <c r="K4719" t="s">
        <v>546</v>
      </c>
      <c r="L4719" s="784">
        <v>5036546</v>
      </c>
      <c r="M4719" t="s">
        <v>745</v>
      </c>
      <c r="N4719" s="784"/>
      <c r="O4719" t="s">
        <v>737</v>
      </c>
      <c r="P4719" t="s">
        <v>1887</v>
      </c>
      <c r="R4719" t="s">
        <v>150</v>
      </c>
      <c r="S4719" t="s">
        <v>145</v>
      </c>
      <c r="U4719">
        <v>3</v>
      </c>
      <c r="V4719" t="s">
        <v>544</v>
      </c>
      <c r="W4719" t="s">
        <v>548</v>
      </c>
      <c r="X4719" s="784">
        <v>2438881113.1244688</v>
      </c>
    </row>
    <row r="4720" spans="1:24">
      <c r="A4720" t="s">
        <v>358</v>
      </c>
      <c r="B4720" t="s">
        <v>650</v>
      </c>
      <c r="C4720" t="s">
        <v>254</v>
      </c>
      <c r="D4720" t="s">
        <v>127</v>
      </c>
      <c r="E4720" t="s">
        <v>377</v>
      </c>
      <c r="F4720" t="s">
        <v>385</v>
      </c>
      <c r="G4720" t="s">
        <v>347</v>
      </c>
      <c r="H4720" t="s">
        <v>749</v>
      </c>
      <c r="I4720" t="s">
        <v>743</v>
      </c>
      <c r="J4720" t="s">
        <v>379</v>
      </c>
      <c r="K4720" t="s">
        <v>546</v>
      </c>
      <c r="L4720" s="784">
        <v>100000</v>
      </c>
      <c r="M4720" t="s">
        <v>745</v>
      </c>
      <c r="N4720" s="784"/>
      <c r="O4720" t="s">
        <v>737</v>
      </c>
      <c r="P4720" t="s">
        <v>1887</v>
      </c>
      <c r="R4720" t="s">
        <v>152</v>
      </c>
      <c r="S4720" t="s">
        <v>146</v>
      </c>
      <c r="U4720">
        <v>0</v>
      </c>
      <c r="V4720" t="s">
        <v>544</v>
      </c>
      <c r="W4720" t="s">
        <v>575</v>
      </c>
      <c r="X4720" s="784">
        <v>476517795.73174149</v>
      </c>
    </row>
    <row r="4721" spans="1:24">
      <c r="A4721" t="s">
        <v>358</v>
      </c>
      <c r="B4721" t="s">
        <v>651</v>
      </c>
      <c r="C4721" t="s">
        <v>255</v>
      </c>
      <c r="D4721" t="s">
        <v>132</v>
      </c>
      <c r="E4721" t="s">
        <v>377</v>
      </c>
      <c r="F4721" t="s">
        <v>385</v>
      </c>
      <c r="G4721" t="s">
        <v>347</v>
      </c>
      <c r="H4721" t="s">
        <v>749</v>
      </c>
      <c r="I4721" t="s">
        <v>743</v>
      </c>
      <c r="J4721" t="s">
        <v>379</v>
      </c>
      <c r="K4721" t="s">
        <v>546</v>
      </c>
      <c r="L4721" s="784">
        <v>3000000</v>
      </c>
      <c r="M4721" t="s">
        <v>745</v>
      </c>
      <c r="N4721" s="784"/>
      <c r="O4721" t="s">
        <v>737</v>
      </c>
      <c r="P4721" t="s">
        <v>1887</v>
      </c>
      <c r="R4721" t="s">
        <v>150</v>
      </c>
      <c r="S4721" t="s">
        <v>145</v>
      </c>
      <c r="U4721">
        <v>0</v>
      </c>
      <c r="V4721" t="s">
        <v>544</v>
      </c>
      <c r="W4721" t="s">
        <v>548</v>
      </c>
      <c r="X4721" s="784">
        <v>3233351297.7679496</v>
      </c>
    </row>
    <row r="4722" spans="1:24">
      <c r="A4722" t="s">
        <v>358</v>
      </c>
      <c r="B4722" t="s">
        <v>652</v>
      </c>
      <c r="C4722" t="s">
        <v>256</v>
      </c>
      <c r="D4722" t="s">
        <v>130</v>
      </c>
      <c r="E4722" t="s">
        <v>377</v>
      </c>
      <c r="F4722" t="s">
        <v>385</v>
      </c>
      <c r="G4722" t="s">
        <v>347</v>
      </c>
      <c r="H4722" t="s">
        <v>749</v>
      </c>
      <c r="I4722" t="s">
        <v>743</v>
      </c>
      <c r="J4722" t="s">
        <v>379</v>
      </c>
      <c r="K4722" t="s">
        <v>546</v>
      </c>
      <c r="L4722" s="784" t="s">
        <v>575</v>
      </c>
      <c r="M4722" t="s">
        <v>745</v>
      </c>
      <c r="N4722" s="784"/>
      <c r="O4722" t="s">
        <v>737</v>
      </c>
      <c r="P4722" t="s">
        <v>1887</v>
      </c>
      <c r="R4722" t="s">
        <v>550</v>
      </c>
      <c r="S4722" t="s">
        <v>146</v>
      </c>
      <c r="U4722">
        <v>0</v>
      </c>
      <c r="V4722" t="s">
        <v>541</v>
      </c>
      <c r="W4722" t="s">
        <v>575</v>
      </c>
      <c r="X4722" s="784">
        <v>18180646.808608256</v>
      </c>
    </row>
    <row r="4723" spans="1:24">
      <c r="A4723" t="s">
        <v>358</v>
      </c>
      <c r="B4723" t="s">
        <v>653</v>
      </c>
      <c r="C4723" t="s">
        <v>257</v>
      </c>
      <c r="D4723" t="s">
        <v>130</v>
      </c>
      <c r="E4723" t="s">
        <v>377</v>
      </c>
      <c r="F4723" t="s">
        <v>385</v>
      </c>
      <c r="G4723" t="s">
        <v>347</v>
      </c>
      <c r="H4723" t="s">
        <v>749</v>
      </c>
      <c r="I4723" t="s">
        <v>743</v>
      </c>
      <c r="J4723" t="s">
        <v>379</v>
      </c>
      <c r="K4723" t="s">
        <v>546</v>
      </c>
      <c r="L4723" s="784">
        <v>0</v>
      </c>
      <c r="M4723" t="s">
        <v>745</v>
      </c>
      <c r="N4723" s="784"/>
      <c r="O4723" t="s">
        <v>737</v>
      </c>
      <c r="P4723" t="s">
        <v>1887</v>
      </c>
      <c r="R4723" t="s">
        <v>152</v>
      </c>
      <c r="S4723" t="s">
        <v>146</v>
      </c>
      <c r="U4723">
        <v>0</v>
      </c>
      <c r="V4723" t="s">
        <v>544</v>
      </c>
      <c r="W4723" t="s">
        <v>546</v>
      </c>
      <c r="X4723" s="784">
        <v>3020530707.3485303</v>
      </c>
    </row>
    <row r="4724" spans="1:24">
      <c r="A4724" t="s">
        <v>358</v>
      </c>
      <c r="B4724" t="s">
        <v>654</v>
      </c>
      <c r="C4724" t="s">
        <v>258</v>
      </c>
      <c r="D4724" t="s">
        <v>126</v>
      </c>
      <c r="E4724" t="s">
        <v>377</v>
      </c>
      <c r="F4724" t="s">
        <v>385</v>
      </c>
      <c r="G4724" t="s">
        <v>347</v>
      </c>
      <c r="H4724" t="s">
        <v>749</v>
      </c>
      <c r="I4724" t="s">
        <v>743</v>
      </c>
      <c r="J4724" t="s">
        <v>379</v>
      </c>
      <c r="K4724" t="s">
        <v>546</v>
      </c>
      <c r="L4724" s="784">
        <v>400000</v>
      </c>
      <c r="M4724" t="s">
        <v>745</v>
      </c>
      <c r="N4724" s="784"/>
      <c r="O4724" t="s">
        <v>737</v>
      </c>
      <c r="P4724" t="s">
        <v>1887</v>
      </c>
      <c r="R4724" t="s">
        <v>150</v>
      </c>
      <c r="S4724" t="s">
        <v>145</v>
      </c>
      <c r="U4724">
        <v>1</v>
      </c>
      <c r="V4724" t="s">
        <v>541</v>
      </c>
      <c r="W4724" t="s">
        <v>542</v>
      </c>
      <c r="X4724" s="784">
        <v>384406316.46074712</v>
      </c>
    </row>
    <row r="4725" spans="1:24">
      <c r="A4725" t="s">
        <v>358</v>
      </c>
      <c r="B4725" t="s">
        <v>655</v>
      </c>
      <c r="C4725" t="s">
        <v>259</v>
      </c>
      <c r="D4725" t="s">
        <v>130</v>
      </c>
      <c r="E4725" t="s">
        <v>377</v>
      </c>
      <c r="F4725" t="s">
        <v>385</v>
      </c>
      <c r="G4725" t="s">
        <v>347</v>
      </c>
      <c r="H4725" t="s">
        <v>749</v>
      </c>
      <c r="I4725" t="s">
        <v>743</v>
      </c>
      <c r="J4725" t="s">
        <v>379</v>
      </c>
      <c r="K4725" t="s">
        <v>546</v>
      </c>
      <c r="L4725" s="784">
        <v>200000</v>
      </c>
      <c r="M4725" t="s">
        <v>745</v>
      </c>
      <c r="N4725" s="784"/>
      <c r="O4725" t="s">
        <v>737</v>
      </c>
      <c r="P4725" t="s">
        <v>1887</v>
      </c>
      <c r="R4725" t="s">
        <v>152</v>
      </c>
      <c r="S4725" t="s">
        <v>146</v>
      </c>
      <c r="U4725">
        <v>0</v>
      </c>
      <c r="V4725" t="s">
        <v>544</v>
      </c>
      <c r="W4725" t="s">
        <v>575</v>
      </c>
      <c r="X4725" s="784">
        <v>1218747108.9554784</v>
      </c>
    </row>
    <row r="4726" spans="1:24">
      <c r="A4726" t="s">
        <v>358</v>
      </c>
      <c r="B4726" t="s">
        <v>656</v>
      </c>
      <c r="C4726" t="s">
        <v>260</v>
      </c>
      <c r="D4726" t="s">
        <v>130</v>
      </c>
      <c r="E4726" t="s">
        <v>377</v>
      </c>
      <c r="F4726" t="s">
        <v>385</v>
      </c>
      <c r="G4726" t="s">
        <v>347</v>
      </c>
      <c r="H4726" t="s">
        <v>749</v>
      </c>
      <c r="I4726" t="s">
        <v>743</v>
      </c>
      <c r="J4726" t="s">
        <v>379</v>
      </c>
      <c r="K4726" t="s">
        <v>546</v>
      </c>
      <c r="L4726" s="784">
        <v>802143</v>
      </c>
      <c r="M4726" t="s">
        <v>745</v>
      </c>
      <c r="N4726" s="784"/>
      <c r="O4726" t="s">
        <v>737</v>
      </c>
      <c r="P4726" t="s">
        <v>1887</v>
      </c>
      <c r="R4726" t="s">
        <v>152</v>
      </c>
      <c r="S4726" t="s">
        <v>146</v>
      </c>
      <c r="U4726">
        <v>0</v>
      </c>
      <c r="V4726" t="s">
        <v>544</v>
      </c>
      <c r="W4726" t="s">
        <v>575</v>
      </c>
      <c r="X4726" s="784">
        <v>7392665952.5895758</v>
      </c>
    </row>
    <row r="4727" spans="1:24">
      <c r="A4727" t="s">
        <v>358</v>
      </c>
      <c r="B4727" t="s">
        <v>657</v>
      </c>
      <c r="C4727" t="s">
        <v>261</v>
      </c>
      <c r="D4727" t="s">
        <v>126</v>
      </c>
      <c r="E4727" t="s">
        <v>377</v>
      </c>
      <c r="F4727" t="s">
        <v>385</v>
      </c>
      <c r="G4727" t="s">
        <v>347</v>
      </c>
      <c r="H4727" t="s">
        <v>749</v>
      </c>
      <c r="I4727" t="s">
        <v>743</v>
      </c>
      <c r="J4727" t="s">
        <v>379</v>
      </c>
      <c r="K4727" t="s">
        <v>546</v>
      </c>
      <c r="L4727" s="784">
        <v>100000</v>
      </c>
      <c r="M4727" t="s">
        <v>745</v>
      </c>
      <c r="N4727" s="784"/>
      <c r="O4727" t="s">
        <v>737</v>
      </c>
      <c r="P4727" t="s">
        <v>1887</v>
      </c>
      <c r="R4727" t="s">
        <v>150</v>
      </c>
      <c r="S4727" t="s">
        <v>145</v>
      </c>
      <c r="U4727">
        <v>0</v>
      </c>
      <c r="V4727" t="s">
        <v>544</v>
      </c>
      <c r="W4727" t="s">
        <v>546</v>
      </c>
      <c r="X4727" s="784">
        <v>4754985988.6004429</v>
      </c>
    </row>
    <row r="4728" spans="1:24">
      <c r="A4728" t="s">
        <v>358</v>
      </c>
      <c r="B4728" t="s">
        <v>658</v>
      </c>
      <c r="C4728" t="s">
        <v>262</v>
      </c>
      <c r="D4728" t="s">
        <v>127</v>
      </c>
      <c r="E4728" t="s">
        <v>377</v>
      </c>
      <c r="F4728" t="s">
        <v>385</v>
      </c>
      <c r="G4728" t="s">
        <v>347</v>
      </c>
      <c r="H4728" t="s">
        <v>749</v>
      </c>
      <c r="I4728" t="s">
        <v>743</v>
      </c>
      <c r="J4728" t="s">
        <v>379</v>
      </c>
      <c r="K4728" t="s">
        <v>546</v>
      </c>
      <c r="L4728" s="784" t="s">
        <v>575</v>
      </c>
      <c r="M4728" t="s">
        <v>745</v>
      </c>
      <c r="N4728" s="784"/>
      <c r="O4728" t="s">
        <v>737</v>
      </c>
      <c r="P4728" t="s">
        <v>1887</v>
      </c>
      <c r="R4728" t="s">
        <v>550</v>
      </c>
      <c r="S4728" t="s">
        <v>146</v>
      </c>
      <c r="U4728">
        <v>0</v>
      </c>
      <c r="V4728" t="s">
        <v>544</v>
      </c>
      <c r="W4728" t="s">
        <v>575</v>
      </c>
      <c r="X4728" s="784">
        <v>26422210443.037273</v>
      </c>
    </row>
    <row r="4729" spans="1:24">
      <c r="A4729" t="s">
        <v>358</v>
      </c>
      <c r="B4729" t="s">
        <v>659</v>
      </c>
      <c r="C4729" t="s">
        <v>151</v>
      </c>
      <c r="D4729" t="s">
        <v>127</v>
      </c>
      <c r="E4729" t="s">
        <v>377</v>
      </c>
      <c r="F4729" t="s">
        <v>385</v>
      </c>
      <c r="G4729" t="s">
        <v>347</v>
      </c>
      <c r="H4729" t="s">
        <v>749</v>
      </c>
      <c r="I4729" t="s">
        <v>743</v>
      </c>
      <c r="J4729" t="s">
        <v>379</v>
      </c>
      <c r="K4729" t="s">
        <v>546</v>
      </c>
      <c r="L4729" s="784">
        <v>50000</v>
      </c>
      <c r="M4729" t="s">
        <v>745</v>
      </c>
      <c r="N4729" s="784"/>
      <c r="O4729" t="s">
        <v>737</v>
      </c>
      <c r="P4729" t="s">
        <v>1887</v>
      </c>
      <c r="R4729" t="s">
        <v>152</v>
      </c>
      <c r="S4729" t="s">
        <v>146</v>
      </c>
      <c r="U4729">
        <v>0</v>
      </c>
      <c r="V4729" t="s">
        <v>544</v>
      </c>
      <c r="W4729" t="s">
        <v>575</v>
      </c>
      <c r="X4729" s="784">
        <v>10696495313.15033</v>
      </c>
    </row>
    <row r="4730" spans="1:24">
      <c r="A4730" t="s">
        <v>358</v>
      </c>
      <c r="B4730" t="s">
        <v>660</v>
      </c>
      <c r="C4730" t="s">
        <v>263</v>
      </c>
      <c r="D4730" t="s">
        <v>127</v>
      </c>
      <c r="E4730" t="s">
        <v>377</v>
      </c>
      <c r="F4730" t="s">
        <v>385</v>
      </c>
      <c r="G4730" t="s">
        <v>347</v>
      </c>
      <c r="H4730" t="s">
        <v>749</v>
      </c>
      <c r="I4730" t="s">
        <v>743</v>
      </c>
      <c r="J4730" t="s">
        <v>379</v>
      </c>
      <c r="K4730" t="s">
        <v>546</v>
      </c>
      <c r="L4730" s="784" t="s">
        <v>575</v>
      </c>
      <c r="M4730" t="s">
        <v>745</v>
      </c>
      <c r="N4730" s="784"/>
      <c r="O4730" t="s">
        <v>737</v>
      </c>
      <c r="P4730" t="s">
        <v>1887</v>
      </c>
      <c r="R4730" t="s">
        <v>152</v>
      </c>
      <c r="S4730" t="s">
        <v>146</v>
      </c>
      <c r="U4730">
        <v>0</v>
      </c>
      <c r="V4730" t="s">
        <v>544</v>
      </c>
      <c r="W4730" t="s">
        <v>575</v>
      </c>
      <c r="X4730" s="784">
        <v>52769713433.240509</v>
      </c>
    </row>
    <row r="4731" spans="1:24">
      <c r="A4731" t="s">
        <v>358</v>
      </c>
      <c r="B4731" t="s">
        <v>661</v>
      </c>
      <c r="C4731" t="s">
        <v>264</v>
      </c>
      <c r="D4731" t="s">
        <v>128</v>
      </c>
      <c r="E4731" t="s">
        <v>377</v>
      </c>
      <c r="F4731" t="s">
        <v>385</v>
      </c>
      <c r="G4731" t="s">
        <v>347</v>
      </c>
      <c r="H4731" t="s">
        <v>749</v>
      </c>
      <c r="I4731" t="s">
        <v>743</v>
      </c>
      <c r="J4731" t="s">
        <v>379</v>
      </c>
      <c r="K4731" t="s">
        <v>546</v>
      </c>
      <c r="L4731" s="784">
        <v>374000</v>
      </c>
      <c r="M4731" t="s">
        <v>745</v>
      </c>
      <c r="N4731" s="784"/>
      <c r="O4731" t="s">
        <v>737</v>
      </c>
      <c r="P4731" t="s">
        <v>1887</v>
      </c>
      <c r="R4731" t="s">
        <v>148</v>
      </c>
      <c r="S4731" t="s">
        <v>145</v>
      </c>
      <c r="U4731">
        <v>0</v>
      </c>
      <c r="V4731" t="s">
        <v>544</v>
      </c>
      <c r="W4731" t="s">
        <v>562</v>
      </c>
      <c r="X4731" s="784">
        <v>225799814.51943746</v>
      </c>
    </row>
    <row r="4732" spans="1:24">
      <c r="A4732" t="s">
        <v>358</v>
      </c>
      <c r="B4732" t="s">
        <v>662</v>
      </c>
      <c r="C4732" t="s">
        <v>265</v>
      </c>
      <c r="D4732" t="s">
        <v>126</v>
      </c>
      <c r="E4732" t="s">
        <v>377</v>
      </c>
      <c r="F4732" t="s">
        <v>385</v>
      </c>
      <c r="G4732" t="s">
        <v>347</v>
      </c>
      <c r="H4732" t="s">
        <v>749</v>
      </c>
      <c r="I4732" t="s">
        <v>743</v>
      </c>
      <c r="J4732" t="s">
        <v>379</v>
      </c>
      <c r="K4732" t="s">
        <v>546</v>
      </c>
      <c r="L4732" s="784">
        <v>0</v>
      </c>
      <c r="M4732" t="s">
        <v>745</v>
      </c>
      <c r="N4732" s="784"/>
      <c r="O4732" t="s">
        <v>737</v>
      </c>
      <c r="P4732" t="s">
        <v>1887</v>
      </c>
      <c r="R4732" t="s">
        <v>150</v>
      </c>
      <c r="S4732" t="s">
        <v>145</v>
      </c>
      <c r="U4732">
        <v>0</v>
      </c>
      <c r="V4732" t="s">
        <v>541</v>
      </c>
      <c r="W4732" t="s">
        <v>542</v>
      </c>
      <c r="X4732" s="784">
        <v>32192988.027009469</v>
      </c>
    </row>
    <row r="4733" spans="1:24">
      <c r="A4733" t="s">
        <v>358</v>
      </c>
      <c r="B4733" t="s">
        <v>663</v>
      </c>
      <c r="C4733" t="s">
        <v>266</v>
      </c>
      <c r="D4733" t="s">
        <v>129</v>
      </c>
      <c r="E4733" t="s">
        <v>377</v>
      </c>
      <c r="F4733" t="s">
        <v>385</v>
      </c>
      <c r="G4733" t="s">
        <v>347</v>
      </c>
      <c r="H4733" t="s">
        <v>749</v>
      </c>
      <c r="I4733" t="s">
        <v>743</v>
      </c>
      <c r="J4733" t="s">
        <v>379</v>
      </c>
      <c r="K4733" t="s">
        <v>546</v>
      </c>
      <c r="L4733" s="784">
        <v>0</v>
      </c>
      <c r="M4733" t="s">
        <v>745</v>
      </c>
      <c r="N4733" s="784"/>
      <c r="O4733" t="s">
        <v>737</v>
      </c>
      <c r="P4733" t="s">
        <v>1887</v>
      </c>
      <c r="R4733" t="s">
        <v>150</v>
      </c>
      <c r="S4733" t="s">
        <v>145</v>
      </c>
      <c r="U4733">
        <v>0</v>
      </c>
      <c r="V4733" t="s">
        <v>541</v>
      </c>
      <c r="W4733" t="s">
        <v>583</v>
      </c>
      <c r="X4733" s="784">
        <v>11633535.136477679</v>
      </c>
    </row>
    <row r="4734" spans="1:24">
      <c r="A4734" t="s">
        <v>358</v>
      </c>
      <c r="B4734" t="s">
        <v>664</v>
      </c>
      <c r="C4734" t="s">
        <v>267</v>
      </c>
      <c r="D4734" t="s">
        <v>129</v>
      </c>
      <c r="E4734" t="s">
        <v>377</v>
      </c>
      <c r="F4734" t="s">
        <v>385</v>
      </c>
      <c r="G4734" t="s">
        <v>347</v>
      </c>
      <c r="H4734" t="s">
        <v>749</v>
      </c>
      <c r="I4734" t="s">
        <v>743</v>
      </c>
      <c r="J4734" t="s">
        <v>379</v>
      </c>
      <c r="K4734" t="s">
        <v>546</v>
      </c>
      <c r="L4734" s="784">
        <v>779275</v>
      </c>
      <c r="M4734" t="s">
        <v>745</v>
      </c>
      <c r="N4734" s="784"/>
      <c r="O4734" t="s">
        <v>737</v>
      </c>
      <c r="P4734" t="s">
        <v>1887</v>
      </c>
      <c r="R4734" t="s">
        <v>150</v>
      </c>
      <c r="S4734" t="s">
        <v>145</v>
      </c>
      <c r="U4734">
        <v>2</v>
      </c>
      <c r="V4734" t="s">
        <v>544</v>
      </c>
      <c r="W4734" t="s">
        <v>562</v>
      </c>
      <c r="X4734" s="784">
        <v>222008693.93354639</v>
      </c>
    </row>
    <row r="4735" spans="1:24">
      <c r="A4735" t="s">
        <v>358</v>
      </c>
      <c r="B4735" t="s">
        <v>665</v>
      </c>
      <c r="C4735" t="s">
        <v>153</v>
      </c>
      <c r="D4735" t="s">
        <v>127</v>
      </c>
      <c r="E4735" t="s">
        <v>377</v>
      </c>
      <c r="F4735" t="s">
        <v>385</v>
      </c>
      <c r="G4735" t="s">
        <v>347</v>
      </c>
      <c r="H4735" t="s">
        <v>749</v>
      </c>
      <c r="I4735" t="s">
        <v>743</v>
      </c>
      <c r="J4735" t="s">
        <v>379</v>
      </c>
      <c r="K4735" t="s">
        <v>546</v>
      </c>
      <c r="L4735" s="784">
        <v>100000</v>
      </c>
      <c r="M4735" t="s">
        <v>745</v>
      </c>
      <c r="N4735" s="784"/>
      <c r="O4735" t="s">
        <v>737</v>
      </c>
      <c r="P4735" t="s">
        <v>1887</v>
      </c>
      <c r="R4735" t="s">
        <v>152</v>
      </c>
      <c r="S4735" t="s">
        <v>146</v>
      </c>
      <c r="U4735">
        <v>0</v>
      </c>
      <c r="V4735" t="s">
        <v>544</v>
      </c>
      <c r="W4735" t="s">
        <v>575</v>
      </c>
      <c r="X4735" s="784">
        <v>2564993795.1894679</v>
      </c>
    </row>
    <row r="4736" spans="1:24">
      <c r="A4736" t="s">
        <v>358</v>
      </c>
      <c r="B4736" t="s">
        <v>666</v>
      </c>
      <c r="C4736" t="s">
        <v>268</v>
      </c>
      <c r="D4736" t="s">
        <v>128</v>
      </c>
      <c r="E4736" t="s">
        <v>377</v>
      </c>
      <c r="F4736" t="s">
        <v>385</v>
      </c>
      <c r="G4736" t="s">
        <v>347</v>
      </c>
      <c r="H4736" t="s">
        <v>749</v>
      </c>
      <c r="I4736" t="s">
        <v>743</v>
      </c>
      <c r="J4736" t="s">
        <v>379</v>
      </c>
      <c r="K4736" t="s">
        <v>546</v>
      </c>
      <c r="L4736" s="784" t="s">
        <v>575</v>
      </c>
      <c r="M4736" t="s">
        <v>745</v>
      </c>
      <c r="N4736" s="784"/>
      <c r="O4736" t="s">
        <v>737</v>
      </c>
      <c r="P4736" t="s">
        <v>1887</v>
      </c>
      <c r="R4736" t="s">
        <v>550</v>
      </c>
      <c r="S4736" t="s">
        <v>146</v>
      </c>
      <c r="U4736">
        <v>0</v>
      </c>
      <c r="V4736" t="s">
        <v>541</v>
      </c>
      <c r="W4736" t="s">
        <v>546</v>
      </c>
      <c r="X4736" s="784">
        <v>60237542.945069775</v>
      </c>
    </row>
    <row r="4737" spans="1:24">
      <c r="A4737" t="s">
        <v>358</v>
      </c>
      <c r="B4737" t="s">
        <v>667</v>
      </c>
      <c r="C4737" t="s">
        <v>269</v>
      </c>
      <c r="D4737" t="s">
        <v>129</v>
      </c>
      <c r="E4737" t="s">
        <v>377</v>
      </c>
      <c r="F4737" t="s">
        <v>385</v>
      </c>
      <c r="G4737" t="s">
        <v>347</v>
      </c>
      <c r="H4737" t="s">
        <v>749</v>
      </c>
      <c r="I4737" t="s">
        <v>743</v>
      </c>
      <c r="J4737" t="s">
        <v>379</v>
      </c>
      <c r="K4737" t="s">
        <v>546</v>
      </c>
      <c r="L4737" s="784">
        <v>472533</v>
      </c>
      <c r="M4737" t="s">
        <v>745</v>
      </c>
      <c r="N4737" s="784"/>
      <c r="O4737" t="s">
        <v>737</v>
      </c>
      <c r="P4737" t="s">
        <v>1887</v>
      </c>
      <c r="R4737" t="s">
        <v>148</v>
      </c>
      <c r="S4737" t="s">
        <v>145</v>
      </c>
      <c r="U4737">
        <v>0</v>
      </c>
      <c r="V4737" t="s">
        <v>544</v>
      </c>
      <c r="W4737" t="s">
        <v>542</v>
      </c>
      <c r="X4737" s="784">
        <v>63738640.538260505</v>
      </c>
    </row>
    <row r="4738" spans="1:24">
      <c r="A4738" t="s">
        <v>358</v>
      </c>
      <c r="B4738" t="s">
        <v>668</v>
      </c>
      <c r="C4738" t="s">
        <v>270</v>
      </c>
      <c r="D4738" t="s">
        <v>126</v>
      </c>
      <c r="E4738" t="s">
        <v>377</v>
      </c>
      <c r="F4738" t="s">
        <v>385</v>
      </c>
      <c r="G4738" t="s">
        <v>347</v>
      </c>
      <c r="H4738" t="s">
        <v>749</v>
      </c>
      <c r="I4738" t="s">
        <v>743</v>
      </c>
      <c r="J4738" t="s">
        <v>379</v>
      </c>
      <c r="K4738" t="s">
        <v>546</v>
      </c>
      <c r="L4738" s="784">
        <v>0</v>
      </c>
      <c r="M4738" t="s">
        <v>745</v>
      </c>
      <c r="N4738" s="784"/>
      <c r="O4738" t="s">
        <v>737</v>
      </c>
      <c r="P4738" t="s">
        <v>1887</v>
      </c>
      <c r="R4738" t="s">
        <v>150</v>
      </c>
      <c r="S4738" t="s">
        <v>145</v>
      </c>
      <c r="U4738">
        <v>0</v>
      </c>
      <c r="V4738" t="s">
        <v>541</v>
      </c>
      <c r="W4738" t="s">
        <v>562</v>
      </c>
      <c r="X4738" s="784">
        <v>49012774.055630356</v>
      </c>
    </row>
    <row r="4739" spans="1:24">
      <c r="A4739" t="s">
        <v>358</v>
      </c>
      <c r="B4739" t="s">
        <v>669</v>
      </c>
      <c r="C4739" t="s">
        <v>271</v>
      </c>
      <c r="D4739" t="s">
        <v>128</v>
      </c>
      <c r="E4739" t="s">
        <v>377</v>
      </c>
      <c r="F4739" t="s">
        <v>385</v>
      </c>
      <c r="G4739" t="s">
        <v>347</v>
      </c>
      <c r="H4739" t="s">
        <v>749</v>
      </c>
      <c r="I4739" t="s">
        <v>743</v>
      </c>
      <c r="J4739" t="s">
        <v>379</v>
      </c>
      <c r="K4739" t="s">
        <v>546</v>
      </c>
      <c r="L4739" s="784">
        <v>2015014</v>
      </c>
      <c r="M4739" t="s">
        <v>745</v>
      </c>
      <c r="N4739" s="784"/>
      <c r="O4739" t="s">
        <v>737</v>
      </c>
      <c r="P4739" t="s">
        <v>1887</v>
      </c>
      <c r="R4739" t="s">
        <v>148</v>
      </c>
      <c r="S4739" t="s">
        <v>145</v>
      </c>
      <c r="U4739">
        <v>1</v>
      </c>
      <c r="V4739" t="s">
        <v>544</v>
      </c>
      <c r="W4739" t="s">
        <v>583</v>
      </c>
      <c r="X4739" s="784" t="s">
        <v>575</v>
      </c>
    </row>
    <row r="4740" spans="1:24">
      <c r="A4740" t="s">
        <v>358</v>
      </c>
      <c r="B4740" t="s">
        <v>670</v>
      </c>
      <c r="C4740" t="s">
        <v>272</v>
      </c>
      <c r="D4740" t="s">
        <v>128</v>
      </c>
      <c r="E4740" t="s">
        <v>377</v>
      </c>
      <c r="F4740" t="s">
        <v>385</v>
      </c>
      <c r="G4740" t="s">
        <v>347</v>
      </c>
      <c r="H4740" t="s">
        <v>749</v>
      </c>
      <c r="I4740" t="s">
        <v>743</v>
      </c>
      <c r="J4740" t="s">
        <v>379</v>
      </c>
      <c r="K4740" t="s">
        <v>546</v>
      </c>
      <c r="L4740" s="784">
        <v>1872229</v>
      </c>
      <c r="M4740" t="s">
        <v>745</v>
      </c>
      <c r="N4740" s="784"/>
      <c r="O4740" t="s">
        <v>737</v>
      </c>
      <c r="P4740" t="s">
        <v>1887</v>
      </c>
      <c r="R4740" t="s">
        <v>152</v>
      </c>
      <c r="S4740" t="s">
        <v>146</v>
      </c>
      <c r="U4740">
        <v>0</v>
      </c>
      <c r="V4740" t="s">
        <v>544</v>
      </c>
      <c r="W4740" t="s">
        <v>546</v>
      </c>
      <c r="X4740" s="784">
        <v>16429121142.784708</v>
      </c>
    </row>
    <row r="4741" spans="1:24">
      <c r="A4741" t="s">
        <v>358</v>
      </c>
      <c r="B4741" t="s">
        <v>671</v>
      </c>
      <c r="C4741" t="s">
        <v>273</v>
      </c>
      <c r="D4741" t="s">
        <v>128</v>
      </c>
      <c r="E4741" t="s">
        <v>377</v>
      </c>
      <c r="F4741" t="s">
        <v>385</v>
      </c>
      <c r="G4741" t="s">
        <v>347</v>
      </c>
      <c r="H4741" t="s">
        <v>749</v>
      </c>
      <c r="I4741" t="s">
        <v>743</v>
      </c>
      <c r="J4741" t="s">
        <v>379</v>
      </c>
      <c r="K4741" t="s">
        <v>546</v>
      </c>
      <c r="L4741" s="784">
        <v>680600</v>
      </c>
      <c r="M4741" t="s">
        <v>745</v>
      </c>
      <c r="N4741" s="784"/>
      <c r="O4741" t="s">
        <v>737</v>
      </c>
      <c r="P4741" t="s">
        <v>1887</v>
      </c>
      <c r="R4741" t="s">
        <v>148</v>
      </c>
      <c r="S4741" t="s">
        <v>145</v>
      </c>
      <c r="U4741">
        <v>1</v>
      </c>
      <c r="V4741" t="s">
        <v>544</v>
      </c>
      <c r="W4741" t="s">
        <v>542</v>
      </c>
      <c r="X4741" s="784">
        <v>31684581.76217727</v>
      </c>
    </row>
    <row r="4742" spans="1:24">
      <c r="A4742" t="s">
        <v>358</v>
      </c>
      <c r="B4742" t="s">
        <v>672</v>
      </c>
      <c r="C4742" t="s">
        <v>274</v>
      </c>
      <c r="D4742" t="s">
        <v>132</v>
      </c>
      <c r="E4742" t="s">
        <v>377</v>
      </c>
      <c r="F4742" t="s">
        <v>385</v>
      </c>
      <c r="G4742" t="s">
        <v>347</v>
      </c>
      <c r="H4742" t="s">
        <v>749</v>
      </c>
      <c r="I4742" t="s">
        <v>743</v>
      </c>
      <c r="J4742" t="s">
        <v>379</v>
      </c>
      <c r="K4742" t="s">
        <v>546</v>
      </c>
      <c r="L4742" s="784">
        <v>500000</v>
      </c>
      <c r="M4742" t="s">
        <v>745</v>
      </c>
      <c r="N4742" s="784"/>
      <c r="O4742" t="s">
        <v>737</v>
      </c>
      <c r="P4742" t="s">
        <v>1887</v>
      </c>
      <c r="R4742" t="s">
        <v>150</v>
      </c>
      <c r="S4742" t="s">
        <v>145</v>
      </c>
      <c r="U4742">
        <v>0</v>
      </c>
      <c r="V4742" t="s">
        <v>544</v>
      </c>
      <c r="W4742" t="s">
        <v>546</v>
      </c>
      <c r="X4742" s="784">
        <v>1373621563.5182886</v>
      </c>
    </row>
    <row r="4743" spans="1:24">
      <c r="A4743" t="s">
        <v>358</v>
      </c>
      <c r="B4743" t="s">
        <v>673</v>
      </c>
      <c r="C4743" t="s">
        <v>275</v>
      </c>
      <c r="D4743" t="s">
        <v>130</v>
      </c>
      <c r="E4743" t="s">
        <v>377</v>
      </c>
      <c r="F4743" t="s">
        <v>385</v>
      </c>
      <c r="G4743" t="s">
        <v>347</v>
      </c>
      <c r="H4743" t="s">
        <v>749</v>
      </c>
      <c r="I4743" t="s">
        <v>743</v>
      </c>
      <c r="J4743" t="s">
        <v>379</v>
      </c>
      <c r="K4743" t="s">
        <v>546</v>
      </c>
      <c r="L4743" s="784" t="s">
        <v>575</v>
      </c>
      <c r="M4743" t="s">
        <v>745</v>
      </c>
      <c r="N4743" s="784"/>
      <c r="O4743" t="s">
        <v>737</v>
      </c>
      <c r="P4743" t="s">
        <v>1887</v>
      </c>
      <c r="R4743" t="s">
        <v>550</v>
      </c>
      <c r="S4743" t="s">
        <v>146</v>
      </c>
      <c r="U4743">
        <v>0</v>
      </c>
      <c r="V4743" t="s">
        <v>541</v>
      </c>
      <c r="W4743" t="s">
        <v>575</v>
      </c>
      <c r="X4743" s="784">
        <v>24214370.889062837</v>
      </c>
    </row>
    <row r="4744" spans="1:24">
      <c r="A4744" t="s">
        <v>358</v>
      </c>
      <c r="B4744" t="s">
        <v>674</v>
      </c>
      <c r="C4744" t="s">
        <v>154</v>
      </c>
      <c r="D4744" t="s">
        <v>130</v>
      </c>
      <c r="E4744" t="s">
        <v>377</v>
      </c>
      <c r="F4744" t="s">
        <v>385</v>
      </c>
      <c r="G4744" t="s">
        <v>347</v>
      </c>
      <c r="H4744" t="s">
        <v>749</v>
      </c>
      <c r="I4744" t="s">
        <v>743</v>
      </c>
      <c r="J4744" t="s">
        <v>379</v>
      </c>
      <c r="K4744" t="s">
        <v>546</v>
      </c>
      <c r="L4744" s="784">
        <v>75000</v>
      </c>
      <c r="M4744" t="s">
        <v>745</v>
      </c>
      <c r="N4744" s="784"/>
      <c r="O4744" t="s">
        <v>737</v>
      </c>
      <c r="P4744" t="s">
        <v>1887</v>
      </c>
      <c r="R4744" t="s">
        <v>152</v>
      </c>
      <c r="S4744" t="s">
        <v>145</v>
      </c>
      <c r="U4744">
        <v>0</v>
      </c>
      <c r="V4744" t="s">
        <v>541</v>
      </c>
      <c r="W4744" t="s">
        <v>548</v>
      </c>
      <c r="X4744" s="784">
        <v>39941279.609447442</v>
      </c>
    </row>
    <row r="4745" spans="1:24">
      <c r="A4745" t="s">
        <v>358</v>
      </c>
      <c r="B4745" t="s">
        <v>675</v>
      </c>
      <c r="C4745" t="s">
        <v>155</v>
      </c>
      <c r="D4745" t="s">
        <v>130</v>
      </c>
      <c r="E4745" t="s">
        <v>377</v>
      </c>
      <c r="F4745" t="s">
        <v>385</v>
      </c>
      <c r="G4745" t="s">
        <v>347</v>
      </c>
      <c r="H4745" t="s">
        <v>749</v>
      </c>
      <c r="I4745" t="s">
        <v>743</v>
      </c>
      <c r="J4745" t="s">
        <v>379</v>
      </c>
      <c r="K4745" t="s">
        <v>546</v>
      </c>
      <c r="L4745" s="784">
        <v>75000</v>
      </c>
      <c r="M4745" t="s">
        <v>745</v>
      </c>
      <c r="N4745" s="784"/>
      <c r="O4745" t="s">
        <v>737</v>
      </c>
      <c r="P4745" t="s">
        <v>1887</v>
      </c>
      <c r="R4745" t="s">
        <v>152</v>
      </c>
      <c r="S4745" t="s">
        <v>145</v>
      </c>
      <c r="U4745">
        <v>0</v>
      </c>
      <c r="V4745" t="s">
        <v>541</v>
      </c>
      <c r="W4745" t="s">
        <v>542</v>
      </c>
      <c r="X4745" s="784">
        <v>24761675.260059897</v>
      </c>
    </row>
    <row r="4746" spans="1:24">
      <c r="A4746" t="s">
        <v>358</v>
      </c>
      <c r="B4746" t="s">
        <v>676</v>
      </c>
      <c r="C4746" t="s">
        <v>276</v>
      </c>
      <c r="D4746" t="s">
        <v>131</v>
      </c>
      <c r="E4746" t="s">
        <v>377</v>
      </c>
      <c r="F4746" t="s">
        <v>385</v>
      </c>
      <c r="G4746" t="s">
        <v>347</v>
      </c>
      <c r="H4746" t="s">
        <v>749</v>
      </c>
      <c r="I4746" t="s">
        <v>743</v>
      </c>
      <c r="J4746" t="s">
        <v>379</v>
      </c>
      <c r="K4746" t="s">
        <v>546</v>
      </c>
      <c r="L4746" s="784">
        <v>450000</v>
      </c>
      <c r="M4746" t="s">
        <v>745</v>
      </c>
      <c r="N4746" s="784"/>
      <c r="O4746" t="s">
        <v>737</v>
      </c>
      <c r="P4746" t="s">
        <v>1887</v>
      </c>
      <c r="R4746" t="s">
        <v>150</v>
      </c>
      <c r="S4746" t="s">
        <v>145</v>
      </c>
      <c r="U4746">
        <v>0</v>
      </c>
      <c r="V4746" t="s">
        <v>544</v>
      </c>
      <c r="W4746" t="s">
        <v>546</v>
      </c>
      <c r="X4746" s="784" t="s">
        <v>575</v>
      </c>
    </row>
    <row r="4747" spans="1:24">
      <c r="A4747" t="s">
        <v>358</v>
      </c>
      <c r="B4747" t="s">
        <v>677</v>
      </c>
      <c r="C4747" t="s">
        <v>277</v>
      </c>
      <c r="D4747" t="s">
        <v>131</v>
      </c>
      <c r="E4747" t="s">
        <v>377</v>
      </c>
      <c r="F4747" t="s">
        <v>385</v>
      </c>
      <c r="G4747" t="s">
        <v>347</v>
      </c>
      <c r="H4747" t="s">
        <v>749</v>
      </c>
      <c r="I4747" t="s">
        <v>743</v>
      </c>
      <c r="J4747" t="s">
        <v>379</v>
      </c>
      <c r="K4747" t="s">
        <v>546</v>
      </c>
      <c r="L4747" s="784">
        <v>7767500</v>
      </c>
      <c r="M4747" t="s">
        <v>745</v>
      </c>
      <c r="N4747" s="784"/>
      <c r="O4747" t="s">
        <v>737</v>
      </c>
      <c r="P4747" t="s">
        <v>1887</v>
      </c>
      <c r="R4747" t="s">
        <v>148</v>
      </c>
      <c r="S4747" t="s">
        <v>145</v>
      </c>
      <c r="U4747">
        <v>1</v>
      </c>
      <c r="V4747" t="s">
        <v>544</v>
      </c>
      <c r="W4747" t="s">
        <v>546</v>
      </c>
      <c r="X4747" s="784">
        <v>577156172.71229994</v>
      </c>
    </row>
    <row r="4748" spans="1:24">
      <c r="A4748" t="s">
        <v>358</v>
      </c>
      <c r="B4748" t="s">
        <v>678</v>
      </c>
      <c r="C4748" t="s">
        <v>278</v>
      </c>
      <c r="D4748" t="s">
        <v>126</v>
      </c>
      <c r="E4748" t="s">
        <v>377</v>
      </c>
      <c r="F4748" t="s">
        <v>385</v>
      </c>
      <c r="G4748" t="s">
        <v>347</v>
      </c>
      <c r="H4748" t="s">
        <v>749</v>
      </c>
      <c r="I4748" t="s">
        <v>743</v>
      </c>
      <c r="J4748" t="s">
        <v>379</v>
      </c>
      <c r="K4748" t="s">
        <v>546</v>
      </c>
      <c r="L4748" s="784">
        <v>0</v>
      </c>
      <c r="M4748" t="s">
        <v>745</v>
      </c>
      <c r="N4748" s="784"/>
      <c r="O4748" t="s">
        <v>737</v>
      </c>
      <c r="P4748" t="s">
        <v>1887</v>
      </c>
      <c r="R4748" t="s">
        <v>152</v>
      </c>
      <c r="S4748" t="s">
        <v>146</v>
      </c>
      <c r="U4748">
        <v>0</v>
      </c>
      <c r="V4748" t="s">
        <v>541</v>
      </c>
      <c r="W4748" t="s">
        <v>575</v>
      </c>
      <c r="X4748" s="784">
        <v>180052034.19851837</v>
      </c>
    </row>
    <row r="4749" spans="1:24">
      <c r="A4749" t="s">
        <v>358</v>
      </c>
      <c r="B4749" t="s">
        <v>679</v>
      </c>
      <c r="C4749" t="s">
        <v>279</v>
      </c>
      <c r="D4749" t="s">
        <v>131</v>
      </c>
      <c r="E4749" t="s">
        <v>377</v>
      </c>
      <c r="F4749" t="s">
        <v>385</v>
      </c>
      <c r="G4749" t="s">
        <v>347</v>
      </c>
      <c r="H4749" t="s">
        <v>749</v>
      </c>
      <c r="I4749" t="s">
        <v>743</v>
      </c>
      <c r="J4749" t="s">
        <v>379</v>
      </c>
      <c r="K4749" t="s">
        <v>546</v>
      </c>
      <c r="L4749" s="784">
        <v>5153018</v>
      </c>
      <c r="M4749" t="s">
        <v>745</v>
      </c>
      <c r="N4749" s="784"/>
      <c r="O4749" t="s">
        <v>737</v>
      </c>
      <c r="P4749" t="s">
        <v>1887</v>
      </c>
      <c r="R4749" t="s">
        <v>148</v>
      </c>
      <c r="S4749" t="s">
        <v>145</v>
      </c>
      <c r="U4749">
        <v>1</v>
      </c>
      <c r="V4749" t="s">
        <v>544</v>
      </c>
      <c r="W4749" t="s">
        <v>546</v>
      </c>
      <c r="X4749" s="784" t="s">
        <v>575</v>
      </c>
    </row>
    <row r="4750" spans="1:24">
      <c r="A4750" t="s">
        <v>358</v>
      </c>
      <c r="B4750" t="s">
        <v>680</v>
      </c>
      <c r="C4750" t="s">
        <v>280</v>
      </c>
      <c r="D4750" t="s">
        <v>127</v>
      </c>
      <c r="E4750" t="s">
        <v>377</v>
      </c>
      <c r="F4750" t="s">
        <v>385</v>
      </c>
      <c r="G4750" t="s">
        <v>347</v>
      </c>
      <c r="H4750" t="s">
        <v>749</v>
      </c>
      <c r="I4750" t="s">
        <v>743</v>
      </c>
      <c r="J4750" t="s">
        <v>379</v>
      </c>
      <c r="K4750" t="s">
        <v>546</v>
      </c>
      <c r="L4750" s="784">
        <v>0</v>
      </c>
      <c r="M4750" t="s">
        <v>745</v>
      </c>
      <c r="N4750" s="784"/>
      <c r="O4750" t="s">
        <v>737</v>
      </c>
      <c r="P4750" t="s">
        <v>1887</v>
      </c>
      <c r="R4750" t="s">
        <v>150</v>
      </c>
      <c r="S4750" t="s">
        <v>145</v>
      </c>
      <c r="U4750">
        <v>0</v>
      </c>
      <c r="V4750" t="s">
        <v>544</v>
      </c>
      <c r="W4750" t="s">
        <v>542</v>
      </c>
      <c r="X4750" s="784">
        <v>147296124.32232863</v>
      </c>
    </row>
    <row r="4751" spans="1:24">
      <c r="A4751" t="s">
        <v>358</v>
      </c>
      <c r="B4751" t="s">
        <v>681</v>
      </c>
      <c r="C4751" t="s">
        <v>156</v>
      </c>
      <c r="D4751" t="s">
        <v>128</v>
      </c>
      <c r="E4751" t="s">
        <v>377</v>
      </c>
      <c r="F4751" t="s">
        <v>385</v>
      </c>
      <c r="G4751" t="s">
        <v>347</v>
      </c>
      <c r="H4751" t="s">
        <v>749</v>
      </c>
      <c r="I4751" t="s">
        <v>743</v>
      </c>
      <c r="J4751" t="s">
        <v>379</v>
      </c>
      <c r="K4751" t="s">
        <v>546</v>
      </c>
      <c r="L4751" s="784">
        <v>1824000</v>
      </c>
      <c r="M4751" t="s">
        <v>745</v>
      </c>
      <c r="N4751" s="784"/>
      <c r="O4751" t="s">
        <v>737</v>
      </c>
      <c r="P4751" t="s">
        <v>1887</v>
      </c>
      <c r="R4751" t="s">
        <v>150</v>
      </c>
      <c r="S4751" t="s">
        <v>145</v>
      </c>
      <c r="U4751">
        <v>0</v>
      </c>
      <c r="V4751" t="s">
        <v>544</v>
      </c>
      <c r="W4751" t="s">
        <v>548</v>
      </c>
      <c r="X4751" s="784">
        <v>890576536.83065879</v>
      </c>
    </row>
    <row r="4752" spans="1:24">
      <c r="A4752" t="s">
        <v>358</v>
      </c>
      <c r="B4752" t="s">
        <v>682</v>
      </c>
      <c r="C4752" t="s">
        <v>157</v>
      </c>
      <c r="D4752" t="s">
        <v>126</v>
      </c>
      <c r="E4752" t="s">
        <v>377</v>
      </c>
      <c r="F4752" t="s">
        <v>385</v>
      </c>
      <c r="G4752" t="s">
        <v>347</v>
      </c>
      <c r="H4752" t="s">
        <v>749</v>
      </c>
      <c r="I4752" t="s">
        <v>743</v>
      </c>
      <c r="J4752" t="s">
        <v>379</v>
      </c>
      <c r="K4752" t="s">
        <v>546</v>
      </c>
      <c r="L4752" s="784" t="s">
        <v>575</v>
      </c>
      <c r="M4752" t="s">
        <v>745</v>
      </c>
      <c r="N4752" s="784"/>
      <c r="O4752" t="s">
        <v>737</v>
      </c>
      <c r="P4752" t="s">
        <v>1887</v>
      </c>
      <c r="R4752" t="s">
        <v>152</v>
      </c>
      <c r="S4752" t="s">
        <v>146</v>
      </c>
      <c r="U4752">
        <v>0</v>
      </c>
      <c r="V4752" t="s">
        <v>544</v>
      </c>
      <c r="W4752" t="s">
        <v>575</v>
      </c>
      <c r="X4752" s="784">
        <v>14611129792.346064</v>
      </c>
    </row>
    <row r="4753" spans="1:24">
      <c r="A4753" t="s">
        <v>358</v>
      </c>
      <c r="B4753" t="s">
        <v>683</v>
      </c>
      <c r="C4753" t="s">
        <v>281</v>
      </c>
      <c r="D4753" t="s">
        <v>126</v>
      </c>
      <c r="E4753" t="s">
        <v>377</v>
      </c>
      <c r="F4753" t="s">
        <v>385</v>
      </c>
      <c r="G4753" t="s">
        <v>347</v>
      </c>
      <c r="H4753" t="s">
        <v>749</v>
      </c>
      <c r="I4753" t="s">
        <v>743</v>
      </c>
      <c r="J4753" t="s">
        <v>379</v>
      </c>
      <c r="K4753" t="s">
        <v>546</v>
      </c>
      <c r="L4753" s="784">
        <v>260000</v>
      </c>
      <c r="M4753" t="s">
        <v>745</v>
      </c>
      <c r="N4753" s="784"/>
      <c r="O4753" t="s">
        <v>737</v>
      </c>
      <c r="P4753" t="s">
        <v>1887</v>
      </c>
      <c r="R4753" t="s">
        <v>150</v>
      </c>
      <c r="S4753" t="s">
        <v>145</v>
      </c>
      <c r="U4753">
        <v>0</v>
      </c>
      <c r="V4753" t="s">
        <v>541</v>
      </c>
      <c r="W4753" t="s">
        <v>558</v>
      </c>
      <c r="X4753" s="784">
        <v>72046877.233008593</v>
      </c>
    </row>
    <row r="4754" spans="1:24">
      <c r="A4754" t="s">
        <v>358</v>
      </c>
      <c r="B4754" t="s">
        <v>684</v>
      </c>
      <c r="C4754" t="s">
        <v>282</v>
      </c>
      <c r="D4754" t="s">
        <v>129</v>
      </c>
      <c r="E4754" t="s">
        <v>377</v>
      </c>
      <c r="F4754" t="s">
        <v>385</v>
      </c>
      <c r="G4754" t="s">
        <v>347</v>
      </c>
      <c r="H4754" t="s">
        <v>749</v>
      </c>
      <c r="I4754" t="s">
        <v>743</v>
      </c>
      <c r="J4754" t="s">
        <v>379</v>
      </c>
      <c r="K4754" t="s">
        <v>546</v>
      </c>
      <c r="L4754" s="784">
        <v>500000</v>
      </c>
      <c r="M4754" t="s">
        <v>745</v>
      </c>
      <c r="N4754" s="784"/>
      <c r="O4754" t="s">
        <v>737</v>
      </c>
      <c r="P4754" t="s">
        <v>1887</v>
      </c>
      <c r="R4754" t="s">
        <v>148</v>
      </c>
      <c r="S4754" t="s">
        <v>145</v>
      </c>
      <c r="U4754">
        <v>0</v>
      </c>
      <c r="V4754" t="s">
        <v>544</v>
      </c>
      <c r="W4754" t="s">
        <v>542</v>
      </c>
      <c r="X4754" s="784">
        <v>56248139.267255567</v>
      </c>
    </row>
    <row r="4755" spans="1:24">
      <c r="A4755" t="s">
        <v>358</v>
      </c>
      <c r="B4755" t="s">
        <v>685</v>
      </c>
      <c r="C4755" t="s">
        <v>283</v>
      </c>
      <c r="D4755" t="s">
        <v>126</v>
      </c>
      <c r="E4755" t="s">
        <v>377</v>
      </c>
      <c r="F4755" t="s">
        <v>385</v>
      </c>
      <c r="G4755" t="s">
        <v>347</v>
      </c>
      <c r="H4755" t="s">
        <v>749</v>
      </c>
      <c r="I4755" t="s">
        <v>743</v>
      </c>
      <c r="J4755" t="s">
        <v>379</v>
      </c>
      <c r="K4755" t="s">
        <v>546</v>
      </c>
      <c r="L4755" s="784">
        <v>0</v>
      </c>
      <c r="M4755" t="s">
        <v>745</v>
      </c>
      <c r="N4755" s="784"/>
      <c r="O4755" t="s">
        <v>737</v>
      </c>
      <c r="P4755" t="s">
        <v>1887</v>
      </c>
      <c r="R4755" t="s">
        <v>152</v>
      </c>
      <c r="S4755" t="s">
        <v>145</v>
      </c>
      <c r="U4755">
        <v>0</v>
      </c>
      <c r="V4755" t="s">
        <v>541</v>
      </c>
      <c r="W4755" t="s">
        <v>542</v>
      </c>
      <c r="X4755" s="784">
        <v>15464031.712942109</v>
      </c>
    </row>
    <row r="4756" spans="1:24">
      <c r="A4756" t="s">
        <v>358</v>
      </c>
      <c r="B4756" t="s">
        <v>686</v>
      </c>
      <c r="C4756" t="s">
        <v>284</v>
      </c>
      <c r="D4756" t="s">
        <v>130</v>
      </c>
      <c r="E4756" t="s">
        <v>377</v>
      </c>
      <c r="F4756" t="s">
        <v>385</v>
      </c>
      <c r="G4756" t="s">
        <v>347</v>
      </c>
      <c r="H4756" t="s">
        <v>749</v>
      </c>
      <c r="I4756" t="s">
        <v>743</v>
      </c>
      <c r="J4756" t="s">
        <v>379</v>
      </c>
      <c r="K4756" t="s">
        <v>546</v>
      </c>
      <c r="L4756" s="784" t="s">
        <v>575</v>
      </c>
      <c r="M4756" t="s">
        <v>745</v>
      </c>
      <c r="N4756" s="784"/>
      <c r="O4756" t="s">
        <v>737</v>
      </c>
      <c r="P4756" t="s">
        <v>1887</v>
      </c>
      <c r="R4756" t="s">
        <v>550</v>
      </c>
      <c r="S4756" t="s">
        <v>146</v>
      </c>
      <c r="U4756">
        <v>0</v>
      </c>
      <c r="V4756" t="s">
        <v>541</v>
      </c>
      <c r="W4756" t="s">
        <v>546</v>
      </c>
      <c r="X4756" s="784">
        <v>769564399.33249676</v>
      </c>
    </row>
    <row r="4757" spans="1:24">
      <c r="A4757" t="s">
        <v>358</v>
      </c>
      <c r="B4757" t="s">
        <v>687</v>
      </c>
      <c r="C4757" t="s">
        <v>285</v>
      </c>
      <c r="D4757" t="s">
        <v>131</v>
      </c>
      <c r="E4757" t="s">
        <v>377</v>
      </c>
      <c r="F4757" t="s">
        <v>385</v>
      </c>
      <c r="G4757" t="s">
        <v>347</v>
      </c>
      <c r="H4757" t="s">
        <v>749</v>
      </c>
      <c r="I4757" t="s">
        <v>743</v>
      </c>
      <c r="J4757" t="s">
        <v>379</v>
      </c>
      <c r="K4757" t="s">
        <v>546</v>
      </c>
      <c r="L4757" s="784">
        <v>0</v>
      </c>
      <c r="M4757" t="s">
        <v>745</v>
      </c>
      <c r="N4757" s="784"/>
      <c r="O4757" t="s">
        <v>737</v>
      </c>
      <c r="P4757" t="s">
        <v>1887</v>
      </c>
      <c r="R4757" t="s">
        <v>150</v>
      </c>
      <c r="S4757" t="s">
        <v>145</v>
      </c>
      <c r="U4757">
        <v>0</v>
      </c>
      <c r="V4757" t="s">
        <v>544</v>
      </c>
      <c r="W4757" t="s">
        <v>546</v>
      </c>
      <c r="X4757" s="784">
        <v>1668954539.7630196</v>
      </c>
    </row>
    <row r="4758" spans="1:24">
      <c r="A4758" t="s">
        <v>358</v>
      </c>
      <c r="B4758" t="s">
        <v>688</v>
      </c>
      <c r="C4758" t="s">
        <v>286</v>
      </c>
      <c r="D4758" t="s">
        <v>127</v>
      </c>
      <c r="E4758" t="s">
        <v>377</v>
      </c>
      <c r="F4758" t="s">
        <v>385</v>
      </c>
      <c r="G4758" t="s">
        <v>347</v>
      </c>
      <c r="H4758" t="s">
        <v>749</v>
      </c>
      <c r="I4758" t="s">
        <v>743</v>
      </c>
      <c r="J4758" t="s">
        <v>379</v>
      </c>
      <c r="K4758" t="s">
        <v>546</v>
      </c>
      <c r="L4758" s="784" t="s">
        <v>575</v>
      </c>
      <c r="M4758" t="s">
        <v>745</v>
      </c>
      <c r="N4758" s="784"/>
      <c r="O4758" t="s">
        <v>737</v>
      </c>
      <c r="P4758" t="s">
        <v>1887</v>
      </c>
      <c r="R4758" t="s">
        <v>152</v>
      </c>
      <c r="S4758" t="s">
        <v>146</v>
      </c>
      <c r="U4758">
        <v>0</v>
      </c>
      <c r="V4758" t="s">
        <v>544</v>
      </c>
      <c r="W4758" t="s">
        <v>575</v>
      </c>
      <c r="X4758" s="784">
        <v>24840920016.18832</v>
      </c>
    </row>
    <row r="4759" spans="1:24">
      <c r="A4759" t="s">
        <v>358</v>
      </c>
      <c r="B4759" t="s">
        <v>689</v>
      </c>
      <c r="C4759" t="s">
        <v>287</v>
      </c>
      <c r="D4759" t="s">
        <v>127</v>
      </c>
      <c r="E4759" t="s">
        <v>377</v>
      </c>
      <c r="F4759" t="s">
        <v>385</v>
      </c>
      <c r="G4759" t="s">
        <v>347</v>
      </c>
      <c r="H4759" t="s">
        <v>749</v>
      </c>
      <c r="I4759" t="s">
        <v>743</v>
      </c>
      <c r="J4759" t="s">
        <v>379</v>
      </c>
      <c r="K4759" t="s">
        <v>546</v>
      </c>
      <c r="L4759" s="784" t="s">
        <v>575</v>
      </c>
      <c r="M4759" t="s">
        <v>745</v>
      </c>
      <c r="N4759" s="784"/>
      <c r="O4759" t="s">
        <v>737</v>
      </c>
      <c r="P4759" t="s">
        <v>1887</v>
      </c>
      <c r="R4759" t="s">
        <v>152</v>
      </c>
      <c r="S4759" t="s">
        <v>146</v>
      </c>
      <c r="U4759">
        <v>0</v>
      </c>
      <c r="V4759" t="s">
        <v>544</v>
      </c>
      <c r="W4759" t="s">
        <v>546</v>
      </c>
      <c r="X4759" s="784">
        <v>487888462.83720118</v>
      </c>
    </row>
    <row r="4760" spans="1:24">
      <c r="A4760" t="s">
        <v>358</v>
      </c>
      <c r="B4760" t="s">
        <v>690</v>
      </c>
      <c r="C4760" t="s">
        <v>288</v>
      </c>
      <c r="D4760" t="s">
        <v>126</v>
      </c>
      <c r="E4760" t="s">
        <v>377</v>
      </c>
      <c r="F4760" t="s">
        <v>385</v>
      </c>
      <c r="G4760" t="s">
        <v>347</v>
      </c>
      <c r="H4760" t="s">
        <v>749</v>
      </c>
      <c r="I4760" t="s">
        <v>743</v>
      </c>
      <c r="J4760" t="s">
        <v>379</v>
      </c>
      <c r="K4760" t="s">
        <v>546</v>
      </c>
      <c r="L4760" s="784">
        <v>0</v>
      </c>
      <c r="M4760" t="s">
        <v>745</v>
      </c>
      <c r="N4760" s="784"/>
      <c r="O4760" t="s">
        <v>737</v>
      </c>
      <c r="P4760" t="s">
        <v>1887</v>
      </c>
      <c r="R4760" t="s">
        <v>152</v>
      </c>
      <c r="S4760" t="s">
        <v>145</v>
      </c>
      <c r="U4760">
        <v>0</v>
      </c>
      <c r="V4760" t="s">
        <v>541</v>
      </c>
      <c r="W4760" t="s">
        <v>548</v>
      </c>
      <c r="X4760" s="784">
        <v>6365061.1736073596</v>
      </c>
    </row>
    <row r="4761" spans="1:24">
      <c r="A4761" t="s">
        <v>358</v>
      </c>
      <c r="B4761" t="s">
        <v>691</v>
      </c>
      <c r="C4761" t="s">
        <v>289</v>
      </c>
      <c r="D4761" t="s">
        <v>128</v>
      </c>
      <c r="E4761" t="s">
        <v>377</v>
      </c>
      <c r="F4761" t="s">
        <v>385</v>
      </c>
      <c r="G4761" t="s">
        <v>347</v>
      </c>
      <c r="H4761" t="s">
        <v>749</v>
      </c>
      <c r="I4761" t="s">
        <v>743</v>
      </c>
      <c r="J4761" t="s">
        <v>379</v>
      </c>
      <c r="K4761" t="s">
        <v>546</v>
      </c>
      <c r="L4761" s="784">
        <v>316219</v>
      </c>
      <c r="M4761" t="s">
        <v>745</v>
      </c>
      <c r="N4761" s="784"/>
      <c r="O4761" t="s">
        <v>737</v>
      </c>
      <c r="P4761" t="s">
        <v>1887</v>
      </c>
      <c r="R4761" t="s">
        <v>148</v>
      </c>
      <c r="S4761" t="s">
        <v>145</v>
      </c>
      <c r="U4761">
        <v>2</v>
      </c>
      <c r="V4761" t="s">
        <v>544</v>
      </c>
      <c r="W4761" t="s">
        <v>558</v>
      </c>
      <c r="X4761" s="784">
        <v>291799092.90196139</v>
      </c>
    </row>
    <row r="4762" spans="1:24">
      <c r="A4762" t="s">
        <v>358</v>
      </c>
      <c r="B4762" t="s">
        <v>692</v>
      </c>
      <c r="C4762" t="s">
        <v>290</v>
      </c>
      <c r="D4762" t="s">
        <v>127</v>
      </c>
      <c r="E4762" t="s">
        <v>377</v>
      </c>
      <c r="F4762" t="s">
        <v>385</v>
      </c>
      <c r="G4762" t="s">
        <v>347</v>
      </c>
      <c r="H4762" t="s">
        <v>749</v>
      </c>
      <c r="I4762" t="s">
        <v>743</v>
      </c>
      <c r="J4762" t="s">
        <v>379</v>
      </c>
      <c r="K4762" t="s">
        <v>546</v>
      </c>
      <c r="L4762" s="784">
        <v>1450000</v>
      </c>
      <c r="M4762" t="s">
        <v>745</v>
      </c>
      <c r="N4762" s="784"/>
      <c r="O4762" t="s">
        <v>737</v>
      </c>
      <c r="P4762" t="s">
        <v>1887</v>
      </c>
      <c r="R4762" t="s">
        <v>150</v>
      </c>
      <c r="S4762" t="s">
        <v>145</v>
      </c>
      <c r="U4762">
        <v>0</v>
      </c>
      <c r="V4762" t="s">
        <v>544</v>
      </c>
      <c r="W4762" t="s">
        <v>546</v>
      </c>
      <c r="X4762" s="784">
        <v>4844815340.2135534</v>
      </c>
    </row>
    <row r="4763" spans="1:24">
      <c r="A4763" t="s">
        <v>358</v>
      </c>
      <c r="B4763" t="s">
        <v>693</v>
      </c>
      <c r="C4763" t="s">
        <v>291</v>
      </c>
      <c r="D4763" t="s">
        <v>130</v>
      </c>
      <c r="E4763" t="s">
        <v>377</v>
      </c>
      <c r="F4763" t="s">
        <v>385</v>
      </c>
      <c r="G4763" t="s">
        <v>347</v>
      </c>
      <c r="H4763" t="s">
        <v>749</v>
      </c>
      <c r="I4763" t="s">
        <v>743</v>
      </c>
      <c r="J4763" t="s">
        <v>379</v>
      </c>
      <c r="K4763" t="s">
        <v>546</v>
      </c>
      <c r="L4763" s="784">
        <v>0</v>
      </c>
      <c r="M4763" t="s">
        <v>745</v>
      </c>
      <c r="N4763" s="784"/>
      <c r="O4763" t="s">
        <v>737</v>
      </c>
      <c r="P4763" t="s">
        <v>1887</v>
      </c>
      <c r="R4763" t="s">
        <v>550</v>
      </c>
      <c r="S4763" t="s">
        <v>146</v>
      </c>
      <c r="U4763">
        <v>0</v>
      </c>
      <c r="V4763" t="s">
        <v>544</v>
      </c>
      <c r="W4763" t="s">
        <v>575</v>
      </c>
      <c r="X4763" s="784">
        <v>4001891446.6871672</v>
      </c>
    </row>
    <row r="4764" spans="1:24">
      <c r="A4764" t="s">
        <v>358</v>
      </c>
      <c r="B4764" t="s">
        <v>694</v>
      </c>
      <c r="C4764" t="s">
        <v>292</v>
      </c>
      <c r="D4764" t="s">
        <v>127</v>
      </c>
      <c r="E4764" t="s">
        <v>377</v>
      </c>
      <c r="F4764" t="s">
        <v>385</v>
      </c>
      <c r="G4764" t="s">
        <v>347</v>
      </c>
      <c r="H4764" t="s">
        <v>749</v>
      </c>
      <c r="I4764" t="s">
        <v>743</v>
      </c>
      <c r="J4764" t="s">
        <v>379</v>
      </c>
      <c r="K4764" t="s">
        <v>546</v>
      </c>
      <c r="L4764" s="784">
        <v>950000</v>
      </c>
      <c r="M4764" t="s">
        <v>745</v>
      </c>
      <c r="N4764" s="784"/>
      <c r="O4764" t="s">
        <v>737</v>
      </c>
      <c r="P4764" t="s">
        <v>1887</v>
      </c>
      <c r="R4764" t="s">
        <v>150</v>
      </c>
      <c r="S4764" t="s">
        <v>145</v>
      </c>
      <c r="U4764">
        <v>0</v>
      </c>
      <c r="V4764" t="s">
        <v>544</v>
      </c>
      <c r="W4764" t="s">
        <v>558</v>
      </c>
      <c r="X4764" s="784">
        <v>1019800630.5853213</v>
      </c>
    </row>
    <row r="4765" spans="1:24">
      <c r="A4765" t="s">
        <v>358</v>
      </c>
      <c r="B4765" t="s">
        <v>695</v>
      </c>
      <c r="C4765" t="s">
        <v>293</v>
      </c>
      <c r="D4765" t="s">
        <v>126</v>
      </c>
      <c r="E4765" t="s">
        <v>377</v>
      </c>
      <c r="F4765" t="s">
        <v>385</v>
      </c>
      <c r="G4765" t="s">
        <v>347</v>
      </c>
      <c r="H4765" t="s">
        <v>749</v>
      </c>
      <c r="I4765" t="s">
        <v>743</v>
      </c>
      <c r="J4765" t="s">
        <v>379</v>
      </c>
      <c r="K4765" t="s">
        <v>546</v>
      </c>
      <c r="L4765" s="784">
        <v>0</v>
      </c>
      <c r="M4765" t="s">
        <v>745</v>
      </c>
      <c r="N4765" s="784"/>
      <c r="O4765" t="s">
        <v>737</v>
      </c>
      <c r="P4765" t="s">
        <v>1887</v>
      </c>
      <c r="R4765" t="s">
        <v>150</v>
      </c>
      <c r="S4765" t="s">
        <v>145</v>
      </c>
      <c r="U4765">
        <v>0</v>
      </c>
      <c r="V4765" t="s">
        <v>541</v>
      </c>
      <c r="W4765" t="s">
        <v>562</v>
      </c>
      <c r="X4765" s="784">
        <v>19578671.310841195</v>
      </c>
    </row>
    <row r="4766" spans="1:24">
      <c r="A4766" t="s">
        <v>358</v>
      </c>
      <c r="B4766" t="s">
        <v>696</v>
      </c>
      <c r="C4766" t="s">
        <v>294</v>
      </c>
      <c r="D4766" t="s">
        <v>130</v>
      </c>
      <c r="E4766" t="s">
        <v>377</v>
      </c>
      <c r="F4766" t="s">
        <v>385</v>
      </c>
      <c r="G4766" t="s">
        <v>347</v>
      </c>
      <c r="H4766" t="s">
        <v>749</v>
      </c>
      <c r="I4766" t="s">
        <v>743</v>
      </c>
      <c r="J4766" t="s">
        <v>379</v>
      </c>
      <c r="K4766" t="s">
        <v>546</v>
      </c>
      <c r="L4766" s="784">
        <v>1000000</v>
      </c>
      <c r="M4766" t="s">
        <v>745</v>
      </c>
      <c r="N4766" s="784"/>
      <c r="O4766" t="s">
        <v>737</v>
      </c>
      <c r="P4766" t="s">
        <v>1887</v>
      </c>
      <c r="R4766" t="s">
        <v>322</v>
      </c>
      <c r="S4766" t="s">
        <v>146</v>
      </c>
      <c r="U4766">
        <v>0</v>
      </c>
      <c r="V4766" t="s">
        <v>544</v>
      </c>
      <c r="W4766" t="s">
        <v>546</v>
      </c>
      <c r="X4766" s="784">
        <v>3551452001.0684834</v>
      </c>
    </row>
    <row r="4767" spans="1:24">
      <c r="A4767" t="s">
        <v>358</v>
      </c>
      <c r="B4767" t="s">
        <v>697</v>
      </c>
      <c r="C4767" t="s">
        <v>295</v>
      </c>
      <c r="D4767" t="s">
        <v>126</v>
      </c>
      <c r="E4767" t="s">
        <v>377</v>
      </c>
      <c r="F4767" t="s">
        <v>385</v>
      </c>
      <c r="G4767" t="s">
        <v>347</v>
      </c>
      <c r="H4767" t="s">
        <v>749</v>
      </c>
      <c r="I4767" t="s">
        <v>743</v>
      </c>
      <c r="J4767" t="s">
        <v>379</v>
      </c>
      <c r="K4767" t="s">
        <v>546</v>
      </c>
      <c r="L4767" s="784">
        <v>1000000</v>
      </c>
      <c r="M4767" t="s">
        <v>745</v>
      </c>
      <c r="N4767" s="784"/>
      <c r="O4767" t="s">
        <v>737</v>
      </c>
      <c r="P4767" t="s">
        <v>1887</v>
      </c>
      <c r="R4767" t="s">
        <v>150</v>
      </c>
      <c r="S4767" t="s">
        <v>145</v>
      </c>
      <c r="U4767">
        <v>0</v>
      </c>
      <c r="V4767" t="s">
        <v>544</v>
      </c>
      <c r="W4767" t="s">
        <v>546</v>
      </c>
      <c r="X4767" s="784">
        <v>6603048821.7575006</v>
      </c>
    </row>
    <row r="4768" spans="1:24">
      <c r="A4768" t="s">
        <v>358</v>
      </c>
      <c r="B4768" t="s">
        <v>698</v>
      </c>
      <c r="C4768" t="s">
        <v>296</v>
      </c>
      <c r="D4768" t="s">
        <v>131</v>
      </c>
      <c r="E4768" t="s">
        <v>377</v>
      </c>
      <c r="F4768" t="s">
        <v>385</v>
      </c>
      <c r="G4768" t="s">
        <v>347</v>
      </c>
      <c r="H4768" t="s">
        <v>749</v>
      </c>
      <c r="I4768" t="s">
        <v>743</v>
      </c>
      <c r="J4768" t="s">
        <v>379</v>
      </c>
      <c r="K4768" t="s">
        <v>546</v>
      </c>
      <c r="L4768" s="784">
        <v>5929249</v>
      </c>
      <c r="M4768" t="s">
        <v>745</v>
      </c>
      <c r="N4768" s="784"/>
      <c r="O4768" t="s">
        <v>737</v>
      </c>
      <c r="P4768" t="s">
        <v>1887</v>
      </c>
      <c r="R4768" t="s">
        <v>148</v>
      </c>
      <c r="S4768" t="s">
        <v>145</v>
      </c>
      <c r="U4768">
        <v>1</v>
      </c>
      <c r="V4768" t="s">
        <v>544</v>
      </c>
      <c r="W4768" t="s">
        <v>548</v>
      </c>
      <c r="X4768" s="784" t="s">
        <v>575</v>
      </c>
    </row>
    <row r="4769" spans="1:24">
      <c r="A4769" t="s">
        <v>358</v>
      </c>
      <c r="B4769" t="s">
        <v>699</v>
      </c>
      <c r="C4769" t="s">
        <v>297</v>
      </c>
      <c r="D4769" t="s">
        <v>128</v>
      </c>
      <c r="E4769" t="s">
        <v>377</v>
      </c>
      <c r="F4769" t="s">
        <v>385</v>
      </c>
      <c r="G4769" t="s">
        <v>347</v>
      </c>
      <c r="H4769" t="s">
        <v>749</v>
      </c>
      <c r="I4769" t="s">
        <v>743</v>
      </c>
      <c r="J4769" t="s">
        <v>379</v>
      </c>
      <c r="K4769" t="s">
        <v>546</v>
      </c>
      <c r="L4769" s="784">
        <v>1080000</v>
      </c>
      <c r="M4769" t="s">
        <v>745</v>
      </c>
      <c r="N4769" s="784"/>
      <c r="O4769" t="s">
        <v>737</v>
      </c>
      <c r="P4769" t="s">
        <v>1887</v>
      </c>
      <c r="R4769" t="s">
        <v>150</v>
      </c>
      <c r="S4769" t="s">
        <v>145</v>
      </c>
      <c r="U4769">
        <v>0</v>
      </c>
      <c r="V4769" t="s">
        <v>544</v>
      </c>
      <c r="W4769" t="s">
        <v>542</v>
      </c>
      <c r="X4769" s="784">
        <v>515352723.9821828</v>
      </c>
    </row>
    <row r="4770" spans="1:24">
      <c r="A4770" t="s">
        <v>358</v>
      </c>
      <c r="B4770" t="s">
        <v>700</v>
      </c>
      <c r="C4770" t="s">
        <v>298</v>
      </c>
      <c r="D4770" t="s">
        <v>128</v>
      </c>
      <c r="E4770" t="s">
        <v>377</v>
      </c>
      <c r="F4770" t="s">
        <v>385</v>
      </c>
      <c r="G4770" t="s">
        <v>347</v>
      </c>
      <c r="H4770" t="s">
        <v>749</v>
      </c>
      <c r="I4770" t="s">
        <v>743</v>
      </c>
      <c r="J4770" t="s">
        <v>379</v>
      </c>
      <c r="K4770" t="s">
        <v>546</v>
      </c>
      <c r="L4770" s="784">
        <v>315226</v>
      </c>
      <c r="M4770" t="s">
        <v>745</v>
      </c>
      <c r="N4770" s="784"/>
      <c r="O4770" t="s">
        <v>737</v>
      </c>
      <c r="P4770" t="s">
        <v>1887</v>
      </c>
      <c r="R4770" t="s">
        <v>150</v>
      </c>
      <c r="S4770" t="s">
        <v>145</v>
      </c>
      <c r="U4770">
        <v>0</v>
      </c>
      <c r="V4770" t="s">
        <v>544</v>
      </c>
      <c r="W4770" t="s">
        <v>546</v>
      </c>
      <c r="X4770" s="784">
        <v>566711742.22428358</v>
      </c>
    </row>
    <row r="4771" spans="1:24">
      <c r="A4771" t="s">
        <v>358</v>
      </c>
      <c r="B4771" t="s">
        <v>540</v>
      </c>
      <c r="C4771" t="s">
        <v>160</v>
      </c>
      <c r="D4771" t="s">
        <v>132</v>
      </c>
      <c r="E4771" t="s">
        <v>751</v>
      </c>
      <c r="J4771" t="s">
        <v>379</v>
      </c>
      <c r="P4771" t="s">
        <v>1887</v>
      </c>
      <c r="R4771" t="s">
        <v>148</v>
      </c>
      <c r="S4771" t="s">
        <v>145</v>
      </c>
      <c r="T4771">
        <v>39835428</v>
      </c>
      <c r="U4771">
        <v>1</v>
      </c>
      <c r="V4771" t="s">
        <v>544</v>
      </c>
      <c r="W4771" t="s">
        <v>542</v>
      </c>
      <c r="X4771" s="784">
        <v>95829480.719269618</v>
      </c>
    </row>
    <row r="4772" spans="1:24">
      <c r="A4772" t="s">
        <v>358</v>
      </c>
      <c r="B4772" t="s">
        <v>543</v>
      </c>
      <c r="C4772" t="s">
        <v>161</v>
      </c>
      <c r="D4772" t="s">
        <v>127</v>
      </c>
      <c r="E4772" t="s">
        <v>751</v>
      </c>
      <c r="J4772" t="s">
        <v>379</v>
      </c>
      <c r="P4772" t="s">
        <v>1887</v>
      </c>
      <c r="R4772" t="s">
        <v>152</v>
      </c>
      <c r="S4772" t="s">
        <v>146</v>
      </c>
      <c r="T4772">
        <v>2872934</v>
      </c>
      <c r="U4772">
        <v>0</v>
      </c>
      <c r="V4772" t="s">
        <v>544</v>
      </c>
      <c r="W4772" t="s">
        <v>575</v>
      </c>
      <c r="X4772" s="784">
        <v>427904035.52443534</v>
      </c>
    </row>
    <row r="4773" spans="1:24">
      <c r="A4773" t="s">
        <v>358</v>
      </c>
      <c r="B4773" t="s">
        <v>545</v>
      </c>
      <c r="C4773" t="s">
        <v>143</v>
      </c>
      <c r="D4773" t="s">
        <v>131</v>
      </c>
      <c r="E4773" t="s">
        <v>751</v>
      </c>
      <c r="J4773" t="s">
        <v>379</v>
      </c>
      <c r="P4773" t="s">
        <v>1887</v>
      </c>
      <c r="R4773" t="s">
        <v>150</v>
      </c>
      <c r="S4773" t="s">
        <v>145</v>
      </c>
      <c r="T4773">
        <v>44616626</v>
      </c>
      <c r="U4773">
        <v>0</v>
      </c>
      <c r="V4773" t="s">
        <v>544</v>
      </c>
      <c r="W4773" t="s">
        <v>546</v>
      </c>
      <c r="X4773" s="784">
        <v>7113361022.7267885</v>
      </c>
    </row>
    <row r="4774" spans="1:24">
      <c r="A4774" t="s">
        <v>358</v>
      </c>
      <c r="B4774" t="s">
        <v>547</v>
      </c>
      <c r="C4774" t="s">
        <v>162</v>
      </c>
      <c r="D4774" t="s">
        <v>128</v>
      </c>
      <c r="E4774" t="s">
        <v>751</v>
      </c>
      <c r="J4774" t="s">
        <v>379</v>
      </c>
      <c r="P4774" t="s">
        <v>1887</v>
      </c>
      <c r="R4774" t="s">
        <v>150</v>
      </c>
      <c r="S4774" t="s">
        <v>145</v>
      </c>
      <c r="T4774">
        <v>33933611</v>
      </c>
      <c r="U4774">
        <v>0</v>
      </c>
      <c r="V4774" t="s">
        <v>544</v>
      </c>
      <c r="W4774" t="s">
        <v>548</v>
      </c>
      <c r="X4774" s="784">
        <v>1131865946.5875781</v>
      </c>
    </row>
    <row r="4775" spans="1:24">
      <c r="A4775" t="s">
        <v>358</v>
      </c>
      <c r="B4775" t="s">
        <v>549</v>
      </c>
      <c r="C4775" t="s">
        <v>163</v>
      </c>
      <c r="D4775" t="s">
        <v>130</v>
      </c>
      <c r="E4775" t="s">
        <v>751</v>
      </c>
      <c r="J4775" t="s">
        <v>379</v>
      </c>
      <c r="P4775" t="s">
        <v>1887</v>
      </c>
      <c r="R4775" t="s">
        <v>550</v>
      </c>
      <c r="S4775" t="s">
        <v>146</v>
      </c>
      <c r="T4775">
        <v>97928</v>
      </c>
      <c r="U4775">
        <v>0</v>
      </c>
      <c r="V4775" t="s">
        <v>541</v>
      </c>
      <c r="W4775" t="s">
        <v>575</v>
      </c>
      <c r="X4775" s="784">
        <v>46777779.823447868</v>
      </c>
    </row>
    <row r="4776" spans="1:24">
      <c r="A4776" t="s">
        <v>358</v>
      </c>
      <c r="B4776" t="s">
        <v>551</v>
      </c>
      <c r="C4776" t="s">
        <v>164</v>
      </c>
      <c r="D4776" t="s">
        <v>130</v>
      </c>
      <c r="E4776" t="s">
        <v>751</v>
      </c>
      <c r="J4776" t="s">
        <v>379</v>
      </c>
      <c r="P4776" t="s">
        <v>1887</v>
      </c>
      <c r="R4776" t="s">
        <v>152</v>
      </c>
      <c r="S4776" t="s">
        <v>146</v>
      </c>
      <c r="T4776">
        <v>45605823</v>
      </c>
      <c r="U4776">
        <v>0</v>
      </c>
      <c r="V4776" t="s">
        <v>544</v>
      </c>
      <c r="W4776" t="s">
        <v>575</v>
      </c>
      <c r="X4776" s="784">
        <v>30725305777.596794</v>
      </c>
    </row>
    <row r="4777" spans="1:24">
      <c r="A4777" t="s">
        <v>358</v>
      </c>
      <c r="B4777" t="s">
        <v>553</v>
      </c>
      <c r="C4777" t="s">
        <v>165</v>
      </c>
      <c r="D4777" t="s">
        <v>127</v>
      </c>
      <c r="E4777" t="s">
        <v>751</v>
      </c>
      <c r="J4777" t="s">
        <v>379</v>
      </c>
      <c r="P4777" t="s">
        <v>1887</v>
      </c>
      <c r="R4777" t="s">
        <v>152</v>
      </c>
      <c r="S4777" t="s">
        <v>146</v>
      </c>
      <c r="T4777">
        <v>2968128</v>
      </c>
      <c r="U4777">
        <v>0</v>
      </c>
      <c r="V4777" t="s">
        <v>544</v>
      </c>
      <c r="W4777" t="s">
        <v>575</v>
      </c>
      <c r="X4777" s="784">
        <v>153815827.8380394</v>
      </c>
    </row>
    <row r="4778" spans="1:24">
      <c r="A4778" t="s">
        <v>358</v>
      </c>
      <c r="B4778" t="s">
        <v>554</v>
      </c>
      <c r="C4778" t="s">
        <v>166</v>
      </c>
      <c r="D4778" t="s">
        <v>127</v>
      </c>
      <c r="E4778" t="s">
        <v>751</v>
      </c>
      <c r="J4778" t="s">
        <v>379</v>
      </c>
      <c r="P4778" t="s">
        <v>1887</v>
      </c>
      <c r="R4778" t="s">
        <v>152</v>
      </c>
      <c r="S4778" t="s">
        <v>146</v>
      </c>
      <c r="T4778">
        <v>10223344</v>
      </c>
      <c r="U4778">
        <v>0</v>
      </c>
      <c r="V4778" t="s">
        <v>544</v>
      </c>
      <c r="W4778" t="s">
        <v>546</v>
      </c>
      <c r="X4778" s="784">
        <v>437525105.31216973</v>
      </c>
    </row>
    <row r="4779" spans="1:24">
      <c r="A4779" t="s">
        <v>358</v>
      </c>
      <c r="B4779" t="s">
        <v>555</v>
      </c>
      <c r="C4779" t="s">
        <v>556</v>
      </c>
      <c r="D4779" t="s">
        <v>130</v>
      </c>
      <c r="E4779" t="s">
        <v>751</v>
      </c>
      <c r="J4779" t="s">
        <v>379</v>
      </c>
      <c r="P4779" t="s">
        <v>1887</v>
      </c>
      <c r="R4779" t="s">
        <v>550</v>
      </c>
      <c r="S4779" t="s">
        <v>146</v>
      </c>
      <c r="T4779">
        <v>0</v>
      </c>
      <c r="U4779">
        <v>0</v>
      </c>
      <c r="V4779" t="s">
        <v>541</v>
      </c>
      <c r="W4779" t="s">
        <v>575</v>
      </c>
      <c r="X4779" s="784">
        <v>149463302.00602186</v>
      </c>
    </row>
    <row r="4780" spans="1:24">
      <c r="A4780" t="s">
        <v>358</v>
      </c>
      <c r="B4780" t="s">
        <v>557</v>
      </c>
      <c r="C4780" t="s">
        <v>167</v>
      </c>
      <c r="D4780" t="s">
        <v>132</v>
      </c>
      <c r="E4780" t="s">
        <v>751</v>
      </c>
      <c r="J4780" t="s">
        <v>379</v>
      </c>
      <c r="P4780" t="s">
        <v>1887</v>
      </c>
      <c r="R4780" t="s">
        <v>150</v>
      </c>
      <c r="S4780" t="s">
        <v>145</v>
      </c>
      <c r="T4780">
        <v>166303494</v>
      </c>
      <c r="U4780">
        <v>0</v>
      </c>
      <c r="V4780" t="s">
        <v>544</v>
      </c>
      <c r="W4780" t="s">
        <v>558</v>
      </c>
      <c r="X4780" s="784">
        <v>1148322593.9600098</v>
      </c>
    </row>
    <row r="4781" spans="1:24">
      <c r="A4781" t="s">
        <v>358</v>
      </c>
      <c r="B4781" t="s">
        <v>559</v>
      </c>
      <c r="C4781" t="s">
        <v>168</v>
      </c>
      <c r="D4781" t="s">
        <v>127</v>
      </c>
      <c r="E4781" t="s">
        <v>751</v>
      </c>
      <c r="J4781" t="s">
        <v>379</v>
      </c>
      <c r="P4781" t="s">
        <v>1887</v>
      </c>
      <c r="R4781" t="s">
        <v>152</v>
      </c>
      <c r="S4781" t="s">
        <v>146</v>
      </c>
      <c r="T4781">
        <v>9442867</v>
      </c>
      <c r="U4781">
        <v>0</v>
      </c>
      <c r="V4781" t="s">
        <v>544</v>
      </c>
      <c r="W4781" t="s">
        <v>575</v>
      </c>
      <c r="X4781" s="784">
        <v>2371102058.1093163</v>
      </c>
    </row>
    <row r="4782" spans="1:24">
      <c r="A4782" t="s">
        <v>358</v>
      </c>
      <c r="B4782" t="s">
        <v>560</v>
      </c>
      <c r="C4782" t="s">
        <v>169</v>
      </c>
      <c r="D4782" t="s">
        <v>130</v>
      </c>
      <c r="E4782" t="s">
        <v>751</v>
      </c>
      <c r="J4782" t="s">
        <v>379</v>
      </c>
      <c r="P4782" t="s">
        <v>1887</v>
      </c>
      <c r="R4782" t="s">
        <v>150</v>
      </c>
      <c r="S4782" t="s">
        <v>146</v>
      </c>
      <c r="T4782">
        <v>404915</v>
      </c>
      <c r="U4782">
        <v>0</v>
      </c>
      <c r="V4782" t="s">
        <v>541</v>
      </c>
      <c r="W4782" t="s">
        <v>546</v>
      </c>
      <c r="X4782" s="784">
        <v>75151620.005215243</v>
      </c>
    </row>
    <row r="4783" spans="1:24">
      <c r="A4783" t="s">
        <v>358</v>
      </c>
      <c r="B4783" t="s">
        <v>561</v>
      </c>
      <c r="C4783" t="s">
        <v>170</v>
      </c>
      <c r="D4783" t="s">
        <v>129</v>
      </c>
      <c r="E4783" t="s">
        <v>751</v>
      </c>
      <c r="J4783" t="s">
        <v>379</v>
      </c>
      <c r="P4783" t="s">
        <v>1887</v>
      </c>
      <c r="R4783" t="s">
        <v>150</v>
      </c>
      <c r="S4783" t="s">
        <v>145</v>
      </c>
      <c r="T4783">
        <v>12451031</v>
      </c>
      <c r="U4783">
        <v>0</v>
      </c>
      <c r="V4783" t="s">
        <v>544</v>
      </c>
      <c r="W4783" t="s">
        <v>562</v>
      </c>
      <c r="X4783" s="784">
        <v>69958487.197715744</v>
      </c>
    </row>
    <row r="4784" spans="1:24">
      <c r="A4784" t="s">
        <v>358</v>
      </c>
      <c r="B4784" t="s">
        <v>563</v>
      </c>
      <c r="C4784" t="s">
        <v>171</v>
      </c>
      <c r="D4784" t="s">
        <v>132</v>
      </c>
      <c r="E4784" t="s">
        <v>751</v>
      </c>
      <c r="J4784" t="s">
        <v>379</v>
      </c>
      <c r="P4784" t="s">
        <v>1887</v>
      </c>
      <c r="R4784" t="s">
        <v>150</v>
      </c>
      <c r="S4784" t="s">
        <v>145</v>
      </c>
      <c r="T4784">
        <v>779900</v>
      </c>
      <c r="U4784">
        <v>0</v>
      </c>
      <c r="V4784" t="s">
        <v>544</v>
      </c>
      <c r="W4784" t="s">
        <v>548</v>
      </c>
      <c r="X4784" s="784">
        <v>61654608.560629159</v>
      </c>
    </row>
    <row r="4785" spans="1:24">
      <c r="A4785" t="s">
        <v>358</v>
      </c>
      <c r="B4785" t="s">
        <v>564</v>
      </c>
      <c r="C4785" t="s">
        <v>172</v>
      </c>
      <c r="D4785" t="s">
        <v>130</v>
      </c>
      <c r="E4785" t="s">
        <v>751</v>
      </c>
      <c r="J4785" t="s">
        <v>379</v>
      </c>
      <c r="P4785" t="s">
        <v>1887</v>
      </c>
      <c r="R4785" t="s">
        <v>150</v>
      </c>
      <c r="S4785" t="s">
        <v>145</v>
      </c>
      <c r="T4785">
        <v>11832936</v>
      </c>
      <c r="U4785">
        <v>0</v>
      </c>
      <c r="V4785" t="s">
        <v>544</v>
      </c>
      <c r="W4785" t="s">
        <v>546</v>
      </c>
      <c r="X4785" s="784">
        <v>1806638707.7615163</v>
      </c>
    </row>
    <row r="4786" spans="1:24">
      <c r="A4786" t="s">
        <v>358</v>
      </c>
      <c r="B4786" t="s">
        <v>565</v>
      </c>
      <c r="C4786" t="s">
        <v>174</v>
      </c>
      <c r="D4786" t="s">
        <v>127</v>
      </c>
      <c r="E4786" t="s">
        <v>751</v>
      </c>
      <c r="J4786" t="s">
        <v>379</v>
      </c>
      <c r="P4786" t="s">
        <v>1887</v>
      </c>
      <c r="R4786" t="s">
        <v>152</v>
      </c>
      <c r="S4786" t="s">
        <v>146</v>
      </c>
      <c r="T4786">
        <v>3263459</v>
      </c>
      <c r="U4786">
        <v>0</v>
      </c>
      <c r="V4786" t="s">
        <v>544</v>
      </c>
      <c r="W4786" t="s">
        <v>546</v>
      </c>
      <c r="X4786" s="784">
        <v>1252696525.0627904</v>
      </c>
    </row>
    <row r="4787" spans="1:24">
      <c r="A4787" t="s">
        <v>358</v>
      </c>
      <c r="B4787" t="s">
        <v>566</v>
      </c>
      <c r="C4787" t="s">
        <v>175</v>
      </c>
      <c r="D4787" t="s">
        <v>128</v>
      </c>
      <c r="E4787" t="s">
        <v>751</v>
      </c>
      <c r="J4787" t="s">
        <v>379</v>
      </c>
      <c r="P4787" t="s">
        <v>1887</v>
      </c>
      <c r="R4787" t="s">
        <v>152</v>
      </c>
      <c r="S4787" t="s">
        <v>146</v>
      </c>
      <c r="T4787">
        <v>2397240</v>
      </c>
      <c r="U4787">
        <v>0</v>
      </c>
      <c r="V4787" t="s">
        <v>544</v>
      </c>
      <c r="W4787" t="s">
        <v>575</v>
      </c>
      <c r="X4787" s="784">
        <v>843425084.07334602</v>
      </c>
    </row>
    <row r="4788" spans="1:24">
      <c r="A4788" t="s">
        <v>358</v>
      </c>
      <c r="B4788" t="s">
        <v>567</v>
      </c>
      <c r="C4788" t="s">
        <v>144</v>
      </c>
      <c r="D4788" t="s">
        <v>130</v>
      </c>
      <c r="E4788" t="s">
        <v>751</v>
      </c>
      <c r="J4788" t="s">
        <v>379</v>
      </c>
      <c r="P4788" t="s">
        <v>1887</v>
      </c>
      <c r="R4788" t="s">
        <v>152</v>
      </c>
      <c r="S4788" t="s">
        <v>146</v>
      </c>
      <c r="T4788">
        <v>213993441</v>
      </c>
      <c r="U4788">
        <v>0</v>
      </c>
      <c r="V4788" t="s">
        <v>544</v>
      </c>
      <c r="W4788" t="s">
        <v>546</v>
      </c>
      <c r="X4788" s="784">
        <v>74055620038.853683</v>
      </c>
    </row>
    <row r="4789" spans="1:24">
      <c r="A4789" t="s">
        <v>358</v>
      </c>
      <c r="B4789" t="s">
        <v>568</v>
      </c>
      <c r="C4789" t="s">
        <v>176</v>
      </c>
      <c r="D4789" t="s">
        <v>127</v>
      </c>
      <c r="E4789" t="s">
        <v>751</v>
      </c>
      <c r="J4789" t="s">
        <v>379</v>
      </c>
      <c r="P4789" t="s">
        <v>1887</v>
      </c>
      <c r="R4789" t="s">
        <v>152</v>
      </c>
      <c r="S4789" t="s">
        <v>146</v>
      </c>
      <c r="T4789">
        <v>6948445</v>
      </c>
      <c r="U4789">
        <v>0</v>
      </c>
      <c r="V4789" t="s">
        <v>544</v>
      </c>
      <c r="W4789" t="s">
        <v>575</v>
      </c>
      <c r="X4789" s="784">
        <v>2803357765.5888777</v>
      </c>
    </row>
    <row r="4790" spans="1:24">
      <c r="A4790" t="s">
        <v>358</v>
      </c>
      <c r="B4790" t="s">
        <v>569</v>
      </c>
      <c r="C4790" t="s">
        <v>177</v>
      </c>
      <c r="D4790" t="s">
        <v>129</v>
      </c>
      <c r="E4790" t="s">
        <v>751</v>
      </c>
      <c r="J4790" t="s">
        <v>379</v>
      </c>
      <c r="P4790" t="s">
        <v>1887</v>
      </c>
      <c r="R4790" t="s">
        <v>148</v>
      </c>
      <c r="S4790" t="s">
        <v>145</v>
      </c>
      <c r="T4790">
        <v>21497097</v>
      </c>
      <c r="U4790">
        <v>2</v>
      </c>
      <c r="V4790" t="s">
        <v>544</v>
      </c>
      <c r="W4790" t="s">
        <v>562</v>
      </c>
      <c r="X4790" s="784">
        <v>337927779.25510043</v>
      </c>
    </row>
    <row r="4791" spans="1:24">
      <c r="A4791" t="s">
        <v>358</v>
      </c>
      <c r="B4791" t="s">
        <v>570</v>
      </c>
      <c r="C4791" t="s">
        <v>178</v>
      </c>
      <c r="D4791" t="s">
        <v>128</v>
      </c>
      <c r="E4791" t="s">
        <v>751</v>
      </c>
      <c r="J4791" t="s">
        <v>379</v>
      </c>
      <c r="P4791" t="s">
        <v>1887</v>
      </c>
      <c r="R4791" t="s">
        <v>148</v>
      </c>
      <c r="S4791" t="s">
        <v>145</v>
      </c>
      <c r="T4791">
        <v>12255429</v>
      </c>
      <c r="U4791">
        <v>2</v>
      </c>
      <c r="V4791" t="s">
        <v>544</v>
      </c>
      <c r="W4791" t="s">
        <v>548</v>
      </c>
      <c r="X4791" s="784">
        <v>65979512.47399316</v>
      </c>
    </row>
    <row r="4792" spans="1:24">
      <c r="A4792" t="s">
        <v>358</v>
      </c>
      <c r="B4792" t="s">
        <v>571</v>
      </c>
      <c r="C4792" t="s">
        <v>179</v>
      </c>
      <c r="D4792" t="s">
        <v>129</v>
      </c>
      <c r="E4792" t="s">
        <v>751</v>
      </c>
      <c r="J4792" t="s">
        <v>379</v>
      </c>
      <c r="P4792" t="s">
        <v>1887</v>
      </c>
      <c r="R4792" t="s">
        <v>150</v>
      </c>
      <c r="S4792" t="s">
        <v>145</v>
      </c>
      <c r="T4792">
        <v>561901</v>
      </c>
      <c r="U4792">
        <v>0</v>
      </c>
      <c r="V4792" t="s">
        <v>541</v>
      </c>
      <c r="W4792" t="s">
        <v>542</v>
      </c>
      <c r="X4792" s="784">
        <v>63748362.778827004</v>
      </c>
    </row>
    <row r="4793" spans="1:24">
      <c r="A4793" t="s">
        <v>358</v>
      </c>
      <c r="B4793" t="s">
        <v>572</v>
      </c>
      <c r="C4793" t="s">
        <v>180</v>
      </c>
      <c r="D4793" t="s">
        <v>126</v>
      </c>
      <c r="E4793" t="s">
        <v>751</v>
      </c>
      <c r="J4793" t="s">
        <v>379</v>
      </c>
      <c r="P4793" t="s">
        <v>1887</v>
      </c>
      <c r="R4793" t="s">
        <v>150</v>
      </c>
      <c r="S4793" t="s">
        <v>145</v>
      </c>
      <c r="T4793">
        <v>16946446</v>
      </c>
      <c r="U4793">
        <v>0</v>
      </c>
      <c r="V4793" t="s">
        <v>544</v>
      </c>
      <c r="W4793" t="s">
        <v>558</v>
      </c>
      <c r="X4793" s="784">
        <v>313039649.45369786</v>
      </c>
    </row>
    <row r="4794" spans="1:24">
      <c r="A4794" t="s">
        <v>358</v>
      </c>
      <c r="B4794" t="s">
        <v>573</v>
      </c>
      <c r="C4794" t="s">
        <v>181</v>
      </c>
      <c r="D4794" t="s">
        <v>129</v>
      </c>
      <c r="E4794" t="s">
        <v>751</v>
      </c>
      <c r="J4794" t="s">
        <v>379</v>
      </c>
      <c r="P4794" t="s">
        <v>1887</v>
      </c>
      <c r="R4794" t="s">
        <v>150</v>
      </c>
      <c r="S4794" t="s">
        <v>145</v>
      </c>
      <c r="T4794">
        <v>27224262</v>
      </c>
      <c r="U4794">
        <v>2</v>
      </c>
      <c r="V4794" t="s">
        <v>544</v>
      </c>
      <c r="W4794" t="s">
        <v>542</v>
      </c>
      <c r="X4794" s="784">
        <v>81361801.477472037</v>
      </c>
    </row>
    <row r="4795" spans="1:24">
      <c r="A4795" t="s">
        <v>358</v>
      </c>
      <c r="B4795" t="s">
        <v>574</v>
      </c>
      <c r="C4795" t="s">
        <v>182</v>
      </c>
      <c r="D4795" t="s">
        <v>129</v>
      </c>
      <c r="E4795" t="s">
        <v>751</v>
      </c>
      <c r="J4795" t="s">
        <v>379</v>
      </c>
      <c r="P4795" t="s">
        <v>1887</v>
      </c>
      <c r="R4795" t="s">
        <v>148</v>
      </c>
      <c r="S4795" t="s">
        <v>145</v>
      </c>
      <c r="T4795">
        <v>4919987</v>
      </c>
      <c r="U4795">
        <v>1</v>
      </c>
      <c r="V4795" t="s">
        <v>544</v>
      </c>
      <c r="W4795" t="s">
        <v>542</v>
      </c>
      <c r="X4795" s="784" t="s">
        <v>575</v>
      </c>
    </row>
    <row r="4796" spans="1:24">
      <c r="A4796" t="s">
        <v>358</v>
      </c>
      <c r="B4796" t="s">
        <v>576</v>
      </c>
      <c r="C4796" t="s">
        <v>183</v>
      </c>
      <c r="D4796" t="s">
        <v>129</v>
      </c>
      <c r="E4796" t="s">
        <v>751</v>
      </c>
      <c r="J4796" t="s">
        <v>379</v>
      </c>
      <c r="P4796" t="s">
        <v>1887</v>
      </c>
      <c r="R4796" t="s">
        <v>148</v>
      </c>
      <c r="S4796" t="s">
        <v>145</v>
      </c>
      <c r="T4796">
        <v>16914985</v>
      </c>
      <c r="U4796">
        <v>1</v>
      </c>
      <c r="V4796" t="s">
        <v>544</v>
      </c>
      <c r="W4796" t="s">
        <v>542</v>
      </c>
      <c r="X4796" s="784">
        <v>76939306.715636879</v>
      </c>
    </row>
    <row r="4797" spans="1:24">
      <c r="A4797" t="s">
        <v>358</v>
      </c>
      <c r="B4797" t="s">
        <v>577</v>
      </c>
      <c r="C4797" t="s">
        <v>184</v>
      </c>
      <c r="D4797" t="s">
        <v>130</v>
      </c>
      <c r="E4797" t="s">
        <v>751</v>
      </c>
      <c r="J4797" t="s">
        <v>379</v>
      </c>
      <c r="P4797" t="s">
        <v>1887</v>
      </c>
      <c r="R4797" t="s">
        <v>550</v>
      </c>
      <c r="S4797" t="s">
        <v>146</v>
      </c>
      <c r="T4797">
        <v>19116209</v>
      </c>
      <c r="U4797">
        <v>0</v>
      </c>
      <c r="V4797" t="s">
        <v>544</v>
      </c>
      <c r="W4797" t="s">
        <v>575</v>
      </c>
      <c r="X4797" s="784">
        <v>13859708717.682571</v>
      </c>
    </row>
    <row r="4798" spans="1:24">
      <c r="A4798" t="s">
        <v>358</v>
      </c>
      <c r="B4798" t="s">
        <v>578</v>
      </c>
      <c r="C4798" t="s">
        <v>185</v>
      </c>
      <c r="D4798" t="s">
        <v>126</v>
      </c>
      <c r="E4798" t="s">
        <v>751</v>
      </c>
      <c r="J4798" t="s">
        <v>379</v>
      </c>
      <c r="P4798" t="s">
        <v>1887</v>
      </c>
      <c r="R4798" t="s">
        <v>152</v>
      </c>
      <c r="S4798" t="s">
        <v>146</v>
      </c>
      <c r="T4798">
        <v>1439323774</v>
      </c>
      <c r="U4798">
        <v>0</v>
      </c>
      <c r="V4798" t="s">
        <v>544</v>
      </c>
      <c r="W4798" t="s">
        <v>575</v>
      </c>
      <c r="X4798" s="784">
        <v>403567160707.7016</v>
      </c>
    </row>
    <row r="4799" spans="1:24">
      <c r="A4799" t="s">
        <v>358</v>
      </c>
      <c r="B4799" t="s">
        <v>579</v>
      </c>
      <c r="C4799" t="s">
        <v>186</v>
      </c>
      <c r="D4799" t="s">
        <v>130</v>
      </c>
      <c r="E4799" t="s">
        <v>751</v>
      </c>
      <c r="J4799" t="s">
        <v>379</v>
      </c>
      <c r="P4799" t="s">
        <v>1887</v>
      </c>
      <c r="R4799" t="s">
        <v>152</v>
      </c>
      <c r="S4799" t="s">
        <v>146</v>
      </c>
      <c r="T4799">
        <v>51265841</v>
      </c>
      <c r="U4799">
        <v>0</v>
      </c>
      <c r="V4799" t="s">
        <v>544</v>
      </c>
      <c r="W4799" t="s">
        <v>575</v>
      </c>
      <c r="X4799" s="784">
        <v>18250225995.972618</v>
      </c>
    </row>
    <row r="4800" spans="1:24">
      <c r="A4800" t="s">
        <v>358</v>
      </c>
      <c r="B4800" t="s">
        <v>580</v>
      </c>
      <c r="C4800" t="s">
        <v>187</v>
      </c>
      <c r="D4800" t="s">
        <v>128</v>
      </c>
      <c r="E4800" t="s">
        <v>751</v>
      </c>
      <c r="J4800" t="s">
        <v>379</v>
      </c>
      <c r="P4800" t="s">
        <v>1887</v>
      </c>
      <c r="R4800" t="s">
        <v>150</v>
      </c>
      <c r="S4800" t="s">
        <v>145</v>
      </c>
      <c r="T4800">
        <v>888456</v>
      </c>
      <c r="U4800">
        <v>0</v>
      </c>
      <c r="V4800" t="s">
        <v>541</v>
      </c>
      <c r="W4800" t="s">
        <v>562</v>
      </c>
      <c r="X4800" s="784">
        <v>5027591.1682657599</v>
      </c>
    </row>
    <row r="4801" spans="1:24">
      <c r="A4801" t="s">
        <v>358</v>
      </c>
      <c r="B4801" t="s">
        <v>581</v>
      </c>
      <c r="C4801" t="s">
        <v>188</v>
      </c>
      <c r="D4801" t="s">
        <v>129</v>
      </c>
      <c r="E4801" t="s">
        <v>751</v>
      </c>
      <c r="J4801" t="s">
        <v>379</v>
      </c>
      <c r="P4801" t="s">
        <v>1887</v>
      </c>
      <c r="R4801" t="s">
        <v>148</v>
      </c>
      <c r="S4801" t="s">
        <v>145</v>
      </c>
      <c r="T4801">
        <v>92377986</v>
      </c>
      <c r="U4801">
        <v>3</v>
      </c>
      <c r="V4801" t="s">
        <v>544</v>
      </c>
      <c r="W4801" t="s">
        <v>562</v>
      </c>
      <c r="X4801" s="784">
        <v>234645958.63289919</v>
      </c>
    </row>
    <row r="4802" spans="1:24">
      <c r="A4802" t="s">
        <v>358</v>
      </c>
      <c r="B4802" t="s">
        <v>582</v>
      </c>
      <c r="C4802" t="s">
        <v>189</v>
      </c>
      <c r="D4802" t="s">
        <v>129</v>
      </c>
      <c r="E4802" t="s">
        <v>751</v>
      </c>
      <c r="J4802" t="s">
        <v>379</v>
      </c>
      <c r="P4802" t="s">
        <v>1887</v>
      </c>
      <c r="R4802" t="s">
        <v>150</v>
      </c>
      <c r="S4802" t="s">
        <v>145</v>
      </c>
      <c r="T4802">
        <v>5657017</v>
      </c>
      <c r="U4802">
        <v>2</v>
      </c>
      <c r="V4802" t="s">
        <v>544</v>
      </c>
      <c r="W4802" t="s">
        <v>583</v>
      </c>
      <c r="X4802" s="784">
        <v>91590910.247314155</v>
      </c>
    </row>
    <row r="4803" spans="1:24">
      <c r="A4803" t="s">
        <v>358</v>
      </c>
      <c r="B4803" t="s">
        <v>584</v>
      </c>
      <c r="C4803" t="s">
        <v>190</v>
      </c>
      <c r="D4803" t="s">
        <v>126</v>
      </c>
      <c r="E4803" t="s">
        <v>751</v>
      </c>
      <c r="J4803" t="s">
        <v>379</v>
      </c>
      <c r="P4803" t="s">
        <v>1887</v>
      </c>
      <c r="R4803" t="s">
        <v>322</v>
      </c>
      <c r="S4803" t="s">
        <v>146</v>
      </c>
      <c r="T4803">
        <v>17564</v>
      </c>
      <c r="U4803">
        <v>0</v>
      </c>
      <c r="V4803" t="s">
        <v>541</v>
      </c>
      <c r="W4803" t="s">
        <v>546</v>
      </c>
      <c r="X4803" s="784">
        <v>8560012.8840167802</v>
      </c>
    </row>
    <row r="4804" spans="1:24">
      <c r="A4804" t="s">
        <v>358</v>
      </c>
      <c r="B4804" t="s">
        <v>585</v>
      </c>
      <c r="C4804" t="s">
        <v>191</v>
      </c>
      <c r="D4804" t="s">
        <v>130</v>
      </c>
      <c r="E4804" t="s">
        <v>751</v>
      </c>
      <c r="J4804" t="s">
        <v>379</v>
      </c>
      <c r="P4804" t="s">
        <v>1887</v>
      </c>
      <c r="R4804" t="s">
        <v>152</v>
      </c>
      <c r="S4804" t="s">
        <v>146</v>
      </c>
      <c r="T4804">
        <v>5139053</v>
      </c>
      <c r="U4804">
        <v>0</v>
      </c>
      <c r="V4804" t="s">
        <v>544</v>
      </c>
      <c r="W4804" t="s">
        <v>546</v>
      </c>
      <c r="X4804" s="784">
        <v>3292372960.3962669</v>
      </c>
    </row>
    <row r="4805" spans="1:24">
      <c r="A4805" t="s">
        <v>358</v>
      </c>
      <c r="B4805" t="s">
        <v>586</v>
      </c>
      <c r="C4805" t="s">
        <v>192</v>
      </c>
      <c r="D4805" t="s">
        <v>129</v>
      </c>
      <c r="E4805" t="s">
        <v>751</v>
      </c>
      <c r="J4805" t="s">
        <v>379</v>
      </c>
      <c r="P4805" t="s">
        <v>1887</v>
      </c>
      <c r="R4805" t="s">
        <v>150</v>
      </c>
      <c r="S4805" t="s">
        <v>145</v>
      </c>
      <c r="T4805">
        <v>27053629</v>
      </c>
      <c r="U4805">
        <v>0</v>
      </c>
      <c r="V4805" t="s">
        <v>544</v>
      </c>
      <c r="W4805" t="s">
        <v>562</v>
      </c>
      <c r="X4805" s="784">
        <v>519209981.22981054</v>
      </c>
    </row>
    <row r="4806" spans="1:24">
      <c r="A4806" t="s">
        <v>358</v>
      </c>
      <c r="B4806" t="s">
        <v>587</v>
      </c>
      <c r="C4806" t="s">
        <v>193</v>
      </c>
      <c r="D4806" t="s">
        <v>127</v>
      </c>
      <c r="E4806" t="s">
        <v>751</v>
      </c>
      <c r="J4806" t="s">
        <v>379</v>
      </c>
      <c r="P4806" t="s">
        <v>1887</v>
      </c>
      <c r="R4806" t="s">
        <v>550</v>
      </c>
      <c r="S4806" t="s">
        <v>146</v>
      </c>
      <c r="T4806">
        <v>4105268</v>
      </c>
      <c r="U4806">
        <v>0</v>
      </c>
      <c r="V4806" t="s">
        <v>544</v>
      </c>
      <c r="W4806" t="s">
        <v>575</v>
      </c>
      <c r="X4806" s="784">
        <v>3464739907.1604805</v>
      </c>
    </row>
    <row r="4807" spans="1:24">
      <c r="A4807" t="s">
        <v>358</v>
      </c>
      <c r="B4807" t="s">
        <v>588</v>
      </c>
      <c r="C4807" t="s">
        <v>147</v>
      </c>
      <c r="D4807" t="s">
        <v>130</v>
      </c>
      <c r="E4807" t="s">
        <v>751</v>
      </c>
      <c r="J4807" t="s">
        <v>379</v>
      </c>
      <c r="P4807" t="s">
        <v>1887</v>
      </c>
      <c r="R4807" t="s">
        <v>152</v>
      </c>
      <c r="S4807" t="s">
        <v>146</v>
      </c>
      <c r="T4807">
        <v>11317498</v>
      </c>
      <c r="U4807">
        <v>0</v>
      </c>
      <c r="V4807" t="s">
        <v>541</v>
      </c>
      <c r="W4807" t="s">
        <v>575</v>
      </c>
      <c r="X4807" s="784">
        <v>9948521252.2569065</v>
      </c>
    </row>
    <row r="4808" spans="1:24">
      <c r="A4808" t="s">
        <v>358</v>
      </c>
      <c r="B4808" t="s">
        <v>589</v>
      </c>
      <c r="C4808" t="s">
        <v>194</v>
      </c>
      <c r="D4808" t="s">
        <v>131</v>
      </c>
      <c r="E4808" t="s">
        <v>751</v>
      </c>
      <c r="J4808" t="s">
        <v>379</v>
      </c>
      <c r="P4808" t="s">
        <v>1887</v>
      </c>
      <c r="R4808" t="s">
        <v>150</v>
      </c>
      <c r="S4808" t="s">
        <v>145</v>
      </c>
      <c r="T4808">
        <v>1002197</v>
      </c>
      <c r="U4808">
        <v>1</v>
      </c>
      <c r="V4808" t="s">
        <v>544</v>
      </c>
      <c r="W4808" t="s">
        <v>542</v>
      </c>
      <c r="X4808" s="784">
        <v>33679192.765657313</v>
      </c>
    </row>
    <row r="4809" spans="1:24">
      <c r="A4809" t="s">
        <v>358</v>
      </c>
      <c r="B4809" t="s">
        <v>590</v>
      </c>
      <c r="C4809" t="s">
        <v>195</v>
      </c>
      <c r="D4809" t="s">
        <v>130</v>
      </c>
      <c r="E4809" t="s">
        <v>751</v>
      </c>
      <c r="J4809" t="s">
        <v>379</v>
      </c>
      <c r="P4809" t="s">
        <v>1887</v>
      </c>
      <c r="R4809" t="s">
        <v>152</v>
      </c>
      <c r="S4809" t="s">
        <v>145</v>
      </c>
      <c r="T4809">
        <v>71625</v>
      </c>
      <c r="U4809">
        <v>0</v>
      </c>
      <c r="V4809" t="s">
        <v>541</v>
      </c>
      <c r="W4809" t="s">
        <v>548</v>
      </c>
      <c r="X4809" s="784">
        <v>22784494.365742501</v>
      </c>
    </row>
    <row r="4810" spans="1:24">
      <c r="A4810" t="s">
        <v>358</v>
      </c>
      <c r="B4810" t="s">
        <v>591</v>
      </c>
      <c r="C4810" t="s">
        <v>196</v>
      </c>
      <c r="D4810" t="s">
        <v>130</v>
      </c>
      <c r="E4810" t="s">
        <v>751</v>
      </c>
      <c r="J4810" t="s">
        <v>379</v>
      </c>
      <c r="P4810" t="s">
        <v>1887</v>
      </c>
      <c r="R4810" t="s">
        <v>152</v>
      </c>
      <c r="S4810" t="s">
        <v>146</v>
      </c>
      <c r="T4810">
        <v>10953714</v>
      </c>
      <c r="U4810">
        <v>0</v>
      </c>
      <c r="V4810" t="s">
        <v>541</v>
      </c>
      <c r="W4810" t="s">
        <v>575</v>
      </c>
      <c r="X4810" s="784">
        <v>2173208011.4858823</v>
      </c>
    </row>
    <row r="4811" spans="1:24">
      <c r="A4811" t="s">
        <v>358</v>
      </c>
      <c r="B4811" t="s">
        <v>592</v>
      </c>
      <c r="C4811" t="s">
        <v>197</v>
      </c>
      <c r="D4811" t="s">
        <v>130</v>
      </c>
      <c r="E4811" t="s">
        <v>751</v>
      </c>
      <c r="J4811" t="s">
        <v>379</v>
      </c>
      <c r="P4811" t="s">
        <v>1887</v>
      </c>
      <c r="R4811" t="s">
        <v>152</v>
      </c>
      <c r="S4811" t="s">
        <v>146</v>
      </c>
      <c r="T4811">
        <v>17888474</v>
      </c>
      <c r="U4811">
        <v>0</v>
      </c>
      <c r="V4811" t="s">
        <v>544</v>
      </c>
      <c r="W4811" t="s">
        <v>546</v>
      </c>
      <c r="X4811" s="784">
        <v>4585736158.8323269</v>
      </c>
    </row>
    <row r="4812" spans="1:24">
      <c r="A4812" t="s">
        <v>358</v>
      </c>
      <c r="B4812" t="s">
        <v>593</v>
      </c>
      <c r="C4812" t="s">
        <v>198</v>
      </c>
      <c r="D4812" t="s">
        <v>131</v>
      </c>
      <c r="E4812" t="s">
        <v>751</v>
      </c>
      <c r="J4812" t="s">
        <v>379</v>
      </c>
      <c r="P4812" t="s">
        <v>1887</v>
      </c>
      <c r="R4812" t="s">
        <v>150</v>
      </c>
      <c r="S4812" t="s">
        <v>145</v>
      </c>
      <c r="T4812">
        <v>104258327</v>
      </c>
      <c r="U4812">
        <v>0</v>
      </c>
      <c r="V4812" t="s">
        <v>544</v>
      </c>
      <c r="W4812" t="s">
        <v>546</v>
      </c>
      <c r="X4812" s="784">
        <v>3550291584.8645592</v>
      </c>
    </row>
    <row r="4813" spans="1:24">
      <c r="A4813" t="s">
        <v>358</v>
      </c>
      <c r="B4813" t="s">
        <v>594</v>
      </c>
      <c r="C4813" t="s">
        <v>199</v>
      </c>
      <c r="D4813" t="s">
        <v>130</v>
      </c>
      <c r="E4813" t="s">
        <v>751</v>
      </c>
      <c r="J4813" t="s">
        <v>379</v>
      </c>
      <c r="P4813" t="s">
        <v>1887</v>
      </c>
      <c r="R4813" t="s">
        <v>150</v>
      </c>
      <c r="S4813" t="s">
        <v>145</v>
      </c>
      <c r="T4813">
        <v>6518500</v>
      </c>
      <c r="U4813">
        <v>0</v>
      </c>
      <c r="V4813" t="s">
        <v>544</v>
      </c>
      <c r="W4813" t="s">
        <v>546</v>
      </c>
      <c r="X4813" s="784">
        <v>1182840319.0410969</v>
      </c>
    </row>
    <row r="4814" spans="1:24">
      <c r="A4814" t="s">
        <v>358</v>
      </c>
      <c r="B4814" t="s">
        <v>595</v>
      </c>
      <c r="C4814" t="s">
        <v>200</v>
      </c>
      <c r="D4814" t="s">
        <v>130</v>
      </c>
      <c r="E4814" t="s">
        <v>751</v>
      </c>
      <c r="J4814" t="s">
        <v>379</v>
      </c>
      <c r="P4814" t="s">
        <v>1887</v>
      </c>
      <c r="R4814" t="s">
        <v>152</v>
      </c>
      <c r="S4814" t="s">
        <v>146</v>
      </c>
      <c r="T4814">
        <v>1449891</v>
      </c>
      <c r="U4814">
        <v>0</v>
      </c>
      <c r="V4814" t="s">
        <v>544</v>
      </c>
      <c r="W4814" t="s">
        <v>575</v>
      </c>
      <c r="X4814" s="784">
        <v>81728347.604567245</v>
      </c>
    </row>
    <row r="4815" spans="1:24">
      <c r="A4815" t="s">
        <v>358</v>
      </c>
      <c r="B4815" t="s">
        <v>596</v>
      </c>
      <c r="C4815" t="s">
        <v>201</v>
      </c>
      <c r="D4815" t="s">
        <v>128</v>
      </c>
      <c r="E4815" t="s">
        <v>751</v>
      </c>
      <c r="J4815" t="s">
        <v>379</v>
      </c>
      <c r="P4815" t="s">
        <v>1887</v>
      </c>
      <c r="R4815" t="s">
        <v>148</v>
      </c>
      <c r="S4815" t="s">
        <v>145</v>
      </c>
      <c r="T4815">
        <v>3601462</v>
      </c>
      <c r="U4815">
        <v>2</v>
      </c>
      <c r="V4815" t="s">
        <v>544</v>
      </c>
      <c r="W4815" t="s">
        <v>546</v>
      </c>
      <c r="X4815" s="784">
        <v>12787914.977715338</v>
      </c>
    </row>
    <row r="4816" spans="1:24">
      <c r="A4816" t="s">
        <v>358</v>
      </c>
      <c r="B4816" t="s">
        <v>597</v>
      </c>
      <c r="C4816" t="s">
        <v>202</v>
      </c>
      <c r="D4816" t="s">
        <v>128</v>
      </c>
      <c r="E4816" t="s">
        <v>751</v>
      </c>
      <c r="J4816" t="s">
        <v>379</v>
      </c>
      <c r="P4816" t="s">
        <v>1887</v>
      </c>
      <c r="R4816" t="s">
        <v>150</v>
      </c>
      <c r="S4816" t="s">
        <v>145</v>
      </c>
      <c r="T4816">
        <v>1172369</v>
      </c>
      <c r="U4816">
        <v>2</v>
      </c>
      <c r="V4816" t="s">
        <v>544</v>
      </c>
      <c r="W4816" t="s">
        <v>546</v>
      </c>
      <c r="X4816" s="784">
        <v>101271737.65410839</v>
      </c>
    </row>
    <row r="4817" spans="1:24">
      <c r="A4817" t="s">
        <v>358</v>
      </c>
      <c r="B4817" t="s">
        <v>598</v>
      </c>
      <c r="C4817" t="s">
        <v>203</v>
      </c>
      <c r="D4817" t="s">
        <v>128</v>
      </c>
      <c r="E4817" t="s">
        <v>751</v>
      </c>
      <c r="J4817" t="s">
        <v>379</v>
      </c>
      <c r="P4817" t="s">
        <v>1887</v>
      </c>
      <c r="R4817" t="s">
        <v>148</v>
      </c>
      <c r="S4817" t="s">
        <v>145</v>
      </c>
      <c r="T4817">
        <v>117876226</v>
      </c>
      <c r="U4817">
        <v>3</v>
      </c>
      <c r="V4817" t="s">
        <v>544</v>
      </c>
      <c r="W4817" t="s">
        <v>542</v>
      </c>
      <c r="X4817" s="784">
        <v>618344226.71759331</v>
      </c>
    </row>
    <row r="4818" spans="1:24">
      <c r="A4818" t="s">
        <v>358</v>
      </c>
      <c r="B4818" t="s">
        <v>599</v>
      </c>
      <c r="C4818" t="s">
        <v>204</v>
      </c>
      <c r="D4818" t="s">
        <v>126</v>
      </c>
      <c r="E4818" t="s">
        <v>751</v>
      </c>
      <c r="J4818" t="s">
        <v>379</v>
      </c>
      <c r="P4818" t="s">
        <v>1887</v>
      </c>
      <c r="R4818" t="s">
        <v>152</v>
      </c>
      <c r="S4818" t="s">
        <v>145</v>
      </c>
      <c r="T4818">
        <v>902899</v>
      </c>
      <c r="U4818">
        <v>0</v>
      </c>
      <c r="V4818" t="s">
        <v>541</v>
      </c>
      <c r="W4818" t="s">
        <v>548</v>
      </c>
      <c r="X4818" s="784">
        <v>129483872.95906857</v>
      </c>
    </row>
    <row r="4819" spans="1:24">
      <c r="A4819" t="s">
        <v>358</v>
      </c>
      <c r="B4819" t="s">
        <v>600</v>
      </c>
      <c r="C4819" t="s">
        <v>205</v>
      </c>
      <c r="D4819" t="s">
        <v>129</v>
      </c>
      <c r="E4819" t="s">
        <v>751</v>
      </c>
      <c r="J4819" t="s">
        <v>379</v>
      </c>
      <c r="P4819" t="s">
        <v>1887</v>
      </c>
      <c r="R4819" t="s">
        <v>152</v>
      </c>
      <c r="S4819" t="s">
        <v>146</v>
      </c>
      <c r="T4819">
        <v>2278829</v>
      </c>
      <c r="U4819">
        <v>0</v>
      </c>
      <c r="V4819" t="s">
        <v>544</v>
      </c>
      <c r="W4819" t="s">
        <v>546</v>
      </c>
      <c r="X4819" s="784">
        <v>271184658.35014349</v>
      </c>
    </row>
    <row r="4820" spans="1:24">
      <c r="A4820" t="s">
        <v>358</v>
      </c>
      <c r="B4820" t="s">
        <v>601</v>
      </c>
      <c r="C4820" t="s">
        <v>206</v>
      </c>
      <c r="D4820" t="s">
        <v>129</v>
      </c>
      <c r="E4820" t="s">
        <v>751</v>
      </c>
      <c r="J4820" t="s">
        <v>379</v>
      </c>
      <c r="P4820" t="s">
        <v>1887</v>
      </c>
      <c r="R4820" t="s">
        <v>148</v>
      </c>
      <c r="S4820" t="s">
        <v>145</v>
      </c>
      <c r="T4820">
        <v>2486937</v>
      </c>
      <c r="U4820">
        <v>0</v>
      </c>
      <c r="V4820" t="s">
        <v>544</v>
      </c>
      <c r="W4820" t="s">
        <v>542</v>
      </c>
      <c r="X4820" s="784">
        <v>15455265.086884515</v>
      </c>
    </row>
    <row r="4821" spans="1:24">
      <c r="A4821" t="s">
        <v>358</v>
      </c>
      <c r="B4821" t="s">
        <v>602</v>
      </c>
      <c r="C4821" t="s">
        <v>207</v>
      </c>
      <c r="D4821" t="s">
        <v>127</v>
      </c>
      <c r="E4821" t="s">
        <v>751</v>
      </c>
      <c r="J4821" t="s">
        <v>379</v>
      </c>
      <c r="P4821" t="s">
        <v>1887</v>
      </c>
      <c r="R4821" t="s">
        <v>152</v>
      </c>
      <c r="S4821" t="s">
        <v>146</v>
      </c>
      <c r="T4821">
        <v>3979773</v>
      </c>
      <c r="U4821">
        <v>0</v>
      </c>
      <c r="V4821" t="s">
        <v>544</v>
      </c>
      <c r="W4821" t="s">
        <v>546</v>
      </c>
      <c r="X4821" s="784">
        <v>494021502.525527</v>
      </c>
    </row>
    <row r="4822" spans="1:24">
      <c r="A4822" t="s">
        <v>358</v>
      </c>
      <c r="B4822" t="s">
        <v>603</v>
      </c>
      <c r="C4822" t="s">
        <v>208</v>
      </c>
      <c r="D4822" t="s">
        <v>129</v>
      </c>
      <c r="E4822" t="s">
        <v>751</v>
      </c>
      <c r="J4822" t="s">
        <v>379</v>
      </c>
      <c r="P4822" t="s">
        <v>1887</v>
      </c>
      <c r="R4822" t="s">
        <v>150</v>
      </c>
      <c r="S4822" t="s">
        <v>145</v>
      </c>
      <c r="T4822">
        <v>31732128</v>
      </c>
      <c r="U4822">
        <v>0</v>
      </c>
      <c r="V4822" t="s">
        <v>544</v>
      </c>
      <c r="W4822" t="s">
        <v>542</v>
      </c>
      <c r="X4822" s="784">
        <v>902005621.73836684</v>
      </c>
    </row>
    <row r="4823" spans="1:24">
      <c r="A4823" t="s">
        <v>358</v>
      </c>
      <c r="B4823" t="s">
        <v>604</v>
      </c>
      <c r="C4823" t="s">
        <v>209</v>
      </c>
      <c r="D4823" t="s">
        <v>130</v>
      </c>
      <c r="E4823" t="s">
        <v>751</v>
      </c>
      <c r="J4823" t="s">
        <v>379</v>
      </c>
      <c r="P4823" t="s">
        <v>1887</v>
      </c>
      <c r="R4823" t="s">
        <v>152</v>
      </c>
      <c r="S4823" t="s">
        <v>145</v>
      </c>
      <c r="T4823">
        <v>113015</v>
      </c>
      <c r="U4823">
        <v>0</v>
      </c>
      <c r="V4823" t="s">
        <v>541</v>
      </c>
      <c r="W4823" t="s">
        <v>583</v>
      </c>
      <c r="X4823" s="784">
        <v>20201670.142996579</v>
      </c>
    </row>
    <row r="4824" spans="1:24">
      <c r="A4824" t="s">
        <v>358</v>
      </c>
      <c r="B4824" t="s">
        <v>605</v>
      </c>
      <c r="C4824" t="s">
        <v>210</v>
      </c>
      <c r="D4824" t="s">
        <v>130</v>
      </c>
      <c r="E4824" t="s">
        <v>751</v>
      </c>
      <c r="J4824" t="s">
        <v>379</v>
      </c>
      <c r="P4824" t="s">
        <v>1887</v>
      </c>
      <c r="R4824" t="s">
        <v>152</v>
      </c>
      <c r="S4824" t="s">
        <v>146</v>
      </c>
      <c r="T4824">
        <v>18249868</v>
      </c>
      <c r="U4824">
        <v>0</v>
      </c>
      <c r="V4824" t="s">
        <v>544</v>
      </c>
      <c r="W4824" t="s">
        <v>575</v>
      </c>
      <c r="X4824" s="784">
        <v>1612434649.6948864</v>
      </c>
    </row>
    <row r="4825" spans="1:24">
      <c r="A4825" t="s">
        <v>358</v>
      </c>
      <c r="B4825" t="s">
        <v>606</v>
      </c>
      <c r="C4825" t="s">
        <v>211</v>
      </c>
      <c r="D4825" t="s">
        <v>129</v>
      </c>
      <c r="E4825" t="s">
        <v>751</v>
      </c>
      <c r="J4825" t="s">
        <v>379</v>
      </c>
      <c r="P4825" t="s">
        <v>1887</v>
      </c>
      <c r="R4825" t="s">
        <v>148</v>
      </c>
      <c r="S4825" t="s">
        <v>145</v>
      </c>
      <c r="T4825">
        <v>13497237</v>
      </c>
      <c r="U4825">
        <v>0</v>
      </c>
      <c r="V4825" t="s">
        <v>544</v>
      </c>
      <c r="W4825" t="s">
        <v>562</v>
      </c>
      <c r="X4825" s="784">
        <v>78203134.118229344</v>
      </c>
    </row>
    <row r="4826" spans="1:24">
      <c r="A4826" t="s">
        <v>358</v>
      </c>
      <c r="B4826" t="s">
        <v>607</v>
      </c>
      <c r="C4826" t="s">
        <v>212</v>
      </c>
      <c r="D4826" t="s">
        <v>129</v>
      </c>
      <c r="E4826" t="s">
        <v>751</v>
      </c>
      <c r="J4826" t="s">
        <v>379</v>
      </c>
      <c r="P4826" t="s">
        <v>1887</v>
      </c>
      <c r="R4826" t="s">
        <v>148</v>
      </c>
      <c r="S4826" t="s">
        <v>145</v>
      </c>
      <c r="T4826">
        <v>2015490</v>
      </c>
      <c r="U4826">
        <v>2</v>
      </c>
      <c r="V4826" t="s">
        <v>541</v>
      </c>
      <c r="W4826" t="s">
        <v>542</v>
      </c>
      <c r="X4826" s="784">
        <v>9151637.7411015611</v>
      </c>
    </row>
    <row r="4827" spans="1:24">
      <c r="A4827" t="s">
        <v>358</v>
      </c>
      <c r="B4827" t="s">
        <v>608</v>
      </c>
      <c r="C4827" t="s">
        <v>213</v>
      </c>
      <c r="D4827" t="s">
        <v>130</v>
      </c>
      <c r="E4827" t="s">
        <v>751</v>
      </c>
      <c r="J4827" t="s">
        <v>379</v>
      </c>
      <c r="P4827" t="s">
        <v>1887</v>
      </c>
      <c r="R4827" t="s">
        <v>152</v>
      </c>
      <c r="S4827" t="s">
        <v>145</v>
      </c>
      <c r="T4827">
        <v>790329</v>
      </c>
      <c r="U4827">
        <v>0</v>
      </c>
      <c r="V4827" t="s">
        <v>541</v>
      </c>
      <c r="W4827" t="s">
        <v>562</v>
      </c>
      <c r="X4827" s="784">
        <v>142455920.02856269</v>
      </c>
    </row>
    <row r="4828" spans="1:24">
      <c r="A4828" t="s">
        <v>358</v>
      </c>
      <c r="B4828" t="s">
        <v>609</v>
      </c>
      <c r="C4828" t="s">
        <v>214</v>
      </c>
      <c r="D4828" t="s">
        <v>130</v>
      </c>
      <c r="E4828" t="s">
        <v>751</v>
      </c>
      <c r="J4828" t="s">
        <v>379</v>
      </c>
      <c r="P4828" t="s">
        <v>1887</v>
      </c>
      <c r="R4828" t="s">
        <v>150</v>
      </c>
      <c r="S4828" t="s">
        <v>145</v>
      </c>
      <c r="T4828">
        <v>11541683</v>
      </c>
      <c r="U4828">
        <v>1</v>
      </c>
      <c r="V4828" t="s">
        <v>541</v>
      </c>
      <c r="W4828" t="s">
        <v>542</v>
      </c>
      <c r="X4828" s="784">
        <v>85611818.171245083</v>
      </c>
    </row>
    <row r="4829" spans="1:24">
      <c r="A4829" t="s">
        <v>358</v>
      </c>
      <c r="B4829" t="s">
        <v>610</v>
      </c>
      <c r="C4829" t="s">
        <v>215</v>
      </c>
      <c r="D4829" t="s">
        <v>130</v>
      </c>
      <c r="E4829" t="s">
        <v>751</v>
      </c>
      <c r="J4829" t="s">
        <v>379</v>
      </c>
      <c r="P4829" t="s">
        <v>1887</v>
      </c>
      <c r="R4829" t="s">
        <v>150</v>
      </c>
      <c r="S4829" t="s">
        <v>145</v>
      </c>
      <c r="T4829">
        <v>10062994</v>
      </c>
      <c r="U4829">
        <v>0</v>
      </c>
      <c r="V4829" t="s">
        <v>544</v>
      </c>
      <c r="W4829" t="s">
        <v>558</v>
      </c>
      <c r="X4829" s="784">
        <v>680289736.30082119</v>
      </c>
    </row>
    <row r="4830" spans="1:24">
      <c r="A4830" t="s">
        <v>358</v>
      </c>
      <c r="B4830" t="s">
        <v>611</v>
      </c>
      <c r="C4830" t="s">
        <v>216</v>
      </c>
      <c r="D4830" t="s">
        <v>132</v>
      </c>
      <c r="E4830" t="s">
        <v>751</v>
      </c>
      <c r="J4830" t="s">
        <v>379</v>
      </c>
      <c r="P4830" t="s">
        <v>1887</v>
      </c>
      <c r="R4830" t="s">
        <v>150</v>
      </c>
      <c r="S4830" t="s">
        <v>145</v>
      </c>
      <c r="T4830">
        <v>1393409033</v>
      </c>
      <c r="U4830">
        <v>0</v>
      </c>
      <c r="V4830" t="s">
        <v>544</v>
      </c>
      <c r="W4830" t="s">
        <v>546</v>
      </c>
      <c r="X4830" s="784">
        <v>26554332750.47023</v>
      </c>
    </row>
    <row r="4831" spans="1:24">
      <c r="A4831" t="s">
        <v>358</v>
      </c>
      <c r="B4831" t="s">
        <v>612</v>
      </c>
      <c r="C4831" t="s">
        <v>217</v>
      </c>
      <c r="D4831" t="s">
        <v>126</v>
      </c>
      <c r="E4831" t="s">
        <v>751</v>
      </c>
      <c r="J4831" t="s">
        <v>379</v>
      </c>
      <c r="P4831" t="s">
        <v>1887</v>
      </c>
      <c r="R4831" t="s">
        <v>150</v>
      </c>
      <c r="S4831" t="s">
        <v>145</v>
      </c>
      <c r="T4831">
        <v>276361788</v>
      </c>
      <c r="U4831">
        <v>0</v>
      </c>
      <c r="V4831" t="s">
        <v>544</v>
      </c>
      <c r="W4831" t="s">
        <v>546</v>
      </c>
      <c r="X4831" s="784">
        <v>14745961064.890842</v>
      </c>
    </row>
    <row r="4832" spans="1:24">
      <c r="A4832" t="s">
        <v>358</v>
      </c>
      <c r="B4832" t="s">
        <v>613</v>
      </c>
      <c r="C4832" t="s">
        <v>149</v>
      </c>
      <c r="D4832" t="s">
        <v>131</v>
      </c>
      <c r="E4832" t="s">
        <v>751</v>
      </c>
      <c r="J4832" t="s">
        <v>379</v>
      </c>
      <c r="P4832" t="s">
        <v>1887</v>
      </c>
      <c r="R4832" t="s">
        <v>150</v>
      </c>
      <c r="S4832" t="s">
        <v>146</v>
      </c>
      <c r="T4832">
        <v>85028760</v>
      </c>
      <c r="U4832">
        <v>0</v>
      </c>
      <c r="V4832" t="s">
        <v>544</v>
      </c>
      <c r="W4832" t="s">
        <v>546</v>
      </c>
      <c r="X4832" s="784">
        <v>18194076299.786381</v>
      </c>
    </row>
    <row r="4833" spans="1:24">
      <c r="A4833" t="s">
        <v>358</v>
      </c>
      <c r="B4833" t="s">
        <v>614</v>
      </c>
      <c r="C4833" t="s">
        <v>218</v>
      </c>
      <c r="D4833" t="s">
        <v>131</v>
      </c>
      <c r="E4833" t="s">
        <v>751</v>
      </c>
      <c r="J4833" t="s">
        <v>379</v>
      </c>
      <c r="P4833" t="s">
        <v>1887</v>
      </c>
      <c r="R4833" t="s">
        <v>152</v>
      </c>
      <c r="S4833" t="s">
        <v>146</v>
      </c>
      <c r="T4833">
        <v>41179351</v>
      </c>
      <c r="U4833">
        <v>0</v>
      </c>
      <c r="V4833" t="s">
        <v>544</v>
      </c>
      <c r="W4833" t="s">
        <v>546</v>
      </c>
      <c r="X4833" s="784">
        <v>4428819387.769825</v>
      </c>
    </row>
    <row r="4834" spans="1:24">
      <c r="A4834" t="s">
        <v>358</v>
      </c>
      <c r="B4834" t="s">
        <v>615</v>
      </c>
      <c r="C4834" t="s">
        <v>219</v>
      </c>
      <c r="D4834" t="s">
        <v>130</v>
      </c>
      <c r="E4834" t="s">
        <v>751</v>
      </c>
      <c r="J4834" t="s">
        <v>379</v>
      </c>
      <c r="P4834" t="s">
        <v>1887</v>
      </c>
      <c r="R4834" t="s">
        <v>152</v>
      </c>
      <c r="S4834" t="s">
        <v>146</v>
      </c>
      <c r="T4834">
        <v>2973462</v>
      </c>
      <c r="U4834">
        <v>0</v>
      </c>
      <c r="V4834" t="s">
        <v>541</v>
      </c>
      <c r="W4834" t="s">
        <v>575</v>
      </c>
      <c r="X4834" s="784">
        <v>611739560.62679195</v>
      </c>
    </row>
    <row r="4835" spans="1:24">
      <c r="A4835" t="s">
        <v>358</v>
      </c>
      <c r="B4835" t="s">
        <v>616</v>
      </c>
      <c r="C4835" t="s">
        <v>220</v>
      </c>
      <c r="D4835" t="s">
        <v>131</v>
      </c>
      <c r="E4835" t="s">
        <v>751</v>
      </c>
      <c r="J4835" t="s">
        <v>379</v>
      </c>
      <c r="P4835" t="s">
        <v>1887</v>
      </c>
      <c r="R4835" t="s">
        <v>152</v>
      </c>
      <c r="S4835" t="s">
        <v>146</v>
      </c>
      <c r="T4835">
        <v>10269022</v>
      </c>
      <c r="U4835">
        <v>0</v>
      </c>
      <c r="V4835" t="s">
        <v>544</v>
      </c>
      <c r="W4835" t="s">
        <v>546</v>
      </c>
      <c r="X4835" s="784">
        <v>1617913383.0481031</v>
      </c>
    </row>
    <row r="4836" spans="1:24">
      <c r="A4836" t="s">
        <v>358</v>
      </c>
      <c r="B4836" t="s">
        <v>617</v>
      </c>
      <c r="C4836" t="s">
        <v>221</v>
      </c>
      <c r="D4836" t="s">
        <v>127</v>
      </c>
      <c r="E4836" t="s">
        <v>751</v>
      </c>
      <c r="J4836" t="s">
        <v>379</v>
      </c>
      <c r="P4836" t="s">
        <v>1887</v>
      </c>
      <c r="R4836" t="s">
        <v>152</v>
      </c>
      <c r="S4836" t="s">
        <v>146</v>
      </c>
      <c r="T4836">
        <v>18994958</v>
      </c>
      <c r="U4836">
        <v>0</v>
      </c>
      <c r="V4836" t="s">
        <v>544</v>
      </c>
      <c r="W4836" t="s">
        <v>575</v>
      </c>
      <c r="X4836" s="784">
        <v>3074419112.4562683</v>
      </c>
    </row>
    <row r="4837" spans="1:24">
      <c r="A4837" t="s">
        <v>358</v>
      </c>
      <c r="B4837" t="s">
        <v>618</v>
      </c>
      <c r="C4837" t="s">
        <v>222</v>
      </c>
      <c r="D4837" t="s">
        <v>128</v>
      </c>
      <c r="E4837" t="s">
        <v>751</v>
      </c>
      <c r="J4837" t="s">
        <v>379</v>
      </c>
      <c r="P4837" t="s">
        <v>1887</v>
      </c>
      <c r="R4837" t="s">
        <v>150</v>
      </c>
      <c r="S4837" t="s">
        <v>145</v>
      </c>
      <c r="T4837">
        <v>54985702</v>
      </c>
      <c r="U4837">
        <v>0</v>
      </c>
      <c r="V4837" t="s">
        <v>544</v>
      </c>
      <c r="W4837" t="s">
        <v>542</v>
      </c>
      <c r="X4837" s="784">
        <v>1914014279.8929913</v>
      </c>
    </row>
    <row r="4838" spans="1:24">
      <c r="A4838" t="s">
        <v>358</v>
      </c>
      <c r="B4838" t="s">
        <v>619</v>
      </c>
      <c r="C4838" t="s">
        <v>223</v>
      </c>
      <c r="D4838" t="s">
        <v>126</v>
      </c>
      <c r="E4838" t="s">
        <v>751</v>
      </c>
      <c r="J4838" t="s">
        <v>379</v>
      </c>
      <c r="P4838" t="s">
        <v>1887</v>
      </c>
      <c r="R4838" t="s">
        <v>150</v>
      </c>
      <c r="S4838" t="s">
        <v>145</v>
      </c>
      <c r="T4838">
        <v>121388</v>
      </c>
      <c r="U4838">
        <v>0</v>
      </c>
      <c r="V4838" t="s">
        <v>541</v>
      </c>
      <c r="W4838" t="s">
        <v>542</v>
      </c>
      <c r="X4838" s="784">
        <v>17422005.762907442</v>
      </c>
    </row>
    <row r="4839" spans="1:24">
      <c r="A4839" t="s">
        <v>358</v>
      </c>
      <c r="B4839" t="s">
        <v>620</v>
      </c>
      <c r="C4839" t="s">
        <v>224</v>
      </c>
      <c r="D4839" t="s">
        <v>126</v>
      </c>
      <c r="E4839" t="s">
        <v>751</v>
      </c>
      <c r="J4839" t="s">
        <v>379</v>
      </c>
      <c r="P4839" t="s">
        <v>1887</v>
      </c>
      <c r="R4839" t="s">
        <v>148</v>
      </c>
      <c r="S4839" t="s">
        <v>145</v>
      </c>
      <c r="T4839">
        <v>25887045</v>
      </c>
      <c r="U4839">
        <v>0</v>
      </c>
      <c r="V4839" t="s">
        <v>544</v>
      </c>
      <c r="W4839" t="s">
        <v>546</v>
      </c>
      <c r="X4839" s="784" t="s">
        <v>575</v>
      </c>
    </row>
    <row r="4840" spans="1:24">
      <c r="A4840" t="s">
        <v>358</v>
      </c>
      <c r="B4840" t="s">
        <v>621</v>
      </c>
      <c r="C4840" t="s">
        <v>225</v>
      </c>
      <c r="D4840" t="s">
        <v>127</v>
      </c>
      <c r="E4840" t="s">
        <v>751</v>
      </c>
      <c r="J4840" t="s">
        <v>379</v>
      </c>
      <c r="P4840" t="s">
        <v>1887</v>
      </c>
      <c r="R4840" t="s">
        <v>152</v>
      </c>
      <c r="S4840" t="s">
        <v>145</v>
      </c>
      <c r="T4840">
        <v>1794000</v>
      </c>
      <c r="U4840">
        <v>0</v>
      </c>
      <c r="V4840" t="s">
        <v>544</v>
      </c>
      <c r="W4840" t="s">
        <v>548</v>
      </c>
      <c r="X4840" s="784" t="s">
        <v>575</v>
      </c>
    </row>
    <row r="4841" spans="1:24">
      <c r="A4841" t="s">
        <v>358</v>
      </c>
      <c r="B4841" t="s">
        <v>622</v>
      </c>
      <c r="C4841" t="s">
        <v>226</v>
      </c>
      <c r="D4841" t="s">
        <v>127</v>
      </c>
      <c r="E4841" t="s">
        <v>751</v>
      </c>
      <c r="J4841" t="s">
        <v>379</v>
      </c>
      <c r="P4841" t="s">
        <v>1887</v>
      </c>
      <c r="R4841" t="s">
        <v>150</v>
      </c>
      <c r="S4841" t="s">
        <v>145</v>
      </c>
      <c r="T4841">
        <v>6628347</v>
      </c>
      <c r="U4841">
        <v>2</v>
      </c>
      <c r="V4841" t="s">
        <v>544</v>
      </c>
      <c r="W4841" t="s">
        <v>562</v>
      </c>
      <c r="X4841" s="784">
        <v>231506834.84347546</v>
      </c>
    </row>
    <row r="4842" spans="1:24">
      <c r="A4842" t="s">
        <v>358</v>
      </c>
      <c r="B4842" t="s">
        <v>623</v>
      </c>
      <c r="C4842" t="s">
        <v>227</v>
      </c>
      <c r="D4842" t="s">
        <v>126</v>
      </c>
      <c r="E4842" t="s">
        <v>751</v>
      </c>
      <c r="J4842" t="s">
        <v>379</v>
      </c>
      <c r="P4842" t="s">
        <v>1887</v>
      </c>
      <c r="R4842" t="s">
        <v>150</v>
      </c>
      <c r="S4842" t="s">
        <v>145</v>
      </c>
      <c r="T4842">
        <v>7379358</v>
      </c>
      <c r="U4842">
        <v>0</v>
      </c>
      <c r="V4842" t="s">
        <v>544</v>
      </c>
      <c r="W4842" t="s">
        <v>542</v>
      </c>
      <c r="X4842" s="784">
        <v>156059428.62944782</v>
      </c>
    </row>
    <row r="4843" spans="1:24">
      <c r="A4843" t="s">
        <v>358</v>
      </c>
      <c r="B4843" t="s">
        <v>624</v>
      </c>
      <c r="C4843" t="s">
        <v>228</v>
      </c>
      <c r="D4843" t="s">
        <v>131</v>
      </c>
      <c r="E4843" t="s">
        <v>751</v>
      </c>
      <c r="J4843" t="s">
        <v>379</v>
      </c>
      <c r="P4843" t="s">
        <v>1887</v>
      </c>
      <c r="R4843" t="s">
        <v>152</v>
      </c>
      <c r="S4843" t="s">
        <v>146</v>
      </c>
      <c r="T4843">
        <v>6769151</v>
      </c>
      <c r="U4843">
        <v>0</v>
      </c>
      <c r="V4843" t="s">
        <v>544</v>
      </c>
      <c r="W4843" t="s">
        <v>546</v>
      </c>
      <c r="X4843" s="784">
        <v>2355391507.1635861</v>
      </c>
    </row>
    <row r="4844" spans="1:24">
      <c r="A4844" t="s">
        <v>358</v>
      </c>
      <c r="B4844" t="s">
        <v>625</v>
      </c>
      <c r="C4844" t="s">
        <v>229</v>
      </c>
      <c r="D4844" t="s">
        <v>128</v>
      </c>
      <c r="E4844" t="s">
        <v>751</v>
      </c>
      <c r="J4844" t="s">
        <v>379</v>
      </c>
      <c r="P4844" t="s">
        <v>1887</v>
      </c>
      <c r="R4844" t="s">
        <v>150</v>
      </c>
      <c r="S4844" t="s">
        <v>145</v>
      </c>
      <c r="T4844">
        <v>2159067</v>
      </c>
      <c r="U4844">
        <v>0</v>
      </c>
      <c r="V4844" t="s">
        <v>544</v>
      </c>
      <c r="W4844" t="s">
        <v>562</v>
      </c>
      <c r="X4844" s="784">
        <v>152760919.7684873</v>
      </c>
    </row>
    <row r="4845" spans="1:24">
      <c r="A4845" t="s">
        <v>358</v>
      </c>
      <c r="B4845" t="s">
        <v>626</v>
      </c>
      <c r="C4845" t="s">
        <v>230</v>
      </c>
      <c r="D4845" t="s">
        <v>129</v>
      </c>
      <c r="E4845" t="s">
        <v>751</v>
      </c>
      <c r="J4845" t="s">
        <v>379</v>
      </c>
      <c r="P4845" t="s">
        <v>1887</v>
      </c>
      <c r="R4845" t="s">
        <v>148</v>
      </c>
      <c r="S4845" t="s">
        <v>145</v>
      </c>
      <c r="T4845">
        <v>5180208</v>
      </c>
      <c r="U4845">
        <v>0</v>
      </c>
      <c r="V4845" t="s">
        <v>544</v>
      </c>
      <c r="W4845" t="s">
        <v>542</v>
      </c>
      <c r="X4845" s="784">
        <v>55072006.864440605</v>
      </c>
    </row>
    <row r="4846" spans="1:24">
      <c r="A4846" t="s">
        <v>358</v>
      </c>
      <c r="B4846" t="s">
        <v>627</v>
      </c>
      <c r="C4846" t="s">
        <v>231</v>
      </c>
      <c r="D4846" t="s">
        <v>131</v>
      </c>
      <c r="E4846" t="s">
        <v>751</v>
      </c>
      <c r="J4846" t="s">
        <v>379</v>
      </c>
      <c r="P4846" t="s">
        <v>1887</v>
      </c>
      <c r="R4846" t="s">
        <v>152</v>
      </c>
      <c r="S4846" t="s">
        <v>146</v>
      </c>
      <c r="T4846">
        <v>6958538</v>
      </c>
      <c r="U4846">
        <v>0</v>
      </c>
      <c r="V4846" t="s">
        <v>544</v>
      </c>
      <c r="W4846" t="s">
        <v>546</v>
      </c>
      <c r="X4846" s="784" t="s">
        <v>575</v>
      </c>
    </row>
    <row r="4847" spans="1:24">
      <c r="A4847" t="s">
        <v>358</v>
      </c>
      <c r="B4847" t="s">
        <v>628</v>
      </c>
      <c r="C4847" t="s">
        <v>232</v>
      </c>
      <c r="D4847" t="s">
        <v>128</v>
      </c>
      <c r="E4847" t="s">
        <v>751</v>
      </c>
      <c r="J4847" t="s">
        <v>379</v>
      </c>
      <c r="P4847" t="s">
        <v>1887</v>
      </c>
      <c r="R4847" t="s">
        <v>148</v>
      </c>
      <c r="S4847" t="s">
        <v>145</v>
      </c>
      <c r="T4847">
        <v>28427333</v>
      </c>
      <c r="U4847">
        <v>2</v>
      </c>
      <c r="V4847" t="s">
        <v>544</v>
      </c>
      <c r="W4847" t="s">
        <v>562</v>
      </c>
      <c r="X4847" s="784">
        <v>206914157.05429548</v>
      </c>
    </row>
    <row r="4848" spans="1:24">
      <c r="A4848" t="s">
        <v>358</v>
      </c>
      <c r="B4848" t="s">
        <v>629</v>
      </c>
      <c r="C4848" t="s">
        <v>233</v>
      </c>
      <c r="D4848" t="s">
        <v>128</v>
      </c>
      <c r="E4848" t="s">
        <v>751</v>
      </c>
      <c r="J4848" t="s">
        <v>379</v>
      </c>
      <c r="P4848" t="s">
        <v>1887</v>
      </c>
      <c r="R4848" t="s">
        <v>148</v>
      </c>
      <c r="S4848" t="s">
        <v>145</v>
      </c>
      <c r="T4848">
        <v>19647681</v>
      </c>
      <c r="U4848">
        <v>2</v>
      </c>
      <c r="V4848" t="s">
        <v>544</v>
      </c>
      <c r="W4848" t="s">
        <v>542</v>
      </c>
      <c r="X4848" s="784">
        <v>185999915.02066413</v>
      </c>
    </row>
    <row r="4849" spans="1:24">
      <c r="A4849" t="s">
        <v>358</v>
      </c>
      <c r="B4849" t="s">
        <v>630</v>
      </c>
      <c r="C4849" t="s">
        <v>234</v>
      </c>
      <c r="D4849" t="s">
        <v>126</v>
      </c>
      <c r="E4849" t="s">
        <v>751</v>
      </c>
      <c r="J4849" t="s">
        <v>379</v>
      </c>
      <c r="P4849" t="s">
        <v>1887</v>
      </c>
      <c r="R4849" t="s">
        <v>152</v>
      </c>
      <c r="S4849" t="s">
        <v>146</v>
      </c>
      <c r="T4849">
        <v>32776195</v>
      </c>
      <c r="U4849">
        <v>0</v>
      </c>
      <c r="V4849" t="s">
        <v>544</v>
      </c>
      <c r="W4849" t="s">
        <v>575</v>
      </c>
      <c r="X4849" s="784">
        <v>6893755763.2501726</v>
      </c>
    </row>
    <row r="4850" spans="1:24">
      <c r="A4850" t="s">
        <v>358</v>
      </c>
      <c r="B4850" t="s">
        <v>631</v>
      </c>
      <c r="C4850" t="s">
        <v>235</v>
      </c>
      <c r="D4850" t="s">
        <v>132</v>
      </c>
      <c r="E4850" t="s">
        <v>751</v>
      </c>
      <c r="J4850" t="s">
        <v>379</v>
      </c>
      <c r="P4850" t="s">
        <v>1887</v>
      </c>
      <c r="R4850" t="s">
        <v>152</v>
      </c>
      <c r="S4850" t="s">
        <v>145</v>
      </c>
      <c r="T4850">
        <v>543620</v>
      </c>
      <c r="U4850">
        <v>0</v>
      </c>
      <c r="V4850" t="s">
        <v>541</v>
      </c>
      <c r="W4850" t="s">
        <v>542</v>
      </c>
      <c r="X4850" s="784">
        <v>354560231.58276606</v>
      </c>
    </row>
    <row r="4851" spans="1:24">
      <c r="A4851" t="s">
        <v>358</v>
      </c>
      <c r="B4851" t="s">
        <v>632</v>
      </c>
      <c r="C4851" t="s">
        <v>236</v>
      </c>
      <c r="D4851" t="s">
        <v>129</v>
      </c>
      <c r="E4851" t="s">
        <v>751</v>
      </c>
      <c r="J4851" t="s">
        <v>379</v>
      </c>
      <c r="P4851" t="s">
        <v>1887</v>
      </c>
      <c r="R4851" t="s">
        <v>148</v>
      </c>
      <c r="S4851" t="s">
        <v>145</v>
      </c>
      <c r="T4851">
        <v>20855724</v>
      </c>
      <c r="U4851">
        <v>1</v>
      </c>
      <c r="V4851" t="s">
        <v>544</v>
      </c>
      <c r="W4851" t="s">
        <v>562</v>
      </c>
      <c r="X4851" s="784">
        <v>188169167.56540567</v>
      </c>
    </row>
    <row r="4852" spans="1:24">
      <c r="A4852" t="s">
        <v>358</v>
      </c>
      <c r="B4852" t="s">
        <v>633</v>
      </c>
      <c r="C4852" t="s">
        <v>237</v>
      </c>
      <c r="D4852" t="s">
        <v>126</v>
      </c>
      <c r="E4852" t="s">
        <v>751</v>
      </c>
      <c r="J4852" t="s">
        <v>379</v>
      </c>
      <c r="P4852" t="s">
        <v>1887</v>
      </c>
      <c r="R4852" t="s">
        <v>152</v>
      </c>
      <c r="S4852" t="s">
        <v>145</v>
      </c>
      <c r="T4852">
        <v>58413</v>
      </c>
      <c r="U4852">
        <v>0</v>
      </c>
      <c r="V4852" t="s">
        <v>541</v>
      </c>
      <c r="W4852" t="s">
        <v>575</v>
      </c>
      <c r="X4852" s="784">
        <v>16312106.556340856</v>
      </c>
    </row>
    <row r="4853" spans="1:24">
      <c r="A4853" t="s">
        <v>358</v>
      </c>
      <c r="B4853" t="s">
        <v>634</v>
      </c>
      <c r="C4853" t="s">
        <v>238</v>
      </c>
      <c r="D4853" t="s">
        <v>129</v>
      </c>
      <c r="E4853" t="s">
        <v>751</v>
      </c>
      <c r="J4853" t="s">
        <v>379</v>
      </c>
      <c r="P4853" t="s">
        <v>1887</v>
      </c>
      <c r="R4853" t="s">
        <v>150</v>
      </c>
      <c r="S4853" t="s">
        <v>145</v>
      </c>
      <c r="T4853">
        <v>4775110</v>
      </c>
      <c r="U4853">
        <v>2</v>
      </c>
      <c r="V4853" t="s">
        <v>544</v>
      </c>
      <c r="W4853" t="s">
        <v>542</v>
      </c>
      <c r="X4853" s="784">
        <v>86083833.534053758</v>
      </c>
    </row>
    <row r="4854" spans="1:24">
      <c r="A4854" t="s">
        <v>358</v>
      </c>
      <c r="B4854" t="s">
        <v>635</v>
      </c>
      <c r="C4854" t="s">
        <v>239</v>
      </c>
      <c r="D4854" t="s">
        <v>128</v>
      </c>
      <c r="E4854" t="s">
        <v>751</v>
      </c>
      <c r="J4854" t="s">
        <v>379</v>
      </c>
      <c r="P4854" t="s">
        <v>1887</v>
      </c>
      <c r="R4854" t="s">
        <v>152</v>
      </c>
      <c r="S4854" t="s">
        <v>146</v>
      </c>
      <c r="T4854">
        <v>1273428</v>
      </c>
      <c r="U4854">
        <v>0</v>
      </c>
      <c r="V4854" t="s">
        <v>541</v>
      </c>
      <c r="W4854" t="s">
        <v>546</v>
      </c>
      <c r="X4854" s="784">
        <v>357220835.93762809</v>
      </c>
    </row>
    <row r="4855" spans="1:24">
      <c r="A4855" t="s">
        <v>358</v>
      </c>
      <c r="B4855" t="s">
        <v>636</v>
      </c>
      <c r="C4855" t="s">
        <v>240</v>
      </c>
      <c r="D4855" t="s">
        <v>130</v>
      </c>
      <c r="E4855" t="s">
        <v>751</v>
      </c>
      <c r="J4855" t="s">
        <v>379</v>
      </c>
      <c r="P4855" t="s">
        <v>1887</v>
      </c>
      <c r="R4855" t="s">
        <v>152</v>
      </c>
      <c r="S4855" t="s">
        <v>146</v>
      </c>
      <c r="T4855">
        <v>130262220</v>
      </c>
      <c r="U4855">
        <v>0</v>
      </c>
      <c r="V4855" t="s">
        <v>544</v>
      </c>
      <c r="W4855" t="s">
        <v>575</v>
      </c>
      <c r="X4855" s="784">
        <v>32831598153.796387</v>
      </c>
    </row>
    <row r="4856" spans="1:24">
      <c r="A4856" t="s">
        <v>358</v>
      </c>
      <c r="B4856" t="s">
        <v>637</v>
      </c>
      <c r="C4856" t="s">
        <v>241</v>
      </c>
      <c r="D4856" t="s">
        <v>126</v>
      </c>
      <c r="E4856" t="s">
        <v>751</v>
      </c>
      <c r="J4856" t="s">
        <v>379</v>
      </c>
      <c r="P4856" t="s">
        <v>1887</v>
      </c>
      <c r="R4856" t="s">
        <v>150</v>
      </c>
      <c r="S4856" t="s">
        <v>145</v>
      </c>
      <c r="T4856">
        <v>116255</v>
      </c>
      <c r="U4856">
        <v>0</v>
      </c>
      <c r="V4856" t="s">
        <v>541</v>
      </c>
      <c r="W4856" t="s">
        <v>542</v>
      </c>
      <c r="X4856" s="784">
        <v>12329056.093798399</v>
      </c>
    </row>
    <row r="4857" spans="1:24">
      <c r="A4857" t="s">
        <v>358</v>
      </c>
      <c r="B4857" t="s">
        <v>638</v>
      </c>
      <c r="C4857" t="s">
        <v>242</v>
      </c>
      <c r="D4857" t="s">
        <v>127</v>
      </c>
      <c r="E4857" t="s">
        <v>751</v>
      </c>
      <c r="J4857" t="s">
        <v>379</v>
      </c>
      <c r="P4857" t="s">
        <v>1887</v>
      </c>
      <c r="R4857" t="s">
        <v>152</v>
      </c>
      <c r="S4857" t="s">
        <v>145</v>
      </c>
      <c r="T4857">
        <v>4024025</v>
      </c>
      <c r="U4857">
        <v>0</v>
      </c>
      <c r="V4857" t="s">
        <v>544</v>
      </c>
      <c r="W4857" t="s">
        <v>558</v>
      </c>
      <c r="X4857" s="784">
        <v>426639742.85328001</v>
      </c>
    </row>
    <row r="4858" spans="1:24">
      <c r="A4858" t="s">
        <v>358</v>
      </c>
      <c r="B4858" t="s">
        <v>639</v>
      </c>
      <c r="C4858" t="s">
        <v>243</v>
      </c>
      <c r="D4858" t="s">
        <v>126</v>
      </c>
      <c r="E4858" t="s">
        <v>751</v>
      </c>
      <c r="J4858" t="s">
        <v>379</v>
      </c>
      <c r="P4858" t="s">
        <v>1887</v>
      </c>
      <c r="R4858" t="s">
        <v>150</v>
      </c>
      <c r="S4858" t="s">
        <v>145</v>
      </c>
      <c r="T4858">
        <v>3329282</v>
      </c>
      <c r="U4858">
        <v>0</v>
      </c>
      <c r="V4858" t="s">
        <v>544</v>
      </c>
      <c r="W4858" t="s">
        <v>548</v>
      </c>
      <c r="X4858" s="784">
        <v>288519671.85870522</v>
      </c>
    </row>
    <row r="4859" spans="1:24">
      <c r="A4859" t="s">
        <v>358</v>
      </c>
      <c r="B4859" t="s">
        <v>640</v>
      </c>
      <c r="C4859" t="s">
        <v>244</v>
      </c>
      <c r="D4859" t="s">
        <v>127</v>
      </c>
      <c r="E4859" t="s">
        <v>751</v>
      </c>
      <c r="J4859" t="s">
        <v>379</v>
      </c>
      <c r="P4859" t="s">
        <v>1887</v>
      </c>
      <c r="R4859" t="s">
        <v>152</v>
      </c>
      <c r="S4859" t="s">
        <v>146</v>
      </c>
      <c r="T4859">
        <v>628051</v>
      </c>
      <c r="U4859">
        <v>0</v>
      </c>
      <c r="V4859" t="s">
        <v>544</v>
      </c>
      <c r="W4859" t="s">
        <v>546</v>
      </c>
      <c r="X4859" s="784">
        <v>275606560.78491527</v>
      </c>
    </row>
    <row r="4860" spans="1:24">
      <c r="A4860" t="s">
        <v>358</v>
      </c>
      <c r="B4860" t="s">
        <v>641</v>
      </c>
      <c r="C4860" t="s">
        <v>245</v>
      </c>
      <c r="D4860" t="s">
        <v>131</v>
      </c>
      <c r="E4860" t="s">
        <v>751</v>
      </c>
      <c r="J4860" t="s">
        <v>379</v>
      </c>
      <c r="P4860" t="s">
        <v>1887</v>
      </c>
      <c r="R4860" t="s">
        <v>150</v>
      </c>
      <c r="S4860" t="s">
        <v>145</v>
      </c>
      <c r="T4860">
        <v>37344787</v>
      </c>
      <c r="U4860">
        <v>0</v>
      </c>
      <c r="V4860" t="s">
        <v>544</v>
      </c>
      <c r="W4860" t="s">
        <v>546</v>
      </c>
      <c r="X4860" s="784">
        <v>2530937679.3725696</v>
      </c>
    </row>
    <row r="4861" spans="1:24">
      <c r="A4861" t="s">
        <v>358</v>
      </c>
      <c r="B4861" t="s">
        <v>642</v>
      </c>
      <c r="C4861" t="s">
        <v>246</v>
      </c>
      <c r="D4861" t="s">
        <v>128</v>
      </c>
      <c r="E4861" t="s">
        <v>751</v>
      </c>
      <c r="J4861" t="s">
        <v>379</v>
      </c>
      <c r="P4861" t="s">
        <v>1887</v>
      </c>
      <c r="R4861" t="s">
        <v>148</v>
      </c>
      <c r="S4861" t="s">
        <v>145</v>
      </c>
      <c r="T4861">
        <v>32163045</v>
      </c>
      <c r="U4861">
        <v>0</v>
      </c>
      <c r="V4861" t="s">
        <v>544</v>
      </c>
      <c r="W4861" t="s">
        <v>583</v>
      </c>
      <c r="X4861" s="784">
        <v>251432156.86255455</v>
      </c>
    </row>
    <row r="4862" spans="1:24">
      <c r="A4862" t="s">
        <v>358</v>
      </c>
      <c r="B4862" t="s">
        <v>643</v>
      </c>
      <c r="C4862" t="s">
        <v>247</v>
      </c>
      <c r="D4862" t="s">
        <v>126</v>
      </c>
      <c r="E4862" t="s">
        <v>751</v>
      </c>
      <c r="J4862" t="s">
        <v>379</v>
      </c>
      <c r="P4862" t="s">
        <v>1887</v>
      </c>
      <c r="R4862" t="s">
        <v>150</v>
      </c>
      <c r="S4862" t="s">
        <v>145</v>
      </c>
      <c r="T4862">
        <v>54806014</v>
      </c>
      <c r="U4862">
        <v>0</v>
      </c>
      <c r="V4862" t="s">
        <v>544</v>
      </c>
      <c r="W4862" t="s">
        <v>558</v>
      </c>
      <c r="X4862" s="784">
        <v>471534500.60109437</v>
      </c>
    </row>
    <row r="4863" spans="1:24">
      <c r="A4863" t="s">
        <v>358</v>
      </c>
      <c r="B4863" t="s">
        <v>644</v>
      </c>
      <c r="C4863" t="s">
        <v>248</v>
      </c>
      <c r="D4863" t="s">
        <v>128</v>
      </c>
      <c r="E4863" t="s">
        <v>751</v>
      </c>
      <c r="J4863" t="s">
        <v>379</v>
      </c>
      <c r="P4863" t="s">
        <v>1887</v>
      </c>
      <c r="R4863" t="s">
        <v>152</v>
      </c>
      <c r="S4863" t="s">
        <v>146</v>
      </c>
      <c r="T4863">
        <v>2587344</v>
      </c>
      <c r="U4863">
        <v>0</v>
      </c>
      <c r="V4863" t="s">
        <v>544</v>
      </c>
      <c r="W4863" t="s">
        <v>575</v>
      </c>
      <c r="X4863" s="784">
        <v>531677611.80447447</v>
      </c>
    </row>
    <row r="4864" spans="1:24">
      <c r="A4864" t="s">
        <v>358</v>
      </c>
      <c r="B4864" t="s">
        <v>645</v>
      </c>
      <c r="C4864" t="s">
        <v>249</v>
      </c>
      <c r="D4864" t="s">
        <v>126</v>
      </c>
      <c r="E4864" t="s">
        <v>751</v>
      </c>
      <c r="J4864" t="s">
        <v>379</v>
      </c>
      <c r="P4864" t="s">
        <v>1887</v>
      </c>
      <c r="R4864" t="s">
        <v>550</v>
      </c>
      <c r="S4864" t="s">
        <v>146</v>
      </c>
      <c r="T4864">
        <v>10834</v>
      </c>
      <c r="U4864">
        <v>0</v>
      </c>
      <c r="V4864" t="s">
        <v>541</v>
      </c>
      <c r="W4864" t="s">
        <v>575</v>
      </c>
      <c r="X4864" s="784">
        <v>8528751.6418357007</v>
      </c>
    </row>
    <row r="4865" spans="1:24">
      <c r="A4865" t="s">
        <v>358</v>
      </c>
      <c r="B4865" t="s">
        <v>646</v>
      </c>
      <c r="C4865" t="s">
        <v>250</v>
      </c>
      <c r="D4865" t="s">
        <v>132</v>
      </c>
      <c r="E4865" t="s">
        <v>751</v>
      </c>
      <c r="J4865" t="s">
        <v>379</v>
      </c>
      <c r="P4865" t="s">
        <v>1887</v>
      </c>
      <c r="R4865" t="s">
        <v>150</v>
      </c>
      <c r="S4865" t="s">
        <v>145</v>
      </c>
      <c r="T4865">
        <v>29674920</v>
      </c>
      <c r="U4865">
        <v>0</v>
      </c>
      <c r="V4865" t="s">
        <v>544</v>
      </c>
      <c r="W4865" t="s">
        <v>558</v>
      </c>
      <c r="X4865" s="784">
        <v>407084543.19089872</v>
      </c>
    </row>
    <row r="4866" spans="1:24">
      <c r="A4866" t="s">
        <v>358</v>
      </c>
      <c r="B4866" t="s">
        <v>647</v>
      </c>
      <c r="C4866" t="s">
        <v>251</v>
      </c>
      <c r="D4866" t="s">
        <v>130</v>
      </c>
      <c r="E4866" t="s">
        <v>751</v>
      </c>
      <c r="J4866" t="s">
        <v>379</v>
      </c>
      <c r="P4866" t="s">
        <v>1887</v>
      </c>
      <c r="R4866" t="s">
        <v>150</v>
      </c>
      <c r="S4866" t="s">
        <v>145</v>
      </c>
      <c r="T4866">
        <v>6702379</v>
      </c>
      <c r="U4866">
        <v>0</v>
      </c>
      <c r="V4866" t="s">
        <v>544</v>
      </c>
      <c r="W4866" t="s">
        <v>562</v>
      </c>
      <c r="X4866" s="784">
        <v>671998341.93592453</v>
      </c>
    </row>
    <row r="4867" spans="1:24">
      <c r="A4867" t="s">
        <v>358</v>
      </c>
      <c r="B4867" t="s">
        <v>648</v>
      </c>
      <c r="C4867" t="s">
        <v>252</v>
      </c>
      <c r="D4867" t="s">
        <v>129</v>
      </c>
      <c r="E4867" t="s">
        <v>751</v>
      </c>
      <c r="J4867" t="s">
        <v>379</v>
      </c>
      <c r="P4867" t="s">
        <v>1887</v>
      </c>
      <c r="R4867" t="s">
        <v>148</v>
      </c>
      <c r="S4867" t="s">
        <v>145</v>
      </c>
      <c r="T4867">
        <v>25130810</v>
      </c>
      <c r="U4867">
        <v>1</v>
      </c>
      <c r="V4867" t="s">
        <v>544</v>
      </c>
      <c r="W4867" t="s">
        <v>562</v>
      </c>
      <c r="X4867" s="784">
        <v>226203289.67158964</v>
      </c>
    </row>
    <row r="4868" spans="1:24">
      <c r="A4868" t="s">
        <v>358</v>
      </c>
      <c r="B4868" t="s">
        <v>649</v>
      </c>
      <c r="C4868" t="s">
        <v>253</v>
      </c>
      <c r="D4868" t="s">
        <v>129</v>
      </c>
      <c r="E4868" t="s">
        <v>751</v>
      </c>
      <c r="J4868" t="s">
        <v>379</v>
      </c>
      <c r="P4868" t="s">
        <v>1887</v>
      </c>
      <c r="R4868" t="s">
        <v>150</v>
      </c>
      <c r="S4868" t="s">
        <v>145</v>
      </c>
      <c r="T4868">
        <v>211400704</v>
      </c>
      <c r="U4868">
        <v>3</v>
      </c>
      <c r="V4868" t="s">
        <v>544</v>
      </c>
      <c r="W4868" t="s">
        <v>548</v>
      </c>
      <c r="X4868" s="784">
        <v>2438881113.1244688</v>
      </c>
    </row>
    <row r="4869" spans="1:24">
      <c r="A4869" t="s">
        <v>358</v>
      </c>
      <c r="B4869" t="s">
        <v>650</v>
      </c>
      <c r="C4869" t="s">
        <v>254</v>
      </c>
      <c r="D4869" t="s">
        <v>127</v>
      </c>
      <c r="E4869" t="s">
        <v>751</v>
      </c>
      <c r="J4869" t="s">
        <v>379</v>
      </c>
      <c r="P4869" t="s">
        <v>1887</v>
      </c>
      <c r="R4869" t="s">
        <v>152</v>
      </c>
      <c r="S4869" t="s">
        <v>146</v>
      </c>
      <c r="T4869">
        <v>2082662</v>
      </c>
      <c r="U4869">
        <v>0</v>
      </c>
      <c r="V4869" t="s">
        <v>544</v>
      </c>
      <c r="W4869" t="s">
        <v>575</v>
      </c>
      <c r="X4869" s="784">
        <v>476517795.73174149</v>
      </c>
    </row>
    <row r="4870" spans="1:24">
      <c r="A4870" t="s">
        <v>358</v>
      </c>
      <c r="B4870" t="s">
        <v>651</v>
      </c>
      <c r="C4870" t="s">
        <v>255</v>
      </c>
      <c r="D4870" t="s">
        <v>132</v>
      </c>
      <c r="E4870" t="s">
        <v>751</v>
      </c>
      <c r="J4870" t="s">
        <v>379</v>
      </c>
      <c r="P4870" t="s">
        <v>1887</v>
      </c>
      <c r="R4870" t="s">
        <v>150</v>
      </c>
      <c r="S4870" t="s">
        <v>145</v>
      </c>
      <c r="T4870">
        <v>225199929</v>
      </c>
      <c r="U4870">
        <v>0</v>
      </c>
      <c r="V4870" t="s">
        <v>544</v>
      </c>
      <c r="W4870" t="s">
        <v>548</v>
      </c>
      <c r="X4870" s="784">
        <v>3233351297.7679496</v>
      </c>
    </row>
    <row r="4871" spans="1:24">
      <c r="A4871" t="s">
        <v>358</v>
      </c>
      <c r="B4871" t="s">
        <v>652</v>
      </c>
      <c r="C4871" t="s">
        <v>256</v>
      </c>
      <c r="D4871" t="s">
        <v>130</v>
      </c>
      <c r="E4871" t="s">
        <v>751</v>
      </c>
      <c r="J4871" t="s">
        <v>379</v>
      </c>
      <c r="P4871" t="s">
        <v>1887</v>
      </c>
      <c r="R4871" t="s">
        <v>550</v>
      </c>
      <c r="S4871" t="s">
        <v>146</v>
      </c>
      <c r="T4871">
        <v>18092</v>
      </c>
      <c r="U4871">
        <v>0</v>
      </c>
      <c r="V4871" t="s">
        <v>541</v>
      </c>
      <c r="W4871" t="s">
        <v>575</v>
      </c>
      <c r="X4871" s="784">
        <v>18180646.808608256</v>
      </c>
    </row>
    <row r="4872" spans="1:24">
      <c r="A4872" t="s">
        <v>358</v>
      </c>
      <c r="B4872" t="s">
        <v>653</v>
      </c>
      <c r="C4872" t="s">
        <v>257</v>
      </c>
      <c r="D4872" t="s">
        <v>130</v>
      </c>
      <c r="E4872" t="s">
        <v>751</v>
      </c>
      <c r="J4872" t="s">
        <v>379</v>
      </c>
      <c r="P4872" t="s">
        <v>1887</v>
      </c>
      <c r="R4872" t="s">
        <v>152</v>
      </c>
      <c r="S4872" t="s">
        <v>146</v>
      </c>
      <c r="T4872">
        <v>4381583</v>
      </c>
      <c r="U4872">
        <v>0</v>
      </c>
      <c r="V4872" t="s">
        <v>544</v>
      </c>
      <c r="W4872" t="s">
        <v>546</v>
      </c>
      <c r="X4872" s="784">
        <v>3020530707.3485303</v>
      </c>
    </row>
    <row r="4873" spans="1:24">
      <c r="A4873" t="s">
        <v>358</v>
      </c>
      <c r="B4873" t="s">
        <v>654</v>
      </c>
      <c r="C4873" t="s">
        <v>258</v>
      </c>
      <c r="D4873" t="s">
        <v>126</v>
      </c>
      <c r="E4873" t="s">
        <v>751</v>
      </c>
      <c r="J4873" t="s">
        <v>379</v>
      </c>
      <c r="P4873" t="s">
        <v>1887</v>
      </c>
      <c r="R4873" t="s">
        <v>150</v>
      </c>
      <c r="S4873" t="s">
        <v>145</v>
      </c>
      <c r="T4873">
        <v>9119005</v>
      </c>
      <c r="U4873">
        <v>1</v>
      </c>
      <c r="V4873" t="s">
        <v>541</v>
      </c>
      <c r="W4873" t="s">
        <v>542</v>
      </c>
      <c r="X4873" s="784">
        <v>384406316.46074712</v>
      </c>
    </row>
    <row r="4874" spans="1:24">
      <c r="A4874" t="s">
        <v>358</v>
      </c>
      <c r="B4874" t="s">
        <v>655</v>
      </c>
      <c r="C4874" t="s">
        <v>259</v>
      </c>
      <c r="D4874" t="s">
        <v>130</v>
      </c>
      <c r="E4874" t="s">
        <v>751</v>
      </c>
      <c r="J4874" t="s">
        <v>379</v>
      </c>
      <c r="P4874" t="s">
        <v>1887</v>
      </c>
      <c r="R4874" t="s">
        <v>152</v>
      </c>
      <c r="S4874" t="s">
        <v>146</v>
      </c>
      <c r="T4874">
        <v>7219641</v>
      </c>
      <c r="U4874">
        <v>0</v>
      </c>
      <c r="V4874" t="s">
        <v>544</v>
      </c>
      <c r="W4874" t="s">
        <v>575</v>
      </c>
      <c r="X4874" s="784">
        <v>1218747108.9554784</v>
      </c>
    </row>
    <row r="4875" spans="1:24">
      <c r="A4875" t="s">
        <v>358</v>
      </c>
      <c r="B4875" t="s">
        <v>656</v>
      </c>
      <c r="C4875" t="s">
        <v>260</v>
      </c>
      <c r="D4875" t="s">
        <v>130</v>
      </c>
      <c r="E4875" t="s">
        <v>751</v>
      </c>
      <c r="J4875" t="s">
        <v>379</v>
      </c>
      <c r="P4875" t="s">
        <v>1887</v>
      </c>
      <c r="R4875" t="s">
        <v>152</v>
      </c>
      <c r="S4875" t="s">
        <v>146</v>
      </c>
      <c r="T4875">
        <v>33359416</v>
      </c>
      <c r="U4875">
        <v>0</v>
      </c>
      <c r="V4875" t="s">
        <v>544</v>
      </c>
      <c r="W4875" t="s">
        <v>575</v>
      </c>
      <c r="X4875" s="784">
        <v>7392665952.5895758</v>
      </c>
    </row>
    <row r="4876" spans="1:24">
      <c r="A4876" t="s">
        <v>358</v>
      </c>
      <c r="B4876" t="s">
        <v>657</v>
      </c>
      <c r="C4876" t="s">
        <v>261</v>
      </c>
      <c r="D4876" t="s">
        <v>126</v>
      </c>
      <c r="E4876" t="s">
        <v>751</v>
      </c>
      <c r="J4876" t="s">
        <v>379</v>
      </c>
      <c r="P4876" t="s">
        <v>1887</v>
      </c>
      <c r="R4876" t="s">
        <v>150</v>
      </c>
      <c r="S4876" t="s">
        <v>145</v>
      </c>
      <c r="T4876">
        <v>111046910</v>
      </c>
      <c r="U4876">
        <v>0</v>
      </c>
      <c r="V4876" t="s">
        <v>544</v>
      </c>
      <c r="W4876" t="s">
        <v>546</v>
      </c>
      <c r="X4876" s="784">
        <v>4754985988.6004429</v>
      </c>
    </row>
    <row r="4877" spans="1:24">
      <c r="A4877" t="s">
        <v>358</v>
      </c>
      <c r="B4877" t="s">
        <v>658</v>
      </c>
      <c r="C4877" t="s">
        <v>262</v>
      </c>
      <c r="D4877" t="s">
        <v>127</v>
      </c>
      <c r="E4877" t="s">
        <v>751</v>
      </c>
      <c r="J4877" t="s">
        <v>379</v>
      </c>
      <c r="P4877" t="s">
        <v>1887</v>
      </c>
      <c r="R4877" t="s">
        <v>550</v>
      </c>
      <c r="S4877" t="s">
        <v>146</v>
      </c>
      <c r="T4877">
        <v>37846605</v>
      </c>
      <c r="U4877">
        <v>0</v>
      </c>
      <c r="V4877" t="s">
        <v>544</v>
      </c>
      <c r="W4877" t="s">
        <v>575</v>
      </c>
      <c r="X4877" s="784">
        <v>26422210443.037273</v>
      </c>
    </row>
    <row r="4878" spans="1:24">
      <c r="A4878" t="s">
        <v>358</v>
      </c>
      <c r="B4878" t="s">
        <v>659</v>
      </c>
      <c r="C4878" t="s">
        <v>151</v>
      </c>
      <c r="D4878" t="s">
        <v>127</v>
      </c>
      <c r="E4878" t="s">
        <v>751</v>
      </c>
      <c r="J4878" t="s">
        <v>379</v>
      </c>
      <c r="P4878" t="s">
        <v>1887</v>
      </c>
      <c r="R4878" t="s">
        <v>152</v>
      </c>
      <c r="S4878" t="s">
        <v>146</v>
      </c>
      <c r="T4878">
        <v>19237682</v>
      </c>
      <c r="U4878">
        <v>0</v>
      </c>
      <c r="V4878" t="s">
        <v>544</v>
      </c>
      <c r="W4878" t="s">
        <v>575</v>
      </c>
      <c r="X4878" s="784">
        <v>10696495313.15033</v>
      </c>
    </row>
    <row r="4879" spans="1:24">
      <c r="A4879" t="s">
        <v>358</v>
      </c>
      <c r="B4879" t="s">
        <v>660</v>
      </c>
      <c r="C4879" t="s">
        <v>263</v>
      </c>
      <c r="D4879" t="s">
        <v>127</v>
      </c>
      <c r="E4879" t="s">
        <v>751</v>
      </c>
      <c r="J4879" t="s">
        <v>379</v>
      </c>
      <c r="P4879" t="s">
        <v>1887</v>
      </c>
      <c r="R4879" t="s">
        <v>152</v>
      </c>
      <c r="S4879" t="s">
        <v>146</v>
      </c>
      <c r="T4879">
        <v>145934460</v>
      </c>
      <c r="U4879">
        <v>0</v>
      </c>
      <c r="V4879" t="s">
        <v>544</v>
      </c>
      <c r="W4879" t="s">
        <v>575</v>
      </c>
      <c r="X4879" s="784">
        <v>52769713433.240509</v>
      </c>
    </row>
    <row r="4880" spans="1:24">
      <c r="A4880" t="s">
        <v>358</v>
      </c>
      <c r="B4880" t="s">
        <v>661</v>
      </c>
      <c r="C4880" t="s">
        <v>264</v>
      </c>
      <c r="D4880" t="s">
        <v>128</v>
      </c>
      <c r="E4880" t="s">
        <v>751</v>
      </c>
      <c r="J4880" t="s">
        <v>379</v>
      </c>
      <c r="P4880" t="s">
        <v>1887</v>
      </c>
      <c r="R4880" t="s">
        <v>148</v>
      </c>
      <c r="S4880" t="s">
        <v>145</v>
      </c>
      <c r="T4880">
        <v>13276517</v>
      </c>
      <c r="U4880">
        <v>0</v>
      </c>
      <c r="V4880" t="s">
        <v>544</v>
      </c>
      <c r="W4880" t="s">
        <v>562</v>
      </c>
      <c r="X4880" s="784">
        <v>225799814.51943746</v>
      </c>
    </row>
    <row r="4881" spans="1:24">
      <c r="A4881" t="s">
        <v>358</v>
      </c>
      <c r="B4881" t="s">
        <v>662</v>
      </c>
      <c r="C4881" t="s">
        <v>265</v>
      </c>
      <c r="D4881" t="s">
        <v>126</v>
      </c>
      <c r="E4881" t="s">
        <v>751</v>
      </c>
      <c r="J4881" t="s">
        <v>379</v>
      </c>
      <c r="P4881" t="s">
        <v>1887</v>
      </c>
      <c r="R4881" t="s">
        <v>150</v>
      </c>
      <c r="S4881" t="s">
        <v>145</v>
      </c>
      <c r="T4881">
        <v>200144</v>
      </c>
      <c r="U4881">
        <v>0</v>
      </c>
      <c r="V4881" t="s">
        <v>541</v>
      </c>
      <c r="W4881" t="s">
        <v>542</v>
      </c>
      <c r="X4881" s="784">
        <v>32192988.027009469</v>
      </c>
    </row>
    <row r="4882" spans="1:24">
      <c r="A4882" t="s">
        <v>358</v>
      </c>
      <c r="B4882" t="s">
        <v>663</v>
      </c>
      <c r="C4882" t="s">
        <v>266</v>
      </c>
      <c r="D4882" t="s">
        <v>129</v>
      </c>
      <c r="E4882" t="s">
        <v>751</v>
      </c>
      <c r="J4882" t="s">
        <v>379</v>
      </c>
      <c r="P4882" t="s">
        <v>1887</v>
      </c>
      <c r="R4882" t="s">
        <v>150</v>
      </c>
      <c r="S4882" t="s">
        <v>145</v>
      </c>
      <c r="T4882">
        <v>223364</v>
      </c>
      <c r="U4882">
        <v>0</v>
      </c>
      <c r="V4882" t="s">
        <v>541</v>
      </c>
      <c r="W4882" t="s">
        <v>583</v>
      </c>
      <c r="X4882" s="784">
        <v>11633535.136477679</v>
      </c>
    </row>
    <row r="4883" spans="1:24">
      <c r="A4883" t="s">
        <v>358</v>
      </c>
      <c r="B4883" t="s">
        <v>664</v>
      </c>
      <c r="C4883" t="s">
        <v>267</v>
      </c>
      <c r="D4883" t="s">
        <v>129</v>
      </c>
      <c r="E4883" t="s">
        <v>751</v>
      </c>
      <c r="J4883" t="s">
        <v>379</v>
      </c>
      <c r="P4883" t="s">
        <v>1887</v>
      </c>
      <c r="R4883" t="s">
        <v>150</v>
      </c>
      <c r="S4883" t="s">
        <v>145</v>
      </c>
      <c r="T4883">
        <v>17196308</v>
      </c>
      <c r="U4883">
        <v>2</v>
      </c>
      <c r="V4883" t="s">
        <v>544</v>
      </c>
      <c r="W4883" t="s">
        <v>562</v>
      </c>
      <c r="X4883" s="784">
        <v>222008693.93354639</v>
      </c>
    </row>
    <row r="4884" spans="1:24">
      <c r="A4884" t="s">
        <v>358</v>
      </c>
      <c r="B4884" t="s">
        <v>665</v>
      </c>
      <c r="C4884" t="s">
        <v>153</v>
      </c>
      <c r="D4884" t="s">
        <v>127</v>
      </c>
      <c r="E4884" t="s">
        <v>751</v>
      </c>
      <c r="J4884" t="s">
        <v>379</v>
      </c>
      <c r="P4884" t="s">
        <v>1887</v>
      </c>
      <c r="R4884" t="s">
        <v>152</v>
      </c>
      <c r="S4884" t="s">
        <v>146</v>
      </c>
      <c r="T4884">
        <v>8697547</v>
      </c>
      <c r="U4884">
        <v>0</v>
      </c>
      <c r="V4884" t="s">
        <v>544</v>
      </c>
      <c r="W4884" t="s">
        <v>575</v>
      </c>
      <c r="X4884" s="784">
        <v>2564993795.1894679</v>
      </c>
    </row>
    <row r="4885" spans="1:24">
      <c r="A4885" t="s">
        <v>358</v>
      </c>
      <c r="B4885" t="s">
        <v>666</v>
      </c>
      <c r="C4885" t="s">
        <v>268</v>
      </c>
      <c r="D4885" t="s">
        <v>128</v>
      </c>
      <c r="E4885" t="s">
        <v>751</v>
      </c>
      <c r="J4885" t="s">
        <v>379</v>
      </c>
      <c r="P4885" t="s">
        <v>1887</v>
      </c>
      <c r="R4885" t="s">
        <v>550</v>
      </c>
      <c r="S4885" t="s">
        <v>146</v>
      </c>
      <c r="T4885">
        <v>98340</v>
      </c>
      <c r="U4885">
        <v>0</v>
      </c>
      <c r="V4885" t="s">
        <v>541</v>
      </c>
      <c r="W4885" t="s">
        <v>546</v>
      </c>
      <c r="X4885" s="784">
        <v>60237542.945069775</v>
      </c>
    </row>
    <row r="4886" spans="1:24">
      <c r="A4886" t="s">
        <v>358</v>
      </c>
      <c r="B4886" t="s">
        <v>667</v>
      </c>
      <c r="C4886" t="s">
        <v>269</v>
      </c>
      <c r="D4886" t="s">
        <v>129</v>
      </c>
      <c r="E4886" t="s">
        <v>751</v>
      </c>
      <c r="J4886" t="s">
        <v>379</v>
      </c>
      <c r="P4886" t="s">
        <v>1887</v>
      </c>
      <c r="R4886" t="s">
        <v>148</v>
      </c>
      <c r="S4886" t="s">
        <v>145</v>
      </c>
      <c r="T4886">
        <v>8141343</v>
      </c>
      <c r="U4886">
        <v>0</v>
      </c>
      <c r="V4886" t="s">
        <v>544</v>
      </c>
      <c r="W4886" t="s">
        <v>542</v>
      </c>
      <c r="X4886" s="784">
        <v>63738640.538260505</v>
      </c>
    </row>
    <row r="4887" spans="1:24">
      <c r="A4887" t="s">
        <v>358</v>
      </c>
      <c r="B4887" t="s">
        <v>668</v>
      </c>
      <c r="C4887" t="s">
        <v>270</v>
      </c>
      <c r="D4887" t="s">
        <v>126</v>
      </c>
      <c r="E4887" t="s">
        <v>751</v>
      </c>
      <c r="J4887" t="s">
        <v>379</v>
      </c>
      <c r="P4887" t="s">
        <v>1887</v>
      </c>
      <c r="R4887" t="s">
        <v>150</v>
      </c>
      <c r="S4887" t="s">
        <v>145</v>
      </c>
      <c r="T4887">
        <v>703995</v>
      </c>
      <c r="U4887">
        <v>0</v>
      </c>
      <c r="V4887" t="s">
        <v>541</v>
      </c>
      <c r="W4887" t="s">
        <v>562</v>
      </c>
      <c r="X4887" s="784">
        <v>49012774.055630356</v>
      </c>
    </row>
    <row r="4888" spans="1:24">
      <c r="A4888" t="s">
        <v>358</v>
      </c>
      <c r="B4888" t="s">
        <v>669</v>
      </c>
      <c r="C4888" t="s">
        <v>271</v>
      </c>
      <c r="D4888" t="s">
        <v>128</v>
      </c>
      <c r="E4888" t="s">
        <v>751</v>
      </c>
      <c r="J4888" t="s">
        <v>379</v>
      </c>
      <c r="P4888" t="s">
        <v>1887</v>
      </c>
      <c r="R4888" t="s">
        <v>148</v>
      </c>
      <c r="S4888" t="s">
        <v>145</v>
      </c>
      <c r="T4888">
        <v>16359500</v>
      </c>
      <c r="U4888">
        <v>1</v>
      </c>
      <c r="V4888" t="s">
        <v>544</v>
      </c>
      <c r="W4888" t="s">
        <v>583</v>
      </c>
      <c r="X4888" s="784" t="s">
        <v>575</v>
      </c>
    </row>
    <row r="4889" spans="1:24">
      <c r="A4889" t="s">
        <v>358</v>
      </c>
      <c r="B4889" t="s">
        <v>670</v>
      </c>
      <c r="C4889" t="s">
        <v>272</v>
      </c>
      <c r="D4889" t="s">
        <v>128</v>
      </c>
      <c r="E4889" t="s">
        <v>751</v>
      </c>
      <c r="J4889" t="s">
        <v>379</v>
      </c>
      <c r="P4889" t="s">
        <v>1887</v>
      </c>
      <c r="R4889" t="s">
        <v>152</v>
      </c>
      <c r="S4889" t="s">
        <v>146</v>
      </c>
      <c r="T4889">
        <v>60041996</v>
      </c>
      <c r="U4889">
        <v>0</v>
      </c>
      <c r="V4889" t="s">
        <v>544</v>
      </c>
      <c r="W4889" t="s">
        <v>546</v>
      </c>
      <c r="X4889" s="784">
        <v>16429121142.784708</v>
      </c>
    </row>
    <row r="4890" spans="1:24">
      <c r="A4890" t="s">
        <v>358</v>
      </c>
      <c r="B4890" t="s">
        <v>671</v>
      </c>
      <c r="C4890" t="s">
        <v>273</v>
      </c>
      <c r="D4890" t="s">
        <v>128</v>
      </c>
      <c r="E4890" t="s">
        <v>751</v>
      </c>
      <c r="J4890" t="s">
        <v>379</v>
      </c>
      <c r="P4890" t="s">
        <v>1887</v>
      </c>
      <c r="R4890" t="s">
        <v>148</v>
      </c>
      <c r="S4890" t="s">
        <v>145</v>
      </c>
      <c r="T4890">
        <v>11381377</v>
      </c>
      <c r="U4890">
        <v>1</v>
      </c>
      <c r="V4890" t="s">
        <v>544</v>
      </c>
      <c r="W4890" t="s">
        <v>542</v>
      </c>
      <c r="X4890" s="784">
        <v>31684581.76217727</v>
      </c>
    </row>
    <row r="4891" spans="1:24">
      <c r="A4891" t="s">
        <v>358</v>
      </c>
      <c r="B4891" t="s">
        <v>672</v>
      </c>
      <c r="C4891" t="s">
        <v>274</v>
      </c>
      <c r="D4891" t="s">
        <v>132</v>
      </c>
      <c r="E4891" t="s">
        <v>751</v>
      </c>
      <c r="J4891" t="s">
        <v>379</v>
      </c>
      <c r="P4891" t="s">
        <v>1887</v>
      </c>
      <c r="R4891" t="s">
        <v>150</v>
      </c>
      <c r="S4891" t="s">
        <v>145</v>
      </c>
      <c r="T4891">
        <v>21497306</v>
      </c>
      <c r="U4891">
        <v>0</v>
      </c>
      <c r="V4891" t="s">
        <v>544</v>
      </c>
      <c r="W4891" t="s">
        <v>546</v>
      </c>
      <c r="X4891" s="784">
        <v>1373621563.5182886</v>
      </c>
    </row>
    <row r="4892" spans="1:24">
      <c r="A4892" t="s">
        <v>358</v>
      </c>
      <c r="B4892" t="s">
        <v>673</v>
      </c>
      <c r="C4892" t="s">
        <v>275</v>
      </c>
      <c r="D4892" t="s">
        <v>130</v>
      </c>
      <c r="E4892" t="s">
        <v>751</v>
      </c>
      <c r="J4892" t="s">
        <v>379</v>
      </c>
      <c r="P4892" t="s">
        <v>1887</v>
      </c>
      <c r="R4892" t="s">
        <v>550</v>
      </c>
      <c r="S4892" t="s">
        <v>146</v>
      </c>
      <c r="T4892">
        <v>53192</v>
      </c>
      <c r="U4892">
        <v>0</v>
      </c>
      <c r="V4892" t="s">
        <v>541</v>
      </c>
      <c r="W4892" t="s">
        <v>575</v>
      </c>
      <c r="X4892" s="784">
        <v>24214370.889062837</v>
      </c>
    </row>
    <row r="4893" spans="1:24">
      <c r="A4893" t="s">
        <v>358</v>
      </c>
      <c r="B4893" t="s">
        <v>674</v>
      </c>
      <c r="C4893" t="s">
        <v>154</v>
      </c>
      <c r="D4893" t="s">
        <v>130</v>
      </c>
      <c r="E4893" t="s">
        <v>751</v>
      </c>
      <c r="J4893" t="s">
        <v>379</v>
      </c>
      <c r="P4893" t="s">
        <v>1887</v>
      </c>
      <c r="R4893" t="s">
        <v>152</v>
      </c>
      <c r="S4893" t="s">
        <v>145</v>
      </c>
      <c r="T4893">
        <v>184401</v>
      </c>
      <c r="U4893">
        <v>0</v>
      </c>
      <c r="V4893" t="s">
        <v>541</v>
      </c>
      <c r="W4893" t="s">
        <v>548</v>
      </c>
      <c r="X4893" s="784">
        <v>39941279.609447442</v>
      </c>
    </row>
    <row r="4894" spans="1:24">
      <c r="A4894" t="s">
        <v>358</v>
      </c>
      <c r="B4894" t="s">
        <v>675</v>
      </c>
      <c r="C4894" t="s">
        <v>155</v>
      </c>
      <c r="D4894" t="s">
        <v>130</v>
      </c>
      <c r="E4894" t="s">
        <v>751</v>
      </c>
      <c r="J4894" t="s">
        <v>379</v>
      </c>
      <c r="P4894" t="s">
        <v>1887</v>
      </c>
      <c r="R4894" t="s">
        <v>152</v>
      </c>
      <c r="S4894" t="s">
        <v>145</v>
      </c>
      <c r="T4894">
        <v>111269</v>
      </c>
      <c r="U4894">
        <v>0</v>
      </c>
      <c r="V4894" t="s">
        <v>541</v>
      </c>
      <c r="W4894" t="s">
        <v>542</v>
      </c>
      <c r="X4894" s="784">
        <v>24761675.260059897</v>
      </c>
    </row>
    <row r="4895" spans="1:24">
      <c r="A4895" t="s">
        <v>358</v>
      </c>
      <c r="B4895" t="s">
        <v>676</v>
      </c>
      <c r="C4895" t="s">
        <v>276</v>
      </c>
      <c r="D4895" t="s">
        <v>131</v>
      </c>
      <c r="E4895" t="s">
        <v>751</v>
      </c>
      <c r="J4895" t="s">
        <v>379</v>
      </c>
      <c r="P4895" t="s">
        <v>1887</v>
      </c>
      <c r="R4895" t="s">
        <v>150</v>
      </c>
      <c r="S4895" t="s">
        <v>145</v>
      </c>
      <c r="T4895">
        <v>5222756</v>
      </c>
      <c r="U4895">
        <v>0</v>
      </c>
      <c r="V4895" t="s">
        <v>544</v>
      </c>
      <c r="W4895" t="s">
        <v>546</v>
      </c>
      <c r="X4895" s="784" t="s">
        <v>575</v>
      </c>
    </row>
    <row r="4896" spans="1:24">
      <c r="A4896" t="s">
        <v>358</v>
      </c>
      <c r="B4896" t="s">
        <v>677</v>
      </c>
      <c r="C4896" t="s">
        <v>277</v>
      </c>
      <c r="D4896" t="s">
        <v>131</v>
      </c>
      <c r="E4896" t="s">
        <v>751</v>
      </c>
      <c r="J4896" t="s">
        <v>379</v>
      </c>
      <c r="P4896" t="s">
        <v>1887</v>
      </c>
      <c r="R4896" t="s">
        <v>148</v>
      </c>
      <c r="S4896" t="s">
        <v>145</v>
      </c>
      <c r="T4896">
        <v>44909351</v>
      </c>
      <c r="U4896">
        <v>1</v>
      </c>
      <c r="V4896" t="s">
        <v>544</v>
      </c>
      <c r="W4896" t="s">
        <v>546</v>
      </c>
      <c r="X4896" s="784">
        <v>577156172.71229994</v>
      </c>
    </row>
    <row r="4897" spans="1:24">
      <c r="A4897" t="s">
        <v>358</v>
      </c>
      <c r="B4897" t="s">
        <v>678</v>
      </c>
      <c r="C4897" t="s">
        <v>278</v>
      </c>
      <c r="D4897" t="s">
        <v>126</v>
      </c>
      <c r="E4897" t="s">
        <v>751</v>
      </c>
      <c r="J4897" t="s">
        <v>379</v>
      </c>
      <c r="P4897" t="s">
        <v>1887</v>
      </c>
      <c r="R4897" t="s">
        <v>152</v>
      </c>
      <c r="S4897" t="s">
        <v>146</v>
      </c>
      <c r="T4897">
        <v>591798</v>
      </c>
      <c r="U4897">
        <v>0</v>
      </c>
      <c r="V4897" t="s">
        <v>541</v>
      </c>
      <c r="W4897" t="s">
        <v>575</v>
      </c>
      <c r="X4897" s="784">
        <v>180052034.19851837</v>
      </c>
    </row>
    <row r="4898" spans="1:24">
      <c r="A4898" t="s">
        <v>358</v>
      </c>
      <c r="B4898" t="s">
        <v>679</v>
      </c>
      <c r="C4898" t="s">
        <v>279</v>
      </c>
      <c r="D4898" t="s">
        <v>131</v>
      </c>
      <c r="E4898" t="s">
        <v>751</v>
      </c>
      <c r="J4898" t="s">
        <v>379</v>
      </c>
      <c r="P4898" t="s">
        <v>1887</v>
      </c>
      <c r="R4898" t="s">
        <v>148</v>
      </c>
      <c r="S4898" t="s">
        <v>145</v>
      </c>
      <c r="T4898">
        <v>18275704</v>
      </c>
      <c r="U4898">
        <v>1</v>
      </c>
      <c r="V4898" t="s">
        <v>544</v>
      </c>
      <c r="W4898" t="s">
        <v>546</v>
      </c>
      <c r="X4898" s="784" t="s">
        <v>575</v>
      </c>
    </row>
    <row r="4899" spans="1:24">
      <c r="A4899" t="s">
        <v>358</v>
      </c>
      <c r="B4899" t="s">
        <v>680</v>
      </c>
      <c r="C4899" t="s">
        <v>280</v>
      </c>
      <c r="D4899" t="s">
        <v>127</v>
      </c>
      <c r="E4899" t="s">
        <v>751</v>
      </c>
      <c r="J4899" t="s">
        <v>379</v>
      </c>
      <c r="P4899" t="s">
        <v>1887</v>
      </c>
      <c r="R4899" t="s">
        <v>150</v>
      </c>
      <c r="S4899" t="s">
        <v>145</v>
      </c>
      <c r="T4899">
        <v>9749625</v>
      </c>
      <c r="U4899">
        <v>0</v>
      </c>
      <c r="V4899" t="s">
        <v>544</v>
      </c>
      <c r="W4899" t="s">
        <v>542</v>
      </c>
      <c r="X4899" s="784">
        <v>147296124.32232863</v>
      </c>
    </row>
    <row r="4900" spans="1:24">
      <c r="A4900" t="s">
        <v>358</v>
      </c>
      <c r="B4900" t="s">
        <v>681</v>
      </c>
      <c r="C4900" t="s">
        <v>156</v>
      </c>
      <c r="D4900" t="s">
        <v>128</v>
      </c>
      <c r="E4900" t="s">
        <v>751</v>
      </c>
      <c r="J4900" t="s">
        <v>379</v>
      </c>
      <c r="P4900" t="s">
        <v>1887</v>
      </c>
      <c r="R4900" t="s">
        <v>150</v>
      </c>
      <c r="S4900" t="s">
        <v>145</v>
      </c>
      <c r="T4900">
        <v>61498438</v>
      </c>
      <c r="U4900">
        <v>0</v>
      </c>
      <c r="V4900" t="s">
        <v>544</v>
      </c>
      <c r="W4900" t="s">
        <v>548</v>
      </c>
      <c r="X4900" s="784">
        <v>890576536.83065879</v>
      </c>
    </row>
    <row r="4901" spans="1:24">
      <c r="A4901" t="s">
        <v>358</v>
      </c>
      <c r="B4901" t="s">
        <v>682</v>
      </c>
      <c r="C4901" t="s">
        <v>157</v>
      </c>
      <c r="D4901" t="s">
        <v>126</v>
      </c>
      <c r="E4901" t="s">
        <v>751</v>
      </c>
      <c r="J4901" t="s">
        <v>379</v>
      </c>
      <c r="P4901" t="s">
        <v>1887</v>
      </c>
      <c r="R4901" t="s">
        <v>152</v>
      </c>
      <c r="S4901" t="s">
        <v>146</v>
      </c>
      <c r="T4901">
        <v>69950844</v>
      </c>
      <c r="U4901">
        <v>0</v>
      </c>
      <c r="V4901" t="s">
        <v>544</v>
      </c>
      <c r="W4901" t="s">
        <v>575</v>
      </c>
      <c r="X4901" s="784">
        <v>14611129792.346064</v>
      </c>
    </row>
    <row r="4902" spans="1:24">
      <c r="A4902" t="s">
        <v>358</v>
      </c>
      <c r="B4902" t="s">
        <v>683</v>
      </c>
      <c r="C4902" t="s">
        <v>281</v>
      </c>
      <c r="D4902" t="s">
        <v>126</v>
      </c>
      <c r="E4902" t="s">
        <v>751</v>
      </c>
      <c r="J4902" t="s">
        <v>379</v>
      </c>
      <c r="P4902" t="s">
        <v>1887</v>
      </c>
      <c r="R4902" t="s">
        <v>150</v>
      </c>
      <c r="S4902" t="s">
        <v>145</v>
      </c>
      <c r="T4902">
        <v>1343875</v>
      </c>
      <c r="U4902">
        <v>0</v>
      </c>
      <c r="V4902" t="s">
        <v>541</v>
      </c>
      <c r="W4902" t="s">
        <v>558</v>
      </c>
      <c r="X4902" s="784">
        <v>72046877.233008593</v>
      </c>
    </row>
    <row r="4903" spans="1:24">
      <c r="A4903" t="s">
        <v>358</v>
      </c>
      <c r="B4903" t="s">
        <v>684</v>
      </c>
      <c r="C4903" t="s">
        <v>282</v>
      </c>
      <c r="D4903" t="s">
        <v>129</v>
      </c>
      <c r="E4903" t="s">
        <v>751</v>
      </c>
      <c r="J4903" t="s">
        <v>379</v>
      </c>
      <c r="P4903" t="s">
        <v>1887</v>
      </c>
      <c r="R4903" t="s">
        <v>148</v>
      </c>
      <c r="S4903" t="s">
        <v>145</v>
      </c>
      <c r="T4903">
        <v>8478242</v>
      </c>
      <c r="U4903">
        <v>0</v>
      </c>
      <c r="V4903" t="s">
        <v>544</v>
      </c>
      <c r="W4903" t="s">
        <v>542</v>
      </c>
      <c r="X4903" s="784">
        <v>56248139.267255567</v>
      </c>
    </row>
    <row r="4904" spans="1:24">
      <c r="A4904" t="s">
        <v>358</v>
      </c>
      <c r="B4904" t="s">
        <v>685</v>
      </c>
      <c r="C4904" t="s">
        <v>283</v>
      </c>
      <c r="D4904" t="s">
        <v>126</v>
      </c>
      <c r="E4904" t="s">
        <v>751</v>
      </c>
      <c r="J4904" t="s">
        <v>379</v>
      </c>
      <c r="P4904" t="s">
        <v>1887</v>
      </c>
      <c r="R4904" t="s">
        <v>152</v>
      </c>
      <c r="S4904" t="s">
        <v>145</v>
      </c>
      <c r="T4904">
        <v>106759</v>
      </c>
      <c r="U4904">
        <v>0</v>
      </c>
      <c r="V4904" t="s">
        <v>541</v>
      </c>
      <c r="W4904" t="s">
        <v>542</v>
      </c>
      <c r="X4904" s="784">
        <v>15464031.712942109</v>
      </c>
    </row>
    <row r="4905" spans="1:24">
      <c r="A4905" t="s">
        <v>358</v>
      </c>
      <c r="B4905" t="s">
        <v>686</v>
      </c>
      <c r="C4905" t="s">
        <v>284</v>
      </c>
      <c r="D4905" t="s">
        <v>130</v>
      </c>
      <c r="E4905" t="s">
        <v>751</v>
      </c>
      <c r="J4905" t="s">
        <v>379</v>
      </c>
      <c r="P4905" t="s">
        <v>1887</v>
      </c>
      <c r="R4905" t="s">
        <v>550</v>
      </c>
      <c r="S4905" t="s">
        <v>146</v>
      </c>
      <c r="T4905">
        <v>1399491</v>
      </c>
      <c r="U4905">
        <v>0</v>
      </c>
      <c r="V4905" t="s">
        <v>541</v>
      </c>
      <c r="W4905" t="s">
        <v>546</v>
      </c>
      <c r="X4905" s="784">
        <v>769564399.33249676</v>
      </c>
    </row>
    <row r="4906" spans="1:24">
      <c r="A4906" t="s">
        <v>358</v>
      </c>
      <c r="B4906" t="s">
        <v>687</v>
      </c>
      <c r="C4906" t="s">
        <v>285</v>
      </c>
      <c r="D4906" t="s">
        <v>131</v>
      </c>
      <c r="E4906" t="s">
        <v>751</v>
      </c>
      <c r="J4906" t="s">
        <v>379</v>
      </c>
      <c r="P4906" t="s">
        <v>1887</v>
      </c>
      <c r="R4906" t="s">
        <v>150</v>
      </c>
      <c r="S4906" t="s">
        <v>145</v>
      </c>
      <c r="T4906">
        <v>11935764</v>
      </c>
      <c r="U4906">
        <v>0</v>
      </c>
      <c r="V4906" t="s">
        <v>544</v>
      </c>
      <c r="W4906" t="s">
        <v>546</v>
      </c>
      <c r="X4906" s="784">
        <v>1668954539.7630196</v>
      </c>
    </row>
    <row r="4907" spans="1:24">
      <c r="A4907" t="s">
        <v>358</v>
      </c>
      <c r="B4907" t="s">
        <v>688</v>
      </c>
      <c r="C4907" t="s">
        <v>286</v>
      </c>
      <c r="D4907" t="s">
        <v>127</v>
      </c>
      <c r="E4907" t="s">
        <v>751</v>
      </c>
      <c r="J4907" t="s">
        <v>379</v>
      </c>
      <c r="P4907" t="s">
        <v>1887</v>
      </c>
      <c r="R4907" t="s">
        <v>152</v>
      </c>
      <c r="S4907" t="s">
        <v>146</v>
      </c>
      <c r="T4907">
        <v>85042736</v>
      </c>
      <c r="U4907">
        <v>0</v>
      </c>
      <c r="V4907" t="s">
        <v>544</v>
      </c>
      <c r="W4907" t="s">
        <v>575</v>
      </c>
      <c r="X4907" s="784">
        <v>24840920016.18832</v>
      </c>
    </row>
    <row r="4908" spans="1:24">
      <c r="A4908" t="s">
        <v>358</v>
      </c>
      <c r="B4908" t="s">
        <v>689</v>
      </c>
      <c r="C4908" t="s">
        <v>287</v>
      </c>
      <c r="D4908" t="s">
        <v>127</v>
      </c>
      <c r="E4908" t="s">
        <v>751</v>
      </c>
      <c r="J4908" t="s">
        <v>379</v>
      </c>
      <c r="P4908" t="s">
        <v>1887</v>
      </c>
      <c r="R4908" t="s">
        <v>152</v>
      </c>
      <c r="S4908" t="s">
        <v>146</v>
      </c>
      <c r="T4908">
        <v>6117933</v>
      </c>
      <c r="U4908">
        <v>0</v>
      </c>
      <c r="V4908" t="s">
        <v>544</v>
      </c>
      <c r="W4908" t="s">
        <v>546</v>
      </c>
      <c r="X4908" s="784">
        <v>487888462.83720118</v>
      </c>
    </row>
    <row r="4909" spans="1:24">
      <c r="A4909" t="s">
        <v>358</v>
      </c>
      <c r="B4909" t="s">
        <v>690</v>
      </c>
      <c r="C4909" t="s">
        <v>288</v>
      </c>
      <c r="D4909" t="s">
        <v>126</v>
      </c>
      <c r="E4909" t="s">
        <v>751</v>
      </c>
      <c r="J4909" t="s">
        <v>379</v>
      </c>
      <c r="P4909" t="s">
        <v>1887</v>
      </c>
      <c r="R4909" t="s">
        <v>152</v>
      </c>
      <c r="S4909" t="s">
        <v>145</v>
      </c>
      <c r="T4909">
        <v>77132</v>
      </c>
      <c r="U4909">
        <v>0</v>
      </c>
      <c r="V4909" t="s">
        <v>541</v>
      </c>
      <c r="W4909" t="s">
        <v>548</v>
      </c>
      <c r="X4909" s="784">
        <v>6365061.1736073596</v>
      </c>
    </row>
    <row r="4910" spans="1:24">
      <c r="A4910" t="s">
        <v>358</v>
      </c>
      <c r="B4910" t="s">
        <v>691</v>
      </c>
      <c r="C4910" t="s">
        <v>289</v>
      </c>
      <c r="D4910" t="s">
        <v>128</v>
      </c>
      <c r="E4910" t="s">
        <v>751</v>
      </c>
      <c r="J4910" t="s">
        <v>379</v>
      </c>
      <c r="P4910" t="s">
        <v>1887</v>
      </c>
      <c r="R4910" t="s">
        <v>148</v>
      </c>
      <c r="S4910" t="s">
        <v>145</v>
      </c>
      <c r="T4910">
        <v>47123533</v>
      </c>
      <c r="U4910">
        <v>2</v>
      </c>
      <c r="V4910" t="s">
        <v>544</v>
      </c>
      <c r="W4910" t="s">
        <v>558</v>
      </c>
      <c r="X4910" s="784">
        <v>291799092.90196139</v>
      </c>
    </row>
    <row r="4911" spans="1:24">
      <c r="A4911" t="s">
        <v>358</v>
      </c>
      <c r="B4911" t="s">
        <v>692</v>
      </c>
      <c r="C4911" t="s">
        <v>290</v>
      </c>
      <c r="D4911" t="s">
        <v>127</v>
      </c>
      <c r="E4911" t="s">
        <v>751</v>
      </c>
      <c r="J4911" t="s">
        <v>379</v>
      </c>
      <c r="P4911" t="s">
        <v>1887</v>
      </c>
      <c r="R4911" t="s">
        <v>150</v>
      </c>
      <c r="S4911" t="s">
        <v>145</v>
      </c>
      <c r="T4911">
        <v>43466822</v>
      </c>
      <c r="U4911">
        <v>0</v>
      </c>
      <c r="V4911" t="s">
        <v>544</v>
      </c>
      <c r="W4911" t="s">
        <v>546</v>
      </c>
      <c r="X4911" s="784">
        <v>4844815340.2135534</v>
      </c>
    </row>
    <row r="4912" spans="1:24">
      <c r="A4912" t="s">
        <v>358</v>
      </c>
      <c r="B4912" t="s">
        <v>693</v>
      </c>
      <c r="C4912" t="s">
        <v>291</v>
      </c>
      <c r="D4912" t="s">
        <v>130</v>
      </c>
      <c r="E4912" t="s">
        <v>751</v>
      </c>
      <c r="J4912" t="s">
        <v>379</v>
      </c>
      <c r="P4912" t="s">
        <v>1887</v>
      </c>
      <c r="R4912" t="s">
        <v>550</v>
      </c>
      <c r="S4912" t="s">
        <v>146</v>
      </c>
      <c r="T4912">
        <v>3473727</v>
      </c>
      <c r="U4912">
        <v>0</v>
      </c>
      <c r="V4912" t="s">
        <v>544</v>
      </c>
      <c r="W4912" t="s">
        <v>575</v>
      </c>
      <c r="X4912" s="784">
        <v>4001891446.6871672</v>
      </c>
    </row>
    <row r="4913" spans="1:24">
      <c r="A4913" t="s">
        <v>358</v>
      </c>
      <c r="B4913" t="s">
        <v>694</v>
      </c>
      <c r="C4913" t="s">
        <v>292</v>
      </c>
      <c r="D4913" t="s">
        <v>127</v>
      </c>
      <c r="E4913" t="s">
        <v>751</v>
      </c>
      <c r="J4913" t="s">
        <v>379</v>
      </c>
      <c r="P4913" t="s">
        <v>1887</v>
      </c>
      <c r="R4913" t="s">
        <v>150</v>
      </c>
      <c r="S4913" t="s">
        <v>145</v>
      </c>
      <c r="T4913">
        <v>33935765</v>
      </c>
      <c r="U4913">
        <v>0</v>
      </c>
      <c r="V4913" t="s">
        <v>544</v>
      </c>
      <c r="W4913" t="s">
        <v>558</v>
      </c>
      <c r="X4913" s="784">
        <v>1019800630.5853213</v>
      </c>
    </row>
    <row r="4914" spans="1:24">
      <c r="A4914" t="s">
        <v>358</v>
      </c>
      <c r="B4914" t="s">
        <v>695</v>
      </c>
      <c r="C4914" t="s">
        <v>293</v>
      </c>
      <c r="D4914" t="s">
        <v>126</v>
      </c>
      <c r="E4914" t="s">
        <v>751</v>
      </c>
      <c r="J4914" t="s">
        <v>379</v>
      </c>
      <c r="P4914" t="s">
        <v>1887</v>
      </c>
      <c r="R4914" t="s">
        <v>150</v>
      </c>
      <c r="S4914" t="s">
        <v>145</v>
      </c>
      <c r="T4914">
        <v>314464</v>
      </c>
      <c r="U4914">
        <v>0</v>
      </c>
      <c r="V4914" t="s">
        <v>541</v>
      </c>
      <c r="W4914" t="s">
        <v>562</v>
      </c>
      <c r="X4914" s="784">
        <v>19578671.310841195</v>
      </c>
    </row>
    <row r="4915" spans="1:24">
      <c r="A4915" t="s">
        <v>358</v>
      </c>
      <c r="B4915" t="s">
        <v>696</v>
      </c>
      <c r="C4915" t="s">
        <v>294</v>
      </c>
      <c r="D4915" t="s">
        <v>130</v>
      </c>
      <c r="E4915" t="s">
        <v>751</v>
      </c>
      <c r="J4915" t="s">
        <v>379</v>
      </c>
      <c r="P4915" t="s">
        <v>1887</v>
      </c>
      <c r="R4915" t="s">
        <v>322</v>
      </c>
      <c r="S4915" t="s">
        <v>146</v>
      </c>
      <c r="T4915">
        <v>28704947</v>
      </c>
      <c r="U4915">
        <v>0</v>
      </c>
      <c r="V4915" t="s">
        <v>544</v>
      </c>
      <c r="W4915" t="s">
        <v>546</v>
      </c>
      <c r="X4915" s="784">
        <v>3551452001.0684834</v>
      </c>
    </row>
    <row r="4916" spans="1:24">
      <c r="A4916" t="s">
        <v>358</v>
      </c>
      <c r="B4916" t="s">
        <v>697</v>
      </c>
      <c r="C4916" t="s">
        <v>295</v>
      </c>
      <c r="D4916" t="s">
        <v>126</v>
      </c>
      <c r="E4916" t="s">
        <v>751</v>
      </c>
      <c r="J4916" t="s">
        <v>379</v>
      </c>
      <c r="P4916" t="s">
        <v>1887</v>
      </c>
      <c r="R4916" t="s">
        <v>150</v>
      </c>
      <c r="S4916" t="s">
        <v>145</v>
      </c>
      <c r="T4916">
        <v>98168829</v>
      </c>
      <c r="U4916">
        <v>0</v>
      </c>
      <c r="V4916" t="s">
        <v>544</v>
      </c>
      <c r="W4916" t="s">
        <v>546</v>
      </c>
      <c r="X4916" s="784">
        <v>6603048821.7575006</v>
      </c>
    </row>
    <row r="4917" spans="1:24">
      <c r="A4917" t="s">
        <v>358</v>
      </c>
      <c r="B4917" t="s">
        <v>698</v>
      </c>
      <c r="C4917" t="s">
        <v>296</v>
      </c>
      <c r="D4917" t="s">
        <v>131</v>
      </c>
      <c r="E4917" t="s">
        <v>751</v>
      </c>
      <c r="J4917" t="s">
        <v>379</v>
      </c>
      <c r="P4917" t="s">
        <v>1887</v>
      </c>
      <c r="R4917" t="s">
        <v>148</v>
      </c>
      <c r="S4917" t="s">
        <v>145</v>
      </c>
      <c r="T4917">
        <v>30490639</v>
      </c>
      <c r="U4917">
        <v>1</v>
      </c>
      <c r="V4917" t="s">
        <v>544</v>
      </c>
      <c r="W4917" t="s">
        <v>548</v>
      </c>
      <c r="X4917" s="784" t="s">
        <v>575</v>
      </c>
    </row>
    <row r="4918" spans="1:24">
      <c r="A4918" t="s">
        <v>358</v>
      </c>
      <c r="B4918" t="s">
        <v>699</v>
      </c>
      <c r="C4918" t="s">
        <v>297</v>
      </c>
      <c r="D4918" t="s">
        <v>128</v>
      </c>
      <c r="E4918" t="s">
        <v>751</v>
      </c>
      <c r="J4918" t="s">
        <v>379</v>
      </c>
      <c r="P4918" t="s">
        <v>1887</v>
      </c>
      <c r="R4918" t="s">
        <v>150</v>
      </c>
      <c r="S4918" t="s">
        <v>145</v>
      </c>
      <c r="T4918">
        <v>18920657</v>
      </c>
      <c r="U4918">
        <v>0</v>
      </c>
      <c r="V4918" t="s">
        <v>544</v>
      </c>
      <c r="W4918" t="s">
        <v>542</v>
      </c>
      <c r="X4918" s="784">
        <v>515352723.9821828</v>
      </c>
    </row>
    <row r="4919" spans="1:24">
      <c r="A4919" t="s">
        <v>358</v>
      </c>
      <c r="B4919" t="s">
        <v>700</v>
      </c>
      <c r="C4919" t="s">
        <v>298</v>
      </c>
      <c r="D4919" t="s">
        <v>128</v>
      </c>
      <c r="E4919" t="s">
        <v>751</v>
      </c>
      <c r="J4919" t="s">
        <v>379</v>
      </c>
      <c r="P4919" t="s">
        <v>1887</v>
      </c>
      <c r="R4919" t="s">
        <v>150</v>
      </c>
      <c r="S4919" t="s">
        <v>145</v>
      </c>
      <c r="T4919">
        <v>15092171</v>
      </c>
      <c r="U4919">
        <v>0</v>
      </c>
      <c r="V4919" t="s">
        <v>544</v>
      </c>
      <c r="W4919" t="s">
        <v>546</v>
      </c>
      <c r="X4919" s="784">
        <v>566711742.22428358</v>
      </c>
    </row>
    <row r="4920" spans="1:24">
      <c r="A4920" t="s">
        <v>358</v>
      </c>
      <c r="B4920" t="s">
        <v>540</v>
      </c>
      <c r="C4920" t="s">
        <v>160</v>
      </c>
      <c r="D4920" t="s">
        <v>132</v>
      </c>
      <c r="E4920" t="s">
        <v>377</v>
      </c>
      <c r="F4920" t="s">
        <v>310</v>
      </c>
      <c r="G4920" t="s">
        <v>389</v>
      </c>
      <c r="H4920" t="s">
        <v>104</v>
      </c>
      <c r="I4920" t="s">
        <v>743</v>
      </c>
      <c r="J4920" t="s">
        <v>379</v>
      </c>
      <c r="K4920" t="s">
        <v>546</v>
      </c>
      <c r="L4920" s="784">
        <v>6949908</v>
      </c>
      <c r="M4920" t="s">
        <v>745</v>
      </c>
      <c r="N4920" s="784" t="s">
        <v>575</v>
      </c>
      <c r="O4920" t="s">
        <v>737</v>
      </c>
      <c r="P4920" t="s">
        <v>750</v>
      </c>
      <c r="R4920" t="s">
        <v>148</v>
      </c>
      <c r="S4920" t="s">
        <v>145</v>
      </c>
      <c r="U4920">
        <v>1</v>
      </c>
      <c r="V4920" t="s">
        <v>544</v>
      </c>
      <c r="W4920" t="s">
        <v>542</v>
      </c>
      <c r="X4920" s="784">
        <v>95829480.719269618</v>
      </c>
    </row>
    <row r="4921" spans="1:24">
      <c r="A4921" t="s">
        <v>358</v>
      </c>
      <c r="B4921" t="s">
        <v>543</v>
      </c>
      <c r="C4921" t="s">
        <v>161</v>
      </c>
      <c r="D4921" t="s">
        <v>127</v>
      </c>
      <c r="E4921" t="s">
        <v>377</v>
      </c>
      <c r="F4921" t="s">
        <v>310</v>
      </c>
      <c r="G4921" t="s">
        <v>389</v>
      </c>
      <c r="H4921" t="s">
        <v>104</v>
      </c>
      <c r="I4921" t="s">
        <v>743</v>
      </c>
      <c r="J4921" t="s">
        <v>379</v>
      </c>
      <c r="K4921" t="s">
        <v>546</v>
      </c>
      <c r="L4921" s="784" t="s">
        <v>575</v>
      </c>
      <c r="M4921" t="s">
        <v>745</v>
      </c>
      <c r="N4921" s="784" t="s">
        <v>575</v>
      </c>
      <c r="O4921" t="s">
        <v>737</v>
      </c>
      <c r="P4921" t="s">
        <v>750</v>
      </c>
      <c r="R4921" t="s">
        <v>152</v>
      </c>
      <c r="S4921" t="s">
        <v>146</v>
      </c>
      <c r="U4921">
        <v>0</v>
      </c>
      <c r="V4921" t="s">
        <v>544</v>
      </c>
      <c r="W4921" t="s">
        <v>575</v>
      </c>
      <c r="X4921" s="784">
        <v>427904035.52443534</v>
      </c>
    </row>
    <row r="4922" spans="1:24">
      <c r="A4922" t="s">
        <v>358</v>
      </c>
      <c r="B4922" t="s">
        <v>545</v>
      </c>
      <c r="C4922" t="s">
        <v>143</v>
      </c>
      <c r="D4922" t="s">
        <v>131</v>
      </c>
      <c r="E4922" t="s">
        <v>377</v>
      </c>
      <c r="F4922" t="s">
        <v>310</v>
      </c>
      <c r="G4922" t="s">
        <v>389</v>
      </c>
      <c r="H4922" t="s">
        <v>104</v>
      </c>
      <c r="I4922" t="s">
        <v>743</v>
      </c>
      <c r="J4922" t="s">
        <v>379</v>
      </c>
      <c r="K4922" t="s">
        <v>546</v>
      </c>
      <c r="L4922" s="784">
        <v>0</v>
      </c>
      <c r="M4922" t="s">
        <v>745</v>
      </c>
      <c r="N4922" s="784" t="s">
        <v>575</v>
      </c>
      <c r="O4922" t="s">
        <v>737</v>
      </c>
      <c r="P4922" t="s">
        <v>750</v>
      </c>
      <c r="R4922" t="s">
        <v>150</v>
      </c>
      <c r="S4922" t="s">
        <v>145</v>
      </c>
      <c r="U4922">
        <v>0</v>
      </c>
      <c r="V4922" t="s">
        <v>544</v>
      </c>
      <c r="W4922" t="s">
        <v>546</v>
      </c>
      <c r="X4922" s="784">
        <v>7113361022.7267885</v>
      </c>
    </row>
    <row r="4923" spans="1:24">
      <c r="A4923" t="s">
        <v>358</v>
      </c>
      <c r="B4923" t="s">
        <v>547</v>
      </c>
      <c r="C4923" t="s">
        <v>162</v>
      </c>
      <c r="D4923" t="s">
        <v>128</v>
      </c>
      <c r="E4923" t="s">
        <v>377</v>
      </c>
      <c r="F4923" t="s">
        <v>310</v>
      </c>
      <c r="G4923" t="s">
        <v>389</v>
      </c>
      <c r="H4923" t="s">
        <v>104</v>
      </c>
      <c r="I4923" t="s">
        <v>743</v>
      </c>
      <c r="J4923" t="s">
        <v>379</v>
      </c>
      <c r="K4923" t="s">
        <v>546</v>
      </c>
      <c r="L4923" s="784">
        <v>1000000</v>
      </c>
      <c r="M4923" t="s">
        <v>745</v>
      </c>
      <c r="N4923" s="784" t="s">
        <v>575</v>
      </c>
      <c r="O4923" t="s">
        <v>737</v>
      </c>
      <c r="P4923" t="s">
        <v>750</v>
      </c>
      <c r="R4923" t="s">
        <v>150</v>
      </c>
      <c r="S4923" t="s">
        <v>145</v>
      </c>
      <c r="U4923">
        <v>0</v>
      </c>
      <c r="V4923" t="s">
        <v>544</v>
      </c>
      <c r="W4923" t="s">
        <v>548</v>
      </c>
      <c r="X4923" s="784">
        <v>1131865946.5875781</v>
      </c>
    </row>
    <row r="4924" spans="1:24">
      <c r="A4924" t="s">
        <v>358</v>
      </c>
      <c r="B4924" t="s">
        <v>549</v>
      </c>
      <c r="C4924" t="s">
        <v>163</v>
      </c>
      <c r="D4924" t="s">
        <v>130</v>
      </c>
      <c r="E4924" t="s">
        <v>377</v>
      </c>
      <c r="F4924" t="s">
        <v>310</v>
      </c>
      <c r="G4924" t="s">
        <v>389</v>
      </c>
      <c r="H4924" t="s">
        <v>104</v>
      </c>
      <c r="I4924" t="s">
        <v>743</v>
      </c>
      <c r="J4924" t="s">
        <v>379</v>
      </c>
      <c r="K4924" t="s">
        <v>546</v>
      </c>
      <c r="L4924" s="784" t="s">
        <v>575</v>
      </c>
      <c r="M4924" t="s">
        <v>745</v>
      </c>
      <c r="N4924" s="784" t="s">
        <v>575</v>
      </c>
      <c r="O4924" t="s">
        <v>737</v>
      </c>
      <c r="P4924" t="s">
        <v>750</v>
      </c>
      <c r="R4924" t="s">
        <v>550</v>
      </c>
      <c r="S4924" t="s">
        <v>146</v>
      </c>
      <c r="U4924">
        <v>0</v>
      </c>
      <c r="V4924" t="s">
        <v>541</v>
      </c>
      <c r="W4924" t="s">
        <v>575</v>
      </c>
      <c r="X4924" s="784">
        <v>46777779.823447868</v>
      </c>
    </row>
    <row r="4925" spans="1:24">
      <c r="A4925" t="s">
        <v>358</v>
      </c>
      <c r="B4925" t="s">
        <v>551</v>
      </c>
      <c r="C4925" t="s">
        <v>164</v>
      </c>
      <c r="D4925" t="s">
        <v>130</v>
      </c>
      <c r="E4925" t="s">
        <v>377</v>
      </c>
      <c r="F4925" t="s">
        <v>310</v>
      </c>
      <c r="G4925" t="s">
        <v>389</v>
      </c>
      <c r="H4925" t="s">
        <v>104</v>
      </c>
      <c r="I4925" t="s">
        <v>743</v>
      </c>
      <c r="J4925" t="s">
        <v>379</v>
      </c>
      <c r="K4925" t="s">
        <v>546</v>
      </c>
      <c r="L4925" s="784" t="s">
        <v>575</v>
      </c>
      <c r="M4925" t="s">
        <v>745</v>
      </c>
      <c r="N4925" s="784" t="s">
        <v>575</v>
      </c>
      <c r="O4925" t="s">
        <v>737</v>
      </c>
      <c r="P4925" t="s">
        <v>750</v>
      </c>
      <c r="R4925" t="s">
        <v>152</v>
      </c>
      <c r="S4925" t="s">
        <v>146</v>
      </c>
      <c r="U4925">
        <v>0</v>
      </c>
      <c r="V4925" t="s">
        <v>544</v>
      </c>
      <c r="W4925" t="s">
        <v>575</v>
      </c>
      <c r="X4925" s="784">
        <v>30725305777.596794</v>
      </c>
    </row>
    <row r="4926" spans="1:24">
      <c r="A4926" t="s">
        <v>358</v>
      </c>
      <c r="B4926" t="s">
        <v>553</v>
      </c>
      <c r="C4926" t="s">
        <v>165</v>
      </c>
      <c r="D4926" t="s">
        <v>127</v>
      </c>
      <c r="E4926" t="s">
        <v>377</v>
      </c>
      <c r="F4926" t="s">
        <v>310</v>
      </c>
      <c r="G4926" t="s">
        <v>389</v>
      </c>
      <c r="H4926" t="s">
        <v>104</v>
      </c>
      <c r="I4926" t="s">
        <v>743</v>
      </c>
      <c r="J4926" t="s">
        <v>379</v>
      </c>
      <c r="K4926" t="s">
        <v>546</v>
      </c>
      <c r="L4926" s="784" t="s">
        <v>575</v>
      </c>
      <c r="M4926" t="s">
        <v>745</v>
      </c>
      <c r="N4926" s="784" t="s">
        <v>575</v>
      </c>
      <c r="O4926" t="s">
        <v>737</v>
      </c>
      <c r="P4926" t="s">
        <v>750</v>
      </c>
      <c r="R4926" t="s">
        <v>152</v>
      </c>
      <c r="S4926" t="s">
        <v>146</v>
      </c>
      <c r="U4926">
        <v>0</v>
      </c>
      <c r="V4926" t="s">
        <v>544</v>
      </c>
      <c r="W4926" t="s">
        <v>575</v>
      </c>
      <c r="X4926" s="784">
        <v>153815827.8380394</v>
      </c>
    </row>
    <row r="4927" spans="1:24">
      <c r="A4927" t="s">
        <v>358</v>
      </c>
      <c r="B4927" t="s">
        <v>554</v>
      </c>
      <c r="C4927" t="s">
        <v>166</v>
      </c>
      <c r="D4927" t="s">
        <v>127</v>
      </c>
      <c r="E4927" t="s">
        <v>377</v>
      </c>
      <c r="F4927" t="s">
        <v>310</v>
      </c>
      <c r="G4927" t="s">
        <v>389</v>
      </c>
      <c r="H4927" t="s">
        <v>104</v>
      </c>
      <c r="I4927" t="s">
        <v>743</v>
      </c>
      <c r="J4927" t="s">
        <v>379</v>
      </c>
      <c r="K4927" t="s">
        <v>546</v>
      </c>
      <c r="L4927" s="784" t="s">
        <v>575</v>
      </c>
      <c r="M4927" t="s">
        <v>745</v>
      </c>
      <c r="N4927" s="784" t="s">
        <v>575</v>
      </c>
      <c r="O4927" t="s">
        <v>737</v>
      </c>
      <c r="P4927" t="s">
        <v>750</v>
      </c>
      <c r="R4927" t="s">
        <v>152</v>
      </c>
      <c r="S4927" t="s">
        <v>146</v>
      </c>
      <c r="U4927">
        <v>0</v>
      </c>
      <c r="V4927" t="s">
        <v>544</v>
      </c>
      <c r="W4927" t="s">
        <v>546</v>
      </c>
      <c r="X4927" s="784">
        <v>437525105.31216973</v>
      </c>
    </row>
    <row r="4928" spans="1:24">
      <c r="A4928" t="s">
        <v>358</v>
      </c>
      <c r="B4928" t="s">
        <v>555</v>
      </c>
      <c r="C4928" t="s">
        <v>556</v>
      </c>
      <c r="D4928" t="s">
        <v>130</v>
      </c>
      <c r="E4928" t="s">
        <v>377</v>
      </c>
      <c r="F4928" t="s">
        <v>310</v>
      </c>
      <c r="G4928" t="s">
        <v>389</v>
      </c>
      <c r="H4928" t="s">
        <v>104</v>
      </c>
      <c r="I4928" t="s">
        <v>743</v>
      </c>
      <c r="J4928" t="s">
        <v>379</v>
      </c>
      <c r="K4928" t="s">
        <v>546</v>
      </c>
      <c r="L4928" s="784" t="s">
        <v>575</v>
      </c>
      <c r="M4928" t="s">
        <v>745</v>
      </c>
      <c r="N4928" s="784" t="s">
        <v>575</v>
      </c>
      <c r="O4928" t="s">
        <v>737</v>
      </c>
      <c r="P4928" t="s">
        <v>750</v>
      </c>
      <c r="R4928" t="s">
        <v>550</v>
      </c>
      <c r="S4928" t="s">
        <v>146</v>
      </c>
      <c r="U4928">
        <v>0</v>
      </c>
      <c r="V4928" t="s">
        <v>541</v>
      </c>
      <c r="W4928" t="s">
        <v>575</v>
      </c>
      <c r="X4928" s="784">
        <v>149463302.00602186</v>
      </c>
    </row>
    <row r="4929" spans="1:24">
      <c r="A4929" t="s">
        <v>358</v>
      </c>
      <c r="B4929" t="s">
        <v>557</v>
      </c>
      <c r="C4929" t="s">
        <v>167</v>
      </c>
      <c r="D4929" t="s">
        <v>132</v>
      </c>
      <c r="E4929" t="s">
        <v>377</v>
      </c>
      <c r="F4929" t="s">
        <v>310</v>
      </c>
      <c r="G4929" t="s">
        <v>389</v>
      </c>
      <c r="H4929" t="s">
        <v>104</v>
      </c>
      <c r="I4929" t="s">
        <v>743</v>
      </c>
      <c r="J4929" t="s">
        <v>379</v>
      </c>
      <c r="K4929" t="s">
        <v>546</v>
      </c>
      <c r="L4929" s="784">
        <v>4927567</v>
      </c>
      <c r="M4929" t="s">
        <v>745</v>
      </c>
      <c r="N4929" s="784" t="s">
        <v>575</v>
      </c>
      <c r="O4929" t="s">
        <v>737</v>
      </c>
      <c r="P4929" t="s">
        <v>750</v>
      </c>
      <c r="R4929" t="s">
        <v>150</v>
      </c>
      <c r="S4929" t="s">
        <v>145</v>
      </c>
      <c r="U4929">
        <v>0</v>
      </c>
      <c r="V4929" t="s">
        <v>544</v>
      </c>
      <c r="W4929" t="s">
        <v>558</v>
      </c>
      <c r="X4929" s="784">
        <v>1148322593.9600098</v>
      </c>
    </row>
    <row r="4930" spans="1:24">
      <c r="A4930" t="s">
        <v>358</v>
      </c>
      <c r="B4930" t="s">
        <v>559</v>
      </c>
      <c r="C4930" t="s">
        <v>168</v>
      </c>
      <c r="D4930" t="s">
        <v>127</v>
      </c>
      <c r="E4930" t="s">
        <v>377</v>
      </c>
      <c r="F4930" t="s">
        <v>310</v>
      </c>
      <c r="G4930" t="s">
        <v>389</v>
      </c>
      <c r="H4930" t="s">
        <v>104</v>
      </c>
      <c r="I4930" t="s">
        <v>743</v>
      </c>
      <c r="J4930" t="s">
        <v>379</v>
      </c>
      <c r="K4930" t="s">
        <v>546</v>
      </c>
      <c r="L4930" s="784" t="s">
        <v>575</v>
      </c>
      <c r="M4930" t="s">
        <v>745</v>
      </c>
      <c r="N4930" s="784" t="s">
        <v>575</v>
      </c>
      <c r="O4930" t="s">
        <v>737</v>
      </c>
      <c r="P4930" t="s">
        <v>750</v>
      </c>
      <c r="R4930" t="s">
        <v>152</v>
      </c>
      <c r="S4930" t="s">
        <v>146</v>
      </c>
      <c r="U4930">
        <v>0</v>
      </c>
      <c r="V4930" t="s">
        <v>544</v>
      </c>
      <c r="W4930" t="s">
        <v>575</v>
      </c>
      <c r="X4930" s="784">
        <v>2371102058.1093163</v>
      </c>
    </row>
    <row r="4931" spans="1:24">
      <c r="A4931" t="s">
        <v>358</v>
      </c>
      <c r="B4931" t="s">
        <v>560</v>
      </c>
      <c r="C4931" t="s">
        <v>169</v>
      </c>
      <c r="D4931" t="s">
        <v>130</v>
      </c>
      <c r="E4931" t="s">
        <v>377</v>
      </c>
      <c r="F4931" t="s">
        <v>310</v>
      </c>
      <c r="G4931" t="s">
        <v>389</v>
      </c>
      <c r="H4931" t="s">
        <v>104</v>
      </c>
      <c r="I4931" t="s">
        <v>743</v>
      </c>
      <c r="J4931" t="s">
        <v>379</v>
      </c>
      <c r="K4931" t="s">
        <v>546</v>
      </c>
      <c r="L4931" s="784" t="s">
        <v>575</v>
      </c>
      <c r="M4931" t="s">
        <v>745</v>
      </c>
      <c r="N4931" s="784" t="s">
        <v>575</v>
      </c>
      <c r="O4931" t="s">
        <v>737</v>
      </c>
      <c r="P4931" t="s">
        <v>750</v>
      </c>
      <c r="R4931" t="s">
        <v>150</v>
      </c>
      <c r="S4931" t="s">
        <v>146</v>
      </c>
      <c r="U4931">
        <v>0</v>
      </c>
      <c r="V4931" t="s">
        <v>541</v>
      </c>
      <c r="W4931" t="s">
        <v>546</v>
      </c>
      <c r="X4931" s="784">
        <v>75151620.005215243</v>
      </c>
    </row>
    <row r="4932" spans="1:24">
      <c r="A4932" t="s">
        <v>358</v>
      </c>
      <c r="B4932" t="s">
        <v>561</v>
      </c>
      <c r="C4932" t="s">
        <v>170</v>
      </c>
      <c r="D4932" t="s">
        <v>129</v>
      </c>
      <c r="E4932" t="s">
        <v>377</v>
      </c>
      <c r="F4932" t="s">
        <v>310</v>
      </c>
      <c r="G4932" t="s">
        <v>389</v>
      </c>
      <c r="H4932" t="s">
        <v>104</v>
      </c>
      <c r="I4932" t="s">
        <v>743</v>
      </c>
      <c r="J4932" t="s">
        <v>379</v>
      </c>
      <c r="K4932" t="s">
        <v>546</v>
      </c>
      <c r="L4932" s="784">
        <v>1974291</v>
      </c>
      <c r="M4932" t="s">
        <v>745</v>
      </c>
      <c r="N4932" s="784" t="s">
        <v>575</v>
      </c>
      <c r="O4932" t="s">
        <v>737</v>
      </c>
      <c r="P4932" t="s">
        <v>750</v>
      </c>
      <c r="R4932" t="s">
        <v>150</v>
      </c>
      <c r="S4932" t="s">
        <v>145</v>
      </c>
      <c r="U4932">
        <v>0</v>
      </c>
      <c r="V4932" t="s">
        <v>544</v>
      </c>
      <c r="W4932" t="s">
        <v>562</v>
      </c>
      <c r="X4932" s="784">
        <v>69958487.197715744</v>
      </c>
    </row>
    <row r="4933" spans="1:24">
      <c r="A4933" t="s">
        <v>358</v>
      </c>
      <c r="B4933" t="s">
        <v>563</v>
      </c>
      <c r="C4933" t="s">
        <v>171</v>
      </c>
      <c r="D4933" t="s">
        <v>132</v>
      </c>
      <c r="E4933" t="s">
        <v>377</v>
      </c>
      <c r="F4933" t="s">
        <v>310</v>
      </c>
      <c r="G4933" t="s">
        <v>389</v>
      </c>
      <c r="H4933" t="s">
        <v>104</v>
      </c>
      <c r="I4933" t="s">
        <v>743</v>
      </c>
      <c r="J4933" t="s">
        <v>379</v>
      </c>
      <c r="K4933" t="s">
        <v>546</v>
      </c>
      <c r="L4933" s="784">
        <v>0</v>
      </c>
      <c r="M4933" t="s">
        <v>745</v>
      </c>
      <c r="N4933" s="784" t="s">
        <v>575</v>
      </c>
      <c r="O4933" t="s">
        <v>737</v>
      </c>
      <c r="P4933" t="s">
        <v>750</v>
      </c>
      <c r="R4933" t="s">
        <v>150</v>
      </c>
      <c r="S4933" t="s">
        <v>145</v>
      </c>
      <c r="U4933">
        <v>0</v>
      </c>
      <c r="V4933" t="s">
        <v>544</v>
      </c>
      <c r="W4933" t="s">
        <v>548</v>
      </c>
      <c r="X4933" s="784">
        <v>61654608.560629159</v>
      </c>
    </row>
    <row r="4934" spans="1:24">
      <c r="A4934" t="s">
        <v>358</v>
      </c>
      <c r="B4934" t="s">
        <v>564</v>
      </c>
      <c r="C4934" t="s">
        <v>172</v>
      </c>
      <c r="D4934" t="s">
        <v>130</v>
      </c>
      <c r="E4934" t="s">
        <v>377</v>
      </c>
      <c r="F4934" t="s">
        <v>310</v>
      </c>
      <c r="G4934" t="s">
        <v>389</v>
      </c>
      <c r="H4934" t="s">
        <v>104</v>
      </c>
      <c r="I4934" t="s">
        <v>743</v>
      </c>
      <c r="J4934" t="s">
        <v>379</v>
      </c>
      <c r="K4934" t="s">
        <v>546</v>
      </c>
      <c r="L4934" s="784">
        <v>0</v>
      </c>
      <c r="M4934" t="s">
        <v>745</v>
      </c>
      <c r="N4934" s="784" t="s">
        <v>575</v>
      </c>
      <c r="O4934" t="s">
        <v>737</v>
      </c>
      <c r="P4934" t="s">
        <v>750</v>
      </c>
      <c r="R4934" t="s">
        <v>150</v>
      </c>
      <c r="S4934" t="s">
        <v>145</v>
      </c>
      <c r="U4934">
        <v>0</v>
      </c>
      <c r="V4934" t="s">
        <v>544</v>
      </c>
      <c r="W4934" t="s">
        <v>546</v>
      </c>
      <c r="X4934" s="784">
        <v>1806638707.7615163</v>
      </c>
    </row>
    <row r="4935" spans="1:24">
      <c r="A4935" t="s">
        <v>358</v>
      </c>
      <c r="B4935" t="s">
        <v>565</v>
      </c>
      <c r="C4935" t="s">
        <v>174</v>
      </c>
      <c r="D4935" t="s">
        <v>127</v>
      </c>
      <c r="E4935" t="s">
        <v>377</v>
      </c>
      <c r="F4935" t="s">
        <v>310</v>
      </c>
      <c r="G4935" t="s">
        <v>389</v>
      </c>
      <c r="H4935" t="s">
        <v>104</v>
      </c>
      <c r="I4935" t="s">
        <v>743</v>
      </c>
      <c r="J4935" t="s">
        <v>379</v>
      </c>
      <c r="K4935" t="s">
        <v>546</v>
      </c>
      <c r="L4935" s="784" t="s">
        <v>575</v>
      </c>
      <c r="M4935" t="s">
        <v>745</v>
      </c>
      <c r="N4935" s="784" t="s">
        <v>575</v>
      </c>
      <c r="O4935" t="s">
        <v>737</v>
      </c>
      <c r="P4935" t="s">
        <v>750</v>
      </c>
      <c r="R4935" t="s">
        <v>152</v>
      </c>
      <c r="S4935" t="s">
        <v>146</v>
      </c>
      <c r="U4935">
        <v>0</v>
      </c>
      <c r="V4935" t="s">
        <v>544</v>
      </c>
      <c r="W4935" t="s">
        <v>546</v>
      </c>
      <c r="X4935" s="784">
        <v>1252696525.0627904</v>
      </c>
    </row>
    <row r="4936" spans="1:24">
      <c r="A4936" t="s">
        <v>358</v>
      </c>
      <c r="B4936" t="s">
        <v>566</v>
      </c>
      <c r="C4936" t="s">
        <v>175</v>
      </c>
      <c r="D4936" t="s">
        <v>128</v>
      </c>
      <c r="E4936" t="s">
        <v>377</v>
      </c>
      <c r="F4936" t="s">
        <v>310</v>
      </c>
      <c r="G4936" t="s">
        <v>389</v>
      </c>
      <c r="H4936" t="s">
        <v>104</v>
      </c>
      <c r="I4936" t="s">
        <v>743</v>
      </c>
      <c r="J4936" t="s">
        <v>379</v>
      </c>
      <c r="K4936" t="s">
        <v>546</v>
      </c>
      <c r="L4936" s="784" t="s">
        <v>575</v>
      </c>
      <c r="M4936" t="s">
        <v>745</v>
      </c>
      <c r="N4936" s="784" t="s">
        <v>575</v>
      </c>
      <c r="O4936" t="s">
        <v>737</v>
      </c>
      <c r="P4936" t="s">
        <v>750</v>
      </c>
      <c r="R4936" t="s">
        <v>152</v>
      </c>
      <c r="S4936" t="s">
        <v>146</v>
      </c>
      <c r="U4936">
        <v>0</v>
      </c>
      <c r="V4936" t="s">
        <v>544</v>
      </c>
      <c r="W4936" t="s">
        <v>575</v>
      </c>
      <c r="X4936" s="784">
        <v>843425084.07334602</v>
      </c>
    </row>
    <row r="4937" spans="1:24">
      <c r="A4937" t="s">
        <v>358</v>
      </c>
      <c r="B4937" t="s">
        <v>567</v>
      </c>
      <c r="C4937" t="s">
        <v>144</v>
      </c>
      <c r="D4937" t="s">
        <v>130</v>
      </c>
      <c r="E4937" t="s">
        <v>377</v>
      </c>
      <c r="F4937" t="s">
        <v>310</v>
      </c>
      <c r="G4937" t="s">
        <v>389</v>
      </c>
      <c r="H4937" t="s">
        <v>104</v>
      </c>
      <c r="I4937" t="s">
        <v>743</v>
      </c>
      <c r="J4937" t="s">
        <v>379</v>
      </c>
      <c r="K4937" t="s">
        <v>546</v>
      </c>
      <c r="L4937" s="784" t="s">
        <v>575</v>
      </c>
      <c r="M4937" t="s">
        <v>745</v>
      </c>
      <c r="N4937" s="784" t="s">
        <v>575</v>
      </c>
      <c r="O4937" t="s">
        <v>737</v>
      </c>
      <c r="P4937" t="s">
        <v>750</v>
      </c>
      <c r="R4937" t="s">
        <v>152</v>
      </c>
      <c r="S4937" t="s">
        <v>146</v>
      </c>
      <c r="U4937">
        <v>0</v>
      </c>
      <c r="V4937" t="s">
        <v>544</v>
      </c>
      <c r="W4937" t="s">
        <v>546</v>
      </c>
      <c r="X4937" s="784">
        <v>74055620038.853683</v>
      </c>
    </row>
    <row r="4938" spans="1:24">
      <c r="A4938" t="s">
        <v>358</v>
      </c>
      <c r="B4938" t="s">
        <v>568</v>
      </c>
      <c r="C4938" t="s">
        <v>176</v>
      </c>
      <c r="D4938" t="s">
        <v>127</v>
      </c>
      <c r="E4938" t="s">
        <v>377</v>
      </c>
      <c r="F4938" t="s">
        <v>310</v>
      </c>
      <c r="G4938" t="s">
        <v>389</v>
      </c>
      <c r="H4938" t="s">
        <v>104</v>
      </c>
      <c r="I4938" t="s">
        <v>743</v>
      </c>
      <c r="J4938" t="s">
        <v>379</v>
      </c>
      <c r="K4938" t="s">
        <v>546</v>
      </c>
      <c r="L4938" s="784" t="s">
        <v>575</v>
      </c>
      <c r="M4938" t="s">
        <v>745</v>
      </c>
      <c r="N4938" s="784" t="s">
        <v>575</v>
      </c>
      <c r="O4938" t="s">
        <v>737</v>
      </c>
      <c r="P4938" t="s">
        <v>750</v>
      </c>
      <c r="R4938" t="s">
        <v>152</v>
      </c>
      <c r="S4938" t="s">
        <v>146</v>
      </c>
      <c r="U4938">
        <v>0</v>
      </c>
      <c r="V4938" t="s">
        <v>544</v>
      </c>
      <c r="W4938" t="s">
        <v>575</v>
      </c>
      <c r="X4938" s="784">
        <v>2803357765.5888777</v>
      </c>
    </row>
    <row r="4939" spans="1:24">
      <c r="A4939" t="s">
        <v>358</v>
      </c>
      <c r="B4939" t="s">
        <v>569</v>
      </c>
      <c r="C4939" t="s">
        <v>177</v>
      </c>
      <c r="D4939" t="s">
        <v>129</v>
      </c>
      <c r="E4939" t="s">
        <v>377</v>
      </c>
      <c r="F4939" t="s">
        <v>310</v>
      </c>
      <c r="G4939" t="s">
        <v>389</v>
      </c>
      <c r="H4939" t="s">
        <v>104</v>
      </c>
      <c r="I4939" t="s">
        <v>743</v>
      </c>
      <c r="J4939" t="s">
        <v>379</v>
      </c>
      <c r="K4939" t="s">
        <v>546</v>
      </c>
      <c r="L4939" s="784">
        <v>0</v>
      </c>
      <c r="M4939" t="s">
        <v>745</v>
      </c>
      <c r="N4939" s="784" t="s">
        <v>575</v>
      </c>
      <c r="O4939" t="s">
        <v>737</v>
      </c>
      <c r="P4939" t="s">
        <v>750</v>
      </c>
      <c r="R4939" t="s">
        <v>148</v>
      </c>
      <c r="S4939" t="s">
        <v>145</v>
      </c>
      <c r="U4939">
        <v>2</v>
      </c>
      <c r="V4939" t="s">
        <v>544</v>
      </c>
      <c r="W4939" t="s">
        <v>562</v>
      </c>
      <c r="X4939" s="784">
        <v>337927779.25510043</v>
      </c>
    </row>
    <row r="4940" spans="1:24">
      <c r="A4940" t="s">
        <v>358</v>
      </c>
      <c r="B4940" t="s">
        <v>570</v>
      </c>
      <c r="C4940" t="s">
        <v>178</v>
      </c>
      <c r="D4940" t="s">
        <v>128</v>
      </c>
      <c r="E4940" t="s">
        <v>377</v>
      </c>
      <c r="F4940" t="s">
        <v>310</v>
      </c>
      <c r="G4940" t="s">
        <v>389</v>
      </c>
      <c r="H4940" t="s">
        <v>104</v>
      </c>
      <c r="I4940" t="s">
        <v>743</v>
      </c>
      <c r="J4940" t="s">
        <v>379</v>
      </c>
      <c r="K4940" t="s">
        <v>546</v>
      </c>
      <c r="L4940" s="784" t="s">
        <v>575</v>
      </c>
      <c r="M4940" t="s">
        <v>745</v>
      </c>
      <c r="N4940" s="784" t="s">
        <v>575</v>
      </c>
      <c r="O4940" t="s">
        <v>737</v>
      </c>
      <c r="P4940" t="s">
        <v>750</v>
      </c>
      <c r="R4940" t="s">
        <v>148</v>
      </c>
      <c r="S4940" t="s">
        <v>145</v>
      </c>
      <c r="U4940">
        <v>2</v>
      </c>
      <c r="V4940" t="s">
        <v>544</v>
      </c>
      <c r="W4940" t="s">
        <v>548</v>
      </c>
      <c r="X4940" s="784">
        <v>65979512.47399316</v>
      </c>
    </row>
    <row r="4941" spans="1:24">
      <c r="A4941" t="s">
        <v>358</v>
      </c>
      <c r="B4941" t="s">
        <v>571</v>
      </c>
      <c r="C4941" t="s">
        <v>179</v>
      </c>
      <c r="D4941" t="s">
        <v>129</v>
      </c>
      <c r="E4941" t="s">
        <v>377</v>
      </c>
      <c r="F4941" t="s">
        <v>310</v>
      </c>
      <c r="G4941" t="s">
        <v>389</v>
      </c>
      <c r="H4941" t="s">
        <v>104</v>
      </c>
      <c r="I4941" t="s">
        <v>743</v>
      </c>
      <c r="J4941" t="s">
        <v>379</v>
      </c>
      <c r="K4941" t="s">
        <v>546</v>
      </c>
      <c r="L4941" s="784">
        <v>0</v>
      </c>
      <c r="M4941" t="s">
        <v>745</v>
      </c>
      <c r="N4941" s="784" t="s">
        <v>575</v>
      </c>
      <c r="O4941" t="s">
        <v>737</v>
      </c>
      <c r="P4941" t="s">
        <v>750</v>
      </c>
      <c r="R4941" t="s">
        <v>150</v>
      </c>
      <c r="S4941" t="s">
        <v>145</v>
      </c>
      <c r="U4941">
        <v>0</v>
      </c>
      <c r="V4941" t="s">
        <v>541</v>
      </c>
      <c r="W4941" t="s">
        <v>542</v>
      </c>
      <c r="X4941" s="784">
        <v>63748362.778827004</v>
      </c>
    </row>
    <row r="4942" spans="1:24">
      <c r="A4942" t="s">
        <v>358</v>
      </c>
      <c r="B4942" t="s">
        <v>572</v>
      </c>
      <c r="C4942" t="s">
        <v>180</v>
      </c>
      <c r="D4942" t="s">
        <v>126</v>
      </c>
      <c r="E4942" t="s">
        <v>377</v>
      </c>
      <c r="F4942" t="s">
        <v>310</v>
      </c>
      <c r="G4942" t="s">
        <v>389</v>
      </c>
      <c r="H4942" t="s">
        <v>104</v>
      </c>
      <c r="I4942" t="s">
        <v>743</v>
      </c>
      <c r="J4942" t="s">
        <v>379</v>
      </c>
      <c r="K4942" t="s">
        <v>546</v>
      </c>
      <c r="L4942" s="784">
        <v>0</v>
      </c>
      <c r="M4942" t="s">
        <v>745</v>
      </c>
      <c r="N4942" s="784" t="s">
        <v>575</v>
      </c>
      <c r="O4942" t="s">
        <v>737</v>
      </c>
      <c r="P4942" t="s">
        <v>750</v>
      </c>
      <c r="R4942" t="s">
        <v>150</v>
      </c>
      <c r="S4942" t="s">
        <v>145</v>
      </c>
      <c r="U4942">
        <v>0</v>
      </c>
      <c r="V4942" t="s">
        <v>544</v>
      </c>
      <c r="W4942" t="s">
        <v>558</v>
      </c>
      <c r="X4942" s="784">
        <v>313039649.45369786</v>
      </c>
    </row>
    <row r="4943" spans="1:24">
      <c r="A4943" t="s">
        <v>358</v>
      </c>
      <c r="B4943" t="s">
        <v>573</v>
      </c>
      <c r="C4943" t="s">
        <v>181</v>
      </c>
      <c r="D4943" t="s">
        <v>129</v>
      </c>
      <c r="E4943" t="s">
        <v>377</v>
      </c>
      <c r="F4943" t="s">
        <v>310</v>
      </c>
      <c r="G4943" t="s">
        <v>389</v>
      </c>
      <c r="H4943" t="s">
        <v>104</v>
      </c>
      <c r="I4943" t="s">
        <v>743</v>
      </c>
      <c r="J4943" t="s">
        <v>379</v>
      </c>
      <c r="K4943" t="s">
        <v>546</v>
      </c>
      <c r="L4943" s="784">
        <v>196992</v>
      </c>
      <c r="M4943" t="s">
        <v>745</v>
      </c>
      <c r="N4943" s="784" t="s">
        <v>575</v>
      </c>
      <c r="O4943" t="s">
        <v>737</v>
      </c>
      <c r="P4943" t="s">
        <v>750</v>
      </c>
      <c r="R4943" t="s">
        <v>150</v>
      </c>
      <c r="S4943" t="s">
        <v>145</v>
      </c>
      <c r="U4943">
        <v>2</v>
      </c>
      <c r="V4943" t="s">
        <v>544</v>
      </c>
      <c r="W4943" t="s">
        <v>542</v>
      </c>
      <c r="X4943" s="784">
        <v>81361801.477472037</v>
      </c>
    </row>
    <row r="4944" spans="1:24">
      <c r="A4944" t="s">
        <v>358</v>
      </c>
      <c r="B4944" t="s">
        <v>574</v>
      </c>
      <c r="C4944" t="s">
        <v>182</v>
      </c>
      <c r="D4944" t="s">
        <v>129</v>
      </c>
      <c r="E4944" t="s">
        <v>377</v>
      </c>
      <c r="F4944" t="s">
        <v>310</v>
      </c>
      <c r="G4944" t="s">
        <v>389</v>
      </c>
      <c r="H4944" t="s">
        <v>104</v>
      </c>
      <c r="I4944" t="s">
        <v>743</v>
      </c>
      <c r="J4944" t="s">
        <v>379</v>
      </c>
      <c r="K4944" t="s">
        <v>546</v>
      </c>
      <c r="L4944" s="784">
        <v>1303508</v>
      </c>
      <c r="M4944" t="s">
        <v>745</v>
      </c>
      <c r="N4944" s="784" t="s">
        <v>575</v>
      </c>
      <c r="O4944" t="s">
        <v>737</v>
      </c>
      <c r="P4944" t="s">
        <v>750</v>
      </c>
      <c r="R4944" t="s">
        <v>148</v>
      </c>
      <c r="S4944" t="s">
        <v>145</v>
      </c>
      <c r="U4944">
        <v>1</v>
      </c>
      <c r="V4944" t="s">
        <v>544</v>
      </c>
      <c r="W4944" t="s">
        <v>542</v>
      </c>
      <c r="X4944" s="784" t="s">
        <v>575</v>
      </c>
    </row>
    <row r="4945" spans="1:24">
      <c r="A4945" t="s">
        <v>358</v>
      </c>
      <c r="B4945" t="s">
        <v>576</v>
      </c>
      <c r="C4945" t="s">
        <v>183</v>
      </c>
      <c r="D4945" t="s">
        <v>129</v>
      </c>
      <c r="E4945" t="s">
        <v>377</v>
      </c>
      <c r="F4945" t="s">
        <v>310</v>
      </c>
      <c r="G4945" t="s">
        <v>389</v>
      </c>
      <c r="H4945" t="s">
        <v>104</v>
      </c>
      <c r="I4945" t="s">
        <v>743</v>
      </c>
      <c r="J4945" t="s">
        <v>379</v>
      </c>
      <c r="K4945" t="s">
        <v>546</v>
      </c>
      <c r="L4945" s="784">
        <v>0</v>
      </c>
      <c r="M4945" t="s">
        <v>745</v>
      </c>
      <c r="N4945" s="784" t="s">
        <v>575</v>
      </c>
      <c r="O4945" t="s">
        <v>737</v>
      </c>
      <c r="P4945" t="s">
        <v>750</v>
      </c>
      <c r="R4945" t="s">
        <v>148</v>
      </c>
      <c r="S4945" t="s">
        <v>145</v>
      </c>
      <c r="U4945">
        <v>1</v>
      </c>
      <c r="V4945" t="s">
        <v>544</v>
      </c>
      <c r="W4945" t="s">
        <v>542</v>
      </c>
      <c r="X4945" s="784">
        <v>76939306.715636879</v>
      </c>
    </row>
    <row r="4946" spans="1:24">
      <c r="A4946" t="s">
        <v>358</v>
      </c>
      <c r="B4946" t="s">
        <v>577</v>
      </c>
      <c r="C4946" t="s">
        <v>184</v>
      </c>
      <c r="D4946" t="s">
        <v>130</v>
      </c>
      <c r="E4946" t="s">
        <v>377</v>
      </c>
      <c r="F4946" t="s">
        <v>310</v>
      </c>
      <c r="G4946" t="s">
        <v>389</v>
      </c>
      <c r="H4946" t="s">
        <v>104</v>
      </c>
      <c r="I4946" t="s">
        <v>743</v>
      </c>
      <c r="J4946" t="s">
        <v>379</v>
      </c>
      <c r="K4946" t="s">
        <v>546</v>
      </c>
      <c r="L4946" s="784" t="s">
        <v>575</v>
      </c>
      <c r="M4946" t="s">
        <v>745</v>
      </c>
      <c r="N4946" s="784" t="s">
        <v>575</v>
      </c>
      <c r="O4946" t="s">
        <v>737</v>
      </c>
      <c r="P4946" t="s">
        <v>750</v>
      </c>
      <c r="R4946" t="s">
        <v>550</v>
      </c>
      <c r="S4946" t="s">
        <v>146</v>
      </c>
      <c r="U4946">
        <v>0</v>
      </c>
      <c r="V4946" t="s">
        <v>544</v>
      </c>
      <c r="W4946" t="s">
        <v>575</v>
      </c>
      <c r="X4946" s="784">
        <v>13859708717.682571</v>
      </c>
    </row>
    <row r="4947" spans="1:24">
      <c r="A4947" t="s">
        <v>358</v>
      </c>
      <c r="B4947" t="s">
        <v>578</v>
      </c>
      <c r="C4947" t="s">
        <v>185</v>
      </c>
      <c r="D4947" t="s">
        <v>126</v>
      </c>
      <c r="E4947" t="s">
        <v>377</v>
      </c>
      <c r="F4947" t="s">
        <v>310</v>
      </c>
      <c r="G4947" t="s">
        <v>389</v>
      </c>
      <c r="H4947" t="s">
        <v>104</v>
      </c>
      <c r="I4947" t="s">
        <v>743</v>
      </c>
      <c r="J4947" t="s">
        <v>379</v>
      </c>
      <c r="K4947" t="s">
        <v>546</v>
      </c>
      <c r="L4947" s="784" t="s">
        <v>575</v>
      </c>
      <c r="M4947" t="s">
        <v>745</v>
      </c>
      <c r="N4947" s="784" t="s">
        <v>575</v>
      </c>
      <c r="O4947" t="s">
        <v>737</v>
      </c>
      <c r="P4947" t="s">
        <v>750</v>
      </c>
      <c r="R4947" t="s">
        <v>152</v>
      </c>
      <c r="S4947" t="s">
        <v>146</v>
      </c>
      <c r="U4947">
        <v>0</v>
      </c>
      <c r="V4947" t="s">
        <v>544</v>
      </c>
      <c r="W4947" t="s">
        <v>575</v>
      </c>
      <c r="X4947" s="784">
        <v>403567160707.7016</v>
      </c>
    </row>
    <row r="4948" spans="1:24">
      <c r="A4948" t="s">
        <v>358</v>
      </c>
      <c r="B4948" t="s">
        <v>579</v>
      </c>
      <c r="C4948" t="s">
        <v>186</v>
      </c>
      <c r="D4948" t="s">
        <v>130</v>
      </c>
      <c r="E4948" t="s">
        <v>377</v>
      </c>
      <c r="F4948" t="s">
        <v>310</v>
      </c>
      <c r="G4948" t="s">
        <v>389</v>
      </c>
      <c r="H4948" t="s">
        <v>104</v>
      </c>
      <c r="I4948" t="s">
        <v>743</v>
      </c>
      <c r="J4948" t="s">
        <v>379</v>
      </c>
      <c r="K4948" t="s">
        <v>546</v>
      </c>
      <c r="L4948" s="784" t="s">
        <v>575</v>
      </c>
      <c r="M4948" t="s">
        <v>745</v>
      </c>
      <c r="N4948" s="784" t="s">
        <v>575</v>
      </c>
      <c r="O4948" t="s">
        <v>737</v>
      </c>
      <c r="P4948" t="s">
        <v>750</v>
      </c>
      <c r="R4948" t="s">
        <v>152</v>
      </c>
      <c r="S4948" t="s">
        <v>146</v>
      </c>
      <c r="U4948">
        <v>0</v>
      </c>
      <c r="V4948" t="s">
        <v>544</v>
      </c>
      <c r="W4948" t="s">
        <v>575</v>
      </c>
      <c r="X4948" s="784">
        <v>18250225995.972618</v>
      </c>
    </row>
    <row r="4949" spans="1:24">
      <c r="A4949" t="s">
        <v>358</v>
      </c>
      <c r="B4949" t="s">
        <v>580</v>
      </c>
      <c r="C4949" t="s">
        <v>187</v>
      </c>
      <c r="D4949" t="s">
        <v>128</v>
      </c>
      <c r="E4949" t="s">
        <v>377</v>
      </c>
      <c r="F4949" t="s">
        <v>310</v>
      </c>
      <c r="G4949" t="s">
        <v>389</v>
      </c>
      <c r="H4949" t="s">
        <v>104</v>
      </c>
      <c r="I4949" t="s">
        <v>743</v>
      </c>
      <c r="J4949" t="s">
        <v>379</v>
      </c>
      <c r="K4949" t="s">
        <v>546</v>
      </c>
      <c r="L4949" s="784">
        <v>146720</v>
      </c>
      <c r="M4949" t="s">
        <v>745</v>
      </c>
      <c r="N4949" s="784" t="s">
        <v>575</v>
      </c>
      <c r="O4949" t="s">
        <v>737</v>
      </c>
      <c r="P4949" t="s">
        <v>750</v>
      </c>
      <c r="R4949" t="s">
        <v>150</v>
      </c>
      <c r="S4949" t="s">
        <v>145</v>
      </c>
      <c r="U4949">
        <v>0</v>
      </c>
      <c r="V4949" t="s">
        <v>541</v>
      </c>
      <c r="W4949" t="s">
        <v>562</v>
      </c>
      <c r="X4949" s="784">
        <v>5027591.1682657599</v>
      </c>
    </row>
    <row r="4950" spans="1:24">
      <c r="A4950" t="s">
        <v>358</v>
      </c>
      <c r="B4950" t="s">
        <v>581</v>
      </c>
      <c r="C4950" t="s">
        <v>188</v>
      </c>
      <c r="D4950" t="s">
        <v>129</v>
      </c>
      <c r="E4950" t="s">
        <v>377</v>
      </c>
      <c r="F4950" t="s">
        <v>310</v>
      </c>
      <c r="G4950" t="s">
        <v>389</v>
      </c>
      <c r="H4950" t="s">
        <v>104</v>
      </c>
      <c r="I4950" t="s">
        <v>743</v>
      </c>
      <c r="J4950" t="s">
        <v>379</v>
      </c>
      <c r="K4950" t="s">
        <v>546</v>
      </c>
      <c r="L4950" s="784">
        <v>8507891</v>
      </c>
      <c r="M4950" t="s">
        <v>745</v>
      </c>
      <c r="N4950" s="784" t="s">
        <v>575</v>
      </c>
      <c r="O4950" t="s">
        <v>737</v>
      </c>
      <c r="P4950" t="s">
        <v>750</v>
      </c>
      <c r="R4950" t="s">
        <v>148</v>
      </c>
      <c r="S4950" t="s">
        <v>145</v>
      </c>
      <c r="U4950">
        <v>3</v>
      </c>
      <c r="V4950" t="s">
        <v>544</v>
      </c>
      <c r="W4950" t="s">
        <v>562</v>
      </c>
      <c r="X4950" s="784">
        <v>234645958.63289919</v>
      </c>
    </row>
    <row r="4951" spans="1:24">
      <c r="A4951" t="s">
        <v>358</v>
      </c>
      <c r="B4951" t="s">
        <v>582</v>
      </c>
      <c r="C4951" t="s">
        <v>189</v>
      </c>
      <c r="D4951" t="s">
        <v>129</v>
      </c>
      <c r="E4951" t="s">
        <v>377</v>
      </c>
      <c r="F4951" t="s">
        <v>310</v>
      </c>
      <c r="G4951" t="s">
        <v>389</v>
      </c>
      <c r="H4951" t="s">
        <v>104</v>
      </c>
      <c r="I4951" t="s">
        <v>743</v>
      </c>
      <c r="J4951" t="s">
        <v>379</v>
      </c>
      <c r="K4951" t="s">
        <v>546</v>
      </c>
      <c r="L4951" s="784">
        <v>978460</v>
      </c>
      <c r="M4951" t="s">
        <v>745</v>
      </c>
      <c r="N4951" s="784" t="s">
        <v>575</v>
      </c>
      <c r="O4951" t="s">
        <v>737</v>
      </c>
      <c r="P4951" t="s">
        <v>750</v>
      </c>
      <c r="R4951" t="s">
        <v>150</v>
      </c>
      <c r="S4951" t="s">
        <v>145</v>
      </c>
      <c r="U4951">
        <v>2</v>
      </c>
      <c r="V4951" t="s">
        <v>544</v>
      </c>
      <c r="W4951" t="s">
        <v>583</v>
      </c>
      <c r="X4951" s="784">
        <v>91590910.247314155</v>
      </c>
    </row>
    <row r="4952" spans="1:24">
      <c r="A4952" t="s">
        <v>358</v>
      </c>
      <c r="B4952" t="s">
        <v>584</v>
      </c>
      <c r="C4952" t="s">
        <v>190</v>
      </c>
      <c r="D4952" t="s">
        <v>126</v>
      </c>
      <c r="E4952" t="s">
        <v>377</v>
      </c>
      <c r="F4952" t="s">
        <v>310</v>
      </c>
      <c r="G4952" t="s">
        <v>389</v>
      </c>
      <c r="H4952" t="s">
        <v>104</v>
      </c>
      <c r="I4952" t="s">
        <v>743</v>
      </c>
      <c r="J4952" t="s">
        <v>379</v>
      </c>
      <c r="K4952" t="s">
        <v>546</v>
      </c>
      <c r="L4952" s="784" t="s">
        <v>575</v>
      </c>
      <c r="M4952" t="s">
        <v>745</v>
      </c>
      <c r="N4952" s="784" t="s">
        <v>575</v>
      </c>
      <c r="O4952" t="s">
        <v>737</v>
      </c>
      <c r="P4952" t="s">
        <v>750</v>
      </c>
      <c r="R4952" t="s">
        <v>322</v>
      </c>
      <c r="S4952" t="s">
        <v>146</v>
      </c>
      <c r="U4952">
        <v>0</v>
      </c>
      <c r="V4952" t="s">
        <v>541</v>
      </c>
      <c r="W4952" t="s">
        <v>546</v>
      </c>
      <c r="X4952" s="784">
        <v>8560012.8840167802</v>
      </c>
    </row>
    <row r="4953" spans="1:24">
      <c r="A4953" t="s">
        <v>358</v>
      </c>
      <c r="B4953" t="s">
        <v>585</v>
      </c>
      <c r="C4953" t="s">
        <v>191</v>
      </c>
      <c r="D4953" t="s">
        <v>130</v>
      </c>
      <c r="E4953" t="s">
        <v>377</v>
      </c>
      <c r="F4953" t="s">
        <v>310</v>
      </c>
      <c r="G4953" t="s">
        <v>389</v>
      </c>
      <c r="H4953" t="s">
        <v>104</v>
      </c>
      <c r="I4953" t="s">
        <v>743</v>
      </c>
      <c r="J4953" t="s">
        <v>379</v>
      </c>
      <c r="K4953" t="s">
        <v>546</v>
      </c>
      <c r="L4953" s="784" t="s">
        <v>575</v>
      </c>
      <c r="M4953" t="s">
        <v>745</v>
      </c>
      <c r="N4953" s="784" t="s">
        <v>575</v>
      </c>
      <c r="O4953" t="s">
        <v>737</v>
      </c>
      <c r="P4953" t="s">
        <v>750</v>
      </c>
      <c r="R4953" t="s">
        <v>152</v>
      </c>
      <c r="S4953" t="s">
        <v>146</v>
      </c>
      <c r="U4953">
        <v>0</v>
      </c>
      <c r="V4953" t="s">
        <v>544</v>
      </c>
      <c r="W4953" t="s">
        <v>546</v>
      </c>
      <c r="X4953" s="784">
        <v>3292372960.3962669</v>
      </c>
    </row>
    <row r="4954" spans="1:24">
      <c r="A4954" t="s">
        <v>358</v>
      </c>
      <c r="B4954" t="s">
        <v>586</v>
      </c>
      <c r="C4954" t="s">
        <v>192</v>
      </c>
      <c r="D4954" t="s">
        <v>129</v>
      </c>
      <c r="E4954" t="s">
        <v>377</v>
      </c>
      <c r="F4954" t="s">
        <v>310</v>
      </c>
      <c r="G4954" t="s">
        <v>389</v>
      </c>
      <c r="H4954" t="s">
        <v>104</v>
      </c>
      <c r="I4954" t="s">
        <v>743</v>
      </c>
      <c r="J4954" t="s">
        <v>379</v>
      </c>
      <c r="K4954" t="s">
        <v>546</v>
      </c>
      <c r="L4954" s="784">
        <v>0</v>
      </c>
      <c r="M4954" t="s">
        <v>745</v>
      </c>
      <c r="N4954" s="784" t="s">
        <v>575</v>
      </c>
      <c r="O4954" t="s">
        <v>737</v>
      </c>
      <c r="P4954" t="s">
        <v>750</v>
      </c>
      <c r="R4954" t="s">
        <v>150</v>
      </c>
      <c r="S4954" t="s">
        <v>145</v>
      </c>
      <c r="U4954">
        <v>0</v>
      </c>
      <c r="V4954" t="s">
        <v>544</v>
      </c>
      <c r="W4954" t="s">
        <v>562</v>
      </c>
      <c r="X4954" s="784">
        <v>519209981.22981054</v>
      </c>
    </row>
    <row r="4955" spans="1:24">
      <c r="A4955" t="s">
        <v>358</v>
      </c>
      <c r="B4955" t="s">
        <v>587</v>
      </c>
      <c r="C4955" t="s">
        <v>193</v>
      </c>
      <c r="D4955" t="s">
        <v>127</v>
      </c>
      <c r="E4955" t="s">
        <v>377</v>
      </c>
      <c r="F4955" t="s">
        <v>310</v>
      </c>
      <c r="G4955" t="s">
        <v>389</v>
      </c>
      <c r="H4955" t="s">
        <v>104</v>
      </c>
      <c r="I4955" t="s">
        <v>743</v>
      </c>
      <c r="J4955" t="s">
        <v>379</v>
      </c>
      <c r="K4955" t="s">
        <v>546</v>
      </c>
      <c r="L4955" s="784" t="s">
        <v>575</v>
      </c>
      <c r="M4955" t="s">
        <v>745</v>
      </c>
      <c r="N4955" s="784" t="s">
        <v>575</v>
      </c>
      <c r="O4955" t="s">
        <v>737</v>
      </c>
      <c r="P4955" t="s">
        <v>750</v>
      </c>
      <c r="R4955" t="s">
        <v>550</v>
      </c>
      <c r="S4955" t="s">
        <v>146</v>
      </c>
      <c r="U4955">
        <v>0</v>
      </c>
      <c r="V4955" t="s">
        <v>544</v>
      </c>
      <c r="W4955" t="s">
        <v>575</v>
      </c>
      <c r="X4955" s="784">
        <v>3464739907.1604805</v>
      </c>
    </row>
    <row r="4956" spans="1:24">
      <c r="A4956" t="s">
        <v>358</v>
      </c>
      <c r="B4956" t="s">
        <v>588</v>
      </c>
      <c r="C4956" t="s">
        <v>147</v>
      </c>
      <c r="D4956" t="s">
        <v>130</v>
      </c>
      <c r="E4956" t="s">
        <v>377</v>
      </c>
      <c r="F4956" t="s">
        <v>310</v>
      </c>
      <c r="G4956" t="s">
        <v>389</v>
      </c>
      <c r="H4956" t="s">
        <v>104</v>
      </c>
      <c r="I4956" t="s">
        <v>743</v>
      </c>
      <c r="J4956" t="s">
        <v>379</v>
      </c>
      <c r="K4956" t="s">
        <v>546</v>
      </c>
      <c r="L4956" s="784" t="s">
        <v>575</v>
      </c>
      <c r="M4956" t="s">
        <v>745</v>
      </c>
      <c r="N4956" s="784" t="s">
        <v>575</v>
      </c>
      <c r="O4956" t="s">
        <v>737</v>
      </c>
      <c r="P4956" t="s">
        <v>750</v>
      </c>
      <c r="R4956" t="s">
        <v>152</v>
      </c>
      <c r="S4956" t="s">
        <v>146</v>
      </c>
      <c r="U4956">
        <v>0</v>
      </c>
      <c r="V4956" t="s">
        <v>541</v>
      </c>
      <c r="W4956" t="s">
        <v>575</v>
      </c>
      <c r="X4956" s="784">
        <v>9948521252.2569065</v>
      </c>
    </row>
    <row r="4957" spans="1:24">
      <c r="A4957" t="s">
        <v>358</v>
      </c>
      <c r="B4957" t="s">
        <v>589</v>
      </c>
      <c r="C4957" t="s">
        <v>194</v>
      </c>
      <c r="D4957" t="s">
        <v>131</v>
      </c>
      <c r="E4957" t="s">
        <v>377</v>
      </c>
      <c r="F4957" t="s">
        <v>310</v>
      </c>
      <c r="G4957" t="s">
        <v>389</v>
      </c>
      <c r="H4957" t="s">
        <v>104</v>
      </c>
      <c r="I4957" t="s">
        <v>743</v>
      </c>
      <c r="J4957" t="s">
        <v>379</v>
      </c>
      <c r="K4957" t="s">
        <v>546</v>
      </c>
      <c r="L4957" s="784">
        <v>292108</v>
      </c>
      <c r="M4957" t="s">
        <v>745</v>
      </c>
      <c r="N4957" s="784" t="s">
        <v>575</v>
      </c>
      <c r="O4957" t="s">
        <v>737</v>
      </c>
      <c r="P4957" t="s">
        <v>750</v>
      </c>
      <c r="R4957" t="s">
        <v>150</v>
      </c>
      <c r="S4957" t="s">
        <v>145</v>
      </c>
      <c r="U4957">
        <v>1</v>
      </c>
      <c r="V4957" t="s">
        <v>544</v>
      </c>
      <c r="W4957" t="s">
        <v>542</v>
      </c>
      <c r="X4957" s="784">
        <v>33679192.765657313</v>
      </c>
    </row>
    <row r="4958" spans="1:24">
      <c r="A4958" t="s">
        <v>358</v>
      </c>
      <c r="B4958" t="s">
        <v>590</v>
      </c>
      <c r="C4958" t="s">
        <v>195</v>
      </c>
      <c r="D4958" t="s">
        <v>130</v>
      </c>
      <c r="E4958" t="s">
        <v>377</v>
      </c>
      <c r="F4958" t="s">
        <v>310</v>
      </c>
      <c r="G4958" t="s">
        <v>389</v>
      </c>
      <c r="H4958" t="s">
        <v>104</v>
      </c>
      <c r="I4958" t="s">
        <v>743</v>
      </c>
      <c r="J4958" t="s">
        <v>379</v>
      </c>
      <c r="K4958" t="s">
        <v>546</v>
      </c>
      <c r="L4958" s="784">
        <v>0</v>
      </c>
      <c r="M4958" t="s">
        <v>745</v>
      </c>
      <c r="N4958" s="784" t="s">
        <v>575</v>
      </c>
      <c r="O4958" t="s">
        <v>737</v>
      </c>
      <c r="P4958" t="s">
        <v>750</v>
      </c>
      <c r="R4958" t="s">
        <v>152</v>
      </c>
      <c r="S4958" t="s">
        <v>145</v>
      </c>
      <c r="U4958">
        <v>0</v>
      </c>
      <c r="V4958" t="s">
        <v>541</v>
      </c>
      <c r="W4958" t="s">
        <v>548</v>
      </c>
      <c r="X4958" s="784">
        <v>22784494.365742501</v>
      </c>
    </row>
    <row r="4959" spans="1:24">
      <c r="A4959" t="s">
        <v>358</v>
      </c>
      <c r="B4959" t="s">
        <v>591</v>
      </c>
      <c r="C4959" t="s">
        <v>196</v>
      </c>
      <c r="D4959" t="s">
        <v>130</v>
      </c>
      <c r="E4959" t="s">
        <v>377</v>
      </c>
      <c r="F4959" t="s">
        <v>310</v>
      </c>
      <c r="G4959" t="s">
        <v>389</v>
      </c>
      <c r="H4959" t="s">
        <v>104</v>
      </c>
      <c r="I4959" t="s">
        <v>743</v>
      </c>
      <c r="J4959" t="s">
        <v>379</v>
      </c>
      <c r="K4959" t="s">
        <v>546</v>
      </c>
      <c r="L4959" s="784" t="s">
        <v>575</v>
      </c>
      <c r="M4959" t="s">
        <v>745</v>
      </c>
      <c r="N4959" s="784" t="s">
        <v>575</v>
      </c>
      <c r="O4959" t="s">
        <v>737</v>
      </c>
      <c r="P4959" t="s">
        <v>750</v>
      </c>
      <c r="R4959" t="s">
        <v>152</v>
      </c>
      <c r="S4959" t="s">
        <v>146</v>
      </c>
      <c r="U4959">
        <v>0</v>
      </c>
      <c r="V4959" t="s">
        <v>541</v>
      </c>
      <c r="W4959" t="s">
        <v>575</v>
      </c>
      <c r="X4959" s="784">
        <v>2173208011.4858823</v>
      </c>
    </row>
    <row r="4960" spans="1:24">
      <c r="A4960" t="s">
        <v>358</v>
      </c>
      <c r="B4960" t="s">
        <v>592</v>
      </c>
      <c r="C4960" t="s">
        <v>197</v>
      </c>
      <c r="D4960" t="s">
        <v>130</v>
      </c>
      <c r="E4960" t="s">
        <v>377</v>
      </c>
      <c r="F4960" t="s">
        <v>310</v>
      </c>
      <c r="G4960" t="s">
        <v>389</v>
      </c>
      <c r="H4960" t="s">
        <v>104</v>
      </c>
      <c r="I4960" t="s">
        <v>743</v>
      </c>
      <c r="J4960" t="s">
        <v>379</v>
      </c>
      <c r="K4960" t="s">
        <v>546</v>
      </c>
      <c r="L4960" s="784" t="s">
        <v>575</v>
      </c>
      <c r="M4960" t="s">
        <v>745</v>
      </c>
      <c r="N4960" s="784" t="s">
        <v>575</v>
      </c>
      <c r="O4960" t="s">
        <v>737</v>
      </c>
      <c r="P4960" t="s">
        <v>750</v>
      </c>
      <c r="R4960" t="s">
        <v>152</v>
      </c>
      <c r="S4960" t="s">
        <v>146</v>
      </c>
      <c r="U4960">
        <v>0</v>
      </c>
      <c r="V4960" t="s">
        <v>544</v>
      </c>
      <c r="W4960" t="s">
        <v>546</v>
      </c>
      <c r="X4960" s="784">
        <v>4585736158.8323269</v>
      </c>
    </row>
    <row r="4961" spans="1:24">
      <c r="A4961" t="s">
        <v>358</v>
      </c>
      <c r="B4961" t="s">
        <v>593</v>
      </c>
      <c r="C4961" t="s">
        <v>198</v>
      </c>
      <c r="D4961" t="s">
        <v>131</v>
      </c>
      <c r="E4961" t="s">
        <v>377</v>
      </c>
      <c r="F4961" t="s">
        <v>310</v>
      </c>
      <c r="G4961" t="s">
        <v>389</v>
      </c>
      <c r="H4961" t="s">
        <v>104</v>
      </c>
      <c r="I4961" t="s">
        <v>743</v>
      </c>
      <c r="J4961" t="s">
        <v>379</v>
      </c>
      <c r="K4961" t="s">
        <v>546</v>
      </c>
      <c r="L4961" s="784">
        <v>0</v>
      </c>
      <c r="M4961" t="s">
        <v>745</v>
      </c>
      <c r="N4961" s="784" t="s">
        <v>575</v>
      </c>
      <c r="O4961" t="s">
        <v>737</v>
      </c>
      <c r="P4961" t="s">
        <v>750</v>
      </c>
      <c r="R4961" t="s">
        <v>150</v>
      </c>
      <c r="S4961" t="s">
        <v>145</v>
      </c>
      <c r="U4961">
        <v>0</v>
      </c>
      <c r="V4961" t="s">
        <v>544</v>
      </c>
      <c r="W4961" t="s">
        <v>546</v>
      </c>
      <c r="X4961" s="784">
        <v>3550291584.8645592</v>
      </c>
    </row>
    <row r="4962" spans="1:24">
      <c r="A4962" t="s">
        <v>358</v>
      </c>
      <c r="B4962" t="s">
        <v>594</v>
      </c>
      <c r="C4962" t="s">
        <v>199</v>
      </c>
      <c r="D4962" t="s">
        <v>130</v>
      </c>
      <c r="E4962" t="s">
        <v>377</v>
      </c>
      <c r="F4962" t="s">
        <v>310</v>
      </c>
      <c r="G4962" t="s">
        <v>389</v>
      </c>
      <c r="H4962" t="s">
        <v>104</v>
      </c>
      <c r="I4962" t="s">
        <v>743</v>
      </c>
      <c r="J4962" t="s">
        <v>379</v>
      </c>
      <c r="K4962" t="s">
        <v>546</v>
      </c>
      <c r="L4962" s="784">
        <v>0</v>
      </c>
      <c r="M4962" t="s">
        <v>745</v>
      </c>
      <c r="N4962" s="784" t="s">
        <v>575</v>
      </c>
      <c r="O4962" t="s">
        <v>737</v>
      </c>
      <c r="P4962" t="s">
        <v>750</v>
      </c>
      <c r="R4962" t="s">
        <v>150</v>
      </c>
      <c r="S4962" t="s">
        <v>145</v>
      </c>
      <c r="U4962">
        <v>0</v>
      </c>
      <c r="V4962" t="s">
        <v>544</v>
      </c>
      <c r="W4962" t="s">
        <v>546</v>
      </c>
      <c r="X4962" s="784">
        <v>1182840319.0410969</v>
      </c>
    </row>
    <row r="4963" spans="1:24">
      <c r="A4963" t="s">
        <v>358</v>
      </c>
      <c r="B4963" t="s">
        <v>595</v>
      </c>
      <c r="C4963" t="s">
        <v>200</v>
      </c>
      <c r="D4963" t="s">
        <v>130</v>
      </c>
      <c r="E4963" t="s">
        <v>377</v>
      </c>
      <c r="F4963" t="s">
        <v>310</v>
      </c>
      <c r="G4963" t="s">
        <v>389</v>
      </c>
      <c r="H4963" t="s">
        <v>104</v>
      </c>
      <c r="I4963" t="s">
        <v>743</v>
      </c>
      <c r="J4963" t="s">
        <v>379</v>
      </c>
      <c r="K4963" t="s">
        <v>546</v>
      </c>
      <c r="L4963" s="784" t="s">
        <v>575</v>
      </c>
      <c r="M4963" t="s">
        <v>745</v>
      </c>
      <c r="N4963" s="784" t="s">
        <v>575</v>
      </c>
      <c r="O4963" t="s">
        <v>737</v>
      </c>
      <c r="P4963" t="s">
        <v>750</v>
      </c>
      <c r="R4963" t="s">
        <v>152</v>
      </c>
      <c r="S4963" t="s">
        <v>146</v>
      </c>
      <c r="U4963">
        <v>0</v>
      </c>
      <c r="V4963" t="s">
        <v>544</v>
      </c>
      <c r="W4963" t="s">
        <v>575</v>
      </c>
      <c r="X4963" s="784">
        <v>81728347.604567245</v>
      </c>
    </row>
    <row r="4964" spans="1:24">
      <c r="A4964" t="s">
        <v>358</v>
      </c>
      <c r="B4964" t="s">
        <v>596</v>
      </c>
      <c r="C4964" t="s">
        <v>201</v>
      </c>
      <c r="D4964" t="s">
        <v>128</v>
      </c>
      <c r="E4964" t="s">
        <v>377</v>
      </c>
      <c r="F4964" t="s">
        <v>310</v>
      </c>
      <c r="G4964" t="s">
        <v>389</v>
      </c>
      <c r="H4964" t="s">
        <v>104</v>
      </c>
      <c r="I4964" t="s">
        <v>743</v>
      </c>
      <c r="J4964" t="s">
        <v>379</v>
      </c>
      <c r="K4964" t="s">
        <v>546</v>
      </c>
      <c r="L4964" s="784" t="s">
        <v>575</v>
      </c>
      <c r="M4964" t="s">
        <v>745</v>
      </c>
      <c r="N4964" s="784" t="s">
        <v>575</v>
      </c>
      <c r="O4964" t="s">
        <v>737</v>
      </c>
      <c r="P4964" t="s">
        <v>750</v>
      </c>
      <c r="R4964" t="s">
        <v>148</v>
      </c>
      <c r="S4964" t="s">
        <v>145</v>
      </c>
      <c r="U4964">
        <v>2</v>
      </c>
      <c r="V4964" t="s">
        <v>544</v>
      </c>
      <c r="W4964" t="s">
        <v>546</v>
      </c>
      <c r="X4964" s="784">
        <v>12787914.977715338</v>
      </c>
    </row>
    <row r="4965" spans="1:24">
      <c r="A4965" t="s">
        <v>358</v>
      </c>
      <c r="B4965" t="s">
        <v>597</v>
      </c>
      <c r="C4965" t="s">
        <v>202</v>
      </c>
      <c r="D4965" t="s">
        <v>128</v>
      </c>
      <c r="E4965" t="s">
        <v>377</v>
      </c>
      <c r="F4965" t="s">
        <v>310</v>
      </c>
      <c r="G4965" t="s">
        <v>389</v>
      </c>
      <c r="H4965" t="s">
        <v>104</v>
      </c>
      <c r="I4965" t="s">
        <v>743</v>
      </c>
      <c r="J4965" t="s">
        <v>379</v>
      </c>
      <c r="K4965" t="s">
        <v>546</v>
      </c>
      <c r="L4965" s="784">
        <v>0</v>
      </c>
      <c r="M4965" t="s">
        <v>745</v>
      </c>
      <c r="N4965" s="784" t="s">
        <v>575</v>
      </c>
      <c r="O4965" t="s">
        <v>737</v>
      </c>
      <c r="P4965" t="s">
        <v>750</v>
      </c>
      <c r="R4965" t="s">
        <v>150</v>
      </c>
      <c r="S4965" t="s">
        <v>145</v>
      </c>
      <c r="U4965">
        <v>2</v>
      </c>
      <c r="V4965" t="s">
        <v>544</v>
      </c>
      <c r="W4965" t="s">
        <v>546</v>
      </c>
      <c r="X4965" s="784">
        <v>101271737.65410839</v>
      </c>
    </row>
    <row r="4966" spans="1:24">
      <c r="A4966" t="s">
        <v>358</v>
      </c>
      <c r="B4966" t="s">
        <v>598</v>
      </c>
      <c r="C4966" t="s">
        <v>203</v>
      </c>
      <c r="D4966" t="s">
        <v>128</v>
      </c>
      <c r="E4966" t="s">
        <v>377</v>
      </c>
      <c r="F4966" t="s">
        <v>310</v>
      </c>
      <c r="G4966" t="s">
        <v>389</v>
      </c>
      <c r="H4966" t="s">
        <v>104</v>
      </c>
      <c r="I4966" t="s">
        <v>743</v>
      </c>
      <c r="J4966" t="s">
        <v>379</v>
      </c>
      <c r="K4966" t="s">
        <v>546</v>
      </c>
      <c r="L4966" s="784">
        <v>0</v>
      </c>
      <c r="M4966" t="s">
        <v>745</v>
      </c>
      <c r="N4966" s="784" t="s">
        <v>575</v>
      </c>
      <c r="O4966" t="s">
        <v>737</v>
      </c>
      <c r="P4966" t="s">
        <v>750</v>
      </c>
      <c r="R4966" t="s">
        <v>148</v>
      </c>
      <c r="S4966" t="s">
        <v>145</v>
      </c>
      <c r="U4966">
        <v>3</v>
      </c>
      <c r="V4966" t="s">
        <v>544</v>
      </c>
      <c r="W4966" t="s">
        <v>542</v>
      </c>
      <c r="X4966" s="784">
        <v>618344226.71759331</v>
      </c>
    </row>
    <row r="4967" spans="1:24">
      <c r="A4967" t="s">
        <v>358</v>
      </c>
      <c r="B4967" t="s">
        <v>599</v>
      </c>
      <c r="C4967" t="s">
        <v>204</v>
      </c>
      <c r="D4967" t="s">
        <v>126</v>
      </c>
      <c r="E4967" t="s">
        <v>377</v>
      </c>
      <c r="F4967" t="s">
        <v>310</v>
      </c>
      <c r="G4967" t="s">
        <v>389</v>
      </c>
      <c r="H4967" t="s">
        <v>104</v>
      </c>
      <c r="I4967" t="s">
        <v>743</v>
      </c>
      <c r="J4967" t="s">
        <v>379</v>
      </c>
      <c r="K4967" t="s">
        <v>546</v>
      </c>
      <c r="L4967" s="784">
        <v>0</v>
      </c>
      <c r="M4967" t="s">
        <v>745</v>
      </c>
      <c r="N4967" s="784" t="s">
        <v>575</v>
      </c>
      <c r="O4967" t="s">
        <v>737</v>
      </c>
      <c r="P4967" t="s">
        <v>750</v>
      </c>
      <c r="R4967" t="s">
        <v>152</v>
      </c>
      <c r="S4967" t="s">
        <v>145</v>
      </c>
      <c r="U4967">
        <v>0</v>
      </c>
      <c r="V4967" t="s">
        <v>541</v>
      </c>
      <c r="W4967" t="s">
        <v>548</v>
      </c>
      <c r="X4967" s="784">
        <v>129483872.95906857</v>
      </c>
    </row>
    <row r="4968" spans="1:24">
      <c r="A4968" t="s">
        <v>358</v>
      </c>
      <c r="B4968" t="s">
        <v>600</v>
      </c>
      <c r="C4968" t="s">
        <v>205</v>
      </c>
      <c r="D4968" t="s">
        <v>129</v>
      </c>
      <c r="E4968" t="s">
        <v>377</v>
      </c>
      <c r="F4968" t="s">
        <v>310</v>
      </c>
      <c r="G4968" t="s">
        <v>389</v>
      </c>
      <c r="H4968" t="s">
        <v>104</v>
      </c>
      <c r="I4968" t="s">
        <v>743</v>
      </c>
      <c r="J4968" t="s">
        <v>379</v>
      </c>
      <c r="K4968" t="s">
        <v>546</v>
      </c>
      <c r="L4968" s="784" t="s">
        <v>575</v>
      </c>
      <c r="M4968" t="s">
        <v>745</v>
      </c>
      <c r="N4968" s="784" t="s">
        <v>575</v>
      </c>
      <c r="O4968" t="s">
        <v>737</v>
      </c>
      <c r="P4968" t="s">
        <v>750</v>
      </c>
      <c r="R4968" t="s">
        <v>152</v>
      </c>
      <c r="S4968" t="s">
        <v>146</v>
      </c>
      <c r="U4968">
        <v>0</v>
      </c>
      <c r="V4968" t="s">
        <v>544</v>
      </c>
      <c r="W4968" t="s">
        <v>546</v>
      </c>
      <c r="X4968" s="784">
        <v>271184658.35014349</v>
      </c>
    </row>
    <row r="4969" spans="1:24">
      <c r="A4969" t="s">
        <v>358</v>
      </c>
      <c r="B4969" t="s">
        <v>601</v>
      </c>
      <c r="C4969" t="s">
        <v>206</v>
      </c>
      <c r="D4969" t="s">
        <v>129</v>
      </c>
      <c r="E4969" t="s">
        <v>377</v>
      </c>
      <c r="F4969" t="s">
        <v>310</v>
      </c>
      <c r="G4969" t="s">
        <v>389</v>
      </c>
      <c r="H4969" t="s">
        <v>104</v>
      </c>
      <c r="I4969" t="s">
        <v>743</v>
      </c>
      <c r="J4969" t="s">
        <v>379</v>
      </c>
      <c r="K4969" t="s">
        <v>546</v>
      </c>
      <c r="L4969" s="784">
        <v>0</v>
      </c>
      <c r="M4969" t="s">
        <v>745</v>
      </c>
      <c r="N4969" s="784" t="s">
        <v>575</v>
      </c>
      <c r="O4969" t="s">
        <v>737</v>
      </c>
      <c r="P4969" t="s">
        <v>750</v>
      </c>
      <c r="R4969" t="s">
        <v>148</v>
      </c>
      <c r="S4969" t="s">
        <v>145</v>
      </c>
      <c r="U4969">
        <v>0</v>
      </c>
      <c r="V4969" t="s">
        <v>544</v>
      </c>
      <c r="W4969" t="s">
        <v>542</v>
      </c>
      <c r="X4969" s="784">
        <v>15455265.086884515</v>
      </c>
    </row>
    <row r="4970" spans="1:24">
      <c r="A4970" t="s">
        <v>358</v>
      </c>
      <c r="B4970" t="s">
        <v>602</v>
      </c>
      <c r="C4970" t="s">
        <v>207</v>
      </c>
      <c r="D4970" t="s">
        <v>127</v>
      </c>
      <c r="E4970" t="s">
        <v>377</v>
      </c>
      <c r="F4970" t="s">
        <v>310</v>
      </c>
      <c r="G4970" t="s">
        <v>389</v>
      </c>
      <c r="H4970" t="s">
        <v>104</v>
      </c>
      <c r="I4970" t="s">
        <v>743</v>
      </c>
      <c r="J4970" t="s">
        <v>379</v>
      </c>
      <c r="K4970" t="s">
        <v>546</v>
      </c>
      <c r="L4970" s="784" t="s">
        <v>575</v>
      </c>
      <c r="M4970" t="s">
        <v>745</v>
      </c>
      <c r="N4970" s="784" t="s">
        <v>575</v>
      </c>
      <c r="O4970" t="s">
        <v>737</v>
      </c>
      <c r="P4970" t="s">
        <v>750</v>
      </c>
      <c r="R4970" t="s">
        <v>152</v>
      </c>
      <c r="S4970" t="s">
        <v>146</v>
      </c>
      <c r="U4970">
        <v>0</v>
      </c>
      <c r="V4970" t="s">
        <v>544</v>
      </c>
      <c r="W4970" t="s">
        <v>546</v>
      </c>
      <c r="X4970" s="784">
        <v>494021502.525527</v>
      </c>
    </row>
    <row r="4971" spans="1:24">
      <c r="A4971" t="s">
        <v>358</v>
      </c>
      <c r="B4971" t="s">
        <v>603</v>
      </c>
      <c r="C4971" t="s">
        <v>208</v>
      </c>
      <c r="D4971" t="s">
        <v>129</v>
      </c>
      <c r="E4971" t="s">
        <v>377</v>
      </c>
      <c r="F4971" t="s">
        <v>310</v>
      </c>
      <c r="G4971" t="s">
        <v>389</v>
      </c>
      <c r="H4971" t="s">
        <v>104</v>
      </c>
      <c r="I4971" t="s">
        <v>743</v>
      </c>
      <c r="J4971" t="s">
        <v>379</v>
      </c>
      <c r="K4971" t="s">
        <v>546</v>
      </c>
      <c r="L4971" s="784">
        <v>80488</v>
      </c>
      <c r="M4971" t="s">
        <v>745</v>
      </c>
      <c r="N4971" s="784" t="s">
        <v>575</v>
      </c>
      <c r="O4971" t="s">
        <v>737</v>
      </c>
      <c r="P4971" t="s">
        <v>750</v>
      </c>
      <c r="R4971" t="s">
        <v>150</v>
      </c>
      <c r="S4971" t="s">
        <v>145</v>
      </c>
      <c r="U4971">
        <v>0</v>
      </c>
      <c r="V4971" t="s">
        <v>544</v>
      </c>
      <c r="W4971" t="s">
        <v>542</v>
      </c>
      <c r="X4971" s="784">
        <v>902005621.73836684</v>
      </c>
    </row>
    <row r="4972" spans="1:24">
      <c r="A4972" t="s">
        <v>358</v>
      </c>
      <c r="B4972" t="s">
        <v>604</v>
      </c>
      <c r="C4972" t="s">
        <v>209</v>
      </c>
      <c r="D4972" t="s">
        <v>130</v>
      </c>
      <c r="E4972" t="s">
        <v>377</v>
      </c>
      <c r="F4972" t="s">
        <v>310</v>
      </c>
      <c r="G4972" t="s">
        <v>389</v>
      </c>
      <c r="H4972" t="s">
        <v>104</v>
      </c>
      <c r="I4972" t="s">
        <v>743</v>
      </c>
      <c r="J4972" t="s">
        <v>379</v>
      </c>
      <c r="K4972" t="s">
        <v>546</v>
      </c>
      <c r="L4972" s="784">
        <v>0</v>
      </c>
      <c r="M4972" t="s">
        <v>745</v>
      </c>
      <c r="N4972" s="784" t="s">
        <v>575</v>
      </c>
      <c r="O4972" t="s">
        <v>737</v>
      </c>
      <c r="P4972" t="s">
        <v>750</v>
      </c>
      <c r="R4972" t="s">
        <v>152</v>
      </c>
      <c r="S4972" t="s">
        <v>145</v>
      </c>
      <c r="U4972">
        <v>0</v>
      </c>
      <c r="V4972" t="s">
        <v>541</v>
      </c>
      <c r="W4972" t="s">
        <v>583</v>
      </c>
      <c r="X4972" s="784">
        <v>20201670.142996579</v>
      </c>
    </row>
    <row r="4973" spans="1:24">
      <c r="A4973" t="s">
        <v>358</v>
      </c>
      <c r="B4973" t="s">
        <v>605</v>
      </c>
      <c r="C4973" t="s">
        <v>210</v>
      </c>
      <c r="D4973" t="s">
        <v>130</v>
      </c>
      <c r="E4973" t="s">
        <v>377</v>
      </c>
      <c r="F4973" t="s">
        <v>310</v>
      </c>
      <c r="G4973" t="s">
        <v>389</v>
      </c>
      <c r="H4973" t="s">
        <v>104</v>
      </c>
      <c r="I4973" t="s">
        <v>743</v>
      </c>
      <c r="J4973" t="s">
        <v>379</v>
      </c>
      <c r="K4973" t="s">
        <v>546</v>
      </c>
      <c r="L4973" s="784" t="s">
        <v>575</v>
      </c>
      <c r="M4973" t="s">
        <v>745</v>
      </c>
      <c r="N4973" s="784" t="s">
        <v>575</v>
      </c>
      <c r="O4973" t="s">
        <v>737</v>
      </c>
      <c r="P4973" t="s">
        <v>750</v>
      </c>
      <c r="R4973" t="s">
        <v>152</v>
      </c>
      <c r="S4973" t="s">
        <v>146</v>
      </c>
      <c r="U4973">
        <v>0</v>
      </c>
      <c r="V4973" t="s">
        <v>544</v>
      </c>
      <c r="W4973" t="s">
        <v>575</v>
      </c>
      <c r="X4973" s="784">
        <v>1612434649.6948864</v>
      </c>
    </row>
    <row r="4974" spans="1:24">
      <c r="A4974" t="s">
        <v>358</v>
      </c>
      <c r="B4974" t="s">
        <v>606</v>
      </c>
      <c r="C4974" t="s">
        <v>211</v>
      </c>
      <c r="D4974" t="s">
        <v>129</v>
      </c>
      <c r="E4974" t="s">
        <v>377</v>
      </c>
      <c r="F4974" t="s">
        <v>310</v>
      </c>
      <c r="G4974" t="s">
        <v>389</v>
      </c>
      <c r="H4974" t="s">
        <v>104</v>
      </c>
      <c r="I4974" t="s">
        <v>743</v>
      </c>
      <c r="J4974" t="s">
        <v>379</v>
      </c>
      <c r="K4974" t="s">
        <v>546</v>
      </c>
      <c r="L4974" s="784">
        <v>0</v>
      </c>
      <c r="M4974" t="s">
        <v>745</v>
      </c>
      <c r="N4974" s="784" t="s">
        <v>575</v>
      </c>
      <c r="O4974" t="s">
        <v>737</v>
      </c>
      <c r="P4974" t="s">
        <v>750</v>
      </c>
      <c r="R4974" t="s">
        <v>148</v>
      </c>
      <c r="S4974" t="s">
        <v>145</v>
      </c>
      <c r="U4974">
        <v>0</v>
      </c>
      <c r="V4974" t="s">
        <v>544</v>
      </c>
      <c r="W4974" t="s">
        <v>562</v>
      </c>
      <c r="X4974" s="784">
        <v>78203134.118229344</v>
      </c>
    </row>
    <row r="4975" spans="1:24">
      <c r="A4975" t="s">
        <v>358</v>
      </c>
      <c r="B4975" t="s">
        <v>607</v>
      </c>
      <c r="C4975" t="s">
        <v>212</v>
      </c>
      <c r="D4975" t="s">
        <v>129</v>
      </c>
      <c r="E4975" t="s">
        <v>377</v>
      </c>
      <c r="F4975" t="s">
        <v>310</v>
      </c>
      <c r="G4975" t="s">
        <v>389</v>
      </c>
      <c r="H4975" t="s">
        <v>104</v>
      </c>
      <c r="I4975" t="s">
        <v>743</v>
      </c>
      <c r="J4975" t="s">
        <v>379</v>
      </c>
      <c r="K4975" t="s">
        <v>546</v>
      </c>
      <c r="L4975" s="784">
        <v>978460</v>
      </c>
      <c r="M4975" t="s">
        <v>745</v>
      </c>
      <c r="N4975" s="784" t="s">
        <v>575</v>
      </c>
      <c r="O4975" t="s">
        <v>737</v>
      </c>
      <c r="P4975" t="s">
        <v>750</v>
      </c>
      <c r="R4975" t="s">
        <v>148</v>
      </c>
      <c r="S4975" t="s">
        <v>145</v>
      </c>
      <c r="U4975">
        <v>2</v>
      </c>
      <c r="V4975" t="s">
        <v>541</v>
      </c>
      <c r="W4975" t="s">
        <v>542</v>
      </c>
      <c r="X4975" s="784">
        <v>9151637.7411015611</v>
      </c>
    </row>
    <row r="4976" spans="1:24">
      <c r="A4976" t="s">
        <v>358</v>
      </c>
      <c r="B4976" t="s">
        <v>608</v>
      </c>
      <c r="C4976" t="s">
        <v>213</v>
      </c>
      <c r="D4976" t="s">
        <v>130</v>
      </c>
      <c r="E4976" t="s">
        <v>377</v>
      </c>
      <c r="F4976" t="s">
        <v>310</v>
      </c>
      <c r="G4976" t="s">
        <v>389</v>
      </c>
      <c r="H4976" t="s">
        <v>104</v>
      </c>
      <c r="I4976" t="s">
        <v>743</v>
      </c>
      <c r="J4976" t="s">
        <v>379</v>
      </c>
      <c r="K4976" t="s">
        <v>546</v>
      </c>
      <c r="L4976" s="784">
        <v>0</v>
      </c>
      <c r="M4976" t="s">
        <v>745</v>
      </c>
      <c r="N4976" s="784" t="s">
        <v>575</v>
      </c>
      <c r="O4976" t="s">
        <v>737</v>
      </c>
      <c r="P4976" t="s">
        <v>750</v>
      </c>
      <c r="R4976" t="s">
        <v>152</v>
      </c>
      <c r="S4976" t="s">
        <v>145</v>
      </c>
      <c r="U4976">
        <v>0</v>
      </c>
      <c r="V4976" t="s">
        <v>541</v>
      </c>
      <c r="W4976" t="s">
        <v>562</v>
      </c>
      <c r="X4976" s="784">
        <v>142455920.02856269</v>
      </c>
    </row>
    <row r="4977" spans="1:24">
      <c r="A4977" t="s">
        <v>358</v>
      </c>
      <c r="B4977" t="s">
        <v>609</v>
      </c>
      <c r="C4977" t="s">
        <v>214</v>
      </c>
      <c r="D4977" t="s">
        <v>130</v>
      </c>
      <c r="E4977" t="s">
        <v>377</v>
      </c>
      <c r="F4977" t="s">
        <v>310</v>
      </c>
      <c r="G4977" t="s">
        <v>389</v>
      </c>
      <c r="H4977" t="s">
        <v>104</v>
      </c>
      <c r="I4977" t="s">
        <v>743</v>
      </c>
      <c r="J4977" t="s">
        <v>379</v>
      </c>
      <c r="K4977" t="s">
        <v>546</v>
      </c>
      <c r="L4977" s="784">
        <v>1686667</v>
      </c>
      <c r="M4977" t="s">
        <v>745</v>
      </c>
      <c r="N4977" s="784" t="s">
        <v>575</v>
      </c>
      <c r="O4977" t="s">
        <v>737</v>
      </c>
      <c r="P4977" t="s">
        <v>750</v>
      </c>
      <c r="R4977" t="s">
        <v>150</v>
      </c>
      <c r="S4977" t="s">
        <v>145</v>
      </c>
      <c r="U4977">
        <v>1</v>
      </c>
      <c r="V4977" t="s">
        <v>541</v>
      </c>
      <c r="W4977" t="s">
        <v>542</v>
      </c>
      <c r="X4977" s="784">
        <v>85611818.171245083</v>
      </c>
    </row>
    <row r="4978" spans="1:24">
      <c r="A4978" t="s">
        <v>358</v>
      </c>
      <c r="B4978" t="s">
        <v>610</v>
      </c>
      <c r="C4978" t="s">
        <v>215</v>
      </c>
      <c r="D4978" t="s">
        <v>130</v>
      </c>
      <c r="E4978" t="s">
        <v>377</v>
      </c>
      <c r="F4978" t="s">
        <v>310</v>
      </c>
      <c r="G4978" t="s">
        <v>389</v>
      </c>
      <c r="H4978" t="s">
        <v>104</v>
      </c>
      <c r="I4978" t="s">
        <v>743</v>
      </c>
      <c r="J4978" t="s">
        <v>379</v>
      </c>
      <c r="K4978" t="s">
        <v>546</v>
      </c>
      <c r="L4978" s="784">
        <v>0</v>
      </c>
      <c r="M4978" t="s">
        <v>745</v>
      </c>
      <c r="N4978" s="784" t="s">
        <v>575</v>
      </c>
      <c r="O4978" t="s">
        <v>737</v>
      </c>
      <c r="P4978" t="s">
        <v>750</v>
      </c>
      <c r="R4978" t="s">
        <v>150</v>
      </c>
      <c r="S4978" t="s">
        <v>145</v>
      </c>
      <c r="U4978">
        <v>0</v>
      </c>
      <c r="V4978" t="s">
        <v>544</v>
      </c>
      <c r="W4978" t="s">
        <v>558</v>
      </c>
      <c r="X4978" s="784">
        <v>680289736.30082119</v>
      </c>
    </row>
    <row r="4979" spans="1:24">
      <c r="A4979" t="s">
        <v>358</v>
      </c>
      <c r="B4979" t="s">
        <v>611</v>
      </c>
      <c r="C4979" t="s">
        <v>216</v>
      </c>
      <c r="D4979" t="s">
        <v>132</v>
      </c>
      <c r="E4979" t="s">
        <v>377</v>
      </c>
      <c r="F4979" t="s">
        <v>310</v>
      </c>
      <c r="G4979" t="s">
        <v>389</v>
      </c>
      <c r="H4979" t="s">
        <v>104</v>
      </c>
      <c r="I4979" t="s">
        <v>743</v>
      </c>
      <c r="J4979" t="s">
        <v>379</v>
      </c>
      <c r="K4979" t="s">
        <v>546</v>
      </c>
      <c r="L4979" s="784">
        <v>3100000</v>
      </c>
      <c r="M4979" t="s">
        <v>745</v>
      </c>
      <c r="N4979" s="784" t="s">
        <v>575</v>
      </c>
      <c r="O4979" t="s">
        <v>737</v>
      </c>
      <c r="P4979" t="s">
        <v>750</v>
      </c>
      <c r="R4979" t="s">
        <v>150</v>
      </c>
      <c r="S4979" t="s">
        <v>145</v>
      </c>
      <c r="U4979">
        <v>0</v>
      </c>
      <c r="V4979" t="s">
        <v>544</v>
      </c>
      <c r="W4979" t="s">
        <v>546</v>
      </c>
      <c r="X4979" s="784">
        <v>26554332750.47023</v>
      </c>
    </row>
    <row r="4980" spans="1:24">
      <c r="A4980" t="s">
        <v>358</v>
      </c>
      <c r="B4980" t="s">
        <v>612</v>
      </c>
      <c r="C4980" t="s">
        <v>217</v>
      </c>
      <c r="D4980" t="s">
        <v>126</v>
      </c>
      <c r="E4980" t="s">
        <v>377</v>
      </c>
      <c r="F4980" t="s">
        <v>310</v>
      </c>
      <c r="G4980" t="s">
        <v>389</v>
      </c>
      <c r="H4980" t="s">
        <v>104</v>
      </c>
      <c r="I4980" t="s">
        <v>743</v>
      </c>
      <c r="J4980" t="s">
        <v>379</v>
      </c>
      <c r="K4980" t="s">
        <v>546</v>
      </c>
      <c r="L4980" s="784">
        <v>0</v>
      </c>
      <c r="M4980" t="s">
        <v>745</v>
      </c>
      <c r="N4980" s="784" t="s">
        <v>575</v>
      </c>
      <c r="O4980" t="s">
        <v>737</v>
      </c>
      <c r="P4980" t="s">
        <v>750</v>
      </c>
      <c r="R4980" t="s">
        <v>150</v>
      </c>
      <c r="S4980" t="s">
        <v>145</v>
      </c>
      <c r="U4980">
        <v>0</v>
      </c>
      <c r="V4980" t="s">
        <v>544</v>
      </c>
      <c r="W4980" t="s">
        <v>546</v>
      </c>
      <c r="X4980" s="784">
        <v>14745961064.890842</v>
      </c>
    </row>
    <row r="4981" spans="1:24">
      <c r="A4981" t="s">
        <v>358</v>
      </c>
      <c r="B4981" t="s">
        <v>613</v>
      </c>
      <c r="C4981" t="s">
        <v>149</v>
      </c>
      <c r="D4981" t="s">
        <v>131</v>
      </c>
      <c r="E4981" t="s">
        <v>377</v>
      </c>
      <c r="F4981" t="s">
        <v>310</v>
      </c>
      <c r="G4981" t="s">
        <v>389</v>
      </c>
      <c r="H4981" t="s">
        <v>104</v>
      </c>
      <c r="I4981" t="s">
        <v>743</v>
      </c>
      <c r="J4981" t="s">
        <v>379</v>
      </c>
      <c r="K4981" t="s">
        <v>546</v>
      </c>
      <c r="L4981" s="784" t="s">
        <v>575</v>
      </c>
      <c r="M4981" t="s">
        <v>745</v>
      </c>
      <c r="N4981" s="784" t="s">
        <v>575</v>
      </c>
      <c r="O4981" t="s">
        <v>737</v>
      </c>
      <c r="P4981" t="s">
        <v>750</v>
      </c>
      <c r="R4981" t="s">
        <v>150</v>
      </c>
      <c r="S4981" t="s">
        <v>146</v>
      </c>
      <c r="U4981">
        <v>0</v>
      </c>
      <c r="V4981" t="s">
        <v>544</v>
      </c>
      <c r="W4981" t="s">
        <v>546</v>
      </c>
      <c r="X4981" s="784">
        <v>18194076299.786381</v>
      </c>
    </row>
    <row r="4982" spans="1:24">
      <c r="A4982" t="s">
        <v>358</v>
      </c>
      <c r="B4982" t="s">
        <v>614</v>
      </c>
      <c r="C4982" t="s">
        <v>218</v>
      </c>
      <c r="D4982" t="s">
        <v>131</v>
      </c>
      <c r="E4982" t="s">
        <v>377</v>
      </c>
      <c r="F4982" t="s">
        <v>310</v>
      </c>
      <c r="G4982" t="s">
        <v>389</v>
      </c>
      <c r="H4982" t="s">
        <v>104</v>
      </c>
      <c r="I4982" t="s">
        <v>743</v>
      </c>
      <c r="J4982" t="s">
        <v>379</v>
      </c>
      <c r="K4982" t="s">
        <v>546</v>
      </c>
      <c r="L4982" s="784" t="s">
        <v>575</v>
      </c>
      <c r="M4982" t="s">
        <v>745</v>
      </c>
      <c r="N4982" s="784" t="s">
        <v>575</v>
      </c>
      <c r="O4982" t="s">
        <v>737</v>
      </c>
      <c r="P4982" t="s">
        <v>750</v>
      </c>
      <c r="R4982" t="s">
        <v>152</v>
      </c>
      <c r="S4982" t="s">
        <v>146</v>
      </c>
      <c r="U4982">
        <v>0</v>
      </c>
      <c r="V4982" t="s">
        <v>544</v>
      </c>
      <c r="W4982" t="s">
        <v>546</v>
      </c>
      <c r="X4982" s="784">
        <v>4428819387.769825</v>
      </c>
    </row>
    <row r="4983" spans="1:24">
      <c r="A4983" t="s">
        <v>358</v>
      </c>
      <c r="B4983" t="s">
        <v>615</v>
      </c>
      <c r="C4983" t="s">
        <v>219</v>
      </c>
      <c r="D4983" t="s">
        <v>130</v>
      </c>
      <c r="E4983" t="s">
        <v>377</v>
      </c>
      <c r="F4983" t="s">
        <v>310</v>
      </c>
      <c r="G4983" t="s">
        <v>389</v>
      </c>
      <c r="H4983" t="s">
        <v>104</v>
      </c>
      <c r="I4983" t="s">
        <v>743</v>
      </c>
      <c r="J4983" t="s">
        <v>379</v>
      </c>
      <c r="K4983" t="s">
        <v>546</v>
      </c>
      <c r="L4983" s="784" t="s">
        <v>575</v>
      </c>
      <c r="M4983" t="s">
        <v>745</v>
      </c>
      <c r="N4983" s="784" t="s">
        <v>575</v>
      </c>
      <c r="O4983" t="s">
        <v>737</v>
      </c>
      <c r="P4983" t="s">
        <v>750</v>
      </c>
      <c r="R4983" t="s">
        <v>152</v>
      </c>
      <c r="S4983" t="s">
        <v>146</v>
      </c>
      <c r="U4983">
        <v>0</v>
      </c>
      <c r="V4983" t="s">
        <v>541</v>
      </c>
      <c r="W4983" t="s">
        <v>575</v>
      </c>
      <c r="X4983" s="784">
        <v>611739560.62679195</v>
      </c>
    </row>
    <row r="4984" spans="1:24">
      <c r="A4984" t="s">
        <v>358</v>
      </c>
      <c r="B4984" t="s">
        <v>616</v>
      </c>
      <c r="C4984" t="s">
        <v>220</v>
      </c>
      <c r="D4984" t="s">
        <v>131</v>
      </c>
      <c r="E4984" t="s">
        <v>377</v>
      </c>
      <c r="F4984" t="s">
        <v>310</v>
      </c>
      <c r="G4984" t="s">
        <v>389</v>
      </c>
      <c r="H4984" t="s">
        <v>104</v>
      </c>
      <c r="I4984" t="s">
        <v>743</v>
      </c>
      <c r="J4984" t="s">
        <v>379</v>
      </c>
      <c r="K4984" t="s">
        <v>546</v>
      </c>
      <c r="L4984" s="784" t="s">
        <v>575</v>
      </c>
      <c r="M4984" t="s">
        <v>745</v>
      </c>
      <c r="N4984" s="784" t="s">
        <v>575</v>
      </c>
      <c r="O4984" t="s">
        <v>737</v>
      </c>
      <c r="P4984" t="s">
        <v>750</v>
      </c>
      <c r="R4984" t="s">
        <v>152</v>
      </c>
      <c r="S4984" t="s">
        <v>146</v>
      </c>
      <c r="U4984">
        <v>0</v>
      </c>
      <c r="V4984" t="s">
        <v>544</v>
      </c>
      <c r="W4984" t="s">
        <v>546</v>
      </c>
      <c r="X4984" s="784">
        <v>1617913383.0481031</v>
      </c>
    </row>
    <row r="4985" spans="1:24">
      <c r="A4985" t="s">
        <v>358</v>
      </c>
      <c r="B4985" t="s">
        <v>617</v>
      </c>
      <c r="C4985" t="s">
        <v>221</v>
      </c>
      <c r="D4985" t="s">
        <v>127</v>
      </c>
      <c r="E4985" t="s">
        <v>377</v>
      </c>
      <c r="F4985" t="s">
        <v>310</v>
      </c>
      <c r="G4985" t="s">
        <v>389</v>
      </c>
      <c r="H4985" t="s">
        <v>104</v>
      </c>
      <c r="I4985" t="s">
        <v>743</v>
      </c>
      <c r="J4985" t="s">
        <v>379</v>
      </c>
      <c r="K4985" t="s">
        <v>546</v>
      </c>
      <c r="L4985" s="784" t="s">
        <v>575</v>
      </c>
      <c r="M4985" t="s">
        <v>745</v>
      </c>
      <c r="N4985" s="784" t="s">
        <v>575</v>
      </c>
      <c r="O4985" t="s">
        <v>737</v>
      </c>
      <c r="P4985" t="s">
        <v>750</v>
      </c>
      <c r="R4985" t="s">
        <v>152</v>
      </c>
      <c r="S4985" t="s">
        <v>146</v>
      </c>
      <c r="U4985">
        <v>0</v>
      </c>
      <c r="V4985" t="s">
        <v>544</v>
      </c>
      <c r="W4985" t="s">
        <v>575</v>
      </c>
      <c r="X4985" s="784">
        <v>3074419112.4562683</v>
      </c>
    </row>
    <row r="4986" spans="1:24">
      <c r="A4986" t="s">
        <v>358</v>
      </c>
      <c r="B4986" t="s">
        <v>618</v>
      </c>
      <c r="C4986" t="s">
        <v>222</v>
      </c>
      <c r="D4986" t="s">
        <v>128</v>
      </c>
      <c r="E4986" t="s">
        <v>377</v>
      </c>
      <c r="F4986" t="s">
        <v>310</v>
      </c>
      <c r="G4986" t="s">
        <v>389</v>
      </c>
      <c r="H4986" t="s">
        <v>104</v>
      </c>
      <c r="I4986" t="s">
        <v>743</v>
      </c>
      <c r="J4986" t="s">
        <v>379</v>
      </c>
      <c r="K4986" t="s">
        <v>546</v>
      </c>
      <c r="L4986" s="784">
        <v>2306517</v>
      </c>
      <c r="M4986" t="s">
        <v>745</v>
      </c>
      <c r="N4986" s="784" t="s">
        <v>575</v>
      </c>
      <c r="O4986" t="s">
        <v>737</v>
      </c>
      <c r="P4986" t="s">
        <v>750</v>
      </c>
      <c r="R4986" t="s">
        <v>150</v>
      </c>
      <c r="S4986" t="s">
        <v>145</v>
      </c>
      <c r="U4986">
        <v>0</v>
      </c>
      <c r="V4986" t="s">
        <v>544</v>
      </c>
      <c r="W4986" t="s">
        <v>542</v>
      </c>
      <c r="X4986" s="784">
        <v>1914014279.8929913</v>
      </c>
    </row>
    <row r="4987" spans="1:24">
      <c r="A4987" t="s">
        <v>358</v>
      </c>
      <c r="B4987" t="s">
        <v>619</v>
      </c>
      <c r="C4987" t="s">
        <v>223</v>
      </c>
      <c r="D4987" t="s">
        <v>126</v>
      </c>
      <c r="E4987" t="s">
        <v>377</v>
      </c>
      <c r="F4987" t="s">
        <v>310</v>
      </c>
      <c r="G4987" t="s">
        <v>389</v>
      </c>
      <c r="H4987" t="s">
        <v>104</v>
      </c>
      <c r="I4987" t="s">
        <v>743</v>
      </c>
      <c r="J4987" t="s">
        <v>379</v>
      </c>
      <c r="K4987" t="s">
        <v>546</v>
      </c>
      <c r="L4987" s="784" t="s">
        <v>575</v>
      </c>
      <c r="M4987" t="s">
        <v>745</v>
      </c>
      <c r="N4987" s="784" t="s">
        <v>575</v>
      </c>
      <c r="O4987" t="s">
        <v>737</v>
      </c>
      <c r="P4987" t="s">
        <v>750</v>
      </c>
      <c r="R4987" t="s">
        <v>150</v>
      </c>
      <c r="S4987" t="s">
        <v>145</v>
      </c>
      <c r="U4987">
        <v>0</v>
      </c>
      <c r="V4987" t="s">
        <v>541</v>
      </c>
      <c r="W4987" t="s">
        <v>542</v>
      </c>
      <c r="X4987" s="784">
        <v>17422005.762907442</v>
      </c>
    </row>
    <row r="4988" spans="1:24">
      <c r="A4988" t="s">
        <v>358</v>
      </c>
      <c r="B4988" t="s">
        <v>620</v>
      </c>
      <c r="C4988" t="s">
        <v>224</v>
      </c>
      <c r="D4988" t="s">
        <v>126</v>
      </c>
      <c r="E4988" t="s">
        <v>377</v>
      </c>
      <c r="F4988" t="s">
        <v>310</v>
      </c>
      <c r="G4988" t="s">
        <v>389</v>
      </c>
      <c r="H4988" t="s">
        <v>104</v>
      </c>
      <c r="I4988" t="s">
        <v>743</v>
      </c>
      <c r="J4988" t="s">
        <v>379</v>
      </c>
      <c r="K4988" t="s">
        <v>546</v>
      </c>
      <c r="L4988" s="784" t="s">
        <v>575</v>
      </c>
      <c r="M4988" t="s">
        <v>745</v>
      </c>
      <c r="N4988" s="784" t="s">
        <v>575</v>
      </c>
      <c r="O4988" t="s">
        <v>737</v>
      </c>
      <c r="P4988" t="s">
        <v>750</v>
      </c>
      <c r="R4988" t="s">
        <v>148</v>
      </c>
      <c r="S4988" t="s">
        <v>145</v>
      </c>
      <c r="U4988">
        <v>0</v>
      </c>
      <c r="V4988" t="s">
        <v>544</v>
      </c>
      <c r="W4988" t="s">
        <v>546</v>
      </c>
      <c r="X4988" s="784" t="s">
        <v>575</v>
      </c>
    </row>
    <row r="4989" spans="1:24">
      <c r="A4989" t="s">
        <v>358</v>
      </c>
      <c r="B4989" t="s">
        <v>621</v>
      </c>
      <c r="C4989" t="s">
        <v>225</v>
      </c>
      <c r="D4989" t="s">
        <v>127</v>
      </c>
      <c r="E4989" t="s">
        <v>377</v>
      </c>
      <c r="F4989" t="s">
        <v>310</v>
      </c>
      <c r="G4989" t="s">
        <v>389</v>
      </c>
      <c r="H4989" t="s">
        <v>104</v>
      </c>
      <c r="I4989" t="s">
        <v>743</v>
      </c>
      <c r="J4989" t="s">
        <v>379</v>
      </c>
      <c r="K4989" t="s">
        <v>546</v>
      </c>
      <c r="L4989" s="784">
        <v>0</v>
      </c>
      <c r="M4989" t="s">
        <v>745</v>
      </c>
      <c r="N4989" s="784" t="s">
        <v>575</v>
      </c>
      <c r="O4989" t="s">
        <v>737</v>
      </c>
      <c r="P4989" t="s">
        <v>750</v>
      </c>
      <c r="R4989" t="s">
        <v>152</v>
      </c>
      <c r="S4989" t="s">
        <v>145</v>
      </c>
      <c r="U4989">
        <v>0</v>
      </c>
      <c r="V4989" t="s">
        <v>544</v>
      </c>
      <c r="W4989" t="s">
        <v>548</v>
      </c>
      <c r="X4989" s="784" t="s">
        <v>575</v>
      </c>
    </row>
    <row r="4990" spans="1:24">
      <c r="A4990" t="s">
        <v>358</v>
      </c>
      <c r="B4990" t="s">
        <v>622</v>
      </c>
      <c r="C4990" t="s">
        <v>226</v>
      </c>
      <c r="D4990" t="s">
        <v>127</v>
      </c>
      <c r="E4990" t="s">
        <v>377</v>
      </c>
      <c r="F4990" t="s">
        <v>310</v>
      </c>
      <c r="G4990" t="s">
        <v>389</v>
      </c>
      <c r="H4990" t="s">
        <v>104</v>
      </c>
      <c r="I4990" t="s">
        <v>743</v>
      </c>
      <c r="J4990" t="s">
        <v>379</v>
      </c>
      <c r="K4990" t="s">
        <v>546</v>
      </c>
      <c r="L4990" s="784">
        <v>438418</v>
      </c>
      <c r="M4990" t="s">
        <v>745</v>
      </c>
      <c r="N4990" s="784" t="s">
        <v>575</v>
      </c>
      <c r="O4990" t="s">
        <v>737</v>
      </c>
      <c r="P4990" t="s">
        <v>750</v>
      </c>
      <c r="R4990" t="s">
        <v>150</v>
      </c>
      <c r="S4990" t="s">
        <v>145</v>
      </c>
      <c r="U4990">
        <v>2</v>
      </c>
      <c r="V4990" t="s">
        <v>544</v>
      </c>
      <c r="W4990" t="s">
        <v>562</v>
      </c>
      <c r="X4990" s="784">
        <v>231506834.84347546</v>
      </c>
    </row>
    <row r="4991" spans="1:24">
      <c r="A4991" t="s">
        <v>358</v>
      </c>
      <c r="B4991" t="s">
        <v>623</v>
      </c>
      <c r="C4991" t="s">
        <v>227</v>
      </c>
      <c r="D4991" t="s">
        <v>126</v>
      </c>
      <c r="E4991" t="s">
        <v>377</v>
      </c>
      <c r="F4991" t="s">
        <v>310</v>
      </c>
      <c r="G4991" t="s">
        <v>389</v>
      </c>
      <c r="H4991" t="s">
        <v>104</v>
      </c>
      <c r="I4991" t="s">
        <v>743</v>
      </c>
      <c r="J4991" t="s">
        <v>379</v>
      </c>
      <c r="K4991" t="s">
        <v>546</v>
      </c>
      <c r="L4991" s="784">
        <v>48600</v>
      </c>
      <c r="M4991" t="s">
        <v>745</v>
      </c>
      <c r="N4991" s="784" t="s">
        <v>575</v>
      </c>
      <c r="O4991" t="s">
        <v>737</v>
      </c>
      <c r="P4991" t="s">
        <v>750</v>
      </c>
      <c r="R4991" t="s">
        <v>150</v>
      </c>
      <c r="S4991" t="s">
        <v>145</v>
      </c>
      <c r="U4991">
        <v>0</v>
      </c>
      <c r="V4991" t="s">
        <v>544</v>
      </c>
      <c r="W4991" t="s">
        <v>542</v>
      </c>
      <c r="X4991" s="784">
        <v>156059428.62944782</v>
      </c>
    </row>
    <row r="4992" spans="1:24">
      <c r="A4992" t="s">
        <v>358</v>
      </c>
      <c r="B4992" t="s">
        <v>624</v>
      </c>
      <c r="C4992" t="s">
        <v>228</v>
      </c>
      <c r="D4992" t="s">
        <v>131</v>
      </c>
      <c r="E4992" t="s">
        <v>377</v>
      </c>
      <c r="F4992" t="s">
        <v>310</v>
      </c>
      <c r="G4992" t="s">
        <v>389</v>
      </c>
      <c r="H4992" t="s">
        <v>104</v>
      </c>
      <c r="I4992" t="s">
        <v>743</v>
      </c>
      <c r="J4992" t="s">
        <v>379</v>
      </c>
      <c r="K4992" t="s">
        <v>546</v>
      </c>
      <c r="L4992" s="784" t="s">
        <v>575</v>
      </c>
      <c r="M4992" t="s">
        <v>745</v>
      </c>
      <c r="N4992" s="784" t="s">
        <v>575</v>
      </c>
      <c r="O4992" t="s">
        <v>737</v>
      </c>
      <c r="P4992" t="s">
        <v>750</v>
      </c>
      <c r="R4992" t="s">
        <v>152</v>
      </c>
      <c r="S4992" t="s">
        <v>146</v>
      </c>
      <c r="U4992">
        <v>0</v>
      </c>
      <c r="V4992" t="s">
        <v>544</v>
      </c>
      <c r="W4992" t="s">
        <v>546</v>
      </c>
      <c r="X4992" s="784">
        <v>2355391507.1635861</v>
      </c>
    </row>
    <row r="4993" spans="1:24">
      <c r="A4993" t="s">
        <v>358</v>
      </c>
      <c r="B4993" t="s">
        <v>625</v>
      </c>
      <c r="C4993" t="s">
        <v>229</v>
      </c>
      <c r="D4993" t="s">
        <v>128</v>
      </c>
      <c r="E4993" t="s">
        <v>377</v>
      </c>
      <c r="F4993" t="s">
        <v>310</v>
      </c>
      <c r="G4993" t="s">
        <v>389</v>
      </c>
      <c r="H4993" t="s">
        <v>104</v>
      </c>
      <c r="I4993" t="s">
        <v>743</v>
      </c>
      <c r="J4993" t="s">
        <v>379</v>
      </c>
      <c r="K4993" t="s">
        <v>546</v>
      </c>
      <c r="L4993" s="784">
        <v>390226</v>
      </c>
      <c r="M4993" t="s">
        <v>745</v>
      </c>
      <c r="N4993" s="784" t="s">
        <v>575</v>
      </c>
      <c r="O4993" t="s">
        <v>737</v>
      </c>
      <c r="P4993" t="s">
        <v>750</v>
      </c>
      <c r="R4993" t="s">
        <v>150</v>
      </c>
      <c r="S4993" t="s">
        <v>145</v>
      </c>
      <c r="U4993">
        <v>0</v>
      </c>
      <c r="V4993" t="s">
        <v>544</v>
      </c>
      <c r="W4993" t="s">
        <v>562</v>
      </c>
      <c r="X4993" s="784">
        <v>152760919.7684873</v>
      </c>
    </row>
    <row r="4994" spans="1:24">
      <c r="A4994" t="s">
        <v>358</v>
      </c>
      <c r="B4994" t="s">
        <v>626</v>
      </c>
      <c r="C4994" t="s">
        <v>230</v>
      </c>
      <c r="D4994" t="s">
        <v>129</v>
      </c>
      <c r="E4994" t="s">
        <v>377</v>
      </c>
      <c r="F4994" t="s">
        <v>310</v>
      </c>
      <c r="G4994" t="s">
        <v>389</v>
      </c>
      <c r="H4994" t="s">
        <v>104</v>
      </c>
      <c r="I4994" t="s">
        <v>743</v>
      </c>
      <c r="J4994" t="s">
        <v>379</v>
      </c>
      <c r="K4994" t="s">
        <v>546</v>
      </c>
      <c r="L4994" s="784">
        <v>0</v>
      </c>
      <c r="M4994" t="s">
        <v>745</v>
      </c>
      <c r="N4994" s="784" t="s">
        <v>575</v>
      </c>
      <c r="O4994" t="s">
        <v>737</v>
      </c>
      <c r="P4994" t="s">
        <v>750</v>
      </c>
      <c r="R4994" t="s">
        <v>148</v>
      </c>
      <c r="S4994" t="s">
        <v>145</v>
      </c>
      <c r="U4994">
        <v>0</v>
      </c>
      <c r="V4994" t="s">
        <v>544</v>
      </c>
      <c r="W4994" t="s">
        <v>542</v>
      </c>
      <c r="X4994" s="784">
        <v>55072006.864440605</v>
      </c>
    </row>
    <row r="4995" spans="1:24">
      <c r="A4995" t="s">
        <v>358</v>
      </c>
      <c r="B4995" t="s">
        <v>627</v>
      </c>
      <c r="C4995" t="s">
        <v>231</v>
      </c>
      <c r="D4995" t="s">
        <v>131</v>
      </c>
      <c r="E4995" t="s">
        <v>377</v>
      </c>
      <c r="F4995" t="s">
        <v>310</v>
      </c>
      <c r="G4995" t="s">
        <v>389</v>
      </c>
      <c r="H4995" t="s">
        <v>104</v>
      </c>
      <c r="I4995" t="s">
        <v>743</v>
      </c>
      <c r="J4995" t="s">
        <v>379</v>
      </c>
      <c r="K4995" t="s">
        <v>546</v>
      </c>
      <c r="L4995" s="784" t="s">
        <v>575</v>
      </c>
      <c r="M4995" t="s">
        <v>745</v>
      </c>
      <c r="N4995" s="784" t="s">
        <v>575</v>
      </c>
      <c r="O4995" t="s">
        <v>737</v>
      </c>
      <c r="P4995" t="s">
        <v>750</v>
      </c>
      <c r="R4995" t="s">
        <v>152</v>
      </c>
      <c r="S4995" t="s">
        <v>146</v>
      </c>
      <c r="U4995">
        <v>0</v>
      </c>
      <c r="V4995" t="s">
        <v>544</v>
      </c>
      <c r="W4995" t="s">
        <v>546</v>
      </c>
      <c r="X4995" s="784" t="s">
        <v>575</v>
      </c>
    </row>
    <row r="4996" spans="1:24">
      <c r="A4996" t="s">
        <v>358</v>
      </c>
      <c r="B4996" t="s">
        <v>628</v>
      </c>
      <c r="C4996" t="s">
        <v>232</v>
      </c>
      <c r="D4996" t="s">
        <v>128</v>
      </c>
      <c r="E4996" t="s">
        <v>377</v>
      </c>
      <c r="F4996" t="s">
        <v>310</v>
      </c>
      <c r="G4996" t="s">
        <v>389</v>
      </c>
      <c r="H4996" t="s">
        <v>104</v>
      </c>
      <c r="I4996" t="s">
        <v>743</v>
      </c>
      <c r="J4996" t="s">
        <v>379</v>
      </c>
      <c r="K4996" t="s">
        <v>546</v>
      </c>
      <c r="L4996" s="784">
        <v>0</v>
      </c>
      <c r="M4996" t="s">
        <v>745</v>
      </c>
      <c r="N4996" s="784" t="s">
        <v>575</v>
      </c>
      <c r="O4996" t="s">
        <v>737</v>
      </c>
      <c r="P4996" t="s">
        <v>750</v>
      </c>
      <c r="R4996" t="s">
        <v>148</v>
      </c>
      <c r="S4996" t="s">
        <v>145</v>
      </c>
      <c r="U4996">
        <v>2</v>
      </c>
      <c r="V4996" t="s">
        <v>544</v>
      </c>
      <c r="W4996" t="s">
        <v>562</v>
      </c>
      <c r="X4996" s="784">
        <v>206914157.05429548</v>
      </c>
    </row>
    <row r="4997" spans="1:24">
      <c r="A4997" t="s">
        <v>358</v>
      </c>
      <c r="B4997" t="s">
        <v>629</v>
      </c>
      <c r="C4997" t="s">
        <v>233</v>
      </c>
      <c r="D4997" t="s">
        <v>128</v>
      </c>
      <c r="E4997" t="s">
        <v>377</v>
      </c>
      <c r="F4997" t="s">
        <v>310</v>
      </c>
      <c r="G4997" t="s">
        <v>389</v>
      </c>
      <c r="H4997" t="s">
        <v>104</v>
      </c>
      <c r="I4997" t="s">
        <v>743</v>
      </c>
      <c r="J4997" t="s">
        <v>379</v>
      </c>
      <c r="K4997" t="s">
        <v>546</v>
      </c>
      <c r="L4997" s="784">
        <v>1131560</v>
      </c>
      <c r="M4997" t="s">
        <v>745</v>
      </c>
      <c r="N4997" s="784" t="s">
        <v>575</v>
      </c>
      <c r="O4997" t="s">
        <v>737</v>
      </c>
      <c r="P4997" t="s">
        <v>750</v>
      </c>
      <c r="R4997" t="s">
        <v>148</v>
      </c>
      <c r="S4997" t="s">
        <v>145</v>
      </c>
      <c r="U4997">
        <v>2</v>
      </c>
      <c r="V4997" t="s">
        <v>544</v>
      </c>
      <c r="W4997" t="s">
        <v>542</v>
      </c>
      <c r="X4997" s="784">
        <v>185999915.02066413</v>
      </c>
    </row>
    <row r="4998" spans="1:24">
      <c r="A4998" t="s">
        <v>358</v>
      </c>
      <c r="B4998" t="s">
        <v>630</v>
      </c>
      <c r="C4998" t="s">
        <v>234</v>
      </c>
      <c r="D4998" t="s">
        <v>126</v>
      </c>
      <c r="E4998" t="s">
        <v>377</v>
      </c>
      <c r="F4998" t="s">
        <v>310</v>
      </c>
      <c r="G4998" t="s">
        <v>389</v>
      </c>
      <c r="H4998" t="s">
        <v>104</v>
      </c>
      <c r="I4998" t="s">
        <v>743</v>
      </c>
      <c r="J4998" t="s">
        <v>379</v>
      </c>
      <c r="K4998" t="s">
        <v>546</v>
      </c>
      <c r="L4998" s="784" t="s">
        <v>575</v>
      </c>
      <c r="M4998" t="s">
        <v>745</v>
      </c>
      <c r="N4998" s="784" t="s">
        <v>575</v>
      </c>
      <c r="O4998" t="s">
        <v>737</v>
      </c>
      <c r="P4998" t="s">
        <v>750</v>
      </c>
      <c r="R4998" t="s">
        <v>152</v>
      </c>
      <c r="S4998" t="s">
        <v>146</v>
      </c>
      <c r="U4998">
        <v>0</v>
      </c>
      <c r="V4998" t="s">
        <v>544</v>
      </c>
      <c r="W4998" t="s">
        <v>575</v>
      </c>
      <c r="X4998" s="784">
        <v>6893755763.2501726</v>
      </c>
    </row>
    <row r="4999" spans="1:24">
      <c r="A4999" t="s">
        <v>358</v>
      </c>
      <c r="B4999" t="s">
        <v>631</v>
      </c>
      <c r="C4999" t="s">
        <v>235</v>
      </c>
      <c r="D4999" t="s">
        <v>132</v>
      </c>
      <c r="E4999" t="s">
        <v>377</v>
      </c>
      <c r="F4999" t="s">
        <v>310</v>
      </c>
      <c r="G4999" t="s">
        <v>389</v>
      </c>
      <c r="H4999" t="s">
        <v>104</v>
      </c>
      <c r="I4999" t="s">
        <v>743</v>
      </c>
      <c r="J4999" t="s">
        <v>379</v>
      </c>
      <c r="K4999" t="s">
        <v>546</v>
      </c>
      <c r="L4999" s="784">
        <v>0</v>
      </c>
      <c r="M4999" t="s">
        <v>745</v>
      </c>
      <c r="N4999" s="784" t="s">
        <v>575</v>
      </c>
      <c r="O4999" t="s">
        <v>737</v>
      </c>
      <c r="P4999" t="s">
        <v>750</v>
      </c>
      <c r="R4999" t="s">
        <v>152</v>
      </c>
      <c r="S4999" t="s">
        <v>145</v>
      </c>
      <c r="U4999">
        <v>0</v>
      </c>
      <c r="V4999" t="s">
        <v>541</v>
      </c>
      <c r="W4999" t="s">
        <v>542</v>
      </c>
      <c r="X4999" s="784">
        <v>354560231.58276606</v>
      </c>
    </row>
    <row r="5000" spans="1:24">
      <c r="A5000" t="s">
        <v>358</v>
      </c>
      <c r="B5000" t="s">
        <v>632</v>
      </c>
      <c r="C5000" t="s">
        <v>236</v>
      </c>
      <c r="D5000" t="s">
        <v>129</v>
      </c>
      <c r="E5000" t="s">
        <v>377</v>
      </c>
      <c r="F5000" t="s">
        <v>310</v>
      </c>
      <c r="G5000" t="s">
        <v>389</v>
      </c>
      <c r="H5000" t="s">
        <v>104</v>
      </c>
      <c r="I5000" t="s">
        <v>743</v>
      </c>
      <c r="J5000" t="s">
        <v>379</v>
      </c>
      <c r="K5000" t="s">
        <v>546</v>
      </c>
      <c r="L5000" s="784">
        <v>3501223</v>
      </c>
      <c r="M5000" t="s">
        <v>745</v>
      </c>
      <c r="N5000" s="784" t="s">
        <v>575</v>
      </c>
      <c r="O5000" t="s">
        <v>737</v>
      </c>
      <c r="P5000" t="s">
        <v>750</v>
      </c>
      <c r="R5000" t="s">
        <v>148</v>
      </c>
      <c r="S5000" t="s">
        <v>145</v>
      </c>
      <c r="U5000">
        <v>1</v>
      </c>
      <c r="V5000" t="s">
        <v>544</v>
      </c>
      <c r="W5000" t="s">
        <v>562</v>
      </c>
      <c r="X5000" s="784">
        <v>188169167.56540567</v>
      </c>
    </row>
    <row r="5001" spans="1:24">
      <c r="A5001" t="s">
        <v>358</v>
      </c>
      <c r="B5001" t="s">
        <v>633</v>
      </c>
      <c r="C5001" t="s">
        <v>237</v>
      </c>
      <c r="D5001" t="s">
        <v>126</v>
      </c>
      <c r="E5001" t="s">
        <v>377</v>
      </c>
      <c r="F5001" t="s">
        <v>310</v>
      </c>
      <c r="G5001" t="s">
        <v>389</v>
      </c>
      <c r="H5001" t="s">
        <v>104</v>
      </c>
      <c r="I5001" t="s">
        <v>743</v>
      </c>
      <c r="J5001" t="s">
        <v>379</v>
      </c>
      <c r="K5001" t="s">
        <v>546</v>
      </c>
      <c r="L5001" s="784" t="s">
        <v>575</v>
      </c>
      <c r="M5001" t="s">
        <v>745</v>
      </c>
      <c r="N5001" s="784" t="s">
        <v>575</v>
      </c>
      <c r="O5001" t="s">
        <v>737</v>
      </c>
      <c r="P5001" t="s">
        <v>750</v>
      </c>
      <c r="R5001" t="s">
        <v>152</v>
      </c>
      <c r="S5001" t="s">
        <v>145</v>
      </c>
      <c r="U5001">
        <v>0</v>
      </c>
      <c r="V5001" t="s">
        <v>541</v>
      </c>
      <c r="W5001" t="s">
        <v>575</v>
      </c>
      <c r="X5001" s="784">
        <v>16312106.556340856</v>
      </c>
    </row>
    <row r="5002" spans="1:24">
      <c r="A5002" t="s">
        <v>358</v>
      </c>
      <c r="B5002" t="s">
        <v>634</v>
      </c>
      <c r="C5002" t="s">
        <v>238</v>
      </c>
      <c r="D5002" t="s">
        <v>129</v>
      </c>
      <c r="E5002" t="s">
        <v>377</v>
      </c>
      <c r="F5002" t="s">
        <v>310</v>
      </c>
      <c r="G5002" t="s">
        <v>389</v>
      </c>
      <c r="H5002" t="s">
        <v>104</v>
      </c>
      <c r="I5002" t="s">
        <v>743</v>
      </c>
      <c r="J5002" t="s">
        <v>379</v>
      </c>
      <c r="K5002" t="s">
        <v>546</v>
      </c>
      <c r="L5002" s="784">
        <v>0</v>
      </c>
      <c r="M5002" t="s">
        <v>745</v>
      </c>
      <c r="N5002" s="784" t="s">
        <v>575</v>
      </c>
      <c r="O5002" t="s">
        <v>737</v>
      </c>
      <c r="P5002" t="s">
        <v>750</v>
      </c>
      <c r="R5002" t="s">
        <v>150</v>
      </c>
      <c r="S5002" t="s">
        <v>145</v>
      </c>
      <c r="U5002">
        <v>2</v>
      </c>
      <c r="V5002" t="s">
        <v>544</v>
      </c>
      <c r="W5002" t="s">
        <v>542</v>
      </c>
      <c r="X5002" s="784">
        <v>86083833.534053758</v>
      </c>
    </row>
    <row r="5003" spans="1:24">
      <c r="A5003" t="s">
        <v>358</v>
      </c>
      <c r="B5003" t="s">
        <v>635</v>
      </c>
      <c r="C5003" t="s">
        <v>239</v>
      </c>
      <c r="D5003" t="s">
        <v>128</v>
      </c>
      <c r="E5003" t="s">
        <v>377</v>
      </c>
      <c r="F5003" t="s">
        <v>310</v>
      </c>
      <c r="G5003" t="s">
        <v>389</v>
      </c>
      <c r="H5003" t="s">
        <v>104</v>
      </c>
      <c r="I5003" t="s">
        <v>743</v>
      </c>
      <c r="J5003" t="s">
        <v>379</v>
      </c>
      <c r="K5003" t="s">
        <v>546</v>
      </c>
      <c r="L5003" s="784" t="s">
        <v>575</v>
      </c>
      <c r="M5003" t="s">
        <v>745</v>
      </c>
      <c r="N5003" s="784" t="s">
        <v>575</v>
      </c>
      <c r="O5003" t="s">
        <v>737</v>
      </c>
      <c r="P5003" t="s">
        <v>750</v>
      </c>
      <c r="R5003" t="s">
        <v>152</v>
      </c>
      <c r="S5003" t="s">
        <v>146</v>
      </c>
      <c r="U5003">
        <v>0</v>
      </c>
      <c r="V5003" t="s">
        <v>541</v>
      </c>
      <c r="W5003" t="s">
        <v>546</v>
      </c>
      <c r="X5003" s="784">
        <v>357220835.93762809</v>
      </c>
    </row>
    <row r="5004" spans="1:24">
      <c r="A5004" t="s">
        <v>358</v>
      </c>
      <c r="B5004" t="s">
        <v>636</v>
      </c>
      <c r="C5004" t="s">
        <v>240</v>
      </c>
      <c r="D5004" t="s">
        <v>130</v>
      </c>
      <c r="E5004" t="s">
        <v>377</v>
      </c>
      <c r="F5004" t="s">
        <v>310</v>
      </c>
      <c r="G5004" t="s">
        <v>389</v>
      </c>
      <c r="H5004" t="s">
        <v>104</v>
      </c>
      <c r="I5004" t="s">
        <v>743</v>
      </c>
      <c r="J5004" t="s">
        <v>379</v>
      </c>
      <c r="K5004" t="s">
        <v>546</v>
      </c>
      <c r="L5004" s="784" t="s">
        <v>575</v>
      </c>
      <c r="M5004" t="s">
        <v>745</v>
      </c>
      <c r="N5004" s="784" t="s">
        <v>575</v>
      </c>
      <c r="O5004" t="s">
        <v>737</v>
      </c>
      <c r="P5004" t="s">
        <v>750</v>
      </c>
      <c r="R5004" t="s">
        <v>152</v>
      </c>
      <c r="S5004" t="s">
        <v>146</v>
      </c>
      <c r="U5004">
        <v>0</v>
      </c>
      <c r="V5004" t="s">
        <v>544</v>
      </c>
      <c r="W5004" t="s">
        <v>575</v>
      </c>
      <c r="X5004" s="784">
        <v>32831598153.796387</v>
      </c>
    </row>
    <row r="5005" spans="1:24">
      <c r="A5005" t="s">
        <v>358</v>
      </c>
      <c r="B5005" t="s">
        <v>637</v>
      </c>
      <c r="C5005" t="s">
        <v>241</v>
      </c>
      <c r="D5005" t="s">
        <v>126</v>
      </c>
      <c r="E5005" t="s">
        <v>377</v>
      </c>
      <c r="F5005" t="s">
        <v>310</v>
      </c>
      <c r="G5005" t="s">
        <v>389</v>
      </c>
      <c r="H5005" t="s">
        <v>104</v>
      </c>
      <c r="I5005" t="s">
        <v>743</v>
      </c>
      <c r="J5005" t="s">
        <v>379</v>
      </c>
      <c r="K5005" t="s">
        <v>546</v>
      </c>
      <c r="L5005" s="784" t="s">
        <v>575</v>
      </c>
      <c r="M5005" t="s">
        <v>745</v>
      </c>
      <c r="N5005" s="784" t="s">
        <v>575</v>
      </c>
      <c r="O5005" t="s">
        <v>737</v>
      </c>
      <c r="P5005" t="s">
        <v>750</v>
      </c>
      <c r="R5005" t="s">
        <v>150</v>
      </c>
      <c r="S5005" t="s">
        <v>145</v>
      </c>
      <c r="U5005">
        <v>0</v>
      </c>
      <c r="V5005" t="s">
        <v>541</v>
      </c>
      <c r="W5005" t="s">
        <v>542</v>
      </c>
      <c r="X5005" s="784">
        <v>12329056.093798399</v>
      </c>
    </row>
    <row r="5006" spans="1:24">
      <c r="A5006" t="s">
        <v>358</v>
      </c>
      <c r="B5006" t="s">
        <v>638</v>
      </c>
      <c r="C5006" t="s">
        <v>242</v>
      </c>
      <c r="D5006" t="s">
        <v>127</v>
      </c>
      <c r="E5006" t="s">
        <v>377</v>
      </c>
      <c r="F5006" t="s">
        <v>310</v>
      </c>
      <c r="G5006" t="s">
        <v>389</v>
      </c>
      <c r="H5006" t="s">
        <v>104</v>
      </c>
      <c r="I5006" t="s">
        <v>743</v>
      </c>
      <c r="J5006" t="s">
        <v>379</v>
      </c>
      <c r="K5006" t="s">
        <v>546</v>
      </c>
      <c r="L5006" s="784">
        <v>0</v>
      </c>
      <c r="M5006" t="s">
        <v>745</v>
      </c>
      <c r="N5006" s="784" t="s">
        <v>575</v>
      </c>
      <c r="O5006" t="s">
        <v>737</v>
      </c>
      <c r="P5006" t="s">
        <v>750</v>
      </c>
      <c r="R5006" t="s">
        <v>152</v>
      </c>
      <c r="S5006" t="s">
        <v>145</v>
      </c>
      <c r="U5006">
        <v>0</v>
      </c>
      <c r="V5006" t="s">
        <v>544</v>
      </c>
      <c r="W5006" t="s">
        <v>558</v>
      </c>
      <c r="X5006" s="784">
        <v>426639742.85328001</v>
      </c>
    </row>
    <row r="5007" spans="1:24">
      <c r="A5007" t="s">
        <v>358</v>
      </c>
      <c r="B5007" t="s">
        <v>639</v>
      </c>
      <c r="C5007" t="s">
        <v>243</v>
      </c>
      <c r="D5007" t="s">
        <v>126</v>
      </c>
      <c r="E5007" t="s">
        <v>377</v>
      </c>
      <c r="F5007" t="s">
        <v>310</v>
      </c>
      <c r="G5007" t="s">
        <v>389</v>
      </c>
      <c r="H5007" t="s">
        <v>104</v>
      </c>
      <c r="I5007" t="s">
        <v>743</v>
      </c>
      <c r="J5007" t="s">
        <v>379</v>
      </c>
      <c r="K5007" t="s">
        <v>546</v>
      </c>
      <c r="L5007" s="784">
        <v>0</v>
      </c>
      <c r="M5007" t="s">
        <v>745</v>
      </c>
      <c r="N5007" s="784" t="s">
        <v>575</v>
      </c>
      <c r="O5007" t="s">
        <v>737</v>
      </c>
      <c r="P5007" t="s">
        <v>750</v>
      </c>
      <c r="R5007" t="s">
        <v>150</v>
      </c>
      <c r="S5007" t="s">
        <v>145</v>
      </c>
      <c r="U5007">
        <v>0</v>
      </c>
      <c r="V5007" t="s">
        <v>544</v>
      </c>
      <c r="W5007" t="s">
        <v>548</v>
      </c>
      <c r="X5007" s="784">
        <v>288519671.85870522</v>
      </c>
    </row>
    <row r="5008" spans="1:24">
      <c r="A5008" t="s">
        <v>358</v>
      </c>
      <c r="B5008" t="s">
        <v>640</v>
      </c>
      <c r="C5008" t="s">
        <v>244</v>
      </c>
      <c r="D5008" t="s">
        <v>127</v>
      </c>
      <c r="E5008" t="s">
        <v>377</v>
      </c>
      <c r="F5008" t="s">
        <v>310</v>
      </c>
      <c r="G5008" t="s">
        <v>389</v>
      </c>
      <c r="H5008" t="s">
        <v>104</v>
      </c>
      <c r="I5008" t="s">
        <v>743</v>
      </c>
      <c r="J5008" t="s">
        <v>379</v>
      </c>
      <c r="K5008" t="s">
        <v>546</v>
      </c>
      <c r="L5008" s="784" t="s">
        <v>575</v>
      </c>
      <c r="M5008" t="s">
        <v>745</v>
      </c>
      <c r="N5008" s="784" t="s">
        <v>575</v>
      </c>
      <c r="O5008" t="s">
        <v>737</v>
      </c>
      <c r="P5008" t="s">
        <v>750</v>
      </c>
      <c r="R5008" t="s">
        <v>152</v>
      </c>
      <c r="S5008" t="s">
        <v>146</v>
      </c>
      <c r="U5008">
        <v>0</v>
      </c>
      <c r="V5008" t="s">
        <v>544</v>
      </c>
      <c r="W5008" t="s">
        <v>546</v>
      </c>
      <c r="X5008" s="784">
        <v>275606560.78491527</v>
      </c>
    </row>
    <row r="5009" spans="1:24">
      <c r="A5009" t="s">
        <v>358</v>
      </c>
      <c r="B5009" t="s">
        <v>641</v>
      </c>
      <c r="C5009" t="s">
        <v>245</v>
      </c>
      <c r="D5009" t="s">
        <v>131</v>
      </c>
      <c r="E5009" t="s">
        <v>377</v>
      </c>
      <c r="F5009" t="s">
        <v>310</v>
      </c>
      <c r="G5009" t="s">
        <v>389</v>
      </c>
      <c r="H5009" t="s">
        <v>104</v>
      </c>
      <c r="I5009" t="s">
        <v>743</v>
      </c>
      <c r="J5009" t="s">
        <v>379</v>
      </c>
      <c r="K5009" t="s">
        <v>546</v>
      </c>
      <c r="L5009" s="784" t="s">
        <v>575</v>
      </c>
      <c r="M5009" t="s">
        <v>745</v>
      </c>
      <c r="N5009" s="784" t="s">
        <v>575</v>
      </c>
      <c r="O5009" t="s">
        <v>737</v>
      </c>
      <c r="P5009" t="s">
        <v>750</v>
      </c>
      <c r="R5009" t="s">
        <v>150</v>
      </c>
      <c r="S5009" t="s">
        <v>145</v>
      </c>
      <c r="U5009">
        <v>0</v>
      </c>
      <c r="V5009" t="s">
        <v>544</v>
      </c>
      <c r="W5009" t="s">
        <v>546</v>
      </c>
      <c r="X5009" s="784">
        <v>2530937679.3725696</v>
      </c>
    </row>
    <row r="5010" spans="1:24">
      <c r="A5010" t="s">
        <v>358</v>
      </c>
      <c r="B5010" t="s">
        <v>642</v>
      </c>
      <c r="C5010" t="s">
        <v>246</v>
      </c>
      <c r="D5010" t="s">
        <v>128</v>
      </c>
      <c r="E5010" t="s">
        <v>377</v>
      </c>
      <c r="F5010" t="s">
        <v>310</v>
      </c>
      <c r="G5010" t="s">
        <v>389</v>
      </c>
      <c r="H5010" t="s">
        <v>104</v>
      </c>
      <c r="I5010" t="s">
        <v>743</v>
      </c>
      <c r="J5010" t="s">
        <v>379</v>
      </c>
      <c r="K5010" t="s">
        <v>546</v>
      </c>
      <c r="L5010" s="784">
        <v>1625597</v>
      </c>
      <c r="M5010" t="s">
        <v>745</v>
      </c>
      <c r="N5010" s="784" t="s">
        <v>575</v>
      </c>
      <c r="O5010" t="s">
        <v>737</v>
      </c>
      <c r="P5010" t="s">
        <v>750</v>
      </c>
      <c r="R5010" t="s">
        <v>148</v>
      </c>
      <c r="S5010" t="s">
        <v>145</v>
      </c>
      <c r="U5010">
        <v>0</v>
      </c>
      <c r="V5010" t="s">
        <v>544</v>
      </c>
      <c r="W5010" t="s">
        <v>583</v>
      </c>
      <c r="X5010" s="784">
        <v>251432156.86255455</v>
      </c>
    </row>
    <row r="5011" spans="1:24">
      <c r="A5011" t="s">
        <v>358</v>
      </c>
      <c r="B5011" t="s">
        <v>643</v>
      </c>
      <c r="C5011" t="s">
        <v>247</v>
      </c>
      <c r="D5011" t="s">
        <v>126</v>
      </c>
      <c r="E5011" t="s">
        <v>377</v>
      </c>
      <c r="F5011" t="s">
        <v>310</v>
      </c>
      <c r="G5011" t="s">
        <v>389</v>
      </c>
      <c r="H5011" t="s">
        <v>104</v>
      </c>
      <c r="I5011" t="s">
        <v>743</v>
      </c>
      <c r="J5011" t="s">
        <v>379</v>
      </c>
      <c r="K5011" t="s">
        <v>546</v>
      </c>
      <c r="L5011" s="784">
        <v>0</v>
      </c>
      <c r="M5011" t="s">
        <v>745</v>
      </c>
      <c r="N5011" s="784" t="s">
        <v>575</v>
      </c>
      <c r="O5011" t="s">
        <v>737</v>
      </c>
      <c r="P5011" t="s">
        <v>750</v>
      </c>
      <c r="R5011" t="s">
        <v>150</v>
      </c>
      <c r="S5011" t="s">
        <v>145</v>
      </c>
      <c r="U5011">
        <v>0</v>
      </c>
      <c r="V5011" t="s">
        <v>544</v>
      </c>
      <c r="W5011" t="s">
        <v>558</v>
      </c>
      <c r="X5011" s="784">
        <v>471534500.60109437</v>
      </c>
    </row>
    <row r="5012" spans="1:24">
      <c r="A5012" t="s">
        <v>358</v>
      </c>
      <c r="B5012" t="s">
        <v>644</v>
      </c>
      <c r="C5012" t="s">
        <v>248</v>
      </c>
      <c r="D5012" t="s">
        <v>128</v>
      </c>
      <c r="E5012" t="s">
        <v>377</v>
      </c>
      <c r="F5012" t="s">
        <v>310</v>
      </c>
      <c r="G5012" t="s">
        <v>389</v>
      </c>
      <c r="H5012" t="s">
        <v>104</v>
      </c>
      <c r="I5012" t="s">
        <v>743</v>
      </c>
      <c r="J5012" t="s">
        <v>379</v>
      </c>
      <c r="K5012" t="s">
        <v>546</v>
      </c>
      <c r="L5012" s="784" t="s">
        <v>575</v>
      </c>
      <c r="M5012" t="s">
        <v>745</v>
      </c>
      <c r="N5012" s="784" t="s">
        <v>575</v>
      </c>
      <c r="O5012" t="s">
        <v>737</v>
      </c>
      <c r="P5012" t="s">
        <v>750</v>
      </c>
      <c r="R5012" t="s">
        <v>152</v>
      </c>
      <c r="S5012" t="s">
        <v>146</v>
      </c>
      <c r="U5012">
        <v>0</v>
      </c>
      <c r="V5012" t="s">
        <v>544</v>
      </c>
      <c r="W5012" t="s">
        <v>575</v>
      </c>
      <c r="X5012" s="784">
        <v>531677611.80447447</v>
      </c>
    </row>
    <row r="5013" spans="1:24">
      <c r="A5013" t="s">
        <v>358</v>
      </c>
      <c r="B5013" t="s">
        <v>645</v>
      </c>
      <c r="C5013" t="s">
        <v>249</v>
      </c>
      <c r="D5013" t="s">
        <v>126</v>
      </c>
      <c r="E5013" t="s">
        <v>377</v>
      </c>
      <c r="F5013" t="s">
        <v>310</v>
      </c>
      <c r="G5013" t="s">
        <v>389</v>
      </c>
      <c r="H5013" t="s">
        <v>104</v>
      </c>
      <c r="I5013" t="s">
        <v>743</v>
      </c>
      <c r="J5013" t="s">
        <v>379</v>
      </c>
      <c r="K5013" t="s">
        <v>546</v>
      </c>
      <c r="L5013" s="784" t="s">
        <v>575</v>
      </c>
      <c r="M5013" t="s">
        <v>745</v>
      </c>
      <c r="N5013" s="784" t="s">
        <v>575</v>
      </c>
      <c r="O5013" t="s">
        <v>737</v>
      </c>
      <c r="P5013" t="s">
        <v>750</v>
      </c>
      <c r="R5013" t="s">
        <v>550</v>
      </c>
      <c r="S5013" t="s">
        <v>146</v>
      </c>
      <c r="U5013">
        <v>0</v>
      </c>
      <c r="V5013" t="s">
        <v>541</v>
      </c>
      <c r="W5013" t="s">
        <v>575</v>
      </c>
      <c r="X5013" s="784">
        <v>8528751.6418357007</v>
      </c>
    </row>
    <row r="5014" spans="1:24">
      <c r="A5014" t="s">
        <v>358</v>
      </c>
      <c r="B5014" t="s">
        <v>646</v>
      </c>
      <c r="C5014" t="s">
        <v>250</v>
      </c>
      <c r="D5014" t="s">
        <v>132</v>
      </c>
      <c r="E5014" t="s">
        <v>377</v>
      </c>
      <c r="F5014" t="s">
        <v>310</v>
      </c>
      <c r="G5014" t="s">
        <v>389</v>
      </c>
      <c r="H5014" t="s">
        <v>104</v>
      </c>
      <c r="I5014" t="s">
        <v>743</v>
      </c>
      <c r="J5014" t="s">
        <v>379</v>
      </c>
      <c r="K5014" t="s">
        <v>546</v>
      </c>
      <c r="L5014" s="784">
        <v>1058356</v>
      </c>
      <c r="M5014" t="s">
        <v>745</v>
      </c>
      <c r="N5014" s="784" t="s">
        <v>575</v>
      </c>
      <c r="O5014" t="s">
        <v>737</v>
      </c>
      <c r="P5014" t="s">
        <v>750</v>
      </c>
      <c r="R5014" t="s">
        <v>150</v>
      </c>
      <c r="S5014" t="s">
        <v>145</v>
      </c>
      <c r="U5014">
        <v>0</v>
      </c>
      <c r="V5014" t="s">
        <v>544</v>
      </c>
      <c r="W5014" t="s">
        <v>558</v>
      </c>
      <c r="X5014" s="784">
        <v>407084543.19089872</v>
      </c>
    </row>
    <row r="5015" spans="1:24">
      <c r="A5015" t="s">
        <v>358</v>
      </c>
      <c r="B5015" t="s">
        <v>647</v>
      </c>
      <c r="C5015" t="s">
        <v>251</v>
      </c>
      <c r="D5015" t="s">
        <v>130</v>
      </c>
      <c r="E5015" t="s">
        <v>377</v>
      </c>
      <c r="F5015" t="s">
        <v>310</v>
      </c>
      <c r="G5015" t="s">
        <v>389</v>
      </c>
      <c r="H5015" t="s">
        <v>104</v>
      </c>
      <c r="I5015" t="s">
        <v>743</v>
      </c>
      <c r="J5015" t="s">
        <v>379</v>
      </c>
      <c r="K5015" t="s">
        <v>546</v>
      </c>
      <c r="L5015" s="784">
        <v>0</v>
      </c>
      <c r="M5015" t="s">
        <v>745</v>
      </c>
      <c r="N5015" s="784" t="s">
        <v>575</v>
      </c>
      <c r="O5015" t="s">
        <v>737</v>
      </c>
      <c r="P5015" t="s">
        <v>750</v>
      </c>
      <c r="R5015" t="s">
        <v>150</v>
      </c>
      <c r="S5015" t="s">
        <v>145</v>
      </c>
      <c r="U5015">
        <v>0</v>
      </c>
      <c r="V5015" t="s">
        <v>544</v>
      </c>
      <c r="W5015" t="s">
        <v>562</v>
      </c>
      <c r="X5015" s="784">
        <v>671998341.93592453</v>
      </c>
    </row>
    <row r="5016" spans="1:24">
      <c r="A5016" t="s">
        <v>358</v>
      </c>
      <c r="B5016" t="s">
        <v>648</v>
      </c>
      <c r="C5016" t="s">
        <v>252</v>
      </c>
      <c r="D5016" t="s">
        <v>129</v>
      </c>
      <c r="E5016" t="s">
        <v>377</v>
      </c>
      <c r="F5016" t="s">
        <v>310</v>
      </c>
      <c r="G5016" t="s">
        <v>389</v>
      </c>
      <c r="H5016" t="s">
        <v>104</v>
      </c>
      <c r="I5016" t="s">
        <v>743</v>
      </c>
      <c r="J5016" t="s">
        <v>379</v>
      </c>
      <c r="K5016" t="s">
        <v>546</v>
      </c>
      <c r="L5016" s="784">
        <v>0</v>
      </c>
      <c r="M5016" t="s">
        <v>745</v>
      </c>
      <c r="N5016" s="784" t="s">
        <v>575</v>
      </c>
      <c r="O5016" t="s">
        <v>737</v>
      </c>
      <c r="P5016" t="s">
        <v>750</v>
      </c>
      <c r="R5016" t="s">
        <v>148</v>
      </c>
      <c r="S5016" t="s">
        <v>145</v>
      </c>
      <c r="U5016">
        <v>1</v>
      </c>
      <c r="V5016" t="s">
        <v>544</v>
      </c>
      <c r="W5016" t="s">
        <v>562</v>
      </c>
      <c r="X5016" s="784">
        <v>226203289.67158964</v>
      </c>
    </row>
    <row r="5017" spans="1:24">
      <c r="A5017" t="s">
        <v>358</v>
      </c>
      <c r="B5017" t="s">
        <v>649</v>
      </c>
      <c r="C5017" t="s">
        <v>253</v>
      </c>
      <c r="D5017" t="s">
        <v>129</v>
      </c>
      <c r="E5017" t="s">
        <v>377</v>
      </c>
      <c r="F5017" t="s">
        <v>310</v>
      </c>
      <c r="G5017" t="s">
        <v>389</v>
      </c>
      <c r="H5017" t="s">
        <v>104</v>
      </c>
      <c r="I5017" t="s">
        <v>743</v>
      </c>
      <c r="J5017" t="s">
        <v>379</v>
      </c>
      <c r="K5017" t="s">
        <v>546</v>
      </c>
      <c r="L5017" s="784">
        <v>5124130</v>
      </c>
      <c r="M5017" t="s">
        <v>745</v>
      </c>
      <c r="N5017" s="784" t="s">
        <v>575</v>
      </c>
      <c r="O5017" t="s">
        <v>737</v>
      </c>
      <c r="P5017" t="s">
        <v>750</v>
      </c>
      <c r="R5017" t="s">
        <v>150</v>
      </c>
      <c r="S5017" t="s">
        <v>145</v>
      </c>
      <c r="U5017">
        <v>3</v>
      </c>
      <c r="V5017" t="s">
        <v>544</v>
      </c>
      <c r="W5017" t="s">
        <v>548</v>
      </c>
      <c r="X5017" s="784">
        <v>2438881113.1244688</v>
      </c>
    </row>
    <row r="5018" spans="1:24">
      <c r="A5018" t="s">
        <v>358</v>
      </c>
      <c r="B5018" t="s">
        <v>650</v>
      </c>
      <c r="C5018" t="s">
        <v>254</v>
      </c>
      <c r="D5018" t="s">
        <v>127</v>
      </c>
      <c r="E5018" t="s">
        <v>377</v>
      </c>
      <c r="F5018" t="s">
        <v>310</v>
      </c>
      <c r="G5018" t="s">
        <v>389</v>
      </c>
      <c r="H5018" t="s">
        <v>104</v>
      </c>
      <c r="I5018" t="s">
        <v>743</v>
      </c>
      <c r="J5018" t="s">
        <v>379</v>
      </c>
      <c r="K5018" t="s">
        <v>546</v>
      </c>
      <c r="L5018" s="784" t="s">
        <v>575</v>
      </c>
      <c r="M5018" t="s">
        <v>745</v>
      </c>
      <c r="N5018" s="784" t="s">
        <v>575</v>
      </c>
      <c r="O5018" t="s">
        <v>737</v>
      </c>
      <c r="P5018" t="s">
        <v>750</v>
      </c>
      <c r="R5018" t="s">
        <v>152</v>
      </c>
      <c r="S5018" t="s">
        <v>146</v>
      </c>
      <c r="U5018">
        <v>0</v>
      </c>
      <c r="V5018" t="s">
        <v>544</v>
      </c>
      <c r="W5018" t="s">
        <v>575</v>
      </c>
      <c r="X5018" s="784">
        <v>476517795.73174149</v>
      </c>
    </row>
    <row r="5019" spans="1:24">
      <c r="A5019" t="s">
        <v>358</v>
      </c>
      <c r="B5019" t="s">
        <v>651</v>
      </c>
      <c r="C5019" t="s">
        <v>255</v>
      </c>
      <c r="D5019" t="s">
        <v>132</v>
      </c>
      <c r="E5019" t="s">
        <v>377</v>
      </c>
      <c r="F5019" t="s">
        <v>310</v>
      </c>
      <c r="G5019" t="s">
        <v>389</v>
      </c>
      <c r="H5019" t="s">
        <v>104</v>
      </c>
      <c r="I5019" t="s">
        <v>743</v>
      </c>
      <c r="J5019" t="s">
        <v>379</v>
      </c>
      <c r="K5019" t="s">
        <v>546</v>
      </c>
      <c r="L5019" s="784">
        <v>6705086</v>
      </c>
      <c r="M5019" t="s">
        <v>745</v>
      </c>
      <c r="N5019" s="784" t="s">
        <v>575</v>
      </c>
      <c r="O5019" t="s">
        <v>737</v>
      </c>
      <c r="P5019" t="s">
        <v>750</v>
      </c>
      <c r="R5019" t="s">
        <v>150</v>
      </c>
      <c r="S5019" t="s">
        <v>145</v>
      </c>
      <c r="U5019">
        <v>0</v>
      </c>
      <c r="V5019" t="s">
        <v>544</v>
      </c>
      <c r="W5019" t="s">
        <v>548</v>
      </c>
      <c r="X5019" s="784">
        <v>3233351297.7679496</v>
      </c>
    </row>
    <row r="5020" spans="1:24">
      <c r="A5020" t="s">
        <v>358</v>
      </c>
      <c r="B5020" t="s">
        <v>652</v>
      </c>
      <c r="C5020" t="s">
        <v>256</v>
      </c>
      <c r="D5020" t="s">
        <v>130</v>
      </c>
      <c r="E5020" t="s">
        <v>377</v>
      </c>
      <c r="F5020" t="s">
        <v>310</v>
      </c>
      <c r="G5020" t="s">
        <v>389</v>
      </c>
      <c r="H5020" t="s">
        <v>104</v>
      </c>
      <c r="I5020" t="s">
        <v>743</v>
      </c>
      <c r="J5020" t="s">
        <v>379</v>
      </c>
      <c r="K5020" t="s">
        <v>546</v>
      </c>
      <c r="L5020" s="784" t="s">
        <v>575</v>
      </c>
      <c r="M5020" t="s">
        <v>745</v>
      </c>
      <c r="N5020" s="784" t="s">
        <v>575</v>
      </c>
      <c r="O5020" t="s">
        <v>737</v>
      </c>
      <c r="P5020" t="s">
        <v>750</v>
      </c>
      <c r="R5020" t="s">
        <v>550</v>
      </c>
      <c r="S5020" t="s">
        <v>146</v>
      </c>
      <c r="U5020">
        <v>0</v>
      </c>
      <c r="V5020" t="s">
        <v>541</v>
      </c>
      <c r="W5020" t="s">
        <v>575</v>
      </c>
      <c r="X5020" s="784">
        <v>18180646.808608256</v>
      </c>
    </row>
    <row r="5021" spans="1:24">
      <c r="A5021" t="s">
        <v>358</v>
      </c>
      <c r="B5021" t="s">
        <v>653</v>
      </c>
      <c r="C5021" t="s">
        <v>257</v>
      </c>
      <c r="D5021" t="s">
        <v>130</v>
      </c>
      <c r="E5021" t="s">
        <v>377</v>
      </c>
      <c r="F5021" t="s">
        <v>310</v>
      </c>
      <c r="G5021" t="s">
        <v>389</v>
      </c>
      <c r="H5021" t="s">
        <v>104</v>
      </c>
      <c r="I5021" t="s">
        <v>743</v>
      </c>
      <c r="J5021" t="s">
        <v>379</v>
      </c>
      <c r="K5021" t="s">
        <v>546</v>
      </c>
      <c r="L5021" s="784" t="s">
        <v>575</v>
      </c>
      <c r="M5021" t="s">
        <v>745</v>
      </c>
      <c r="N5021" s="784" t="s">
        <v>575</v>
      </c>
      <c r="O5021" t="s">
        <v>737</v>
      </c>
      <c r="P5021" t="s">
        <v>750</v>
      </c>
      <c r="R5021" t="s">
        <v>152</v>
      </c>
      <c r="S5021" t="s">
        <v>146</v>
      </c>
      <c r="U5021">
        <v>0</v>
      </c>
      <c r="V5021" t="s">
        <v>544</v>
      </c>
      <c r="W5021" t="s">
        <v>546</v>
      </c>
      <c r="X5021" s="784">
        <v>3020530707.3485303</v>
      </c>
    </row>
    <row r="5022" spans="1:24">
      <c r="A5022" t="s">
        <v>358</v>
      </c>
      <c r="B5022" t="s">
        <v>654</v>
      </c>
      <c r="C5022" t="s">
        <v>258</v>
      </c>
      <c r="D5022" t="s">
        <v>126</v>
      </c>
      <c r="E5022" t="s">
        <v>377</v>
      </c>
      <c r="F5022" t="s">
        <v>310</v>
      </c>
      <c r="G5022" t="s">
        <v>389</v>
      </c>
      <c r="H5022" t="s">
        <v>104</v>
      </c>
      <c r="I5022" t="s">
        <v>743</v>
      </c>
      <c r="J5022" t="s">
        <v>379</v>
      </c>
      <c r="K5022" t="s">
        <v>546</v>
      </c>
      <c r="L5022" s="784">
        <v>0</v>
      </c>
      <c r="M5022" t="s">
        <v>745</v>
      </c>
      <c r="N5022" s="784" t="s">
        <v>575</v>
      </c>
      <c r="O5022" t="s">
        <v>737</v>
      </c>
      <c r="P5022" t="s">
        <v>750</v>
      </c>
      <c r="R5022" t="s">
        <v>150</v>
      </c>
      <c r="S5022" t="s">
        <v>145</v>
      </c>
      <c r="U5022">
        <v>1</v>
      </c>
      <c r="V5022" t="s">
        <v>541</v>
      </c>
      <c r="W5022" t="s">
        <v>542</v>
      </c>
      <c r="X5022" s="784">
        <v>384406316.46074712</v>
      </c>
    </row>
    <row r="5023" spans="1:24">
      <c r="A5023" t="s">
        <v>358</v>
      </c>
      <c r="B5023" t="s">
        <v>655</v>
      </c>
      <c r="C5023" t="s">
        <v>259</v>
      </c>
      <c r="D5023" t="s">
        <v>130</v>
      </c>
      <c r="E5023" t="s">
        <v>377</v>
      </c>
      <c r="F5023" t="s">
        <v>310</v>
      </c>
      <c r="G5023" t="s">
        <v>389</v>
      </c>
      <c r="H5023" t="s">
        <v>104</v>
      </c>
      <c r="I5023" t="s">
        <v>743</v>
      </c>
      <c r="J5023" t="s">
        <v>379</v>
      </c>
      <c r="K5023" t="s">
        <v>546</v>
      </c>
      <c r="L5023" s="784" t="s">
        <v>575</v>
      </c>
      <c r="M5023" t="s">
        <v>745</v>
      </c>
      <c r="N5023" s="784" t="s">
        <v>575</v>
      </c>
      <c r="O5023" t="s">
        <v>737</v>
      </c>
      <c r="P5023" t="s">
        <v>750</v>
      </c>
      <c r="R5023" t="s">
        <v>152</v>
      </c>
      <c r="S5023" t="s">
        <v>146</v>
      </c>
      <c r="U5023">
        <v>0</v>
      </c>
      <c r="V5023" t="s">
        <v>544</v>
      </c>
      <c r="W5023" t="s">
        <v>575</v>
      </c>
      <c r="X5023" s="784">
        <v>1218747108.9554784</v>
      </c>
    </row>
    <row r="5024" spans="1:24">
      <c r="A5024" t="s">
        <v>358</v>
      </c>
      <c r="B5024" t="s">
        <v>656</v>
      </c>
      <c r="C5024" t="s">
        <v>260</v>
      </c>
      <c r="D5024" t="s">
        <v>130</v>
      </c>
      <c r="E5024" t="s">
        <v>377</v>
      </c>
      <c r="F5024" t="s">
        <v>310</v>
      </c>
      <c r="G5024" t="s">
        <v>389</v>
      </c>
      <c r="H5024" t="s">
        <v>104</v>
      </c>
      <c r="I5024" t="s">
        <v>743</v>
      </c>
      <c r="J5024" t="s">
        <v>379</v>
      </c>
      <c r="K5024" t="s">
        <v>546</v>
      </c>
      <c r="L5024" s="784" t="s">
        <v>575</v>
      </c>
      <c r="M5024" t="s">
        <v>745</v>
      </c>
      <c r="N5024" s="784" t="s">
        <v>575</v>
      </c>
      <c r="O5024" t="s">
        <v>737</v>
      </c>
      <c r="P5024" t="s">
        <v>750</v>
      </c>
      <c r="R5024" t="s">
        <v>152</v>
      </c>
      <c r="S5024" t="s">
        <v>146</v>
      </c>
      <c r="U5024">
        <v>0</v>
      </c>
      <c r="V5024" t="s">
        <v>544</v>
      </c>
      <c r="W5024" t="s">
        <v>575</v>
      </c>
      <c r="X5024" s="784">
        <v>7392665952.5895758</v>
      </c>
    </row>
    <row r="5025" spans="1:24">
      <c r="A5025" t="s">
        <v>358</v>
      </c>
      <c r="B5025" t="s">
        <v>657</v>
      </c>
      <c r="C5025" t="s">
        <v>261</v>
      </c>
      <c r="D5025" t="s">
        <v>126</v>
      </c>
      <c r="E5025" t="s">
        <v>377</v>
      </c>
      <c r="F5025" t="s">
        <v>310</v>
      </c>
      <c r="G5025" t="s">
        <v>389</v>
      </c>
      <c r="H5025" t="s">
        <v>104</v>
      </c>
      <c r="I5025" t="s">
        <v>743</v>
      </c>
      <c r="J5025" t="s">
        <v>379</v>
      </c>
      <c r="K5025" t="s">
        <v>546</v>
      </c>
      <c r="L5025" s="784">
        <v>0</v>
      </c>
      <c r="M5025" t="s">
        <v>745</v>
      </c>
      <c r="N5025" s="784" t="s">
        <v>575</v>
      </c>
      <c r="O5025" t="s">
        <v>737</v>
      </c>
      <c r="P5025" t="s">
        <v>750</v>
      </c>
      <c r="R5025" t="s">
        <v>150</v>
      </c>
      <c r="S5025" t="s">
        <v>145</v>
      </c>
      <c r="U5025">
        <v>0</v>
      </c>
      <c r="V5025" t="s">
        <v>544</v>
      </c>
      <c r="W5025" t="s">
        <v>546</v>
      </c>
      <c r="X5025" s="784">
        <v>4754985988.6004429</v>
      </c>
    </row>
    <row r="5026" spans="1:24">
      <c r="A5026" t="s">
        <v>358</v>
      </c>
      <c r="B5026" t="s">
        <v>658</v>
      </c>
      <c r="C5026" t="s">
        <v>262</v>
      </c>
      <c r="D5026" t="s">
        <v>127</v>
      </c>
      <c r="E5026" t="s">
        <v>377</v>
      </c>
      <c r="F5026" t="s">
        <v>310</v>
      </c>
      <c r="G5026" t="s">
        <v>389</v>
      </c>
      <c r="H5026" t="s">
        <v>104</v>
      </c>
      <c r="I5026" t="s">
        <v>743</v>
      </c>
      <c r="J5026" t="s">
        <v>379</v>
      </c>
      <c r="K5026" t="s">
        <v>546</v>
      </c>
      <c r="L5026" s="784" t="s">
        <v>575</v>
      </c>
      <c r="M5026" t="s">
        <v>745</v>
      </c>
      <c r="N5026" s="784" t="s">
        <v>575</v>
      </c>
      <c r="O5026" t="s">
        <v>737</v>
      </c>
      <c r="P5026" t="s">
        <v>750</v>
      </c>
      <c r="R5026" t="s">
        <v>550</v>
      </c>
      <c r="S5026" t="s">
        <v>146</v>
      </c>
      <c r="U5026">
        <v>0</v>
      </c>
      <c r="V5026" t="s">
        <v>544</v>
      </c>
      <c r="W5026" t="s">
        <v>575</v>
      </c>
      <c r="X5026" s="784">
        <v>26422210443.037273</v>
      </c>
    </row>
    <row r="5027" spans="1:24">
      <c r="A5027" t="s">
        <v>358</v>
      </c>
      <c r="B5027" t="s">
        <v>659</v>
      </c>
      <c r="C5027" t="s">
        <v>151</v>
      </c>
      <c r="D5027" t="s">
        <v>127</v>
      </c>
      <c r="E5027" t="s">
        <v>377</v>
      </c>
      <c r="F5027" t="s">
        <v>310</v>
      </c>
      <c r="G5027" t="s">
        <v>389</v>
      </c>
      <c r="H5027" t="s">
        <v>104</v>
      </c>
      <c r="I5027" t="s">
        <v>743</v>
      </c>
      <c r="J5027" t="s">
        <v>379</v>
      </c>
      <c r="K5027" t="s">
        <v>546</v>
      </c>
      <c r="L5027" s="784" t="s">
        <v>575</v>
      </c>
      <c r="M5027" t="s">
        <v>745</v>
      </c>
      <c r="N5027" s="784" t="s">
        <v>575</v>
      </c>
      <c r="O5027" t="s">
        <v>737</v>
      </c>
      <c r="P5027" t="s">
        <v>750</v>
      </c>
      <c r="R5027" t="s">
        <v>152</v>
      </c>
      <c r="S5027" t="s">
        <v>146</v>
      </c>
      <c r="U5027">
        <v>0</v>
      </c>
      <c r="V5027" t="s">
        <v>544</v>
      </c>
      <c r="W5027" t="s">
        <v>575</v>
      </c>
      <c r="X5027" s="784">
        <v>10696495313.15033</v>
      </c>
    </row>
    <row r="5028" spans="1:24">
      <c r="A5028" t="s">
        <v>358</v>
      </c>
      <c r="B5028" t="s">
        <v>660</v>
      </c>
      <c r="C5028" t="s">
        <v>263</v>
      </c>
      <c r="D5028" t="s">
        <v>127</v>
      </c>
      <c r="E5028" t="s">
        <v>377</v>
      </c>
      <c r="F5028" t="s">
        <v>310</v>
      </c>
      <c r="G5028" t="s">
        <v>389</v>
      </c>
      <c r="H5028" t="s">
        <v>104</v>
      </c>
      <c r="I5028" t="s">
        <v>743</v>
      </c>
      <c r="J5028" t="s">
        <v>379</v>
      </c>
      <c r="K5028" t="s">
        <v>546</v>
      </c>
      <c r="L5028" s="784" t="s">
        <v>575</v>
      </c>
      <c r="M5028" t="s">
        <v>745</v>
      </c>
      <c r="N5028" s="784" t="s">
        <v>575</v>
      </c>
      <c r="O5028" t="s">
        <v>737</v>
      </c>
      <c r="P5028" t="s">
        <v>750</v>
      </c>
      <c r="R5028" t="s">
        <v>152</v>
      </c>
      <c r="S5028" t="s">
        <v>146</v>
      </c>
      <c r="U5028">
        <v>0</v>
      </c>
      <c r="V5028" t="s">
        <v>544</v>
      </c>
      <c r="W5028" t="s">
        <v>575</v>
      </c>
      <c r="X5028" s="784">
        <v>52769713433.240509</v>
      </c>
    </row>
    <row r="5029" spans="1:24">
      <c r="A5029" t="s">
        <v>358</v>
      </c>
      <c r="B5029" t="s">
        <v>661</v>
      </c>
      <c r="C5029" t="s">
        <v>264</v>
      </c>
      <c r="D5029" t="s">
        <v>128</v>
      </c>
      <c r="E5029" t="s">
        <v>377</v>
      </c>
      <c r="F5029" t="s">
        <v>310</v>
      </c>
      <c r="G5029" t="s">
        <v>389</v>
      </c>
      <c r="H5029" t="s">
        <v>104</v>
      </c>
      <c r="I5029" t="s">
        <v>743</v>
      </c>
      <c r="J5029" t="s">
        <v>379</v>
      </c>
      <c r="K5029" t="s">
        <v>546</v>
      </c>
      <c r="L5029" s="784">
        <v>58776</v>
      </c>
      <c r="M5029" t="s">
        <v>745</v>
      </c>
      <c r="N5029" s="784" t="s">
        <v>575</v>
      </c>
      <c r="O5029" t="s">
        <v>737</v>
      </c>
      <c r="P5029" t="s">
        <v>750</v>
      </c>
      <c r="R5029" t="s">
        <v>148</v>
      </c>
      <c r="S5029" t="s">
        <v>145</v>
      </c>
      <c r="U5029">
        <v>0</v>
      </c>
      <c r="V5029" t="s">
        <v>544</v>
      </c>
      <c r="W5029" t="s">
        <v>562</v>
      </c>
      <c r="X5029" s="784">
        <v>225799814.51943746</v>
      </c>
    </row>
    <row r="5030" spans="1:24">
      <c r="A5030" t="s">
        <v>358</v>
      </c>
      <c r="B5030" t="s">
        <v>662</v>
      </c>
      <c r="C5030" t="s">
        <v>265</v>
      </c>
      <c r="D5030" t="s">
        <v>126</v>
      </c>
      <c r="E5030" t="s">
        <v>377</v>
      </c>
      <c r="F5030" t="s">
        <v>310</v>
      </c>
      <c r="G5030" t="s">
        <v>389</v>
      </c>
      <c r="H5030" t="s">
        <v>104</v>
      </c>
      <c r="I5030" t="s">
        <v>743</v>
      </c>
      <c r="J5030" t="s">
        <v>379</v>
      </c>
      <c r="K5030" t="s">
        <v>546</v>
      </c>
      <c r="L5030" s="784" t="s">
        <v>575</v>
      </c>
      <c r="M5030" t="s">
        <v>745</v>
      </c>
      <c r="N5030" s="784" t="s">
        <v>575</v>
      </c>
      <c r="O5030" t="s">
        <v>737</v>
      </c>
      <c r="P5030" t="s">
        <v>750</v>
      </c>
      <c r="R5030" t="s">
        <v>150</v>
      </c>
      <c r="S5030" t="s">
        <v>145</v>
      </c>
      <c r="U5030">
        <v>0</v>
      </c>
      <c r="V5030" t="s">
        <v>541</v>
      </c>
      <c r="W5030" t="s">
        <v>542</v>
      </c>
      <c r="X5030" s="784">
        <v>32192988.027009469</v>
      </c>
    </row>
    <row r="5031" spans="1:24">
      <c r="A5031" t="s">
        <v>358</v>
      </c>
      <c r="B5031" t="s">
        <v>663</v>
      </c>
      <c r="C5031" t="s">
        <v>266</v>
      </c>
      <c r="D5031" t="s">
        <v>129</v>
      </c>
      <c r="E5031" t="s">
        <v>377</v>
      </c>
      <c r="F5031" t="s">
        <v>310</v>
      </c>
      <c r="G5031" t="s">
        <v>389</v>
      </c>
      <c r="H5031" t="s">
        <v>104</v>
      </c>
      <c r="I5031" t="s">
        <v>743</v>
      </c>
      <c r="J5031" t="s">
        <v>379</v>
      </c>
      <c r="K5031" t="s">
        <v>546</v>
      </c>
      <c r="L5031" s="784">
        <v>194440</v>
      </c>
      <c r="M5031" t="s">
        <v>745</v>
      </c>
      <c r="N5031" s="784" t="s">
        <v>575</v>
      </c>
      <c r="O5031" t="s">
        <v>737</v>
      </c>
      <c r="P5031" t="s">
        <v>750</v>
      </c>
      <c r="R5031" t="s">
        <v>150</v>
      </c>
      <c r="S5031" t="s">
        <v>145</v>
      </c>
      <c r="U5031">
        <v>0</v>
      </c>
      <c r="V5031" t="s">
        <v>541</v>
      </c>
      <c r="W5031" t="s">
        <v>583</v>
      </c>
      <c r="X5031" s="784">
        <v>11633535.136477679</v>
      </c>
    </row>
    <row r="5032" spans="1:24">
      <c r="A5032" t="s">
        <v>358</v>
      </c>
      <c r="B5032" t="s">
        <v>664</v>
      </c>
      <c r="C5032" t="s">
        <v>267</v>
      </c>
      <c r="D5032" t="s">
        <v>129</v>
      </c>
      <c r="E5032" t="s">
        <v>377</v>
      </c>
      <c r="F5032" t="s">
        <v>310</v>
      </c>
      <c r="G5032" t="s">
        <v>389</v>
      </c>
      <c r="H5032" t="s">
        <v>104</v>
      </c>
      <c r="I5032" t="s">
        <v>743</v>
      </c>
      <c r="J5032" t="s">
        <v>379</v>
      </c>
      <c r="K5032" t="s">
        <v>546</v>
      </c>
      <c r="L5032" s="784">
        <v>0</v>
      </c>
      <c r="M5032" t="s">
        <v>745</v>
      </c>
      <c r="N5032" s="784" t="s">
        <v>575</v>
      </c>
      <c r="O5032" t="s">
        <v>737</v>
      </c>
      <c r="P5032" t="s">
        <v>750</v>
      </c>
      <c r="R5032" t="s">
        <v>150</v>
      </c>
      <c r="S5032" t="s">
        <v>145</v>
      </c>
      <c r="U5032">
        <v>2</v>
      </c>
      <c r="V5032" t="s">
        <v>544</v>
      </c>
      <c r="W5032" t="s">
        <v>562</v>
      </c>
      <c r="X5032" s="784">
        <v>222008693.93354639</v>
      </c>
    </row>
    <row r="5033" spans="1:24">
      <c r="A5033" t="s">
        <v>358</v>
      </c>
      <c r="B5033" t="s">
        <v>665</v>
      </c>
      <c r="C5033" t="s">
        <v>153</v>
      </c>
      <c r="D5033" t="s">
        <v>127</v>
      </c>
      <c r="E5033" t="s">
        <v>377</v>
      </c>
      <c r="F5033" t="s">
        <v>310</v>
      </c>
      <c r="G5033" t="s">
        <v>389</v>
      </c>
      <c r="H5033" t="s">
        <v>104</v>
      </c>
      <c r="I5033" t="s">
        <v>743</v>
      </c>
      <c r="J5033" t="s">
        <v>379</v>
      </c>
      <c r="K5033" t="s">
        <v>546</v>
      </c>
      <c r="L5033" s="784" t="s">
        <v>575</v>
      </c>
      <c r="M5033" t="s">
        <v>745</v>
      </c>
      <c r="N5033" s="784" t="s">
        <v>575</v>
      </c>
      <c r="O5033" t="s">
        <v>737</v>
      </c>
      <c r="P5033" t="s">
        <v>750</v>
      </c>
      <c r="R5033" t="s">
        <v>152</v>
      </c>
      <c r="S5033" t="s">
        <v>146</v>
      </c>
      <c r="U5033">
        <v>0</v>
      </c>
      <c r="V5033" t="s">
        <v>544</v>
      </c>
      <c r="W5033" t="s">
        <v>575</v>
      </c>
      <c r="X5033" s="784">
        <v>2564993795.1894679</v>
      </c>
    </row>
    <row r="5034" spans="1:24">
      <c r="A5034" t="s">
        <v>358</v>
      </c>
      <c r="B5034" t="s">
        <v>666</v>
      </c>
      <c r="C5034" t="s">
        <v>268</v>
      </c>
      <c r="D5034" t="s">
        <v>128</v>
      </c>
      <c r="E5034" t="s">
        <v>377</v>
      </c>
      <c r="F5034" t="s">
        <v>310</v>
      </c>
      <c r="G5034" t="s">
        <v>389</v>
      </c>
      <c r="H5034" t="s">
        <v>104</v>
      </c>
      <c r="I5034" t="s">
        <v>743</v>
      </c>
      <c r="J5034" t="s">
        <v>379</v>
      </c>
      <c r="K5034" t="s">
        <v>546</v>
      </c>
      <c r="L5034" s="784" t="s">
        <v>575</v>
      </c>
      <c r="M5034" t="s">
        <v>745</v>
      </c>
      <c r="N5034" s="784" t="s">
        <v>575</v>
      </c>
      <c r="O5034" t="s">
        <v>737</v>
      </c>
      <c r="P5034" t="s">
        <v>750</v>
      </c>
      <c r="R5034" t="s">
        <v>550</v>
      </c>
      <c r="S5034" t="s">
        <v>146</v>
      </c>
      <c r="U5034">
        <v>0</v>
      </c>
      <c r="V5034" t="s">
        <v>541</v>
      </c>
      <c r="W5034" t="s">
        <v>546</v>
      </c>
      <c r="X5034" s="784">
        <v>60237542.945069775</v>
      </c>
    </row>
    <row r="5035" spans="1:24">
      <c r="A5035" t="s">
        <v>358</v>
      </c>
      <c r="B5035" t="s">
        <v>667</v>
      </c>
      <c r="C5035" t="s">
        <v>269</v>
      </c>
      <c r="D5035" t="s">
        <v>129</v>
      </c>
      <c r="E5035" t="s">
        <v>377</v>
      </c>
      <c r="F5035" t="s">
        <v>310</v>
      </c>
      <c r="G5035" t="s">
        <v>389</v>
      </c>
      <c r="H5035" t="s">
        <v>104</v>
      </c>
      <c r="I5035" t="s">
        <v>743</v>
      </c>
      <c r="J5035" t="s">
        <v>379</v>
      </c>
      <c r="K5035" t="s">
        <v>546</v>
      </c>
      <c r="L5035" s="784">
        <v>715040</v>
      </c>
      <c r="M5035" t="s">
        <v>745</v>
      </c>
      <c r="N5035" s="784" t="s">
        <v>575</v>
      </c>
      <c r="O5035" t="s">
        <v>737</v>
      </c>
      <c r="P5035" t="s">
        <v>750</v>
      </c>
      <c r="R5035" t="s">
        <v>148</v>
      </c>
      <c r="S5035" t="s">
        <v>145</v>
      </c>
      <c r="U5035">
        <v>0</v>
      </c>
      <c r="V5035" t="s">
        <v>544</v>
      </c>
      <c r="W5035" t="s">
        <v>542</v>
      </c>
      <c r="X5035" s="784">
        <v>63738640.538260505</v>
      </c>
    </row>
    <row r="5036" spans="1:24">
      <c r="A5036" t="s">
        <v>358</v>
      </c>
      <c r="B5036" t="s">
        <v>668</v>
      </c>
      <c r="C5036" t="s">
        <v>270</v>
      </c>
      <c r="D5036" t="s">
        <v>126</v>
      </c>
      <c r="E5036" t="s">
        <v>377</v>
      </c>
      <c r="F5036" t="s">
        <v>310</v>
      </c>
      <c r="G5036" t="s">
        <v>389</v>
      </c>
      <c r="H5036" t="s">
        <v>104</v>
      </c>
      <c r="I5036" t="s">
        <v>743</v>
      </c>
      <c r="J5036" t="s">
        <v>379</v>
      </c>
      <c r="K5036" t="s">
        <v>546</v>
      </c>
      <c r="L5036" s="784" t="s">
        <v>575</v>
      </c>
      <c r="M5036" t="s">
        <v>745</v>
      </c>
      <c r="N5036" s="784" t="s">
        <v>575</v>
      </c>
      <c r="O5036" t="s">
        <v>737</v>
      </c>
      <c r="P5036" t="s">
        <v>750</v>
      </c>
      <c r="R5036" t="s">
        <v>150</v>
      </c>
      <c r="S5036" t="s">
        <v>145</v>
      </c>
      <c r="U5036">
        <v>0</v>
      </c>
      <c r="V5036" t="s">
        <v>541</v>
      </c>
      <c r="W5036" t="s">
        <v>562</v>
      </c>
      <c r="X5036" s="784">
        <v>49012774.055630356</v>
      </c>
    </row>
    <row r="5037" spans="1:24">
      <c r="A5037" t="s">
        <v>358</v>
      </c>
      <c r="B5037" t="s">
        <v>669</v>
      </c>
      <c r="C5037" t="s">
        <v>271</v>
      </c>
      <c r="D5037" t="s">
        <v>128</v>
      </c>
      <c r="E5037" t="s">
        <v>377</v>
      </c>
      <c r="F5037" t="s">
        <v>310</v>
      </c>
      <c r="G5037" t="s">
        <v>389</v>
      </c>
      <c r="H5037" t="s">
        <v>104</v>
      </c>
      <c r="I5037" t="s">
        <v>743</v>
      </c>
      <c r="J5037" t="s">
        <v>379</v>
      </c>
      <c r="K5037" t="s">
        <v>546</v>
      </c>
      <c r="L5037" s="784">
        <v>2620776</v>
      </c>
      <c r="M5037" t="s">
        <v>745</v>
      </c>
      <c r="N5037" s="784" t="s">
        <v>575</v>
      </c>
      <c r="O5037" t="s">
        <v>737</v>
      </c>
      <c r="P5037" t="s">
        <v>750</v>
      </c>
      <c r="R5037" t="s">
        <v>148</v>
      </c>
      <c r="S5037" t="s">
        <v>145</v>
      </c>
      <c r="U5037">
        <v>1</v>
      </c>
      <c r="V5037" t="s">
        <v>544</v>
      </c>
      <c r="W5037" t="s">
        <v>583</v>
      </c>
      <c r="X5037" s="784" t="s">
        <v>575</v>
      </c>
    </row>
    <row r="5038" spans="1:24">
      <c r="A5038" t="s">
        <v>358</v>
      </c>
      <c r="B5038" t="s">
        <v>670</v>
      </c>
      <c r="C5038" t="s">
        <v>272</v>
      </c>
      <c r="D5038" t="s">
        <v>128</v>
      </c>
      <c r="E5038" t="s">
        <v>377</v>
      </c>
      <c r="F5038" t="s">
        <v>310</v>
      </c>
      <c r="G5038" t="s">
        <v>389</v>
      </c>
      <c r="H5038" t="s">
        <v>104</v>
      </c>
      <c r="I5038" t="s">
        <v>743</v>
      </c>
      <c r="J5038" t="s">
        <v>379</v>
      </c>
      <c r="K5038" t="s">
        <v>546</v>
      </c>
      <c r="L5038" s="784" t="s">
        <v>575</v>
      </c>
      <c r="M5038" t="s">
        <v>745</v>
      </c>
      <c r="N5038" s="784" t="s">
        <v>575</v>
      </c>
      <c r="O5038" t="s">
        <v>737</v>
      </c>
      <c r="P5038" t="s">
        <v>750</v>
      </c>
      <c r="R5038" t="s">
        <v>152</v>
      </c>
      <c r="S5038" t="s">
        <v>146</v>
      </c>
      <c r="U5038">
        <v>0</v>
      </c>
      <c r="V5038" t="s">
        <v>544</v>
      </c>
      <c r="W5038" t="s">
        <v>546</v>
      </c>
      <c r="X5038" s="784">
        <v>16429121142.784708</v>
      </c>
    </row>
    <row r="5039" spans="1:24">
      <c r="A5039" t="s">
        <v>358</v>
      </c>
      <c r="B5039" t="s">
        <v>671</v>
      </c>
      <c r="C5039" t="s">
        <v>273</v>
      </c>
      <c r="D5039" t="s">
        <v>128</v>
      </c>
      <c r="E5039" t="s">
        <v>377</v>
      </c>
      <c r="F5039" t="s">
        <v>310</v>
      </c>
      <c r="G5039" t="s">
        <v>389</v>
      </c>
      <c r="H5039" t="s">
        <v>104</v>
      </c>
      <c r="I5039" t="s">
        <v>743</v>
      </c>
      <c r="J5039" t="s">
        <v>379</v>
      </c>
      <c r="K5039" t="s">
        <v>546</v>
      </c>
      <c r="L5039" s="784">
        <v>970391</v>
      </c>
      <c r="M5039" t="s">
        <v>745</v>
      </c>
      <c r="N5039" s="784" t="s">
        <v>575</v>
      </c>
      <c r="O5039" t="s">
        <v>737</v>
      </c>
      <c r="P5039" t="s">
        <v>750</v>
      </c>
      <c r="R5039" t="s">
        <v>148</v>
      </c>
      <c r="S5039" t="s">
        <v>145</v>
      </c>
      <c r="U5039">
        <v>1</v>
      </c>
      <c r="V5039" t="s">
        <v>544</v>
      </c>
      <c r="W5039" t="s">
        <v>542</v>
      </c>
      <c r="X5039" s="784">
        <v>31684581.76217727</v>
      </c>
    </row>
    <row r="5040" spans="1:24">
      <c r="A5040" t="s">
        <v>358</v>
      </c>
      <c r="B5040" t="s">
        <v>672</v>
      </c>
      <c r="C5040" t="s">
        <v>274</v>
      </c>
      <c r="D5040" t="s">
        <v>132</v>
      </c>
      <c r="E5040" t="s">
        <v>377</v>
      </c>
      <c r="F5040" t="s">
        <v>310</v>
      </c>
      <c r="G5040" t="s">
        <v>389</v>
      </c>
      <c r="H5040" t="s">
        <v>104</v>
      </c>
      <c r="I5040" t="s">
        <v>743</v>
      </c>
      <c r="J5040" t="s">
        <v>379</v>
      </c>
      <c r="K5040" t="s">
        <v>546</v>
      </c>
      <c r="L5040" s="784">
        <v>0</v>
      </c>
      <c r="M5040" t="s">
        <v>745</v>
      </c>
      <c r="N5040" s="784" t="s">
        <v>575</v>
      </c>
      <c r="O5040" t="s">
        <v>737</v>
      </c>
      <c r="P5040" t="s">
        <v>750</v>
      </c>
      <c r="R5040" t="s">
        <v>150</v>
      </c>
      <c r="S5040" t="s">
        <v>145</v>
      </c>
      <c r="U5040">
        <v>0</v>
      </c>
      <c r="V5040" t="s">
        <v>544</v>
      </c>
      <c r="W5040" t="s">
        <v>546</v>
      </c>
      <c r="X5040" s="784">
        <v>1373621563.5182886</v>
      </c>
    </row>
    <row r="5041" spans="1:24">
      <c r="A5041" t="s">
        <v>358</v>
      </c>
      <c r="B5041" t="s">
        <v>673</v>
      </c>
      <c r="C5041" t="s">
        <v>275</v>
      </c>
      <c r="D5041" t="s">
        <v>130</v>
      </c>
      <c r="E5041" t="s">
        <v>377</v>
      </c>
      <c r="F5041" t="s">
        <v>310</v>
      </c>
      <c r="G5041" t="s">
        <v>389</v>
      </c>
      <c r="H5041" t="s">
        <v>104</v>
      </c>
      <c r="I5041" t="s">
        <v>743</v>
      </c>
      <c r="J5041" t="s">
        <v>379</v>
      </c>
      <c r="K5041" t="s">
        <v>546</v>
      </c>
      <c r="L5041" s="784" t="s">
        <v>575</v>
      </c>
      <c r="M5041" t="s">
        <v>745</v>
      </c>
      <c r="N5041" s="784" t="s">
        <v>575</v>
      </c>
      <c r="O5041" t="s">
        <v>737</v>
      </c>
      <c r="P5041" t="s">
        <v>750</v>
      </c>
      <c r="R5041" t="s">
        <v>550</v>
      </c>
      <c r="S5041" t="s">
        <v>146</v>
      </c>
      <c r="U5041">
        <v>0</v>
      </c>
      <c r="V5041" t="s">
        <v>541</v>
      </c>
      <c r="W5041" t="s">
        <v>575</v>
      </c>
      <c r="X5041" s="784">
        <v>24214370.889062837</v>
      </c>
    </row>
    <row r="5042" spans="1:24">
      <c r="A5042" t="s">
        <v>358</v>
      </c>
      <c r="B5042" t="s">
        <v>674</v>
      </c>
      <c r="C5042" t="s">
        <v>154</v>
      </c>
      <c r="D5042" t="s">
        <v>130</v>
      </c>
      <c r="E5042" t="s">
        <v>377</v>
      </c>
      <c r="F5042" t="s">
        <v>310</v>
      </c>
      <c r="G5042" t="s">
        <v>389</v>
      </c>
      <c r="H5042" t="s">
        <v>104</v>
      </c>
      <c r="I5042" t="s">
        <v>743</v>
      </c>
      <c r="J5042" t="s">
        <v>379</v>
      </c>
      <c r="K5042" t="s">
        <v>546</v>
      </c>
      <c r="L5042" s="784">
        <v>0</v>
      </c>
      <c r="M5042" t="s">
        <v>745</v>
      </c>
      <c r="N5042" s="784" t="s">
        <v>575</v>
      </c>
      <c r="O5042" t="s">
        <v>737</v>
      </c>
      <c r="P5042" t="s">
        <v>750</v>
      </c>
      <c r="R5042" t="s">
        <v>152</v>
      </c>
      <c r="S5042" t="s">
        <v>145</v>
      </c>
      <c r="U5042">
        <v>0</v>
      </c>
      <c r="V5042" t="s">
        <v>541</v>
      </c>
      <c r="W5042" t="s">
        <v>548</v>
      </c>
      <c r="X5042" s="784">
        <v>39941279.609447442</v>
      </c>
    </row>
    <row r="5043" spans="1:24">
      <c r="A5043" t="s">
        <v>358</v>
      </c>
      <c r="B5043" t="s">
        <v>675</v>
      </c>
      <c r="C5043" t="s">
        <v>155</v>
      </c>
      <c r="D5043" t="s">
        <v>130</v>
      </c>
      <c r="E5043" t="s">
        <v>377</v>
      </c>
      <c r="F5043" t="s">
        <v>310</v>
      </c>
      <c r="G5043" t="s">
        <v>389</v>
      </c>
      <c r="H5043" t="s">
        <v>104</v>
      </c>
      <c r="I5043" t="s">
        <v>743</v>
      </c>
      <c r="J5043" t="s">
        <v>379</v>
      </c>
      <c r="K5043" t="s">
        <v>546</v>
      </c>
      <c r="L5043" s="784">
        <v>0</v>
      </c>
      <c r="M5043" t="s">
        <v>745</v>
      </c>
      <c r="N5043" s="784" t="s">
        <v>575</v>
      </c>
      <c r="O5043" t="s">
        <v>737</v>
      </c>
      <c r="P5043" t="s">
        <v>750</v>
      </c>
      <c r="R5043" t="s">
        <v>152</v>
      </c>
      <c r="S5043" t="s">
        <v>145</v>
      </c>
      <c r="U5043">
        <v>0</v>
      </c>
      <c r="V5043" t="s">
        <v>541</v>
      </c>
      <c r="W5043" t="s">
        <v>542</v>
      </c>
      <c r="X5043" s="784">
        <v>24761675.260059897</v>
      </c>
    </row>
    <row r="5044" spans="1:24">
      <c r="A5044" t="s">
        <v>358</v>
      </c>
      <c r="B5044" t="s">
        <v>676</v>
      </c>
      <c r="C5044" t="s">
        <v>276</v>
      </c>
      <c r="D5044" t="s">
        <v>131</v>
      </c>
      <c r="E5044" t="s">
        <v>377</v>
      </c>
      <c r="F5044" t="s">
        <v>310</v>
      </c>
      <c r="G5044" t="s">
        <v>389</v>
      </c>
      <c r="H5044" t="s">
        <v>104</v>
      </c>
      <c r="I5044" t="s">
        <v>743</v>
      </c>
      <c r="J5044" t="s">
        <v>379</v>
      </c>
      <c r="K5044" t="s">
        <v>546</v>
      </c>
      <c r="L5044" s="784">
        <v>0</v>
      </c>
      <c r="M5044" t="s">
        <v>745</v>
      </c>
      <c r="N5044" s="784" t="s">
        <v>575</v>
      </c>
      <c r="O5044" t="s">
        <v>737</v>
      </c>
      <c r="P5044" t="s">
        <v>750</v>
      </c>
      <c r="R5044" t="s">
        <v>150</v>
      </c>
      <c r="S5044" t="s">
        <v>145</v>
      </c>
      <c r="U5044">
        <v>0</v>
      </c>
      <c r="V5044" t="s">
        <v>544</v>
      </c>
      <c r="W5044" t="s">
        <v>546</v>
      </c>
      <c r="X5044" s="784" t="s">
        <v>575</v>
      </c>
    </row>
    <row r="5045" spans="1:24">
      <c r="A5045" t="s">
        <v>358</v>
      </c>
      <c r="B5045" t="s">
        <v>677</v>
      </c>
      <c r="C5045" t="s">
        <v>277</v>
      </c>
      <c r="D5045" t="s">
        <v>131</v>
      </c>
      <c r="E5045" t="s">
        <v>377</v>
      </c>
      <c r="F5045" t="s">
        <v>310</v>
      </c>
      <c r="G5045" t="s">
        <v>389</v>
      </c>
      <c r="H5045" t="s">
        <v>104</v>
      </c>
      <c r="I5045" t="s">
        <v>743</v>
      </c>
      <c r="J5045" t="s">
        <v>379</v>
      </c>
      <c r="K5045" t="s">
        <v>546</v>
      </c>
      <c r="L5045" s="784">
        <v>1124355</v>
      </c>
      <c r="M5045" t="s">
        <v>745</v>
      </c>
      <c r="N5045" s="784" t="s">
        <v>575</v>
      </c>
      <c r="O5045" t="s">
        <v>737</v>
      </c>
      <c r="P5045" t="s">
        <v>750</v>
      </c>
      <c r="R5045" t="s">
        <v>148</v>
      </c>
      <c r="S5045" t="s">
        <v>145</v>
      </c>
      <c r="U5045">
        <v>1</v>
      </c>
      <c r="V5045" t="s">
        <v>544</v>
      </c>
      <c r="W5045" t="s">
        <v>546</v>
      </c>
      <c r="X5045" s="784">
        <v>577156172.71229994</v>
      </c>
    </row>
    <row r="5046" spans="1:24">
      <c r="A5046" t="s">
        <v>358</v>
      </c>
      <c r="B5046" t="s">
        <v>678</v>
      </c>
      <c r="C5046" t="s">
        <v>278</v>
      </c>
      <c r="D5046" t="s">
        <v>126</v>
      </c>
      <c r="E5046" t="s">
        <v>377</v>
      </c>
      <c r="F5046" t="s">
        <v>310</v>
      </c>
      <c r="G5046" t="s">
        <v>389</v>
      </c>
      <c r="H5046" t="s">
        <v>104</v>
      </c>
      <c r="I5046" t="s">
        <v>743</v>
      </c>
      <c r="J5046" t="s">
        <v>379</v>
      </c>
      <c r="K5046" t="s">
        <v>546</v>
      </c>
      <c r="L5046" s="784" t="s">
        <v>575</v>
      </c>
      <c r="M5046" t="s">
        <v>745</v>
      </c>
      <c r="N5046" s="784" t="s">
        <v>575</v>
      </c>
      <c r="O5046" t="s">
        <v>737</v>
      </c>
      <c r="P5046" t="s">
        <v>750</v>
      </c>
      <c r="R5046" t="s">
        <v>152</v>
      </c>
      <c r="S5046" t="s">
        <v>146</v>
      </c>
      <c r="U5046">
        <v>0</v>
      </c>
      <c r="V5046" t="s">
        <v>541</v>
      </c>
      <c r="W5046" t="s">
        <v>575</v>
      </c>
      <c r="X5046" s="784">
        <v>180052034.19851837</v>
      </c>
    </row>
    <row r="5047" spans="1:24">
      <c r="A5047" t="s">
        <v>358</v>
      </c>
      <c r="B5047" t="s">
        <v>679</v>
      </c>
      <c r="C5047" t="s">
        <v>279</v>
      </c>
      <c r="D5047" t="s">
        <v>131</v>
      </c>
      <c r="E5047" t="s">
        <v>377</v>
      </c>
      <c r="F5047" t="s">
        <v>310</v>
      </c>
      <c r="G5047" t="s">
        <v>389</v>
      </c>
      <c r="H5047" t="s">
        <v>104</v>
      </c>
      <c r="I5047" t="s">
        <v>743</v>
      </c>
      <c r="J5047" t="s">
        <v>379</v>
      </c>
      <c r="K5047" t="s">
        <v>546</v>
      </c>
      <c r="L5047" s="784">
        <v>1725869</v>
      </c>
      <c r="M5047" t="s">
        <v>745</v>
      </c>
      <c r="N5047" s="784" t="s">
        <v>575</v>
      </c>
      <c r="O5047" t="s">
        <v>737</v>
      </c>
      <c r="P5047" t="s">
        <v>750</v>
      </c>
      <c r="R5047" t="s">
        <v>148</v>
      </c>
      <c r="S5047" t="s">
        <v>145</v>
      </c>
      <c r="U5047">
        <v>1</v>
      </c>
      <c r="V5047" t="s">
        <v>544</v>
      </c>
      <c r="W5047" t="s">
        <v>546</v>
      </c>
      <c r="X5047" s="784" t="s">
        <v>575</v>
      </c>
    </row>
    <row r="5048" spans="1:24">
      <c r="A5048" t="s">
        <v>358</v>
      </c>
      <c r="B5048" t="s">
        <v>680</v>
      </c>
      <c r="C5048" t="s">
        <v>280</v>
      </c>
      <c r="D5048" t="s">
        <v>127</v>
      </c>
      <c r="E5048" t="s">
        <v>377</v>
      </c>
      <c r="F5048" t="s">
        <v>310</v>
      </c>
      <c r="G5048" t="s">
        <v>389</v>
      </c>
      <c r="H5048" t="s">
        <v>104</v>
      </c>
      <c r="I5048" t="s">
        <v>743</v>
      </c>
      <c r="J5048" t="s">
        <v>379</v>
      </c>
      <c r="K5048" t="s">
        <v>546</v>
      </c>
      <c r="L5048" s="784">
        <v>276360</v>
      </c>
      <c r="M5048" t="s">
        <v>745</v>
      </c>
      <c r="N5048" s="784" t="s">
        <v>575</v>
      </c>
      <c r="O5048" t="s">
        <v>737</v>
      </c>
      <c r="P5048" t="s">
        <v>750</v>
      </c>
      <c r="R5048" t="s">
        <v>150</v>
      </c>
      <c r="S5048" t="s">
        <v>145</v>
      </c>
      <c r="U5048">
        <v>0</v>
      </c>
      <c r="V5048" t="s">
        <v>544</v>
      </c>
      <c r="W5048" t="s">
        <v>542</v>
      </c>
      <c r="X5048" s="784">
        <v>147296124.32232863</v>
      </c>
    </row>
    <row r="5049" spans="1:24">
      <c r="A5049" t="s">
        <v>358</v>
      </c>
      <c r="B5049" t="s">
        <v>681</v>
      </c>
      <c r="C5049" t="s">
        <v>156</v>
      </c>
      <c r="D5049" t="s">
        <v>128</v>
      </c>
      <c r="E5049" t="s">
        <v>377</v>
      </c>
      <c r="F5049" t="s">
        <v>310</v>
      </c>
      <c r="G5049" t="s">
        <v>389</v>
      </c>
      <c r="H5049" t="s">
        <v>104</v>
      </c>
      <c r="I5049" t="s">
        <v>743</v>
      </c>
      <c r="J5049" t="s">
        <v>379</v>
      </c>
      <c r="K5049" t="s">
        <v>546</v>
      </c>
      <c r="L5049" s="784">
        <v>0</v>
      </c>
      <c r="M5049" t="s">
        <v>745</v>
      </c>
      <c r="N5049" s="784" t="s">
        <v>575</v>
      </c>
      <c r="O5049" t="s">
        <v>737</v>
      </c>
      <c r="P5049" t="s">
        <v>750</v>
      </c>
      <c r="R5049" t="s">
        <v>150</v>
      </c>
      <c r="S5049" t="s">
        <v>145</v>
      </c>
      <c r="U5049">
        <v>0</v>
      </c>
      <c r="V5049" t="s">
        <v>544</v>
      </c>
      <c r="W5049" t="s">
        <v>548</v>
      </c>
      <c r="X5049" s="784">
        <v>890576536.83065879</v>
      </c>
    </row>
    <row r="5050" spans="1:24">
      <c r="A5050" t="s">
        <v>358</v>
      </c>
      <c r="B5050" t="s">
        <v>682</v>
      </c>
      <c r="C5050" t="s">
        <v>157</v>
      </c>
      <c r="D5050" t="s">
        <v>126</v>
      </c>
      <c r="E5050" t="s">
        <v>377</v>
      </c>
      <c r="F5050" t="s">
        <v>310</v>
      </c>
      <c r="G5050" t="s">
        <v>389</v>
      </c>
      <c r="H5050" t="s">
        <v>104</v>
      </c>
      <c r="I5050" t="s">
        <v>743</v>
      </c>
      <c r="J5050" t="s">
        <v>379</v>
      </c>
      <c r="K5050" t="s">
        <v>546</v>
      </c>
      <c r="L5050" s="784" t="s">
        <v>575</v>
      </c>
      <c r="M5050" t="s">
        <v>745</v>
      </c>
      <c r="N5050" s="784" t="s">
        <v>575</v>
      </c>
      <c r="O5050" t="s">
        <v>737</v>
      </c>
      <c r="P5050" t="s">
        <v>750</v>
      </c>
      <c r="R5050" t="s">
        <v>152</v>
      </c>
      <c r="S5050" t="s">
        <v>146</v>
      </c>
      <c r="U5050">
        <v>0</v>
      </c>
      <c r="V5050" t="s">
        <v>544</v>
      </c>
      <c r="W5050" t="s">
        <v>575</v>
      </c>
      <c r="X5050" s="784">
        <v>14611129792.346064</v>
      </c>
    </row>
    <row r="5051" spans="1:24">
      <c r="A5051" t="s">
        <v>358</v>
      </c>
      <c r="B5051" t="s">
        <v>683</v>
      </c>
      <c r="C5051" t="s">
        <v>281</v>
      </c>
      <c r="D5051" t="s">
        <v>126</v>
      </c>
      <c r="E5051" t="s">
        <v>377</v>
      </c>
      <c r="F5051" t="s">
        <v>310</v>
      </c>
      <c r="G5051" t="s">
        <v>389</v>
      </c>
      <c r="H5051" t="s">
        <v>104</v>
      </c>
      <c r="I5051" t="s">
        <v>743</v>
      </c>
      <c r="J5051" t="s">
        <v>379</v>
      </c>
      <c r="K5051" t="s">
        <v>546</v>
      </c>
      <c r="L5051" s="784">
        <v>0</v>
      </c>
      <c r="M5051" t="s">
        <v>745</v>
      </c>
      <c r="N5051" s="784" t="s">
        <v>575</v>
      </c>
      <c r="O5051" t="s">
        <v>737</v>
      </c>
      <c r="P5051" t="s">
        <v>750</v>
      </c>
      <c r="R5051" t="s">
        <v>150</v>
      </c>
      <c r="S5051" t="s">
        <v>145</v>
      </c>
      <c r="U5051">
        <v>0</v>
      </c>
      <c r="V5051" t="s">
        <v>541</v>
      </c>
      <c r="W5051" t="s">
        <v>558</v>
      </c>
      <c r="X5051" s="784">
        <v>72046877.233008593</v>
      </c>
    </row>
    <row r="5052" spans="1:24">
      <c r="A5052" t="s">
        <v>358</v>
      </c>
      <c r="B5052" t="s">
        <v>684</v>
      </c>
      <c r="C5052" t="s">
        <v>282</v>
      </c>
      <c r="D5052" t="s">
        <v>129</v>
      </c>
      <c r="E5052" t="s">
        <v>377</v>
      </c>
      <c r="F5052" t="s">
        <v>310</v>
      </c>
      <c r="G5052" t="s">
        <v>389</v>
      </c>
      <c r="H5052" t="s">
        <v>104</v>
      </c>
      <c r="I5052" t="s">
        <v>743</v>
      </c>
      <c r="J5052" t="s">
        <v>379</v>
      </c>
      <c r="K5052" t="s">
        <v>546</v>
      </c>
      <c r="L5052" s="784">
        <v>0</v>
      </c>
      <c r="M5052" t="s">
        <v>745</v>
      </c>
      <c r="N5052" s="784" t="s">
        <v>575</v>
      </c>
      <c r="O5052" t="s">
        <v>737</v>
      </c>
      <c r="P5052" t="s">
        <v>750</v>
      </c>
      <c r="R5052" t="s">
        <v>148</v>
      </c>
      <c r="S5052" t="s">
        <v>145</v>
      </c>
      <c r="U5052">
        <v>0</v>
      </c>
      <c r="V5052" t="s">
        <v>544</v>
      </c>
      <c r="W5052" t="s">
        <v>542</v>
      </c>
      <c r="X5052" s="784">
        <v>56248139.267255567</v>
      </c>
    </row>
    <row r="5053" spans="1:24">
      <c r="A5053" t="s">
        <v>358</v>
      </c>
      <c r="B5053" t="s">
        <v>685</v>
      </c>
      <c r="C5053" t="s">
        <v>283</v>
      </c>
      <c r="D5053" t="s">
        <v>126</v>
      </c>
      <c r="E5053" t="s">
        <v>377</v>
      </c>
      <c r="F5053" t="s">
        <v>310</v>
      </c>
      <c r="G5053" t="s">
        <v>389</v>
      </c>
      <c r="H5053" t="s">
        <v>104</v>
      </c>
      <c r="I5053" t="s">
        <v>743</v>
      </c>
      <c r="J5053" t="s">
        <v>379</v>
      </c>
      <c r="K5053" t="s">
        <v>546</v>
      </c>
      <c r="L5053" s="784">
        <v>0</v>
      </c>
      <c r="M5053" t="s">
        <v>745</v>
      </c>
      <c r="N5053" s="784" t="s">
        <v>575</v>
      </c>
      <c r="O5053" t="s">
        <v>737</v>
      </c>
      <c r="P5053" t="s">
        <v>750</v>
      </c>
      <c r="R5053" t="s">
        <v>152</v>
      </c>
      <c r="S5053" t="s">
        <v>145</v>
      </c>
      <c r="U5053">
        <v>0</v>
      </c>
      <c r="V5053" t="s">
        <v>541</v>
      </c>
      <c r="W5053" t="s">
        <v>542</v>
      </c>
      <c r="X5053" s="784">
        <v>15464031.712942109</v>
      </c>
    </row>
    <row r="5054" spans="1:24">
      <c r="A5054" t="s">
        <v>358</v>
      </c>
      <c r="B5054" t="s">
        <v>686</v>
      </c>
      <c r="C5054" t="s">
        <v>284</v>
      </c>
      <c r="D5054" t="s">
        <v>130</v>
      </c>
      <c r="E5054" t="s">
        <v>377</v>
      </c>
      <c r="F5054" t="s">
        <v>310</v>
      </c>
      <c r="G5054" t="s">
        <v>389</v>
      </c>
      <c r="H5054" t="s">
        <v>104</v>
      </c>
      <c r="I5054" t="s">
        <v>743</v>
      </c>
      <c r="J5054" t="s">
        <v>379</v>
      </c>
      <c r="K5054" t="s">
        <v>546</v>
      </c>
      <c r="L5054" s="784" t="s">
        <v>575</v>
      </c>
      <c r="M5054" t="s">
        <v>745</v>
      </c>
      <c r="N5054" s="784" t="s">
        <v>575</v>
      </c>
      <c r="O5054" t="s">
        <v>737</v>
      </c>
      <c r="P5054" t="s">
        <v>750</v>
      </c>
      <c r="R5054" t="s">
        <v>550</v>
      </c>
      <c r="S5054" t="s">
        <v>146</v>
      </c>
      <c r="U5054">
        <v>0</v>
      </c>
      <c r="V5054" t="s">
        <v>541</v>
      </c>
      <c r="W5054" t="s">
        <v>546</v>
      </c>
      <c r="X5054" s="784">
        <v>769564399.33249676</v>
      </c>
    </row>
    <row r="5055" spans="1:24">
      <c r="A5055" t="s">
        <v>358</v>
      </c>
      <c r="B5055" t="s">
        <v>687</v>
      </c>
      <c r="C5055" t="s">
        <v>285</v>
      </c>
      <c r="D5055" t="s">
        <v>131</v>
      </c>
      <c r="E5055" t="s">
        <v>377</v>
      </c>
      <c r="F5055" t="s">
        <v>310</v>
      </c>
      <c r="G5055" t="s">
        <v>389</v>
      </c>
      <c r="H5055" t="s">
        <v>104</v>
      </c>
      <c r="I5055" t="s">
        <v>743</v>
      </c>
      <c r="J5055" t="s">
        <v>379</v>
      </c>
      <c r="K5055" t="s">
        <v>546</v>
      </c>
      <c r="L5055" s="784">
        <v>0</v>
      </c>
      <c r="M5055" t="s">
        <v>745</v>
      </c>
      <c r="N5055" s="784" t="s">
        <v>575</v>
      </c>
      <c r="O5055" t="s">
        <v>737</v>
      </c>
      <c r="P5055" t="s">
        <v>750</v>
      </c>
      <c r="R5055" t="s">
        <v>150</v>
      </c>
      <c r="S5055" t="s">
        <v>145</v>
      </c>
      <c r="U5055">
        <v>0</v>
      </c>
      <c r="V5055" t="s">
        <v>544</v>
      </c>
      <c r="W5055" t="s">
        <v>546</v>
      </c>
      <c r="X5055" s="784">
        <v>1668954539.7630196</v>
      </c>
    </row>
    <row r="5056" spans="1:24">
      <c r="A5056" t="s">
        <v>358</v>
      </c>
      <c r="B5056" t="s">
        <v>688</v>
      </c>
      <c r="C5056" t="s">
        <v>286</v>
      </c>
      <c r="D5056" t="s">
        <v>127</v>
      </c>
      <c r="E5056" t="s">
        <v>377</v>
      </c>
      <c r="F5056" t="s">
        <v>310</v>
      </c>
      <c r="G5056" t="s">
        <v>389</v>
      </c>
      <c r="H5056" t="s">
        <v>104</v>
      </c>
      <c r="I5056" t="s">
        <v>743</v>
      </c>
      <c r="J5056" t="s">
        <v>379</v>
      </c>
      <c r="K5056" t="s">
        <v>546</v>
      </c>
      <c r="L5056" s="784" t="s">
        <v>575</v>
      </c>
      <c r="M5056" t="s">
        <v>745</v>
      </c>
      <c r="N5056" s="784" t="s">
        <v>575</v>
      </c>
      <c r="O5056" t="s">
        <v>737</v>
      </c>
      <c r="P5056" t="s">
        <v>750</v>
      </c>
      <c r="R5056" t="s">
        <v>152</v>
      </c>
      <c r="S5056" t="s">
        <v>146</v>
      </c>
      <c r="U5056">
        <v>0</v>
      </c>
      <c r="V5056" t="s">
        <v>544</v>
      </c>
      <c r="W5056" t="s">
        <v>575</v>
      </c>
      <c r="X5056" s="784">
        <v>24840920016.18832</v>
      </c>
    </row>
    <row r="5057" spans="1:24">
      <c r="A5057" t="s">
        <v>358</v>
      </c>
      <c r="B5057" t="s">
        <v>689</v>
      </c>
      <c r="C5057" t="s">
        <v>287</v>
      </c>
      <c r="D5057" t="s">
        <v>127</v>
      </c>
      <c r="E5057" t="s">
        <v>377</v>
      </c>
      <c r="F5057" t="s">
        <v>310</v>
      </c>
      <c r="G5057" t="s">
        <v>389</v>
      </c>
      <c r="H5057" t="s">
        <v>104</v>
      </c>
      <c r="I5057" t="s">
        <v>743</v>
      </c>
      <c r="J5057" t="s">
        <v>379</v>
      </c>
      <c r="K5057" t="s">
        <v>546</v>
      </c>
      <c r="L5057" s="784" t="s">
        <v>575</v>
      </c>
      <c r="M5057" t="s">
        <v>745</v>
      </c>
      <c r="N5057" s="784" t="s">
        <v>575</v>
      </c>
      <c r="O5057" t="s">
        <v>737</v>
      </c>
      <c r="P5057" t="s">
        <v>750</v>
      </c>
      <c r="R5057" t="s">
        <v>152</v>
      </c>
      <c r="S5057" t="s">
        <v>146</v>
      </c>
      <c r="U5057">
        <v>0</v>
      </c>
      <c r="V5057" t="s">
        <v>544</v>
      </c>
      <c r="W5057" t="s">
        <v>546</v>
      </c>
      <c r="X5057" s="784">
        <v>487888462.83720118</v>
      </c>
    </row>
    <row r="5058" spans="1:24">
      <c r="A5058" t="s">
        <v>358</v>
      </c>
      <c r="B5058" t="s">
        <v>690</v>
      </c>
      <c r="C5058" t="s">
        <v>288</v>
      </c>
      <c r="D5058" t="s">
        <v>126</v>
      </c>
      <c r="E5058" t="s">
        <v>377</v>
      </c>
      <c r="F5058" t="s">
        <v>310</v>
      </c>
      <c r="G5058" t="s">
        <v>389</v>
      </c>
      <c r="H5058" t="s">
        <v>104</v>
      </c>
      <c r="I5058" t="s">
        <v>743</v>
      </c>
      <c r="J5058" t="s">
        <v>379</v>
      </c>
      <c r="K5058" t="s">
        <v>546</v>
      </c>
      <c r="L5058" s="784">
        <v>0</v>
      </c>
      <c r="M5058" t="s">
        <v>745</v>
      </c>
      <c r="N5058" s="784" t="s">
        <v>575</v>
      </c>
      <c r="O5058" t="s">
        <v>737</v>
      </c>
      <c r="P5058" t="s">
        <v>750</v>
      </c>
      <c r="R5058" t="s">
        <v>152</v>
      </c>
      <c r="S5058" t="s">
        <v>145</v>
      </c>
      <c r="U5058">
        <v>0</v>
      </c>
      <c r="V5058" t="s">
        <v>541</v>
      </c>
      <c r="W5058" t="s">
        <v>548</v>
      </c>
      <c r="X5058" s="784">
        <v>6365061.1736073596</v>
      </c>
    </row>
    <row r="5059" spans="1:24">
      <c r="A5059" t="s">
        <v>358</v>
      </c>
      <c r="B5059" t="s">
        <v>691</v>
      </c>
      <c r="C5059" t="s">
        <v>289</v>
      </c>
      <c r="D5059" t="s">
        <v>128</v>
      </c>
      <c r="E5059" t="s">
        <v>377</v>
      </c>
      <c r="F5059" t="s">
        <v>310</v>
      </c>
      <c r="G5059" t="s">
        <v>389</v>
      </c>
      <c r="H5059" t="s">
        <v>104</v>
      </c>
      <c r="I5059" t="s">
        <v>743</v>
      </c>
      <c r="J5059" t="s">
        <v>379</v>
      </c>
      <c r="K5059" t="s">
        <v>546</v>
      </c>
      <c r="L5059" s="784">
        <v>0</v>
      </c>
      <c r="M5059" t="s">
        <v>745</v>
      </c>
      <c r="N5059" s="784" t="s">
        <v>575</v>
      </c>
      <c r="O5059" t="s">
        <v>737</v>
      </c>
      <c r="P5059" t="s">
        <v>750</v>
      </c>
      <c r="R5059" t="s">
        <v>148</v>
      </c>
      <c r="S5059" t="s">
        <v>145</v>
      </c>
      <c r="U5059">
        <v>2</v>
      </c>
      <c r="V5059" t="s">
        <v>544</v>
      </c>
      <c r="W5059" t="s">
        <v>558</v>
      </c>
      <c r="X5059" s="784">
        <v>291799092.90196139</v>
      </c>
    </row>
    <row r="5060" spans="1:24">
      <c r="A5060" t="s">
        <v>358</v>
      </c>
      <c r="B5060" t="s">
        <v>692</v>
      </c>
      <c r="C5060" t="s">
        <v>290</v>
      </c>
      <c r="D5060" t="s">
        <v>127</v>
      </c>
      <c r="E5060" t="s">
        <v>377</v>
      </c>
      <c r="F5060" t="s">
        <v>310</v>
      </c>
      <c r="G5060" t="s">
        <v>389</v>
      </c>
      <c r="H5060" t="s">
        <v>104</v>
      </c>
      <c r="I5060" t="s">
        <v>743</v>
      </c>
      <c r="J5060" t="s">
        <v>379</v>
      </c>
      <c r="K5060" t="s">
        <v>546</v>
      </c>
      <c r="L5060" s="784">
        <v>0</v>
      </c>
      <c r="M5060" t="s">
        <v>745</v>
      </c>
      <c r="N5060" s="784" t="s">
        <v>575</v>
      </c>
      <c r="O5060" t="s">
        <v>737</v>
      </c>
      <c r="P5060" t="s">
        <v>750</v>
      </c>
      <c r="R5060" t="s">
        <v>150</v>
      </c>
      <c r="S5060" t="s">
        <v>145</v>
      </c>
      <c r="U5060">
        <v>0</v>
      </c>
      <c r="V5060" t="s">
        <v>544</v>
      </c>
      <c r="W5060" t="s">
        <v>546</v>
      </c>
      <c r="X5060" s="784">
        <v>4844815340.2135534</v>
      </c>
    </row>
    <row r="5061" spans="1:24">
      <c r="A5061" t="s">
        <v>358</v>
      </c>
      <c r="B5061" t="s">
        <v>693</v>
      </c>
      <c r="C5061" t="s">
        <v>291</v>
      </c>
      <c r="D5061" t="s">
        <v>130</v>
      </c>
      <c r="E5061" t="s">
        <v>377</v>
      </c>
      <c r="F5061" t="s">
        <v>310</v>
      </c>
      <c r="G5061" t="s">
        <v>389</v>
      </c>
      <c r="H5061" t="s">
        <v>104</v>
      </c>
      <c r="I5061" t="s">
        <v>743</v>
      </c>
      <c r="J5061" t="s">
        <v>379</v>
      </c>
      <c r="K5061" t="s">
        <v>546</v>
      </c>
      <c r="L5061" s="784" t="s">
        <v>575</v>
      </c>
      <c r="M5061" t="s">
        <v>745</v>
      </c>
      <c r="N5061" s="784" t="s">
        <v>575</v>
      </c>
      <c r="O5061" t="s">
        <v>737</v>
      </c>
      <c r="P5061" t="s">
        <v>750</v>
      </c>
      <c r="R5061" t="s">
        <v>550</v>
      </c>
      <c r="S5061" t="s">
        <v>146</v>
      </c>
      <c r="U5061">
        <v>0</v>
      </c>
      <c r="V5061" t="s">
        <v>544</v>
      </c>
      <c r="W5061" t="s">
        <v>575</v>
      </c>
      <c r="X5061" s="784">
        <v>4001891446.6871672</v>
      </c>
    </row>
    <row r="5062" spans="1:24">
      <c r="A5062" t="s">
        <v>358</v>
      </c>
      <c r="B5062" t="s">
        <v>694</v>
      </c>
      <c r="C5062" t="s">
        <v>292</v>
      </c>
      <c r="D5062" t="s">
        <v>127</v>
      </c>
      <c r="E5062" t="s">
        <v>377</v>
      </c>
      <c r="F5062" t="s">
        <v>310</v>
      </c>
      <c r="G5062" t="s">
        <v>389</v>
      </c>
      <c r="H5062" t="s">
        <v>104</v>
      </c>
      <c r="I5062" t="s">
        <v>743</v>
      </c>
      <c r="J5062" t="s">
        <v>379</v>
      </c>
      <c r="K5062" t="s">
        <v>546</v>
      </c>
      <c r="L5062" s="784">
        <v>1981860</v>
      </c>
      <c r="M5062" t="s">
        <v>745</v>
      </c>
      <c r="N5062" s="784" t="s">
        <v>575</v>
      </c>
      <c r="O5062" t="s">
        <v>737</v>
      </c>
      <c r="P5062" t="s">
        <v>750</v>
      </c>
      <c r="R5062" t="s">
        <v>150</v>
      </c>
      <c r="S5062" t="s">
        <v>145</v>
      </c>
      <c r="U5062">
        <v>0</v>
      </c>
      <c r="V5062" t="s">
        <v>544</v>
      </c>
      <c r="W5062" t="s">
        <v>558</v>
      </c>
      <c r="X5062" s="784">
        <v>1019800630.5853213</v>
      </c>
    </row>
    <row r="5063" spans="1:24">
      <c r="A5063" t="s">
        <v>358</v>
      </c>
      <c r="B5063" t="s">
        <v>695</v>
      </c>
      <c r="C5063" t="s">
        <v>293</v>
      </c>
      <c r="D5063" t="s">
        <v>126</v>
      </c>
      <c r="E5063" t="s">
        <v>377</v>
      </c>
      <c r="F5063" t="s">
        <v>310</v>
      </c>
      <c r="G5063" t="s">
        <v>389</v>
      </c>
      <c r="H5063" t="s">
        <v>104</v>
      </c>
      <c r="I5063" t="s">
        <v>743</v>
      </c>
      <c r="J5063" t="s">
        <v>379</v>
      </c>
      <c r="K5063" t="s">
        <v>546</v>
      </c>
      <c r="L5063" s="784">
        <v>0</v>
      </c>
      <c r="M5063" t="s">
        <v>745</v>
      </c>
      <c r="N5063" s="784" t="s">
        <v>575</v>
      </c>
      <c r="O5063" t="s">
        <v>737</v>
      </c>
      <c r="P5063" t="s">
        <v>750</v>
      </c>
      <c r="R5063" t="s">
        <v>150</v>
      </c>
      <c r="S5063" t="s">
        <v>145</v>
      </c>
      <c r="U5063">
        <v>0</v>
      </c>
      <c r="V5063" t="s">
        <v>541</v>
      </c>
      <c r="W5063" t="s">
        <v>562</v>
      </c>
      <c r="X5063" s="784">
        <v>19578671.310841195</v>
      </c>
    </row>
    <row r="5064" spans="1:24">
      <c r="A5064" t="s">
        <v>358</v>
      </c>
      <c r="B5064" t="s">
        <v>696</v>
      </c>
      <c r="C5064" t="s">
        <v>294</v>
      </c>
      <c r="D5064" t="s">
        <v>130</v>
      </c>
      <c r="E5064" t="s">
        <v>377</v>
      </c>
      <c r="F5064" t="s">
        <v>310</v>
      </c>
      <c r="G5064" t="s">
        <v>389</v>
      </c>
      <c r="H5064" t="s">
        <v>104</v>
      </c>
      <c r="I5064" t="s">
        <v>743</v>
      </c>
      <c r="J5064" t="s">
        <v>379</v>
      </c>
      <c r="K5064" t="s">
        <v>546</v>
      </c>
      <c r="L5064" s="784" t="s">
        <v>575</v>
      </c>
      <c r="M5064" t="s">
        <v>745</v>
      </c>
      <c r="N5064" s="784" t="s">
        <v>575</v>
      </c>
      <c r="O5064" t="s">
        <v>737</v>
      </c>
      <c r="P5064" t="s">
        <v>750</v>
      </c>
      <c r="R5064" t="s">
        <v>322</v>
      </c>
      <c r="S5064" t="s">
        <v>146</v>
      </c>
      <c r="U5064">
        <v>0</v>
      </c>
      <c r="V5064" t="s">
        <v>544</v>
      </c>
      <c r="W5064" t="s">
        <v>546</v>
      </c>
      <c r="X5064" s="784">
        <v>3551452001.0684834</v>
      </c>
    </row>
    <row r="5065" spans="1:24">
      <c r="A5065" t="s">
        <v>358</v>
      </c>
      <c r="B5065" t="s">
        <v>697</v>
      </c>
      <c r="C5065" t="s">
        <v>295</v>
      </c>
      <c r="D5065" t="s">
        <v>126</v>
      </c>
      <c r="E5065" t="s">
        <v>377</v>
      </c>
      <c r="F5065" t="s">
        <v>310</v>
      </c>
      <c r="G5065" t="s">
        <v>389</v>
      </c>
      <c r="H5065" t="s">
        <v>104</v>
      </c>
      <c r="I5065" t="s">
        <v>743</v>
      </c>
      <c r="J5065" t="s">
        <v>379</v>
      </c>
      <c r="K5065" t="s">
        <v>546</v>
      </c>
      <c r="L5065" s="784">
        <v>822197</v>
      </c>
      <c r="M5065" t="s">
        <v>745</v>
      </c>
      <c r="N5065" s="784" t="s">
        <v>575</v>
      </c>
      <c r="O5065" t="s">
        <v>737</v>
      </c>
      <c r="P5065" t="s">
        <v>750</v>
      </c>
      <c r="R5065" t="s">
        <v>150</v>
      </c>
      <c r="S5065" t="s">
        <v>145</v>
      </c>
      <c r="U5065">
        <v>0</v>
      </c>
      <c r="V5065" t="s">
        <v>544</v>
      </c>
      <c r="W5065" t="s">
        <v>546</v>
      </c>
      <c r="X5065" s="784">
        <v>6603048821.7575006</v>
      </c>
    </row>
    <row r="5066" spans="1:24">
      <c r="A5066" t="s">
        <v>358</v>
      </c>
      <c r="B5066" t="s">
        <v>698</v>
      </c>
      <c r="C5066" t="s">
        <v>296</v>
      </c>
      <c r="D5066" t="s">
        <v>131</v>
      </c>
      <c r="E5066" t="s">
        <v>377</v>
      </c>
      <c r="F5066" t="s">
        <v>310</v>
      </c>
      <c r="G5066" t="s">
        <v>389</v>
      </c>
      <c r="H5066" t="s">
        <v>104</v>
      </c>
      <c r="I5066" t="s">
        <v>743</v>
      </c>
      <c r="J5066" t="s">
        <v>379</v>
      </c>
      <c r="K5066" t="s">
        <v>546</v>
      </c>
      <c r="L5066" s="784">
        <v>1043077</v>
      </c>
      <c r="M5066" t="s">
        <v>745</v>
      </c>
      <c r="N5066" s="784" t="s">
        <v>575</v>
      </c>
      <c r="O5066" t="s">
        <v>737</v>
      </c>
      <c r="P5066" t="s">
        <v>750</v>
      </c>
      <c r="R5066" t="s">
        <v>148</v>
      </c>
      <c r="S5066" t="s">
        <v>145</v>
      </c>
      <c r="U5066">
        <v>1</v>
      </c>
      <c r="V5066" t="s">
        <v>544</v>
      </c>
      <c r="W5066" t="s">
        <v>548</v>
      </c>
      <c r="X5066" s="784" t="s">
        <v>575</v>
      </c>
    </row>
    <row r="5067" spans="1:24">
      <c r="A5067" t="s">
        <v>358</v>
      </c>
      <c r="B5067" t="s">
        <v>699</v>
      </c>
      <c r="C5067" t="s">
        <v>297</v>
      </c>
      <c r="D5067" t="s">
        <v>128</v>
      </c>
      <c r="E5067" t="s">
        <v>377</v>
      </c>
      <c r="F5067" t="s">
        <v>310</v>
      </c>
      <c r="G5067" t="s">
        <v>389</v>
      </c>
      <c r="H5067" t="s">
        <v>104</v>
      </c>
      <c r="I5067" t="s">
        <v>743</v>
      </c>
      <c r="J5067" t="s">
        <v>379</v>
      </c>
      <c r="K5067" t="s">
        <v>546</v>
      </c>
      <c r="L5067" s="784">
        <v>637595</v>
      </c>
      <c r="M5067" t="s">
        <v>745</v>
      </c>
      <c r="N5067" s="784" t="s">
        <v>575</v>
      </c>
      <c r="O5067" t="s">
        <v>737</v>
      </c>
      <c r="P5067" t="s">
        <v>750</v>
      </c>
      <c r="R5067" t="s">
        <v>150</v>
      </c>
      <c r="S5067" t="s">
        <v>145</v>
      </c>
      <c r="U5067">
        <v>0</v>
      </c>
      <c r="V5067" t="s">
        <v>544</v>
      </c>
      <c r="W5067" t="s">
        <v>542</v>
      </c>
      <c r="X5067" s="784">
        <v>515352723.9821828</v>
      </c>
    </row>
    <row r="5068" spans="1:24">
      <c r="A5068" t="s">
        <v>358</v>
      </c>
      <c r="B5068" t="s">
        <v>700</v>
      </c>
      <c r="C5068" t="s">
        <v>298</v>
      </c>
      <c r="D5068" t="s">
        <v>128</v>
      </c>
      <c r="E5068" t="s">
        <v>377</v>
      </c>
      <c r="F5068" t="s">
        <v>310</v>
      </c>
      <c r="G5068" t="s">
        <v>389</v>
      </c>
      <c r="H5068" t="s">
        <v>104</v>
      </c>
      <c r="I5068" t="s">
        <v>743</v>
      </c>
      <c r="J5068" t="s">
        <v>379</v>
      </c>
      <c r="K5068" t="s">
        <v>546</v>
      </c>
      <c r="L5068" s="784">
        <v>1157210</v>
      </c>
      <c r="M5068" t="s">
        <v>745</v>
      </c>
      <c r="N5068" s="784" t="s">
        <v>575</v>
      </c>
      <c r="O5068" t="s">
        <v>737</v>
      </c>
      <c r="P5068" t="s">
        <v>750</v>
      </c>
      <c r="R5068" t="s">
        <v>150</v>
      </c>
      <c r="S5068" t="s">
        <v>145</v>
      </c>
      <c r="U5068">
        <v>0</v>
      </c>
      <c r="V5068" t="s">
        <v>544</v>
      </c>
      <c r="W5068" t="s">
        <v>546</v>
      </c>
      <c r="X5068" s="784">
        <v>566711742.22428358</v>
      </c>
    </row>
    <row r="5069" spans="1:24">
      <c r="A5069" t="s">
        <v>358</v>
      </c>
      <c r="B5069" t="s">
        <v>681</v>
      </c>
      <c r="C5069" t="s">
        <v>156</v>
      </c>
      <c r="D5069" t="s">
        <v>128</v>
      </c>
      <c r="E5069" t="s">
        <v>377</v>
      </c>
      <c r="F5069" t="s">
        <v>384</v>
      </c>
      <c r="G5069" t="s">
        <v>93</v>
      </c>
      <c r="H5069" t="s">
        <v>749</v>
      </c>
      <c r="I5069" t="s">
        <v>743</v>
      </c>
      <c r="J5069" t="s">
        <v>379</v>
      </c>
      <c r="K5069" t="s">
        <v>546</v>
      </c>
      <c r="L5069" s="784">
        <v>506757</v>
      </c>
      <c r="M5069" t="s">
        <v>745</v>
      </c>
      <c r="O5069" t="s">
        <v>737</v>
      </c>
      <c r="P5069" t="s">
        <v>1887</v>
      </c>
      <c r="R5069" t="s">
        <v>150</v>
      </c>
      <c r="S5069" t="s">
        <v>145</v>
      </c>
      <c r="U5069">
        <v>0</v>
      </c>
      <c r="V5069" t="s">
        <v>544</v>
      </c>
      <c r="W5069" t="s">
        <v>548</v>
      </c>
      <c r="X5069" s="784">
        <v>890576536.83065879</v>
      </c>
    </row>
    <row r="5070" spans="1:24">
      <c r="A5070" t="s">
        <v>752</v>
      </c>
      <c r="B5070" t="s">
        <v>752</v>
      </c>
      <c r="C5070" t="s">
        <v>752</v>
      </c>
      <c r="D5070" t="s">
        <v>752</v>
      </c>
      <c r="E5070" t="s">
        <v>377</v>
      </c>
      <c r="F5070" t="s">
        <v>312</v>
      </c>
      <c r="G5070" t="s">
        <v>753</v>
      </c>
      <c r="H5070" t="s">
        <v>754</v>
      </c>
      <c r="I5070" t="s">
        <v>743</v>
      </c>
      <c r="J5070" t="s">
        <v>379</v>
      </c>
      <c r="K5070" t="s">
        <v>546</v>
      </c>
      <c r="L5070" s="784">
        <v>653000000</v>
      </c>
      <c r="M5070" t="s">
        <v>755</v>
      </c>
      <c r="P5070" t="s">
        <v>1887</v>
      </c>
      <c r="W5070" t="s">
        <v>575</v>
      </c>
      <c r="X5070" s="784" t="s">
        <v>575</v>
      </c>
    </row>
    <row r="5071" spans="1:24">
      <c r="A5071" t="s">
        <v>752</v>
      </c>
      <c r="B5071" t="s">
        <v>752</v>
      </c>
      <c r="C5071" t="s">
        <v>752</v>
      </c>
      <c r="D5071" t="s">
        <v>752</v>
      </c>
      <c r="E5071" t="s">
        <v>377</v>
      </c>
      <c r="F5071" t="s">
        <v>312</v>
      </c>
      <c r="G5071" t="s">
        <v>753</v>
      </c>
      <c r="H5071" t="s">
        <v>754</v>
      </c>
      <c r="I5071" t="s">
        <v>743</v>
      </c>
      <c r="J5071" t="s">
        <v>744</v>
      </c>
      <c r="K5071" t="s">
        <v>546</v>
      </c>
      <c r="L5071" s="784">
        <v>500000000</v>
      </c>
      <c r="M5071" t="s">
        <v>755</v>
      </c>
      <c r="P5071" t="s">
        <v>1887</v>
      </c>
      <c r="W5071" t="s">
        <v>575</v>
      </c>
      <c r="X5071" s="784" t="s">
        <v>575</v>
      </c>
    </row>
    <row r="5072" spans="1:24">
      <c r="A5072" t="s">
        <v>752</v>
      </c>
      <c r="B5072" t="s">
        <v>752</v>
      </c>
      <c r="C5072" t="s">
        <v>752</v>
      </c>
      <c r="D5072" t="s">
        <v>752</v>
      </c>
      <c r="E5072" t="s">
        <v>377</v>
      </c>
      <c r="F5072" t="s">
        <v>384</v>
      </c>
      <c r="G5072" t="s">
        <v>756</v>
      </c>
      <c r="H5072" t="s">
        <v>757</v>
      </c>
      <c r="I5072" t="s">
        <v>743</v>
      </c>
      <c r="J5072" t="s">
        <v>379</v>
      </c>
      <c r="K5072" t="s">
        <v>546</v>
      </c>
      <c r="L5072" s="784">
        <v>370000000</v>
      </c>
      <c r="M5072" t="s">
        <v>755</v>
      </c>
      <c r="P5072" t="s">
        <v>1887</v>
      </c>
      <c r="W5072" t="s">
        <v>575</v>
      </c>
      <c r="X5072" s="784" t="s">
        <v>575</v>
      </c>
    </row>
    <row r="5073" spans="1:24">
      <c r="A5073" t="s">
        <v>752</v>
      </c>
      <c r="B5073" t="s">
        <v>752</v>
      </c>
      <c r="C5073" t="s">
        <v>752</v>
      </c>
      <c r="D5073" t="s">
        <v>752</v>
      </c>
      <c r="E5073" t="s">
        <v>377</v>
      </c>
      <c r="F5073" t="s">
        <v>310</v>
      </c>
      <c r="G5073" t="s">
        <v>338</v>
      </c>
      <c r="H5073" t="s">
        <v>104</v>
      </c>
      <c r="I5073" t="s">
        <v>743</v>
      </c>
      <c r="J5073" t="s">
        <v>379</v>
      </c>
      <c r="K5073" t="s">
        <v>546</v>
      </c>
      <c r="L5073" s="784">
        <v>36080554.690000005</v>
      </c>
      <c r="M5073" t="s">
        <v>745</v>
      </c>
      <c r="P5073" t="s">
        <v>1887</v>
      </c>
      <c r="W5073" t="s">
        <v>575</v>
      </c>
      <c r="X5073" s="784" t="s">
        <v>575</v>
      </c>
    </row>
    <row r="5074" spans="1:24">
      <c r="A5074" t="s">
        <v>358</v>
      </c>
      <c r="B5074" t="s">
        <v>540</v>
      </c>
      <c r="C5074" t="s">
        <v>160</v>
      </c>
      <c r="D5074" t="s">
        <v>132</v>
      </c>
      <c r="E5074" t="s">
        <v>377</v>
      </c>
      <c r="F5074" t="s">
        <v>310</v>
      </c>
      <c r="G5074" t="s">
        <v>341</v>
      </c>
      <c r="H5074" t="s">
        <v>104</v>
      </c>
      <c r="I5074">
        <v>2022</v>
      </c>
      <c r="J5074" t="s">
        <v>379</v>
      </c>
      <c r="K5074" t="s">
        <v>546</v>
      </c>
      <c r="L5074" s="784" t="s">
        <v>575</v>
      </c>
      <c r="M5074" t="s">
        <v>745</v>
      </c>
      <c r="P5074" t="s">
        <v>1887</v>
      </c>
      <c r="R5074" t="s">
        <v>148</v>
      </c>
      <c r="S5074" t="s">
        <v>145</v>
      </c>
      <c r="U5074">
        <v>1</v>
      </c>
      <c r="V5074" t="s">
        <v>544</v>
      </c>
      <c r="W5074" t="s">
        <v>542</v>
      </c>
      <c r="X5074" s="784">
        <v>95829480.719269618</v>
      </c>
    </row>
    <row r="5075" spans="1:24">
      <c r="A5075" t="s">
        <v>358</v>
      </c>
      <c r="B5075" t="s">
        <v>543</v>
      </c>
      <c r="C5075" t="s">
        <v>161</v>
      </c>
      <c r="D5075" t="s">
        <v>127</v>
      </c>
      <c r="E5075" t="s">
        <v>377</v>
      </c>
      <c r="F5075" t="s">
        <v>310</v>
      </c>
      <c r="G5075" t="s">
        <v>341</v>
      </c>
      <c r="H5075" t="s">
        <v>104</v>
      </c>
      <c r="I5075">
        <v>2022</v>
      </c>
      <c r="J5075" t="s">
        <v>379</v>
      </c>
      <c r="K5075" t="s">
        <v>546</v>
      </c>
      <c r="L5075" s="784" t="s">
        <v>575</v>
      </c>
      <c r="M5075" t="s">
        <v>745</v>
      </c>
      <c r="P5075" t="s">
        <v>1887</v>
      </c>
      <c r="R5075" t="s">
        <v>152</v>
      </c>
      <c r="S5075" t="s">
        <v>146</v>
      </c>
      <c r="U5075">
        <v>0</v>
      </c>
      <c r="V5075" t="s">
        <v>544</v>
      </c>
      <c r="W5075" t="s">
        <v>575</v>
      </c>
      <c r="X5075" s="784">
        <v>427904035.52443534</v>
      </c>
    </row>
    <row r="5076" spans="1:24">
      <c r="A5076" t="s">
        <v>358</v>
      </c>
      <c r="B5076" t="s">
        <v>545</v>
      </c>
      <c r="C5076" t="s">
        <v>143</v>
      </c>
      <c r="D5076" t="s">
        <v>131</v>
      </c>
      <c r="E5076" t="s">
        <v>377</v>
      </c>
      <c r="F5076" t="s">
        <v>310</v>
      </c>
      <c r="G5076" t="s">
        <v>341</v>
      </c>
      <c r="H5076" t="s">
        <v>104</v>
      </c>
      <c r="I5076">
        <v>2022</v>
      </c>
      <c r="J5076" t="s">
        <v>379</v>
      </c>
      <c r="K5076" t="s">
        <v>546</v>
      </c>
      <c r="L5076" s="784">
        <v>849470</v>
      </c>
      <c r="M5076" t="s">
        <v>745</v>
      </c>
      <c r="P5076" t="s">
        <v>1887</v>
      </c>
      <c r="R5076" t="s">
        <v>150</v>
      </c>
      <c r="S5076" t="s">
        <v>145</v>
      </c>
      <c r="U5076">
        <v>0</v>
      </c>
      <c r="V5076" t="s">
        <v>544</v>
      </c>
      <c r="W5076" t="s">
        <v>546</v>
      </c>
      <c r="X5076" s="784">
        <v>7113361022.7267885</v>
      </c>
    </row>
    <row r="5077" spans="1:24">
      <c r="A5077" t="s">
        <v>358</v>
      </c>
      <c r="B5077" t="s">
        <v>547</v>
      </c>
      <c r="C5077" t="s">
        <v>162</v>
      </c>
      <c r="D5077" t="s">
        <v>128</v>
      </c>
      <c r="E5077" t="s">
        <v>377</v>
      </c>
      <c r="F5077" t="s">
        <v>310</v>
      </c>
      <c r="G5077" t="s">
        <v>341</v>
      </c>
      <c r="H5077" t="s">
        <v>104</v>
      </c>
      <c r="I5077">
        <v>2022</v>
      </c>
      <c r="J5077" t="s">
        <v>379</v>
      </c>
      <c r="K5077" t="s">
        <v>546</v>
      </c>
      <c r="L5077" s="784" t="s">
        <v>575</v>
      </c>
      <c r="M5077" t="s">
        <v>745</v>
      </c>
      <c r="P5077" t="s">
        <v>1887</v>
      </c>
      <c r="R5077" t="s">
        <v>150</v>
      </c>
      <c r="S5077" t="s">
        <v>145</v>
      </c>
      <c r="U5077">
        <v>0</v>
      </c>
      <c r="V5077" t="s">
        <v>544</v>
      </c>
      <c r="W5077" t="s">
        <v>548</v>
      </c>
      <c r="X5077" s="784">
        <v>1131865946.5875781</v>
      </c>
    </row>
    <row r="5078" spans="1:24">
      <c r="A5078" t="s">
        <v>358</v>
      </c>
      <c r="B5078" t="s">
        <v>549</v>
      </c>
      <c r="C5078" t="s">
        <v>163</v>
      </c>
      <c r="D5078" t="s">
        <v>130</v>
      </c>
      <c r="E5078" t="s">
        <v>377</v>
      </c>
      <c r="F5078" t="s">
        <v>310</v>
      </c>
      <c r="G5078" t="s">
        <v>341</v>
      </c>
      <c r="H5078" t="s">
        <v>104</v>
      </c>
      <c r="I5078">
        <v>2022</v>
      </c>
      <c r="J5078" t="s">
        <v>379</v>
      </c>
      <c r="K5078" t="s">
        <v>546</v>
      </c>
      <c r="L5078" s="784" t="s">
        <v>575</v>
      </c>
      <c r="M5078" t="s">
        <v>745</v>
      </c>
      <c r="P5078" t="s">
        <v>1887</v>
      </c>
      <c r="R5078" t="s">
        <v>550</v>
      </c>
      <c r="S5078" t="s">
        <v>146</v>
      </c>
      <c r="U5078">
        <v>0</v>
      </c>
      <c r="V5078" t="s">
        <v>541</v>
      </c>
      <c r="W5078" t="s">
        <v>575</v>
      </c>
      <c r="X5078" s="784">
        <v>46777779.823447868</v>
      </c>
    </row>
    <row r="5079" spans="1:24">
      <c r="A5079" t="s">
        <v>358</v>
      </c>
      <c r="B5079" t="s">
        <v>551</v>
      </c>
      <c r="C5079" t="s">
        <v>164</v>
      </c>
      <c r="D5079" t="s">
        <v>130</v>
      </c>
      <c r="E5079" t="s">
        <v>377</v>
      </c>
      <c r="F5079" t="s">
        <v>310</v>
      </c>
      <c r="G5079" t="s">
        <v>341</v>
      </c>
      <c r="H5079" t="s">
        <v>104</v>
      </c>
      <c r="I5079">
        <v>2022</v>
      </c>
      <c r="J5079" t="s">
        <v>379</v>
      </c>
      <c r="K5079" t="s">
        <v>546</v>
      </c>
      <c r="L5079" s="784" t="s">
        <v>575</v>
      </c>
      <c r="M5079" t="s">
        <v>745</v>
      </c>
      <c r="P5079" t="s">
        <v>1887</v>
      </c>
      <c r="R5079" t="s">
        <v>152</v>
      </c>
      <c r="S5079" t="s">
        <v>146</v>
      </c>
      <c r="U5079">
        <v>0</v>
      </c>
      <c r="V5079" t="s">
        <v>544</v>
      </c>
      <c r="W5079" t="s">
        <v>575</v>
      </c>
      <c r="X5079" s="784">
        <v>30725305777.596794</v>
      </c>
    </row>
    <row r="5080" spans="1:24">
      <c r="A5080" t="s">
        <v>358</v>
      </c>
      <c r="B5080" t="s">
        <v>553</v>
      </c>
      <c r="C5080" t="s">
        <v>165</v>
      </c>
      <c r="D5080" t="s">
        <v>127</v>
      </c>
      <c r="E5080" t="s">
        <v>377</v>
      </c>
      <c r="F5080" t="s">
        <v>310</v>
      </c>
      <c r="G5080" t="s">
        <v>341</v>
      </c>
      <c r="H5080" t="s">
        <v>104</v>
      </c>
      <c r="I5080">
        <v>2022</v>
      </c>
      <c r="J5080" t="s">
        <v>379</v>
      </c>
      <c r="K5080" t="s">
        <v>546</v>
      </c>
      <c r="L5080" s="784" t="s">
        <v>575</v>
      </c>
      <c r="M5080" t="s">
        <v>745</v>
      </c>
      <c r="P5080" t="s">
        <v>1887</v>
      </c>
      <c r="R5080" t="s">
        <v>152</v>
      </c>
      <c r="S5080" t="s">
        <v>146</v>
      </c>
      <c r="U5080">
        <v>0</v>
      </c>
      <c r="V5080" t="s">
        <v>544</v>
      </c>
      <c r="W5080" t="s">
        <v>575</v>
      </c>
      <c r="X5080" s="784">
        <v>153815827.8380394</v>
      </c>
    </row>
    <row r="5081" spans="1:24">
      <c r="A5081" t="s">
        <v>358</v>
      </c>
      <c r="B5081" t="s">
        <v>554</v>
      </c>
      <c r="C5081" t="s">
        <v>166</v>
      </c>
      <c r="D5081" t="s">
        <v>127</v>
      </c>
      <c r="E5081" t="s">
        <v>377</v>
      </c>
      <c r="F5081" t="s">
        <v>310</v>
      </c>
      <c r="G5081" t="s">
        <v>341</v>
      </c>
      <c r="H5081" t="s">
        <v>104</v>
      </c>
      <c r="I5081">
        <v>2022</v>
      </c>
      <c r="J5081" t="s">
        <v>379</v>
      </c>
      <c r="K5081" t="s">
        <v>546</v>
      </c>
      <c r="L5081" s="784" t="s">
        <v>575</v>
      </c>
      <c r="M5081" t="s">
        <v>745</v>
      </c>
      <c r="P5081" t="s">
        <v>1887</v>
      </c>
      <c r="R5081" t="s">
        <v>152</v>
      </c>
      <c r="S5081" t="s">
        <v>146</v>
      </c>
      <c r="U5081">
        <v>0</v>
      </c>
      <c r="V5081" t="s">
        <v>544</v>
      </c>
      <c r="W5081" t="s">
        <v>546</v>
      </c>
      <c r="X5081" s="784">
        <v>437525105.31216973</v>
      </c>
    </row>
    <row r="5082" spans="1:24">
      <c r="A5082" t="s">
        <v>358</v>
      </c>
      <c r="B5082" t="s">
        <v>555</v>
      </c>
      <c r="C5082" t="s">
        <v>556</v>
      </c>
      <c r="D5082" t="s">
        <v>130</v>
      </c>
      <c r="E5082" t="s">
        <v>377</v>
      </c>
      <c r="F5082" t="s">
        <v>310</v>
      </c>
      <c r="G5082" t="s">
        <v>341</v>
      </c>
      <c r="H5082" t="s">
        <v>104</v>
      </c>
      <c r="I5082">
        <v>2022</v>
      </c>
      <c r="J5082" t="s">
        <v>379</v>
      </c>
      <c r="K5082" t="s">
        <v>546</v>
      </c>
      <c r="L5082" s="784" t="s">
        <v>575</v>
      </c>
      <c r="M5082" t="s">
        <v>745</v>
      </c>
      <c r="P5082" t="s">
        <v>1887</v>
      </c>
      <c r="R5082" t="s">
        <v>550</v>
      </c>
      <c r="S5082" t="s">
        <v>146</v>
      </c>
      <c r="U5082">
        <v>0</v>
      </c>
      <c r="V5082" t="s">
        <v>541</v>
      </c>
      <c r="W5082" t="s">
        <v>575</v>
      </c>
      <c r="X5082" s="784">
        <v>149463302.00602186</v>
      </c>
    </row>
    <row r="5083" spans="1:24">
      <c r="A5083" t="s">
        <v>358</v>
      </c>
      <c r="B5083" t="s">
        <v>557</v>
      </c>
      <c r="C5083" t="s">
        <v>167</v>
      </c>
      <c r="D5083" t="s">
        <v>132</v>
      </c>
      <c r="E5083" t="s">
        <v>377</v>
      </c>
      <c r="F5083" t="s">
        <v>310</v>
      </c>
      <c r="G5083" t="s">
        <v>341</v>
      </c>
      <c r="H5083" t="s">
        <v>104</v>
      </c>
      <c r="I5083">
        <v>2022</v>
      </c>
      <c r="J5083" t="s">
        <v>379</v>
      </c>
      <c r="K5083" t="s">
        <v>546</v>
      </c>
      <c r="L5083" s="784" t="s">
        <v>575</v>
      </c>
      <c r="M5083" t="s">
        <v>745</v>
      </c>
      <c r="P5083" t="s">
        <v>1887</v>
      </c>
      <c r="R5083" t="s">
        <v>150</v>
      </c>
      <c r="S5083" t="s">
        <v>145</v>
      </c>
      <c r="U5083">
        <v>0</v>
      </c>
      <c r="V5083" t="s">
        <v>544</v>
      </c>
      <c r="W5083" t="s">
        <v>558</v>
      </c>
      <c r="X5083" s="784">
        <v>1148322593.9600098</v>
      </c>
    </row>
    <row r="5084" spans="1:24">
      <c r="A5084" t="s">
        <v>358</v>
      </c>
      <c r="B5084" t="s">
        <v>559</v>
      </c>
      <c r="C5084" t="s">
        <v>168</v>
      </c>
      <c r="D5084" t="s">
        <v>127</v>
      </c>
      <c r="E5084" t="s">
        <v>377</v>
      </c>
      <c r="F5084" t="s">
        <v>310</v>
      </c>
      <c r="G5084" t="s">
        <v>341</v>
      </c>
      <c r="H5084" t="s">
        <v>104</v>
      </c>
      <c r="I5084">
        <v>2022</v>
      </c>
      <c r="J5084" t="s">
        <v>379</v>
      </c>
      <c r="K5084" t="s">
        <v>546</v>
      </c>
      <c r="L5084" s="784" t="s">
        <v>575</v>
      </c>
      <c r="M5084" t="s">
        <v>745</v>
      </c>
      <c r="P5084" t="s">
        <v>1887</v>
      </c>
      <c r="R5084" t="s">
        <v>152</v>
      </c>
      <c r="S5084" t="s">
        <v>146</v>
      </c>
      <c r="U5084">
        <v>0</v>
      </c>
      <c r="V5084" t="s">
        <v>544</v>
      </c>
      <c r="W5084" t="s">
        <v>575</v>
      </c>
      <c r="X5084" s="784">
        <v>2371102058.1093163</v>
      </c>
    </row>
    <row r="5085" spans="1:24">
      <c r="A5085" t="s">
        <v>358</v>
      </c>
      <c r="B5085" t="s">
        <v>560</v>
      </c>
      <c r="C5085" t="s">
        <v>169</v>
      </c>
      <c r="D5085" t="s">
        <v>130</v>
      </c>
      <c r="E5085" t="s">
        <v>377</v>
      </c>
      <c r="F5085" t="s">
        <v>310</v>
      </c>
      <c r="G5085" t="s">
        <v>341</v>
      </c>
      <c r="H5085" t="s">
        <v>104</v>
      </c>
      <c r="I5085">
        <v>2022</v>
      </c>
      <c r="J5085" t="s">
        <v>379</v>
      </c>
      <c r="K5085" t="s">
        <v>546</v>
      </c>
      <c r="L5085" s="784" t="s">
        <v>575</v>
      </c>
      <c r="M5085" t="s">
        <v>745</v>
      </c>
      <c r="P5085" t="s">
        <v>1887</v>
      </c>
      <c r="R5085" t="s">
        <v>150</v>
      </c>
      <c r="S5085" t="s">
        <v>146</v>
      </c>
      <c r="U5085">
        <v>0</v>
      </c>
      <c r="V5085" t="s">
        <v>541</v>
      </c>
      <c r="W5085" t="s">
        <v>546</v>
      </c>
      <c r="X5085" s="784">
        <v>75151620.005215243</v>
      </c>
    </row>
    <row r="5086" spans="1:24">
      <c r="A5086" t="s">
        <v>358</v>
      </c>
      <c r="B5086" t="s">
        <v>561</v>
      </c>
      <c r="C5086" t="s">
        <v>170</v>
      </c>
      <c r="D5086" t="s">
        <v>129</v>
      </c>
      <c r="E5086" t="s">
        <v>377</v>
      </c>
      <c r="F5086" t="s">
        <v>310</v>
      </c>
      <c r="G5086" t="s">
        <v>341</v>
      </c>
      <c r="H5086" t="s">
        <v>104</v>
      </c>
      <c r="I5086">
        <v>2022</v>
      </c>
      <c r="J5086" t="s">
        <v>379</v>
      </c>
      <c r="K5086" t="s">
        <v>546</v>
      </c>
      <c r="L5086" s="784" t="s">
        <v>575</v>
      </c>
      <c r="M5086" t="s">
        <v>745</v>
      </c>
      <c r="P5086" t="s">
        <v>1887</v>
      </c>
      <c r="R5086" t="s">
        <v>150</v>
      </c>
      <c r="S5086" t="s">
        <v>145</v>
      </c>
      <c r="U5086">
        <v>0</v>
      </c>
      <c r="V5086" t="s">
        <v>544</v>
      </c>
      <c r="W5086" t="s">
        <v>562</v>
      </c>
      <c r="X5086" s="784">
        <v>69958487.197715744</v>
      </c>
    </row>
    <row r="5087" spans="1:24">
      <c r="A5087" t="s">
        <v>358</v>
      </c>
      <c r="B5087" t="s">
        <v>563</v>
      </c>
      <c r="C5087" t="s">
        <v>171</v>
      </c>
      <c r="D5087" t="s">
        <v>132</v>
      </c>
      <c r="E5087" t="s">
        <v>377</v>
      </c>
      <c r="F5087" t="s">
        <v>310</v>
      </c>
      <c r="G5087" t="s">
        <v>341</v>
      </c>
      <c r="H5087" t="s">
        <v>104</v>
      </c>
      <c r="I5087">
        <v>2022</v>
      </c>
      <c r="J5087" t="s">
        <v>379</v>
      </c>
      <c r="K5087" t="s">
        <v>546</v>
      </c>
      <c r="L5087" s="784">
        <v>230000</v>
      </c>
      <c r="M5087" t="s">
        <v>745</v>
      </c>
      <c r="P5087" t="s">
        <v>1887</v>
      </c>
      <c r="R5087" t="s">
        <v>150</v>
      </c>
      <c r="S5087" t="s">
        <v>145</v>
      </c>
      <c r="U5087">
        <v>0</v>
      </c>
      <c r="V5087" t="s">
        <v>544</v>
      </c>
      <c r="W5087" t="s">
        <v>548</v>
      </c>
      <c r="X5087" s="784">
        <v>61654608.560629159</v>
      </c>
    </row>
    <row r="5088" spans="1:24">
      <c r="A5088" t="s">
        <v>358</v>
      </c>
      <c r="B5088" t="s">
        <v>564</v>
      </c>
      <c r="C5088" t="s">
        <v>172</v>
      </c>
      <c r="D5088" t="s">
        <v>130</v>
      </c>
      <c r="E5088" t="s">
        <v>377</v>
      </c>
      <c r="F5088" t="s">
        <v>310</v>
      </c>
      <c r="G5088" t="s">
        <v>341</v>
      </c>
      <c r="H5088" t="s">
        <v>104</v>
      </c>
      <c r="I5088">
        <v>2022</v>
      </c>
      <c r="J5088" t="s">
        <v>379</v>
      </c>
      <c r="K5088" t="s">
        <v>546</v>
      </c>
      <c r="L5088" s="784">
        <v>1280000</v>
      </c>
      <c r="M5088" t="s">
        <v>745</v>
      </c>
      <c r="P5088" t="s">
        <v>1887</v>
      </c>
      <c r="R5088" t="s">
        <v>150</v>
      </c>
      <c r="S5088" t="s">
        <v>145</v>
      </c>
      <c r="U5088">
        <v>0</v>
      </c>
      <c r="V5088" t="s">
        <v>544</v>
      </c>
      <c r="W5088" t="s">
        <v>546</v>
      </c>
      <c r="X5088" s="784">
        <v>1806638707.7615163</v>
      </c>
    </row>
    <row r="5089" spans="1:24">
      <c r="A5089" t="s">
        <v>358</v>
      </c>
      <c r="B5089" t="s">
        <v>565</v>
      </c>
      <c r="C5089" t="s">
        <v>174</v>
      </c>
      <c r="D5089" t="s">
        <v>127</v>
      </c>
      <c r="E5089" t="s">
        <v>377</v>
      </c>
      <c r="F5089" t="s">
        <v>310</v>
      </c>
      <c r="G5089" t="s">
        <v>341</v>
      </c>
      <c r="H5089" t="s">
        <v>104</v>
      </c>
      <c r="I5089">
        <v>2022</v>
      </c>
      <c r="J5089" t="s">
        <v>379</v>
      </c>
      <c r="K5089" t="s">
        <v>546</v>
      </c>
      <c r="L5089" s="784" t="s">
        <v>575</v>
      </c>
      <c r="M5089" t="s">
        <v>745</v>
      </c>
      <c r="P5089" t="s">
        <v>1887</v>
      </c>
      <c r="R5089" t="s">
        <v>152</v>
      </c>
      <c r="S5089" t="s">
        <v>146</v>
      </c>
      <c r="U5089">
        <v>0</v>
      </c>
      <c r="V5089" t="s">
        <v>544</v>
      </c>
      <c r="W5089" t="s">
        <v>546</v>
      </c>
      <c r="X5089" s="784">
        <v>1252696525.0627904</v>
      </c>
    </row>
    <row r="5090" spans="1:24">
      <c r="A5090" t="s">
        <v>358</v>
      </c>
      <c r="B5090" t="s">
        <v>566</v>
      </c>
      <c r="C5090" t="s">
        <v>175</v>
      </c>
      <c r="D5090" t="s">
        <v>128</v>
      </c>
      <c r="E5090" t="s">
        <v>377</v>
      </c>
      <c r="F5090" t="s">
        <v>310</v>
      </c>
      <c r="G5090" t="s">
        <v>341</v>
      </c>
      <c r="H5090" t="s">
        <v>104</v>
      </c>
      <c r="I5090">
        <v>2022</v>
      </c>
      <c r="J5090" t="s">
        <v>379</v>
      </c>
      <c r="K5090" t="s">
        <v>546</v>
      </c>
      <c r="L5090" s="784" t="s">
        <v>575</v>
      </c>
      <c r="M5090" t="s">
        <v>745</v>
      </c>
      <c r="P5090" t="s">
        <v>1887</v>
      </c>
      <c r="R5090" t="s">
        <v>152</v>
      </c>
      <c r="S5090" t="s">
        <v>146</v>
      </c>
      <c r="U5090">
        <v>0</v>
      </c>
      <c r="V5090" t="s">
        <v>544</v>
      </c>
      <c r="W5090" t="s">
        <v>575</v>
      </c>
      <c r="X5090" s="784">
        <v>843425084.07334602</v>
      </c>
    </row>
    <row r="5091" spans="1:24">
      <c r="A5091" t="s">
        <v>358</v>
      </c>
      <c r="B5091" t="s">
        <v>567</v>
      </c>
      <c r="C5091" t="s">
        <v>144</v>
      </c>
      <c r="D5091" t="s">
        <v>130</v>
      </c>
      <c r="E5091" t="s">
        <v>377</v>
      </c>
      <c r="F5091" t="s">
        <v>310</v>
      </c>
      <c r="G5091" t="s">
        <v>341</v>
      </c>
      <c r="H5091" t="s">
        <v>104</v>
      </c>
      <c r="I5091">
        <v>2022</v>
      </c>
      <c r="J5091" t="s">
        <v>379</v>
      </c>
      <c r="K5091" t="s">
        <v>546</v>
      </c>
      <c r="L5091" s="784" t="s">
        <v>575</v>
      </c>
      <c r="M5091" t="s">
        <v>745</v>
      </c>
      <c r="P5091" t="s">
        <v>1887</v>
      </c>
      <c r="R5091" t="s">
        <v>152</v>
      </c>
      <c r="S5091" t="s">
        <v>146</v>
      </c>
      <c r="U5091">
        <v>0</v>
      </c>
      <c r="V5091" t="s">
        <v>544</v>
      </c>
      <c r="W5091" t="s">
        <v>546</v>
      </c>
      <c r="X5091" s="784">
        <v>74055620038.853683</v>
      </c>
    </row>
    <row r="5092" spans="1:24">
      <c r="A5092" t="s">
        <v>358</v>
      </c>
      <c r="B5092" t="s">
        <v>568</v>
      </c>
      <c r="C5092" t="s">
        <v>176</v>
      </c>
      <c r="D5092" t="s">
        <v>127</v>
      </c>
      <c r="E5092" t="s">
        <v>377</v>
      </c>
      <c r="F5092" t="s">
        <v>310</v>
      </c>
      <c r="G5092" t="s">
        <v>341</v>
      </c>
      <c r="H5092" t="s">
        <v>104</v>
      </c>
      <c r="I5092">
        <v>2022</v>
      </c>
      <c r="J5092" t="s">
        <v>379</v>
      </c>
      <c r="K5092" t="s">
        <v>546</v>
      </c>
      <c r="L5092" s="784" t="s">
        <v>575</v>
      </c>
      <c r="M5092" t="s">
        <v>745</v>
      </c>
      <c r="P5092" t="s">
        <v>1887</v>
      </c>
      <c r="R5092" t="s">
        <v>152</v>
      </c>
      <c r="S5092" t="s">
        <v>146</v>
      </c>
      <c r="U5092">
        <v>0</v>
      </c>
      <c r="V5092" t="s">
        <v>544</v>
      </c>
      <c r="W5092" t="s">
        <v>575</v>
      </c>
      <c r="X5092" s="784">
        <v>2803357765.5888777</v>
      </c>
    </row>
    <row r="5093" spans="1:24">
      <c r="A5093" t="s">
        <v>358</v>
      </c>
      <c r="B5093" t="s">
        <v>569</v>
      </c>
      <c r="C5093" t="s">
        <v>177</v>
      </c>
      <c r="D5093" t="s">
        <v>129</v>
      </c>
      <c r="E5093" t="s">
        <v>377</v>
      </c>
      <c r="F5093" t="s">
        <v>310</v>
      </c>
      <c r="G5093" t="s">
        <v>341</v>
      </c>
      <c r="H5093" t="s">
        <v>104</v>
      </c>
      <c r="I5093">
        <v>2022</v>
      </c>
      <c r="J5093" t="s">
        <v>379</v>
      </c>
      <c r="K5093" t="s">
        <v>546</v>
      </c>
      <c r="L5093" s="784" t="s">
        <v>575</v>
      </c>
      <c r="M5093" t="s">
        <v>745</v>
      </c>
      <c r="P5093" t="s">
        <v>1887</v>
      </c>
      <c r="R5093" t="s">
        <v>148</v>
      </c>
      <c r="S5093" t="s">
        <v>145</v>
      </c>
      <c r="U5093">
        <v>2</v>
      </c>
      <c r="V5093" t="s">
        <v>544</v>
      </c>
      <c r="W5093" t="s">
        <v>562</v>
      </c>
      <c r="X5093" s="784">
        <v>337927779.25510043</v>
      </c>
    </row>
    <row r="5094" spans="1:24">
      <c r="A5094" t="s">
        <v>358</v>
      </c>
      <c r="B5094" t="s">
        <v>570</v>
      </c>
      <c r="C5094" t="s">
        <v>178</v>
      </c>
      <c r="D5094" t="s">
        <v>128</v>
      </c>
      <c r="E5094" t="s">
        <v>377</v>
      </c>
      <c r="F5094" t="s">
        <v>310</v>
      </c>
      <c r="G5094" t="s">
        <v>341</v>
      </c>
      <c r="H5094" t="s">
        <v>104</v>
      </c>
      <c r="I5094">
        <v>2022</v>
      </c>
      <c r="J5094" t="s">
        <v>379</v>
      </c>
      <c r="K5094" t="s">
        <v>546</v>
      </c>
      <c r="L5094" s="784" t="s">
        <v>575</v>
      </c>
      <c r="M5094" t="s">
        <v>745</v>
      </c>
      <c r="P5094" t="s">
        <v>1887</v>
      </c>
      <c r="R5094" t="s">
        <v>148</v>
      </c>
      <c r="S5094" t="s">
        <v>145</v>
      </c>
      <c r="U5094">
        <v>2</v>
      </c>
      <c r="V5094" t="s">
        <v>544</v>
      </c>
      <c r="W5094" t="s">
        <v>548</v>
      </c>
      <c r="X5094" s="784">
        <v>65979512.47399316</v>
      </c>
    </row>
    <row r="5095" spans="1:24">
      <c r="A5095" t="s">
        <v>358</v>
      </c>
      <c r="B5095" t="s">
        <v>571</v>
      </c>
      <c r="C5095" t="s">
        <v>179</v>
      </c>
      <c r="D5095" t="s">
        <v>129</v>
      </c>
      <c r="E5095" t="s">
        <v>377</v>
      </c>
      <c r="F5095" t="s">
        <v>310</v>
      </c>
      <c r="G5095" t="s">
        <v>341</v>
      </c>
      <c r="H5095" t="s">
        <v>104</v>
      </c>
      <c r="I5095">
        <v>2022</v>
      </c>
      <c r="J5095" t="s">
        <v>379</v>
      </c>
      <c r="K5095" t="s">
        <v>546</v>
      </c>
      <c r="L5095" s="784">
        <v>227642</v>
      </c>
      <c r="M5095" t="s">
        <v>745</v>
      </c>
      <c r="P5095" t="s">
        <v>1887</v>
      </c>
      <c r="R5095" t="s">
        <v>150</v>
      </c>
      <c r="S5095" t="s">
        <v>145</v>
      </c>
      <c r="U5095">
        <v>0</v>
      </c>
      <c r="V5095" t="s">
        <v>541</v>
      </c>
      <c r="W5095" t="s">
        <v>542</v>
      </c>
      <c r="X5095" s="784">
        <v>63748362.778827004</v>
      </c>
    </row>
    <row r="5096" spans="1:24">
      <c r="A5096" t="s">
        <v>358</v>
      </c>
      <c r="B5096" t="s">
        <v>572</v>
      </c>
      <c r="C5096" t="s">
        <v>180</v>
      </c>
      <c r="D5096" t="s">
        <v>126</v>
      </c>
      <c r="E5096" t="s">
        <v>377</v>
      </c>
      <c r="F5096" t="s">
        <v>310</v>
      </c>
      <c r="G5096" t="s">
        <v>341</v>
      </c>
      <c r="H5096" t="s">
        <v>104</v>
      </c>
      <c r="I5096">
        <v>2022</v>
      </c>
      <c r="J5096" t="s">
        <v>379</v>
      </c>
      <c r="K5096" t="s">
        <v>546</v>
      </c>
      <c r="L5096" s="784" t="s">
        <v>575</v>
      </c>
      <c r="M5096" t="s">
        <v>745</v>
      </c>
      <c r="P5096" t="s">
        <v>1887</v>
      </c>
      <c r="R5096" t="s">
        <v>150</v>
      </c>
      <c r="S5096" t="s">
        <v>145</v>
      </c>
      <c r="U5096">
        <v>0</v>
      </c>
      <c r="V5096" t="s">
        <v>544</v>
      </c>
      <c r="W5096" t="s">
        <v>558</v>
      </c>
      <c r="X5096" s="784">
        <v>313039649.45369786</v>
      </c>
    </row>
    <row r="5097" spans="1:24">
      <c r="A5097" t="s">
        <v>358</v>
      </c>
      <c r="B5097" t="s">
        <v>573</v>
      </c>
      <c r="C5097" t="s">
        <v>181</v>
      </c>
      <c r="D5097" t="s">
        <v>129</v>
      </c>
      <c r="E5097" t="s">
        <v>377</v>
      </c>
      <c r="F5097" t="s">
        <v>310</v>
      </c>
      <c r="G5097" t="s">
        <v>341</v>
      </c>
      <c r="H5097" t="s">
        <v>104</v>
      </c>
      <c r="I5097">
        <v>2022</v>
      </c>
      <c r="J5097" t="s">
        <v>379</v>
      </c>
      <c r="K5097" t="s">
        <v>546</v>
      </c>
      <c r="L5097" s="784" t="s">
        <v>575</v>
      </c>
      <c r="M5097" t="s">
        <v>745</v>
      </c>
      <c r="P5097" t="s">
        <v>1887</v>
      </c>
      <c r="R5097" t="s">
        <v>150</v>
      </c>
      <c r="S5097" t="s">
        <v>145</v>
      </c>
      <c r="U5097">
        <v>2</v>
      </c>
      <c r="V5097" t="s">
        <v>544</v>
      </c>
      <c r="W5097" t="s">
        <v>542</v>
      </c>
      <c r="X5097" s="784">
        <v>81361801.477472037</v>
      </c>
    </row>
    <row r="5098" spans="1:24">
      <c r="A5098" t="s">
        <v>358</v>
      </c>
      <c r="B5098" t="s">
        <v>574</v>
      </c>
      <c r="C5098" t="s">
        <v>182</v>
      </c>
      <c r="D5098" t="s">
        <v>129</v>
      </c>
      <c r="E5098" t="s">
        <v>377</v>
      </c>
      <c r="F5098" t="s">
        <v>310</v>
      </c>
      <c r="G5098" t="s">
        <v>341</v>
      </c>
      <c r="H5098" t="s">
        <v>104</v>
      </c>
      <c r="I5098">
        <v>2022</v>
      </c>
      <c r="J5098" t="s">
        <v>379</v>
      </c>
      <c r="K5098" t="s">
        <v>546</v>
      </c>
      <c r="L5098" s="784" t="s">
        <v>575</v>
      </c>
      <c r="M5098" t="s">
        <v>745</v>
      </c>
      <c r="P5098" t="s">
        <v>1887</v>
      </c>
      <c r="R5098" t="s">
        <v>148</v>
      </c>
      <c r="S5098" t="s">
        <v>145</v>
      </c>
      <c r="U5098">
        <v>1</v>
      </c>
      <c r="V5098" t="s">
        <v>544</v>
      </c>
      <c r="W5098" t="s">
        <v>542</v>
      </c>
      <c r="X5098" s="784" t="s">
        <v>575</v>
      </c>
    </row>
    <row r="5099" spans="1:24">
      <c r="A5099" t="s">
        <v>358</v>
      </c>
      <c r="B5099" t="s">
        <v>576</v>
      </c>
      <c r="C5099" t="s">
        <v>183</v>
      </c>
      <c r="D5099" t="s">
        <v>129</v>
      </c>
      <c r="E5099" t="s">
        <v>377</v>
      </c>
      <c r="F5099" t="s">
        <v>310</v>
      </c>
      <c r="G5099" t="s">
        <v>341</v>
      </c>
      <c r="H5099" t="s">
        <v>104</v>
      </c>
      <c r="I5099">
        <v>2022</v>
      </c>
      <c r="J5099" t="s">
        <v>379</v>
      </c>
      <c r="K5099" t="s">
        <v>546</v>
      </c>
      <c r="L5099" s="784" t="s">
        <v>575</v>
      </c>
      <c r="M5099" t="s">
        <v>745</v>
      </c>
      <c r="P5099" t="s">
        <v>1887</v>
      </c>
      <c r="R5099" t="s">
        <v>148</v>
      </c>
      <c r="S5099" t="s">
        <v>145</v>
      </c>
      <c r="U5099">
        <v>1</v>
      </c>
      <c r="V5099" t="s">
        <v>544</v>
      </c>
      <c r="W5099" t="s">
        <v>542</v>
      </c>
      <c r="X5099" s="784">
        <v>76939306.715636879</v>
      </c>
    </row>
    <row r="5100" spans="1:24">
      <c r="A5100" t="s">
        <v>358</v>
      </c>
      <c r="B5100" t="s">
        <v>577</v>
      </c>
      <c r="C5100" t="s">
        <v>184</v>
      </c>
      <c r="D5100" t="s">
        <v>130</v>
      </c>
      <c r="E5100" t="s">
        <v>377</v>
      </c>
      <c r="F5100" t="s">
        <v>310</v>
      </c>
      <c r="G5100" t="s">
        <v>341</v>
      </c>
      <c r="H5100" t="s">
        <v>104</v>
      </c>
      <c r="I5100">
        <v>2022</v>
      </c>
      <c r="J5100" t="s">
        <v>379</v>
      </c>
      <c r="K5100" t="s">
        <v>546</v>
      </c>
      <c r="L5100" s="784" t="s">
        <v>575</v>
      </c>
      <c r="M5100" t="s">
        <v>745</v>
      </c>
      <c r="P5100" t="s">
        <v>1887</v>
      </c>
      <c r="R5100" t="s">
        <v>550</v>
      </c>
      <c r="S5100" t="s">
        <v>146</v>
      </c>
      <c r="U5100">
        <v>0</v>
      </c>
      <c r="V5100" t="s">
        <v>544</v>
      </c>
      <c r="W5100" t="s">
        <v>575</v>
      </c>
      <c r="X5100" s="784">
        <v>13859708717.682571</v>
      </c>
    </row>
    <row r="5101" spans="1:24">
      <c r="A5101" t="s">
        <v>358</v>
      </c>
      <c r="B5101" t="s">
        <v>578</v>
      </c>
      <c r="C5101" t="s">
        <v>185</v>
      </c>
      <c r="D5101" t="s">
        <v>126</v>
      </c>
      <c r="E5101" t="s">
        <v>377</v>
      </c>
      <c r="F5101" t="s">
        <v>310</v>
      </c>
      <c r="G5101" t="s">
        <v>341</v>
      </c>
      <c r="H5101" t="s">
        <v>104</v>
      </c>
      <c r="I5101">
        <v>2022</v>
      </c>
      <c r="J5101" t="s">
        <v>379</v>
      </c>
      <c r="K5101" t="s">
        <v>546</v>
      </c>
      <c r="L5101" s="784" t="s">
        <v>575</v>
      </c>
      <c r="M5101" t="s">
        <v>745</v>
      </c>
      <c r="P5101" t="s">
        <v>1887</v>
      </c>
      <c r="R5101" t="s">
        <v>152</v>
      </c>
      <c r="S5101" t="s">
        <v>146</v>
      </c>
      <c r="U5101">
        <v>0</v>
      </c>
      <c r="V5101" t="s">
        <v>544</v>
      </c>
      <c r="W5101" t="s">
        <v>575</v>
      </c>
      <c r="X5101" s="784">
        <v>403567160707.7016</v>
      </c>
    </row>
    <row r="5102" spans="1:24">
      <c r="A5102" t="s">
        <v>358</v>
      </c>
      <c r="B5102" t="s">
        <v>579</v>
      </c>
      <c r="C5102" t="s">
        <v>186</v>
      </c>
      <c r="D5102" t="s">
        <v>130</v>
      </c>
      <c r="E5102" t="s">
        <v>377</v>
      </c>
      <c r="F5102" t="s">
        <v>310</v>
      </c>
      <c r="G5102" t="s">
        <v>341</v>
      </c>
      <c r="H5102" t="s">
        <v>104</v>
      </c>
      <c r="I5102">
        <v>2022</v>
      </c>
      <c r="J5102" t="s">
        <v>379</v>
      </c>
      <c r="K5102" t="s">
        <v>546</v>
      </c>
      <c r="L5102" s="784" t="s">
        <v>575</v>
      </c>
      <c r="M5102" t="s">
        <v>745</v>
      </c>
      <c r="P5102" t="s">
        <v>1887</v>
      </c>
      <c r="R5102" t="s">
        <v>152</v>
      </c>
      <c r="S5102" t="s">
        <v>146</v>
      </c>
      <c r="U5102">
        <v>0</v>
      </c>
      <c r="V5102" t="s">
        <v>544</v>
      </c>
      <c r="W5102" t="s">
        <v>575</v>
      </c>
      <c r="X5102" s="784">
        <v>18250225995.972618</v>
      </c>
    </row>
    <row r="5103" spans="1:24">
      <c r="A5103" t="s">
        <v>358</v>
      </c>
      <c r="B5103" t="s">
        <v>580</v>
      </c>
      <c r="C5103" t="s">
        <v>187</v>
      </c>
      <c r="D5103" t="s">
        <v>128</v>
      </c>
      <c r="E5103" t="s">
        <v>377</v>
      </c>
      <c r="F5103" t="s">
        <v>310</v>
      </c>
      <c r="G5103" t="s">
        <v>341</v>
      </c>
      <c r="H5103" t="s">
        <v>104</v>
      </c>
      <c r="I5103">
        <v>2022</v>
      </c>
      <c r="J5103" t="s">
        <v>379</v>
      </c>
      <c r="K5103" t="s">
        <v>546</v>
      </c>
      <c r="L5103" s="784" t="s">
        <v>575</v>
      </c>
      <c r="M5103" t="s">
        <v>745</v>
      </c>
      <c r="P5103" t="s">
        <v>1887</v>
      </c>
      <c r="R5103" t="s">
        <v>150</v>
      </c>
      <c r="S5103" t="s">
        <v>145</v>
      </c>
      <c r="U5103">
        <v>0</v>
      </c>
      <c r="V5103" t="s">
        <v>541</v>
      </c>
      <c r="W5103" t="s">
        <v>562</v>
      </c>
      <c r="X5103" s="784">
        <v>5027591.1682657599</v>
      </c>
    </row>
    <row r="5104" spans="1:24">
      <c r="A5104" t="s">
        <v>358</v>
      </c>
      <c r="B5104" t="s">
        <v>581</v>
      </c>
      <c r="C5104" t="s">
        <v>188</v>
      </c>
      <c r="D5104" t="s">
        <v>129</v>
      </c>
      <c r="E5104" t="s">
        <v>377</v>
      </c>
      <c r="F5104" t="s">
        <v>310</v>
      </c>
      <c r="G5104" t="s">
        <v>341</v>
      </c>
      <c r="H5104" t="s">
        <v>104</v>
      </c>
      <c r="I5104">
        <v>2022</v>
      </c>
      <c r="J5104" t="s">
        <v>379</v>
      </c>
      <c r="K5104" t="s">
        <v>546</v>
      </c>
      <c r="L5104" s="784" t="s">
        <v>575</v>
      </c>
      <c r="M5104" t="s">
        <v>745</v>
      </c>
      <c r="P5104" t="s">
        <v>1887</v>
      </c>
      <c r="R5104" t="s">
        <v>148</v>
      </c>
      <c r="S5104" t="s">
        <v>145</v>
      </c>
      <c r="U5104">
        <v>3</v>
      </c>
      <c r="V5104" t="s">
        <v>544</v>
      </c>
      <c r="W5104" t="s">
        <v>562</v>
      </c>
      <c r="X5104" s="784">
        <v>234645958.63289919</v>
      </c>
    </row>
    <row r="5105" spans="1:24">
      <c r="A5105" t="s">
        <v>358</v>
      </c>
      <c r="B5105" t="s">
        <v>582</v>
      </c>
      <c r="C5105" t="s">
        <v>189</v>
      </c>
      <c r="D5105" t="s">
        <v>129</v>
      </c>
      <c r="E5105" t="s">
        <v>377</v>
      </c>
      <c r="F5105" t="s">
        <v>310</v>
      </c>
      <c r="G5105" t="s">
        <v>341</v>
      </c>
      <c r="H5105" t="s">
        <v>104</v>
      </c>
      <c r="I5105">
        <v>2022</v>
      </c>
      <c r="J5105" t="s">
        <v>379</v>
      </c>
      <c r="K5105" t="s">
        <v>546</v>
      </c>
      <c r="L5105" s="784" t="s">
        <v>575</v>
      </c>
      <c r="M5105" t="s">
        <v>745</v>
      </c>
      <c r="P5105" t="s">
        <v>1887</v>
      </c>
      <c r="R5105" t="s">
        <v>150</v>
      </c>
      <c r="S5105" t="s">
        <v>145</v>
      </c>
      <c r="U5105">
        <v>2</v>
      </c>
      <c r="V5105" t="s">
        <v>544</v>
      </c>
      <c r="W5105" t="s">
        <v>583</v>
      </c>
      <c r="X5105" s="784">
        <v>91590910.247314155</v>
      </c>
    </row>
    <row r="5106" spans="1:24">
      <c r="A5106" t="s">
        <v>358</v>
      </c>
      <c r="B5106" t="s">
        <v>584</v>
      </c>
      <c r="C5106" t="s">
        <v>190</v>
      </c>
      <c r="D5106" t="s">
        <v>126</v>
      </c>
      <c r="E5106" t="s">
        <v>377</v>
      </c>
      <c r="F5106" t="s">
        <v>310</v>
      </c>
      <c r="G5106" t="s">
        <v>341</v>
      </c>
      <c r="H5106" t="s">
        <v>104</v>
      </c>
      <c r="I5106">
        <v>2022</v>
      </c>
      <c r="J5106" t="s">
        <v>379</v>
      </c>
      <c r="K5106" t="s">
        <v>546</v>
      </c>
      <c r="L5106" s="784" t="s">
        <v>575</v>
      </c>
      <c r="M5106" t="s">
        <v>745</v>
      </c>
      <c r="P5106" t="s">
        <v>1887</v>
      </c>
      <c r="R5106" t="s">
        <v>322</v>
      </c>
      <c r="S5106" t="s">
        <v>146</v>
      </c>
      <c r="U5106">
        <v>0</v>
      </c>
      <c r="V5106" t="s">
        <v>541</v>
      </c>
      <c r="W5106" t="s">
        <v>546</v>
      </c>
      <c r="X5106" s="784">
        <v>8560012.8840167802</v>
      </c>
    </row>
    <row r="5107" spans="1:24">
      <c r="A5107" t="s">
        <v>358</v>
      </c>
      <c r="B5107" t="s">
        <v>585</v>
      </c>
      <c r="C5107" t="s">
        <v>191</v>
      </c>
      <c r="D5107" t="s">
        <v>130</v>
      </c>
      <c r="E5107" t="s">
        <v>377</v>
      </c>
      <c r="F5107" t="s">
        <v>310</v>
      </c>
      <c r="G5107" t="s">
        <v>341</v>
      </c>
      <c r="H5107" t="s">
        <v>104</v>
      </c>
      <c r="I5107">
        <v>2022</v>
      </c>
      <c r="J5107" t="s">
        <v>379</v>
      </c>
      <c r="K5107" t="s">
        <v>546</v>
      </c>
      <c r="L5107" s="784" t="s">
        <v>575</v>
      </c>
      <c r="M5107" t="s">
        <v>745</v>
      </c>
      <c r="P5107" t="s">
        <v>1887</v>
      </c>
      <c r="R5107" t="s">
        <v>152</v>
      </c>
      <c r="S5107" t="s">
        <v>146</v>
      </c>
      <c r="U5107">
        <v>0</v>
      </c>
      <c r="V5107" t="s">
        <v>544</v>
      </c>
      <c r="W5107" t="s">
        <v>546</v>
      </c>
      <c r="X5107" s="784">
        <v>3292372960.3962669</v>
      </c>
    </row>
    <row r="5108" spans="1:24">
      <c r="A5108" t="s">
        <v>358</v>
      </c>
      <c r="B5108" t="s">
        <v>586</v>
      </c>
      <c r="C5108" t="s">
        <v>192</v>
      </c>
      <c r="D5108" t="s">
        <v>129</v>
      </c>
      <c r="E5108" t="s">
        <v>377</v>
      </c>
      <c r="F5108" t="s">
        <v>310</v>
      </c>
      <c r="G5108" t="s">
        <v>341</v>
      </c>
      <c r="H5108" t="s">
        <v>104</v>
      </c>
      <c r="I5108">
        <v>2022</v>
      </c>
      <c r="J5108" t="s">
        <v>379</v>
      </c>
      <c r="K5108" t="s">
        <v>546</v>
      </c>
      <c r="L5108" s="784" t="s">
        <v>575</v>
      </c>
      <c r="M5108" t="s">
        <v>745</v>
      </c>
      <c r="P5108" t="s">
        <v>1887</v>
      </c>
      <c r="R5108" t="s">
        <v>150</v>
      </c>
      <c r="S5108" t="s">
        <v>145</v>
      </c>
      <c r="U5108">
        <v>0</v>
      </c>
      <c r="V5108" t="s">
        <v>544</v>
      </c>
      <c r="W5108" t="s">
        <v>562</v>
      </c>
      <c r="X5108" s="784">
        <v>519209981.22981054</v>
      </c>
    </row>
    <row r="5109" spans="1:24">
      <c r="A5109" t="s">
        <v>358</v>
      </c>
      <c r="B5109" t="s">
        <v>587</v>
      </c>
      <c r="C5109" t="s">
        <v>193</v>
      </c>
      <c r="D5109" t="s">
        <v>127</v>
      </c>
      <c r="E5109" t="s">
        <v>377</v>
      </c>
      <c r="F5109" t="s">
        <v>310</v>
      </c>
      <c r="G5109" t="s">
        <v>341</v>
      </c>
      <c r="H5109" t="s">
        <v>104</v>
      </c>
      <c r="I5109">
        <v>2022</v>
      </c>
      <c r="J5109" t="s">
        <v>379</v>
      </c>
      <c r="K5109" t="s">
        <v>546</v>
      </c>
      <c r="L5109" s="784" t="s">
        <v>575</v>
      </c>
      <c r="M5109" t="s">
        <v>745</v>
      </c>
      <c r="P5109" t="s">
        <v>1887</v>
      </c>
      <c r="R5109" t="s">
        <v>550</v>
      </c>
      <c r="S5109" t="s">
        <v>146</v>
      </c>
      <c r="U5109">
        <v>0</v>
      </c>
      <c r="V5109" t="s">
        <v>544</v>
      </c>
      <c r="W5109" t="s">
        <v>575</v>
      </c>
      <c r="X5109" s="784">
        <v>3464739907.1604805</v>
      </c>
    </row>
    <row r="5110" spans="1:24">
      <c r="A5110" t="s">
        <v>358</v>
      </c>
      <c r="B5110" t="s">
        <v>588</v>
      </c>
      <c r="C5110" t="s">
        <v>147</v>
      </c>
      <c r="D5110" t="s">
        <v>130</v>
      </c>
      <c r="E5110" t="s">
        <v>377</v>
      </c>
      <c r="F5110" t="s">
        <v>310</v>
      </c>
      <c r="G5110" t="s">
        <v>341</v>
      </c>
      <c r="H5110" t="s">
        <v>104</v>
      </c>
      <c r="I5110">
        <v>2022</v>
      </c>
      <c r="J5110" t="s">
        <v>379</v>
      </c>
      <c r="K5110" t="s">
        <v>546</v>
      </c>
      <c r="L5110" s="784" t="s">
        <v>575</v>
      </c>
      <c r="M5110" t="s">
        <v>745</v>
      </c>
      <c r="P5110" t="s">
        <v>1887</v>
      </c>
      <c r="R5110" t="s">
        <v>152</v>
      </c>
      <c r="S5110" t="s">
        <v>146</v>
      </c>
      <c r="U5110">
        <v>0</v>
      </c>
      <c r="V5110" t="s">
        <v>541</v>
      </c>
      <c r="W5110" t="s">
        <v>575</v>
      </c>
      <c r="X5110" s="784">
        <v>9948521252.2569065</v>
      </c>
    </row>
    <row r="5111" spans="1:24">
      <c r="A5111" t="s">
        <v>358</v>
      </c>
      <c r="B5111" t="s">
        <v>589</v>
      </c>
      <c r="C5111" t="s">
        <v>194</v>
      </c>
      <c r="D5111" t="s">
        <v>131</v>
      </c>
      <c r="E5111" t="s">
        <v>377</v>
      </c>
      <c r="F5111" t="s">
        <v>310</v>
      </c>
      <c r="G5111" t="s">
        <v>341</v>
      </c>
      <c r="H5111" t="s">
        <v>104</v>
      </c>
      <c r="I5111">
        <v>2022</v>
      </c>
      <c r="J5111" t="s">
        <v>379</v>
      </c>
      <c r="K5111" t="s">
        <v>546</v>
      </c>
      <c r="L5111" s="784" t="s">
        <v>575</v>
      </c>
      <c r="M5111" t="s">
        <v>745</v>
      </c>
      <c r="P5111" t="s">
        <v>1887</v>
      </c>
      <c r="R5111" t="s">
        <v>150</v>
      </c>
      <c r="S5111" t="s">
        <v>145</v>
      </c>
      <c r="U5111">
        <v>1</v>
      </c>
      <c r="V5111" t="s">
        <v>544</v>
      </c>
      <c r="W5111" t="s">
        <v>542</v>
      </c>
      <c r="X5111" s="784">
        <v>33679192.765657313</v>
      </c>
    </row>
    <row r="5112" spans="1:24">
      <c r="A5112" t="s">
        <v>358</v>
      </c>
      <c r="B5112" t="s">
        <v>590</v>
      </c>
      <c r="C5112" t="s">
        <v>195</v>
      </c>
      <c r="D5112" t="s">
        <v>130</v>
      </c>
      <c r="E5112" t="s">
        <v>377</v>
      </c>
      <c r="F5112" t="s">
        <v>310</v>
      </c>
      <c r="G5112" t="s">
        <v>341</v>
      </c>
      <c r="H5112" t="s">
        <v>104</v>
      </c>
      <c r="I5112">
        <v>2022</v>
      </c>
      <c r="J5112" t="s">
        <v>379</v>
      </c>
      <c r="K5112" t="s">
        <v>546</v>
      </c>
      <c r="L5112" s="784">
        <v>200000</v>
      </c>
      <c r="M5112" t="s">
        <v>745</v>
      </c>
      <c r="P5112" t="s">
        <v>1887</v>
      </c>
      <c r="R5112" t="s">
        <v>152</v>
      </c>
      <c r="S5112" t="s">
        <v>145</v>
      </c>
      <c r="U5112">
        <v>0</v>
      </c>
      <c r="V5112" t="s">
        <v>541</v>
      </c>
      <c r="W5112" t="s">
        <v>548</v>
      </c>
      <c r="X5112" s="784">
        <v>22784494.365742501</v>
      </c>
    </row>
    <row r="5113" spans="1:24">
      <c r="A5113" t="s">
        <v>358</v>
      </c>
      <c r="B5113" t="s">
        <v>591</v>
      </c>
      <c r="C5113" t="s">
        <v>196</v>
      </c>
      <c r="D5113" t="s">
        <v>130</v>
      </c>
      <c r="E5113" t="s">
        <v>377</v>
      </c>
      <c r="F5113" t="s">
        <v>310</v>
      </c>
      <c r="G5113" t="s">
        <v>341</v>
      </c>
      <c r="H5113" t="s">
        <v>104</v>
      </c>
      <c r="I5113">
        <v>2022</v>
      </c>
      <c r="J5113" t="s">
        <v>379</v>
      </c>
      <c r="K5113" t="s">
        <v>546</v>
      </c>
      <c r="L5113" s="784" t="s">
        <v>575</v>
      </c>
      <c r="M5113" t="s">
        <v>745</v>
      </c>
      <c r="P5113" t="s">
        <v>1887</v>
      </c>
      <c r="R5113" t="s">
        <v>152</v>
      </c>
      <c r="S5113" t="s">
        <v>146</v>
      </c>
      <c r="U5113">
        <v>0</v>
      </c>
      <c r="V5113" t="s">
        <v>541</v>
      </c>
      <c r="W5113" t="s">
        <v>575</v>
      </c>
      <c r="X5113" s="784">
        <v>2173208011.4858823</v>
      </c>
    </row>
    <row r="5114" spans="1:24">
      <c r="A5114" t="s">
        <v>358</v>
      </c>
      <c r="B5114" t="s">
        <v>592</v>
      </c>
      <c r="C5114" t="s">
        <v>197</v>
      </c>
      <c r="D5114" t="s">
        <v>130</v>
      </c>
      <c r="E5114" t="s">
        <v>377</v>
      </c>
      <c r="F5114" t="s">
        <v>310</v>
      </c>
      <c r="G5114" t="s">
        <v>341</v>
      </c>
      <c r="H5114" t="s">
        <v>104</v>
      </c>
      <c r="I5114">
        <v>2022</v>
      </c>
      <c r="J5114" t="s">
        <v>379</v>
      </c>
      <c r="K5114" t="s">
        <v>546</v>
      </c>
      <c r="L5114" s="784" t="s">
        <v>575</v>
      </c>
      <c r="M5114" t="s">
        <v>745</v>
      </c>
      <c r="P5114" t="s">
        <v>1887</v>
      </c>
      <c r="R5114" t="s">
        <v>152</v>
      </c>
      <c r="S5114" t="s">
        <v>146</v>
      </c>
      <c r="U5114">
        <v>0</v>
      </c>
      <c r="V5114" t="s">
        <v>544</v>
      </c>
      <c r="W5114" t="s">
        <v>546</v>
      </c>
      <c r="X5114" s="784">
        <v>4585736158.8323269</v>
      </c>
    </row>
    <row r="5115" spans="1:24">
      <c r="A5115" t="s">
        <v>358</v>
      </c>
      <c r="B5115" t="s">
        <v>593</v>
      </c>
      <c r="C5115" t="s">
        <v>198</v>
      </c>
      <c r="D5115" t="s">
        <v>131</v>
      </c>
      <c r="E5115" t="s">
        <v>377</v>
      </c>
      <c r="F5115" t="s">
        <v>310</v>
      </c>
      <c r="G5115" t="s">
        <v>341</v>
      </c>
      <c r="H5115" t="s">
        <v>104</v>
      </c>
      <c r="I5115">
        <v>2022</v>
      </c>
      <c r="J5115" t="s">
        <v>379</v>
      </c>
      <c r="K5115" t="s">
        <v>546</v>
      </c>
      <c r="L5115" s="784">
        <v>3628370</v>
      </c>
      <c r="M5115" t="s">
        <v>745</v>
      </c>
      <c r="P5115" t="s">
        <v>1887</v>
      </c>
      <c r="R5115" t="s">
        <v>150</v>
      </c>
      <c r="S5115" t="s">
        <v>145</v>
      </c>
      <c r="U5115">
        <v>0</v>
      </c>
      <c r="V5115" t="s">
        <v>544</v>
      </c>
      <c r="W5115" t="s">
        <v>546</v>
      </c>
      <c r="X5115" s="784">
        <v>3550291584.8645592</v>
      </c>
    </row>
    <row r="5116" spans="1:24">
      <c r="A5116" t="s">
        <v>358</v>
      </c>
      <c r="B5116" t="s">
        <v>594</v>
      </c>
      <c r="C5116" t="s">
        <v>199</v>
      </c>
      <c r="D5116" t="s">
        <v>130</v>
      </c>
      <c r="E5116" t="s">
        <v>377</v>
      </c>
      <c r="F5116" t="s">
        <v>310</v>
      </c>
      <c r="G5116" t="s">
        <v>341</v>
      </c>
      <c r="H5116" t="s">
        <v>104</v>
      </c>
      <c r="I5116">
        <v>2022</v>
      </c>
      <c r="J5116" t="s">
        <v>379</v>
      </c>
      <c r="K5116" t="s">
        <v>546</v>
      </c>
      <c r="L5116" s="784">
        <v>1191606</v>
      </c>
      <c r="M5116" t="s">
        <v>745</v>
      </c>
      <c r="P5116" t="s">
        <v>1887</v>
      </c>
      <c r="R5116" t="s">
        <v>150</v>
      </c>
      <c r="S5116" t="s">
        <v>145</v>
      </c>
      <c r="U5116">
        <v>0</v>
      </c>
      <c r="V5116" t="s">
        <v>544</v>
      </c>
      <c r="W5116" t="s">
        <v>546</v>
      </c>
      <c r="X5116" s="784">
        <v>1182840319.0410969</v>
      </c>
    </row>
    <row r="5117" spans="1:24">
      <c r="A5117" t="s">
        <v>358</v>
      </c>
      <c r="B5117" t="s">
        <v>595</v>
      </c>
      <c r="C5117" t="s">
        <v>200</v>
      </c>
      <c r="D5117" t="s">
        <v>130</v>
      </c>
      <c r="E5117" t="s">
        <v>377</v>
      </c>
      <c r="F5117" t="s">
        <v>310</v>
      </c>
      <c r="G5117" t="s">
        <v>341</v>
      </c>
      <c r="H5117" t="s">
        <v>104</v>
      </c>
      <c r="I5117">
        <v>2022</v>
      </c>
      <c r="J5117" t="s">
        <v>379</v>
      </c>
      <c r="K5117" t="s">
        <v>546</v>
      </c>
      <c r="L5117" s="784" t="s">
        <v>575</v>
      </c>
      <c r="M5117" t="s">
        <v>745</v>
      </c>
      <c r="P5117" t="s">
        <v>1887</v>
      </c>
      <c r="R5117" t="s">
        <v>152</v>
      </c>
      <c r="S5117" t="s">
        <v>146</v>
      </c>
      <c r="U5117">
        <v>0</v>
      </c>
      <c r="V5117" t="s">
        <v>544</v>
      </c>
      <c r="W5117" t="s">
        <v>575</v>
      </c>
      <c r="X5117" s="784">
        <v>81728347.604567245</v>
      </c>
    </row>
    <row r="5118" spans="1:24">
      <c r="A5118" t="s">
        <v>358</v>
      </c>
      <c r="B5118" t="s">
        <v>596</v>
      </c>
      <c r="C5118" t="s">
        <v>201</v>
      </c>
      <c r="D5118" t="s">
        <v>128</v>
      </c>
      <c r="E5118" t="s">
        <v>377</v>
      </c>
      <c r="F5118" t="s">
        <v>310</v>
      </c>
      <c r="G5118" t="s">
        <v>341</v>
      </c>
      <c r="H5118" t="s">
        <v>104</v>
      </c>
      <c r="I5118">
        <v>2022</v>
      </c>
      <c r="J5118" t="s">
        <v>379</v>
      </c>
      <c r="K5118" t="s">
        <v>546</v>
      </c>
      <c r="L5118" s="784" t="s">
        <v>575</v>
      </c>
      <c r="M5118" t="s">
        <v>745</v>
      </c>
      <c r="P5118" t="s">
        <v>1887</v>
      </c>
      <c r="R5118" t="s">
        <v>148</v>
      </c>
      <c r="S5118" t="s">
        <v>145</v>
      </c>
      <c r="U5118">
        <v>2</v>
      </c>
      <c r="V5118" t="s">
        <v>544</v>
      </c>
      <c r="W5118" t="s">
        <v>546</v>
      </c>
      <c r="X5118" s="784">
        <v>12787914.977715338</v>
      </c>
    </row>
    <row r="5119" spans="1:24">
      <c r="A5119" t="s">
        <v>358</v>
      </c>
      <c r="B5119" t="s">
        <v>597</v>
      </c>
      <c r="C5119" t="s">
        <v>202</v>
      </c>
      <c r="D5119" t="s">
        <v>128</v>
      </c>
      <c r="E5119" t="s">
        <v>377</v>
      </c>
      <c r="F5119" t="s">
        <v>310</v>
      </c>
      <c r="G5119" t="s">
        <v>341</v>
      </c>
      <c r="H5119" t="s">
        <v>104</v>
      </c>
      <c r="I5119">
        <v>2022</v>
      </c>
      <c r="J5119" t="s">
        <v>379</v>
      </c>
      <c r="K5119" t="s">
        <v>546</v>
      </c>
      <c r="L5119" s="784">
        <v>230000</v>
      </c>
      <c r="M5119" t="s">
        <v>745</v>
      </c>
      <c r="P5119" t="s">
        <v>1887</v>
      </c>
      <c r="R5119" t="s">
        <v>150</v>
      </c>
      <c r="S5119" t="s">
        <v>145</v>
      </c>
      <c r="U5119">
        <v>2</v>
      </c>
      <c r="V5119" t="s">
        <v>544</v>
      </c>
      <c r="W5119" t="s">
        <v>546</v>
      </c>
      <c r="X5119" s="784">
        <v>101271737.65410839</v>
      </c>
    </row>
    <row r="5120" spans="1:24">
      <c r="A5120" t="s">
        <v>358</v>
      </c>
      <c r="B5120" t="s">
        <v>598</v>
      </c>
      <c r="C5120" t="s">
        <v>203</v>
      </c>
      <c r="D5120" t="s">
        <v>128</v>
      </c>
      <c r="E5120" t="s">
        <v>377</v>
      </c>
      <c r="F5120" t="s">
        <v>310</v>
      </c>
      <c r="G5120" t="s">
        <v>341</v>
      </c>
      <c r="H5120" t="s">
        <v>104</v>
      </c>
      <c r="I5120">
        <v>2022</v>
      </c>
      <c r="J5120" t="s">
        <v>379</v>
      </c>
      <c r="K5120" t="s">
        <v>546</v>
      </c>
      <c r="L5120" s="784" t="s">
        <v>575</v>
      </c>
      <c r="M5120" t="s">
        <v>745</v>
      </c>
      <c r="P5120" t="s">
        <v>1887</v>
      </c>
      <c r="R5120" t="s">
        <v>148</v>
      </c>
      <c r="S5120" t="s">
        <v>145</v>
      </c>
      <c r="U5120">
        <v>3</v>
      </c>
      <c r="V5120" t="s">
        <v>544</v>
      </c>
      <c r="W5120" t="s">
        <v>542</v>
      </c>
      <c r="X5120" s="784">
        <v>618344226.71759331</v>
      </c>
    </row>
    <row r="5121" spans="1:24">
      <c r="A5121" t="s">
        <v>358</v>
      </c>
      <c r="B5121" t="s">
        <v>599</v>
      </c>
      <c r="C5121" t="s">
        <v>204</v>
      </c>
      <c r="D5121" t="s">
        <v>126</v>
      </c>
      <c r="E5121" t="s">
        <v>377</v>
      </c>
      <c r="F5121" t="s">
        <v>310</v>
      </c>
      <c r="G5121" t="s">
        <v>341</v>
      </c>
      <c r="H5121" t="s">
        <v>104</v>
      </c>
      <c r="I5121">
        <v>2022</v>
      </c>
      <c r="J5121" t="s">
        <v>379</v>
      </c>
      <c r="K5121" t="s">
        <v>546</v>
      </c>
      <c r="L5121" s="784">
        <v>230000</v>
      </c>
      <c r="M5121" t="s">
        <v>745</v>
      </c>
      <c r="P5121" t="s">
        <v>1887</v>
      </c>
      <c r="R5121" t="s">
        <v>152</v>
      </c>
      <c r="S5121" t="s">
        <v>145</v>
      </c>
      <c r="U5121">
        <v>0</v>
      </c>
      <c r="V5121" t="s">
        <v>541</v>
      </c>
      <c r="W5121" t="s">
        <v>548</v>
      </c>
      <c r="X5121" s="784">
        <v>129483872.95906857</v>
      </c>
    </row>
    <row r="5122" spans="1:24">
      <c r="A5122" t="s">
        <v>358</v>
      </c>
      <c r="B5122" t="s">
        <v>600</v>
      </c>
      <c r="C5122" t="s">
        <v>205</v>
      </c>
      <c r="D5122" t="s">
        <v>129</v>
      </c>
      <c r="E5122" t="s">
        <v>377</v>
      </c>
      <c r="F5122" t="s">
        <v>310</v>
      </c>
      <c r="G5122" t="s">
        <v>341</v>
      </c>
      <c r="H5122" t="s">
        <v>104</v>
      </c>
      <c r="I5122">
        <v>2022</v>
      </c>
      <c r="J5122" t="s">
        <v>379</v>
      </c>
      <c r="K5122" t="s">
        <v>546</v>
      </c>
      <c r="L5122" s="784" t="s">
        <v>575</v>
      </c>
      <c r="M5122" t="s">
        <v>745</v>
      </c>
      <c r="P5122" t="s">
        <v>1887</v>
      </c>
      <c r="R5122" t="s">
        <v>152</v>
      </c>
      <c r="S5122" t="s">
        <v>146</v>
      </c>
      <c r="U5122">
        <v>0</v>
      </c>
      <c r="V5122" t="s">
        <v>544</v>
      </c>
      <c r="W5122" t="s">
        <v>546</v>
      </c>
      <c r="X5122" s="784">
        <v>271184658.35014349</v>
      </c>
    </row>
    <row r="5123" spans="1:24">
      <c r="A5123" t="s">
        <v>358</v>
      </c>
      <c r="B5123" t="s">
        <v>601</v>
      </c>
      <c r="C5123" t="s">
        <v>206</v>
      </c>
      <c r="D5123" t="s">
        <v>129</v>
      </c>
      <c r="E5123" t="s">
        <v>377</v>
      </c>
      <c r="F5123" t="s">
        <v>310</v>
      </c>
      <c r="G5123" t="s">
        <v>341</v>
      </c>
      <c r="H5123" t="s">
        <v>104</v>
      </c>
      <c r="I5123">
        <v>2022</v>
      </c>
      <c r="J5123" t="s">
        <v>379</v>
      </c>
      <c r="K5123" t="s">
        <v>546</v>
      </c>
      <c r="L5123" s="784" t="s">
        <v>575</v>
      </c>
      <c r="M5123" t="s">
        <v>745</v>
      </c>
      <c r="P5123" t="s">
        <v>1887</v>
      </c>
      <c r="R5123" t="s">
        <v>148</v>
      </c>
      <c r="S5123" t="s">
        <v>145</v>
      </c>
      <c r="U5123">
        <v>0</v>
      </c>
      <c r="V5123" t="s">
        <v>544</v>
      </c>
      <c r="W5123" t="s">
        <v>542</v>
      </c>
      <c r="X5123" s="784">
        <v>15455265.086884515</v>
      </c>
    </row>
    <row r="5124" spans="1:24">
      <c r="A5124" t="s">
        <v>358</v>
      </c>
      <c r="B5124" t="s">
        <v>602</v>
      </c>
      <c r="C5124" t="s">
        <v>207</v>
      </c>
      <c r="D5124" t="s">
        <v>127</v>
      </c>
      <c r="E5124" t="s">
        <v>377</v>
      </c>
      <c r="F5124" t="s">
        <v>310</v>
      </c>
      <c r="G5124" t="s">
        <v>341</v>
      </c>
      <c r="H5124" t="s">
        <v>104</v>
      </c>
      <c r="I5124">
        <v>2022</v>
      </c>
      <c r="J5124" t="s">
        <v>379</v>
      </c>
      <c r="K5124" t="s">
        <v>546</v>
      </c>
      <c r="L5124" s="784" t="s">
        <v>575</v>
      </c>
      <c r="M5124" t="s">
        <v>745</v>
      </c>
      <c r="P5124" t="s">
        <v>1887</v>
      </c>
      <c r="R5124" t="s">
        <v>152</v>
      </c>
      <c r="S5124" t="s">
        <v>146</v>
      </c>
      <c r="U5124">
        <v>0</v>
      </c>
      <c r="V5124" t="s">
        <v>544</v>
      </c>
      <c r="W5124" t="s">
        <v>546</v>
      </c>
      <c r="X5124" s="784">
        <v>494021502.525527</v>
      </c>
    </row>
    <row r="5125" spans="1:24">
      <c r="A5125" t="s">
        <v>358</v>
      </c>
      <c r="B5125" t="s">
        <v>603</v>
      </c>
      <c r="C5125" t="s">
        <v>208</v>
      </c>
      <c r="D5125" t="s">
        <v>129</v>
      </c>
      <c r="E5125" t="s">
        <v>377</v>
      </c>
      <c r="F5125" t="s">
        <v>310</v>
      </c>
      <c r="G5125" t="s">
        <v>341</v>
      </c>
      <c r="H5125" t="s">
        <v>104</v>
      </c>
      <c r="I5125">
        <v>2022</v>
      </c>
      <c r="J5125" t="s">
        <v>379</v>
      </c>
      <c r="K5125" t="s">
        <v>546</v>
      </c>
      <c r="L5125" s="784" t="s">
        <v>575</v>
      </c>
      <c r="M5125" t="s">
        <v>745</v>
      </c>
      <c r="P5125" t="s">
        <v>1887</v>
      </c>
      <c r="R5125" t="s">
        <v>150</v>
      </c>
      <c r="S5125" t="s">
        <v>145</v>
      </c>
      <c r="U5125">
        <v>0</v>
      </c>
      <c r="V5125" t="s">
        <v>544</v>
      </c>
      <c r="W5125" t="s">
        <v>542</v>
      </c>
      <c r="X5125" s="784">
        <v>902005621.73836684</v>
      </c>
    </row>
    <row r="5126" spans="1:24">
      <c r="A5126" t="s">
        <v>358</v>
      </c>
      <c r="B5126" t="s">
        <v>604</v>
      </c>
      <c r="C5126" t="s">
        <v>209</v>
      </c>
      <c r="D5126" t="s">
        <v>130</v>
      </c>
      <c r="E5126" t="s">
        <v>377</v>
      </c>
      <c r="F5126" t="s">
        <v>310</v>
      </c>
      <c r="G5126" t="s">
        <v>341</v>
      </c>
      <c r="H5126" t="s">
        <v>104</v>
      </c>
      <c r="I5126">
        <v>2022</v>
      </c>
      <c r="J5126" t="s">
        <v>379</v>
      </c>
      <c r="K5126" t="s">
        <v>546</v>
      </c>
      <c r="L5126" s="784">
        <v>200000</v>
      </c>
      <c r="M5126" t="s">
        <v>745</v>
      </c>
      <c r="P5126" t="s">
        <v>1887</v>
      </c>
      <c r="R5126" t="s">
        <v>152</v>
      </c>
      <c r="S5126" t="s">
        <v>145</v>
      </c>
      <c r="U5126">
        <v>0</v>
      </c>
      <c r="V5126" t="s">
        <v>541</v>
      </c>
      <c r="W5126" t="s">
        <v>583</v>
      </c>
      <c r="X5126" s="784">
        <v>20201670.142996579</v>
      </c>
    </row>
    <row r="5127" spans="1:24">
      <c r="A5127" t="s">
        <v>358</v>
      </c>
      <c r="B5127" t="s">
        <v>605</v>
      </c>
      <c r="C5127" t="s">
        <v>210</v>
      </c>
      <c r="D5127" t="s">
        <v>130</v>
      </c>
      <c r="E5127" t="s">
        <v>377</v>
      </c>
      <c r="F5127" t="s">
        <v>310</v>
      </c>
      <c r="G5127" t="s">
        <v>341</v>
      </c>
      <c r="H5127" t="s">
        <v>104</v>
      </c>
      <c r="I5127">
        <v>2022</v>
      </c>
      <c r="J5127" t="s">
        <v>379</v>
      </c>
      <c r="K5127" t="s">
        <v>546</v>
      </c>
      <c r="L5127" s="784" t="s">
        <v>575</v>
      </c>
      <c r="M5127" t="s">
        <v>745</v>
      </c>
      <c r="P5127" t="s">
        <v>1887</v>
      </c>
      <c r="R5127" t="s">
        <v>152</v>
      </c>
      <c r="S5127" t="s">
        <v>146</v>
      </c>
      <c r="U5127">
        <v>0</v>
      </c>
      <c r="V5127" t="s">
        <v>544</v>
      </c>
      <c r="W5127" t="s">
        <v>575</v>
      </c>
      <c r="X5127" s="784">
        <v>1612434649.6948864</v>
      </c>
    </row>
    <row r="5128" spans="1:24">
      <c r="A5128" t="s">
        <v>358</v>
      </c>
      <c r="B5128" t="s">
        <v>606</v>
      </c>
      <c r="C5128" t="s">
        <v>211</v>
      </c>
      <c r="D5128" t="s">
        <v>129</v>
      </c>
      <c r="E5128" t="s">
        <v>377</v>
      </c>
      <c r="F5128" t="s">
        <v>310</v>
      </c>
      <c r="G5128" t="s">
        <v>341</v>
      </c>
      <c r="H5128" t="s">
        <v>104</v>
      </c>
      <c r="I5128">
        <v>2022</v>
      </c>
      <c r="J5128" t="s">
        <v>379</v>
      </c>
      <c r="K5128" t="s">
        <v>546</v>
      </c>
      <c r="L5128" s="784" t="s">
        <v>575</v>
      </c>
      <c r="M5128" t="s">
        <v>745</v>
      </c>
      <c r="P5128" t="s">
        <v>1887</v>
      </c>
      <c r="R5128" t="s">
        <v>148</v>
      </c>
      <c r="S5128" t="s">
        <v>145</v>
      </c>
      <c r="U5128">
        <v>0</v>
      </c>
      <c r="V5128" t="s">
        <v>544</v>
      </c>
      <c r="W5128" t="s">
        <v>562</v>
      </c>
      <c r="X5128" s="784">
        <v>78203134.118229344</v>
      </c>
    </row>
    <row r="5129" spans="1:24">
      <c r="A5129" t="s">
        <v>358</v>
      </c>
      <c r="B5129" t="s">
        <v>607</v>
      </c>
      <c r="C5129" t="s">
        <v>212</v>
      </c>
      <c r="D5129" t="s">
        <v>129</v>
      </c>
      <c r="E5129" t="s">
        <v>377</v>
      </c>
      <c r="F5129" t="s">
        <v>310</v>
      </c>
      <c r="G5129" t="s">
        <v>341</v>
      </c>
      <c r="H5129" t="s">
        <v>104</v>
      </c>
      <c r="I5129">
        <v>2022</v>
      </c>
      <c r="J5129" t="s">
        <v>379</v>
      </c>
      <c r="K5129" t="s">
        <v>546</v>
      </c>
      <c r="L5129" s="784" t="s">
        <v>575</v>
      </c>
      <c r="M5129" t="s">
        <v>745</v>
      </c>
      <c r="P5129" t="s">
        <v>1887</v>
      </c>
      <c r="R5129" t="s">
        <v>148</v>
      </c>
      <c r="S5129" t="s">
        <v>145</v>
      </c>
      <c r="U5129">
        <v>2</v>
      </c>
      <c r="V5129" t="s">
        <v>541</v>
      </c>
      <c r="W5129" t="s">
        <v>542</v>
      </c>
      <c r="X5129" s="784">
        <v>9151637.7411015611</v>
      </c>
    </row>
    <row r="5130" spans="1:24">
      <c r="A5130" t="s">
        <v>358</v>
      </c>
      <c r="B5130" t="s">
        <v>608</v>
      </c>
      <c r="C5130" t="s">
        <v>213</v>
      </c>
      <c r="D5130" t="s">
        <v>130</v>
      </c>
      <c r="E5130" t="s">
        <v>377</v>
      </c>
      <c r="F5130" t="s">
        <v>310</v>
      </c>
      <c r="G5130" t="s">
        <v>341</v>
      </c>
      <c r="H5130" t="s">
        <v>104</v>
      </c>
      <c r="I5130">
        <v>2022</v>
      </c>
      <c r="J5130" t="s">
        <v>379</v>
      </c>
      <c r="K5130" t="s">
        <v>546</v>
      </c>
      <c r="L5130" s="784">
        <v>600000</v>
      </c>
      <c r="M5130" t="s">
        <v>745</v>
      </c>
      <c r="P5130" t="s">
        <v>1887</v>
      </c>
      <c r="R5130" t="s">
        <v>152</v>
      </c>
      <c r="S5130" t="s">
        <v>145</v>
      </c>
      <c r="U5130">
        <v>0</v>
      </c>
      <c r="V5130" t="s">
        <v>541</v>
      </c>
      <c r="W5130" t="s">
        <v>562</v>
      </c>
      <c r="X5130" s="784">
        <v>142455920.02856269</v>
      </c>
    </row>
    <row r="5131" spans="1:24">
      <c r="A5131" t="s">
        <v>358</v>
      </c>
      <c r="B5131" t="s">
        <v>609</v>
      </c>
      <c r="C5131" t="s">
        <v>214</v>
      </c>
      <c r="D5131" t="s">
        <v>130</v>
      </c>
      <c r="E5131" t="s">
        <v>377</v>
      </c>
      <c r="F5131" t="s">
        <v>310</v>
      </c>
      <c r="G5131" t="s">
        <v>341</v>
      </c>
      <c r="H5131" t="s">
        <v>104</v>
      </c>
      <c r="I5131">
        <v>2022</v>
      </c>
      <c r="J5131" t="s">
        <v>379</v>
      </c>
      <c r="K5131" t="s">
        <v>546</v>
      </c>
      <c r="L5131" s="784" t="s">
        <v>575</v>
      </c>
      <c r="M5131" t="s">
        <v>745</v>
      </c>
      <c r="P5131" t="s">
        <v>1887</v>
      </c>
      <c r="R5131" t="s">
        <v>150</v>
      </c>
      <c r="S5131" t="s">
        <v>145</v>
      </c>
      <c r="U5131">
        <v>1</v>
      </c>
      <c r="V5131" t="s">
        <v>541</v>
      </c>
      <c r="W5131" t="s">
        <v>542</v>
      </c>
      <c r="X5131" s="784">
        <v>85611818.171245083</v>
      </c>
    </row>
    <row r="5132" spans="1:24">
      <c r="A5132" t="s">
        <v>358</v>
      </c>
      <c r="B5132" t="s">
        <v>610</v>
      </c>
      <c r="C5132" t="s">
        <v>215</v>
      </c>
      <c r="D5132" t="s">
        <v>130</v>
      </c>
      <c r="E5132" t="s">
        <v>377</v>
      </c>
      <c r="F5132" t="s">
        <v>310</v>
      </c>
      <c r="G5132" t="s">
        <v>341</v>
      </c>
      <c r="H5132" t="s">
        <v>104</v>
      </c>
      <c r="I5132">
        <v>2022</v>
      </c>
      <c r="J5132" t="s">
        <v>379</v>
      </c>
      <c r="K5132" t="s">
        <v>546</v>
      </c>
      <c r="L5132" s="784">
        <v>1035145</v>
      </c>
      <c r="M5132" t="s">
        <v>745</v>
      </c>
      <c r="P5132" t="s">
        <v>1887</v>
      </c>
      <c r="R5132" t="s">
        <v>150</v>
      </c>
      <c r="S5132" t="s">
        <v>145</v>
      </c>
      <c r="U5132">
        <v>0</v>
      </c>
      <c r="V5132" t="s">
        <v>544</v>
      </c>
      <c r="W5132" t="s">
        <v>558</v>
      </c>
      <c r="X5132" s="784">
        <v>680289736.30082119</v>
      </c>
    </row>
    <row r="5133" spans="1:24">
      <c r="A5133" t="s">
        <v>358</v>
      </c>
      <c r="B5133" t="s">
        <v>611</v>
      </c>
      <c r="C5133" t="s">
        <v>216</v>
      </c>
      <c r="D5133" t="s">
        <v>132</v>
      </c>
      <c r="E5133" t="s">
        <v>377</v>
      </c>
      <c r="F5133" t="s">
        <v>310</v>
      </c>
      <c r="G5133" t="s">
        <v>341</v>
      </c>
      <c r="H5133" t="s">
        <v>104</v>
      </c>
      <c r="I5133">
        <v>2022</v>
      </c>
      <c r="J5133" t="s">
        <v>379</v>
      </c>
      <c r="K5133" t="s">
        <v>546</v>
      </c>
      <c r="L5133" s="784" t="s">
        <v>575</v>
      </c>
      <c r="M5133" t="s">
        <v>745</v>
      </c>
      <c r="P5133" t="s">
        <v>1887</v>
      </c>
      <c r="R5133" t="s">
        <v>150</v>
      </c>
      <c r="S5133" t="s">
        <v>145</v>
      </c>
      <c r="U5133">
        <v>0</v>
      </c>
      <c r="V5133" t="s">
        <v>544</v>
      </c>
      <c r="W5133" t="s">
        <v>546</v>
      </c>
      <c r="X5133" s="784">
        <v>26554332750.47023</v>
      </c>
    </row>
    <row r="5134" spans="1:24">
      <c r="A5134" t="s">
        <v>358</v>
      </c>
      <c r="B5134" t="s">
        <v>612</v>
      </c>
      <c r="C5134" t="s">
        <v>217</v>
      </c>
      <c r="D5134" t="s">
        <v>126</v>
      </c>
      <c r="E5134" t="s">
        <v>377</v>
      </c>
      <c r="F5134" t="s">
        <v>310</v>
      </c>
      <c r="G5134" t="s">
        <v>341</v>
      </c>
      <c r="H5134" t="s">
        <v>104</v>
      </c>
      <c r="I5134">
        <v>2022</v>
      </c>
      <c r="J5134" t="s">
        <v>379</v>
      </c>
      <c r="K5134" t="s">
        <v>546</v>
      </c>
      <c r="L5134" s="784" t="s">
        <v>575</v>
      </c>
      <c r="M5134" t="s">
        <v>745</v>
      </c>
      <c r="P5134" t="s">
        <v>1887</v>
      </c>
      <c r="R5134" t="s">
        <v>150</v>
      </c>
      <c r="S5134" t="s">
        <v>145</v>
      </c>
      <c r="U5134">
        <v>0</v>
      </c>
      <c r="V5134" t="s">
        <v>544</v>
      </c>
      <c r="W5134" t="s">
        <v>546</v>
      </c>
      <c r="X5134" s="784">
        <v>14745961064.890842</v>
      </c>
    </row>
    <row r="5135" spans="1:24">
      <c r="A5135" t="s">
        <v>358</v>
      </c>
      <c r="B5135" t="s">
        <v>613</v>
      </c>
      <c r="C5135" t="s">
        <v>149</v>
      </c>
      <c r="D5135" t="s">
        <v>131</v>
      </c>
      <c r="E5135" t="s">
        <v>377</v>
      </c>
      <c r="F5135" t="s">
        <v>310</v>
      </c>
      <c r="G5135" t="s">
        <v>341</v>
      </c>
      <c r="H5135" t="s">
        <v>104</v>
      </c>
      <c r="I5135">
        <v>2022</v>
      </c>
      <c r="J5135" t="s">
        <v>379</v>
      </c>
      <c r="K5135" t="s">
        <v>546</v>
      </c>
      <c r="L5135" s="784" t="s">
        <v>575</v>
      </c>
      <c r="M5135" t="s">
        <v>745</v>
      </c>
      <c r="P5135" t="s">
        <v>1887</v>
      </c>
      <c r="R5135" t="s">
        <v>150</v>
      </c>
      <c r="S5135" t="s">
        <v>146</v>
      </c>
      <c r="U5135">
        <v>0</v>
      </c>
      <c r="V5135" t="s">
        <v>544</v>
      </c>
      <c r="W5135" t="s">
        <v>546</v>
      </c>
      <c r="X5135" s="784">
        <v>18194076299.786381</v>
      </c>
    </row>
    <row r="5136" spans="1:24">
      <c r="A5136" t="s">
        <v>358</v>
      </c>
      <c r="B5136" t="s">
        <v>614</v>
      </c>
      <c r="C5136" t="s">
        <v>218</v>
      </c>
      <c r="D5136" t="s">
        <v>131</v>
      </c>
      <c r="E5136" t="s">
        <v>377</v>
      </c>
      <c r="F5136" t="s">
        <v>310</v>
      </c>
      <c r="G5136" t="s">
        <v>341</v>
      </c>
      <c r="H5136" t="s">
        <v>104</v>
      </c>
      <c r="I5136">
        <v>2022</v>
      </c>
      <c r="J5136" t="s">
        <v>379</v>
      </c>
      <c r="K5136" t="s">
        <v>546</v>
      </c>
      <c r="L5136" s="784" t="s">
        <v>575</v>
      </c>
      <c r="M5136" t="s">
        <v>745</v>
      </c>
      <c r="P5136" t="s">
        <v>1887</v>
      </c>
      <c r="R5136" t="s">
        <v>152</v>
      </c>
      <c r="S5136" t="s">
        <v>146</v>
      </c>
      <c r="U5136">
        <v>0</v>
      </c>
      <c r="V5136" t="s">
        <v>544</v>
      </c>
      <c r="W5136" t="s">
        <v>546</v>
      </c>
      <c r="X5136" s="784">
        <v>4428819387.769825</v>
      </c>
    </row>
    <row r="5137" spans="1:24">
      <c r="A5137" t="s">
        <v>358</v>
      </c>
      <c r="B5137" t="s">
        <v>615</v>
      </c>
      <c r="C5137" t="s">
        <v>219</v>
      </c>
      <c r="D5137" t="s">
        <v>130</v>
      </c>
      <c r="E5137" t="s">
        <v>377</v>
      </c>
      <c r="F5137" t="s">
        <v>310</v>
      </c>
      <c r="G5137" t="s">
        <v>341</v>
      </c>
      <c r="H5137" t="s">
        <v>104</v>
      </c>
      <c r="I5137">
        <v>2022</v>
      </c>
      <c r="J5137" t="s">
        <v>379</v>
      </c>
      <c r="K5137" t="s">
        <v>546</v>
      </c>
      <c r="L5137" s="784" t="s">
        <v>575</v>
      </c>
      <c r="M5137" t="s">
        <v>745</v>
      </c>
      <c r="P5137" t="s">
        <v>1887</v>
      </c>
      <c r="R5137" t="s">
        <v>152</v>
      </c>
      <c r="S5137" t="s">
        <v>146</v>
      </c>
      <c r="U5137">
        <v>0</v>
      </c>
      <c r="V5137" t="s">
        <v>541</v>
      </c>
      <c r="W5137" t="s">
        <v>575</v>
      </c>
      <c r="X5137" s="784">
        <v>611739560.62679195</v>
      </c>
    </row>
    <row r="5138" spans="1:24">
      <c r="A5138" t="s">
        <v>358</v>
      </c>
      <c r="B5138" t="s">
        <v>616</v>
      </c>
      <c r="C5138" t="s">
        <v>220</v>
      </c>
      <c r="D5138" t="s">
        <v>131</v>
      </c>
      <c r="E5138" t="s">
        <v>377</v>
      </c>
      <c r="F5138" t="s">
        <v>310</v>
      </c>
      <c r="G5138" t="s">
        <v>341</v>
      </c>
      <c r="H5138" t="s">
        <v>104</v>
      </c>
      <c r="I5138">
        <v>2022</v>
      </c>
      <c r="J5138" t="s">
        <v>379</v>
      </c>
      <c r="K5138" t="s">
        <v>546</v>
      </c>
      <c r="L5138" s="784" t="s">
        <v>575</v>
      </c>
      <c r="M5138" t="s">
        <v>745</v>
      </c>
      <c r="P5138" t="s">
        <v>1887</v>
      </c>
      <c r="R5138" t="s">
        <v>152</v>
      </c>
      <c r="S5138" t="s">
        <v>146</v>
      </c>
      <c r="U5138">
        <v>0</v>
      </c>
      <c r="V5138" t="s">
        <v>544</v>
      </c>
      <c r="W5138" t="s">
        <v>546</v>
      </c>
      <c r="X5138" s="784">
        <v>1617913383.0481031</v>
      </c>
    </row>
    <row r="5139" spans="1:24">
      <c r="A5139" t="s">
        <v>358</v>
      </c>
      <c r="B5139" t="s">
        <v>617</v>
      </c>
      <c r="C5139" t="s">
        <v>221</v>
      </c>
      <c r="D5139" t="s">
        <v>127</v>
      </c>
      <c r="E5139" t="s">
        <v>377</v>
      </c>
      <c r="F5139" t="s">
        <v>310</v>
      </c>
      <c r="G5139" t="s">
        <v>341</v>
      </c>
      <c r="H5139" t="s">
        <v>104</v>
      </c>
      <c r="I5139">
        <v>2022</v>
      </c>
      <c r="J5139" t="s">
        <v>379</v>
      </c>
      <c r="K5139" t="s">
        <v>546</v>
      </c>
      <c r="L5139" s="784" t="s">
        <v>575</v>
      </c>
      <c r="M5139" t="s">
        <v>745</v>
      </c>
      <c r="P5139" t="s">
        <v>1887</v>
      </c>
      <c r="R5139" t="s">
        <v>152</v>
      </c>
      <c r="S5139" t="s">
        <v>146</v>
      </c>
      <c r="U5139">
        <v>0</v>
      </c>
      <c r="V5139" t="s">
        <v>544</v>
      </c>
      <c r="W5139" t="s">
        <v>575</v>
      </c>
      <c r="X5139" s="784">
        <v>3074419112.4562683</v>
      </c>
    </row>
    <row r="5140" spans="1:24">
      <c r="A5140" t="s">
        <v>358</v>
      </c>
      <c r="B5140" t="s">
        <v>618</v>
      </c>
      <c r="C5140" t="s">
        <v>222</v>
      </c>
      <c r="D5140" t="s">
        <v>128</v>
      </c>
      <c r="E5140" t="s">
        <v>377</v>
      </c>
      <c r="F5140" t="s">
        <v>310</v>
      </c>
      <c r="G5140" t="s">
        <v>341</v>
      </c>
      <c r="H5140" t="s">
        <v>104</v>
      </c>
      <c r="I5140">
        <v>2022</v>
      </c>
      <c r="J5140" t="s">
        <v>379</v>
      </c>
      <c r="K5140" t="s">
        <v>546</v>
      </c>
      <c r="L5140" s="784" t="s">
        <v>575</v>
      </c>
      <c r="M5140" t="s">
        <v>745</v>
      </c>
      <c r="P5140" t="s">
        <v>1887</v>
      </c>
      <c r="R5140" t="s">
        <v>150</v>
      </c>
      <c r="S5140" t="s">
        <v>145</v>
      </c>
      <c r="U5140">
        <v>0</v>
      </c>
      <c r="V5140" t="s">
        <v>544</v>
      </c>
      <c r="W5140" t="s">
        <v>542</v>
      </c>
      <c r="X5140" s="784">
        <v>1914014279.8929913</v>
      </c>
    </row>
    <row r="5141" spans="1:24">
      <c r="A5141" t="s">
        <v>358</v>
      </c>
      <c r="B5141" t="s">
        <v>619</v>
      </c>
      <c r="C5141" t="s">
        <v>223</v>
      </c>
      <c r="D5141" t="s">
        <v>126</v>
      </c>
      <c r="E5141" t="s">
        <v>377</v>
      </c>
      <c r="F5141" t="s">
        <v>310</v>
      </c>
      <c r="G5141" t="s">
        <v>341</v>
      </c>
      <c r="H5141" t="s">
        <v>104</v>
      </c>
      <c r="I5141">
        <v>2022</v>
      </c>
      <c r="J5141" t="s">
        <v>379</v>
      </c>
      <c r="K5141" t="s">
        <v>546</v>
      </c>
      <c r="L5141" s="784" t="s">
        <v>575</v>
      </c>
      <c r="M5141" t="s">
        <v>745</v>
      </c>
      <c r="P5141" t="s">
        <v>1887</v>
      </c>
      <c r="R5141" t="s">
        <v>150</v>
      </c>
      <c r="S5141" t="s">
        <v>145</v>
      </c>
      <c r="U5141">
        <v>0</v>
      </c>
      <c r="V5141" t="s">
        <v>541</v>
      </c>
      <c r="W5141" t="s">
        <v>542</v>
      </c>
      <c r="X5141" s="784">
        <v>17422005.762907442</v>
      </c>
    </row>
    <row r="5142" spans="1:24">
      <c r="A5142" t="s">
        <v>358</v>
      </c>
      <c r="B5142" t="s">
        <v>620</v>
      </c>
      <c r="C5142" t="s">
        <v>224</v>
      </c>
      <c r="D5142" t="s">
        <v>126</v>
      </c>
      <c r="E5142" t="s">
        <v>377</v>
      </c>
      <c r="F5142" t="s">
        <v>310</v>
      </c>
      <c r="G5142" t="s">
        <v>341</v>
      </c>
      <c r="H5142" t="s">
        <v>104</v>
      </c>
      <c r="I5142">
        <v>2022</v>
      </c>
      <c r="J5142" t="s">
        <v>379</v>
      </c>
      <c r="K5142" t="s">
        <v>546</v>
      </c>
      <c r="L5142" s="784" t="s">
        <v>575</v>
      </c>
      <c r="M5142" t="s">
        <v>745</v>
      </c>
      <c r="P5142" t="s">
        <v>1887</v>
      </c>
      <c r="R5142" t="s">
        <v>148</v>
      </c>
      <c r="S5142" t="s">
        <v>145</v>
      </c>
      <c r="U5142">
        <v>0</v>
      </c>
      <c r="V5142" t="s">
        <v>544</v>
      </c>
      <c r="W5142" t="s">
        <v>546</v>
      </c>
      <c r="X5142" s="784" t="s">
        <v>575</v>
      </c>
    </row>
    <row r="5143" spans="1:24">
      <c r="A5143" t="s">
        <v>358</v>
      </c>
      <c r="B5143" t="s">
        <v>621</v>
      </c>
      <c r="C5143" t="s">
        <v>225</v>
      </c>
      <c r="D5143" t="s">
        <v>127</v>
      </c>
      <c r="E5143" t="s">
        <v>377</v>
      </c>
      <c r="F5143" t="s">
        <v>310</v>
      </c>
      <c r="G5143" t="s">
        <v>341</v>
      </c>
      <c r="H5143" t="s">
        <v>104</v>
      </c>
      <c r="I5143">
        <v>2022</v>
      </c>
      <c r="J5143" t="s">
        <v>379</v>
      </c>
      <c r="K5143" t="s">
        <v>546</v>
      </c>
      <c r="L5143" s="784">
        <v>230000</v>
      </c>
      <c r="M5143" t="s">
        <v>745</v>
      </c>
      <c r="P5143" t="s">
        <v>1887</v>
      </c>
      <c r="R5143" t="s">
        <v>152</v>
      </c>
      <c r="S5143" t="s">
        <v>145</v>
      </c>
      <c r="U5143">
        <v>0</v>
      </c>
      <c r="V5143" t="s">
        <v>544</v>
      </c>
      <c r="W5143" t="s">
        <v>548</v>
      </c>
      <c r="X5143" s="784" t="s">
        <v>575</v>
      </c>
    </row>
    <row r="5144" spans="1:24">
      <c r="A5144" t="s">
        <v>358</v>
      </c>
      <c r="B5144" t="s">
        <v>622</v>
      </c>
      <c r="C5144" t="s">
        <v>226</v>
      </c>
      <c r="D5144" t="s">
        <v>127</v>
      </c>
      <c r="E5144" t="s">
        <v>377</v>
      </c>
      <c r="F5144" t="s">
        <v>310</v>
      </c>
      <c r="G5144" t="s">
        <v>341</v>
      </c>
      <c r="H5144" t="s">
        <v>104</v>
      </c>
      <c r="I5144">
        <v>2022</v>
      </c>
      <c r="J5144" t="s">
        <v>379</v>
      </c>
      <c r="K5144" t="s">
        <v>546</v>
      </c>
      <c r="L5144" s="784" t="s">
        <v>575</v>
      </c>
      <c r="M5144" t="s">
        <v>745</v>
      </c>
      <c r="P5144" t="s">
        <v>1887</v>
      </c>
      <c r="R5144" t="s">
        <v>150</v>
      </c>
      <c r="S5144" t="s">
        <v>145</v>
      </c>
      <c r="U5144">
        <v>2</v>
      </c>
      <c r="V5144" t="s">
        <v>544</v>
      </c>
      <c r="W5144" t="s">
        <v>562</v>
      </c>
      <c r="X5144" s="784">
        <v>231506834.84347546</v>
      </c>
    </row>
    <row r="5145" spans="1:24">
      <c r="A5145" t="s">
        <v>358</v>
      </c>
      <c r="B5145" t="s">
        <v>623</v>
      </c>
      <c r="C5145" t="s">
        <v>227</v>
      </c>
      <c r="D5145" t="s">
        <v>126</v>
      </c>
      <c r="E5145" t="s">
        <v>377</v>
      </c>
      <c r="F5145" t="s">
        <v>310</v>
      </c>
      <c r="G5145" t="s">
        <v>341</v>
      </c>
      <c r="H5145" t="s">
        <v>104</v>
      </c>
      <c r="I5145">
        <v>2022</v>
      </c>
      <c r="J5145" t="s">
        <v>379</v>
      </c>
      <c r="K5145" t="s">
        <v>546</v>
      </c>
      <c r="L5145" s="784" t="s">
        <v>575</v>
      </c>
      <c r="M5145" t="s">
        <v>745</v>
      </c>
      <c r="P5145" t="s">
        <v>1887</v>
      </c>
      <c r="R5145" t="s">
        <v>150</v>
      </c>
      <c r="S5145" t="s">
        <v>145</v>
      </c>
      <c r="U5145">
        <v>0</v>
      </c>
      <c r="V5145" t="s">
        <v>544</v>
      </c>
      <c r="W5145" t="s">
        <v>542</v>
      </c>
      <c r="X5145" s="784">
        <v>156059428.62944782</v>
      </c>
    </row>
    <row r="5146" spans="1:24">
      <c r="A5146" t="s">
        <v>358</v>
      </c>
      <c r="B5146" t="s">
        <v>624</v>
      </c>
      <c r="C5146" t="s">
        <v>228</v>
      </c>
      <c r="D5146" t="s">
        <v>131</v>
      </c>
      <c r="E5146" t="s">
        <v>377</v>
      </c>
      <c r="F5146" t="s">
        <v>310</v>
      </c>
      <c r="G5146" t="s">
        <v>341</v>
      </c>
      <c r="H5146" t="s">
        <v>104</v>
      </c>
      <c r="I5146">
        <v>2022</v>
      </c>
      <c r="J5146" t="s">
        <v>379</v>
      </c>
      <c r="K5146" t="s">
        <v>546</v>
      </c>
      <c r="L5146" s="784" t="s">
        <v>575</v>
      </c>
      <c r="M5146" t="s">
        <v>745</v>
      </c>
      <c r="P5146" t="s">
        <v>1887</v>
      </c>
      <c r="R5146" t="s">
        <v>152</v>
      </c>
      <c r="S5146" t="s">
        <v>146</v>
      </c>
      <c r="U5146">
        <v>0</v>
      </c>
      <c r="V5146" t="s">
        <v>544</v>
      </c>
      <c r="W5146" t="s">
        <v>546</v>
      </c>
      <c r="X5146" s="784">
        <v>2355391507.1635861</v>
      </c>
    </row>
    <row r="5147" spans="1:24">
      <c r="A5147" t="s">
        <v>358</v>
      </c>
      <c r="B5147" t="s">
        <v>625</v>
      </c>
      <c r="C5147" t="s">
        <v>229</v>
      </c>
      <c r="D5147" t="s">
        <v>128</v>
      </c>
      <c r="E5147" t="s">
        <v>377</v>
      </c>
      <c r="F5147" t="s">
        <v>310</v>
      </c>
      <c r="G5147" t="s">
        <v>341</v>
      </c>
      <c r="H5147" t="s">
        <v>104</v>
      </c>
      <c r="I5147">
        <v>2022</v>
      </c>
      <c r="J5147" t="s">
        <v>379</v>
      </c>
      <c r="K5147" t="s">
        <v>546</v>
      </c>
      <c r="L5147" s="784" t="s">
        <v>575</v>
      </c>
      <c r="M5147" t="s">
        <v>745</v>
      </c>
      <c r="P5147" t="s">
        <v>1887</v>
      </c>
      <c r="R5147" t="s">
        <v>150</v>
      </c>
      <c r="S5147" t="s">
        <v>145</v>
      </c>
      <c r="U5147">
        <v>0</v>
      </c>
      <c r="V5147" t="s">
        <v>544</v>
      </c>
      <c r="W5147" t="s">
        <v>562</v>
      </c>
      <c r="X5147" s="784">
        <v>152760919.7684873</v>
      </c>
    </row>
    <row r="5148" spans="1:24">
      <c r="A5148" t="s">
        <v>358</v>
      </c>
      <c r="B5148" t="s">
        <v>626</v>
      </c>
      <c r="C5148" t="s">
        <v>230</v>
      </c>
      <c r="D5148" t="s">
        <v>129</v>
      </c>
      <c r="E5148" t="s">
        <v>377</v>
      </c>
      <c r="F5148" t="s">
        <v>310</v>
      </c>
      <c r="G5148" t="s">
        <v>341</v>
      </c>
      <c r="H5148" t="s">
        <v>104</v>
      </c>
      <c r="I5148">
        <v>2022</v>
      </c>
      <c r="J5148" t="s">
        <v>379</v>
      </c>
      <c r="K5148" t="s">
        <v>546</v>
      </c>
      <c r="L5148" s="784" t="s">
        <v>575</v>
      </c>
      <c r="M5148" t="s">
        <v>745</v>
      </c>
      <c r="P5148" t="s">
        <v>1887</v>
      </c>
      <c r="R5148" t="s">
        <v>148</v>
      </c>
      <c r="S5148" t="s">
        <v>145</v>
      </c>
      <c r="U5148">
        <v>0</v>
      </c>
      <c r="V5148" t="s">
        <v>544</v>
      </c>
      <c r="W5148" t="s">
        <v>542</v>
      </c>
      <c r="X5148" s="784">
        <v>55072006.864440605</v>
      </c>
    </row>
    <row r="5149" spans="1:24">
      <c r="A5149" t="s">
        <v>358</v>
      </c>
      <c r="B5149" t="s">
        <v>627</v>
      </c>
      <c r="C5149" t="s">
        <v>231</v>
      </c>
      <c r="D5149" t="s">
        <v>131</v>
      </c>
      <c r="E5149" t="s">
        <v>377</v>
      </c>
      <c r="F5149" t="s">
        <v>310</v>
      </c>
      <c r="G5149" t="s">
        <v>341</v>
      </c>
      <c r="H5149" t="s">
        <v>104</v>
      </c>
      <c r="I5149">
        <v>2022</v>
      </c>
      <c r="J5149" t="s">
        <v>379</v>
      </c>
      <c r="K5149" t="s">
        <v>546</v>
      </c>
      <c r="L5149" s="784" t="s">
        <v>575</v>
      </c>
      <c r="M5149" t="s">
        <v>745</v>
      </c>
      <c r="P5149" t="s">
        <v>1887</v>
      </c>
      <c r="R5149" t="s">
        <v>152</v>
      </c>
      <c r="S5149" t="s">
        <v>146</v>
      </c>
      <c r="U5149">
        <v>0</v>
      </c>
      <c r="V5149" t="s">
        <v>544</v>
      </c>
      <c r="W5149" t="s">
        <v>546</v>
      </c>
      <c r="X5149" s="784" t="s">
        <v>575</v>
      </c>
    </row>
    <row r="5150" spans="1:24">
      <c r="A5150" t="s">
        <v>358</v>
      </c>
      <c r="B5150" t="s">
        <v>628</v>
      </c>
      <c r="C5150" t="s">
        <v>232</v>
      </c>
      <c r="D5150" t="s">
        <v>128</v>
      </c>
      <c r="E5150" t="s">
        <v>377</v>
      </c>
      <c r="F5150" t="s">
        <v>310</v>
      </c>
      <c r="G5150" t="s">
        <v>341</v>
      </c>
      <c r="H5150" t="s">
        <v>104</v>
      </c>
      <c r="I5150">
        <v>2022</v>
      </c>
      <c r="J5150" t="s">
        <v>379</v>
      </c>
      <c r="K5150" t="s">
        <v>546</v>
      </c>
      <c r="L5150" s="784" t="s">
        <v>575</v>
      </c>
      <c r="M5150" t="s">
        <v>745</v>
      </c>
      <c r="P5150" t="s">
        <v>1887</v>
      </c>
      <c r="R5150" t="s">
        <v>148</v>
      </c>
      <c r="S5150" t="s">
        <v>145</v>
      </c>
      <c r="U5150">
        <v>2</v>
      </c>
      <c r="V5150" t="s">
        <v>544</v>
      </c>
      <c r="W5150" t="s">
        <v>562</v>
      </c>
      <c r="X5150" s="784">
        <v>206914157.05429548</v>
      </c>
    </row>
    <row r="5151" spans="1:24">
      <c r="A5151" t="s">
        <v>358</v>
      </c>
      <c r="B5151" t="s">
        <v>629</v>
      </c>
      <c r="C5151" t="s">
        <v>233</v>
      </c>
      <c r="D5151" t="s">
        <v>128</v>
      </c>
      <c r="E5151" t="s">
        <v>377</v>
      </c>
      <c r="F5151" t="s">
        <v>310</v>
      </c>
      <c r="G5151" t="s">
        <v>341</v>
      </c>
      <c r="H5151" t="s">
        <v>104</v>
      </c>
      <c r="I5151">
        <v>2022</v>
      </c>
      <c r="J5151" t="s">
        <v>379</v>
      </c>
      <c r="K5151" t="s">
        <v>546</v>
      </c>
      <c r="L5151" s="784" t="s">
        <v>575</v>
      </c>
      <c r="M5151" t="s">
        <v>745</v>
      </c>
      <c r="P5151" t="s">
        <v>1887</v>
      </c>
      <c r="R5151" t="s">
        <v>148</v>
      </c>
      <c r="S5151" t="s">
        <v>145</v>
      </c>
      <c r="U5151">
        <v>2</v>
      </c>
      <c r="V5151" t="s">
        <v>544</v>
      </c>
      <c r="W5151" t="s">
        <v>542</v>
      </c>
      <c r="X5151" s="784">
        <v>185999915.02066413</v>
      </c>
    </row>
    <row r="5152" spans="1:24">
      <c r="A5152" t="s">
        <v>358</v>
      </c>
      <c r="B5152" t="s">
        <v>630</v>
      </c>
      <c r="C5152" t="s">
        <v>234</v>
      </c>
      <c r="D5152" t="s">
        <v>126</v>
      </c>
      <c r="E5152" t="s">
        <v>377</v>
      </c>
      <c r="F5152" t="s">
        <v>310</v>
      </c>
      <c r="G5152" t="s">
        <v>341</v>
      </c>
      <c r="H5152" t="s">
        <v>104</v>
      </c>
      <c r="I5152">
        <v>2022</v>
      </c>
      <c r="J5152" t="s">
        <v>379</v>
      </c>
      <c r="K5152" t="s">
        <v>546</v>
      </c>
      <c r="L5152" s="784" t="s">
        <v>575</v>
      </c>
      <c r="M5152" t="s">
        <v>745</v>
      </c>
      <c r="P5152" t="s">
        <v>1887</v>
      </c>
      <c r="R5152" t="s">
        <v>152</v>
      </c>
      <c r="S5152" t="s">
        <v>146</v>
      </c>
      <c r="U5152">
        <v>0</v>
      </c>
      <c r="V5152" t="s">
        <v>544</v>
      </c>
      <c r="W5152" t="s">
        <v>575</v>
      </c>
      <c r="X5152" s="784">
        <v>6893755763.2501726</v>
      </c>
    </row>
    <row r="5153" spans="1:24">
      <c r="A5153" t="s">
        <v>358</v>
      </c>
      <c r="B5153" t="s">
        <v>631</v>
      </c>
      <c r="C5153" t="s">
        <v>235</v>
      </c>
      <c r="D5153" t="s">
        <v>132</v>
      </c>
      <c r="E5153" t="s">
        <v>377</v>
      </c>
      <c r="F5153" t="s">
        <v>310</v>
      </c>
      <c r="G5153" t="s">
        <v>341</v>
      </c>
      <c r="H5153" t="s">
        <v>104</v>
      </c>
      <c r="I5153">
        <v>2022</v>
      </c>
      <c r="J5153" t="s">
        <v>379</v>
      </c>
      <c r="K5153" t="s">
        <v>546</v>
      </c>
      <c r="L5153" s="784">
        <v>230000</v>
      </c>
      <c r="M5153" t="s">
        <v>745</v>
      </c>
      <c r="P5153" t="s">
        <v>1887</v>
      </c>
      <c r="R5153" t="s">
        <v>152</v>
      </c>
      <c r="S5153" t="s">
        <v>145</v>
      </c>
      <c r="U5153">
        <v>0</v>
      </c>
      <c r="V5153" t="s">
        <v>541</v>
      </c>
      <c r="W5153" t="s">
        <v>542</v>
      </c>
      <c r="X5153" s="784">
        <v>354560231.58276606</v>
      </c>
    </row>
    <row r="5154" spans="1:24">
      <c r="A5154" t="s">
        <v>358</v>
      </c>
      <c r="B5154" t="s">
        <v>632</v>
      </c>
      <c r="C5154" t="s">
        <v>236</v>
      </c>
      <c r="D5154" t="s">
        <v>129</v>
      </c>
      <c r="E5154" t="s">
        <v>377</v>
      </c>
      <c r="F5154" t="s">
        <v>310</v>
      </c>
      <c r="G5154" t="s">
        <v>341</v>
      </c>
      <c r="H5154" t="s">
        <v>104</v>
      </c>
      <c r="I5154">
        <v>2022</v>
      </c>
      <c r="J5154" t="s">
        <v>379</v>
      </c>
      <c r="K5154" t="s">
        <v>546</v>
      </c>
      <c r="L5154" s="784" t="s">
        <v>575</v>
      </c>
      <c r="M5154" t="s">
        <v>745</v>
      </c>
      <c r="P5154" t="s">
        <v>1887</v>
      </c>
      <c r="R5154" t="s">
        <v>148</v>
      </c>
      <c r="S5154" t="s">
        <v>145</v>
      </c>
      <c r="U5154">
        <v>1</v>
      </c>
      <c r="V5154" t="s">
        <v>544</v>
      </c>
      <c r="W5154" t="s">
        <v>562</v>
      </c>
      <c r="X5154" s="784">
        <v>188169167.56540567</v>
      </c>
    </row>
    <row r="5155" spans="1:24">
      <c r="A5155" t="s">
        <v>358</v>
      </c>
      <c r="B5155" t="s">
        <v>633</v>
      </c>
      <c r="C5155" t="s">
        <v>237</v>
      </c>
      <c r="D5155" t="s">
        <v>126</v>
      </c>
      <c r="E5155" t="s">
        <v>377</v>
      </c>
      <c r="F5155" t="s">
        <v>310</v>
      </c>
      <c r="G5155" t="s">
        <v>341</v>
      </c>
      <c r="H5155" t="s">
        <v>104</v>
      </c>
      <c r="I5155">
        <v>2022</v>
      </c>
      <c r="J5155" t="s">
        <v>379</v>
      </c>
      <c r="K5155" t="s">
        <v>546</v>
      </c>
      <c r="L5155" s="784" t="s">
        <v>575</v>
      </c>
      <c r="M5155" t="s">
        <v>745</v>
      </c>
      <c r="P5155" t="s">
        <v>1887</v>
      </c>
      <c r="R5155" t="s">
        <v>152</v>
      </c>
      <c r="S5155" t="s">
        <v>145</v>
      </c>
      <c r="U5155">
        <v>0</v>
      </c>
      <c r="V5155" t="s">
        <v>541</v>
      </c>
      <c r="W5155" t="s">
        <v>575</v>
      </c>
      <c r="X5155" s="784">
        <v>16312106.556340856</v>
      </c>
    </row>
    <row r="5156" spans="1:24">
      <c r="A5156" t="s">
        <v>358</v>
      </c>
      <c r="B5156" t="s">
        <v>634</v>
      </c>
      <c r="C5156" t="s">
        <v>238</v>
      </c>
      <c r="D5156" t="s">
        <v>129</v>
      </c>
      <c r="E5156" t="s">
        <v>377</v>
      </c>
      <c r="F5156" t="s">
        <v>310</v>
      </c>
      <c r="G5156" t="s">
        <v>341</v>
      </c>
      <c r="H5156" t="s">
        <v>104</v>
      </c>
      <c r="I5156">
        <v>2022</v>
      </c>
      <c r="J5156" t="s">
        <v>379</v>
      </c>
      <c r="K5156" t="s">
        <v>546</v>
      </c>
      <c r="L5156" s="784" t="s">
        <v>575</v>
      </c>
      <c r="M5156" t="s">
        <v>745</v>
      </c>
      <c r="P5156" t="s">
        <v>1887</v>
      </c>
      <c r="R5156" t="s">
        <v>150</v>
      </c>
      <c r="S5156" t="s">
        <v>145</v>
      </c>
      <c r="U5156">
        <v>2</v>
      </c>
      <c r="V5156" t="s">
        <v>544</v>
      </c>
      <c r="W5156" t="s">
        <v>542</v>
      </c>
      <c r="X5156" s="784">
        <v>86083833.534053758</v>
      </c>
    </row>
    <row r="5157" spans="1:24">
      <c r="A5157" t="s">
        <v>358</v>
      </c>
      <c r="B5157" t="s">
        <v>635</v>
      </c>
      <c r="C5157" t="s">
        <v>239</v>
      </c>
      <c r="D5157" t="s">
        <v>128</v>
      </c>
      <c r="E5157" t="s">
        <v>377</v>
      </c>
      <c r="F5157" t="s">
        <v>310</v>
      </c>
      <c r="G5157" t="s">
        <v>341</v>
      </c>
      <c r="H5157" t="s">
        <v>104</v>
      </c>
      <c r="I5157">
        <v>2022</v>
      </c>
      <c r="J5157" t="s">
        <v>379</v>
      </c>
      <c r="K5157" t="s">
        <v>546</v>
      </c>
      <c r="L5157" s="784" t="s">
        <v>575</v>
      </c>
      <c r="M5157" t="s">
        <v>745</v>
      </c>
      <c r="P5157" t="s">
        <v>1887</v>
      </c>
      <c r="R5157" t="s">
        <v>152</v>
      </c>
      <c r="S5157" t="s">
        <v>146</v>
      </c>
      <c r="U5157">
        <v>0</v>
      </c>
      <c r="V5157" t="s">
        <v>541</v>
      </c>
      <c r="W5157" t="s">
        <v>546</v>
      </c>
      <c r="X5157" s="784">
        <v>357220835.93762809</v>
      </c>
    </row>
    <row r="5158" spans="1:24">
      <c r="A5158" t="s">
        <v>358</v>
      </c>
      <c r="B5158" t="s">
        <v>636</v>
      </c>
      <c r="C5158" t="s">
        <v>240</v>
      </c>
      <c r="D5158" t="s">
        <v>130</v>
      </c>
      <c r="E5158" t="s">
        <v>377</v>
      </c>
      <c r="F5158" t="s">
        <v>310</v>
      </c>
      <c r="G5158" t="s">
        <v>341</v>
      </c>
      <c r="H5158" t="s">
        <v>104</v>
      </c>
      <c r="I5158">
        <v>2022</v>
      </c>
      <c r="J5158" t="s">
        <v>379</v>
      </c>
      <c r="K5158" t="s">
        <v>546</v>
      </c>
      <c r="L5158" s="784" t="s">
        <v>575</v>
      </c>
      <c r="M5158" t="s">
        <v>745</v>
      </c>
      <c r="P5158" t="s">
        <v>1887</v>
      </c>
      <c r="R5158" t="s">
        <v>152</v>
      </c>
      <c r="S5158" t="s">
        <v>146</v>
      </c>
      <c r="U5158">
        <v>0</v>
      </c>
      <c r="V5158" t="s">
        <v>544</v>
      </c>
      <c r="W5158" t="s">
        <v>575</v>
      </c>
      <c r="X5158" s="784">
        <v>32831598153.796387</v>
      </c>
    </row>
    <row r="5159" spans="1:24">
      <c r="A5159" t="s">
        <v>358</v>
      </c>
      <c r="B5159" t="s">
        <v>637</v>
      </c>
      <c r="C5159" t="s">
        <v>241</v>
      </c>
      <c r="D5159" t="s">
        <v>126</v>
      </c>
      <c r="E5159" t="s">
        <v>377</v>
      </c>
      <c r="F5159" t="s">
        <v>310</v>
      </c>
      <c r="G5159" t="s">
        <v>341</v>
      </c>
      <c r="H5159" t="s">
        <v>104</v>
      </c>
      <c r="I5159">
        <v>2022</v>
      </c>
      <c r="J5159" t="s">
        <v>379</v>
      </c>
      <c r="K5159" t="s">
        <v>546</v>
      </c>
      <c r="L5159" s="784">
        <v>230000</v>
      </c>
      <c r="M5159" t="s">
        <v>745</v>
      </c>
      <c r="P5159" t="s">
        <v>1887</v>
      </c>
      <c r="R5159" t="s">
        <v>150</v>
      </c>
      <c r="S5159" t="s">
        <v>145</v>
      </c>
      <c r="U5159">
        <v>0</v>
      </c>
      <c r="V5159" t="s">
        <v>541</v>
      </c>
      <c r="W5159" t="s">
        <v>542</v>
      </c>
      <c r="X5159" s="784">
        <v>12329056.093798399</v>
      </c>
    </row>
    <row r="5160" spans="1:24">
      <c r="A5160" t="s">
        <v>358</v>
      </c>
      <c r="B5160" t="s">
        <v>638</v>
      </c>
      <c r="C5160" t="s">
        <v>242</v>
      </c>
      <c r="D5160" t="s">
        <v>127</v>
      </c>
      <c r="E5160" t="s">
        <v>377</v>
      </c>
      <c r="F5160" t="s">
        <v>310</v>
      </c>
      <c r="G5160" t="s">
        <v>341</v>
      </c>
      <c r="H5160" t="s">
        <v>104</v>
      </c>
      <c r="I5160">
        <v>2022</v>
      </c>
      <c r="J5160" t="s">
        <v>379</v>
      </c>
      <c r="K5160" t="s">
        <v>546</v>
      </c>
      <c r="L5160" s="784">
        <v>370000.2</v>
      </c>
      <c r="M5160" t="s">
        <v>745</v>
      </c>
      <c r="P5160" t="s">
        <v>1887</v>
      </c>
      <c r="R5160" t="s">
        <v>152</v>
      </c>
      <c r="S5160" t="s">
        <v>145</v>
      </c>
      <c r="U5160">
        <v>0</v>
      </c>
      <c r="V5160" t="s">
        <v>544</v>
      </c>
      <c r="W5160" t="s">
        <v>558</v>
      </c>
      <c r="X5160" s="784">
        <v>426639742.85328001</v>
      </c>
    </row>
    <row r="5161" spans="1:24">
      <c r="A5161" t="s">
        <v>358</v>
      </c>
      <c r="B5161" t="s">
        <v>639</v>
      </c>
      <c r="C5161" t="s">
        <v>243</v>
      </c>
      <c r="D5161" t="s">
        <v>126</v>
      </c>
      <c r="E5161" t="s">
        <v>377</v>
      </c>
      <c r="F5161" t="s">
        <v>310</v>
      </c>
      <c r="G5161" t="s">
        <v>341</v>
      </c>
      <c r="H5161" t="s">
        <v>104</v>
      </c>
      <c r="I5161">
        <v>2022</v>
      </c>
      <c r="J5161" t="s">
        <v>379</v>
      </c>
      <c r="K5161" t="s">
        <v>546</v>
      </c>
      <c r="L5161" s="784">
        <v>230000</v>
      </c>
      <c r="M5161" t="s">
        <v>745</v>
      </c>
      <c r="P5161" t="s">
        <v>1887</v>
      </c>
      <c r="R5161" t="s">
        <v>150</v>
      </c>
      <c r="S5161" t="s">
        <v>145</v>
      </c>
      <c r="U5161">
        <v>0</v>
      </c>
      <c r="V5161" t="s">
        <v>544</v>
      </c>
      <c r="W5161" t="s">
        <v>548</v>
      </c>
      <c r="X5161" s="784">
        <v>288519671.85870522</v>
      </c>
    </row>
    <row r="5162" spans="1:24">
      <c r="A5162" t="s">
        <v>358</v>
      </c>
      <c r="B5162" t="s">
        <v>640</v>
      </c>
      <c r="C5162" t="s">
        <v>244</v>
      </c>
      <c r="D5162" t="s">
        <v>127</v>
      </c>
      <c r="E5162" t="s">
        <v>377</v>
      </c>
      <c r="F5162" t="s">
        <v>310</v>
      </c>
      <c r="G5162" t="s">
        <v>341</v>
      </c>
      <c r="H5162" t="s">
        <v>104</v>
      </c>
      <c r="I5162">
        <v>2022</v>
      </c>
      <c r="J5162" t="s">
        <v>379</v>
      </c>
      <c r="K5162" t="s">
        <v>546</v>
      </c>
      <c r="L5162" s="784" t="s">
        <v>575</v>
      </c>
      <c r="M5162" t="s">
        <v>745</v>
      </c>
      <c r="P5162" t="s">
        <v>1887</v>
      </c>
      <c r="R5162" t="s">
        <v>152</v>
      </c>
      <c r="S5162" t="s">
        <v>146</v>
      </c>
      <c r="U5162">
        <v>0</v>
      </c>
      <c r="V5162" t="s">
        <v>544</v>
      </c>
      <c r="W5162" t="s">
        <v>546</v>
      </c>
      <c r="X5162" s="784">
        <v>275606560.78491527</v>
      </c>
    </row>
    <row r="5163" spans="1:24">
      <c r="A5163" t="s">
        <v>358</v>
      </c>
      <c r="B5163" t="s">
        <v>641</v>
      </c>
      <c r="C5163" t="s">
        <v>245</v>
      </c>
      <c r="D5163" t="s">
        <v>131</v>
      </c>
      <c r="E5163" t="s">
        <v>377</v>
      </c>
      <c r="F5163" t="s">
        <v>310</v>
      </c>
      <c r="G5163" t="s">
        <v>341</v>
      </c>
      <c r="H5163" t="s">
        <v>104</v>
      </c>
      <c r="I5163">
        <v>2022</v>
      </c>
      <c r="J5163" t="s">
        <v>379</v>
      </c>
      <c r="K5163" t="s">
        <v>546</v>
      </c>
      <c r="L5163" s="784">
        <v>100000</v>
      </c>
      <c r="M5163" t="s">
        <v>745</v>
      </c>
      <c r="P5163" t="s">
        <v>1887</v>
      </c>
      <c r="R5163" t="s">
        <v>150</v>
      </c>
      <c r="S5163" t="s">
        <v>145</v>
      </c>
      <c r="U5163">
        <v>0</v>
      </c>
      <c r="V5163" t="s">
        <v>544</v>
      </c>
      <c r="W5163" t="s">
        <v>546</v>
      </c>
      <c r="X5163" s="784">
        <v>2530937679.3725696</v>
      </c>
    </row>
    <row r="5164" spans="1:24">
      <c r="A5164" t="s">
        <v>358</v>
      </c>
      <c r="B5164" t="s">
        <v>642</v>
      </c>
      <c r="C5164" t="s">
        <v>246</v>
      </c>
      <c r="D5164" t="s">
        <v>128</v>
      </c>
      <c r="E5164" t="s">
        <v>377</v>
      </c>
      <c r="F5164" t="s">
        <v>310</v>
      </c>
      <c r="G5164" t="s">
        <v>341</v>
      </c>
      <c r="H5164" t="s">
        <v>104</v>
      </c>
      <c r="I5164">
        <v>2022</v>
      </c>
      <c r="J5164" t="s">
        <v>379</v>
      </c>
      <c r="K5164" t="s">
        <v>546</v>
      </c>
      <c r="L5164" s="784" t="s">
        <v>575</v>
      </c>
      <c r="M5164" t="s">
        <v>745</v>
      </c>
      <c r="P5164" t="s">
        <v>1887</v>
      </c>
      <c r="R5164" t="s">
        <v>148</v>
      </c>
      <c r="S5164" t="s">
        <v>145</v>
      </c>
      <c r="U5164">
        <v>0</v>
      </c>
      <c r="V5164" t="s">
        <v>544</v>
      </c>
      <c r="W5164" t="s">
        <v>583</v>
      </c>
      <c r="X5164" s="784">
        <v>251432156.86255455</v>
      </c>
    </row>
    <row r="5165" spans="1:24">
      <c r="A5165" t="s">
        <v>358</v>
      </c>
      <c r="B5165" t="s">
        <v>643</v>
      </c>
      <c r="C5165" t="s">
        <v>247</v>
      </c>
      <c r="D5165" t="s">
        <v>126</v>
      </c>
      <c r="E5165" t="s">
        <v>377</v>
      </c>
      <c r="F5165" t="s">
        <v>310</v>
      </c>
      <c r="G5165" t="s">
        <v>341</v>
      </c>
      <c r="H5165" t="s">
        <v>104</v>
      </c>
      <c r="I5165">
        <v>2022</v>
      </c>
      <c r="J5165" t="s">
        <v>379</v>
      </c>
      <c r="K5165" t="s">
        <v>546</v>
      </c>
      <c r="L5165" s="784" t="s">
        <v>575</v>
      </c>
      <c r="M5165" t="s">
        <v>745</v>
      </c>
      <c r="P5165" t="s">
        <v>1887</v>
      </c>
      <c r="R5165" t="s">
        <v>150</v>
      </c>
      <c r="S5165" t="s">
        <v>145</v>
      </c>
      <c r="U5165">
        <v>0</v>
      </c>
      <c r="V5165" t="s">
        <v>544</v>
      </c>
      <c r="W5165" t="s">
        <v>558</v>
      </c>
      <c r="X5165" s="784">
        <v>471534500.60109437</v>
      </c>
    </row>
    <row r="5166" spans="1:24">
      <c r="A5166" t="s">
        <v>358</v>
      </c>
      <c r="B5166" t="s">
        <v>644</v>
      </c>
      <c r="C5166" t="s">
        <v>248</v>
      </c>
      <c r="D5166" t="s">
        <v>128</v>
      </c>
      <c r="E5166" t="s">
        <v>377</v>
      </c>
      <c r="F5166" t="s">
        <v>310</v>
      </c>
      <c r="G5166" t="s">
        <v>341</v>
      </c>
      <c r="H5166" t="s">
        <v>104</v>
      </c>
      <c r="I5166">
        <v>2022</v>
      </c>
      <c r="J5166" t="s">
        <v>379</v>
      </c>
      <c r="K5166" t="s">
        <v>546</v>
      </c>
      <c r="L5166" s="784" t="s">
        <v>575</v>
      </c>
      <c r="M5166" t="s">
        <v>745</v>
      </c>
      <c r="P5166" t="s">
        <v>1887</v>
      </c>
      <c r="R5166" t="s">
        <v>152</v>
      </c>
      <c r="S5166" t="s">
        <v>146</v>
      </c>
      <c r="U5166">
        <v>0</v>
      </c>
      <c r="V5166" t="s">
        <v>544</v>
      </c>
      <c r="W5166" t="s">
        <v>575</v>
      </c>
      <c r="X5166" s="784">
        <v>531677611.80447447</v>
      </c>
    </row>
    <row r="5167" spans="1:24">
      <c r="A5167" t="s">
        <v>358</v>
      </c>
      <c r="B5167" t="s">
        <v>645</v>
      </c>
      <c r="C5167" t="s">
        <v>249</v>
      </c>
      <c r="D5167" t="s">
        <v>126</v>
      </c>
      <c r="E5167" t="s">
        <v>377</v>
      </c>
      <c r="F5167" t="s">
        <v>310</v>
      </c>
      <c r="G5167" t="s">
        <v>341</v>
      </c>
      <c r="H5167" t="s">
        <v>104</v>
      </c>
      <c r="I5167">
        <v>2022</v>
      </c>
      <c r="J5167" t="s">
        <v>379</v>
      </c>
      <c r="K5167" t="s">
        <v>546</v>
      </c>
      <c r="L5167" s="784" t="s">
        <v>575</v>
      </c>
      <c r="M5167" t="s">
        <v>745</v>
      </c>
      <c r="P5167" t="s">
        <v>1887</v>
      </c>
      <c r="R5167" t="s">
        <v>550</v>
      </c>
      <c r="S5167" t="s">
        <v>146</v>
      </c>
      <c r="U5167">
        <v>0</v>
      </c>
      <c r="V5167" t="s">
        <v>541</v>
      </c>
      <c r="W5167" t="s">
        <v>575</v>
      </c>
      <c r="X5167" s="784">
        <v>8528751.6418357007</v>
      </c>
    </row>
    <row r="5168" spans="1:24">
      <c r="A5168" t="s">
        <v>358</v>
      </c>
      <c r="B5168" t="s">
        <v>646</v>
      </c>
      <c r="C5168" t="s">
        <v>250</v>
      </c>
      <c r="D5168" t="s">
        <v>132</v>
      </c>
      <c r="E5168" t="s">
        <v>377</v>
      </c>
      <c r="F5168" t="s">
        <v>310</v>
      </c>
      <c r="G5168" t="s">
        <v>341</v>
      </c>
      <c r="H5168" t="s">
        <v>104</v>
      </c>
      <c r="I5168">
        <v>2022</v>
      </c>
      <c r="J5168" t="s">
        <v>379</v>
      </c>
      <c r="K5168" t="s">
        <v>546</v>
      </c>
      <c r="L5168" s="784" t="s">
        <v>575</v>
      </c>
      <c r="M5168" t="s">
        <v>745</v>
      </c>
      <c r="P5168" t="s">
        <v>1887</v>
      </c>
      <c r="R5168" t="s">
        <v>150</v>
      </c>
      <c r="S5168" t="s">
        <v>145</v>
      </c>
      <c r="U5168">
        <v>0</v>
      </c>
      <c r="V5168" t="s">
        <v>544</v>
      </c>
      <c r="W5168" t="s">
        <v>558</v>
      </c>
      <c r="X5168" s="784">
        <v>407084543.19089872</v>
      </c>
    </row>
    <row r="5169" spans="1:24">
      <c r="A5169" t="s">
        <v>358</v>
      </c>
      <c r="B5169" t="s">
        <v>647</v>
      </c>
      <c r="C5169" t="s">
        <v>251</v>
      </c>
      <c r="D5169" t="s">
        <v>130</v>
      </c>
      <c r="E5169" t="s">
        <v>377</v>
      </c>
      <c r="F5169" t="s">
        <v>310</v>
      </c>
      <c r="G5169" t="s">
        <v>341</v>
      </c>
      <c r="H5169" t="s">
        <v>104</v>
      </c>
      <c r="I5169">
        <v>2022</v>
      </c>
      <c r="J5169" t="s">
        <v>379</v>
      </c>
      <c r="K5169" t="s">
        <v>546</v>
      </c>
      <c r="L5169" s="784" t="s">
        <v>575</v>
      </c>
      <c r="M5169" t="s">
        <v>745</v>
      </c>
      <c r="P5169" t="s">
        <v>1887</v>
      </c>
      <c r="R5169" t="s">
        <v>150</v>
      </c>
      <c r="S5169" t="s">
        <v>145</v>
      </c>
      <c r="U5169">
        <v>0</v>
      </c>
      <c r="V5169" t="s">
        <v>544</v>
      </c>
      <c r="W5169" t="s">
        <v>562</v>
      </c>
      <c r="X5169" s="784">
        <v>671998341.93592453</v>
      </c>
    </row>
    <row r="5170" spans="1:24">
      <c r="A5170" t="s">
        <v>358</v>
      </c>
      <c r="B5170" t="s">
        <v>648</v>
      </c>
      <c r="C5170" t="s">
        <v>252</v>
      </c>
      <c r="D5170" t="s">
        <v>129</v>
      </c>
      <c r="E5170" t="s">
        <v>377</v>
      </c>
      <c r="F5170" t="s">
        <v>310</v>
      </c>
      <c r="G5170" t="s">
        <v>341</v>
      </c>
      <c r="H5170" t="s">
        <v>104</v>
      </c>
      <c r="I5170">
        <v>2022</v>
      </c>
      <c r="J5170" t="s">
        <v>379</v>
      </c>
      <c r="K5170" t="s">
        <v>546</v>
      </c>
      <c r="L5170" s="784" t="s">
        <v>575</v>
      </c>
      <c r="M5170" t="s">
        <v>745</v>
      </c>
      <c r="P5170" t="s">
        <v>1887</v>
      </c>
      <c r="R5170" t="s">
        <v>148</v>
      </c>
      <c r="S5170" t="s">
        <v>145</v>
      </c>
      <c r="U5170">
        <v>1</v>
      </c>
      <c r="V5170" t="s">
        <v>544</v>
      </c>
      <c r="W5170" t="s">
        <v>562</v>
      </c>
      <c r="X5170" s="784">
        <v>226203289.67158964</v>
      </c>
    </row>
    <row r="5171" spans="1:24">
      <c r="A5171" t="s">
        <v>358</v>
      </c>
      <c r="B5171" t="s">
        <v>649</v>
      </c>
      <c r="C5171" t="s">
        <v>253</v>
      </c>
      <c r="D5171" t="s">
        <v>129</v>
      </c>
      <c r="E5171" t="s">
        <v>377</v>
      </c>
      <c r="F5171" t="s">
        <v>310</v>
      </c>
      <c r="G5171" t="s">
        <v>341</v>
      </c>
      <c r="H5171" t="s">
        <v>104</v>
      </c>
      <c r="I5171">
        <v>2022</v>
      </c>
      <c r="J5171" t="s">
        <v>379</v>
      </c>
      <c r="K5171" t="s">
        <v>546</v>
      </c>
      <c r="L5171" s="784" t="s">
        <v>575</v>
      </c>
      <c r="M5171" t="s">
        <v>745</v>
      </c>
      <c r="P5171" t="s">
        <v>1887</v>
      </c>
      <c r="R5171" t="s">
        <v>150</v>
      </c>
      <c r="S5171" t="s">
        <v>145</v>
      </c>
      <c r="U5171">
        <v>3</v>
      </c>
      <c r="V5171" t="s">
        <v>544</v>
      </c>
      <c r="W5171" t="s">
        <v>548</v>
      </c>
      <c r="X5171" s="784">
        <v>2438881113.1244688</v>
      </c>
    </row>
    <row r="5172" spans="1:24">
      <c r="A5172" t="s">
        <v>358</v>
      </c>
      <c r="B5172" t="s">
        <v>650</v>
      </c>
      <c r="C5172" t="s">
        <v>254</v>
      </c>
      <c r="D5172" t="s">
        <v>127</v>
      </c>
      <c r="E5172" t="s">
        <v>377</v>
      </c>
      <c r="F5172" t="s">
        <v>310</v>
      </c>
      <c r="G5172" t="s">
        <v>341</v>
      </c>
      <c r="H5172" t="s">
        <v>104</v>
      </c>
      <c r="I5172">
        <v>2022</v>
      </c>
      <c r="J5172" t="s">
        <v>379</v>
      </c>
      <c r="K5172" t="s">
        <v>546</v>
      </c>
      <c r="L5172" s="784" t="s">
        <v>575</v>
      </c>
      <c r="M5172" t="s">
        <v>745</v>
      </c>
      <c r="P5172" t="s">
        <v>1887</v>
      </c>
      <c r="R5172" t="s">
        <v>152</v>
      </c>
      <c r="S5172" t="s">
        <v>146</v>
      </c>
      <c r="U5172">
        <v>0</v>
      </c>
      <c r="V5172" t="s">
        <v>544</v>
      </c>
      <c r="W5172" t="s">
        <v>575</v>
      </c>
      <c r="X5172" s="784">
        <v>476517795.73174149</v>
      </c>
    </row>
    <row r="5173" spans="1:24">
      <c r="A5173" t="s">
        <v>358</v>
      </c>
      <c r="B5173" t="s">
        <v>651</v>
      </c>
      <c r="C5173" t="s">
        <v>255</v>
      </c>
      <c r="D5173" t="s">
        <v>132</v>
      </c>
      <c r="E5173" t="s">
        <v>377</v>
      </c>
      <c r="F5173" t="s">
        <v>310</v>
      </c>
      <c r="G5173" t="s">
        <v>341</v>
      </c>
      <c r="H5173" t="s">
        <v>104</v>
      </c>
      <c r="I5173">
        <v>2022</v>
      </c>
      <c r="J5173" t="s">
        <v>379</v>
      </c>
      <c r="K5173" t="s">
        <v>546</v>
      </c>
      <c r="L5173" s="784" t="s">
        <v>575</v>
      </c>
      <c r="M5173" t="s">
        <v>745</v>
      </c>
      <c r="P5173" t="s">
        <v>1887</v>
      </c>
      <c r="R5173" t="s">
        <v>150</v>
      </c>
      <c r="S5173" t="s">
        <v>145</v>
      </c>
      <c r="U5173">
        <v>0</v>
      </c>
      <c r="V5173" t="s">
        <v>544</v>
      </c>
      <c r="W5173" t="s">
        <v>548</v>
      </c>
      <c r="X5173" s="784">
        <v>3233351297.7679496</v>
      </c>
    </row>
    <row r="5174" spans="1:24">
      <c r="A5174" t="s">
        <v>358</v>
      </c>
      <c r="B5174" t="s">
        <v>652</v>
      </c>
      <c r="C5174" t="s">
        <v>256</v>
      </c>
      <c r="D5174" t="s">
        <v>130</v>
      </c>
      <c r="E5174" t="s">
        <v>377</v>
      </c>
      <c r="F5174" t="s">
        <v>310</v>
      </c>
      <c r="G5174" t="s">
        <v>341</v>
      </c>
      <c r="H5174" t="s">
        <v>104</v>
      </c>
      <c r="I5174">
        <v>2022</v>
      </c>
      <c r="J5174" t="s">
        <v>379</v>
      </c>
      <c r="K5174" t="s">
        <v>546</v>
      </c>
      <c r="L5174" s="784" t="s">
        <v>575</v>
      </c>
      <c r="M5174" t="s">
        <v>745</v>
      </c>
      <c r="P5174" t="s">
        <v>1887</v>
      </c>
      <c r="R5174" t="s">
        <v>550</v>
      </c>
      <c r="S5174" t="s">
        <v>146</v>
      </c>
      <c r="U5174">
        <v>0</v>
      </c>
      <c r="V5174" t="s">
        <v>541</v>
      </c>
      <c r="W5174" t="s">
        <v>575</v>
      </c>
      <c r="X5174" s="784">
        <v>18180646.808608256</v>
      </c>
    </row>
    <row r="5175" spans="1:24">
      <c r="A5175" t="s">
        <v>358</v>
      </c>
      <c r="B5175" t="s">
        <v>653</v>
      </c>
      <c r="C5175" t="s">
        <v>257</v>
      </c>
      <c r="D5175" t="s">
        <v>130</v>
      </c>
      <c r="E5175" t="s">
        <v>377</v>
      </c>
      <c r="F5175" t="s">
        <v>310</v>
      </c>
      <c r="G5175" t="s">
        <v>341</v>
      </c>
      <c r="H5175" t="s">
        <v>104</v>
      </c>
      <c r="I5175">
        <v>2022</v>
      </c>
      <c r="J5175" t="s">
        <v>379</v>
      </c>
      <c r="K5175" t="s">
        <v>546</v>
      </c>
      <c r="L5175" s="784" t="s">
        <v>575</v>
      </c>
      <c r="M5175" t="s">
        <v>745</v>
      </c>
      <c r="P5175" t="s">
        <v>1887</v>
      </c>
      <c r="R5175" t="s">
        <v>152</v>
      </c>
      <c r="S5175" t="s">
        <v>146</v>
      </c>
      <c r="U5175">
        <v>0</v>
      </c>
      <c r="V5175" t="s">
        <v>544</v>
      </c>
      <c r="W5175" t="s">
        <v>546</v>
      </c>
      <c r="X5175" s="784">
        <v>3020530707.3485303</v>
      </c>
    </row>
    <row r="5176" spans="1:24">
      <c r="A5176" t="s">
        <v>358</v>
      </c>
      <c r="B5176" t="s">
        <v>654</v>
      </c>
      <c r="C5176" t="s">
        <v>258</v>
      </c>
      <c r="D5176" t="s">
        <v>126</v>
      </c>
      <c r="E5176" t="s">
        <v>377</v>
      </c>
      <c r="F5176" t="s">
        <v>310</v>
      </c>
      <c r="G5176" t="s">
        <v>341</v>
      </c>
      <c r="H5176" t="s">
        <v>104</v>
      </c>
      <c r="I5176">
        <v>2022</v>
      </c>
      <c r="J5176" t="s">
        <v>379</v>
      </c>
      <c r="K5176" t="s">
        <v>546</v>
      </c>
      <c r="L5176" s="784" t="s">
        <v>575</v>
      </c>
      <c r="M5176" t="s">
        <v>745</v>
      </c>
      <c r="P5176" t="s">
        <v>1887</v>
      </c>
      <c r="R5176" t="s">
        <v>150</v>
      </c>
      <c r="S5176" t="s">
        <v>145</v>
      </c>
      <c r="U5176">
        <v>1</v>
      </c>
      <c r="V5176" t="s">
        <v>541</v>
      </c>
      <c r="W5176" t="s">
        <v>542</v>
      </c>
      <c r="X5176" s="784">
        <v>384406316.46074712</v>
      </c>
    </row>
    <row r="5177" spans="1:24">
      <c r="A5177" t="s">
        <v>358</v>
      </c>
      <c r="B5177" t="s">
        <v>655</v>
      </c>
      <c r="C5177" t="s">
        <v>259</v>
      </c>
      <c r="D5177" t="s">
        <v>130</v>
      </c>
      <c r="E5177" t="s">
        <v>377</v>
      </c>
      <c r="F5177" t="s">
        <v>310</v>
      </c>
      <c r="G5177" t="s">
        <v>341</v>
      </c>
      <c r="H5177" t="s">
        <v>104</v>
      </c>
      <c r="I5177">
        <v>2022</v>
      </c>
      <c r="J5177" t="s">
        <v>379</v>
      </c>
      <c r="K5177" t="s">
        <v>546</v>
      </c>
      <c r="L5177" s="784" t="s">
        <v>575</v>
      </c>
      <c r="M5177" t="s">
        <v>745</v>
      </c>
      <c r="P5177" t="s">
        <v>1887</v>
      </c>
      <c r="R5177" t="s">
        <v>152</v>
      </c>
      <c r="S5177" t="s">
        <v>146</v>
      </c>
      <c r="U5177">
        <v>0</v>
      </c>
      <c r="V5177" t="s">
        <v>544</v>
      </c>
      <c r="W5177" t="s">
        <v>575</v>
      </c>
      <c r="X5177" s="784">
        <v>1218747108.9554784</v>
      </c>
    </row>
    <row r="5178" spans="1:24">
      <c r="A5178" t="s">
        <v>358</v>
      </c>
      <c r="B5178" t="s">
        <v>656</v>
      </c>
      <c r="C5178" t="s">
        <v>260</v>
      </c>
      <c r="D5178" t="s">
        <v>130</v>
      </c>
      <c r="E5178" t="s">
        <v>377</v>
      </c>
      <c r="F5178" t="s">
        <v>310</v>
      </c>
      <c r="G5178" t="s">
        <v>341</v>
      </c>
      <c r="H5178" t="s">
        <v>104</v>
      </c>
      <c r="I5178">
        <v>2022</v>
      </c>
      <c r="J5178" t="s">
        <v>379</v>
      </c>
      <c r="K5178" t="s">
        <v>546</v>
      </c>
      <c r="L5178" s="784" t="s">
        <v>575</v>
      </c>
      <c r="M5178" t="s">
        <v>745</v>
      </c>
      <c r="P5178" t="s">
        <v>1887</v>
      </c>
      <c r="R5178" t="s">
        <v>152</v>
      </c>
      <c r="S5178" t="s">
        <v>146</v>
      </c>
      <c r="U5178">
        <v>0</v>
      </c>
      <c r="V5178" t="s">
        <v>544</v>
      </c>
      <c r="W5178" t="s">
        <v>575</v>
      </c>
      <c r="X5178" s="784">
        <v>7392665952.5895758</v>
      </c>
    </row>
    <row r="5179" spans="1:24">
      <c r="A5179" t="s">
        <v>358</v>
      </c>
      <c r="B5179" t="s">
        <v>657</v>
      </c>
      <c r="C5179" t="s">
        <v>261</v>
      </c>
      <c r="D5179" t="s">
        <v>126</v>
      </c>
      <c r="E5179" t="s">
        <v>377</v>
      </c>
      <c r="F5179" t="s">
        <v>310</v>
      </c>
      <c r="G5179" t="s">
        <v>341</v>
      </c>
      <c r="H5179" t="s">
        <v>104</v>
      </c>
      <c r="I5179">
        <v>2022</v>
      </c>
      <c r="J5179" t="s">
        <v>379</v>
      </c>
      <c r="K5179" t="s">
        <v>546</v>
      </c>
      <c r="L5179" s="784">
        <v>4499999.7</v>
      </c>
      <c r="M5179" t="s">
        <v>745</v>
      </c>
      <c r="P5179" t="s">
        <v>1887</v>
      </c>
      <c r="R5179" t="s">
        <v>150</v>
      </c>
      <c r="S5179" t="s">
        <v>145</v>
      </c>
      <c r="U5179">
        <v>0</v>
      </c>
      <c r="V5179" t="s">
        <v>544</v>
      </c>
      <c r="W5179" t="s">
        <v>546</v>
      </c>
      <c r="X5179" s="784">
        <v>4754985988.6004429</v>
      </c>
    </row>
    <row r="5180" spans="1:24">
      <c r="A5180" t="s">
        <v>358</v>
      </c>
      <c r="B5180" t="s">
        <v>658</v>
      </c>
      <c r="C5180" t="s">
        <v>262</v>
      </c>
      <c r="D5180" t="s">
        <v>127</v>
      </c>
      <c r="E5180" t="s">
        <v>377</v>
      </c>
      <c r="F5180" t="s">
        <v>310</v>
      </c>
      <c r="G5180" t="s">
        <v>341</v>
      </c>
      <c r="H5180" t="s">
        <v>104</v>
      </c>
      <c r="I5180">
        <v>2022</v>
      </c>
      <c r="J5180" t="s">
        <v>379</v>
      </c>
      <c r="K5180" t="s">
        <v>546</v>
      </c>
      <c r="L5180" s="784" t="s">
        <v>575</v>
      </c>
      <c r="M5180" t="s">
        <v>745</v>
      </c>
      <c r="P5180" t="s">
        <v>1887</v>
      </c>
      <c r="R5180" t="s">
        <v>550</v>
      </c>
      <c r="S5180" t="s">
        <v>146</v>
      </c>
      <c r="U5180">
        <v>0</v>
      </c>
      <c r="V5180" t="s">
        <v>544</v>
      </c>
      <c r="W5180" t="s">
        <v>575</v>
      </c>
      <c r="X5180" s="784">
        <v>26422210443.037273</v>
      </c>
    </row>
    <row r="5181" spans="1:24">
      <c r="A5181" t="s">
        <v>358</v>
      </c>
      <c r="B5181" t="s">
        <v>659</v>
      </c>
      <c r="C5181" t="s">
        <v>151</v>
      </c>
      <c r="D5181" t="s">
        <v>127</v>
      </c>
      <c r="E5181" t="s">
        <v>377</v>
      </c>
      <c r="F5181" t="s">
        <v>310</v>
      </c>
      <c r="G5181" t="s">
        <v>341</v>
      </c>
      <c r="H5181" t="s">
        <v>104</v>
      </c>
      <c r="I5181">
        <v>2022</v>
      </c>
      <c r="J5181" t="s">
        <v>379</v>
      </c>
      <c r="K5181" t="s">
        <v>546</v>
      </c>
      <c r="L5181" s="784" t="s">
        <v>575</v>
      </c>
      <c r="M5181" t="s">
        <v>745</v>
      </c>
      <c r="P5181" t="s">
        <v>1887</v>
      </c>
      <c r="R5181" t="s">
        <v>152</v>
      </c>
      <c r="S5181" t="s">
        <v>146</v>
      </c>
      <c r="U5181">
        <v>0</v>
      </c>
      <c r="V5181" t="s">
        <v>544</v>
      </c>
      <c r="W5181" t="s">
        <v>575</v>
      </c>
      <c r="X5181" s="784">
        <v>10696495313.15033</v>
      </c>
    </row>
    <row r="5182" spans="1:24">
      <c r="A5182" t="s">
        <v>358</v>
      </c>
      <c r="B5182" t="s">
        <v>660</v>
      </c>
      <c r="C5182" t="s">
        <v>263</v>
      </c>
      <c r="D5182" t="s">
        <v>127</v>
      </c>
      <c r="E5182" t="s">
        <v>377</v>
      </c>
      <c r="F5182" t="s">
        <v>310</v>
      </c>
      <c r="G5182" t="s">
        <v>341</v>
      </c>
      <c r="H5182" t="s">
        <v>104</v>
      </c>
      <c r="I5182">
        <v>2022</v>
      </c>
      <c r="J5182" t="s">
        <v>379</v>
      </c>
      <c r="K5182" t="s">
        <v>546</v>
      </c>
      <c r="L5182" s="784" t="s">
        <v>575</v>
      </c>
      <c r="M5182" t="s">
        <v>745</v>
      </c>
      <c r="P5182" t="s">
        <v>1887</v>
      </c>
      <c r="R5182" t="s">
        <v>152</v>
      </c>
      <c r="S5182" t="s">
        <v>146</v>
      </c>
      <c r="U5182">
        <v>0</v>
      </c>
      <c r="V5182" t="s">
        <v>544</v>
      </c>
      <c r="W5182" t="s">
        <v>575</v>
      </c>
      <c r="X5182" s="784">
        <v>52769713433.240509</v>
      </c>
    </row>
    <row r="5183" spans="1:24">
      <c r="A5183" t="s">
        <v>358</v>
      </c>
      <c r="B5183" t="s">
        <v>661</v>
      </c>
      <c r="C5183" t="s">
        <v>264</v>
      </c>
      <c r="D5183" t="s">
        <v>128</v>
      </c>
      <c r="E5183" t="s">
        <v>377</v>
      </c>
      <c r="F5183" t="s">
        <v>310</v>
      </c>
      <c r="G5183" t="s">
        <v>341</v>
      </c>
      <c r="H5183" t="s">
        <v>104</v>
      </c>
      <c r="I5183">
        <v>2022</v>
      </c>
      <c r="J5183" t="s">
        <v>379</v>
      </c>
      <c r="K5183" t="s">
        <v>546</v>
      </c>
      <c r="L5183" s="784" t="s">
        <v>575</v>
      </c>
      <c r="M5183" t="s">
        <v>745</v>
      </c>
      <c r="P5183" t="s">
        <v>1887</v>
      </c>
      <c r="R5183" t="s">
        <v>148</v>
      </c>
      <c r="S5183" t="s">
        <v>145</v>
      </c>
      <c r="U5183">
        <v>0</v>
      </c>
      <c r="V5183" t="s">
        <v>544</v>
      </c>
      <c r="W5183" t="s">
        <v>562</v>
      </c>
      <c r="X5183" s="784">
        <v>225799814.51943746</v>
      </c>
    </row>
    <row r="5184" spans="1:24">
      <c r="A5184" t="s">
        <v>358</v>
      </c>
      <c r="B5184" t="s">
        <v>662</v>
      </c>
      <c r="C5184" t="s">
        <v>265</v>
      </c>
      <c r="D5184" t="s">
        <v>126</v>
      </c>
      <c r="E5184" t="s">
        <v>377</v>
      </c>
      <c r="F5184" t="s">
        <v>310</v>
      </c>
      <c r="G5184" t="s">
        <v>341</v>
      </c>
      <c r="H5184" t="s">
        <v>104</v>
      </c>
      <c r="I5184">
        <v>2022</v>
      </c>
      <c r="J5184" t="s">
        <v>379</v>
      </c>
      <c r="K5184" t="s">
        <v>546</v>
      </c>
      <c r="L5184" s="784" t="s">
        <v>575</v>
      </c>
      <c r="M5184" t="s">
        <v>745</v>
      </c>
      <c r="P5184" t="s">
        <v>1887</v>
      </c>
      <c r="R5184" t="s">
        <v>150</v>
      </c>
      <c r="S5184" t="s">
        <v>145</v>
      </c>
      <c r="U5184">
        <v>0</v>
      </c>
      <c r="V5184" t="s">
        <v>541</v>
      </c>
      <c r="W5184" t="s">
        <v>542</v>
      </c>
      <c r="X5184" s="784">
        <v>32192988.027009469</v>
      </c>
    </row>
    <row r="5185" spans="1:24">
      <c r="A5185" t="s">
        <v>358</v>
      </c>
      <c r="B5185" t="s">
        <v>663</v>
      </c>
      <c r="C5185" t="s">
        <v>266</v>
      </c>
      <c r="D5185" t="s">
        <v>129</v>
      </c>
      <c r="E5185" t="s">
        <v>377</v>
      </c>
      <c r="F5185" t="s">
        <v>310</v>
      </c>
      <c r="G5185" t="s">
        <v>341</v>
      </c>
      <c r="H5185" t="s">
        <v>104</v>
      </c>
      <c r="I5185">
        <v>2022</v>
      </c>
      <c r="J5185" t="s">
        <v>379</v>
      </c>
      <c r="K5185" t="s">
        <v>546</v>
      </c>
      <c r="L5185" s="784" t="s">
        <v>575</v>
      </c>
      <c r="M5185" t="s">
        <v>745</v>
      </c>
      <c r="P5185" t="s">
        <v>1887</v>
      </c>
      <c r="R5185" t="s">
        <v>150</v>
      </c>
      <c r="S5185" t="s">
        <v>145</v>
      </c>
      <c r="U5185">
        <v>0</v>
      </c>
      <c r="V5185" t="s">
        <v>541</v>
      </c>
      <c r="W5185" t="s">
        <v>583</v>
      </c>
      <c r="X5185" s="784">
        <v>11633535.136477679</v>
      </c>
    </row>
    <row r="5186" spans="1:24">
      <c r="A5186" t="s">
        <v>358</v>
      </c>
      <c r="B5186" t="s">
        <v>664</v>
      </c>
      <c r="C5186" t="s">
        <v>267</v>
      </c>
      <c r="D5186" t="s">
        <v>129</v>
      </c>
      <c r="E5186" t="s">
        <v>377</v>
      </c>
      <c r="F5186" t="s">
        <v>310</v>
      </c>
      <c r="G5186" t="s">
        <v>341</v>
      </c>
      <c r="H5186" t="s">
        <v>104</v>
      </c>
      <c r="I5186">
        <v>2022</v>
      </c>
      <c r="J5186" t="s">
        <v>379</v>
      </c>
      <c r="K5186" t="s">
        <v>546</v>
      </c>
      <c r="L5186" s="784" t="s">
        <v>575</v>
      </c>
      <c r="M5186" t="s">
        <v>745</v>
      </c>
      <c r="P5186" t="s">
        <v>1887</v>
      </c>
      <c r="R5186" t="s">
        <v>150</v>
      </c>
      <c r="S5186" t="s">
        <v>145</v>
      </c>
      <c r="U5186">
        <v>2</v>
      </c>
      <c r="V5186" t="s">
        <v>544</v>
      </c>
      <c r="W5186" t="s">
        <v>562</v>
      </c>
      <c r="X5186" s="784">
        <v>222008693.93354639</v>
      </c>
    </row>
    <row r="5187" spans="1:24">
      <c r="A5187" t="s">
        <v>358</v>
      </c>
      <c r="B5187" t="s">
        <v>665</v>
      </c>
      <c r="C5187" t="s">
        <v>153</v>
      </c>
      <c r="D5187" t="s">
        <v>127</v>
      </c>
      <c r="E5187" t="s">
        <v>377</v>
      </c>
      <c r="F5187" t="s">
        <v>310</v>
      </c>
      <c r="G5187" t="s">
        <v>341</v>
      </c>
      <c r="H5187" t="s">
        <v>104</v>
      </c>
      <c r="I5187">
        <v>2022</v>
      </c>
      <c r="J5187" t="s">
        <v>379</v>
      </c>
      <c r="K5187" t="s">
        <v>546</v>
      </c>
      <c r="L5187" s="784" t="s">
        <v>575</v>
      </c>
      <c r="M5187" t="s">
        <v>745</v>
      </c>
      <c r="P5187" t="s">
        <v>1887</v>
      </c>
      <c r="R5187" t="s">
        <v>152</v>
      </c>
      <c r="S5187" t="s">
        <v>146</v>
      </c>
      <c r="U5187">
        <v>0</v>
      </c>
      <c r="V5187" t="s">
        <v>544</v>
      </c>
      <c r="W5187" t="s">
        <v>575</v>
      </c>
      <c r="X5187" s="784">
        <v>2564993795.1894679</v>
      </c>
    </row>
    <row r="5188" spans="1:24">
      <c r="A5188" t="s">
        <v>358</v>
      </c>
      <c r="B5188" t="s">
        <v>666</v>
      </c>
      <c r="C5188" t="s">
        <v>268</v>
      </c>
      <c r="D5188" t="s">
        <v>128</v>
      </c>
      <c r="E5188" t="s">
        <v>377</v>
      </c>
      <c r="F5188" t="s">
        <v>310</v>
      </c>
      <c r="G5188" t="s">
        <v>341</v>
      </c>
      <c r="H5188" t="s">
        <v>104</v>
      </c>
      <c r="I5188">
        <v>2022</v>
      </c>
      <c r="J5188" t="s">
        <v>379</v>
      </c>
      <c r="K5188" t="s">
        <v>546</v>
      </c>
      <c r="L5188" s="784" t="s">
        <v>575</v>
      </c>
      <c r="M5188" t="s">
        <v>745</v>
      </c>
      <c r="P5188" t="s">
        <v>1887</v>
      </c>
      <c r="R5188" t="s">
        <v>550</v>
      </c>
      <c r="S5188" t="s">
        <v>146</v>
      </c>
      <c r="U5188">
        <v>0</v>
      </c>
      <c r="V5188" t="s">
        <v>541</v>
      </c>
      <c r="W5188" t="s">
        <v>546</v>
      </c>
      <c r="X5188" s="784">
        <v>60237542.945069775</v>
      </c>
    </row>
    <row r="5189" spans="1:24">
      <c r="A5189" t="s">
        <v>358</v>
      </c>
      <c r="B5189" t="s">
        <v>667</v>
      </c>
      <c r="C5189" t="s">
        <v>269</v>
      </c>
      <c r="D5189" t="s">
        <v>129</v>
      </c>
      <c r="E5189" t="s">
        <v>377</v>
      </c>
      <c r="F5189" t="s">
        <v>310</v>
      </c>
      <c r="G5189" t="s">
        <v>341</v>
      </c>
      <c r="H5189" t="s">
        <v>104</v>
      </c>
      <c r="I5189">
        <v>2022</v>
      </c>
      <c r="J5189" t="s">
        <v>379</v>
      </c>
      <c r="K5189" t="s">
        <v>546</v>
      </c>
      <c r="L5189" s="784" t="s">
        <v>575</v>
      </c>
      <c r="M5189" t="s">
        <v>745</v>
      </c>
      <c r="P5189" t="s">
        <v>1887</v>
      </c>
      <c r="R5189" t="s">
        <v>148</v>
      </c>
      <c r="S5189" t="s">
        <v>145</v>
      </c>
      <c r="U5189">
        <v>0</v>
      </c>
      <c r="V5189" t="s">
        <v>544</v>
      </c>
      <c r="W5189" t="s">
        <v>542</v>
      </c>
      <c r="X5189" s="784">
        <v>63738640.538260505</v>
      </c>
    </row>
    <row r="5190" spans="1:24">
      <c r="A5190" t="s">
        <v>358</v>
      </c>
      <c r="B5190" t="s">
        <v>668</v>
      </c>
      <c r="C5190" t="s">
        <v>270</v>
      </c>
      <c r="D5190" t="s">
        <v>126</v>
      </c>
      <c r="E5190" t="s">
        <v>377</v>
      </c>
      <c r="F5190" t="s">
        <v>310</v>
      </c>
      <c r="G5190" t="s">
        <v>341</v>
      </c>
      <c r="H5190" t="s">
        <v>104</v>
      </c>
      <c r="I5190">
        <v>2022</v>
      </c>
      <c r="J5190" t="s">
        <v>379</v>
      </c>
      <c r="K5190" t="s">
        <v>546</v>
      </c>
      <c r="L5190" s="784" t="s">
        <v>575</v>
      </c>
      <c r="M5190" t="s">
        <v>745</v>
      </c>
      <c r="P5190" t="s">
        <v>1887</v>
      </c>
      <c r="R5190" t="s">
        <v>150</v>
      </c>
      <c r="S5190" t="s">
        <v>145</v>
      </c>
      <c r="U5190">
        <v>0</v>
      </c>
      <c r="V5190" t="s">
        <v>541</v>
      </c>
      <c r="W5190" t="s">
        <v>562</v>
      </c>
      <c r="X5190" s="784">
        <v>49012774.055630356</v>
      </c>
    </row>
    <row r="5191" spans="1:24">
      <c r="A5191" t="s">
        <v>358</v>
      </c>
      <c r="B5191" t="s">
        <v>669</v>
      </c>
      <c r="C5191" t="s">
        <v>271</v>
      </c>
      <c r="D5191" t="s">
        <v>128</v>
      </c>
      <c r="E5191" t="s">
        <v>377</v>
      </c>
      <c r="F5191" t="s">
        <v>310</v>
      </c>
      <c r="G5191" t="s">
        <v>341</v>
      </c>
      <c r="H5191" t="s">
        <v>104</v>
      </c>
      <c r="I5191">
        <v>2022</v>
      </c>
      <c r="J5191" t="s">
        <v>379</v>
      </c>
      <c r="K5191" t="s">
        <v>546</v>
      </c>
      <c r="L5191" s="784" t="s">
        <v>575</v>
      </c>
      <c r="M5191" t="s">
        <v>745</v>
      </c>
      <c r="P5191" t="s">
        <v>1887</v>
      </c>
      <c r="R5191" t="s">
        <v>148</v>
      </c>
      <c r="S5191" t="s">
        <v>145</v>
      </c>
      <c r="U5191">
        <v>1</v>
      </c>
      <c r="V5191" t="s">
        <v>544</v>
      </c>
      <c r="W5191" t="s">
        <v>583</v>
      </c>
      <c r="X5191" s="784" t="s">
        <v>575</v>
      </c>
    </row>
    <row r="5192" spans="1:24">
      <c r="A5192" t="s">
        <v>358</v>
      </c>
      <c r="B5192" t="s">
        <v>670</v>
      </c>
      <c r="C5192" t="s">
        <v>272</v>
      </c>
      <c r="D5192" t="s">
        <v>128</v>
      </c>
      <c r="E5192" t="s">
        <v>377</v>
      </c>
      <c r="F5192" t="s">
        <v>310</v>
      </c>
      <c r="G5192" t="s">
        <v>341</v>
      </c>
      <c r="H5192" t="s">
        <v>104</v>
      </c>
      <c r="I5192">
        <v>2022</v>
      </c>
      <c r="J5192" t="s">
        <v>379</v>
      </c>
      <c r="K5192" t="s">
        <v>546</v>
      </c>
      <c r="L5192" s="784" t="s">
        <v>575</v>
      </c>
      <c r="M5192" t="s">
        <v>745</v>
      </c>
      <c r="P5192" t="s">
        <v>1887</v>
      </c>
      <c r="R5192" t="s">
        <v>152</v>
      </c>
      <c r="S5192" t="s">
        <v>146</v>
      </c>
      <c r="U5192">
        <v>0</v>
      </c>
      <c r="V5192" t="s">
        <v>544</v>
      </c>
      <c r="W5192" t="s">
        <v>546</v>
      </c>
      <c r="X5192" s="784">
        <v>16429121142.784708</v>
      </c>
    </row>
    <row r="5193" spans="1:24">
      <c r="A5193" t="s">
        <v>358</v>
      </c>
      <c r="B5193" t="s">
        <v>671</v>
      </c>
      <c r="C5193" t="s">
        <v>273</v>
      </c>
      <c r="D5193" t="s">
        <v>128</v>
      </c>
      <c r="E5193" t="s">
        <v>377</v>
      </c>
      <c r="F5193" t="s">
        <v>310</v>
      </c>
      <c r="G5193" t="s">
        <v>341</v>
      </c>
      <c r="H5193" t="s">
        <v>104</v>
      </c>
      <c r="I5193">
        <v>2022</v>
      </c>
      <c r="J5193" t="s">
        <v>379</v>
      </c>
      <c r="K5193" t="s">
        <v>546</v>
      </c>
      <c r="L5193" s="784" t="s">
        <v>575</v>
      </c>
      <c r="M5193" t="s">
        <v>745</v>
      </c>
      <c r="P5193" t="s">
        <v>1887</v>
      </c>
      <c r="R5193" t="s">
        <v>148</v>
      </c>
      <c r="S5193" t="s">
        <v>145</v>
      </c>
      <c r="U5193">
        <v>1</v>
      </c>
      <c r="V5193" t="s">
        <v>544</v>
      </c>
      <c r="W5193" t="s">
        <v>542</v>
      </c>
      <c r="X5193" s="784">
        <v>31684581.76217727</v>
      </c>
    </row>
    <row r="5194" spans="1:24">
      <c r="A5194" t="s">
        <v>358</v>
      </c>
      <c r="B5194" t="s">
        <v>672</v>
      </c>
      <c r="C5194" t="s">
        <v>274</v>
      </c>
      <c r="D5194" t="s">
        <v>132</v>
      </c>
      <c r="E5194" t="s">
        <v>377</v>
      </c>
      <c r="F5194" t="s">
        <v>310</v>
      </c>
      <c r="G5194" t="s">
        <v>341</v>
      </c>
      <c r="H5194" t="s">
        <v>104</v>
      </c>
      <c r="I5194">
        <v>2022</v>
      </c>
      <c r="J5194" t="s">
        <v>379</v>
      </c>
      <c r="K5194" t="s">
        <v>546</v>
      </c>
      <c r="L5194" s="784">
        <v>979797</v>
      </c>
      <c r="M5194" t="s">
        <v>745</v>
      </c>
      <c r="P5194" t="s">
        <v>1887</v>
      </c>
      <c r="R5194" t="s">
        <v>150</v>
      </c>
      <c r="S5194" t="s">
        <v>145</v>
      </c>
      <c r="U5194">
        <v>0</v>
      </c>
      <c r="V5194" t="s">
        <v>544</v>
      </c>
      <c r="W5194" t="s">
        <v>546</v>
      </c>
      <c r="X5194" s="784">
        <v>1373621563.5182886</v>
      </c>
    </row>
    <row r="5195" spans="1:24">
      <c r="A5195" t="s">
        <v>358</v>
      </c>
      <c r="B5195" t="s">
        <v>673</v>
      </c>
      <c r="C5195" t="s">
        <v>275</v>
      </c>
      <c r="D5195" t="s">
        <v>130</v>
      </c>
      <c r="E5195" t="s">
        <v>377</v>
      </c>
      <c r="F5195" t="s">
        <v>310</v>
      </c>
      <c r="G5195" t="s">
        <v>341</v>
      </c>
      <c r="H5195" t="s">
        <v>104</v>
      </c>
      <c r="I5195">
        <v>2022</v>
      </c>
      <c r="J5195" t="s">
        <v>379</v>
      </c>
      <c r="K5195" t="s">
        <v>546</v>
      </c>
      <c r="L5195" s="784" t="s">
        <v>575</v>
      </c>
      <c r="M5195" t="s">
        <v>745</v>
      </c>
      <c r="P5195" t="s">
        <v>1887</v>
      </c>
      <c r="R5195" t="s">
        <v>550</v>
      </c>
      <c r="S5195" t="s">
        <v>146</v>
      </c>
      <c r="U5195">
        <v>0</v>
      </c>
      <c r="V5195" t="s">
        <v>541</v>
      </c>
      <c r="W5195" t="s">
        <v>575</v>
      </c>
      <c r="X5195" s="784">
        <v>24214370.889062837</v>
      </c>
    </row>
    <row r="5196" spans="1:24">
      <c r="A5196" t="s">
        <v>358</v>
      </c>
      <c r="B5196" t="s">
        <v>674</v>
      </c>
      <c r="C5196" t="s">
        <v>154</v>
      </c>
      <c r="D5196" t="s">
        <v>130</v>
      </c>
      <c r="E5196" t="s">
        <v>377</v>
      </c>
      <c r="F5196" t="s">
        <v>310</v>
      </c>
      <c r="G5196" t="s">
        <v>341</v>
      </c>
      <c r="H5196" t="s">
        <v>104</v>
      </c>
      <c r="I5196">
        <v>2022</v>
      </c>
      <c r="J5196" t="s">
        <v>379</v>
      </c>
      <c r="K5196" t="s">
        <v>546</v>
      </c>
      <c r="L5196" s="784" t="s">
        <v>575</v>
      </c>
      <c r="M5196" t="s">
        <v>745</v>
      </c>
      <c r="P5196" t="s">
        <v>1887</v>
      </c>
      <c r="R5196" t="s">
        <v>152</v>
      </c>
      <c r="S5196" t="s">
        <v>145</v>
      </c>
      <c r="U5196">
        <v>0</v>
      </c>
      <c r="V5196" t="s">
        <v>541</v>
      </c>
      <c r="W5196" t="s">
        <v>548</v>
      </c>
      <c r="X5196" s="784">
        <v>39941279.609447442</v>
      </c>
    </row>
    <row r="5197" spans="1:24">
      <c r="A5197" t="s">
        <v>358</v>
      </c>
      <c r="B5197" t="s">
        <v>675</v>
      </c>
      <c r="C5197" t="s">
        <v>155</v>
      </c>
      <c r="D5197" t="s">
        <v>130</v>
      </c>
      <c r="E5197" t="s">
        <v>377</v>
      </c>
      <c r="F5197" t="s">
        <v>310</v>
      </c>
      <c r="G5197" t="s">
        <v>341</v>
      </c>
      <c r="H5197" t="s">
        <v>104</v>
      </c>
      <c r="I5197">
        <v>2022</v>
      </c>
      <c r="J5197" t="s">
        <v>379</v>
      </c>
      <c r="K5197" t="s">
        <v>546</v>
      </c>
      <c r="L5197" s="784">
        <v>200000</v>
      </c>
      <c r="M5197" t="s">
        <v>745</v>
      </c>
      <c r="P5197" t="s">
        <v>1887</v>
      </c>
      <c r="R5197" t="s">
        <v>152</v>
      </c>
      <c r="S5197" t="s">
        <v>145</v>
      </c>
      <c r="U5197">
        <v>0</v>
      </c>
      <c r="V5197" t="s">
        <v>541</v>
      </c>
      <c r="W5197" t="s">
        <v>542</v>
      </c>
      <c r="X5197" s="784">
        <v>24761675.260059897</v>
      </c>
    </row>
    <row r="5198" spans="1:24">
      <c r="A5198" t="s">
        <v>358</v>
      </c>
      <c r="B5198" t="s">
        <v>676</v>
      </c>
      <c r="C5198" t="s">
        <v>276</v>
      </c>
      <c r="D5198" t="s">
        <v>131</v>
      </c>
      <c r="E5198" t="s">
        <v>377</v>
      </c>
      <c r="F5198" t="s">
        <v>310</v>
      </c>
      <c r="G5198" t="s">
        <v>341</v>
      </c>
      <c r="H5198" t="s">
        <v>104</v>
      </c>
      <c r="I5198">
        <v>2022</v>
      </c>
      <c r="J5198" t="s">
        <v>379</v>
      </c>
      <c r="K5198" t="s">
        <v>546</v>
      </c>
      <c r="L5198" s="784">
        <v>1000000</v>
      </c>
      <c r="M5198" t="s">
        <v>745</v>
      </c>
      <c r="P5198" t="s">
        <v>1887</v>
      </c>
      <c r="R5198" t="s">
        <v>150</v>
      </c>
      <c r="S5198" t="s">
        <v>145</v>
      </c>
      <c r="U5198">
        <v>0</v>
      </c>
      <c r="V5198" t="s">
        <v>544</v>
      </c>
      <c r="W5198" t="s">
        <v>546</v>
      </c>
      <c r="X5198" s="784" t="s">
        <v>575</v>
      </c>
    </row>
    <row r="5199" spans="1:24">
      <c r="A5199" t="s">
        <v>358</v>
      </c>
      <c r="B5199" t="s">
        <v>677</v>
      </c>
      <c r="C5199" t="s">
        <v>277</v>
      </c>
      <c r="D5199" t="s">
        <v>131</v>
      </c>
      <c r="E5199" t="s">
        <v>377</v>
      </c>
      <c r="F5199" t="s">
        <v>310</v>
      </c>
      <c r="G5199" t="s">
        <v>341</v>
      </c>
      <c r="H5199" t="s">
        <v>104</v>
      </c>
      <c r="I5199">
        <v>2022</v>
      </c>
      <c r="J5199" t="s">
        <v>379</v>
      </c>
      <c r="K5199" t="s">
        <v>546</v>
      </c>
      <c r="L5199" s="784" t="s">
        <v>575</v>
      </c>
      <c r="M5199" t="s">
        <v>745</v>
      </c>
      <c r="P5199" t="s">
        <v>1887</v>
      </c>
      <c r="R5199" t="s">
        <v>148</v>
      </c>
      <c r="S5199" t="s">
        <v>145</v>
      </c>
      <c r="U5199">
        <v>1</v>
      </c>
      <c r="V5199" t="s">
        <v>544</v>
      </c>
      <c r="W5199" t="s">
        <v>546</v>
      </c>
      <c r="X5199" s="784">
        <v>577156172.71229994</v>
      </c>
    </row>
    <row r="5200" spans="1:24">
      <c r="A5200" t="s">
        <v>358</v>
      </c>
      <c r="B5200" t="s">
        <v>678</v>
      </c>
      <c r="C5200" t="s">
        <v>278</v>
      </c>
      <c r="D5200" t="s">
        <v>126</v>
      </c>
      <c r="E5200" t="s">
        <v>377</v>
      </c>
      <c r="F5200" t="s">
        <v>310</v>
      </c>
      <c r="G5200" t="s">
        <v>341</v>
      </c>
      <c r="H5200" t="s">
        <v>104</v>
      </c>
      <c r="I5200">
        <v>2022</v>
      </c>
      <c r="J5200" t="s">
        <v>379</v>
      </c>
      <c r="K5200" t="s">
        <v>546</v>
      </c>
      <c r="L5200" s="784" t="s">
        <v>575</v>
      </c>
      <c r="M5200" t="s">
        <v>745</v>
      </c>
      <c r="P5200" t="s">
        <v>1887</v>
      </c>
      <c r="R5200" t="s">
        <v>152</v>
      </c>
      <c r="S5200" t="s">
        <v>146</v>
      </c>
      <c r="U5200">
        <v>0</v>
      </c>
      <c r="V5200" t="s">
        <v>541</v>
      </c>
      <c r="W5200" t="s">
        <v>575</v>
      </c>
      <c r="X5200" s="784">
        <v>180052034.19851837</v>
      </c>
    </row>
    <row r="5201" spans="1:24">
      <c r="A5201" t="s">
        <v>358</v>
      </c>
      <c r="B5201" t="s">
        <v>679</v>
      </c>
      <c r="C5201" t="s">
        <v>279</v>
      </c>
      <c r="D5201" t="s">
        <v>131</v>
      </c>
      <c r="E5201" t="s">
        <v>377</v>
      </c>
      <c r="F5201" t="s">
        <v>310</v>
      </c>
      <c r="G5201" t="s">
        <v>341</v>
      </c>
      <c r="H5201" t="s">
        <v>104</v>
      </c>
      <c r="I5201">
        <v>2022</v>
      </c>
      <c r="J5201" t="s">
        <v>379</v>
      </c>
      <c r="K5201" t="s">
        <v>546</v>
      </c>
      <c r="L5201" s="784" t="s">
        <v>575</v>
      </c>
      <c r="M5201" t="s">
        <v>745</v>
      </c>
      <c r="P5201" t="s">
        <v>1887</v>
      </c>
      <c r="R5201" t="s">
        <v>148</v>
      </c>
      <c r="S5201" t="s">
        <v>145</v>
      </c>
      <c r="U5201">
        <v>1</v>
      </c>
      <c r="V5201" t="s">
        <v>544</v>
      </c>
      <c r="W5201" t="s">
        <v>546</v>
      </c>
      <c r="X5201" s="784" t="s">
        <v>575</v>
      </c>
    </row>
    <row r="5202" spans="1:24">
      <c r="A5202" t="s">
        <v>358</v>
      </c>
      <c r="B5202" t="s">
        <v>680</v>
      </c>
      <c r="C5202" t="s">
        <v>280</v>
      </c>
      <c r="D5202" t="s">
        <v>127</v>
      </c>
      <c r="E5202" t="s">
        <v>377</v>
      </c>
      <c r="F5202" t="s">
        <v>310</v>
      </c>
      <c r="G5202" t="s">
        <v>341</v>
      </c>
      <c r="H5202" t="s">
        <v>104</v>
      </c>
      <c r="I5202">
        <v>2022</v>
      </c>
      <c r="J5202" t="s">
        <v>379</v>
      </c>
      <c r="K5202" t="s">
        <v>546</v>
      </c>
      <c r="L5202" s="784" t="s">
        <v>575</v>
      </c>
      <c r="M5202" t="s">
        <v>745</v>
      </c>
      <c r="P5202" t="s">
        <v>1887</v>
      </c>
      <c r="R5202" t="s">
        <v>150</v>
      </c>
      <c r="S5202" t="s">
        <v>145</v>
      </c>
      <c r="U5202">
        <v>0</v>
      </c>
      <c r="V5202" t="s">
        <v>544</v>
      </c>
      <c r="W5202" t="s">
        <v>542</v>
      </c>
      <c r="X5202" s="784">
        <v>147296124.32232863</v>
      </c>
    </row>
    <row r="5203" spans="1:24">
      <c r="A5203" t="s">
        <v>358</v>
      </c>
      <c r="B5203" t="s">
        <v>681</v>
      </c>
      <c r="C5203" t="s">
        <v>156</v>
      </c>
      <c r="D5203" t="s">
        <v>128</v>
      </c>
      <c r="E5203" t="s">
        <v>377</v>
      </c>
      <c r="F5203" t="s">
        <v>310</v>
      </c>
      <c r="G5203" t="s">
        <v>341</v>
      </c>
      <c r="H5203" t="s">
        <v>104</v>
      </c>
      <c r="I5203">
        <v>2022</v>
      </c>
      <c r="J5203" t="s">
        <v>379</v>
      </c>
      <c r="K5203" t="s">
        <v>546</v>
      </c>
      <c r="L5203" s="784" t="s">
        <v>575</v>
      </c>
      <c r="M5203" t="s">
        <v>745</v>
      </c>
      <c r="P5203" t="s">
        <v>1887</v>
      </c>
      <c r="R5203" t="s">
        <v>150</v>
      </c>
      <c r="S5203" t="s">
        <v>145</v>
      </c>
      <c r="U5203">
        <v>0</v>
      </c>
      <c r="V5203" t="s">
        <v>544</v>
      </c>
      <c r="W5203" t="s">
        <v>548</v>
      </c>
      <c r="X5203" s="784">
        <v>890576536.83065879</v>
      </c>
    </row>
    <row r="5204" spans="1:24">
      <c r="A5204" t="s">
        <v>358</v>
      </c>
      <c r="B5204" t="s">
        <v>682</v>
      </c>
      <c r="C5204" t="s">
        <v>157</v>
      </c>
      <c r="D5204" t="s">
        <v>126</v>
      </c>
      <c r="E5204" t="s">
        <v>377</v>
      </c>
      <c r="F5204" t="s">
        <v>310</v>
      </c>
      <c r="G5204" t="s">
        <v>341</v>
      </c>
      <c r="H5204" t="s">
        <v>104</v>
      </c>
      <c r="I5204">
        <v>2022</v>
      </c>
      <c r="J5204" t="s">
        <v>379</v>
      </c>
      <c r="K5204" t="s">
        <v>546</v>
      </c>
      <c r="L5204" s="784" t="s">
        <v>575</v>
      </c>
      <c r="M5204" t="s">
        <v>745</v>
      </c>
      <c r="P5204" t="s">
        <v>1887</v>
      </c>
      <c r="R5204" t="s">
        <v>152</v>
      </c>
      <c r="S5204" t="s">
        <v>146</v>
      </c>
      <c r="U5204">
        <v>0</v>
      </c>
      <c r="V5204" t="s">
        <v>544</v>
      </c>
      <c r="W5204" t="s">
        <v>575</v>
      </c>
      <c r="X5204" s="784">
        <v>14611129792.346064</v>
      </c>
    </row>
    <row r="5205" spans="1:24">
      <c r="A5205" t="s">
        <v>358</v>
      </c>
      <c r="B5205" t="s">
        <v>683</v>
      </c>
      <c r="C5205" t="s">
        <v>281</v>
      </c>
      <c r="D5205" t="s">
        <v>126</v>
      </c>
      <c r="E5205" t="s">
        <v>377</v>
      </c>
      <c r="F5205" t="s">
        <v>310</v>
      </c>
      <c r="G5205" t="s">
        <v>341</v>
      </c>
      <c r="H5205" t="s">
        <v>104</v>
      </c>
      <c r="I5205">
        <v>2022</v>
      </c>
      <c r="J5205" t="s">
        <v>379</v>
      </c>
      <c r="K5205" t="s">
        <v>546</v>
      </c>
      <c r="L5205" s="784" t="s">
        <v>575</v>
      </c>
      <c r="M5205" t="s">
        <v>745</v>
      </c>
      <c r="P5205" t="s">
        <v>1887</v>
      </c>
      <c r="R5205" t="s">
        <v>150</v>
      </c>
      <c r="S5205" t="s">
        <v>145</v>
      </c>
      <c r="U5205">
        <v>0</v>
      </c>
      <c r="V5205" t="s">
        <v>541</v>
      </c>
      <c r="W5205" t="s">
        <v>558</v>
      </c>
      <c r="X5205" s="784">
        <v>72046877.233008593</v>
      </c>
    </row>
    <row r="5206" spans="1:24">
      <c r="A5206" t="s">
        <v>358</v>
      </c>
      <c r="B5206" t="s">
        <v>684</v>
      </c>
      <c r="C5206" t="s">
        <v>282</v>
      </c>
      <c r="D5206" t="s">
        <v>129</v>
      </c>
      <c r="E5206" t="s">
        <v>377</v>
      </c>
      <c r="F5206" t="s">
        <v>310</v>
      </c>
      <c r="G5206" t="s">
        <v>341</v>
      </c>
      <c r="H5206" t="s">
        <v>104</v>
      </c>
      <c r="I5206">
        <v>2022</v>
      </c>
      <c r="J5206" t="s">
        <v>379</v>
      </c>
      <c r="K5206" t="s">
        <v>546</v>
      </c>
      <c r="L5206" s="784" t="s">
        <v>575</v>
      </c>
      <c r="M5206" t="s">
        <v>745</v>
      </c>
      <c r="P5206" t="s">
        <v>1887</v>
      </c>
      <c r="R5206" t="s">
        <v>148</v>
      </c>
      <c r="S5206" t="s">
        <v>145</v>
      </c>
      <c r="U5206">
        <v>0</v>
      </c>
      <c r="V5206" t="s">
        <v>544</v>
      </c>
      <c r="W5206" t="s">
        <v>542</v>
      </c>
      <c r="X5206" s="784">
        <v>56248139.267255567</v>
      </c>
    </row>
    <row r="5207" spans="1:24">
      <c r="A5207" t="s">
        <v>358</v>
      </c>
      <c r="B5207" t="s">
        <v>685</v>
      </c>
      <c r="C5207" t="s">
        <v>283</v>
      </c>
      <c r="D5207" t="s">
        <v>126</v>
      </c>
      <c r="E5207" t="s">
        <v>377</v>
      </c>
      <c r="F5207" t="s">
        <v>310</v>
      </c>
      <c r="G5207" t="s">
        <v>341</v>
      </c>
      <c r="H5207" t="s">
        <v>104</v>
      </c>
      <c r="I5207">
        <v>2022</v>
      </c>
      <c r="J5207" t="s">
        <v>379</v>
      </c>
      <c r="K5207" t="s">
        <v>546</v>
      </c>
      <c r="L5207" s="784">
        <v>230000</v>
      </c>
      <c r="M5207" t="s">
        <v>745</v>
      </c>
      <c r="P5207" t="s">
        <v>1887</v>
      </c>
      <c r="R5207" t="s">
        <v>152</v>
      </c>
      <c r="S5207" t="s">
        <v>145</v>
      </c>
      <c r="U5207">
        <v>0</v>
      </c>
      <c r="V5207" t="s">
        <v>541</v>
      </c>
      <c r="W5207" t="s">
        <v>542</v>
      </c>
      <c r="X5207" s="784">
        <v>15464031.712942109</v>
      </c>
    </row>
    <row r="5208" spans="1:24">
      <c r="A5208" t="s">
        <v>358</v>
      </c>
      <c r="B5208" t="s">
        <v>686</v>
      </c>
      <c r="C5208" t="s">
        <v>284</v>
      </c>
      <c r="D5208" t="s">
        <v>130</v>
      </c>
      <c r="E5208" t="s">
        <v>377</v>
      </c>
      <c r="F5208" t="s">
        <v>310</v>
      </c>
      <c r="G5208" t="s">
        <v>341</v>
      </c>
      <c r="H5208" t="s">
        <v>104</v>
      </c>
      <c r="I5208">
        <v>2022</v>
      </c>
      <c r="J5208" t="s">
        <v>379</v>
      </c>
      <c r="K5208" t="s">
        <v>546</v>
      </c>
      <c r="L5208" s="784" t="s">
        <v>575</v>
      </c>
      <c r="M5208" t="s">
        <v>745</v>
      </c>
      <c r="P5208" t="s">
        <v>1887</v>
      </c>
      <c r="R5208" t="s">
        <v>550</v>
      </c>
      <c r="S5208" t="s">
        <v>146</v>
      </c>
      <c r="U5208">
        <v>0</v>
      </c>
      <c r="V5208" t="s">
        <v>541</v>
      </c>
      <c r="W5208" t="s">
        <v>546</v>
      </c>
      <c r="X5208" s="784">
        <v>769564399.33249676</v>
      </c>
    </row>
    <row r="5209" spans="1:24">
      <c r="A5209" t="s">
        <v>358</v>
      </c>
      <c r="B5209" t="s">
        <v>687</v>
      </c>
      <c r="C5209" t="s">
        <v>285</v>
      </c>
      <c r="D5209" t="s">
        <v>131</v>
      </c>
      <c r="E5209" t="s">
        <v>377</v>
      </c>
      <c r="F5209" t="s">
        <v>310</v>
      </c>
      <c r="G5209" t="s">
        <v>341</v>
      </c>
      <c r="H5209" t="s">
        <v>104</v>
      </c>
      <c r="I5209">
        <v>2022</v>
      </c>
      <c r="J5209" t="s">
        <v>379</v>
      </c>
      <c r="K5209" t="s">
        <v>546</v>
      </c>
      <c r="L5209" s="784">
        <v>499854</v>
      </c>
      <c r="M5209" t="s">
        <v>745</v>
      </c>
      <c r="P5209" t="s">
        <v>1887</v>
      </c>
      <c r="R5209" t="s">
        <v>150</v>
      </c>
      <c r="S5209" t="s">
        <v>145</v>
      </c>
      <c r="U5209">
        <v>0</v>
      </c>
      <c r="V5209" t="s">
        <v>544</v>
      </c>
      <c r="W5209" t="s">
        <v>546</v>
      </c>
      <c r="X5209" s="784">
        <v>1668954539.7630196</v>
      </c>
    </row>
    <row r="5210" spans="1:24">
      <c r="A5210" t="s">
        <v>358</v>
      </c>
      <c r="B5210" t="s">
        <v>688</v>
      </c>
      <c r="C5210" t="s">
        <v>286</v>
      </c>
      <c r="D5210" t="s">
        <v>127</v>
      </c>
      <c r="E5210" t="s">
        <v>377</v>
      </c>
      <c r="F5210" t="s">
        <v>310</v>
      </c>
      <c r="G5210" t="s">
        <v>341</v>
      </c>
      <c r="H5210" t="s">
        <v>104</v>
      </c>
      <c r="I5210">
        <v>2022</v>
      </c>
      <c r="J5210" t="s">
        <v>379</v>
      </c>
      <c r="K5210" t="s">
        <v>546</v>
      </c>
      <c r="L5210" s="784" t="s">
        <v>575</v>
      </c>
      <c r="M5210" t="s">
        <v>745</v>
      </c>
      <c r="P5210" t="s">
        <v>1887</v>
      </c>
      <c r="R5210" t="s">
        <v>152</v>
      </c>
      <c r="S5210" t="s">
        <v>146</v>
      </c>
      <c r="U5210">
        <v>0</v>
      </c>
      <c r="V5210" t="s">
        <v>544</v>
      </c>
      <c r="W5210" t="s">
        <v>575</v>
      </c>
      <c r="X5210" s="784">
        <v>24840920016.18832</v>
      </c>
    </row>
    <row r="5211" spans="1:24">
      <c r="A5211" t="s">
        <v>358</v>
      </c>
      <c r="B5211" t="s">
        <v>689</v>
      </c>
      <c r="C5211" t="s">
        <v>287</v>
      </c>
      <c r="D5211" t="s">
        <v>127</v>
      </c>
      <c r="E5211" t="s">
        <v>377</v>
      </c>
      <c r="F5211" t="s">
        <v>310</v>
      </c>
      <c r="G5211" t="s">
        <v>341</v>
      </c>
      <c r="H5211" t="s">
        <v>104</v>
      </c>
      <c r="I5211">
        <v>2022</v>
      </c>
      <c r="J5211" t="s">
        <v>379</v>
      </c>
      <c r="K5211" t="s">
        <v>546</v>
      </c>
      <c r="L5211" s="784" t="s">
        <v>575</v>
      </c>
      <c r="M5211" t="s">
        <v>745</v>
      </c>
      <c r="P5211" t="s">
        <v>1887</v>
      </c>
      <c r="R5211" t="s">
        <v>152</v>
      </c>
      <c r="S5211" t="s">
        <v>146</v>
      </c>
      <c r="U5211">
        <v>0</v>
      </c>
      <c r="V5211" t="s">
        <v>544</v>
      </c>
      <c r="W5211" t="s">
        <v>546</v>
      </c>
      <c r="X5211" s="784">
        <v>487888462.83720118</v>
      </c>
    </row>
    <row r="5212" spans="1:24">
      <c r="A5212" t="s">
        <v>358</v>
      </c>
      <c r="B5212" t="s">
        <v>690</v>
      </c>
      <c r="C5212" t="s">
        <v>288</v>
      </c>
      <c r="D5212" t="s">
        <v>126</v>
      </c>
      <c r="E5212" t="s">
        <v>377</v>
      </c>
      <c r="F5212" t="s">
        <v>310</v>
      </c>
      <c r="G5212" t="s">
        <v>341</v>
      </c>
      <c r="H5212" t="s">
        <v>104</v>
      </c>
      <c r="I5212">
        <v>2022</v>
      </c>
      <c r="J5212" t="s">
        <v>379</v>
      </c>
      <c r="K5212" t="s">
        <v>546</v>
      </c>
      <c r="L5212" s="784">
        <v>230000</v>
      </c>
      <c r="M5212" t="s">
        <v>745</v>
      </c>
      <c r="P5212" t="s">
        <v>1887</v>
      </c>
      <c r="R5212" t="s">
        <v>152</v>
      </c>
      <c r="S5212" t="s">
        <v>145</v>
      </c>
      <c r="U5212">
        <v>0</v>
      </c>
      <c r="V5212" t="s">
        <v>541</v>
      </c>
      <c r="W5212" t="s">
        <v>548</v>
      </c>
      <c r="X5212" s="784">
        <v>6365061.1736073596</v>
      </c>
    </row>
    <row r="5213" spans="1:24">
      <c r="A5213" t="s">
        <v>358</v>
      </c>
      <c r="B5213" t="s">
        <v>691</v>
      </c>
      <c r="C5213" t="s">
        <v>289</v>
      </c>
      <c r="D5213" t="s">
        <v>128</v>
      </c>
      <c r="E5213" t="s">
        <v>377</v>
      </c>
      <c r="F5213" t="s">
        <v>310</v>
      </c>
      <c r="G5213" t="s">
        <v>341</v>
      </c>
      <c r="H5213" t="s">
        <v>104</v>
      </c>
      <c r="I5213">
        <v>2022</v>
      </c>
      <c r="J5213" t="s">
        <v>379</v>
      </c>
      <c r="K5213" t="s">
        <v>546</v>
      </c>
      <c r="L5213" s="784" t="s">
        <v>575</v>
      </c>
      <c r="M5213" t="s">
        <v>745</v>
      </c>
      <c r="P5213" t="s">
        <v>1887</v>
      </c>
      <c r="R5213" t="s">
        <v>148</v>
      </c>
      <c r="S5213" t="s">
        <v>145</v>
      </c>
      <c r="U5213">
        <v>2</v>
      </c>
      <c r="V5213" t="s">
        <v>544</v>
      </c>
      <c r="W5213" t="s">
        <v>558</v>
      </c>
      <c r="X5213" s="784">
        <v>291799092.90196139</v>
      </c>
    </row>
    <row r="5214" spans="1:24">
      <c r="A5214" t="s">
        <v>358</v>
      </c>
      <c r="B5214" t="s">
        <v>692</v>
      </c>
      <c r="C5214" t="s">
        <v>290</v>
      </c>
      <c r="D5214" t="s">
        <v>127</v>
      </c>
      <c r="E5214" t="s">
        <v>377</v>
      </c>
      <c r="F5214" t="s">
        <v>310</v>
      </c>
      <c r="G5214" t="s">
        <v>341</v>
      </c>
      <c r="H5214" t="s">
        <v>104</v>
      </c>
      <c r="I5214">
        <v>2022</v>
      </c>
      <c r="J5214" t="s">
        <v>379</v>
      </c>
      <c r="K5214" t="s">
        <v>546</v>
      </c>
      <c r="L5214" s="784">
        <v>1979999.5220290006</v>
      </c>
      <c r="M5214" t="s">
        <v>745</v>
      </c>
      <c r="P5214" t="s">
        <v>1887</v>
      </c>
      <c r="R5214" t="s">
        <v>150</v>
      </c>
      <c r="S5214" t="s">
        <v>145</v>
      </c>
      <c r="U5214">
        <v>0</v>
      </c>
      <c r="V5214" t="s">
        <v>544</v>
      </c>
      <c r="W5214" t="s">
        <v>546</v>
      </c>
      <c r="X5214" s="784">
        <v>4844815340.2135534</v>
      </c>
    </row>
    <row r="5215" spans="1:24">
      <c r="A5215" t="s">
        <v>358</v>
      </c>
      <c r="B5215" t="s">
        <v>693</v>
      </c>
      <c r="C5215" t="s">
        <v>291</v>
      </c>
      <c r="D5215" t="s">
        <v>130</v>
      </c>
      <c r="E5215" t="s">
        <v>377</v>
      </c>
      <c r="F5215" t="s">
        <v>310</v>
      </c>
      <c r="G5215" t="s">
        <v>341</v>
      </c>
      <c r="H5215" t="s">
        <v>104</v>
      </c>
      <c r="I5215">
        <v>2022</v>
      </c>
      <c r="J5215" t="s">
        <v>379</v>
      </c>
      <c r="K5215" t="s">
        <v>546</v>
      </c>
      <c r="L5215" s="784" t="s">
        <v>575</v>
      </c>
      <c r="M5215" t="s">
        <v>745</v>
      </c>
      <c r="P5215" t="s">
        <v>1887</v>
      </c>
      <c r="R5215" t="s">
        <v>550</v>
      </c>
      <c r="S5215" t="s">
        <v>146</v>
      </c>
      <c r="U5215">
        <v>0</v>
      </c>
      <c r="V5215" t="s">
        <v>544</v>
      </c>
      <c r="W5215" t="s">
        <v>575</v>
      </c>
      <c r="X5215" s="784">
        <v>4001891446.6871672</v>
      </c>
    </row>
    <row r="5216" spans="1:24">
      <c r="A5216" t="s">
        <v>358</v>
      </c>
      <c r="B5216" t="s">
        <v>694</v>
      </c>
      <c r="C5216" t="s">
        <v>292</v>
      </c>
      <c r="D5216" t="s">
        <v>127</v>
      </c>
      <c r="E5216" t="s">
        <v>377</v>
      </c>
      <c r="F5216" t="s">
        <v>310</v>
      </c>
      <c r="G5216" t="s">
        <v>341</v>
      </c>
      <c r="H5216" t="s">
        <v>104</v>
      </c>
      <c r="I5216">
        <v>2022</v>
      </c>
      <c r="J5216" t="s">
        <v>379</v>
      </c>
      <c r="K5216" t="s">
        <v>546</v>
      </c>
      <c r="L5216" s="784" t="s">
        <v>575</v>
      </c>
      <c r="M5216" t="s">
        <v>745</v>
      </c>
      <c r="P5216" t="s">
        <v>1887</v>
      </c>
      <c r="R5216" t="s">
        <v>150</v>
      </c>
      <c r="S5216" t="s">
        <v>145</v>
      </c>
      <c r="U5216">
        <v>0</v>
      </c>
      <c r="V5216" t="s">
        <v>544</v>
      </c>
      <c r="W5216" t="s">
        <v>558</v>
      </c>
      <c r="X5216" s="784">
        <v>1019800630.5853213</v>
      </c>
    </row>
    <row r="5217" spans="1:24">
      <c r="A5217" t="s">
        <v>358</v>
      </c>
      <c r="B5217" t="s">
        <v>695</v>
      </c>
      <c r="C5217" t="s">
        <v>293</v>
      </c>
      <c r="D5217" t="s">
        <v>126</v>
      </c>
      <c r="E5217" t="s">
        <v>377</v>
      </c>
      <c r="F5217" t="s">
        <v>310</v>
      </c>
      <c r="G5217" t="s">
        <v>341</v>
      </c>
      <c r="H5217" t="s">
        <v>104</v>
      </c>
      <c r="I5217">
        <v>2022</v>
      </c>
      <c r="J5217" t="s">
        <v>379</v>
      </c>
      <c r="K5217" t="s">
        <v>546</v>
      </c>
      <c r="L5217" s="784">
        <v>230000.22990000001</v>
      </c>
      <c r="M5217" t="s">
        <v>745</v>
      </c>
      <c r="P5217" t="s">
        <v>1887</v>
      </c>
      <c r="R5217" t="s">
        <v>150</v>
      </c>
      <c r="S5217" t="s">
        <v>145</v>
      </c>
      <c r="U5217">
        <v>0</v>
      </c>
      <c r="V5217" t="s">
        <v>541</v>
      </c>
      <c r="W5217" t="s">
        <v>562</v>
      </c>
      <c r="X5217" s="784">
        <v>19578671.310841195</v>
      </c>
    </row>
    <row r="5218" spans="1:24">
      <c r="A5218" t="s">
        <v>358</v>
      </c>
      <c r="B5218" t="s">
        <v>696</v>
      </c>
      <c r="C5218" t="s">
        <v>294</v>
      </c>
      <c r="D5218" t="s">
        <v>130</v>
      </c>
      <c r="E5218" t="s">
        <v>377</v>
      </c>
      <c r="F5218" t="s">
        <v>310</v>
      </c>
      <c r="G5218" t="s">
        <v>341</v>
      </c>
      <c r="H5218" t="s">
        <v>104</v>
      </c>
      <c r="I5218">
        <v>2022</v>
      </c>
      <c r="J5218" t="s">
        <v>379</v>
      </c>
      <c r="K5218" t="s">
        <v>546</v>
      </c>
      <c r="L5218" s="784" t="s">
        <v>575</v>
      </c>
      <c r="M5218" t="s">
        <v>745</v>
      </c>
      <c r="P5218" t="s">
        <v>1887</v>
      </c>
      <c r="R5218" t="s">
        <v>322</v>
      </c>
      <c r="S5218" t="s">
        <v>146</v>
      </c>
      <c r="U5218">
        <v>0</v>
      </c>
      <c r="V5218" t="s">
        <v>544</v>
      </c>
      <c r="W5218" t="s">
        <v>546</v>
      </c>
      <c r="X5218" s="784">
        <v>3551452001.0684834</v>
      </c>
    </row>
    <row r="5219" spans="1:24">
      <c r="A5219" t="s">
        <v>358</v>
      </c>
      <c r="B5219" t="s">
        <v>697</v>
      </c>
      <c r="C5219" t="s">
        <v>295</v>
      </c>
      <c r="D5219" t="s">
        <v>126</v>
      </c>
      <c r="E5219" t="s">
        <v>377</v>
      </c>
      <c r="F5219" t="s">
        <v>310</v>
      </c>
      <c r="G5219" t="s">
        <v>341</v>
      </c>
      <c r="H5219" t="s">
        <v>104</v>
      </c>
      <c r="I5219">
        <v>2022</v>
      </c>
      <c r="J5219" t="s">
        <v>379</v>
      </c>
      <c r="K5219" t="s">
        <v>546</v>
      </c>
      <c r="L5219" s="784" t="s">
        <v>575</v>
      </c>
      <c r="M5219" t="s">
        <v>745</v>
      </c>
      <c r="P5219" t="s">
        <v>1887</v>
      </c>
      <c r="R5219" t="s">
        <v>150</v>
      </c>
      <c r="S5219" t="s">
        <v>145</v>
      </c>
      <c r="U5219">
        <v>0</v>
      </c>
      <c r="V5219" t="s">
        <v>544</v>
      </c>
      <c r="W5219" t="s">
        <v>546</v>
      </c>
      <c r="X5219" s="784">
        <v>6603048821.7575006</v>
      </c>
    </row>
    <row r="5220" spans="1:24">
      <c r="A5220" t="s">
        <v>358</v>
      </c>
      <c r="B5220" t="s">
        <v>698</v>
      </c>
      <c r="C5220" t="s">
        <v>296</v>
      </c>
      <c r="D5220" t="s">
        <v>131</v>
      </c>
      <c r="E5220" t="s">
        <v>377</v>
      </c>
      <c r="F5220" t="s">
        <v>310</v>
      </c>
      <c r="G5220" t="s">
        <v>341</v>
      </c>
      <c r="H5220" t="s">
        <v>104</v>
      </c>
      <c r="I5220">
        <v>2022</v>
      </c>
      <c r="J5220" t="s">
        <v>379</v>
      </c>
      <c r="K5220" t="s">
        <v>546</v>
      </c>
      <c r="L5220" s="784" t="s">
        <v>575</v>
      </c>
      <c r="M5220" t="s">
        <v>745</v>
      </c>
      <c r="P5220" t="s">
        <v>1887</v>
      </c>
      <c r="R5220" t="s">
        <v>148</v>
      </c>
      <c r="S5220" t="s">
        <v>145</v>
      </c>
      <c r="U5220">
        <v>1</v>
      </c>
      <c r="V5220" t="s">
        <v>544</v>
      </c>
      <c r="W5220" t="s">
        <v>548</v>
      </c>
      <c r="X5220" s="784" t="s">
        <v>575</v>
      </c>
    </row>
    <row r="5221" spans="1:24">
      <c r="A5221" t="s">
        <v>358</v>
      </c>
      <c r="B5221" t="s">
        <v>699</v>
      </c>
      <c r="C5221" t="s">
        <v>297</v>
      </c>
      <c r="D5221" t="s">
        <v>128</v>
      </c>
      <c r="E5221" t="s">
        <v>377</v>
      </c>
      <c r="F5221" t="s">
        <v>310</v>
      </c>
      <c r="G5221" t="s">
        <v>341</v>
      </c>
      <c r="H5221" t="s">
        <v>104</v>
      </c>
      <c r="I5221">
        <v>2022</v>
      </c>
      <c r="J5221" t="s">
        <v>379</v>
      </c>
      <c r="K5221" t="s">
        <v>546</v>
      </c>
      <c r="L5221" s="784" t="s">
        <v>575</v>
      </c>
      <c r="M5221" t="s">
        <v>745</v>
      </c>
      <c r="P5221" t="s">
        <v>1887</v>
      </c>
      <c r="R5221" t="s">
        <v>150</v>
      </c>
      <c r="S5221" t="s">
        <v>145</v>
      </c>
      <c r="U5221">
        <v>0</v>
      </c>
      <c r="V5221" t="s">
        <v>544</v>
      </c>
      <c r="W5221" t="s">
        <v>542</v>
      </c>
      <c r="X5221" s="784">
        <v>515352723.9821828</v>
      </c>
    </row>
    <row r="5222" spans="1:24">
      <c r="A5222" t="s">
        <v>358</v>
      </c>
      <c r="B5222" t="s">
        <v>700</v>
      </c>
      <c r="C5222" t="s">
        <v>298</v>
      </c>
      <c r="D5222" t="s">
        <v>128</v>
      </c>
      <c r="E5222" t="s">
        <v>377</v>
      </c>
      <c r="F5222" t="s">
        <v>310</v>
      </c>
      <c r="G5222" t="s">
        <v>341</v>
      </c>
      <c r="H5222" t="s">
        <v>104</v>
      </c>
      <c r="I5222">
        <v>2022</v>
      </c>
      <c r="J5222" t="s">
        <v>379</v>
      </c>
      <c r="K5222" t="s">
        <v>546</v>
      </c>
      <c r="L5222" s="784" t="s">
        <v>575</v>
      </c>
      <c r="M5222" t="s">
        <v>745</v>
      </c>
      <c r="P5222" t="s">
        <v>1887</v>
      </c>
      <c r="R5222" t="s">
        <v>150</v>
      </c>
      <c r="S5222" t="s">
        <v>145</v>
      </c>
      <c r="U5222">
        <v>0</v>
      </c>
      <c r="V5222" t="s">
        <v>544</v>
      </c>
      <c r="W5222" t="s">
        <v>546</v>
      </c>
      <c r="X5222" s="784">
        <v>566711742.22428358</v>
      </c>
    </row>
    <row r="5223" spans="1:24">
      <c r="A5223" t="s">
        <v>358</v>
      </c>
      <c r="B5223" t="s">
        <v>540</v>
      </c>
      <c r="C5223" t="s">
        <v>160</v>
      </c>
      <c r="D5223" t="s">
        <v>132</v>
      </c>
      <c r="E5223" t="s">
        <v>377</v>
      </c>
      <c r="F5223" t="s">
        <v>310</v>
      </c>
      <c r="G5223" t="s">
        <v>344</v>
      </c>
      <c r="H5223" t="s">
        <v>104</v>
      </c>
      <c r="I5223">
        <v>2022</v>
      </c>
      <c r="J5223" t="s">
        <v>379</v>
      </c>
      <c r="K5223" t="s">
        <v>546</v>
      </c>
      <c r="L5223" s="784">
        <v>0</v>
      </c>
      <c r="M5223" t="s">
        <v>745</v>
      </c>
      <c r="N5223" t="s">
        <v>575</v>
      </c>
      <c r="P5223" t="s">
        <v>1887</v>
      </c>
      <c r="R5223" t="s">
        <v>148</v>
      </c>
      <c r="S5223" t="s">
        <v>145</v>
      </c>
      <c r="U5223">
        <v>1</v>
      </c>
      <c r="V5223" t="s">
        <v>544</v>
      </c>
      <c r="W5223" t="s">
        <v>542</v>
      </c>
      <c r="X5223" s="784">
        <v>95829480.719269618</v>
      </c>
    </row>
    <row r="5224" spans="1:24">
      <c r="A5224" t="s">
        <v>358</v>
      </c>
      <c r="B5224" t="s">
        <v>543</v>
      </c>
      <c r="C5224" t="s">
        <v>161</v>
      </c>
      <c r="D5224" t="s">
        <v>127</v>
      </c>
      <c r="E5224" t="s">
        <v>377</v>
      </c>
      <c r="F5224" t="s">
        <v>310</v>
      </c>
      <c r="G5224" t="s">
        <v>344</v>
      </c>
      <c r="H5224" t="s">
        <v>104</v>
      </c>
      <c r="I5224">
        <v>2022</v>
      </c>
      <c r="J5224" t="s">
        <v>379</v>
      </c>
      <c r="K5224" t="s">
        <v>546</v>
      </c>
      <c r="L5224" s="784">
        <v>0</v>
      </c>
      <c r="M5224" t="s">
        <v>745</v>
      </c>
      <c r="N5224" t="s">
        <v>575</v>
      </c>
      <c r="P5224" t="s">
        <v>1887</v>
      </c>
      <c r="R5224" t="s">
        <v>152</v>
      </c>
      <c r="S5224" t="s">
        <v>146</v>
      </c>
      <c r="U5224">
        <v>0</v>
      </c>
      <c r="V5224" t="s">
        <v>544</v>
      </c>
      <c r="W5224" t="s">
        <v>575</v>
      </c>
      <c r="X5224" s="784">
        <v>427904035.52443534</v>
      </c>
    </row>
    <row r="5225" spans="1:24">
      <c r="A5225" t="s">
        <v>358</v>
      </c>
      <c r="B5225" t="s">
        <v>545</v>
      </c>
      <c r="C5225" t="s">
        <v>143</v>
      </c>
      <c r="D5225" t="s">
        <v>131</v>
      </c>
      <c r="E5225" t="s">
        <v>377</v>
      </c>
      <c r="F5225" t="s">
        <v>310</v>
      </c>
      <c r="G5225" t="s">
        <v>344</v>
      </c>
      <c r="H5225" t="s">
        <v>104</v>
      </c>
      <c r="I5225">
        <v>2022</v>
      </c>
      <c r="J5225" t="s">
        <v>379</v>
      </c>
      <c r="K5225" t="s">
        <v>546</v>
      </c>
      <c r="L5225" s="784">
        <v>0</v>
      </c>
      <c r="M5225" t="s">
        <v>745</v>
      </c>
      <c r="N5225" t="s">
        <v>575</v>
      </c>
      <c r="P5225" t="s">
        <v>1887</v>
      </c>
      <c r="R5225" t="s">
        <v>150</v>
      </c>
      <c r="S5225" t="s">
        <v>145</v>
      </c>
      <c r="U5225">
        <v>0</v>
      </c>
      <c r="V5225" t="s">
        <v>544</v>
      </c>
      <c r="W5225" t="s">
        <v>546</v>
      </c>
      <c r="X5225" s="784">
        <v>7113361022.7267885</v>
      </c>
    </row>
    <row r="5226" spans="1:24">
      <c r="A5226" t="s">
        <v>358</v>
      </c>
      <c r="B5226" t="s">
        <v>547</v>
      </c>
      <c r="C5226" t="s">
        <v>162</v>
      </c>
      <c r="D5226" t="s">
        <v>128</v>
      </c>
      <c r="E5226" t="s">
        <v>377</v>
      </c>
      <c r="F5226" t="s">
        <v>310</v>
      </c>
      <c r="G5226" t="s">
        <v>344</v>
      </c>
      <c r="H5226" t="s">
        <v>104</v>
      </c>
      <c r="I5226">
        <v>2022</v>
      </c>
      <c r="J5226" t="s">
        <v>379</v>
      </c>
      <c r="K5226" t="s">
        <v>546</v>
      </c>
      <c r="L5226" s="784">
        <v>0</v>
      </c>
      <c r="M5226" t="s">
        <v>745</v>
      </c>
      <c r="N5226" t="s">
        <v>575</v>
      </c>
      <c r="P5226" t="s">
        <v>1887</v>
      </c>
      <c r="R5226" t="s">
        <v>150</v>
      </c>
      <c r="S5226" t="s">
        <v>145</v>
      </c>
      <c r="U5226">
        <v>0</v>
      </c>
      <c r="V5226" t="s">
        <v>544</v>
      </c>
      <c r="W5226" t="s">
        <v>548</v>
      </c>
      <c r="X5226" s="784">
        <v>1131865946.5875781</v>
      </c>
    </row>
    <row r="5227" spans="1:24">
      <c r="A5227" t="s">
        <v>358</v>
      </c>
      <c r="B5227" t="s">
        <v>549</v>
      </c>
      <c r="C5227" t="s">
        <v>163</v>
      </c>
      <c r="D5227" t="s">
        <v>130</v>
      </c>
      <c r="E5227" t="s">
        <v>377</v>
      </c>
      <c r="F5227" t="s">
        <v>310</v>
      </c>
      <c r="G5227" t="s">
        <v>344</v>
      </c>
      <c r="H5227" t="s">
        <v>104</v>
      </c>
      <c r="I5227">
        <v>2022</v>
      </c>
      <c r="J5227" t="s">
        <v>379</v>
      </c>
      <c r="K5227" t="s">
        <v>546</v>
      </c>
      <c r="L5227" s="784">
        <v>0</v>
      </c>
      <c r="M5227" t="s">
        <v>745</v>
      </c>
      <c r="N5227" t="s">
        <v>575</v>
      </c>
      <c r="P5227" t="s">
        <v>1887</v>
      </c>
      <c r="R5227" t="s">
        <v>550</v>
      </c>
      <c r="S5227" t="s">
        <v>146</v>
      </c>
      <c r="U5227">
        <v>0</v>
      </c>
      <c r="V5227" t="s">
        <v>541</v>
      </c>
      <c r="W5227" t="s">
        <v>575</v>
      </c>
      <c r="X5227" s="784">
        <v>46777779.823447868</v>
      </c>
    </row>
    <row r="5228" spans="1:24">
      <c r="A5228" t="s">
        <v>358</v>
      </c>
      <c r="B5228" t="s">
        <v>551</v>
      </c>
      <c r="C5228" t="s">
        <v>164</v>
      </c>
      <c r="D5228" t="s">
        <v>130</v>
      </c>
      <c r="E5228" t="s">
        <v>377</v>
      </c>
      <c r="F5228" t="s">
        <v>310</v>
      </c>
      <c r="G5228" t="s">
        <v>344</v>
      </c>
      <c r="H5228" t="s">
        <v>104</v>
      </c>
      <c r="I5228">
        <v>2022</v>
      </c>
      <c r="J5228" t="s">
        <v>379</v>
      </c>
      <c r="K5228" t="s">
        <v>546</v>
      </c>
      <c r="L5228" s="784">
        <v>0</v>
      </c>
      <c r="M5228" t="s">
        <v>745</v>
      </c>
      <c r="N5228" t="s">
        <v>575</v>
      </c>
      <c r="P5228" t="s">
        <v>1887</v>
      </c>
      <c r="R5228" t="s">
        <v>152</v>
      </c>
      <c r="S5228" t="s">
        <v>146</v>
      </c>
      <c r="U5228">
        <v>0</v>
      </c>
      <c r="V5228" t="s">
        <v>544</v>
      </c>
      <c r="W5228" t="s">
        <v>575</v>
      </c>
      <c r="X5228" s="784">
        <v>30725305777.596794</v>
      </c>
    </row>
    <row r="5229" spans="1:24">
      <c r="A5229" t="s">
        <v>358</v>
      </c>
      <c r="B5229" t="s">
        <v>553</v>
      </c>
      <c r="C5229" t="s">
        <v>165</v>
      </c>
      <c r="D5229" t="s">
        <v>127</v>
      </c>
      <c r="E5229" t="s">
        <v>377</v>
      </c>
      <c r="F5229" t="s">
        <v>310</v>
      </c>
      <c r="G5229" t="s">
        <v>344</v>
      </c>
      <c r="H5229" t="s">
        <v>104</v>
      </c>
      <c r="I5229">
        <v>2022</v>
      </c>
      <c r="J5229" t="s">
        <v>379</v>
      </c>
      <c r="K5229" t="s">
        <v>546</v>
      </c>
      <c r="L5229" s="784">
        <v>0</v>
      </c>
      <c r="M5229" t="s">
        <v>745</v>
      </c>
      <c r="N5229" t="s">
        <v>575</v>
      </c>
      <c r="P5229" t="s">
        <v>1887</v>
      </c>
      <c r="R5229" t="s">
        <v>152</v>
      </c>
      <c r="S5229" t="s">
        <v>146</v>
      </c>
      <c r="U5229">
        <v>0</v>
      </c>
      <c r="V5229" t="s">
        <v>544</v>
      </c>
      <c r="W5229" t="s">
        <v>575</v>
      </c>
      <c r="X5229" s="784">
        <v>153815827.8380394</v>
      </c>
    </row>
    <row r="5230" spans="1:24">
      <c r="A5230" t="s">
        <v>358</v>
      </c>
      <c r="B5230" t="s">
        <v>554</v>
      </c>
      <c r="C5230" t="s">
        <v>166</v>
      </c>
      <c r="D5230" t="s">
        <v>127</v>
      </c>
      <c r="E5230" t="s">
        <v>377</v>
      </c>
      <c r="F5230" t="s">
        <v>310</v>
      </c>
      <c r="G5230" t="s">
        <v>344</v>
      </c>
      <c r="H5230" t="s">
        <v>104</v>
      </c>
      <c r="I5230">
        <v>2022</v>
      </c>
      <c r="J5230" t="s">
        <v>379</v>
      </c>
      <c r="K5230" t="s">
        <v>546</v>
      </c>
      <c r="L5230" s="784">
        <v>0</v>
      </c>
      <c r="M5230" t="s">
        <v>745</v>
      </c>
      <c r="N5230" t="s">
        <v>575</v>
      </c>
      <c r="P5230" t="s">
        <v>1887</v>
      </c>
      <c r="R5230" t="s">
        <v>152</v>
      </c>
      <c r="S5230" t="s">
        <v>146</v>
      </c>
      <c r="U5230">
        <v>0</v>
      </c>
      <c r="V5230" t="s">
        <v>544</v>
      </c>
      <c r="W5230" t="s">
        <v>546</v>
      </c>
      <c r="X5230" s="784">
        <v>437525105.31216973</v>
      </c>
    </row>
    <row r="5231" spans="1:24">
      <c r="A5231" t="s">
        <v>358</v>
      </c>
      <c r="B5231" t="s">
        <v>555</v>
      </c>
      <c r="C5231" t="s">
        <v>556</v>
      </c>
      <c r="D5231" t="s">
        <v>130</v>
      </c>
      <c r="E5231" t="s">
        <v>377</v>
      </c>
      <c r="F5231" t="s">
        <v>310</v>
      </c>
      <c r="G5231" t="s">
        <v>344</v>
      </c>
      <c r="H5231" t="s">
        <v>104</v>
      </c>
      <c r="I5231">
        <v>2022</v>
      </c>
      <c r="J5231" t="s">
        <v>379</v>
      </c>
      <c r="K5231" t="s">
        <v>546</v>
      </c>
      <c r="L5231" s="784">
        <v>0</v>
      </c>
      <c r="M5231" t="s">
        <v>745</v>
      </c>
      <c r="N5231" t="s">
        <v>575</v>
      </c>
      <c r="P5231" t="s">
        <v>1887</v>
      </c>
      <c r="R5231" t="s">
        <v>550</v>
      </c>
      <c r="S5231" t="s">
        <v>146</v>
      </c>
      <c r="U5231">
        <v>0</v>
      </c>
      <c r="V5231" t="s">
        <v>541</v>
      </c>
      <c r="W5231" t="s">
        <v>575</v>
      </c>
      <c r="X5231" s="784">
        <v>149463302.00602186</v>
      </c>
    </row>
    <row r="5232" spans="1:24">
      <c r="A5232" t="s">
        <v>358</v>
      </c>
      <c r="B5232" t="s">
        <v>557</v>
      </c>
      <c r="C5232" t="s">
        <v>167</v>
      </c>
      <c r="D5232" t="s">
        <v>132</v>
      </c>
      <c r="E5232" t="s">
        <v>377</v>
      </c>
      <c r="F5232" t="s">
        <v>310</v>
      </c>
      <c r="G5232" t="s">
        <v>344</v>
      </c>
      <c r="H5232" t="s">
        <v>104</v>
      </c>
      <c r="I5232">
        <v>2022</v>
      </c>
      <c r="J5232" t="s">
        <v>379</v>
      </c>
      <c r="K5232" t="s">
        <v>546</v>
      </c>
      <c r="L5232" s="784">
        <v>0</v>
      </c>
      <c r="M5232" t="s">
        <v>745</v>
      </c>
      <c r="N5232" t="s">
        <v>575</v>
      </c>
      <c r="P5232" t="s">
        <v>1887</v>
      </c>
      <c r="R5232" t="s">
        <v>150</v>
      </c>
      <c r="S5232" t="s">
        <v>145</v>
      </c>
      <c r="U5232">
        <v>0</v>
      </c>
      <c r="V5232" t="s">
        <v>544</v>
      </c>
      <c r="W5232" t="s">
        <v>558</v>
      </c>
      <c r="X5232" s="784">
        <v>1148322593.9600098</v>
      </c>
    </row>
    <row r="5233" spans="1:24">
      <c r="A5233" t="s">
        <v>358</v>
      </c>
      <c r="B5233" t="s">
        <v>559</v>
      </c>
      <c r="C5233" t="s">
        <v>168</v>
      </c>
      <c r="D5233" t="s">
        <v>127</v>
      </c>
      <c r="E5233" t="s">
        <v>377</v>
      </c>
      <c r="F5233" t="s">
        <v>310</v>
      </c>
      <c r="G5233" t="s">
        <v>344</v>
      </c>
      <c r="H5233" t="s">
        <v>104</v>
      </c>
      <c r="I5233">
        <v>2022</v>
      </c>
      <c r="J5233" t="s">
        <v>379</v>
      </c>
      <c r="K5233" t="s">
        <v>546</v>
      </c>
      <c r="L5233" s="784">
        <v>0</v>
      </c>
      <c r="M5233" t="s">
        <v>745</v>
      </c>
      <c r="N5233" t="s">
        <v>575</v>
      </c>
      <c r="P5233" t="s">
        <v>1887</v>
      </c>
      <c r="R5233" t="s">
        <v>152</v>
      </c>
      <c r="S5233" t="s">
        <v>146</v>
      </c>
      <c r="U5233">
        <v>0</v>
      </c>
      <c r="V5233" t="s">
        <v>544</v>
      </c>
      <c r="W5233" t="s">
        <v>575</v>
      </c>
      <c r="X5233" s="784">
        <v>2371102058.1093163</v>
      </c>
    </row>
    <row r="5234" spans="1:24">
      <c r="A5234" t="s">
        <v>358</v>
      </c>
      <c r="B5234" t="s">
        <v>560</v>
      </c>
      <c r="C5234" t="s">
        <v>169</v>
      </c>
      <c r="D5234" t="s">
        <v>130</v>
      </c>
      <c r="E5234" t="s">
        <v>377</v>
      </c>
      <c r="F5234" t="s">
        <v>310</v>
      </c>
      <c r="G5234" t="s">
        <v>344</v>
      </c>
      <c r="H5234" t="s">
        <v>104</v>
      </c>
      <c r="I5234">
        <v>2022</v>
      </c>
      <c r="J5234" t="s">
        <v>379</v>
      </c>
      <c r="K5234" t="s">
        <v>546</v>
      </c>
      <c r="L5234" s="784">
        <v>0</v>
      </c>
      <c r="M5234" t="s">
        <v>745</v>
      </c>
      <c r="N5234" t="s">
        <v>575</v>
      </c>
      <c r="P5234" t="s">
        <v>1887</v>
      </c>
      <c r="R5234" t="s">
        <v>150</v>
      </c>
      <c r="S5234" t="s">
        <v>146</v>
      </c>
      <c r="U5234">
        <v>0</v>
      </c>
      <c r="V5234" t="s">
        <v>541</v>
      </c>
      <c r="W5234" t="s">
        <v>546</v>
      </c>
      <c r="X5234" s="784">
        <v>75151620.005215243</v>
      </c>
    </row>
    <row r="5235" spans="1:24">
      <c r="A5235" t="s">
        <v>358</v>
      </c>
      <c r="B5235" t="s">
        <v>561</v>
      </c>
      <c r="C5235" t="s">
        <v>170</v>
      </c>
      <c r="D5235" t="s">
        <v>129</v>
      </c>
      <c r="E5235" t="s">
        <v>377</v>
      </c>
      <c r="F5235" t="s">
        <v>310</v>
      </c>
      <c r="G5235" t="s">
        <v>344</v>
      </c>
      <c r="H5235" t="s">
        <v>104</v>
      </c>
      <c r="I5235">
        <v>2022</v>
      </c>
      <c r="J5235" t="s">
        <v>379</v>
      </c>
      <c r="K5235" t="s">
        <v>546</v>
      </c>
      <c r="L5235" s="784">
        <v>1880277</v>
      </c>
      <c r="M5235" t="s">
        <v>745</v>
      </c>
      <c r="N5235" t="s">
        <v>575</v>
      </c>
      <c r="P5235" t="s">
        <v>1887</v>
      </c>
      <c r="R5235" t="s">
        <v>150</v>
      </c>
      <c r="S5235" t="s">
        <v>145</v>
      </c>
      <c r="U5235">
        <v>0</v>
      </c>
      <c r="V5235" t="s">
        <v>544</v>
      </c>
      <c r="W5235" t="s">
        <v>562</v>
      </c>
      <c r="X5235" s="784">
        <v>69958487.197715744</v>
      </c>
    </row>
    <row r="5236" spans="1:24">
      <c r="A5236" t="s">
        <v>358</v>
      </c>
      <c r="B5236" t="s">
        <v>563</v>
      </c>
      <c r="C5236" t="s">
        <v>171</v>
      </c>
      <c r="D5236" t="s">
        <v>132</v>
      </c>
      <c r="E5236" t="s">
        <v>377</v>
      </c>
      <c r="F5236" t="s">
        <v>310</v>
      </c>
      <c r="G5236" t="s">
        <v>344</v>
      </c>
      <c r="H5236" t="s">
        <v>104</v>
      </c>
      <c r="I5236">
        <v>2022</v>
      </c>
      <c r="J5236" t="s">
        <v>379</v>
      </c>
      <c r="K5236" t="s">
        <v>546</v>
      </c>
      <c r="L5236" s="784">
        <v>0</v>
      </c>
      <c r="M5236" t="s">
        <v>745</v>
      </c>
      <c r="N5236" t="s">
        <v>575</v>
      </c>
      <c r="P5236" t="s">
        <v>1887</v>
      </c>
      <c r="R5236" t="s">
        <v>150</v>
      </c>
      <c r="S5236" t="s">
        <v>145</v>
      </c>
      <c r="U5236">
        <v>0</v>
      </c>
      <c r="V5236" t="s">
        <v>544</v>
      </c>
      <c r="W5236" t="s">
        <v>548</v>
      </c>
      <c r="X5236" s="784">
        <v>61654608.560629159</v>
      </c>
    </row>
    <row r="5237" spans="1:24">
      <c r="A5237" t="s">
        <v>358</v>
      </c>
      <c r="B5237" t="s">
        <v>564</v>
      </c>
      <c r="C5237" t="s">
        <v>172</v>
      </c>
      <c r="D5237" t="s">
        <v>130</v>
      </c>
      <c r="E5237" t="s">
        <v>377</v>
      </c>
      <c r="F5237" t="s">
        <v>310</v>
      </c>
      <c r="G5237" t="s">
        <v>344</v>
      </c>
      <c r="H5237" t="s">
        <v>104</v>
      </c>
      <c r="I5237">
        <v>2022</v>
      </c>
      <c r="J5237" t="s">
        <v>379</v>
      </c>
      <c r="K5237" t="s">
        <v>546</v>
      </c>
      <c r="L5237" s="784">
        <v>0</v>
      </c>
      <c r="M5237" t="s">
        <v>745</v>
      </c>
      <c r="N5237" t="s">
        <v>575</v>
      </c>
      <c r="P5237" t="s">
        <v>1887</v>
      </c>
      <c r="R5237" t="s">
        <v>150</v>
      </c>
      <c r="S5237" t="s">
        <v>145</v>
      </c>
      <c r="U5237">
        <v>0</v>
      </c>
      <c r="V5237" t="s">
        <v>544</v>
      </c>
      <c r="W5237" t="s">
        <v>546</v>
      </c>
      <c r="X5237" s="784">
        <v>1806638707.7615163</v>
      </c>
    </row>
    <row r="5238" spans="1:24">
      <c r="A5238" t="s">
        <v>358</v>
      </c>
      <c r="B5238" t="s">
        <v>565</v>
      </c>
      <c r="C5238" t="s">
        <v>174</v>
      </c>
      <c r="D5238" t="s">
        <v>127</v>
      </c>
      <c r="E5238" t="s">
        <v>377</v>
      </c>
      <c r="F5238" t="s">
        <v>310</v>
      </c>
      <c r="G5238" t="s">
        <v>344</v>
      </c>
      <c r="H5238" t="s">
        <v>104</v>
      </c>
      <c r="I5238">
        <v>2022</v>
      </c>
      <c r="J5238" t="s">
        <v>379</v>
      </c>
      <c r="K5238" t="s">
        <v>546</v>
      </c>
      <c r="L5238" s="784">
        <v>0</v>
      </c>
      <c r="M5238" t="s">
        <v>745</v>
      </c>
      <c r="N5238" t="s">
        <v>575</v>
      </c>
      <c r="P5238" t="s">
        <v>1887</v>
      </c>
      <c r="R5238" t="s">
        <v>152</v>
      </c>
      <c r="S5238" t="s">
        <v>146</v>
      </c>
      <c r="U5238">
        <v>0</v>
      </c>
      <c r="V5238" t="s">
        <v>544</v>
      </c>
      <c r="W5238" t="s">
        <v>546</v>
      </c>
      <c r="X5238" s="784">
        <v>1252696525.0627904</v>
      </c>
    </row>
    <row r="5239" spans="1:24">
      <c r="A5239" t="s">
        <v>358</v>
      </c>
      <c r="B5239" t="s">
        <v>566</v>
      </c>
      <c r="C5239" t="s">
        <v>175</v>
      </c>
      <c r="D5239" t="s">
        <v>128</v>
      </c>
      <c r="E5239" t="s">
        <v>377</v>
      </c>
      <c r="F5239" t="s">
        <v>310</v>
      </c>
      <c r="G5239" t="s">
        <v>344</v>
      </c>
      <c r="H5239" t="s">
        <v>104</v>
      </c>
      <c r="I5239">
        <v>2022</v>
      </c>
      <c r="J5239" t="s">
        <v>379</v>
      </c>
      <c r="K5239" t="s">
        <v>546</v>
      </c>
      <c r="L5239" s="784">
        <v>0</v>
      </c>
      <c r="M5239" t="s">
        <v>745</v>
      </c>
      <c r="N5239" t="s">
        <v>575</v>
      </c>
      <c r="P5239" t="s">
        <v>1887</v>
      </c>
      <c r="R5239" t="s">
        <v>152</v>
      </c>
      <c r="S5239" t="s">
        <v>146</v>
      </c>
      <c r="U5239">
        <v>0</v>
      </c>
      <c r="V5239" t="s">
        <v>544</v>
      </c>
      <c r="W5239" t="s">
        <v>575</v>
      </c>
      <c r="X5239" s="784">
        <v>843425084.07334602</v>
      </c>
    </row>
    <row r="5240" spans="1:24">
      <c r="A5240" t="s">
        <v>358</v>
      </c>
      <c r="B5240" t="s">
        <v>567</v>
      </c>
      <c r="C5240" t="s">
        <v>144</v>
      </c>
      <c r="D5240" t="s">
        <v>130</v>
      </c>
      <c r="E5240" t="s">
        <v>377</v>
      </c>
      <c r="F5240" t="s">
        <v>310</v>
      </c>
      <c r="G5240" t="s">
        <v>344</v>
      </c>
      <c r="H5240" t="s">
        <v>104</v>
      </c>
      <c r="I5240">
        <v>2022</v>
      </c>
      <c r="J5240" t="s">
        <v>379</v>
      </c>
      <c r="K5240" t="s">
        <v>546</v>
      </c>
      <c r="L5240" s="784">
        <v>0</v>
      </c>
      <c r="M5240" t="s">
        <v>745</v>
      </c>
      <c r="N5240" t="s">
        <v>575</v>
      </c>
      <c r="P5240" t="s">
        <v>1887</v>
      </c>
      <c r="R5240" t="s">
        <v>152</v>
      </c>
      <c r="S5240" t="s">
        <v>146</v>
      </c>
      <c r="U5240">
        <v>0</v>
      </c>
      <c r="V5240" t="s">
        <v>544</v>
      </c>
      <c r="W5240" t="s">
        <v>546</v>
      </c>
      <c r="X5240" s="784">
        <v>74055620038.853683</v>
      </c>
    </row>
    <row r="5241" spans="1:24">
      <c r="A5241" t="s">
        <v>358</v>
      </c>
      <c r="B5241" t="s">
        <v>568</v>
      </c>
      <c r="C5241" t="s">
        <v>176</v>
      </c>
      <c r="D5241" t="s">
        <v>127</v>
      </c>
      <c r="E5241" t="s">
        <v>377</v>
      </c>
      <c r="F5241" t="s">
        <v>310</v>
      </c>
      <c r="G5241" t="s">
        <v>344</v>
      </c>
      <c r="H5241" t="s">
        <v>104</v>
      </c>
      <c r="I5241">
        <v>2022</v>
      </c>
      <c r="J5241" t="s">
        <v>379</v>
      </c>
      <c r="K5241" t="s">
        <v>546</v>
      </c>
      <c r="L5241" s="784">
        <v>0</v>
      </c>
      <c r="M5241" t="s">
        <v>745</v>
      </c>
      <c r="N5241" t="s">
        <v>575</v>
      </c>
      <c r="P5241" t="s">
        <v>1887</v>
      </c>
      <c r="R5241" t="s">
        <v>152</v>
      </c>
      <c r="S5241" t="s">
        <v>146</v>
      </c>
      <c r="U5241">
        <v>0</v>
      </c>
      <c r="V5241" t="s">
        <v>544</v>
      </c>
      <c r="W5241" t="s">
        <v>575</v>
      </c>
      <c r="X5241" s="784">
        <v>2803357765.5888777</v>
      </c>
    </row>
    <row r="5242" spans="1:24">
      <c r="A5242" t="s">
        <v>358</v>
      </c>
      <c r="B5242" t="s">
        <v>569</v>
      </c>
      <c r="C5242" t="s">
        <v>177</v>
      </c>
      <c r="D5242" t="s">
        <v>129</v>
      </c>
      <c r="E5242" t="s">
        <v>377</v>
      </c>
      <c r="F5242" t="s">
        <v>310</v>
      </c>
      <c r="G5242" t="s">
        <v>344</v>
      </c>
      <c r="H5242" t="s">
        <v>104</v>
      </c>
      <c r="I5242">
        <v>2022</v>
      </c>
      <c r="J5242" t="s">
        <v>379</v>
      </c>
      <c r="K5242" t="s">
        <v>546</v>
      </c>
      <c r="L5242" s="784">
        <v>0</v>
      </c>
      <c r="M5242" t="s">
        <v>745</v>
      </c>
      <c r="N5242" t="s">
        <v>575</v>
      </c>
      <c r="P5242" t="s">
        <v>1887</v>
      </c>
      <c r="R5242" t="s">
        <v>148</v>
      </c>
      <c r="S5242" t="s">
        <v>145</v>
      </c>
      <c r="U5242">
        <v>2</v>
      </c>
      <c r="V5242" t="s">
        <v>544</v>
      </c>
      <c r="W5242" t="s">
        <v>562</v>
      </c>
      <c r="X5242" s="784">
        <v>337927779.25510043</v>
      </c>
    </row>
    <row r="5243" spans="1:24">
      <c r="A5243" t="s">
        <v>358</v>
      </c>
      <c r="B5243" t="s">
        <v>570</v>
      </c>
      <c r="C5243" t="s">
        <v>178</v>
      </c>
      <c r="D5243" t="s">
        <v>128</v>
      </c>
      <c r="E5243" t="s">
        <v>377</v>
      </c>
      <c r="F5243" t="s">
        <v>310</v>
      </c>
      <c r="G5243" t="s">
        <v>344</v>
      </c>
      <c r="H5243" t="s">
        <v>104</v>
      </c>
      <c r="I5243">
        <v>2022</v>
      </c>
      <c r="J5243" t="s">
        <v>379</v>
      </c>
      <c r="K5243" t="s">
        <v>546</v>
      </c>
      <c r="L5243" s="784">
        <v>0</v>
      </c>
      <c r="M5243" t="s">
        <v>745</v>
      </c>
      <c r="N5243" t="s">
        <v>575</v>
      </c>
      <c r="P5243" t="s">
        <v>1887</v>
      </c>
      <c r="R5243" t="s">
        <v>148</v>
      </c>
      <c r="S5243" t="s">
        <v>145</v>
      </c>
      <c r="U5243">
        <v>2</v>
      </c>
      <c r="V5243" t="s">
        <v>544</v>
      </c>
      <c r="W5243" t="s">
        <v>548</v>
      </c>
      <c r="X5243" s="784">
        <v>65979512.47399316</v>
      </c>
    </row>
    <row r="5244" spans="1:24">
      <c r="A5244" t="s">
        <v>358</v>
      </c>
      <c r="B5244" t="s">
        <v>571</v>
      </c>
      <c r="C5244" t="s">
        <v>179</v>
      </c>
      <c r="D5244" t="s">
        <v>129</v>
      </c>
      <c r="E5244" t="s">
        <v>377</v>
      </c>
      <c r="F5244" t="s">
        <v>310</v>
      </c>
      <c r="G5244" t="s">
        <v>344</v>
      </c>
      <c r="H5244" t="s">
        <v>104</v>
      </c>
      <c r="I5244">
        <v>2022</v>
      </c>
      <c r="J5244" t="s">
        <v>379</v>
      </c>
      <c r="K5244" t="s">
        <v>546</v>
      </c>
      <c r="L5244" s="784">
        <v>0</v>
      </c>
      <c r="M5244" t="s">
        <v>745</v>
      </c>
      <c r="N5244" t="s">
        <v>575</v>
      </c>
      <c r="P5244" t="s">
        <v>1887</v>
      </c>
      <c r="R5244" t="s">
        <v>150</v>
      </c>
      <c r="S5244" t="s">
        <v>145</v>
      </c>
      <c r="U5244">
        <v>0</v>
      </c>
      <c r="V5244" t="s">
        <v>541</v>
      </c>
      <c r="W5244" t="s">
        <v>542</v>
      </c>
      <c r="X5244" s="784">
        <v>63748362.778827004</v>
      </c>
    </row>
    <row r="5245" spans="1:24">
      <c r="A5245" t="s">
        <v>358</v>
      </c>
      <c r="B5245" t="s">
        <v>572</v>
      </c>
      <c r="C5245" t="s">
        <v>180</v>
      </c>
      <c r="D5245" t="s">
        <v>126</v>
      </c>
      <c r="E5245" t="s">
        <v>377</v>
      </c>
      <c r="F5245" t="s">
        <v>310</v>
      </c>
      <c r="G5245" t="s">
        <v>344</v>
      </c>
      <c r="H5245" t="s">
        <v>104</v>
      </c>
      <c r="I5245">
        <v>2022</v>
      </c>
      <c r="J5245" t="s">
        <v>379</v>
      </c>
      <c r="K5245" t="s">
        <v>546</v>
      </c>
      <c r="L5245" s="784">
        <v>0</v>
      </c>
      <c r="M5245" t="s">
        <v>745</v>
      </c>
      <c r="N5245" t="s">
        <v>575</v>
      </c>
      <c r="P5245" t="s">
        <v>1887</v>
      </c>
      <c r="R5245" t="s">
        <v>150</v>
      </c>
      <c r="S5245" t="s">
        <v>145</v>
      </c>
      <c r="U5245">
        <v>0</v>
      </c>
      <c r="V5245" t="s">
        <v>544</v>
      </c>
      <c r="W5245" t="s">
        <v>558</v>
      </c>
      <c r="X5245" s="784">
        <v>313039649.45369786</v>
      </c>
    </row>
    <row r="5246" spans="1:24">
      <c r="A5246" t="s">
        <v>358</v>
      </c>
      <c r="B5246" t="s">
        <v>573</v>
      </c>
      <c r="C5246" t="s">
        <v>181</v>
      </c>
      <c r="D5246" t="s">
        <v>129</v>
      </c>
      <c r="E5246" t="s">
        <v>377</v>
      </c>
      <c r="F5246" t="s">
        <v>310</v>
      </c>
      <c r="G5246" t="s">
        <v>344</v>
      </c>
      <c r="H5246" t="s">
        <v>104</v>
      </c>
      <c r="I5246">
        <v>2022</v>
      </c>
      <c r="J5246" t="s">
        <v>379</v>
      </c>
      <c r="K5246" t="s">
        <v>546</v>
      </c>
      <c r="L5246" s="784">
        <v>0</v>
      </c>
      <c r="M5246" t="s">
        <v>745</v>
      </c>
      <c r="N5246" t="s">
        <v>575</v>
      </c>
      <c r="P5246" t="s">
        <v>1887</v>
      </c>
      <c r="R5246" t="s">
        <v>150</v>
      </c>
      <c r="S5246" t="s">
        <v>145</v>
      </c>
      <c r="U5246">
        <v>2</v>
      </c>
      <c r="V5246" t="s">
        <v>544</v>
      </c>
      <c r="W5246" t="s">
        <v>542</v>
      </c>
      <c r="X5246" s="784">
        <v>81361801.477472037</v>
      </c>
    </row>
    <row r="5247" spans="1:24">
      <c r="A5247" t="s">
        <v>358</v>
      </c>
      <c r="B5247" t="s">
        <v>574</v>
      </c>
      <c r="C5247" t="s">
        <v>182</v>
      </c>
      <c r="D5247" t="s">
        <v>129</v>
      </c>
      <c r="E5247" t="s">
        <v>377</v>
      </c>
      <c r="F5247" t="s">
        <v>310</v>
      </c>
      <c r="G5247" t="s">
        <v>344</v>
      </c>
      <c r="H5247" t="s">
        <v>104</v>
      </c>
      <c r="I5247">
        <v>2022</v>
      </c>
      <c r="J5247" t="s">
        <v>379</v>
      </c>
      <c r="K5247" t="s">
        <v>546</v>
      </c>
      <c r="L5247" s="784">
        <v>0</v>
      </c>
      <c r="M5247" t="s">
        <v>745</v>
      </c>
      <c r="N5247" t="s">
        <v>575</v>
      </c>
      <c r="P5247" t="s">
        <v>1887</v>
      </c>
      <c r="R5247" t="s">
        <v>148</v>
      </c>
      <c r="S5247" t="s">
        <v>145</v>
      </c>
      <c r="U5247">
        <v>1</v>
      </c>
      <c r="V5247" t="s">
        <v>544</v>
      </c>
      <c r="W5247" t="s">
        <v>542</v>
      </c>
      <c r="X5247" s="784" t="s">
        <v>575</v>
      </c>
    </row>
    <row r="5248" spans="1:24">
      <c r="A5248" t="s">
        <v>358</v>
      </c>
      <c r="B5248" t="s">
        <v>576</v>
      </c>
      <c r="C5248" t="s">
        <v>183</v>
      </c>
      <c r="D5248" t="s">
        <v>129</v>
      </c>
      <c r="E5248" t="s">
        <v>377</v>
      </c>
      <c r="F5248" t="s">
        <v>310</v>
      </c>
      <c r="G5248" t="s">
        <v>344</v>
      </c>
      <c r="H5248" t="s">
        <v>104</v>
      </c>
      <c r="I5248">
        <v>2022</v>
      </c>
      <c r="J5248" t="s">
        <v>379</v>
      </c>
      <c r="K5248" t="s">
        <v>546</v>
      </c>
      <c r="L5248" s="784">
        <v>0</v>
      </c>
      <c r="M5248" t="s">
        <v>745</v>
      </c>
      <c r="N5248" t="s">
        <v>575</v>
      </c>
      <c r="P5248" t="s">
        <v>1887</v>
      </c>
      <c r="R5248" t="s">
        <v>148</v>
      </c>
      <c r="S5248" t="s">
        <v>145</v>
      </c>
      <c r="U5248">
        <v>1</v>
      </c>
      <c r="V5248" t="s">
        <v>544</v>
      </c>
      <c r="W5248" t="s">
        <v>542</v>
      </c>
      <c r="X5248" s="784">
        <v>76939306.715636879</v>
      </c>
    </row>
    <row r="5249" spans="1:24">
      <c r="A5249" t="s">
        <v>358</v>
      </c>
      <c r="B5249" t="s">
        <v>577</v>
      </c>
      <c r="C5249" t="s">
        <v>184</v>
      </c>
      <c r="D5249" t="s">
        <v>130</v>
      </c>
      <c r="E5249" t="s">
        <v>377</v>
      </c>
      <c r="F5249" t="s">
        <v>310</v>
      </c>
      <c r="G5249" t="s">
        <v>344</v>
      </c>
      <c r="H5249" t="s">
        <v>104</v>
      </c>
      <c r="I5249">
        <v>2022</v>
      </c>
      <c r="J5249" t="s">
        <v>379</v>
      </c>
      <c r="K5249" t="s">
        <v>546</v>
      </c>
      <c r="L5249" s="784">
        <v>0</v>
      </c>
      <c r="M5249" t="s">
        <v>745</v>
      </c>
      <c r="N5249" t="s">
        <v>575</v>
      </c>
      <c r="P5249" t="s">
        <v>1887</v>
      </c>
      <c r="R5249" t="s">
        <v>550</v>
      </c>
      <c r="S5249" t="s">
        <v>146</v>
      </c>
      <c r="U5249">
        <v>0</v>
      </c>
      <c r="V5249" t="s">
        <v>544</v>
      </c>
      <c r="W5249" t="s">
        <v>575</v>
      </c>
      <c r="X5249" s="784">
        <v>13859708717.682571</v>
      </c>
    </row>
    <row r="5250" spans="1:24">
      <c r="A5250" t="s">
        <v>358</v>
      </c>
      <c r="B5250" t="s">
        <v>578</v>
      </c>
      <c r="C5250" t="s">
        <v>185</v>
      </c>
      <c r="D5250" t="s">
        <v>126</v>
      </c>
      <c r="E5250" t="s">
        <v>377</v>
      </c>
      <c r="F5250" t="s">
        <v>310</v>
      </c>
      <c r="G5250" t="s">
        <v>344</v>
      </c>
      <c r="H5250" t="s">
        <v>104</v>
      </c>
      <c r="I5250">
        <v>2022</v>
      </c>
      <c r="J5250" t="s">
        <v>379</v>
      </c>
      <c r="K5250" t="s">
        <v>546</v>
      </c>
      <c r="L5250" s="784">
        <v>0</v>
      </c>
      <c r="M5250" t="s">
        <v>745</v>
      </c>
      <c r="N5250" t="s">
        <v>575</v>
      </c>
      <c r="P5250" t="s">
        <v>1887</v>
      </c>
      <c r="R5250" t="s">
        <v>152</v>
      </c>
      <c r="S5250" t="s">
        <v>146</v>
      </c>
      <c r="U5250">
        <v>0</v>
      </c>
      <c r="V5250" t="s">
        <v>544</v>
      </c>
      <c r="W5250" t="s">
        <v>575</v>
      </c>
      <c r="X5250" s="784">
        <v>403567160707.7016</v>
      </c>
    </row>
    <row r="5251" spans="1:24">
      <c r="A5251" t="s">
        <v>358</v>
      </c>
      <c r="B5251" t="s">
        <v>579</v>
      </c>
      <c r="C5251" t="s">
        <v>186</v>
      </c>
      <c r="D5251" t="s">
        <v>130</v>
      </c>
      <c r="E5251" t="s">
        <v>377</v>
      </c>
      <c r="F5251" t="s">
        <v>310</v>
      </c>
      <c r="G5251" t="s">
        <v>344</v>
      </c>
      <c r="H5251" t="s">
        <v>104</v>
      </c>
      <c r="I5251">
        <v>2022</v>
      </c>
      <c r="J5251" t="s">
        <v>379</v>
      </c>
      <c r="K5251" t="s">
        <v>546</v>
      </c>
      <c r="L5251" s="784">
        <v>0</v>
      </c>
      <c r="M5251" t="s">
        <v>745</v>
      </c>
      <c r="N5251" t="s">
        <v>575</v>
      </c>
      <c r="P5251" t="s">
        <v>1887</v>
      </c>
      <c r="R5251" t="s">
        <v>152</v>
      </c>
      <c r="S5251" t="s">
        <v>146</v>
      </c>
      <c r="U5251">
        <v>0</v>
      </c>
      <c r="V5251" t="s">
        <v>544</v>
      </c>
      <c r="W5251" t="s">
        <v>575</v>
      </c>
      <c r="X5251" s="784">
        <v>18250225995.972618</v>
      </c>
    </row>
    <row r="5252" spans="1:24">
      <c r="A5252" t="s">
        <v>358</v>
      </c>
      <c r="B5252" t="s">
        <v>580</v>
      </c>
      <c r="C5252" t="s">
        <v>187</v>
      </c>
      <c r="D5252" t="s">
        <v>128</v>
      </c>
      <c r="E5252" t="s">
        <v>377</v>
      </c>
      <c r="F5252" t="s">
        <v>310</v>
      </c>
      <c r="G5252" t="s">
        <v>344</v>
      </c>
      <c r="H5252" t="s">
        <v>104</v>
      </c>
      <c r="I5252">
        <v>2022</v>
      </c>
      <c r="J5252" t="s">
        <v>379</v>
      </c>
      <c r="K5252" t="s">
        <v>546</v>
      </c>
      <c r="L5252" s="784">
        <v>0</v>
      </c>
      <c r="M5252" t="s">
        <v>745</v>
      </c>
      <c r="N5252" t="s">
        <v>575</v>
      </c>
      <c r="P5252" t="s">
        <v>1887</v>
      </c>
      <c r="R5252" t="s">
        <v>150</v>
      </c>
      <c r="S5252" t="s">
        <v>145</v>
      </c>
      <c r="U5252">
        <v>0</v>
      </c>
      <c r="V5252" t="s">
        <v>541</v>
      </c>
      <c r="W5252" t="s">
        <v>562</v>
      </c>
      <c r="X5252" s="784">
        <v>5027591.1682657599</v>
      </c>
    </row>
    <row r="5253" spans="1:24">
      <c r="A5253" t="s">
        <v>358</v>
      </c>
      <c r="B5253" t="s">
        <v>581</v>
      </c>
      <c r="C5253" t="s">
        <v>188</v>
      </c>
      <c r="D5253" t="s">
        <v>129</v>
      </c>
      <c r="E5253" t="s">
        <v>377</v>
      </c>
      <c r="F5253" t="s">
        <v>310</v>
      </c>
      <c r="G5253" t="s">
        <v>344</v>
      </c>
      <c r="H5253" t="s">
        <v>104</v>
      </c>
      <c r="I5253">
        <v>2022</v>
      </c>
      <c r="J5253" t="s">
        <v>379</v>
      </c>
      <c r="K5253" t="s">
        <v>546</v>
      </c>
      <c r="L5253" s="784">
        <v>0</v>
      </c>
      <c r="M5253" t="s">
        <v>745</v>
      </c>
      <c r="N5253" t="s">
        <v>575</v>
      </c>
      <c r="P5253" t="s">
        <v>1887</v>
      </c>
      <c r="R5253" t="s">
        <v>148</v>
      </c>
      <c r="S5253" t="s">
        <v>145</v>
      </c>
      <c r="U5253">
        <v>3</v>
      </c>
      <c r="V5253" t="s">
        <v>544</v>
      </c>
      <c r="W5253" t="s">
        <v>562</v>
      </c>
      <c r="X5253" s="784">
        <v>234645958.63289919</v>
      </c>
    </row>
    <row r="5254" spans="1:24">
      <c r="A5254" t="s">
        <v>358</v>
      </c>
      <c r="B5254" t="s">
        <v>582</v>
      </c>
      <c r="C5254" t="s">
        <v>189</v>
      </c>
      <c r="D5254" t="s">
        <v>129</v>
      </c>
      <c r="E5254" t="s">
        <v>377</v>
      </c>
      <c r="F5254" t="s">
        <v>310</v>
      </c>
      <c r="G5254" t="s">
        <v>344</v>
      </c>
      <c r="H5254" t="s">
        <v>104</v>
      </c>
      <c r="I5254">
        <v>2022</v>
      </c>
      <c r="J5254" t="s">
        <v>379</v>
      </c>
      <c r="K5254" t="s">
        <v>546</v>
      </c>
      <c r="L5254" s="784">
        <v>0</v>
      </c>
      <c r="M5254" t="s">
        <v>745</v>
      </c>
      <c r="N5254" t="s">
        <v>575</v>
      </c>
      <c r="P5254" t="s">
        <v>1887</v>
      </c>
      <c r="R5254" t="s">
        <v>150</v>
      </c>
      <c r="S5254" t="s">
        <v>145</v>
      </c>
      <c r="U5254">
        <v>2</v>
      </c>
      <c r="V5254" t="s">
        <v>544</v>
      </c>
      <c r="W5254" t="s">
        <v>583</v>
      </c>
      <c r="X5254" s="784">
        <v>91590910.247314155</v>
      </c>
    </row>
    <row r="5255" spans="1:24">
      <c r="A5255" t="s">
        <v>358</v>
      </c>
      <c r="B5255" t="s">
        <v>584</v>
      </c>
      <c r="C5255" t="s">
        <v>190</v>
      </c>
      <c r="D5255" t="s">
        <v>126</v>
      </c>
      <c r="E5255" t="s">
        <v>377</v>
      </c>
      <c r="F5255" t="s">
        <v>310</v>
      </c>
      <c r="G5255" t="s">
        <v>344</v>
      </c>
      <c r="H5255" t="s">
        <v>104</v>
      </c>
      <c r="I5255">
        <v>2022</v>
      </c>
      <c r="J5255" t="s">
        <v>379</v>
      </c>
      <c r="K5255" t="s">
        <v>546</v>
      </c>
      <c r="L5255" s="784">
        <v>0</v>
      </c>
      <c r="M5255" t="s">
        <v>745</v>
      </c>
      <c r="N5255" t="s">
        <v>575</v>
      </c>
      <c r="P5255" t="s">
        <v>1887</v>
      </c>
      <c r="R5255" t="s">
        <v>322</v>
      </c>
      <c r="S5255" t="s">
        <v>146</v>
      </c>
      <c r="U5255">
        <v>0</v>
      </c>
      <c r="V5255" t="s">
        <v>541</v>
      </c>
      <c r="W5255" t="s">
        <v>546</v>
      </c>
      <c r="X5255" s="784">
        <v>8560012.8840167802</v>
      </c>
    </row>
    <row r="5256" spans="1:24">
      <c r="A5256" t="s">
        <v>358</v>
      </c>
      <c r="B5256" t="s">
        <v>585</v>
      </c>
      <c r="C5256" t="s">
        <v>191</v>
      </c>
      <c r="D5256" t="s">
        <v>130</v>
      </c>
      <c r="E5256" t="s">
        <v>377</v>
      </c>
      <c r="F5256" t="s">
        <v>310</v>
      </c>
      <c r="G5256" t="s">
        <v>344</v>
      </c>
      <c r="H5256" t="s">
        <v>104</v>
      </c>
      <c r="I5256">
        <v>2022</v>
      </c>
      <c r="J5256" t="s">
        <v>379</v>
      </c>
      <c r="K5256" t="s">
        <v>546</v>
      </c>
      <c r="L5256" s="784">
        <v>0</v>
      </c>
      <c r="M5256" t="s">
        <v>745</v>
      </c>
      <c r="N5256" t="s">
        <v>575</v>
      </c>
      <c r="P5256" t="s">
        <v>1887</v>
      </c>
      <c r="R5256" t="s">
        <v>152</v>
      </c>
      <c r="S5256" t="s">
        <v>146</v>
      </c>
      <c r="U5256">
        <v>0</v>
      </c>
      <c r="V5256" t="s">
        <v>544</v>
      </c>
      <c r="W5256" t="s">
        <v>546</v>
      </c>
      <c r="X5256" s="784">
        <v>3292372960.3962669</v>
      </c>
    </row>
    <row r="5257" spans="1:24">
      <c r="A5257" t="s">
        <v>358</v>
      </c>
      <c r="B5257" t="s">
        <v>586</v>
      </c>
      <c r="C5257" t="s">
        <v>192</v>
      </c>
      <c r="D5257" t="s">
        <v>129</v>
      </c>
      <c r="E5257" t="s">
        <v>377</v>
      </c>
      <c r="F5257" t="s">
        <v>310</v>
      </c>
      <c r="G5257" t="s">
        <v>344</v>
      </c>
      <c r="H5257" t="s">
        <v>104</v>
      </c>
      <c r="I5257">
        <v>2022</v>
      </c>
      <c r="J5257" t="s">
        <v>379</v>
      </c>
      <c r="K5257" t="s">
        <v>546</v>
      </c>
      <c r="L5257" s="784">
        <v>0</v>
      </c>
      <c r="M5257" t="s">
        <v>745</v>
      </c>
      <c r="N5257" t="s">
        <v>575</v>
      </c>
      <c r="P5257" t="s">
        <v>1887</v>
      </c>
      <c r="R5257" t="s">
        <v>150</v>
      </c>
      <c r="S5257" t="s">
        <v>145</v>
      </c>
      <c r="U5257">
        <v>0</v>
      </c>
      <c r="V5257" t="s">
        <v>544</v>
      </c>
      <c r="W5257" t="s">
        <v>562</v>
      </c>
      <c r="X5257" s="784">
        <v>519209981.22981054</v>
      </c>
    </row>
    <row r="5258" spans="1:24">
      <c r="A5258" t="s">
        <v>358</v>
      </c>
      <c r="B5258" t="s">
        <v>587</v>
      </c>
      <c r="C5258" t="s">
        <v>193</v>
      </c>
      <c r="D5258" t="s">
        <v>127</v>
      </c>
      <c r="E5258" t="s">
        <v>377</v>
      </c>
      <c r="F5258" t="s">
        <v>310</v>
      </c>
      <c r="G5258" t="s">
        <v>344</v>
      </c>
      <c r="H5258" t="s">
        <v>104</v>
      </c>
      <c r="I5258">
        <v>2022</v>
      </c>
      <c r="J5258" t="s">
        <v>379</v>
      </c>
      <c r="K5258" t="s">
        <v>546</v>
      </c>
      <c r="L5258" s="784">
        <v>0</v>
      </c>
      <c r="M5258" t="s">
        <v>745</v>
      </c>
      <c r="N5258" t="s">
        <v>575</v>
      </c>
      <c r="P5258" t="s">
        <v>1887</v>
      </c>
      <c r="R5258" t="s">
        <v>550</v>
      </c>
      <c r="S5258" t="s">
        <v>146</v>
      </c>
      <c r="U5258">
        <v>0</v>
      </c>
      <c r="V5258" t="s">
        <v>544</v>
      </c>
      <c r="W5258" t="s">
        <v>575</v>
      </c>
      <c r="X5258" s="784">
        <v>3464739907.1604805</v>
      </c>
    </row>
    <row r="5259" spans="1:24">
      <c r="A5259" t="s">
        <v>358</v>
      </c>
      <c r="B5259" t="s">
        <v>588</v>
      </c>
      <c r="C5259" t="s">
        <v>147</v>
      </c>
      <c r="D5259" t="s">
        <v>130</v>
      </c>
      <c r="E5259" t="s">
        <v>377</v>
      </c>
      <c r="F5259" t="s">
        <v>310</v>
      </c>
      <c r="G5259" t="s">
        <v>344</v>
      </c>
      <c r="H5259" t="s">
        <v>104</v>
      </c>
      <c r="I5259">
        <v>2022</v>
      </c>
      <c r="J5259" t="s">
        <v>379</v>
      </c>
      <c r="K5259" t="s">
        <v>546</v>
      </c>
      <c r="L5259" s="784">
        <v>0</v>
      </c>
      <c r="M5259" t="s">
        <v>745</v>
      </c>
      <c r="N5259" t="s">
        <v>575</v>
      </c>
      <c r="P5259" t="s">
        <v>1887</v>
      </c>
      <c r="R5259" t="s">
        <v>152</v>
      </c>
      <c r="S5259" t="s">
        <v>146</v>
      </c>
      <c r="U5259">
        <v>0</v>
      </c>
      <c r="V5259" t="s">
        <v>541</v>
      </c>
      <c r="W5259" t="s">
        <v>575</v>
      </c>
      <c r="X5259" s="784">
        <v>9948521252.2569065</v>
      </c>
    </row>
    <row r="5260" spans="1:24">
      <c r="A5260" t="s">
        <v>358</v>
      </c>
      <c r="B5260" t="s">
        <v>589</v>
      </c>
      <c r="C5260" t="s">
        <v>194</v>
      </c>
      <c r="D5260" t="s">
        <v>131</v>
      </c>
      <c r="E5260" t="s">
        <v>377</v>
      </c>
      <c r="F5260" t="s">
        <v>310</v>
      </c>
      <c r="G5260" t="s">
        <v>344</v>
      </c>
      <c r="H5260" t="s">
        <v>104</v>
      </c>
      <c r="I5260">
        <v>2022</v>
      </c>
      <c r="J5260" t="s">
        <v>379</v>
      </c>
      <c r="K5260" t="s">
        <v>546</v>
      </c>
      <c r="L5260" s="784">
        <v>0</v>
      </c>
      <c r="M5260" t="s">
        <v>745</v>
      </c>
      <c r="N5260" t="s">
        <v>575</v>
      </c>
      <c r="P5260" t="s">
        <v>1887</v>
      </c>
      <c r="R5260" t="s">
        <v>150</v>
      </c>
      <c r="S5260" t="s">
        <v>145</v>
      </c>
      <c r="U5260">
        <v>1</v>
      </c>
      <c r="V5260" t="s">
        <v>544</v>
      </c>
      <c r="W5260" t="s">
        <v>542</v>
      </c>
      <c r="X5260" s="784">
        <v>33679192.765657313</v>
      </c>
    </row>
    <row r="5261" spans="1:24">
      <c r="A5261" t="s">
        <v>358</v>
      </c>
      <c r="B5261" t="s">
        <v>590</v>
      </c>
      <c r="C5261" t="s">
        <v>195</v>
      </c>
      <c r="D5261" t="s">
        <v>130</v>
      </c>
      <c r="E5261" t="s">
        <v>377</v>
      </c>
      <c r="F5261" t="s">
        <v>310</v>
      </c>
      <c r="G5261" t="s">
        <v>344</v>
      </c>
      <c r="H5261" t="s">
        <v>104</v>
      </c>
      <c r="I5261">
        <v>2022</v>
      </c>
      <c r="J5261" t="s">
        <v>379</v>
      </c>
      <c r="K5261" t="s">
        <v>546</v>
      </c>
      <c r="L5261" s="784">
        <v>0</v>
      </c>
      <c r="M5261" t="s">
        <v>745</v>
      </c>
      <c r="N5261" t="s">
        <v>575</v>
      </c>
      <c r="P5261" t="s">
        <v>1887</v>
      </c>
      <c r="R5261" t="s">
        <v>152</v>
      </c>
      <c r="S5261" t="s">
        <v>145</v>
      </c>
      <c r="U5261">
        <v>0</v>
      </c>
      <c r="V5261" t="s">
        <v>541</v>
      </c>
      <c r="W5261" t="s">
        <v>548</v>
      </c>
      <c r="X5261" s="784">
        <v>22784494.365742501</v>
      </c>
    </row>
    <row r="5262" spans="1:24">
      <c r="A5262" t="s">
        <v>358</v>
      </c>
      <c r="B5262" t="s">
        <v>591</v>
      </c>
      <c r="C5262" t="s">
        <v>196</v>
      </c>
      <c r="D5262" t="s">
        <v>130</v>
      </c>
      <c r="E5262" t="s">
        <v>377</v>
      </c>
      <c r="F5262" t="s">
        <v>310</v>
      </c>
      <c r="G5262" t="s">
        <v>344</v>
      </c>
      <c r="H5262" t="s">
        <v>104</v>
      </c>
      <c r="I5262">
        <v>2022</v>
      </c>
      <c r="J5262" t="s">
        <v>379</v>
      </c>
      <c r="K5262" t="s">
        <v>546</v>
      </c>
      <c r="L5262" s="784">
        <v>0</v>
      </c>
      <c r="M5262" t="s">
        <v>745</v>
      </c>
      <c r="N5262" t="s">
        <v>575</v>
      </c>
      <c r="P5262" t="s">
        <v>1887</v>
      </c>
      <c r="R5262" t="s">
        <v>152</v>
      </c>
      <c r="S5262" t="s">
        <v>146</v>
      </c>
      <c r="U5262">
        <v>0</v>
      </c>
      <c r="V5262" t="s">
        <v>541</v>
      </c>
      <c r="W5262" t="s">
        <v>575</v>
      </c>
      <c r="X5262" s="784">
        <v>2173208011.4858823</v>
      </c>
    </row>
    <row r="5263" spans="1:24">
      <c r="A5263" t="s">
        <v>358</v>
      </c>
      <c r="B5263" t="s">
        <v>592</v>
      </c>
      <c r="C5263" t="s">
        <v>197</v>
      </c>
      <c r="D5263" t="s">
        <v>130</v>
      </c>
      <c r="E5263" t="s">
        <v>377</v>
      </c>
      <c r="F5263" t="s">
        <v>310</v>
      </c>
      <c r="G5263" t="s">
        <v>344</v>
      </c>
      <c r="H5263" t="s">
        <v>104</v>
      </c>
      <c r="I5263">
        <v>2022</v>
      </c>
      <c r="J5263" t="s">
        <v>379</v>
      </c>
      <c r="K5263" t="s">
        <v>546</v>
      </c>
      <c r="L5263" s="784">
        <v>0</v>
      </c>
      <c r="M5263" t="s">
        <v>745</v>
      </c>
      <c r="N5263" t="s">
        <v>575</v>
      </c>
      <c r="P5263" t="s">
        <v>1887</v>
      </c>
      <c r="R5263" t="s">
        <v>152</v>
      </c>
      <c r="S5263" t="s">
        <v>146</v>
      </c>
      <c r="U5263">
        <v>0</v>
      </c>
      <c r="V5263" t="s">
        <v>544</v>
      </c>
      <c r="W5263" t="s">
        <v>546</v>
      </c>
      <c r="X5263" s="784">
        <v>4585736158.8323269</v>
      </c>
    </row>
    <row r="5264" spans="1:24">
      <c r="A5264" t="s">
        <v>358</v>
      </c>
      <c r="B5264" t="s">
        <v>593</v>
      </c>
      <c r="C5264" t="s">
        <v>198</v>
      </c>
      <c r="D5264" t="s">
        <v>131</v>
      </c>
      <c r="E5264" t="s">
        <v>377</v>
      </c>
      <c r="F5264" t="s">
        <v>310</v>
      </c>
      <c r="G5264" t="s">
        <v>344</v>
      </c>
      <c r="H5264" t="s">
        <v>104</v>
      </c>
      <c r="I5264">
        <v>2022</v>
      </c>
      <c r="J5264" t="s">
        <v>379</v>
      </c>
      <c r="K5264" t="s">
        <v>546</v>
      </c>
      <c r="L5264" s="784">
        <v>0</v>
      </c>
      <c r="M5264" t="s">
        <v>745</v>
      </c>
      <c r="N5264" t="s">
        <v>575</v>
      </c>
      <c r="P5264" t="s">
        <v>1887</v>
      </c>
      <c r="R5264" t="s">
        <v>150</v>
      </c>
      <c r="S5264" t="s">
        <v>145</v>
      </c>
      <c r="U5264">
        <v>0</v>
      </c>
      <c r="V5264" t="s">
        <v>544</v>
      </c>
      <c r="W5264" t="s">
        <v>546</v>
      </c>
      <c r="X5264" s="784">
        <v>3550291584.8645592</v>
      </c>
    </row>
    <row r="5265" spans="1:24">
      <c r="A5265" t="s">
        <v>358</v>
      </c>
      <c r="B5265" t="s">
        <v>594</v>
      </c>
      <c r="C5265" t="s">
        <v>199</v>
      </c>
      <c r="D5265" t="s">
        <v>130</v>
      </c>
      <c r="E5265" t="s">
        <v>377</v>
      </c>
      <c r="F5265" t="s">
        <v>310</v>
      </c>
      <c r="G5265" t="s">
        <v>344</v>
      </c>
      <c r="H5265" t="s">
        <v>104</v>
      </c>
      <c r="I5265">
        <v>2022</v>
      </c>
      <c r="J5265" t="s">
        <v>379</v>
      </c>
      <c r="K5265" t="s">
        <v>546</v>
      </c>
      <c r="L5265" s="784">
        <v>0</v>
      </c>
      <c r="M5265" t="s">
        <v>745</v>
      </c>
      <c r="N5265" t="s">
        <v>575</v>
      </c>
      <c r="P5265" t="s">
        <v>1887</v>
      </c>
      <c r="R5265" t="s">
        <v>150</v>
      </c>
      <c r="S5265" t="s">
        <v>145</v>
      </c>
      <c r="U5265">
        <v>0</v>
      </c>
      <c r="V5265" t="s">
        <v>544</v>
      </c>
      <c r="W5265" t="s">
        <v>546</v>
      </c>
      <c r="X5265" s="784">
        <v>1182840319.0410969</v>
      </c>
    </row>
    <row r="5266" spans="1:24">
      <c r="A5266" t="s">
        <v>358</v>
      </c>
      <c r="B5266" t="s">
        <v>595</v>
      </c>
      <c r="C5266" t="s">
        <v>200</v>
      </c>
      <c r="D5266" t="s">
        <v>130</v>
      </c>
      <c r="E5266" t="s">
        <v>377</v>
      </c>
      <c r="F5266" t="s">
        <v>310</v>
      </c>
      <c r="G5266" t="s">
        <v>344</v>
      </c>
      <c r="H5266" t="s">
        <v>104</v>
      </c>
      <c r="I5266">
        <v>2022</v>
      </c>
      <c r="J5266" t="s">
        <v>379</v>
      </c>
      <c r="K5266" t="s">
        <v>546</v>
      </c>
      <c r="L5266" s="784">
        <v>0</v>
      </c>
      <c r="M5266" t="s">
        <v>745</v>
      </c>
      <c r="N5266" t="s">
        <v>575</v>
      </c>
      <c r="P5266" t="s">
        <v>1887</v>
      </c>
      <c r="R5266" t="s">
        <v>152</v>
      </c>
      <c r="S5266" t="s">
        <v>146</v>
      </c>
      <c r="U5266">
        <v>0</v>
      </c>
      <c r="V5266" t="s">
        <v>544</v>
      </c>
      <c r="W5266" t="s">
        <v>575</v>
      </c>
      <c r="X5266" s="784">
        <v>81728347.604567245</v>
      </c>
    </row>
    <row r="5267" spans="1:24">
      <c r="A5267" t="s">
        <v>358</v>
      </c>
      <c r="B5267" t="s">
        <v>596</v>
      </c>
      <c r="C5267" t="s">
        <v>201</v>
      </c>
      <c r="D5267" t="s">
        <v>128</v>
      </c>
      <c r="E5267" t="s">
        <v>377</v>
      </c>
      <c r="F5267" t="s">
        <v>310</v>
      </c>
      <c r="G5267" t="s">
        <v>344</v>
      </c>
      <c r="H5267" t="s">
        <v>104</v>
      </c>
      <c r="I5267">
        <v>2022</v>
      </c>
      <c r="J5267" t="s">
        <v>379</v>
      </c>
      <c r="K5267" t="s">
        <v>546</v>
      </c>
      <c r="L5267" s="784">
        <v>0</v>
      </c>
      <c r="M5267" t="s">
        <v>745</v>
      </c>
      <c r="N5267" t="s">
        <v>575</v>
      </c>
      <c r="P5267" t="s">
        <v>1887</v>
      </c>
      <c r="R5267" t="s">
        <v>148</v>
      </c>
      <c r="S5267" t="s">
        <v>145</v>
      </c>
      <c r="U5267">
        <v>2</v>
      </c>
      <c r="V5267" t="s">
        <v>544</v>
      </c>
      <c r="W5267" t="s">
        <v>546</v>
      </c>
      <c r="X5267" s="784">
        <v>12787914.977715338</v>
      </c>
    </row>
    <row r="5268" spans="1:24">
      <c r="A5268" t="s">
        <v>358</v>
      </c>
      <c r="B5268" t="s">
        <v>597</v>
      </c>
      <c r="C5268" t="s">
        <v>202</v>
      </c>
      <c r="D5268" t="s">
        <v>128</v>
      </c>
      <c r="E5268" t="s">
        <v>377</v>
      </c>
      <c r="F5268" t="s">
        <v>310</v>
      </c>
      <c r="G5268" t="s">
        <v>344</v>
      </c>
      <c r="H5268" t="s">
        <v>104</v>
      </c>
      <c r="I5268">
        <v>2022</v>
      </c>
      <c r="J5268" t="s">
        <v>379</v>
      </c>
      <c r="K5268" t="s">
        <v>546</v>
      </c>
      <c r="L5268" s="784">
        <v>0</v>
      </c>
      <c r="M5268" t="s">
        <v>745</v>
      </c>
      <c r="N5268" t="s">
        <v>575</v>
      </c>
      <c r="P5268" t="s">
        <v>1887</v>
      </c>
      <c r="R5268" t="s">
        <v>150</v>
      </c>
      <c r="S5268" t="s">
        <v>145</v>
      </c>
      <c r="U5268">
        <v>2</v>
      </c>
      <c r="V5268" t="s">
        <v>544</v>
      </c>
      <c r="W5268" t="s">
        <v>546</v>
      </c>
      <c r="X5268" s="784">
        <v>101271737.65410839</v>
      </c>
    </row>
    <row r="5269" spans="1:24">
      <c r="A5269" t="s">
        <v>358</v>
      </c>
      <c r="B5269" t="s">
        <v>598</v>
      </c>
      <c r="C5269" t="s">
        <v>203</v>
      </c>
      <c r="D5269" t="s">
        <v>128</v>
      </c>
      <c r="E5269" t="s">
        <v>377</v>
      </c>
      <c r="F5269" t="s">
        <v>310</v>
      </c>
      <c r="G5269" t="s">
        <v>344</v>
      </c>
      <c r="H5269" t="s">
        <v>104</v>
      </c>
      <c r="I5269">
        <v>2022</v>
      </c>
      <c r="J5269" t="s">
        <v>379</v>
      </c>
      <c r="K5269" t="s">
        <v>546</v>
      </c>
      <c r="L5269" s="784">
        <v>0</v>
      </c>
      <c r="M5269" t="s">
        <v>745</v>
      </c>
      <c r="N5269" t="s">
        <v>575</v>
      </c>
      <c r="P5269" t="s">
        <v>1887</v>
      </c>
      <c r="R5269" t="s">
        <v>148</v>
      </c>
      <c r="S5269" t="s">
        <v>145</v>
      </c>
      <c r="U5269">
        <v>3</v>
      </c>
      <c r="V5269" t="s">
        <v>544</v>
      </c>
      <c r="W5269" t="s">
        <v>542</v>
      </c>
      <c r="X5269" s="784">
        <v>618344226.71759331</v>
      </c>
    </row>
    <row r="5270" spans="1:24">
      <c r="A5270" t="s">
        <v>358</v>
      </c>
      <c r="B5270" t="s">
        <v>599</v>
      </c>
      <c r="C5270" t="s">
        <v>204</v>
      </c>
      <c r="D5270" t="s">
        <v>126</v>
      </c>
      <c r="E5270" t="s">
        <v>377</v>
      </c>
      <c r="F5270" t="s">
        <v>310</v>
      </c>
      <c r="G5270" t="s">
        <v>344</v>
      </c>
      <c r="H5270" t="s">
        <v>104</v>
      </c>
      <c r="I5270">
        <v>2022</v>
      </c>
      <c r="J5270" t="s">
        <v>379</v>
      </c>
      <c r="K5270" t="s">
        <v>546</v>
      </c>
      <c r="L5270" s="784">
        <v>0</v>
      </c>
      <c r="M5270" t="s">
        <v>745</v>
      </c>
      <c r="N5270" t="s">
        <v>575</v>
      </c>
      <c r="P5270" t="s">
        <v>1887</v>
      </c>
      <c r="R5270" t="s">
        <v>152</v>
      </c>
      <c r="S5270" t="s">
        <v>145</v>
      </c>
      <c r="U5270">
        <v>0</v>
      </c>
      <c r="V5270" t="s">
        <v>541</v>
      </c>
      <c r="W5270" t="s">
        <v>548</v>
      </c>
      <c r="X5270" s="784">
        <v>129483872.95906857</v>
      </c>
    </row>
    <row r="5271" spans="1:24">
      <c r="A5271" t="s">
        <v>358</v>
      </c>
      <c r="B5271" t="s">
        <v>600</v>
      </c>
      <c r="C5271" t="s">
        <v>205</v>
      </c>
      <c r="D5271" t="s">
        <v>129</v>
      </c>
      <c r="E5271" t="s">
        <v>377</v>
      </c>
      <c r="F5271" t="s">
        <v>310</v>
      </c>
      <c r="G5271" t="s">
        <v>344</v>
      </c>
      <c r="H5271" t="s">
        <v>104</v>
      </c>
      <c r="I5271">
        <v>2022</v>
      </c>
      <c r="J5271" t="s">
        <v>379</v>
      </c>
      <c r="K5271" t="s">
        <v>546</v>
      </c>
      <c r="L5271" s="784">
        <v>0</v>
      </c>
      <c r="M5271" t="s">
        <v>745</v>
      </c>
      <c r="N5271" t="s">
        <v>575</v>
      </c>
      <c r="P5271" t="s">
        <v>1887</v>
      </c>
      <c r="R5271" t="s">
        <v>152</v>
      </c>
      <c r="S5271" t="s">
        <v>146</v>
      </c>
      <c r="U5271">
        <v>0</v>
      </c>
      <c r="V5271" t="s">
        <v>544</v>
      </c>
      <c r="W5271" t="s">
        <v>546</v>
      </c>
      <c r="X5271" s="784">
        <v>271184658.35014349</v>
      </c>
    </row>
    <row r="5272" spans="1:24">
      <c r="A5272" t="s">
        <v>358</v>
      </c>
      <c r="B5272" t="s">
        <v>601</v>
      </c>
      <c r="C5272" t="s">
        <v>206</v>
      </c>
      <c r="D5272" t="s">
        <v>129</v>
      </c>
      <c r="E5272" t="s">
        <v>377</v>
      </c>
      <c r="F5272" t="s">
        <v>310</v>
      </c>
      <c r="G5272" t="s">
        <v>344</v>
      </c>
      <c r="H5272" t="s">
        <v>104</v>
      </c>
      <c r="I5272">
        <v>2022</v>
      </c>
      <c r="J5272" t="s">
        <v>379</v>
      </c>
      <c r="K5272" t="s">
        <v>546</v>
      </c>
      <c r="L5272" s="784">
        <v>0</v>
      </c>
      <c r="M5272" t="s">
        <v>745</v>
      </c>
      <c r="N5272" t="s">
        <v>575</v>
      </c>
      <c r="P5272" t="s">
        <v>1887</v>
      </c>
      <c r="R5272" t="s">
        <v>148</v>
      </c>
      <c r="S5272" t="s">
        <v>145</v>
      </c>
      <c r="U5272">
        <v>0</v>
      </c>
      <c r="V5272" t="s">
        <v>544</v>
      </c>
      <c r="W5272" t="s">
        <v>542</v>
      </c>
      <c r="X5272" s="784">
        <v>15455265.086884515</v>
      </c>
    </row>
    <row r="5273" spans="1:24">
      <c r="A5273" t="s">
        <v>358</v>
      </c>
      <c r="B5273" t="s">
        <v>602</v>
      </c>
      <c r="C5273" t="s">
        <v>207</v>
      </c>
      <c r="D5273" t="s">
        <v>127</v>
      </c>
      <c r="E5273" t="s">
        <v>377</v>
      </c>
      <c r="F5273" t="s">
        <v>310</v>
      </c>
      <c r="G5273" t="s">
        <v>344</v>
      </c>
      <c r="H5273" t="s">
        <v>104</v>
      </c>
      <c r="I5273">
        <v>2022</v>
      </c>
      <c r="J5273" t="s">
        <v>379</v>
      </c>
      <c r="K5273" t="s">
        <v>546</v>
      </c>
      <c r="L5273" s="784">
        <v>0</v>
      </c>
      <c r="M5273" t="s">
        <v>745</v>
      </c>
      <c r="N5273" t="s">
        <v>575</v>
      </c>
      <c r="P5273" t="s">
        <v>1887</v>
      </c>
      <c r="R5273" t="s">
        <v>152</v>
      </c>
      <c r="S5273" t="s">
        <v>146</v>
      </c>
      <c r="U5273">
        <v>0</v>
      </c>
      <c r="V5273" t="s">
        <v>544</v>
      </c>
      <c r="W5273" t="s">
        <v>546</v>
      </c>
      <c r="X5273" s="784">
        <v>494021502.525527</v>
      </c>
    </row>
    <row r="5274" spans="1:24">
      <c r="A5274" t="s">
        <v>358</v>
      </c>
      <c r="B5274" t="s">
        <v>603</v>
      </c>
      <c r="C5274" t="s">
        <v>208</v>
      </c>
      <c r="D5274" t="s">
        <v>129</v>
      </c>
      <c r="E5274" t="s">
        <v>377</v>
      </c>
      <c r="F5274" t="s">
        <v>310</v>
      </c>
      <c r="G5274" t="s">
        <v>344</v>
      </c>
      <c r="H5274" t="s">
        <v>104</v>
      </c>
      <c r="I5274">
        <v>2022</v>
      </c>
      <c r="J5274" t="s">
        <v>379</v>
      </c>
      <c r="K5274" t="s">
        <v>546</v>
      </c>
      <c r="L5274" s="784">
        <v>0</v>
      </c>
      <c r="M5274" t="s">
        <v>745</v>
      </c>
      <c r="N5274" t="s">
        <v>575</v>
      </c>
      <c r="P5274" t="s">
        <v>1887</v>
      </c>
      <c r="R5274" t="s">
        <v>150</v>
      </c>
      <c r="S5274" t="s">
        <v>145</v>
      </c>
      <c r="U5274">
        <v>0</v>
      </c>
      <c r="V5274" t="s">
        <v>544</v>
      </c>
      <c r="W5274" t="s">
        <v>542</v>
      </c>
      <c r="X5274" s="784">
        <v>902005621.73836684</v>
      </c>
    </row>
    <row r="5275" spans="1:24">
      <c r="A5275" t="s">
        <v>358</v>
      </c>
      <c r="B5275" t="s">
        <v>604</v>
      </c>
      <c r="C5275" t="s">
        <v>209</v>
      </c>
      <c r="D5275" t="s">
        <v>130</v>
      </c>
      <c r="E5275" t="s">
        <v>377</v>
      </c>
      <c r="F5275" t="s">
        <v>310</v>
      </c>
      <c r="G5275" t="s">
        <v>344</v>
      </c>
      <c r="H5275" t="s">
        <v>104</v>
      </c>
      <c r="I5275">
        <v>2022</v>
      </c>
      <c r="J5275" t="s">
        <v>379</v>
      </c>
      <c r="K5275" t="s">
        <v>546</v>
      </c>
      <c r="L5275" s="784">
        <v>0</v>
      </c>
      <c r="M5275" t="s">
        <v>745</v>
      </c>
      <c r="N5275" t="s">
        <v>575</v>
      </c>
      <c r="P5275" t="s">
        <v>1887</v>
      </c>
      <c r="R5275" t="s">
        <v>152</v>
      </c>
      <c r="S5275" t="s">
        <v>145</v>
      </c>
      <c r="U5275">
        <v>0</v>
      </c>
      <c r="V5275" t="s">
        <v>541</v>
      </c>
      <c r="W5275" t="s">
        <v>583</v>
      </c>
      <c r="X5275" s="784">
        <v>20201670.142996579</v>
      </c>
    </row>
    <row r="5276" spans="1:24">
      <c r="A5276" t="s">
        <v>358</v>
      </c>
      <c r="B5276" t="s">
        <v>605</v>
      </c>
      <c r="C5276" t="s">
        <v>210</v>
      </c>
      <c r="D5276" t="s">
        <v>130</v>
      </c>
      <c r="E5276" t="s">
        <v>377</v>
      </c>
      <c r="F5276" t="s">
        <v>310</v>
      </c>
      <c r="G5276" t="s">
        <v>344</v>
      </c>
      <c r="H5276" t="s">
        <v>104</v>
      </c>
      <c r="I5276">
        <v>2022</v>
      </c>
      <c r="J5276" t="s">
        <v>379</v>
      </c>
      <c r="K5276" t="s">
        <v>546</v>
      </c>
      <c r="L5276" s="784">
        <v>0</v>
      </c>
      <c r="M5276" t="s">
        <v>745</v>
      </c>
      <c r="N5276" t="s">
        <v>575</v>
      </c>
      <c r="P5276" t="s">
        <v>1887</v>
      </c>
      <c r="R5276" t="s">
        <v>152</v>
      </c>
      <c r="S5276" t="s">
        <v>146</v>
      </c>
      <c r="U5276">
        <v>0</v>
      </c>
      <c r="V5276" t="s">
        <v>544</v>
      </c>
      <c r="W5276" t="s">
        <v>575</v>
      </c>
      <c r="X5276" s="784">
        <v>1612434649.6948864</v>
      </c>
    </row>
    <row r="5277" spans="1:24">
      <c r="A5277" t="s">
        <v>358</v>
      </c>
      <c r="B5277" t="s">
        <v>606</v>
      </c>
      <c r="C5277" t="s">
        <v>211</v>
      </c>
      <c r="D5277" t="s">
        <v>129</v>
      </c>
      <c r="E5277" t="s">
        <v>377</v>
      </c>
      <c r="F5277" t="s">
        <v>310</v>
      </c>
      <c r="G5277" t="s">
        <v>344</v>
      </c>
      <c r="H5277" t="s">
        <v>104</v>
      </c>
      <c r="I5277">
        <v>2022</v>
      </c>
      <c r="J5277" t="s">
        <v>379</v>
      </c>
      <c r="K5277" t="s">
        <v>546</v>
      </c>
      <c r="L5277" s="784">
        <v>0</v>
      </c>
      <c r="M5277" t="s">
        <v>745</v>
      </c>
      <c r="N5277" t="s">
        <v>575</v>
      </c>
      <c r="P5277" t="s">
        <v>1887</v>
      </c>
      <c r="R5277" t="s">
        <v>148</v>
      </c>
      <c r="S5277" t="s">
        <v>145</v>
      </c>
      <c r="U5277">
        <v>0</v>
      </c>
      <c r="V5277" t="s">
        <v>544</v>
      </c>
      <c r="W5277" t="s">
        <v>562</v>
      </c>
      <c r="X5277" s="784">
        <v>78203134.118229344</v>
      </c>
    </row>
    <row r="5278" spans="1:24">
      <c r="A5278" t="s">
        <v>358</v>
      </c>
      <c r="B5278" t="s">
        <v>607</v>
      </c>
      <c r="C5278" t="s">
        <v>212</v>
      </c>
      <c r="D5278" t="s">
        <v>129</v>
      </c>
      <c r="E5278" t="s">
        <v>377</v>
      </c>
      <c r="F5278" t="s">
        <v>310</v>
      </c>
      <c r="G5278" t="s">
        <v>344</v>
      </c>
      <c r="H5278" t="s">
        <v>104</v>
      </c>
      <c r="I5278">
        <v>2022</v>
      </c>
      <c r="J5278" t="s">
        <v>379</v>
      </c>
      <c r="K5278" t="s">
        <v>546</v>
      </c>
      <c r="L5278" s="784">
        <v>0</v>
      </c>
      <c r="M5278" t="s">
        <v>745</v>
      </c>
      <c r="N5278" t="s">
        <v>575</v>
      </c>
      <c r="P5278" t="s">
        <v>1887</v>
      </c>
      <c r="R5278" t="s">
        <v>148</v>
      </c>
      <c r="S5278" t="s">
        <v>145</v>
      </c>
      <c r="U5278">
        <v>2</v>
      </c>
      <c r="V5278" t="s">
        <v>541</v>
      </c>
      <c r="W5278" t="s">
        <v>542</v>
      </c>
      <c r="X5278" s="784">
        <v>9151637.7411015611</v>
      </c>
    </row>
    <row r="5279" spans="1:24">
      <c r="A5279" t="s">
        <v>358</v>
      </c>
      <c r="B5279" t="s">
        <v>608</v>
      </c>
      <c r="C5279" t="s">
        <v>213</v>
      </c>
      <c r="D5279" t="s">
        <v>130</v>
      </c>
      <c r="E5279" t="s">
        <v>377</v>
      </c>
      <c r="F5279" t="s">
        <v>310</v>
      </c>
      <c r="G5279" t="s">
        <v>344</v>
      </c>
      <c r="H5279" t="s">
        <v>104</v>
      </c>
      <c r="I5279">
        <v>2022</v>
      </c>
      <c r="J5279" t="s">
        <v>379</v>
      </c>
      <c r="K5279" t="s">
        <v>546</v>
      </c>
      <c r="L5279" s="784">
        <v>0</v>
      </c>
      <c r="M5279" t="s">
        <v>745</v>
      </c>
      <c r="N5279" t="s">
        <v>575</v>
      </c>
      <c r="P5279" t="s">
        <v>1887</v>
      </c>
      <c r="R5279" t="s">
        <v>152</v>
      </c>
      <c r="S5279" t="s">
        <v>145</v>
      </c>
      <c r="U5279">
        <v>0</v>
      </c>
      <c r="V5279" t="s">
        <v>541</v>
      </c>
      <c r="W5279" t="s">
        <v>562</v>
      </c>
      <c r="X5279" s="784">
        <v>142455920.02856269</v>
      </c>
    </row>
    <row r="5280" spans="1:24">
      <c r="A5280" t="s">
        <v>358</v>
      </c>
      <c r="B5280" t="s">
        <v>609</v>
      </c>
      <c r="C5280" t="s">
        <v>214</v>
      </c>
      <c r="D5280" t="s">
        <v>130</v>
      </c>
      <c r="E5280" t="s">
        <v>377</v>
      </c>
      <c r="F5280" t="s">
        <v>310</v>
      </c>
      <c r="G5280" t="s">
        <v>344</v>
      </c>
      <c r="H5280" t="s">
        <v>104</v>
      </c>
      <c r="I5280">
        <v>2022</v>
      </c>
      <c r="J5280" t="s">
        <v>379</v>
      </c>
      <c r="K5280" t="s">
        <v>546</v>
      </c>
      <c r="L5280" s="784">
        <v>0</v>
      </c>
      <c r="M5280" t="s">
        <v>745</v>
      </c>
      <c r="N5280" t="s">
        <v>575</v>
      </c>
      <c r="P5280" t="s">
        <v>1887</v>
      </c>
      <c r="R5280" t="s">
        <v>150</v>
      </c>
      <c r="S5280" t="s">
        <v>145</v>
      </c>
      <c r="U5280">
        <v>1</v>
      </c>
      <c r="V5280" t="s">
        <v>541</v>
      </c>
      <c r="W5280" t="s">
        <v>542</v>
      </c>
      <c r="X5280" s="784">
        <v>85611818.171245083</v>
      </c>
    </row>
    <row r="5281" spans="1:24">
      <c r="A5281" t="s">
        <v>358</v>
      </c>
      <c r="B5281" t="s">
        <v>610</v>
      </c>
      <c r="C5281" t="s">
        <v>215</v>
      </c>
      <c r="D5281" t="s">
        <v>130</v>
      </c>
      <c r="E5281" t="s">
        <v>377</v>
      </c>
      <c r="F5281" t="s">
        <v>310</v>
      </c>
      <c r="G5281" t="s">
        <v>344</v>
      </c>
      <c r="H5281" t="s">
        <v>104</v>
      </c>
      <c r="I5281">
        <v>2022</v>
      </c>
      <c r="J5281" t="s">
        <v>379</v>
      </c>
      <c r="K5281" t="s">
        <v>546</v>
      </c>
      <c r="L5281" s="784">
        <v>0</v>
      </c>
      <c r="M5281" t="s">
        <v>745</v>
      </c>
      <c r="N5281" t="s">
        <v>575</v>
      </c>
      <c r="P5281" t="s">
        <v>1887</v>
      </c>
      <c r="R5281" t="s">
        <v>150</v>
      </c>
      <c r="S5281" t="s">
        <v>145</v>
      </c>
      <c r="U5281">
        <v>0</v>
      </c>
      <c r="V5281" t="s">
        <v>544</v>
      </c>
      <c r="W5281" t="s">
        <v>558</v>
      </c>
      <c r="X5281" s="784">
        <v>680289736.30082119</v>
      </c>
    </row>
    <row r="5282" spans="1:24">
      <c r="A5282" t="s">
        <v>358</v>
      </c>
      <c r="B5282" t="s">
        <v>611</v>
      </c>
      <c r="C5282" t="s">
        <v>216</v>
      </c>
      <c r="D5282" t="s">
        <v>132</v>
      </c>
      <c r="E5282" t="s">
        <v>377</v>
      </c>
      <c r="F5282" t="s">
        <v>310</v>
      </c>
      <c r="G5282" t="s">
        <v>344</v>
      </c>
      <c r="H5282" t="s">
        <v>104</v>
      </c>
      <c r="I5282">
        <v>2022</v>
      </c>
      <c r="J5282" t="s">
        <v>379</v>
      </c>
      <c r="K5282" t="s">
        <v>546</v>
      </c>
      <c r="L5282" s="784">
        <v>0</v>
      </c>
      <c r="M5282" t="s">
        <v>745</v>
      </c>
      <c r="N5282" t="s">
        <v>575</v>
      </c>
      <c r="P5282" t="s">
        <v>1887</v>
      </c>
      <c r="R5282" t="s">
        <v>150</v>
      </c>
      <c r="S5282" t="s">
        <v>145</v>
      </c>
      <c r="U5282">
        <v>0</v>
      </c>
      <c r="V5282" t="s">
        <v>544</v>
      </c>
      <c r="W5282" t="s">
        <v>546</v>
      </c>
      <c r="X5282" s="784">
        <v>26554332750.47023</v>
      </c>
    </row>
    <row r="5283" spans="1:24">
      <c r="A5283" t="s">
        <v>358</v>
      </c>
      <c r="B5283" t="s">
        <v>612</v>
      </c>
      <c r="C5283" t="s">
        <v>217</v>
      </c>
      <c r="D5283" t="s">
        <v>126</v>
      </c>
      <c r="E5283" t="s">
        <v>377</v>
      </c>
      <c r="F5283" t="s">
        <v>310</v>
      </c>
      <c r="G5283" t="s">
        <v>344</v>
      </c>
      <c r="H5283" t="s">
        <v>104</v>
      </c>
      <c r="I5283">
        <v>2022</v>
      </c>
      <c r="J5283" t="s">
        <v>379</v>
      </c>
      <c r="K5283" t="s">
        <v>546</v>
      </c>
      <c r="L5283" s="784">
        <v>0</v>
      </c>
      <c r="M5283" t="s">
        <v>745</v>
      </c>
      <c r="N5283" t="s">
        <v>575</v>
      </c>
      <c r="P5283" t="s">
        <v>1887</v>
      </c>
      <c r="R5283" t="s">
        <v>150</v>
      </c>
      <c r="S5283" t="s">
        <v>145</v>
      </c>
      <c r="U5283">
        <v>0</v>
      </c>
      <c r="V5283" t="s">
        <v>544</v>
      </c>
      <c r="W5283" t="s">
        <v>546</v>
      </c>
      <c r="X5283" s="784">
        <v>14745961064.890842</v>
      </c>
    </row>
    <row r="5284" spans="1:24">
      <c r="A5284" t="s">
        <v>358</v>
      </c>
      <c r="B5284" t="s">
        <v>613</v>
      </c>
      <c r="C5284" t="s">
        <v>149</v>
      </c>
      <c r="D5284" t="s">
        <v>131</v>
      </c>
      <c r="E5284" t="s">
        <v>377</v>
      </c>
      <c r="F5284" t="s">
        <v>310</v>
      </c>
      <c r="G5284" t="s">
        <v>344</v>
      </c>
      <c r="H5284" t="s">
        <v>104</v>
      </c>
      <c r="I5284">
        <v>2022</v>
      </c>
      <c r="J5284" t="s">
        <v>379</v>
      </c>
      <c r="K5284" t="s">
        <v>546</v>
      </c>
      <c r="L5284" s="784">
        <v>0</v>
      </c>
      <c r="M5284" t="s">
        <v>745</v>
      </c>
      <c r="N5284" t="s">
        <v>575</v>
      </c>
      <c r="P5284" t="s">
        <v>1887</v>
      </c>
      <c r="R5284" t="s">
        <v>150</v>
      </c>
      <c r="S5284" t="s">
        <v>146</v>
      </c>
      <c r="U5284">
        <v>0</v>
      </c>
      <c r="V5284" t="s">
        <v>544</v>
      </c>
      <c r="W5284" t="s">
        <v>546</v>
      </c>
      <c r="X5284" s="784">
        <v>18194076299.786381</v>
      </c>
    </row>
    <row r="5285" spans="1:24">
      <c r="A5285" t="s">
        <v>358</v>
      </c>
      <c r="B5285" t="s">
        <v>614</v>
      </c>
      <c r="C5285" t="s">
        <v>218</v>
      </c>
      <c r="D5285" t="s">
        <v>131</v>
      </c>
      <c r="E5285" t="s">
        <v>377</v>
      </c>
      <c r="F5285" t="s">
        <v>310</v>
      </c>
      <c r="G5285" t="s">
        <v>344</v>
      </c>
      <c r="H5285" t="s">
        <v>104</v>
      </c>
      <c r="I5285">
        <v>2022</v>
      </c>
      <c r="J5285" t="s">
        <v>379</v>
      </c>
      <c r="K5285" t="s">
        <v>546</v>
      </c>
      <c r="L5285" s="784">
        <v>0</v>
      </c>
      <c r="M5285" t="s">
        <v>745</v>
      </c>
      <c r="N5285" t="s">
        <v>575</v>
      </c>
      <c r="P5285" t="s">
        <v>1887</v>
      </c>
      <c r="R5285" t="s">
        <v>152</v>
      </c>
      <c r="S5285" t="s">
        <v>146</v>
      </c>
      <c r="U5285">
        <v>0</v>
      </c>
      <c r="V5285" t="s">
        <v>544</v>
      </c>
      <c r="W5285" t="s">
        <v>546</v>
      </c>
      <c r="X5285" s="784">
        <v>4428819387.769825</v>
      </c>
    </row>
    <row r="5286" spans="1:24">
      <c r="A5286" t="s">
        <v>358</v>
      </c>
      <c r="B5286" t="s">
        <v>615</v>
      </c>
      <c r="C5286" t="s">
        <v>219</v>
      </c>
      <c r="D5286" t="s">
        <v>130</v>
      </c>
      <c r="E5286" t="s">
        <v>377</v>
      </c>
      <c r="F5286" t="s">
        <v>310</v>
      </c>
      <c r="G5286" t="s">
        <v>344</v>
      </c>
      <c r="H5286" t="s">
        <v>104</v>
      </c>
      <c r="I5286">
        <v>2022</v>
      </c>
      <c r="J5286" t="s">
        <v>379</v>
      </c>
      <c r="K5286" t="s">
        <v>546</v>
      </c>
      <c r="L5286" s="784">
        <v>0</v>
      </c>
      <c r="M5286" t="s">
        <v>745</v>
      </c>
      <c r="N5286" t="s">
        <v>575</v>
      </c>
      <c r="P5286" t="s">
        <v>1887</v>
      </c>
      <c r="R5286" t="s">
        <v>152</v>
      </c>
      <c r="S5286" t="s">
        <v>146</v>
      </c>
      <c r="U5286">
        <v>0</v>
      </c>
      <c r="V5286" t="s">
        <v>541</v>
      </c>
      <c r="W5286" t="s">
        <v>575</v>
      </c>
      <c r="X5286" s="784">
        <v>611739560.62679195</v>
      </c>
    </row>
    <row r="5287" spans="1:24">
      <c r="A5287" t="s">
        <v>358</v>
      </c>
      <c r="B5287" t="s">
        <v>616</v>
      </c>
      <c r="C5287" t="s">
        <v>220</v>
      </c>
      <c r="D5287" t="s">
        <v>131</v>
      </c>
      <c r="E5287" t="s">
        <v>377</v>
      </c>
      <c r="F5287" t="s">
        <v>310</v>
      </c>
      <c r="G5287" t="s">
        <v>344</v>
      </c>
      <c r="H5287" t="s">
        <v>104</v>
      </c>
      <c r="I5287">
        <v>2022</v>
      </c>
      <c r="J5287" t="s">
        <v>379</v>
      </c>
      <c r="K5287" t="s">
        <v>546</v>
      </c>
      <c r="L5287" s="784">
        <v>0</v>
      </c>
      <c r="M5287" t="s">
        <v>745</v>
      </c>
      <c r="N5287" t="s">
        <v>575</v>
      </c>
      <c r="P5287" t="s">
        <v>1887</v>
      </c>
      <c r="R5287" t="s">
        <v>152</v>
      </c>
      <c r="S5287" t="s">
        <v>146</v>
      </c>
      <c r="U5287">
        <v>0</v>
      </c>
      <c r="V5287" t="s">
        <v>544</v>
      </c>
      <c r="W5287" t="s">
        <v>546</v>
      </c>
      <c r="X5287" s="784">
        <v>1617913383.0481031</v>
      </c>
    </row>
    <row r="5288" spans="1:24">
      <c r="A5288" t="s">
        <v>358</v>
      </c>
      <c r="B5288" t="s">
        <v>617</v>
      </c>
      <c r="C5288" t="s">
        <v>221</v>
      </c>
      <c r="D5288" t="s">
        <v>127</v>
      </c>
      <c r="E5288" t="s">
        <v>377</v>
      </c>
      <c r="F5288" t="s">
        <v>310</v>
      </c>
      <c r="G5288" t="s">
        <v>344</v>
      </c>
      <c r="H5288" t="s">
        <v>104</v>
      </c>
      <c r="I5288">
        <v>2022</v>
      </c>
      <c r="J5288" t="s">
        <v>379</v>
      </c>
      <c r="K5288" t="s">
        <v>546</v>
      </c>
      <c r="L5288" s="784">
        <v>0</v>
      </c>
      <c r="M5288" t="s">
        <v>745</v>
      </c>
      <c r="N5288" t="s">
        <v>575</v>
      </c>
      <c r="P5288" t="s">
        <v>1887</v>
      </c>
      <c r="R5288" t="s">
        <v>152</v>
      </c>
      <c r="S5288" t="s">
        <v>146</v>
      </c>
      <c r="U5288">
        <v>0</v>
      </c>
      <c r="V5288" t="s">
        <v>544</v>
      </c>
      <c r="W5288" t="s">
        <v>575</v>
      </c>
      <c r="X5288" s="784">
        <v>3074419112.4562683</v>
      </c>
    </row>
    <row r="5289" spans="1:24">
      <c r="A5289" t="s">
        <v>358</v>
      </c>
      <c r="B5289" t="s">
        <v>618</v>
      </c>
      <c r="C5289" t="s">
        <v>222</v>
      </c>
      <c r="D5289" t="s">
        <v>128</v>
      </c>
      <c r="E5289" t="s">
        <v>377</v>
      </c>
      <c r="F5289" t="s">
        <v>310</v>
      </c>
      <c r="G5289" t="s">
        <v>344</v>
      </c>
      <c r="H5289" t="s">
        <v>104</v>
      </c>
      <c r="I5289">
        <v>2022</v>
      </c>
      <c r="J5289" t="s">
        <v>379</v>
      </c>
      <c r="K5289" t="s">
        <v>546</v>
      </c>
      <c r="L5289" s="784">
        <v>0</v>
      </c>
      <c r="M5289" t="s">
        <v>745</v>
      </c>
      <c r="N5289" t="s">
        <v>575</v>
      </c>
      <c r="P5289" t="s">
        <v>1887</v>
      </c>
      <c r="R5289" t="s">
        <v>150</v>
      </c>
      <c r="S5289" t="s">
        <v>145</v>
      </c>
      <c r="U5289">
        <v>0</v>
      </c>
      <c r="V5289" t="s">
        <v>544</v>
      </c>
      <c r="W5289" t="s">
        <v>542</v>
      </c>
      <c r="X5289" s="784">
        <v>1914014279.8929913</v>
      </c>
    </row>
    <row r="5290" spans="1:24">
      <c r="A5290" t="s">
        <v>358</v>
      </c>
      <c r="B5290" t="s">
        <v>619</v>
      </c>
      <c r="C5290" t="s">
        <v>223</v>
      </c>
      <c r="D5290" t="s">
        <v>126</v>
      </c>
      <c r="E5290" t="s">
        <v>377</v>
      </c>
      <c r="F5290" t="s">
        <v>310</v>
      </c>
      <c r="G5290" t="s">
        <v>344</v>
      </c>
      <c r="H5290" t="s">
        <v>104</v>
      </c>
      <c r="I5290">
        <v>2022</v>
      </c>
      <c r="J5290" t="s">
        <v>379</v>
      </c>
      <c r="K5290" t="s">
        <v>546</v>
      </c>
      <c r="L5290" s="784">
        <v>0</v>
      </c>
      <c r="M5290" t="s">
        <v>745</v>
      </c>
      <c r="N5290" t="s">
        <v>575</v>
      </c>
      <c r="P5290" t="s">
        <v>1887</v>
      </c>
      <c r="R5290" t="s">
        <v>150</v>
      </c>
      <c r="S5290" t="s">
        <v>145</v>
      </c>
      <c r="U5290">
        <v>0</v>
      </c>
      <c r="V5290" t="s">
        <v>541</v>
      </c>
      <c r="W5290" t="s">
        <v>542</v>
      </c>
      <c r="X5290" s="784">
        <v>17422005.762907442</v>
      </c>
    </row>
    <row r="5291" spans="1:24">
      <c r="A5291" t="s">
        <v>358</v>
      </c>
      <c r="B5291" t="s">
        <v>620</v>
      </c>
      <c r="C5291" t="s">
        <v>224</v>
      </c>
      <c r="D5291" t="s">
        <v>126</v>
      </c>
      <c r="E5291" t="s">
        <v>377</v>
      </c>
      <c r="F5291" t="s">
        <v>310</v>
      </c>
      <c r="G5291" t="s">
        <v>344</v>
      </c>
      <c r="H5291" t="s">
        <v>104</v>
      </c>
      <c r="I5291">
        <v>2022</v>
      </c>
      <c r="J5291" t="s">
        <v>379</v>
      </c>
      <c r="K5291" t="s">
        <v>546</v>
      </c>
      <c r="L5291" s="784">
        <v>0</v>
      </c>
      <c r="M5291" t="s">
        <v>745</v>
      </c>
      <c r="N5291" t="s">
        <v>575</v>
      </c>
      <c r="P5291" t="s">
        <v>1887</v>
      </c>
      <c r="R5291" t="s">
        <v>148</v>
      </c>
      <c r="S5291" t="s">
        <v>145</v>
      </c>
      <c r="U5291">
        <v>0</v>
      </c>
      <c r="V5291" t="s">
        <v>544</v>
      </c>
      <c r="W5291" t="s">
        <v>546</v>
      </c>
      <c r="X5291" s="784" t="s">
        <v>575</v>
      </c>
    </row>
    <row r="5292" spans="1:24">
      <c r="A5292" t="s">
        <v>358</v>
      </c>
      <c r="B5292" t="s">
        <v>621</v>
      </c>
      <c r="C5292" t="s">
        <v>225</v>
      </c>
      <c r="D5292" t="s">
        <v>127</v>
      </c>
      <c r="E5292" t="s">
        <v>377</v>
      </c>
      <c r="F5292" t="s">
        <v>310</v>
      </c>
      <c r="G5292" t="s">
        <v>344</v>
      </c>
      <c r="H5292" t="s">
        <v>104</v>
      </c>
      <c r="I5292">
        <v>2022</v>
      </c>
      <c r="J5292" t="s">
        <v>379</v>
      </c>
      <c r="K5292" t="s">
        <v>546</v>
      </c>
      <c r="L5292" s="784">
        <v>0</v>
      </c>
      <c r="M5292" t="s">
        <v>745</v>
      </c>
      <c r="N5292" t="s">
        <v>575</v>
      </c>
      <c r="P5292" t="s">
        <v>1887</v>
      </c>
      <c r="R5292" t="s">
        <v>152</v>
      </c>
      <c r="S5292" t="s">
        <v>145</v>
      </c>
      <c r="U5292">
        <v>0</v>
      </c>
      <c r="V5292" t="s">
        <v>544</v>
      </c>
      <c r="W5292" t="s">
        <v>548</v>
      </c>
      <c r="X5292" s="784" t="s">
        <v>575</v>
      </c>
    </row>
    <row r="5293" spans="1:24">
      <c r="A5293" t="s">
        <v>358</v>
      </c>
      <c r="B5293" t="s">
        <v>622</v>
      </c>
      <c r="C5293" t="s">
        <v>226</v>
      </c>
      <c r="D5293" t="s">
        <v>127</v>
      </c>
      <c r="E5293" t="s">
        <v>377</v>
      </c>
      <c r="F5293" t="s">
        <v>310</v>
      </c>
      <c r="G5293" t="s">
        <v>344</v>
      </c>
      <c r="H5293" t="s">
        <v>104</v>
      </c>
      <c r="I5293">
        <v>2022</v>
      </c>
      <c r="J5293" t="s">
        <v>379</v>
      </c>
      <c r="K5293" t="s">
        <v>546</v>
      </c>
      <c r="L5293" s="784">
        <v>0</v>
      </c>
      <c r="M5293" t="s">
        <v>745</v>
      </c>
      <c r="N5293" t="s">
        <v>575</v>
      </c>
      <c r="P5293" t="s">
        <v>1887</v>
      </c>
      <c r="R5293" t="s">
        <v>150</v>
      </c>
      <c r="S5293" t="s">
        <v>145</v>
      </c>
      <c r="U5293">
        <v>2</v>
      </c>
      <c r="V5293" t="s">
        <v>544</v>
      </c>
      <c r="W5293" t="s">
        <v>562</v>
      </c>
      <c r="X5293" s="784">
        <v>231506834.84347546</v>
      </c>
    </row>
    <row r="5294" spans="1:24">
      <c r="A5294" t="s">
        <v>358</v>
      </c>
      <c r="B5294" t="s">
        <v>623</v>
      </c>
      <c r="C5294" t="s">
        <v>227</v>
      </c>
      <c r="D5294" t="s">
        <v>126</v>
      </c>
      <c r="E5294" t="s">
        <v>377</v>
      </c>
      <c r="F5294" t="s">
        <v>310</v>
      </c>
      <c r="G5294" t="s">
        <v>344</v>
      </c>
      <c r="H5294" t="s">
        <v>104</v>
      </c>
      <c r="I5294">
        <v>2022</v>
      </c>
      <c r="J5294" t="s">
        <v>379</v>
      </c>
      <c r="K5294" t="s">
        <v>546</v>
      </c>
      <c r="L5294" s="784">
        <v>0</v>
      </c>
      <c r="M5294" t="s">
        <v>745</v>
      </c>
      <c r="N5294" t="s">
        <v>575</v>
      </c>
      <c r="P5294" t="s">
        <v>1887</v>
      </c>
      <c r="R5294" t="s">
        <v>150</v>
      </c>
      <c r="S5294" t="s">
        <v>145</v>
      </c>
      <c r="U5294">
        <v>0</v>
      </c>
      <c r="V5294" t="s">
        <v>544</v>
      </c>
      <c r="W5294" t="s">
        <v>542</v>
      </c>
      <c r="X5294" s="784">
        <v>156059428.62944782</v>
      </c>
    </row>
    <row r="5295" spans="1:24">
      <c r="A5295" t="s">
        <v>358</v>
      </c>
      <c r="B5295" t="s">
        <v>624</v>
      </c>
      <c r="C5295" t="s">
        <v>228</v>
      </c>
      <c r="D5295" t="s">
        <v>131</v>
      </c>
      <c r="E5295" t="s">
        <v>377</v>
      </c>
      <c r="F5295" t="s">
        <v>310</v>
      </c>
      <c r="G5295" t="s">
        <v>344</v>
      </c>
      <c r="H5295" t="s">
        <v>104</v>
      </c>
      <c r="I5295">
        <v>2022</v>
      </c>
      <c r="J5295" t="s">
        <v>379</v>
      </c>
      <c r="K5295" t="s">
        <v>546</v>
      </c>
      <c r="L5295" s="784">
        <v>0</v>
      </c>
      <c r="M5295" t="s">
        <v>745</v>
      </c>
      <c r="N5295" t="s">
        <v>575</v>
      </c>
      <c r="P5295" t="s">
        <v>1887</v>
      </c>
      <c r="R5295" t="s">
        <v>152</v>
      </c>
      <c r="S5295" t="s">
        <v>146</v>
      </c>
      <c r="U5295">
        <v>0</v>
      </c>
      <c r="V5295" t="s">
        <v>544</v>
      </c>
      <c r="W5295" t="s">
        <v>546</v>
      </c>
      <c r="X5295" s="784">
        <v>2355391507.1635861</v>
      </c>
    </row>
    <row r="5296" spans="1:24">
      <c r="A5296" t="s">
        <v>358</v>
      </c>
      <c r="B5296" t="s">
        <v>625</v>
      </c>
      <c r="C5296" t="s">
        <v>229</v>
      </c>
      <c r="D5296" t="s">
        <v>128</v>
      </c>
      <c r="E5296" t="s">
        <v>377</v>
      </c>
      <c r="F5296" t="s">
        <v>310</v>
      </c>
      <c r="G5296" t="s">
        <v>344</v>
      </c>
      <c r="H5296" t="s">
        <v>104</v>
      </c>
      <c r="I5296">
        <v>2022</v>
      </c>
      <c r="J5296" t="s">
        <v>379</v>
      </c>
      <c r="K5296" t="s">
        <v>546</v>
      </c>
      <c r="L5296" s="784">
        <v>0</v>
      </c>
      <c r="M5296" t="s">
        <v>745</v>
      </c>
      <c r="N5296" t="s">
        <v>575</v>
      </c>
      <c r="P5296" t="s">
        <v>1887</v>
      </c>
      <c r="R5296" t="s">
        <v>150</v>
      </c>
      <c r="S5296" t="s">
        <v>145</v>
      </c>
      <c r="U5296">
        <v>0</v>
      </c>
      <c r="V5296" t="s">
        <v>544</v>
      </c>
      <c r="W5296" t="s">
        <v>562</v>
      </c>
      <c r="X5296" s="784">
        <v>152760919.7684873</v>
      </c>
    </row>
    <row r="5297" spans="1:24">
      <c r="A5297" t="s">
        <v>358</v>
      </c>
      <c r="B5297" t="s">
        <v>626</v>
      </c>
      <c r="C5297" t="s">
        <v>230</v>
      </c>
      <c r="D5297" t="s">
        <v>129</v>
      </c>
      <c r="E5297" t="s">
        <v>377</v>
      </c>
      <c r="F5297" t="s">
        <v>310</v>
      </c>
      <c r="G5297" t="s">
        <v>344</v>
      </c>
      <c r="H5297" t="s">
        <v>104</v>
      </c>
      <c r="I5297">
        <v>2022</v>
      </c>
      <c r="J5297" t="s">
        <v>379</v>
      </c>
      <c r="K5297" t="s">
        <v>546</v>
      </c>
      <c r="L5297" s="784">
        <v>0</v>
      </c>
      <c r="M5297" t="s">
        <v>745</v>
      </c>
      <c r="N5297" t="s">
        <v>575</v>
      </c>
      <c r="P5297" t="s">
        <v>1887</v>
      </c>
      <c r="R5297" t="s">
        <v>148</v>
      </c>
      <c r="S5297" t="s">
        <v>145</v>
      </c>
      <c r="U5297">
        <v>0</v>
      </c>
      <c r="V5297" t="s">
        <v>544</v>
      </c>
      <c r="W5297" t="s">
        <v>542</v>
      </c>
      <c r="X5297" s="784">
        <v>55072006.864440605</v>
      </c>
    </row>
    <row r="5298" spans="1:24">
      <c r="A5298" t="s">
        <v>358</v>
      </c>
      <c r="B5298" t="s">
        <v>627</v>
      </c>
      <c r="C5298" t="s">
        <v>231</v>
      </c>
      <c r="D5298" t="s">
        <v>131</v>
      </c>
      <c r="E5298" t="s">
        <v>377</v>
      </c>
      <c r="F5298" t="s">
        <v>310</v>
      </c>
      <c r="G5298" t="s">
        <v>344</v>
      </c>
      <c r="H5298" t="s">
        <v>104</v>
      </c>
      <c r="I5298">
        <v>2022</v>
      </c>
      <c r="J5298" t="s">
        <v>379</v>
      </c>
      <c r="K5298" t="s">
        <v>546</v>
      </c>
      <c r="L5298" s="784">
        <v>0</v>
      </c>
      <c r="M5298" t="s">
        <v>745</v>
      </c>
      <c r="N5298" t="s">
        <v>575</v>
      </c>
      <c r="P5298" t="s">
        <v>1887</v>
      </c>
      <c r="R5298" t="s">
        <v>152</v>
      </c>
      <c r="S5298" t="s">
        <v>146</v>
      </c>
      <c r="U5298">
        <v>0</v>
      </c>
      <c r="V5298" t="s">
        <v>544</v>
      </c>
      <c r="W5298" t="s">
        <v>546</v>
      </c>
      <c r="X5298" s="784" t="s">
        <v>575</v>
      </c>
    </row>
    <row r="5299" spans="1:24">
      <c r="A5299" t="s">
        <v>358</v>
      </c>
      <c r="B5299" t="s">
        <v>628</v>
      </c>
      <c r="C5299" t="s">
        <v>232</v>
      </c>
      <c r="D5299" t="s">
        <v>128</v>
      </c>
      <c r="E5299" t="s">
        <v>377</v>
      </c>
      <c r="F5299" t="s">
        <v>310</v>
      </c>
      <c r="G5299" t="s">
        <v>344</v>
      </c>
      <c r="H5299" t="s">
        <v>104</v>
      </c>
      <c r="I5299">
        <v>2022</v>
      </c>
      <c r="J5299" t="s">
        <v>379</v>
      </c>
      <c r="K5299" t="s">
        <v>546</v>
      </c>
      <c r="L5299" s="784">
        <v>0</v>
      </c>
      <c r="M5299" t="s">
        <v>745</v>
      </c>
      <c r="N5299" t="s">
        <v>575</v>
      </c>
      <c r="P5299" t="s">
        <v>1887</v>
      </c>
      <c r="R5299" t="s">
        <v>148</v>
      </c>
      <c r="S5299" t="s">
        <v>145</v>
      </c>
      <c r="U5299">
        <v>2</v>
      </c>
      <c r="V5299" t="s">
        <v>544</v>
      </c>
      <c r="W5299" t="s">
        <v>562</v>
      </c>
      <c r="X5299" s="784">
        <v>206914157.05429548</v>
      </c>
    </row>
    <row r="5300" spans="1:24">
      <c r="A5300" t="s">
        <v>358</v>
      </c>
      <c r="B5300" t="s">
        <v>629</v>
      </c>
      <c r="C5300" t="s">
        <v>233</v>
      </c>
      <c r="D5300" t="s">
        <v>128</v>
      </c>
      <c r="E5300" t="s">
        <v>377</v>
      </c>
      <c r="F5300" t="s">
        <v>310</v>
      </c>
      <c r="G5300" t="s">
        <v>344</v>
      </c>
      <c r="H5300" t="s">
        <v>104</v>
      </c>
      <c r="I5300">
        <v>2022</v>
      </c>
      <c r="J5300" t="s">
        <v>379</v>
      </c>
      <c r="K5300" t="s">
        <v>546</v>
      </c>
      <c r="L5300" s="784">
        <v>0</v>
      </c>
      <c r="M5300" t="s">
        <v>745</v>
      </c>
      <c r="N5300" t="s">
        <v>575</v>
      </c>
      <c r="P5300" t="s">
        <v>1887</v>
      </c>
      <c r="R5300" t="s">
        <v>148</v>
      </c>
      <c r="S5300" t="s">
        <v>145</v>
      </c>
      <c r="U5300">
        <v>2</v>
      </c>
      <c r="V5300" t="s">
        <v>544</v>
      </c>
      <c r="W5300" t="s">
        <v>542</v>
      </c>
      <c r="X5300" s="784">
        <v>185999915.02066413</v>
      </c>
    </row>
    <row r="5301" spans="1:24">
      <c r="A5301" t="s">
        <v>358</v>
      </c>
      <c r="B5301" t="s">
        <v>630</v>
      </c>
      <c r="C5301" t="s">
        <v>234</v>
      </c>
      <c r="D5301" t="s">
        <v>126</v>
      </c>
      <c r="E5301" t="s">
        <v>377</v>
      </c>
      <c r="F5301" t="s">
        <v>310</v>
      </c>
      <c r="G5301" t="s">
        <v>344</v>
      </c>
      <c r="H5301" t="s">
        <v>104</v>
      </c>
      <c r="I5301">
        <v>2022</v>
      </c>
      <c r="J5301" t="s">
        <v>379</v>
      </c>
      <c r="K5301" t="s">
        <v>546</v>
      </c>
      <c r="L5301" s="784">
        <v>0</v>
      </c>
      <c r="M5301" t="s">
        <v>745</v>
      </c>
      <c r="N5301" t="s">
        <v>575</v>
      </c>
      <c r="P5301" t="s">
        <v>1887</v>
      </c>
      <c r="R5301" t="s">
        <v>152</v>
      </c>
      <c r="S5301" t="s">
        <v>146</v>
      </c>
      <c r="U5301">
        <v>0</v>
      </c>
      <c r="V5301" t="s">
        <v>544</v>
      </c>
      <c r="W5301" t="s">
        <v>575</v>
      </c>
      <c r="X5301" s="784">
        <v>6893755763.2501726</v>
      </c>
    </row>
    <row r="5302" spans="1:24">
      <c r="A5302" t="s">
        <v>358</v>
      </c>
      <c r="B5302" t="s">
        <v>631</v>
      </c>
      <c r="C5302" t="s">
        <v>235</v>
      </c>
      <c r="D5302" t="s">
        <v>132</v>
      </c>
      <c r="E5302" t="s">
        <v>377</v>
      </c>
      <c r="F5302" t="s">
        <v>310</v>
      </c>
      <c r="G5302" t="s">
        <v>344</v>
      </c>
      <c r="H5302" t="s">
        <v>104</v>
      </c>
      <c r="I5302">
        <v>2022</v>
      </c>
      <c r="J5302" t="s">
        <v>379</v>
      </c>
      <c r="K5302" t="s">
        <v>546</v>
      </c>
      <c r="L5302" s="784">
        <v>0</v>
      </c>
      <c r="M5302" t="s">
        <v>745</v>
      </c>
      <c r="N5302" t="s">
        <v>575</v>
      </c>
      <c r="P5302" t="s">
        <v>1887</v>
      </c>
      <c r="R5302" t="s">
        <v>152</v>
      </c>
      <c r="S5302" t="s">
        <v>145</v>
      </c>
      <c r="U5302">
        <v>0</v>
      </c>
      <c r="V5302" t="s">
        <v>541</v>
      </c>
      <c r="W5302" t="s">
        <v>542</v>
      </c>
      <c r="X5302" s="784">
        <v>354560231.58276606</v>
      </c>
    </row>
    <row r="5303" spans="1:24">
      <c r="A5303" t="s">
        <v>358</v>
      </c>
      <c r="B5303" t="s">
        <v>632</v>
      </c>
      <c r="C5303" t="s">
        <v>236</v>
      </c>
      <c r="D5303" t="s">
        <v>129</v>
      </c>
      <c r="E5303" t="s">
        <v>377</v>
      </c>
      <c r="F5303" t="s">
        <v>310</v>
      </c>
      <c r="G5303" t="s">
        <v>344</v>
      </c>
      <c r="H5303" t="s">
        <v>104</v>
      </c>
      <c r="I5303">
        <v>2022</v>
      </c>
      <c r="J5303" t="s">
        <v>379</v>
      </c>
      <c r="K5303" t="s">
        <v>546</v>
      </c>
      <c r="L5303" s="784">
        <v>0</v>
      </c>
      <c r="M5303" t="s">
        <v>745</v>
      </c>
      <c r="N5303" t="s">
        <v>575</v>
      </c>
      <c r="P5303" t="s">
        <v>1887</v>
      </c>
      <c r="R5303" t="s">
        <v>148</v>
      </c>
      <c r="S5303" t="s">
        <v>145</v>
      </c>
      <c r="U5303">
        <v>1</v>
      </c>
      <c r="V5303" t="s">
        <v>544</v>
      </c>
      <c r="W5303" t="s">
        <v>562</v>
      </c>
      <c r="X5303" s="784">
        <v>188169167.56540567</v>
      </c>
    </row>
    <row r="5304" spans="1:24">
      <c r="A5304" t="s">
        <v>358</v>
      </c>
      <c r="B5304" t="s">
        <v>633</v>
      </c>
      <c r="C5304" t="s">
        <v>237</v>
      </c>
      <c r="D5304" t="s">
        <v>126</v>
      </c>
      <c r="E5304" t="s">
        <v>377</v>
      </c>
      <c r="F5304" t="s">
        <v>310</v>
      </c>
      <c r="G5304" t="s">
        <v>344</v>
      </c>
      <c r="H5304" t="s">
        <v>104</v>
      </c>
      <c r="I5304">
        <v>2022</v>
      </c>
      <c r="J5304" t="s">
        <v>379</v>
      </c>
      <c r="K5304" t="s">
        <v>546</v>
      </c>
      <c r="L5304" s="784">
        <v>0</v>
      </c>
      <c r="M5304" t="s">
        <v>745</v>
      </c>
      <c r="N5304" t="s">
        <v>575</v>
      </c>
      <c r="P5304" t="s">
        <v>1887</v>
      </c>
      <c r="R5304" t="s">
        <v>152</v>
      </c>
      <c r="S5304" t="s">
        <v>145</v>
      </c>
      <c r="U5304">
        <v>0</v>
      </c>
      <c r="V5304" t="s">
        <v>541</v>
      </c>
      <c r="W5304" t="s">
        <v>575</v>
      </c>
      <c r="X5304" s="784">
        <v>16312106.556340856</v>
      </c>
    </row>
    <row r="5305" spans="1:24">
      <c r="A5305" t="s">
        <v>358</v>
      </c>
      <c r="B5305" t="s">
        <v>634</v>
      </c>
      <c r="C5305" t="s">
        <v>238</v>
      </c>
      <c r="D5305" t="s">
        <v>129</v>
      </c>
      <c r="E5305" t="s">
        <v>377</v>
      </c>
      <c r="F5305" t="s">
        <v>310</v>
      </c>
      <c r="G5305" t="s">
        <v>344</v>
      </c>
      <c r="H5305" t="s">
        <v>104</v>
      </c>
      <c r="I5305">
        <v>2022</v>
      </c>
      <c r="J5305" t="s">
        <v>379</v>
      </c>
      <c r="K5305" t="s">
        <v>546</v>
      </c>
      <c r="L5305" s="784">
        <v>0</v>
      </c>
      <c r="M5305" t="s">
        <v>745</v>
      </c>
      <c r="N5305" t="s">
        <v>575</v>
      </c>
      <c r="P5305" t="s">
        <v>1887</v>
      </c>
      <c r="R5305" t="s">
        <v>150</v>
      </c>
      <c r="S5305" t="s">
        <v>145</v>
      </c>
      <c r="U5305">
        <v>2</v>
      </c>
      <c r="V5305" t="s">
        <v>544</v>
      </c>
      <c r="W5305" t="s">
        <v>542</v>
      </c>
      <c r="X5305" s="784">
        <v>86083833.534053758</v>
      </c>
    </row>
    <row r="5306" spans="1:24">
      <c r="A5306" t="s">
        <v>358</v>
      </c>
      <c r="B5306" t="s">
        <v>635</v>
      </c>
      <c r="C5306" t="s">
        <v>239</v>
      </c>
      <c r="D5306" t="s">
        <v>128</v>
      </c>
      <c r="E5306" t="s">
        <v>377</v>
      </c>
      <c r="F5306" t="s">
        <v>310</v>
      </c>
      <c r="G5306" t="s">
        <v>344</v>
      </c>
      <c r="H5306" t="s">
        <v>104</v>
      </c>
      <c r="I5306">
        <v>2022</v>
      </c>
      <c r="J5306" t="s">
        <v>379</v>
      </c>
      <c r="K5306" t="s">
        <v>546</v>
      </c>
      <c r="L5306" s="784">
        <v>0</v>
      </c>
      <c r="M5306" t="s">
        <v>745</v>
      </c>
      <c r="N5306" t="s">
        <v>575</v>
      </c>
      <c r="P5306" t="s">
        <v>1887</v>
      </c>
      <c r="R5306" t="s">
        <v>152</v>
      </c>
      <c r="S5306" t="s">
        <v>146</v>
      </c>
      <c r="U5306">
        <v>0</v>
      </c>
      <c r="V5306" t="s">
        <v>541</v>
      </c>
      <c r="W5306" t="s">
        <v>546</v>
      </c>
      <c r="X5306" s="784">
        <v>357220835.93762809</v>
      </c>
    </row>
    <row r="5307" spans="1:24">
      <c r="A5307" t="s">
        <v>358</v>
      </c>
      <c r="B5307" t="s">
        <v>636</v>
      </c>
      <c r="C5307" t="s">
        <v>240</v>
      </c>
      <c r="D5307" t="s">
        <v>130</v>
      </c>
      <c r="E5307" t="s">
        <v>377</v>
      </c>
      <c r="F5307" t="s">
        <v>310</v>
      </c>
      <c r="G5307" t="s">
        <v>344</v>
      </c>
      <c r="H5307" t="s">
        <v>104</v>
      </c>
      <c r="I5307">
        <v>2022</v>
      </c>
      <c r="J5307" t="s">
        <v>379</v>
      </c>
      <c r="K5307" t="s">
        <v>546</v>
      </c>
      <c r="L5307" s="784">
        <v>0</v>
      </c>
      <c r="M5307" t="s">
        <v>745</v>
      </c>
      <c r="N5307" t="s">
        <v>575</v>
      </c>
      <c r="P5307" t="s">
        <v>1887</v>
      </c>
      <c r="R5307" t="s">
        <v>152</v>
      </c>
      <c r="S5307" t="s">
        <v>146</v>
      </c>
      <c r="U5307">
        <v>0</v>
      </c>
      <c r="V5307" t="s">
        <v>544</v>
      </c>
      <c r="W5307" t="s">
        <v>575</v>
      </c>
      <c r="X5307" s="784">
        <v>32831598153.796387</v>
      </c>
    </row>
    <row r="5308" spans="1:24">
      <c r="A5308" t="s">
        <v>358</v>
      </c>
      <c r="B5308" t="s">
        <v>637</v>
      </c>
      <c r="C5308" t="s">
        <v>241</v>
      </c>
      <c r="D5308" t="s">
        <v>126</v>
      </c>
      <c r="E5308" t="s">
        <v>377</v>
      </c>
      <c r="F5308" t="s">
        <v>310</v>
      </c>
      <c r="G5308" t="s">
        <v>344</v>
      </c>
      <c r="H5308" t="s">
        <v>104</v>
      </c>
      <c r="I5308">
        <v>2022</v>
      </c>
      <c r="J5308" t="s">
        <v>379</v>
      </c>
      <c r="K5308" t="s">
        <v>546</v>
      </c>
      <c r="L5308" s="784">
        <v>0</v>
      </c>
      <c r="M5308" t="s">
        <v>745</v>
      </c>
      <c r="N5308" t="s">
        <v>575</v>
      </c>
      <c r="P5308" t="s">
        <v>1887</v>
      </c>
      <c r="R5308" t="s">
        <v>150</v>
      </c>
      <c r="S5308" t="s">
        <v>145</v>
      </c>
      <c r="U5308">
        <v>0</v>
      </c>
      <c r="V5308" t="s">
        <v>541</v>
      </c>
      <c r="W5308" t="s">
        <v>542</v>
      </c>
      <c r="X5308" s="784">
        <v>12329056.093798399</v>
      </c>
    </row>
    <row r="5309" spans="1:24">
      <c r="A5309" t="s">
        <v>358</v>
      </c>
      <c r="B5309" t="s">
        <v>638</v>
      </c>
      <c r="C5309" t="s">
        <v>242</v>
      </c>
      <c r="D5309" t="s">
        <v>127</v>
      </c>
      <c r="E5309" t="s">
        <v>377</v>
      </c>
      <c r="F5309" t="s">
        <v>310</v>
      </c>
      <c r="G5309" t="s">
        <v>344</v>
      </c>
      <c r="H5309" t="s">
        <v>104</v>
      </c>
      <c r="I5309">
        <v>2022</v>
      </c>
      <c r="J5309" t="s">
        <v>379</v>
      </c>
      <c r="K5309" t="s">
        <v>546</v>
      </c>
      <c r="L5309" s="784">
        <v>0</v>
      </c>
      <c r="M5309" t="s">
        <v>745</v>
      </c>
      <c r="N5309" t="s">
        <v>575</v>
      </c>
      <c r="P5309" t="s">
        <v>1887</v>
      </c>
      <c r="R5309" t="s">
        <v>152</v>
      </c>
      <c r="S5309" t="s">
        <v>145</v>
      </c>
      <c r="U5309">
        <v>0</v>
      </c>
      <c r="V5309" t="s">
        <v>544</v>
      </c>
      <c r="W5309" t="s">
        <v>558</v>
      </c>
      <c r="X5309" s="784">
        <v>426639742.85328001</v>
      </c>
    </row>
    <row r="5310" spans="1:24">
      <c r="A5310" t="s">
        <v>358</v>
      </c>
      <c r="B5310" t="s">
        <v>639</v>
      </c>
      <c r="C5310" t="s">
        <v>243</v>
      </c>
      <c r="D5310" t="s">
        <v>126</v>
      </c>
      <c r="E5310" t="s">
        <v>377</v>
      </c>
      <c r="F5310" t="s">
        <v>310</v>
      </c>
      <c r="G5310" t="s">
        <v>344</v>
      </c>
      <c r="H5310" t="s">
        <v>104</v>
      </c>
      <c r="I5310">
        <v>2022</v>
      </c>
      <c r="J5310" t="s">
        <v>379</v>
      </c>
      <c r="K5310" t="s">
        <v>546</v>
      </c>
      <c r="L5310" s="784">
        <v>0</v>
      </c>
      <c r="M5310" t="s">
        <v>745</v>
      </c>
      <c r="N5310" t="s">
        <v>575</v>
      </c>
      <c r="P5310" t="s">
        <v>1887</v>
      </c>
      <c r="R5310" t="s">
        <v>150</v>
      </c>
      <c r="S5310" t="s">
        <v>145</v>
      </c>
      <c r="U5310">
        <v>0</v>
      </c>
      <c r="V5310" t="s">
        <v>544</v>
      </c>
      <c r="W5310" t="s">
        <v>548</v>
      </c>
      <c r="X5310" s="784">
        <v>288519671.85870522</v>
      </c>
    </row>
    <row r="5311" spans="1:24">
      <c r="A5311" t="s">
        <v>358</v>
      </c>
      <c r="B5311" t="s">
        <v>640</v>
      </c>
      <c r="C5311" t="s">
        <v>244</v>
      </c>
      <c r="D5311" t="s">
        <v>127</v>
      </c>
      <c r="E5311" t="s">
        <v>377</v>
      </c>
      <c r="F5311" t="s">
        <v>310</v>
      </c>
      <c r="G5311" t="s">
        <v>344</v>
      </c>
      <c r="H5311" t="s">
        <v>104</v>
      </c>
      <c r="I5311">
        <v>2022</v>
      </c>
      <c r="J5311" t="s">
        <v>379</v>
      </c>
      <c r="K5311" t="s">
        <v>546</v>
      </c>
      <c r="L5311" s="784">
        <v>0</v>
      </c>
      <c r="M5311" t="s">
        <v>745</v>
      </c>
      <c r="N5311" t="s">
        <v>575</v>
      </c>
      <c r="P5311" t="s">
        <v>1887</v>
      </c>
      <c r="R5311" t="s">
        <v>152</v>
      </c>
      <c r="S5311" t="s">
        <v>146</v>
      </c>
      <c r="U5311">
        <v>0</v>
      </c>
      <c r="V5311" t="s">
        <v>544</v>
      </c>
      <c r="W5311" t="s">
        <v>546</v>
      </c>
      <c r="X5311" s="784">
        <v>275606560.78491527</v>
      </c>
    </row>
    <row r="5312" spans="1:24">
      <c r="A5312" t="s">
        <v>358</v>
      </c>
      <c r="B5312" t="s">
        <v>641</v>
      </c>
      <c r="C5312" t="s">
        <v>245</v>
      </c>
      <c r="D5312" t="s">
        <v>131</v>
      </c>
      <c r="E5312" t="s">
        <v>377</v>
      </c>
      <c r="F5312" t="s">
        <v>310</v>
      </c>
      <c r="G5312" t="s">
        <v>344</v>
      </c>
      <c r="H5312" t="s">
        <v>104</v>
      </c>
      <c r="I5312">
        <v>2022</v>
      </c>
      <c r="J5312" t="s">
        <v>379</v>
      </c>
      <c r="K5312" t="s">
        <v>546</v>
      </c>
      <c r="L5312" s="784">
        <v>0</v>
      </c>
      <c r="M5312" t="s">
        <v>745</v>
      </c>
      <c r="N5312" t="s">
        <v>575</v>
      </c>
      <c r="P5312" t="s">
        <v>1887</v>
      </c>
      <c r="R5312" t="s">
        <v>150</v>
      </c>
      <c r="S5312" t="s">
        <v>145</v>
      </c>
      <c r="U5312">
        <v>0</v>
      </c>
      <c r="V5312" t="s">
        <v>544</v>
      </c>
      <c r="W5312" t="s">
        <v>546</v>
      </c>
      <c r="X5312" s="784">
        <v>2530937679.3725696</v>
      </c>
    </row>
    <row r="5313" spans="1:24">
      <c r="A5313" t="s">
        <v>358</v>
      </c>
      <c r="B5313" t="s">
        <v>642</v>
      </c>
      <c r="C5313" t="s">
        <v>246</v>
      </c>
      <c r="D5313" t="s">
        <v>128</v>
      </c>
      <c r="E5313" t="s">
        <v>377</v>
      </c>
      <c r="F5313" t="s">
        <v>310</v>
      </c>
      <c r="G5313" t="s">
        <v>344</v>
      </c>
      <c r="H5313" t="s">
        <v>104</v>
      </c>
      <c r="I5313">
        <v>2022</v>
      </c>
      <c r="J5313" t="s">
        <v>379</v>
      </c>
      <c r="K5313" t="s">
        <v>546</v>
      </c>
      <c r="L5313" s="784">
        <v>0</v>
      </c>
      <c r="M5313" t="s">
        <v>745</v>
      </c>
      <c r="N5313" t="s">
        <v>575</v>
      </c>
      <c r="P5313" t="s">
        <v>1887</v>
      </c>
      <c r="R5313" t="s">
        <v>148</v>
      </c>
      <c r="S5313" t="s">
        <v>145</v>
      </c>
      <c r="U5313">
        <v>0</v>
      </c>
      <c r="V5313" t="s">
        <v>544</v>
      </c>
      <c r="W5313" t="s">
        <v>583</v>
      </c>
      <c r="X5313" s="784">
        <v>251432156.86255455</v>
      </c>
    </row>
    <row r="5314" spans="1:24">
      <c r="A5314" t="s">
        <v>358</v>
      </c>
      <c r="B5314" t="s">
        <v>643</v>
      </c>
      <c r="C5314" t="s">
        <v>247</v>
      </c>
      <c r="D5314" t="s">
        <v>126</v>
      </c>
      <c r="E5314" t="s">
        <v>377</v>
      </c>
      <c r="F5314" t="s">
        <v>310</v>
      </c>
      <c r="G5314" t="s">
        <v>344</v>
      </c>
      <c r="H5314" t="s">
        <v>104</v>
      </c>
      <c r="I5314">
        <v>2022</v>
      </c>
      <c r="J5314" t="s">
        <v>379</v>
      </c>
      <c r="K5314" t="s">
        <v>546</v>
      </c>
      <c r="L5314" s="784">
        <v>0</v>
      </c>
      <c r="M5314" t="s">
        <v>745</v>
      </c>
      <c r="N5314" t="s">
        <v>575</v>
      </c>
      <c r="P5314" t="s">
        <v>1887</v>
      </c>
      <c r="R5314" t="s">
        <v>150</v>
      </c>
      <c r="S5314" t="s">
        <v>145</v>
      </c>
      <c r="U5314">
        <v>0</v>
      </c>
      <c r="V5314" t="s">
        <v>544</v>
      </c>
      <c r="W5314" t="s">
        <v>558</v>
      </c>
      <c r="X5314" s="784">
        <v>471534500.60109437</v>
      </c>
    </row>
    <row r="5315" spans="1:24">
      <c r="A5315" t="s">
        <v>358</v>
      </c>
      <c r="B5315" t="s">
        <v>644</v>
      </c>
      <c r="C5315" t="s">
        <v>248</v>
      </c>
      <c r="D5315" t="s">
        <v>128</v>
      </c>
      <c r="E5315" t="s">
        <v>377</v>
      </c>
      <c r="F5315" t="s">
        <v>310</v>
      </c>
      <c r="G5315" t="s">
        <v>344</v>
      </c>
      <c r="H5315" t="s">
        <v>104</v>
      </c>
      <c r="I5315">
        <v>2022</v>
      </c>
      <c r="J5315" t="s">
        <v>379</v>
      </c>
      <c r="K5315" t="s">
        <v>546</v>
      </c>
      <c r="L5315" s="784">
        <v>0</v>
      </c>
      <c r="M5315" t="s">
        <v>745</v>
      </c>
      <c r="N5315" t="s">
        <v>575</v>
      </c>
      <c r="P5315" t="s">
        <v>1887</v>
      </c>
      <c r="R5315" t="s">
        <v>152</v>
      </c>
      <c r="S5315" t="s">
        <v>146</v>
      </c>
      <c r="U5315">
        <v>0</v>
      </c>
      <c r="V5315" t="s">
        <v>544</v>
      </c>
      <c r="W5315" t="s">
        <v>575</v>
      </c>
      <c r="X5315" s="784">
        <v>531677611.80447447</v>
      </c>
    </row>
    <row r="5316" spans="1:24">
      <c r="A5316" t="s">
        <v>358</v>
      </c>
      <c r="B5316" t="s">
        <v>645</v>
      </c>
      <c r="C5316" t="s">
        <v>249</v>
      </c>
      <c r="D5316" t="s">
        <v>126</v>
      </c>
      <c r="E5316" t="s">
        <v>377</v>
      </c>
      <c r="F5316" t="s">
        <v>310</v>
      </c>
      <c r="G5316" t="s">
        <v>344</v>
      </c>
      <c r="H5316" t="s">
        <v>104</v>
      </c>
      <c r="I5316">
        <v>2022</v>
      </c>
      <c r="J5316" t="s">
        <v>379</v>
      </c>
      <c r="K5316" t="s">
        <v>546</v>
      </c>
      <c r="L5316" s="784">
        <v>0</v>
      </c>
      <c r="M5316" t="s">
        <v>745</v>
      </c>
      <c r="N5316" t="s">
        <v>575</v>
      </c>
      <c r="P5316" t="s">
        <v>1887</v>
      </c>
      <c r="R5316" t="s">
        <v>550</v>
      </c>
      <c r="S5316" t="s">
        <v>146</v>
      </c>
      <c r="U5316">
        <v>0</v>
      </c>
      <c r="V5316" t="s">
        <v>541</v>
      </c>
      <c r="W5316" t="s">
        <v>575</v>
      </c>
      <c r="X5316" s="784">
        <v>8528751.6418357007</v>
      </c>
    </row>
    <row r="5317" spans="1:24">
      <c r="A5317" t="s">
        <v>358</v>
      </c>
      <c r="B5317" t="s">
        <v>646</v>
      </c>
      <c r="C5317" t="s">
        <v>250</v>
      </c>
      <c r="D5317" t="s">
        <v>132</v>
      </c>
      <c r="E5317" t="s">
        <v>377</v>
      </c>
      <c r="F5317" t="s">
        <v>310</v>
      </c>
      <c r="G5317" t="s">
        <v>344</v>
      </c>
      <c r="H5317" t="s">
        <v>104</v>
      </c>
      <c r="I5317">
        <v>2022</v>
      </c>
      <c r="J5317" t="s">
        <v>379</v>
      </c>
      <c r="K5317" t="s">
        <v>546</v>
      </c>
      <c r="L5317" s="784">
        <v>0</v>
      </c>
      <c r="M5317" t="s">
        <v>745</v>
      </c>
      <c r="N5317" t="s">
        <v>575</v>
      </c>
      <c r="P5317" t="s">
        <v>1887</v>
      </c>
      <c r="R5317" t="s">
        <v>150</v>
      </c>
      <c r="S5317" t="s">
        <v>145</v>
      </c>
      <c r="U5317">
        <v>0</v>
      </c>
      <c r="V5317" t="s">
        <v>544</v>
      </c>
      <c r="W5317" t="s">
        <v>558</v>
      </c>
      <c r="X5317" s="784">
        <v>407084543.19089872</v>
      </c>
    </row>
    <row r="5318" spans="1:24">
      <c r="A5318" t="s">
        <v>358</v>
      </c>
      <c r="B5318" t="s">
        <v>647</v>
      </c>
      <c r="C5318" t="s">
        <v>251</v>
      </c>
      <c r="D5318" t="s">
        <v>130</v>
      </c>
      <c r="E5318" t="s">
        <v>377</v>
      </c>
      <c r="F5318" t="s">
        <v>310</v>
      </c>
      <c r="G5318" t="s">
        <v>344</v>
      </c>
      <c r="H5318" t="s">
        <v>104</v>
      </c>
      <c r="I5318">
        <v>2022</v>
      </c>
      <c r="J5318" t="s">
        <v>379</v>
      </c>
      <c r="K5318" t="s">
        <v>546</v>
      </c>
      <c r="L5318" s="784">
        <v>0</v>
      </c>
      <c r="M5318" t="s">
        <v>745</v>
      </c>
      <c r="N5318" t="s">
        <v>575</v>
      </c>
      <c r="P5318" t="s">
        <v>1887</v>
      </c>
      <c r="R5318" t="s">
        <v>150</v>
      </c>
      <c r="S5318" t="s">
        <v>145</v>
      </c>
      <c r="U5318">
        <v>0</v>
      </c>
      <c r="V5318" t="s">
        <v>544</v>
      </c>
      <c r="W5318" t="s">
        <v>562</v>
      </c>
      <c r="X5318" s="784">
        <v>671998341.93592453</v>
      </c>
    </row>
    <row r="5319" spans="1:24">
      <c r="A5319" t="s">
        <v>358</v>
      </c>
      <c r="B5319" t="s">
        <v>648</v>
      </c>
      <c r="C5319" t="s">
        <v>252</v>
      </c>
      <c r="D5319" t="s">
        <v>129</v>
      </c>
      <c r="E5319" t="s">
        <v>377</v>
      </c>
      <c r="F5319" t="s">
        <v>310</v>
      </c>
      <c r="G5319" t="s">
        <v>344</v>
      </c>
      <c r="H5319" t="s">
        <v>104</v>
      </c>
      <c r="I5319">
        <v>2022</v>
      </c>
      <c r="J5319" t="s">
        <v>379</v>
      </c>
      <c r="K5319" t="s">
        <v>546</v>
      </c>
      <c r="L5319" s="784">
        <v>0</v>
      </c>
      <c r="M5319" t="s">
        <v>745</v>
      </c>
      <c r="N5319" t="s">
        <v>575</v>
      </c>
      <c r="P5319" t="s">
        <v>1887</v>
      </c>
      <c r="R5319" t="s">
        <v>148</v>
      </c>
      <c r="S5319" t="s">
        <v>145</v>
      </c>
      <c r="U5319">
        <v>1</v>
      </c>
      <c r="V5319" t="s">
        <v>544</v>
      </c>
      <c r="W5319" t="s">
        <v>562</v>
      </c>
      <c r="X5319" s="784">
        <v>226203289.67158964</v>
      </c>
    </row>
    <row r="5320" spans="1:24">
      <c r="A5320" t="s">
        <v>358</v>
      </c>
      <c r="B5320" t="s">
        <v>649</v>
      </c>
      <c r="C5320" t="s">
        <v>253</v>
      </c>
      <c r="D5320" t="s">
        <v>129</v>
      </c>
      <c r="E5320" t="s">
        <v>377</v>
      </c>
      <c r="F5320" t="s">
        <v>310</v>
      </c>
      <c r="G5320" t="s">
        <v>344</v>
      </c>
      <c r="H5320" t="s">
        <v>104</v>
      </c>
      <c r="I5320">
        <v>2022</v>
      </c>
      <c r="J5320" t="s">
        <v>379</v>
      </c>
      <c r="K5320" t="s">
        <v>546</v>
      </c>
      <c r="L5320" s="784">
        <v>0</v>
      </c>
      <c r="M5320" t="s">
        <v>745</v>
      </c>
      <c r="N5320" t="s">
        <v>575</v>
      </c>
      <c r="P5320" t="s">
        <v>1887</v>
      </c>
      <c r="R5320" t="s">
        <v>150</v>
      </c>
      <c r="S5320" t="s">
        <v>145</v>
      </c>
      <c r="U5320">
        <v>3</v>
      </c>
      <c r="V5320" t="s">
        <v>544</v>
      </c>
      <c r="W5320" t="s">
        <v>548</v>
      </c>
      <c r="X5320" s="784">
        <v>2438881113.1244688</v>
      </c>
    </row>
    <row r="5321" spans="1:24">
      <c r="A5321" t="s">
        <v>358</v>
      </c>
      <c r="B5321" t="s">
        <v>650</v>
      </c>
      <c r="C5321" t="s">
        <v>254</v>
      </c>
      <c r="D5321" t="s">
        <v>127</v>
      </c>
      <c r="E5321" t="s">
        <v>377</v>
      </c>
      <c r="F5321" t="s">
        <v>310</v>
      </c>
      <c r="G5321" t="s">
        <v>344</v>
      </c>
      <c r="H5321" t="s">
        <v>104</v>
      </c>
      <c r="I5321">
        <v>2022</v>
      </c>
      <c r="J5321" t="s">
        <v>379</v>
      </c>
      <c r="K5321" t="s">
        <v>546</v>
      </c>
      <c r="L5321" s="784">
        <v>0</v>
      </c>
      <c r="M5321" t="s">
        <v>745</v>
      </c>
      <c r="N5321" t="s">
        <v>575</v>
      </c>
      <c r="P5321" t="s">
        <v>1887</v>
      </c>
      <c r="R5321" t="s">
        <v>152</v>
      </c>
      <c r="S5321" t="s">
        <v>146</v>
      </c>
      <c r="U5321">
        <v>0</v>
      </c>
      <c r="V5321" t="s">
        <v>544</v>
      </c>
      <c r="W5321" t="s">
        <v>575</v>
      </c>
      <c r="X5321" s="784">
        <v>476517795.73174149</v>
      </c>
    </row>
    <row r="5322" spans="1:24">
      <c r="A5322" t="s">
        <v>358</v>
      </c>
      <c r="B5322" t="s">
        <v>651</v>
      </c>
      <c r="C5322" t="s">
        <v>255</v>
      </c>
      <c r="D5322" t="s">
        <v>132</v>
      </c>
      <c r="E5322" t="s">
        <v>377</v>
      </c>
      <c r="F5322" t="s">
        <v>310</v>
      </c>
      <c r="G5322" t="s">
        <v>344</v>
      </c>
      <c r="H5322" t="s">
        <v>104</v>
      </c>
      <c r="I5322">
        <v>2022</v>
      </c>
      <c r="J5322" t="s">
        <v>379</v>
      </c>
      <c r="K5322" t="s">
        <v>546</v>
      </c>
      <c r="L5322" s="784">
        <v>0</v>
      </c>
      <c r="M5322" t="s">
        <v>745</v>
      </c>
      <c r="N5322" t="s">
        <v>575</v>
      </c>
      <c r="P5322" t="s">
        <v>1887</v>
      </c>
      <c r="R5322" t="s">
        <v>150</v>
      </c>
      <c r="S5322" t="s">
        <v>145</v>
      </c>
      <c r="U5322">
        <v>0</v>
      </c>
      <c r="V5322" t="s">
        <v>544</v>
      </c>
      <c r="W5322" t="s">
        <v>548</v>
      </c>
      <c r="X5322" s="784">
        <v>3233351297.7679496</v>
      </c>
    </row>
    <row r="5323" spans="1:24">
      <c r="A5323" t="s">
        <v>358</v>
      </c>
      <c r="B5323" t="s">
        <v>652</v>
      </c>
      <c r="C5323" t="s">
        <v>256</v>
      </c>
      <c r="D5323" t="s">
        <v>130</v>
      </c>
      <c r="E5323" t="s">
        <v>377</v>
      </c>
      <c r="F5323" t="s">
        <v>310</v>
      </c>
      <c r="G5323" t="s">
        <v>344</v>
      </c>
      <c r="H5323" t="s">
        <v>104</v>
      </c>
      <c r="I5323">
        <v>2022</v>
      </c>
      <c r="J5323" t="s">
        <v>379</v>
      </c>
      <c r="K5323" t="s">
        <v>546</v>
      </c>
      <c r="L5323" s="784">
        <v>0</v>
      </c>
      <c r="M5323" t="s">
        <v>745</v>
      </c>
      <c r="N5323" t="s">
        <v>575</v>
      </c>
      <c r="P5323" t="s">
        <v>1887</v>
      </c>
      <c r="R5323" t="s">
        <v>550</v>
      </c>
      <c r="S5323" t="s">
        <v>146</v>
      </c>
      <c r="U5323">
        <v>0</v>
      </c>
      <c r="V5323" t="s">
        <v>541</v>
      </c>
      <c r="W5323" t="s">
        <v>575</v>
      </c>
      <c r="X5323" s="784">
        <v>18180646.808608256</v>
      </c>
    </row>
    <row r="5324" spans="1:24">
      <c r="A5324" t="s">
        <v>358</v>
      </c>
      <c r="B5324" t="s">
        <v>653</v>
      </c>
      <c r="C5324" t="s">
        <v>257</v>
      </c>
      <c r="D5324" t="s">
        <v>130</v>
      </c>
      <c r="E5324" t="s">
        <v>377</v>
      </c>
      <c r="F5324" t="s">
        <v>310</v>
      </c>
      <c r="G5324" t="s">
        <v>344</v>
      </c>
      <c r="H5324" t="s">
        <v>104</v>
      </c>
      <c r="I5324">
        <v>2022</v>
      </c>
      <c r="J5324" t="s">
        <v>379</v>
      </c>
      <c r="K5324" t="s">
        <v>546</v>
      </c>
      <c r="L5324" s="784">
        <v>0</v>
      </c>
      <c r="M5324" t="s">
        <v>745</v>
      </c>
      <c r="N5324" t="s">
        <v>575</v>
      </c>
      <c r="P5324" t="s">
        <v>1887</v>
      </c>
      <c r="R5324" t="s">
        <v>152</v>
      </c>
      <c r="S5324" t="s">
        <v>146</v>
      </c>
      <c r="U5324">
        <v>0</v>
      </c>
      <c r="V5324" t="s">
        <v>544</v>
      </c>
      <c r="W5324" t="s">
        <v>546</v>
      </c>
      <c r="X5324" s="784">
        <v>3020530707.3485303</v>
      </c>
    </row>
    <row r="5325" spans="1:24">
      <c r="A5325" t="s">
        <v>358</v>
      </c>
      <c r="B5325" t="s">
        <v>654</v>
      </c>
      <c r="C5325" t="s">
        <v>258</v>
      </c>
      <c r="D5325" t="s">
        <v>126</v>
      </c>
      <c r="E5325" t="s">
        <v>377</v>
      </c>
      <c r="F5325" t="s">
        <v>310</v>
      </c>
      <c r="G5325" t="s">
        <v>344</v>
      </c>
      <c r="H5325" t="s">
        <v>104</v>
      </c>
      <c r="I5325">
        <v>2022</v>
      </c>
      <c r="J5325" t="s">
        <v>379</v>
      </c>
      <c r="K5325" t="s">
        <v>546</v>
      </c>
      <c r="L5325" s="784">
        <v>0</v>
      </c>
      <c r="M5325" t="s">
        <v>745</v>
      </c>
      <c r="N5325" t="s">
        <v>575</v>
      </c>
      <c r="P5325" t="s">
        <v>1887</v>
      </c>
      <c r="R5325" t="s">
        <v>150</v>
      </c>
      <c r="S5325" t="s">
        <v>145</v>
      </c>
      <c r="U5325">
        <v>1</v>
      </c>
      <c r="V5325" t="s">
        <v>541</v>
      </c>
      <c r="W5325" t="s">
        <v>542</v>
      </c>
      <c r="X5325" s="784">
        <v>384406316.46074712</v>
      </c>
    </row>
    <row r="5326" spans="1:24">
      <c r="A5326" t="s">
        <v>358</v>
      </c>
      <c r="B5326" t="s">
        <v>655</v>
      </c>
      <c r="C5326" t="s">
        <v>259</v>
      </c>
      <c r="D5326" t="s">
        <v>130</v>
      </c>
      <c r="E5326" t="s">
        <v>377</v>
      </c>
      <c r="F5326" t="s">
        <v>310</v>
      </c>
      <c r="G5326" t="s">
        <v>344</v>
      </c>
      <c r="H5326" t="s">
        <v>104</v>
      </c>
      <c r="I5326">
        <v>2022</v>
      </c>
      <c r="J5326" t="s">
        <v>379</v>
      </c>
      <c r="K5326" t="s">
        <v>546</v>
      </c>
      <c r="L5326" s="784">
        <v>0</v>
      </c>
      <c r="M5326" t="s">
        <v>745</v>
      </c>
      <c r="N5326" t="s">
        <v>575</v>
      </c>
      <c r="P5326" t="s">
        <v>1887</v>
      </c>
      <c r="R5326" t="s">
        <v>152</v>
      </c>
      <c r="S5326" t="s">
        <v>146</v>
      </c>
      <c r="U5326">
        <v>0</v>
      </c>
      <c r="V5326" t="s">
        <v>544</v>
      </c>
      <c r="W5326" t="s">
        <v>575</v>
      </c>
      <c r="X5326" s="784">
        <v>1218747108.9554784</v>
      </c>
    </row>
    <row r="5327" spans="1:24">
      <c r="A5327" t="s">
        <v>358</v>
      </c>
      <c r="B5327" t="s">
        <v>656</v>
      </c>
      <c r="C5327" t="s">
        <v>260</v>
      </c>
      <c r="D5327" t="s">
        <v>130</v>
      </c>
      <c r="E5327" t="s">
        <v>377</v>
      </c>
      <c r="F5327" t="s">
        <v>310</v>
      </c>
      <c r="G5327" t="s">
        <v>344</v>
      </c>
      <c r="H5327" t="s">
        <v>104</v>
      </c>
      <c r="I5327">
        <v>2022</v>
      </c>
      <c r="J5327" t="s">
        <v>379</v>
      </c>
      <c r="K5327" t="s">
        <v>546</v>
      </c>
      <c r="L5327" s="784">
        <v>0</v>
      </c>
      <c r="M5327" t="s">
        <v>745</v>
      </c>
      <c r="N5327" t="s">
        <v>575</v>
      </c>
      <c r="P5327" t="s">
        <v>1887</v>
      </c>
      <c r="R5327" t="s">
        <v>152</v>
      </c>
      <c r="S5327" t="s">
        <v>146</v>
      </c>
      <c r="U5327">
        <v>0</v>
      </c>
      <c r="V5327" t="s">
        <v>544</v>
      </c>
      <c r="W5327" t="s">
        <v>575</v>
      </c>
      <c r="X5327" s="784">
        <v>7392665952.5895758</v>
      </c>
    </row>
    <row r="5328" spans="1:24">
      <c r="A5328" t="s">
        <v>358</v>
      </c>
      <c r="B5328" t="s">
        <v>657</v>
      </c>
      <c r="C5328" t="s">
        <v>261</v>
      </c>
      <c r="D5328" t="s">
        <v>126</v>
      </c>
      <c r="E5328" t="s">
        <v>377</v>
      </c>
      <c r="F5328" t="s">
        <v>310</v>
      </c>
      <c r="G5328" t="s">
        <v>344</v>
      </c>
      <c r="H5328" t="s">
        <v>104</v>
      </c>
      <c r="I5328">
        <v>2022</v>
      </c>
      <c r="J5328" t="s">
        <v>379</v>
      </c>
      <c r="K5328" t="s">
        <v>546</v>
      </c>
      <c r="L5328" s="784">
        <v>0</v>
      </c>
      <c r="M5328" t="s">
        <v>745</v>
      </c>
      <c r="N5328" t="s">
        <v>575</v>
      </c>
      <c r="P5328" t="s">
        <v>1887</v>
      </c>
      <c r="R5328" t="s">
        <v>150</v>
      </c>
      <c r="S5328" t="s">
        <v>145</v>
      </c>
      <c r="U5328">
        <v>0</v>
      </c>
      <c r="V5328" t="s">
        <v>544</v>
      </c>
      <c r="W5328" t="s">
        <v>546</v>
      </c>
      <c r="X5328" s="784">
        <v>4754985988.6004429</v>
      </c>
    </row>
    <row r="5329" spans="1:24">
      <c r="A5329" t="s">
        <v>358</v>
      </c>
      <c r="B5329" t="s">
        <v>658</v>
      </c>
      <c r="C5329" t="s">
        <v>262</v>
      </c>
      <c r="D5329" t="s">
        <v>127</v>
      </c>
      <c r="E5329" t="s">
        <v>377</v>
      </c>
      <c r="F5329" t="s">
        <v>310</v>
      </c>
      <c r="G5329" t="s">
        <v>344</v>
      </c>
      <c r="H5329" t="s">
        <v>104</v>
      </c>
      <c r="I5329">
        <v>2022</v>
      </c>
      <c r="J5329" t="s">
        <v>379</v>
      </c>
      <c r="K5329" t="s">
        <v>546</v>
      </c>
      <c r="L5329" s="784">
        <v>0</v>
      </c>
      <c r="M5329" t="s">
        <v>745</v>
      </c>
      <c r="N5329" t="s">
        <v>575</v>
      </c>
      <c r="P5329" t="s">
        <v>1887</v>
      </c>
      <c r="R5329" t="s">
        <v>550</v>
      </c>
      <c r="S5329" t="s">
        <v>146</v>
      </c>
      <c r="U5329">
        <v>0</v>
      </c>
      <c r="V5329" t="s">
        <v>544</v>
      </c>
      <c r="W5329" t="s">
        <v>575</v>
      </c>
      <c r="X5329" s="784">
        <v>26422210443.037273</v>
      </c>
    </row>
    <row r="5330" spans="1:24">
      <c r="A5330" t="s">
        <v>358</v>
      </c>
      <c r="B5330" t="s">
        <v>659</v>
      </c>
      <c r="C5330" t="s">
        <v>151</v>
      </c>
      <c r="D5330" t="s">
        <v>127</v>
      </c>
      <c r="E5330" t="s">
        <v>377</v>
      </c>
      <c r="F5330" t="s">
        <v>310</v>
      </c>
      <c r="G5330" t="s">
        <v>344</v>
      </c>
      <c r="H5330" t="s">
        <v>104</v>
      </c>
      <c r="I5330">
        <v>2022</v>
      </c>
      <c r="J5330" t="s">
        <v>379</v>
      </c>
      <c r="K5330" t="s">
        <v>546</v>
      </c>
      <c r="L5330" s="784">
        <v>0</v>
      </c>
      <c r="M5330" t="s">
        <v>745</v>
      </c>
      <c r="N5330" t="s">
        <v>575</v>
      </c>
      <c r="P5330" t="s">
        <v>1887</v>
      </c>
      <c r="R5330" t="s">
        <v>152</v>
      </c>
      <c r="S5330" t="s">
        <v>146</v>
      </c>
      <c r="U5330">
        <v>0</v>
      </c>
      <c r="V5330" t="s">
        <v>544</v>
      </c>
      <c r="W5330" t="s">
        <v>575</v>
      </c>
      <c r="X5330" s="784">
        <v>10696495313.15033</v>
      </c>
    </row>
    <row r="5331" spans="1:24">
      <c r="A5331" t="s">
        <v>358</v>
      </c>
      <c r="B5331" t="s">
        <v>660</v>
      </c>
      <c r="C5331" t="s">
        <v>263</v>
      </c>
      <c r="D5331" t="s">
        <v>127</v>
      </c>
      <c r="E5331" t="s">
        <v>377</v>
      </c>
      <c r="F5331" t="s">
        <v>310</v>
      </c>
      <c r="G5331" t="s">
        <v>344</v>
      </c>
      <c r="H5331" t="s">
        <v>104</v>
      </c>
      <c r="I5331">
        <v>2022</v>
      </c>
      <c r="J5331" t="s">
        <v>379</v>
      </c>
      <c r="K5331" t="s">
        <v>546</v>
      </c>
      <c r="L5331" s="784">
        <v>0</v>
      </c>
      <c r="M5331" t="s">
        <v>745</v>
      </c>
      <c r="N5331" t="s">
        <v>575</v>
      </c>
      <c r="P5331" t="s">
        <v>1887</v>
      </c>
      <c r="R5331" t="s">
        <v>152</v>
      </c>
      <c r="S5331" t="s">
        <v>146</v>
      </c>
      <c r="U5331">
        <v>0</v>
      </c>
      <c r="V5331" t="s">
        <v>544</v>
      </c>
      <c r="W5331" t="s">
        <v>575</v>
      </c>
      <c r="X5331" s="784">
        <v>52769713433.240509</v>
      </c>
    </row>
    <row r="5332" spans="1:24">
      <c r="A5332" t="s">
        <v>358</v>
      </c>
      <c r="B5332" t="s">
        <v>661</v>
      </c>
      <c r="C5332" t="s">
        <v>264</v>
      </c>
      <c r="D5332" t="s">
        <v>128</v>
      </c>
      <c r="E5332" t="s">
        <v>377</v>
      </c>
      <c r="F5332" t="s">
        <v>310</v>
      </c>
      <c r="G5332" t="s">
        <v>344</v>
      </c>
      <c r="H5332" t="s">
        <v>104</v>
      </c>
      <c r="I5332">
        <v>2022</v>
      </c>
      <c r="J5332" t="s">
        <v>379</v>
      </c>
      <c r="K5332" t="s">
        <v>546</v>
      </c>
      <c r="L5332" s="784">
        <v>0</v>
      </c>
      <c r="M5332" t="s">
        <v>745</v>
      </c>
      <c r="N5332" t="s">
        <v>575</v>
      </c>
      <c r="P5332" t="s">
        <v>1887</v>
      </c>
      <c r="R5332" t="s">
        <v>148</v>
      </c>
      <c r="S5332" t="s">
        <v>145</v>
      </c>
      <c r="U5332">
        <v>0</v>
      </c>
      <c r="V5332" t="s">
        <v>544</v>
      </c>
      <c r="W5332" t="s">
        <v>562</v>
      </c>
      <c r="X5332" s="784">
        <v>225799814.51943746</v>
      </c>
    </row>
    <row r="5333" spans="1:24">
      <c r="A5333" t="s">
        <v>358</v>
      </c>
      <c r="B5333" t="s">
        <v>662</v>
      </c>
      <c r="C5333" t="s">
        <v>265</v>
      </c>
      <c r="D5333" t="s">
        <v>126</v>
      </c>
      <c r="E5333" t="s">
        <v>377</v>
      </c>
      <c r="F5333" t="s">
        <v>310</v>
      </c>
      <c r="G5333" t="s">
        <v>344</v>
      </c>
      <c r="H5333" t="s">
        <v>104</v>
      </c>
      <c r="I5333">
        <v>2022</v>
      </c>
      <c r="J5333" t="s">
        <v>379</v>
      </c>
      <c r="K5333" t="s">
        <v>546</v>
      </c>
      <c r="L5333" s="784">
        <v>0</v>
      </c>
      <c r="M5333" t="s">
        <v>745</v>
      </c>
      <c r="N5333" t="s">
        <v>575</v>
      </c>
      <c r="P5333" t="s">
        <v>1887</v>
      </c>
      <c r="R5333" t="s">
        <v>150</v>
      </c>
      <c r="S5333" t="s">
        <v>145</v>
      </c>
      <c r="U5333">
        <v>0</v>
      </c>
      <c r="V5333" t="s">
        <v>541</v>
      </c>
      <c r="W5333" t="s">
        <v>542</v>
      </c>
      <c r="X5333" s="784">
        <v>32192988.027009469</v>
      </c>
    </row>
    <row r="5334" spans="1:24">
      <c r="A5334" t="s">
        <v>358</v>
      </c>
      <c r="B5334" t="s">
        <v>663</v>
      </c>
      <c r="C5334" t="s">
        <v>266</v>
      </c>
      <c r="D5334" t="s">
        <v>129</v>
      </c>
      <c r="E5334" t="s">
        <v>377</v>
      </c>
      <c r="F5334" t="s">
        <v>310</v>
      </c>
      <c r="G5334" t="s">
        <v>344</v>
      </c>
      <c r="H5334" t="s">
        <v>104</v>
      </c>
      <c r="I5334">
        <v>2022</v>
      </c>
      <c r="J5334" t="s">
        <v>379</v>
      </c>
      <c r="K5334" t="s">
        <v>546</v>
      </c>
      <c r="L5334" s="784">
        <v>0</v>
      </c>
      <c r="M5334" t="s">
        <v>745</v>
      </c>
      <c r="N5334" t="s">
        <v>575</v>
      </c>
      <c r="P5334" t="s">
        <v>1887</v>
      </c>
      <c r="R5334" t="s">
        <v>150</v>
      </c>
      <c r="S5334" t="s">
        <v>145</v>
      </c>
      <c r="U5334">
        <v>0</v>
      </c>
      <c r="V5334" t="s">
        <v>541</v>
      </c>
      <c r="W5334" t="s">
        <v>583</v>
      </c>
      <c r="X5334" s="784">
        <v>11633535.136477679</v>
      </c>
    </row>
    <row r="5335" spans="1:24">
      <c r="A5335" t="s">
        <v>358</v>
      </c>
      <c r="B5335" t="s">
        <v>664</v>
      </c>
      <c r="C5335" t="s">
        <v>267</v>
      </c>
      <c r="D5335" t="s">
        <v>129</v>
      </c>
      <c r="E5335" t="s">
        <v>377</v>
      </c>
      <c r="F5335" t="s">
        <v>310</v>
      </c>
      <c r="G5335" t="s">
        <v>344</v>
      </c>
      <c r="H5335" t="s">
        <v>104</v>
      </c>
      <c r="I5335">
        <v>2022</v>
      </c>
      <c r="J5335" t="s">
        <v>379</v>
      </c>
      <c r="K5335" t="s">
        <v>546</v>
      </c>
      <c r="L5335" s="784">
        <v>0</v>
      </c>
      <c r="M5335" t="s">
        <v>745</v>
      </c>
      <c r="N5335" t="s">
        <v>575</v>
      </c>
      <c r="P5335" t="s">
        <v>1887</v>
      </c>
      <c r="R5335" t="s">
        <v>150</v>
      </c>
      <c r="S5335" t="s">
        <v>145</v>
      </c>
      <c r="U5335">
        <v>2</v>
      </c>
      <c r="V5335" t="s">
        <v>544</v>
      </c>
      <c r="W5335" t="s">
        <v>562</v>
      </c>
      <c r="X5335" s="784">
        <v>222008693.93354639</v>
      </c>
    </row>
    <row r="5336" spans="1:24">
      <c r="A5336" t="s">
        <v>358</v>
      </c>
      <c r="B5336" t="s">
        <v>665</v>
      </c>
      <c r="C5336" t="s">
        <v>153</v>
      </c>
      <c r="D5336" t="s">
        <v>127</v>
      </c>
      <c r="E5336" t="s">
        <v>377</v>
      </c>
      <c r="F5336" t="s">
        <v>310</v>
      </c>
      <c r="G5336" t="s">
        <v>344</v>
      </c>
      <c r="H5336" t="s">
        <v>104</v>
      </c>
      <c r="I5336">
        <v>2022</v>
      </c>
      <c r="J5336" t="s">
        <v>379</v>
      </c>
      <c r="K5336" t="s">
        <v>546</v>
      </c>
      <c r="L5336" s="784">
        <v>0</v>
      </c>
      <c r="M5336" t="s">
        <v>745</v>
      </c>
      <c r="N5336" t="s">
        <v>575</v>
      </c>
      <c r="P5336" t="s">
        <v>1887</v>
      </c>
      <c r="R5336" t="s">
        <v>152</v>
      </c>
      <c r="S5336" t="s">
        <v>146</v>
      </c>
      <c r="U5336">
        <v>0</v>
      </c>
      <c r="V5336" t="s">
        <v>544</v>
      </c>
      <c r="W5336" t="s">
        <v>575</v>
      </c>
      <c r="X5336" s="784">
        <v>2564993795.1894679</v>
      </c>
    </row>
    <row r="5337" spans="1:24">
      <c r="A5337" t="s">
        <v>358</v>
      </c>
      <c r="B5337" t="s">
        <v>666</v>
      </c>
      <c r="C5337" t="s">
        <v>268</v>
      </c>
      <c r="D5337" t="s">
        <v>128</v>
      </c>
      <c r="E5337" t="s">
        <v>377</v>
      </c>
      <c r="F5337" t="s">
        <v>310</v>
      </c>
      <c r="G5337" t="s">
        <v>344</v>
      </c>
      <c r="H5337" t="s">
        <v>104</v>
      </c>
      <c r="I5337">
        <v>2022</v>
      </c>
      <c r="J5337" t="s">
        <v>379</v>
      </c>
      <c r="K5337" t="s">
        <v>546</v>
      </c>
      <c r="L5337" s="784">
        <v>0</v>
      </c>
      <c r="M5337" t="s">
        <v>745</v>
      </c>
      <c r="N5337" t="s">
        <v>575</v>
      </c>
      <c r="P5337" t="s">
        <v>1887</v>
      </c>
      <c r="R5337" t="s">
        <v>550</v>
      </c>
      <c r="S5337" t="s">
        <v>146</v>
      </c>
      <c r="U5337">
        <v>0</v>
      </c>
      <c r="V5337" t="s">
        <v>541</v>
      </c>
      <c r="W5337" t="s">
        <v>546</v>
      </c>
      <c r="X5337" s="784">
        <v>60237542.945069775</v>
      </c>
    </row>
    <row r="5338" spans="1:24">
      <c r="A5338" t="s">
        <v>358</v>
      </c>
      <c r="B5338" t="s">
        <v>667</v>
      </c>
      <c r="C5338" t="s">
        <v>269</v>
      </c>
      <c r="D5338" t="s">
        <v>129</v>
      </c>
      <c r="E5338" t="s">
        <v>377</v>
      </c>
      <c r="F5338" t="s">
        <v>310</v>
      </c>
      <c r="G5338" t="s">
        <v>344</v>
      </c>
      <c r="H5338" t="s">
        <v>104</v>
      </c>
      <c r="I5338">
        <v>2022</v>
      </c>
      <c r="J5338" t="s">
        <v>379</v>
      </c>
      <c r="K5338" t="s">
        <v>546</v>
      </c>
      <c r="L5338" s="784">
        <v>2172278.56</v>
      </c>
      <c r="M5338" t="s">
        <v>745</v>
      </c>
      <c r="N5338" t="s">
        <v>575</v>
      </c>
      <c r="P5338" t="s">
        <v>1887</v>
      </c>
      <c r="R5338" t="s">
        <v>148</v>
      </c>
      <c r="S5338" t="s">
        <v>145</v>
      </c>
      <c r="U5338">
        <v>0</v>
      </c>
      <c r="V5338" t="s">
        <v>544</v>
      </c>
      <c r="W5338" t="s">
        <v>542</v>
      </c>
      <c r="X5338" s="784">
        <v>63738640.538260505</v>
      </c>
    </row>
    <row r="5339" spans="1:24">
      <c r="A5339" t="s">
        <v>358</v>
      </c>
      <c r="B5339" t="s">
        <v>668</v>
      </c>
      <c r="C5339" t="s">
        <v>270</v>
      </c>
      <c r="D5339" t="s">
        <v>126</v>
      </c>
      <c r="E5339" t="s">
        <v>377</v>
      </c>
      <c r="F5339" t="s">
        <v>310</v>
      </c>
      <c r="G5339" t="s">
        <v>344</v>
      </c>
      <c r="H5339" t="s">
        <v>104</v>
      </c>
      <c r="I5339">
        <v>2022</v>
      </c>
      <c r="J5339" t="s">
        <v>379</v>
      </c>
      <c r="K5339" t="s">
        <v>546</v>
      </c>
      <c r="L5339" s="784">
        <v>0</v>
      </c>
      <c r="M5339" t="s">
        <v>745</v>
      </c>
      <c r="N5339" t="s">
        <v>575</v>
      </c>
      <c r="P5339" t="s">
        <v>1887</v>
      </c>
      <c r="R5339" t="s">
        <v>150</v>
      </c>
      <c r="S5339" t="s">
        <v>145</v>
      </c>
      <c r="U5339">
        <v>0</v>
      </c>
      <c r="V5339" t="s">
        <v>541</v>
      </c>
      <c r="W5339" t="s">
        <v>562</v>
      </c>
      <c r="X5339" s="784">
        <v>49012774.055630356</v>
      </c>
    </row>
    <row r="5340" spans="1:24">
      <c r="A5340" t="s">
        <v>358</v>
      </c>
      <c r="B5340" t="s">
        <v>669</v>
      </c>
      <c r="C5340" t="s">
        <v>271</v>
      </c>
      <c r="D5340" t="s">
        <v>128</v>
      </c>
      <c r="E5340" t="s">
        <v>377</v>
      </c>
      <c r="F5340" t="s">
        <v>310</v>
      </c>
      <c r="G5340" t="s">
        <v>344</v>
      </c>
      <c r="H5340" t="s">
        <v>104</v>
      </c>
      <c r="I5340">
        <v>2022</v>
      </c>
      <c r="J5340" t="s">
        <v>379</v>
      </c>
      <c r="K5340" t="s">
        <v>546</v>
      </c>
      <c r="L5340" s="784">
        <v>0</v>
      </c>
      <c r="M5340" t="s">
        <v>745</v>
      </c>
      <c r="N5340" t="s">
        <v>575</v>
      </c>
      <c r="P5340" t="s">
        <v>1887</v>
      </c>
      <c r="R5340" t="s">
        <v>148</v>
      </c>
      <c r="S5340" t="s">
        <v>145</v>
      </c>
      <c r="U5340">
        <v>1</v>
      </c>
      <c r="V5340" t="s">
        <v>544</v>
      </c>
      <c r="W5340" t="s">
        <v>583</v>
      </c>
      <c r="X5340" s="784" t="s">
        <v>575</v>
      </c>
    </row>
    <row r="5341" spans="1:24">
      <c r="A5341" t="s">
        <v>358</v>
      </c>
      <c r="B5341" t="s">
        <v>670</v>
      </c>
      <c r="C5341" t="s">
        <v>272</v>
      </c>
      <c r="D5341" t="s">
        <v>128</v>
      </c>
      <c r="E5341" t="s">
        <v>377</v>
      </c>
      <c r="F5341" t="s">
        <v>310</v>
      </c>
      <c r="G5341" t="s">
        <v>344</v>
      </c>
      <c r="H5341" t="s">
        <v>104</v>
      </c>
      <c r="I5341">
        <v>2022</v>
      </c>
      <c r="J5341" t="s">
        <v>379</v>
      </c>
      <c r="K5341" t="s">
        <v>546</v>
      </c>
      <c r="L5341" s="784">
        <v>0</v>
      </c>
      <c r="M5341" t="s">
        <v>745</v>
      </c>
      <c r="N5341" t="s">
        <v>575</v>
      </c>
      <c r="P5341" t="s">
        <v>1887</v>
      </c>
      <c r="R5341" t="s">
        <v>152</v>
      </c>
      <c r="S5341" t="s">
        <v>146</v>
      </c>
      <c r="U5341">
        <v>0</v>
      </c>
      <c r="V5341" t="s">
        <v>544</v>
      </c>
      <c r="W5341" t="s">
        <v>546</v>
      </c>
      <c r="X5341" s="784">
        <v>16429121142.784708</v>
      </c>
    </row>
    <row r="5342" spans="1:24">
      <c r="A5342" t="s">
        <v>358</v>
      </c>
      <c r="B5342" t="s">
        <v>671</v>
      </c>
      <c r="C5342" t="s">
        <v>273</v>
      </c>
      <c r="D5342" t="s">
        <v>128</v>
      </c>
      <c r="E5342" t="s">
        <v>377</v>
      </c>
      <c r="F5342" t="s">
        <v>310</v>
      </c>
      <c r="G5342" t="s">
        <v>344</v>
      </c>
      <c r="H5342" t="s">
        <v>104</v>
      </c>
      <c r="I5342">
        <v>2022</v>
      </c>
      <c r="J5342" t="s">
        <v>379</v>
      </c>
      <c r="K5342" t="s">
        <v>546</v>
      </c>
      <c r="L5342" s="784">
        <v>0</v>
      </c>
      <c r="M5342" t="s">
        <v>745</v>
      </c>
      <c r="N5342" t="s">
        <v>575</v>
      </c>
      <c r="P5342" t="s">
        <v>1887</v>
      </c>
      <c r="R5342" t="s">
        <v>148</v>
      </c>
      <c r="S5342" t="s">
        <v>145</v>
      </c>
      <c r="U5342">
        <v>1</v>
      </c>
      <c r="V5342" t="s">
        <v>544</v>
      </c>
      <c r="W5342" t="s">
        <v>542</v>
      </c>
      <c r="X5342" s="784">
        <v>31684581.76217727</v>
      </c>
    </row>
    <row r="5343" spans="1:24">
      <c r="A5343" t="s">
        <v>358</v>
      </c>
      <c r="B5343" t="s">
        <v>672</v>
      </c>
      <c r="C5343" t="s">
        <v>274</v>
      </c>
      <c r="D5343" t="s">
        <v>132</v>
      </c>
      <c r="E5343" t="s">
        <v>377</v>
      </c>
      <c r="F5343" t="s">
        <v>310</v>
      </c>
      <c r="G5343" t="s">
        <v>344</v>
      </c>
      <c r="H5343" t="s">
        <v>104</v>
      </c>
      <c r="I5343">
        <v>2022</v>
      </c>
      <c r="J5343" t="s">
        <v>379</v>
      </c>
      <c r="K5343" t="s">
        <v>546</v>
      </c>
      <c r="L5343" s="784">
        <v>0</v>
      </c>
      <c r="M5343" t="s">
        <v>745</v>
      </c>
      <c r="N5343" t="s">
        <v>575</v>
      </c>
      <c r="P5343" t="s">
        <v>1887</v>
      </c>
      <c r="R5343" t="s">
        <v>150</v>
      </c>
      <c r="S5343" t="s">
        <v>145</v>
      </c>
      <c r="U5343">
        <v>0</v>
      </c>
      <c r="V5343" t="s">
        <v>544</v>
      </c>
      <c r="W5343" t="s">
        <v>546</v>
      </c>
      <c r="X5343" s="784">
        <v>1373621563.5182886</v>
      </c>
    </row>
    <row r="5344" spans="1:24">
      <c r="A5344" t="s">
        <v>358</v>
      </c>
      <c r="B5344" t="s">
        <v>673</v>
      </c>
      <c r="C5344" t="s">
        <v>275</v>
      </c>
      <c r="D5344" t="s">
        <v>130</v>
      </c>
      <c r="E5344" t="s">
        <v>377</v>
      </c>
      <c r="F5344" t="s">
        <v>310</v>
      </c>
      <c r="G5344" t="s">
        <v>344</v>
      </c>
      <c r="H5344" t="s">
        <v>104</v>
      </c>
      <c r="I5344">
        <v>2022</v>
      </c>
      <c r="J5344" t="s">
        <v>379</v>
      </c>
      <c r="K5344" t="s">
        <v>546</v>
      </c>
      <c r="L5344" s="784">
        <v>0</v>
      </c>
      <c r="M5344" t="s">
        <v>745</v>
      </c>
      <c r="N5344" t="s">
        <v>575</v>
      </c>
      <c r="P5344" t="s">
        <v>1887</v>
      </c>
      <c r="R5344" t="s">
        <v>550</v>
      </c>
      <c r="S5344" t="s">
        <v>146</v>
      </c>
      <c r="U5344">
        <v>0</v>
      </c>
      <c r="V5344" t="s">
        <v>541</v>
      </c>
      <c r="W5344" t="s">
        <v>575</v>
      </c>
      <c r="X5344" s="784">
        <v>24214370.889062837</v>
      </c>
    </row>
    <row r="5345" spans="1:24">
      <c r="A5345" t="s">
        <v>358</v>
      </c>
      <c r="B5345" t="s">
        <v>674</v>
      </c>
      <c r="C5345" t="s">
        <v>154</v>
      </c>
      <c r="D5345" t="s">
        <v>130</v>
      </c>
      <c r="E5345" t="s">
        <v>377</v>
      </c>
      <c r="F5345" t="s">
        <v>310</v>
      </c>
      <c r="G5345" t="s">
        <v>344</v>
      </c>
      <c r="H5345" t="s">
        <v>104</v>
      </c>
      <c r="I5345">
        <v>2022</v>
      </c>
      <c r="J5345" t="s">
        <v>379</v>
      </c>
      <c r="K5345" t="s">
        <v>546</v>
      </c>
      <c r="L5345" s="784">
        <v>0</v>
      </c>
      <c r="M5345" t="s">
        <v>745</v>
      </c>
      <c r="N5345" t="s">
        <v>575</v>
      </c>
      <c r="P5345" t="s">
        <v>1887</v>
      </c>
      <c r="R5345" t="s">
        <v>152</v>
      </c>
      <c r="S5345" t="s">
        <v>145</v>
      </c>
      <c r="U5345">
        <v>0</v>
      </c>
      <c r="V5345" t="s">
        <v>541</v>
      </c>
      <c r="W5345" t="s">
        <v>548</v>
      </c>
      <c r="X5345" s="784">
        <v>39941279.609447442</v>
      </c>
    </row>
    <row r="5346" spans="1:24">
      <c r="A5346" t="s">
        <v>358</v>
      </c>
      <c r="B5346" t="s">
        <v>675</v>
      </c>
      <c r="C5346" t="s">
        <v>155</v>
      </c>
      <c r="D5346" t="s">
        <v>130</v>
      </c>
      <c r="E5346" t="s">
        <v>377</v>
      </c>
      <c r="F5346" t="s">
        <v>310</v>
      </c>
      <c r="G5346" t="s">
        <v>344</v>
      </c>
      <c r="H5346" t="s">
        <v>104</v>
      </c>
      <c r="I5346">
        <v>2022</v>
      </c>
      <c r="J5346" t="s">
        <v>379</v>
      </c>
      <c r="K5346" t="s">
        <v>546</v>
      </c>
      <c r="L5346" s="784">
        <v>0</v>
      </c>
      <c r="M5346" t="s">
        <v>745</v>
      </c>
      <c r="N5346" t="s">
        <v>575</v>
      </c>
      <c r="P5346" t="s">
        <v>1887</v>
      </c>
      <c r="R5346" t="s">
        <v>152</v>
      </c>
      <c r="S5346" t="s">
        <v>145</v>
      </c>
      <c r="U5346">
        <v>0</v>
      </c>
      <c r="V5346" t="s">
        <v>541</v>
      </c>
      <c r="W5346" t="s">
        <v>542</v>
      </c>
      <c r="X5346" s="784">
        <v>24761675.260059897</v>
      </c>
    </row>
    <row r="5347" spans="1:24">
      <c r="A5347" t="s">
        <v>358</v>
      </c>
      <c r="B5347" t="s">
        <v>676</v>
      </c>
      <c r="C5347" t="s">
        <v>276</v>
      </c>
      <c r="D5347" t="s">
        <v>131</v>
      </c>
      <c r="E5347" t="s">
        <v>377</v>
      </c>
      <c r="F5347" t="s">
        <v>310</v>
      </c>
      <c r="G5347" t="s">
        <v>344</v>
      </c>
      <c r="H5347" t="s">
        <v>104</v>
      </c>
      <c r="I5347">
        <v>2022</v>
      </c>
      <c r="J5347" t="s">
        <v>379</v>
      </c>
      <c r="K5347" t="s">
        <v>546</v>
      </c>
      <c r="L5347" s="784">
        <v>0</v>
      </c>
      <c r="M5347" t="s">
        <v>745</v>
      </c>
      <c r="N5347" t="s">
        <v>575</v>
      </c>
      <c r="P5347" t="s">
        <v>1887</v>
      </c>
      <c r="R5347" t="s">
        <v>150</v>
      </c>
      <c r="S5347" t="s">
        <v>145</v>
      </c>
      <c r="U5347">
        <v>0</v>
      </c>
      <c r="V5347" t="s">
        <v>544</v>
      </c>
      <c r="W5347" t="s">
        <v>546</v>
      </c>
      <c r="X5347" s="784" t="s">
        <v>575</v>
      </c>
    </row>
    <row r="5348" spans="1:24">
      <c r="A5348" t="s">
        <v>358</v>
      </c>
      <c r="B5348" t="s">
        <v>677</v>
      </c>
      <c r="C5348" t="s">
        <v>277</v>
      </c>
      <c r="D5348" t="s">
        <v>131</v>
      </c>
      <c r="E5348" t="s">
        <v>377</v>
      </c>
      <c r="F5348" t="s">
        <v>310</v>
      </c>
      <c r="G5348" t="s">
        <v>344</v>
      </c>
      <c r="H5348" t="s">
        <v>104</v>
      </c>
      <c r="I5348">
        <v>2022</v>
      </c>
      <c r="J5348" t="s">
        <v>379</v>
      </c>
      <c r="K5348" t="s">
        <v>546</v>
      </c>
      <c r="L5348" s="784">
        <v>0</v>
      </c>
      <c r="M5348" t="s">
        <v>745</v>
      </c>
      <c r="N5348" t="s">
        <v>575</v>
      </c>
      <c r="P5348" t="s">
        <v>1887</v>
      </c>
      <c r="R5348" t="s">
        <v>148</v>
      </c>
      <c r="S5348" t="s">
        <v>145</v>
      </c>
      <c r="U5348">
        <v>1</v>
      </c>
      <c r="V5348" t="s">
        <v>544</v>
      </c>
      <c r="W5348" t="s">
        <v>546</v>
      </c>
      <c r="X5348" s="784">
        <v>577156172.71229994</v>
      </c>
    </row>
    <row r="5349" spans="1:24">
      <c r="A5349" t="s">
        <v>358</v>
      </c>
      <c r="B5349" t="s">
        <v>678</v>
      </c>
      <c r="C5349" t="s">
        <v>278</v>
      </c>
      <c r="D5349" t="s">
        <v>126</v>
      </c>
      <c r="E5349" t="s">
        <v>377</v>
      </c>
      <c r="F5349" t="s">
        <v>310</v>
      </c>
      <c r="G5349" t="s">
        <v>344</v>
      </c>
      <c r="H5349" t="s">
        <v>104</v>
      </c>
      <c r="I5349">
        <v>2022</v>
      </c>
      <c r="J5349" t="s">
        <v>379</v>
      </c>
      <c r="K5349" t="s">
        <v>546</v>
      </c>
      <c r="L5349" s="784">
        <v>0</v>
      </c>
      <c r="M5349" t="s">
        <v>745</v>
      </c>
      <c r="N5349" t="s">
        <v>575</v>
      </c>
      <c r="P5349" t="s">
        <v>1887</v>
      </c>
      <c r="R5349" t="s">
        <v>152</v>
      </c>
      <c r="S5349" t="s">
        <v>146</v>
      </c>
      <c r="U5349">
        <v>0</v>
      </c>
      <c r="V5349" t="s">
        <v>541</v>
      </c>
      <c r="W5349" t="s">
        <v>575</v>
      </c>
      <c r="X5349" s="784">
        <v>180052034.19851837</v>
      </c>
    </row>
    <row r="5350" spans="1:24">
      <c r="A5350" t="s">
        <v>358</v>
      </c>
      <c r="B5350" t="s">
        <v>679</v>
      </c>
      <c r="C5350" t="s">
        <v>279</v>
      </c>
      <c r="D5350" t="s">
        <v>131</v>
      </c>
      <c r="E5350" t="s">
        <v>377</v>
      </c>
      <c r="F5350" t="s">
        <v>310</v>
      </c>
      <c r="G5350" t="s">
        <v>344</v>
      </c>
      <c r="H5350" t="s">
        <v>104</v>
      </c>
      <c r="I5350">
        <v>2022</v>
      </c>
      <c r="J5350" t="s">
        <v>379</v>
      </c>
      <c r="K5350" t="s">
        <v>546</v>
      </c>
      <c r="L5350" s="784">
        <v>0</v>
      </c>
      <c r="M5350" t="s">
        <v>745</v>
      </c>
      <c r="N5350" t="s">
        <v>575</v>
      </c>
      <c r="P5350" t="s">
        <v>1887</v>
      </c>
      <c r="R5350" t="s">
        <v>148</v>
      </c>
      <c r="S5350" t="s">
        <v>145</v>
      </c>
      <c r="U5350">
        <v>1</v>
      </c>
      <c r="V5350" t="s">
        <v>544</v>
      </c>
      <c r="W5350" t="s">
        <v>546</v>
      </c>
      <c r="X5350" s="784" t="s">
        <v>575</v>
      </c>
    </row>
    <row r="5351" spans="1:24">
      <c r="A5351" t="s">
        <v>358</v>
      </c>
      <c r="B5351" t="s">
        <v>680</v>
      </c>
      <c r="C5351" t="s">
        <v>280</v>
      </c>
      <c r="D5351" t="s">
        <v>127</v>
      </c>
      <c r="E5351" t="s">
        <v>377</v>
      </c>
      <c r="F5351" t="s">
        <v>310</v>
      </c>
      <c r="G5351" t="s">
        <v>344</v>
      </c>
      <c r="H5351" t="s">
        <v>104</v>
      </c>
      <c r="I5351">
        <v>2022</v>
      </c>
      <c r="J5351" t="s">
        <v>379</v>
      </c>
      <c r="K5351" t="s">
        <v>546</v>
      </c>
      <c r="L5351" s="784">
        <v>0</v>
      </c>
      <c r="M5351" t="s">
        <v>745</v>
      </c>
      <c r="N5351" t="s">
        <v>575</v>
      </c>
      <c r="P5351" t="s">
        <v>1887</v>
      </c>
      <c r="R5351" t="s">
        <v>150</v>
      </c>
      <c r="S5351" t="s">
        <v>145</v>
      </c>
      <c r="U5351">
        <v>0</v>
      </c>
      <c r="V5351" t="s">
        <v>544</v>
      </c>
      <c r="W5351" t="s">
        <v>542</v>
      </c>
      <c r="X5351" s="784">
        <v>147296124.32232863</v>
      </c>
    </row>
    <row r="5352" spans="1:24">
      <c r="A5352" t="s">
        <v>358</v>
      </c>
      <c r="B5352" t="s">
        <v>681</v>
      </c>
      <c r="C5352" t="s">
        <v>156</v>
      </c>
      <c r="D5352" t="s">
        <v>128</v>
      </c>
      <c r="E5352" t="s">
        <v>377</v>
      </c>
      <c r="F5352" t="s">
        <v>310</v>
      </c>
      <c r="G5352" t="s">
        <v>344</v>
      </c>
      <c r="H5352" t="s">
        <v>104</v>
      </c>
      <c r="I5352">
        <v>2022</v>
      </c>
      <c r="J5352" t="s">
        <v>379</v>
      </c>
      <c r="K5352" t="s">
        <v>546</v>
      </c>
      <c r="L5352" s="784">
        <v>0</v>
      </c>
      <c r="M5352" t="s">
        <v>745</v>
      </c>
      <c r="N5352" t="s">
        <v>575</v>
      </c>
      <c r="P5352" t="s">
        <v>1887</v>
      </c>
      <c r="R5352" t="s">
        <v>150</v>
      </c>
      <c r="S5352" t="s">
        <v>145</v>
      </c>
      <c r="U5352">
        <v>0</v>
      </c>
      <c r="V5352" t="s">
        <v>544</v>
      </c>
      <c r="W5352" t="s">
        <v>548</v>
      </c>
      <c r="X5352" s="784">
        <v>890576536.83065879</v>
      </c>
    </row>
    <row r="5353" spans="1:24">
      <c r="A5353" t="s">
        <v>358</v>
      </c>
      <c r="B5353" t="s">
        <v>682</v>
      </c>
      <c r="C5353" t="s">
        <v>157</v>
      </c>
      <c r="D5353" t="s">
        <v>126</v>
      </c>
      <c r="E5353" t="s">
        <v>377</v>
      </c>
      <c r="F5353" t="s">
        <v>310</v>
      </c>
      <c r="G5353" t="s">
        <v>344</v>
      </c>
      <c r="H5353" t="s">
        <v>104</v>
      </c>
      <c r="I5353">
        <v>2022</v>
      </c>
      <c r="J5353" t="s">
        <v>379</v>
      </c>
      <c r="K5353" t="s">
        <v>546</v>
      </c>
      <c r="L5353" s="784">
        <v>0</v>
      </c>
      <c r="M5353" t="s">
        <v>745</v>
      </c>
      <c r="N5353" t="s">
        <v>575</v>
      </c>
      <c r="P5353" t="s">
        <v>1887</v>
      </c>
      <c r="R5353" t="s">
        <v>152</v>
      </c>
      <c r="S5353" t="s">
        <v>146</v>
      </c>
      <c r="U5353">
        <v>0</v>
      </c>
      <c r="V5353" t="s">
        <v>544</v>
      </c>
      <c r="W5353" t="s">
        <v>575</v>
      </c>
      <c r="X5353" s="784">
        <v>14611129792.346064</v>
      </c>
    </row>
    <row r="5354" spans="1:24">
      <c r="A5354" t="s">
        <v>358</v>
      </c>
      <c r="B5354" t="s">
        <v>683</v>
      </c>
      <c r="C5354" t="s">
        <v>281</v>
      </c>
      <c r="D5354" t="s">
        <v>126</v>
      </c>
      <c r="E5354" t="s">
        <v>377</v>
      </c>
      <c r="F5354" t="s">
        <v>310</v>
      </c>
      <c r="G5354" t="s">
        <v>344</v>
      </c>
      <c r="H5354" t="s">
        <v>104</v>
      </c>
      <c r="I5354">
        <v>2022</v>
      </c>
      <c r="J5354" t="s">
        <v>379</v>
      </c>
      <c r="K5354" t="s">
        <v>546</v>
      </c>
      <c r="L5354" s="784">
        <v>0</v>
      </c>
      <c r="M5354" t="s">
        <v>745</v>
      </c>
      <c r="N5354" t="s">
        <v>575</v>
      </c>
      <c r="P5354" t="s">
        <v>1887</v>
      </c>
      <c r="R5354" t="s">
        <v>150</v>
      </c>
      <c r="S5354" t="s">
        <v>145</v>
      </c>
      <c r="U5354">
        <v>0</v>
      </c>
      <c r="V5354" t="s">
        <v>541</v>
      </c>
      <c r="W5354" t="s">
        <v>558</v>
      </c>
      <c r="X5354" s="784">
        <v>72046877.233008593</v>
      </c>
    </row>
    <row r="5355" spans="1:24">
      <c r="A5355" t="s">
        <v>358</v>
      </c>
      <c r="B5355" t="s">
        <v>684</v>
      </c>
      <c r="C5355" t="s">
        <v>282</v>
      </c>
      <c r="D5355" t="s">
        <v>129</v>
      </c>
      <c r="E5355" t="s">
        <v>377</v>
      </c>
      <c r="F5355" t="s">
        <v>310</v>
      </c>
      <c r="G5355" t="s">
        <v>344</v>
      </c>
      <c r="H5355" t="s">
        <v>104</v>
      </c>
      <c r="I5355">
        <v>2022</v>
      </c>
      <c r="J5355" t="s">
        <v>379</v>
      </c>
      <c r="K5355" t="s">
        <v>546</v>
      </c>
      <c r="L5355" s="784">
        <v>0</v>
      </c>
      <c r="M5355" t="s">
        <v>745</v>
      </c>
      <c r="N5355" t="s">
        <v>575</v>
      </c>
      <c r="P5355" t="s">
        <v>1887</v>
      </c>
      <c r="R5355" t="s">
        <v>148</v>
      </c>
      <c r="S5355" t="s">
        <v>145</v>
      </c>
      <c r="U5355">
        <v>0</v>
      </c>
      <c r="V5355" t="s">
        <v>544</v>
      </c>
      <c r="W5355" t="s">
        <v>542</v>
      </c>
      <c r="X5355" s="784">
        <v>56248139.267255567</v>
      </c>
    </row>
    <row r="5356" spans="1:24">
      <c r="A5356" t="s">
        <v>358</v>
      </c>
      <c r="B5356" t="s">
        <v>685</v>
      </c>
      <c r="C5356" t="s">
        <v>283</v>
      </c>
      <c r="D5356" t="s">
        <v>126</v>
      </c>
      <c r="E5356" t="s">
        <v>377</v>
      </c>
      <c r="F5356" t="s">
        <v>310</v>
      </c>
      <c r="G5356" t="s">
        <v>344</v>
      </c>
      <c r="H5356" t="s">
        <v>104</v>
      </c>
      <c r="I5356">
        <v>2022</v>
      </c>
      <c r="J5356" t="s">
        <v>379</v>
      </c>
      <c r="K5356" t="s">
        <v>546</v>
      </c>
      <c r="L5356" s="784">
        <v>0</v>
      </c>
      <c r="M5356" t="s">
        <v>745</v>
      </c>
      <c r="N5356" t="s">
        <v>575</v>
      </c>
      <c r="P5356" t="s">
        <v>1887</v>
      </c>
      <c r="R5356" t="s">
        <v>152</v>
      </c>
      <c r="S5356" t="s">
        <v>145</v>
      </c>
      <c r="U5356">
        <v>0</v>
      </c>
      <c r="V5356" t="s">
        <v>541</v>
      </c>
      <c r="W5356" t="s">
        <v>542</v>
      </c>
      <c r="X5356" s="784">
        <v>15464031.712942109</v>
      </c>
    </row>
    <row r="5357" spans="1:24">
      <c r="A5357" t="s">
        <v>358</v>
      </c>
      <c r="B5357" t="s">
        <v>686</v>
      </c>
      <c r="C5357" t="s">
        <v>284</v>
      </c>
      <c r="D5357" t="s">
        <v>130</v>
      </c>
      <c r="E5357" t="s">
        <v>377</v>
      </c>
      <c r="F5357" t="s">
        <v>310</v>
      </c>
      <c r="G5357" t="s">
        <v>344</v>
      </c>
      <c r="H5357" t="s">
        <v>104</v>
      </c>
      <c r="I5357">
        <v>2022</v>
      </c>
      <c r="J5357" t="s">
        <v>379</v>
      </c>
      <c r="K5357" t="s">
        <v>546</v>
      </c>
      <c r="L5357" s="784">
        <v>0</v>
      </c>
      <c r="M5357" t="s">
        <v>745</v>
      </c>
      <c r="N5357" t="s">
        <v>575</v>
      </c>
      <c r="P5357" t="s">
        <v>1887</v>
      </c>
      <c r="R5357" t="s">
        <v>550</v>
      </c>
      <c r="S5357" t="s">
        <v>146</v>
      </c>
      <c r="U5357">
        <v>0</v>
      </c>
      <c r="V5357" t="s">
        <v>541</v>
      </c>
      <c r="W5357" t="s">
        <v>546</v>
      </c>
      <c r="X5357" s="784">
        <v>769564399.33249676</v>
      </c>
    </row>
    <row r="5358" spans="1:24">
      <c r="A5358" t="s">
        <v>358</v>
      </c>
      <c r="B5358" t="s">
        <v>687</v>
      </c>
      <c r="C5358" t="s">
        <v>285</v>
      </c>
      <c r="D5358" t="s">
        <v>131</v>
      </c>
      <c r="E5358" t="s">
        <v>377</v>
      </c>
      <c r="F5358" t="s">
        <v>310</v>
      </c>
      <c r="G5358" t="s">
        <v>344</v>
      </c>
      <c r="H5358" t="s">
        <v>104</v>
      </c>
      <c r="I5358">
        <v>2022</v>
      </c>
      <c r="J5358" t="s">
        <v>379</v>
      </c>
      <c r="K5358" t="s">
        <v>546</v>
      </c>
      <c r="L5358" s="784">
        <v>0</v>
      </c>
      <c r="M5358" t="s">
        <v>745</v>
      </c>
      <c r="N5358" t="s">
        <v>575</v>
      </c>
      <c r="P5358" t="s">
        <v>1887</v>
      </c>
      <c r="R5358" t="s">
        <v>150</v>
      </c>
      <c r="S5358" t="s">
        <v>145</v>
      </c>
      <c r="U5358">
        <v>0</v>
      </c>
      <c r="V5358" t="s">
        <v>544</v>
      </c>
      <c r="W5358" t="s">
        <v>546</v>
      </c>
      <c r="X5358" s="784">
        <v>1668954539.7630196</v>
      </c>
    </row>
    <row r="5359" spans="1:24">
      <c r="A5359" t="s">
        <v>358</v>
      </c>
      <c r="B5359" t="s">
        <v>688</v>
      </c>
      <c r="C5359" t="s">
        <v>286</v>
      </c>
      <c r="D5359" t="s">
        <v>127</v>
      </c>
      <c r="E5359" t="s">
        <v>377</v>
      </c>
      <c r="F5359" t="s">
        <v>310</v>
      </c>
      <c r="G5359" t="s">
        <v>344</v>
      </c>
      <c r="H5359" t="s">
        <v>104</v>
      </c>
      <c r="I5359">
        <v>2022</v>
      </c>
      <c r="J5359" t="s">
        <v>379</v>
      </c>
      <c r="K5359" t="s">
        <v>546</v>
      </c>
      <c r="L5359" s="784">
        <v>0</v>
      </c>
      <c r="M5359" t="s">
        <v>745</v>
      </c>
      <c r="N5359" t="s">
        <v>575</v>
      </c>
      <c r="P5359" t="s">
        <v>1887</v>
      </c>
      <c r="R5359" t="s">
        <v>152</v>
      </c>
      <c r="S5359" t="s">
        <v>146</v>
      </c>
      <c r="U5359">
        <v>0</v>
      </c>
      <c r="V5359" t="s">
        <v>544</v>
      </c>
      <c r="W5359" t="s">
        <v>575</v>
      </c>
      <c r="X5359" s="784">
        <v>24840920016.18832</v>
      </c>
    </row>
    <row r="5360" spans="1:24">
      <c r="A5360" t="s">
        <v>358</v>
      </c>
      <c r="B5360" t="s">
        <v>689</v>
      </c>
      <c r="C5360" t="s">
        <v>287</v>
      </c>
      <c r="D5360" t="s">
        <v>127</v>
      </c>
      <c r="E5360" t="s">
        <v>377</v>
      </c>
      <c r="F5360" t="s">
        <v>310</v>
      </c>
      <c r="G5360" t="s">
        <v>344</v>
      </c>
      <c r="H5360" t="s">
        <v>104</v>
      </c>
      <c r="I5360">
        <v>2022</v>
      </c>
      <c r="J5360" t="s">
        <v>379</v>
      </c>
      <c r="K5360" t="s">
        <v>546</v>
      </c>
      <c r="L5360" s="784">
        <v>0</v>
      </c>
      <c r="M5360" t="s">
        <v>745</v>
      </c>
      <c r="N5360" t="s">
        <v>575</v>
      </c>
      <c r="P5360" t="s">
        <v>1887</v>
      </c>
      <c r="R5360" t="s">
        <v>152</v>
      </c>
      <c r="S5360" t="s">
        <v>146</v>
      </c>
      <c r="U5360">
        <v>0</v>
      </c>
      <c r="V5360" t="s">
        <v>544</v>
      </c>
      <c r="W5360" t="s">
        <v>546</v>
      </c>
      <c r="X5360" s="784">
        <v>487888462.83720118</v>
      </c>
    </row>
    <row r="5361" spans="1:24">
      <c r="A5361" t="s">
        <v>358</v>
      </c>
      <c r="B5361" t="s">
        <v>690</v>
      </c>
      <c r="C5361" t="s">
        <v>288</v>
      </c>
      <c r="D5361" t="s">
        <v>126</v>
      </c>
      <c r="E5361" t="s">
        <v>377</v>
      </c>
      <c r="F5361" t="s">
        <v>310</v>
      </c>
      <c r="G5361" t="s">
        <v>344</v>
      </c>
      <c r="H5361" t="s">
        <v>104</v>
      </c>
      <c r="I5361">
        <v>2022</v>
      </c>
      <c r="J5361" t="s">
        <v>379</v>
      </c>
      <c r="K5361" t="s">
        <v>546</v>
      </c>
      <c r="L5361" s="784">
        <v>0</v>
      </c>
      <c r="M5361" t="s">
        <v>745</v>
      </c>
      <c r="N5361" t="s">
        <v>575</v>
      </c>
      <c r="P5361" t="s">
        <v>1887</v>
      </c>
      <c r="R5361" t="s">
        <v>152</v>
      </c>
      <c r="S5361" t="s">
        <v>145</v>
      </c>
      <c r="U5361">
        <v>0</v>
      </c>
      <c r="V5361" t="s">
        <v>541</v>
      </c>
      <c r="W5361" t="s">
        <v>548</v>
      </c>
      <c r="X5361" s="784">
        <v>6365061.1736073596</v>
      </c>
    </row>
    <row r="5362" spans="1:24">
      <c r="A5362" t="s">
        <v>358</v>
      </c>
      <c r="B5362" t="s">
        <v>691</v>
      </c>
      <c r="C5362" t="s">
        <v>289</v>
      </c>
      <c r="D5362" t="s">
        <v>128</v>
      </c>
      <c r="E5362" t="s">
        <v>377</v>
      </c>
      <c r="F5362" t="s">
        <v>310</v>
      </c>
      <c r="G5362" t="s">
        <v>344</v>
      </c>
      <c r="H5362" t="s">
        <v>104</v>
      </c>
      <c r="I5362">
        <v>2022</v>
      </c>
      <c r="J5362" t="s">
        <v>379</v>
      </c>
      <c r="K5362" t="s">
        <v>546</v>
      </c>
      <c r="L5362" s="784">
        <v>0</v>
      </c>
      <c r="M5362" t="s">
        <v>745</v>
      </c>
      <c r="N5362" t="s">
        <v>575</v>
      </c>
      <c r="P5362" t="s">
        <v>1887</v>
      </c>
      <c r="R5362" t="s">
        <v>148</v>
      </c>
      <c r="S5362" t="s">
        <v>145</v>
      </c>
      <c r="U5362">
        <v>2</v>
      </c>
      <c r="V5362" t="s">
        <v>544</v>
      </c>
      <c r="W5362" t="s">
        <v>558</v>
      </c>
      <c r="X5362" s="784">
        <v>291799092.90196139</v>
      </c>
    </row>
    <row r="5363" spans="1:24">
      <c r="A5363" t="s">
        <v>358</v>
      </c>
      <c r="B5363" t="s">
        <v>692</v>
      </c>
      <c r="C5363" t="s">
        <v>290</v>
      </c>
      <c r="D5363" t="s">
        <v>127</v>
      </c>
      <c r="E5363" t="s">
        <v>377</v>
      </c>
      <c r="F5363" t="s">
        <v>310</v>
      </c>
      <c r="G5363" t="s">
        <v>344</v>
      </c>
      <c r="H5363" t="s">
        <v>104</v>
      </c>
      <c r="I5363">
        <v>2022</v>
      </c>
      <c r="J5363" t="s">
        <v>379</v>
      </c>
      <c r="K5363" t="s">
        <v>546</v>
      </c>
      <c r="L5363" s="784">
        <v>0</v>
      </c>
      <c r="M5363" t="s">
        <v>745</v>
      </c>
      <c r="N5363" t="s">
        <v>575</v>
      </c>
      <c r="P5363" t="s">
        <v>1887</v>
      </c>
      <c r="R5363" t="s">
        <v>150</v>
      </c>
      <c r="S5363" t="s">
        <v>145</v>
      </c>
      <c r="U5363">
        <v>0</v>
      </c>
      <c r="V5363" t="s">
        <v>544</v>
      </c>
      <c r="W5363" t="s">
        <v>546</v>
      </c>
      <c r="X5363" s="784">
        <v>4844815340.2135534</v>
      </c>
    </row>
    <row r="5364" spans="1:24">
      <c r="A5364" t="s">
        <v>358</v>
      </c>
      <c r="B5364" t="s">
        <v>693</v>
      </c>
      <c r="C5364" t="s">
        <v>291</v>
      </c>
      <c r="D5364" t="s">
        <v>130</v>
      </c>
      <c r="E5364" t="s">
        <v>377</v>
      </c>
      <c r="F5364" t="s">
        <v>310</v>
      </c>
      <c r="G5364" t="s">
        <v>344</v>
      </c>
      <c r="H5364" t="s">
        <v>104</v>
      </c>
      <c r="I5364">
        <v>2022</v>
      </c>
      <c r="J5364" t="s">
        <v>379</v>
      </c>
      <c r="K5364" t="s">
        <v>546</v>
      </c>
      <c r="L5364" s="784">
        <v>0</v>
      </c>
      <c r="M5364" t="s">
        <v>745</v>
      </c>
      <c r="N5364" t="s">
        <v>575</v>
      </c>
      <c r="P5364" t="s">
        <v>1887</v>
      </c>
      <c r="R5364" t="s">
        <v>550</v>
      </c>
      <c r="S5364" t="s">
        <v>146</v>
      </c>
      <c r="U5364">
        <v>0</v>
      </c>
      <c r="V5364" t="s">
        <v>544</v>
      </c>
      <c r="W5364" t="s">
        <v>575</v>
      </c>
      <c r="X5364" s="784">
        <v>4001891446.6871672</v>
      </c>
    </row>
    <row r="5365" spans="1:24">
      <c r="A5365" t="s">
        <v>358</v>
      </c>
      <c r="B5365" t="s">
        <v>694</v>
      </c>
      <c r="C5365" t="s">
        <v>292</v>
      </c>
      <c r="D5365" t="s">
        <v>127</v>
      </c>
      <c r="E5365" t="s">
        <v>377</v>
      </c>
      <c r="F5365" t="s">
        <v>310</v>
      </c>
      <c r="G5365" t="s">
        <v>344</v>
      </c>
      <c r="H5365" t="s">
        <v>104</v>
      </c>
      <c r="I5365">
        <v>2022</v>
      </c>
      <c r="J5365" t="s">
        <v>379</v>
      </c>
      <c r="K5365" t="s">
        <v>546</v>
      </c>
      <c r="L5365" s="784">
        <v>0</v>
      </c>
      <c r="M5365" t="s">
        <v>745</v>
      </c>
      <c r="N5365" t="s">
        <v>575</v>
      </c>
      <c r="P5365" t="s">
        <v>1887</v>
      </c>
      <c r="R5365" t="s">
        <v>150</v>
      </c>
      <c r="S5365" t="s">
        <v>145</v>
      </c>
      <c r="U5365">
        <v>0</v>
      </c>
      <c r="V5365" t="s">
        <v>544</v>
      </c>
      <c r="W5365" t="s">
        <v>558</v>
      </c>
      <c r="X5365" s="784">
        <v>1019800630.5853213</v>
      </c>
    </row>
    <row r="5366" spans="1:24">
      <c r="A5366" t="s">
        <v>358</v>
      </c>
      <c r="B5366" t="s">
        <v>695</v>
      </c>
      <c r="C5366" t="s">
        <v>293</v>
      </c>
      <c r="D5366" t="s">
        <v>126</v>
      </c>
      <c r="E5366" t="s">
        <v>377</v>
      </c>
      <c r="F5366" t="s">
        <v>310</v>
      </c>
      <c r="G5366" t="s">
        <v>344</v>
      </c>
      <c r="H5366" t="s">
        <v>104</v>
      </c>
      <c r="I5366">
        <v>2022</v>
      </c>
      <c r="J5366" t="s">
        <v>379</v>
      </c>
      <c r="K5366" t="s">
        <v>546</v>
      </c>
      <c r="L5366" s="784">
        <v>0</v>
      </c>
      <c r="M5366" t="s">
        <v>745</v>
      </c>
      <c r="N5366" t="s">
        <v>575</v>
      </c>
      <c r="P5366" t="s">
        <v>1887</v>
      </c>
      <c r="R5366" t="s">
        <v>150</v>
      </c>
      <c r="S5366" t="s">
        <v>145</v>
      </c>
      <c r="U5366">
        <v>0</v>
      </c>
      <c r="V5366" t="s">
        <v>541</v>
      </c>
      <c r="W5366" t="s">
        <v>562</v>
      </c>
      <c r="X5366" s="784">
        <v>19578671.310841195</v>
      </c>
    </row>
    <row r="5367" spans="1:24">
      <c r="A5367" t="s">
        <v>358</v>
      </c>
      <c r="B5367" t="s">
        <v>696</v>
      </c>
      <c r="C5367" t="s">
        <v>294</v>
      </c>
      <c r="D5367" t="s">
        <v>130</v>
      </c>
      <c r="E5367" t="s">
        <v>377</v>
      </c>
      <c r="F5367" t="s">
        <v>310</v>
      </c>
      <c r="G5367" t="s">
        <v>344</v>
      </c>
      <c r="H5367" t="s">
        <v>104</v>
      </c>
      <c r="I5367">
        <v>2022</v>
      </c>
      <c r="J5367" t="s">
        <v>379</v>
      </c>
      <c r="K5367" t="s">
        <v>546</v>
      </c>
      <c r="L5367" s="784">
        <v>0</v>
      </c>
      <c r="M5367" t="s">
        <v>745</v>
      </c>
      <c r="N5367" t="s">
        <v>575</v>
      </c>
      <c r="P5367" t="s">
        <v>1887</v>
      </c>
      <c r="R5367" t="s">
        <v>322</v>
      </c>
      <c r="S5367" t="s">
        <v>146</v>
      </c>
      <c r="U5367">
        <v>0</v>
      </c>
      <c r="V5367" t="s">
        <v>544</v>
      </c>
      <c r="W5367" t="s">
        <v>546</v>
      </c>
      <c r="X5367" s="784">
        <v>3551452001.0684834</v>
      </c>
    </row>
    <row r="5368" spans="1:24">
      <c r="A5368" t="s">
        <v>358</v>
      </c>
      <c r="B5368" t="s">
        <v>697</v>
      </c>
      <c r="C5368" t="s">
        <v>295</v>
      </c>
      <c r="D5368" t="s">
        <v>126</v>
      </c>
      <c r="E5368" t="s">
        <v>377</v>
      </c>
      <c r="F5368" t="s">
        <v>310</v>
      </c>
      <c r="G5368" t="s">
        <v>344</v>
      </c>
      <c r="H5368" t="s">
        <v>104</v>
      </c>
      <c r="I5368">
        <v>2022</v>
      </c>
      <c r="J5368" t="s">
        <v>379</v>
      </c>
      <c r="K5368" t="s">
        <v>546</v>
      </c>
      <c r="L5368" s="784">
        <v>0</v>
      </c>
      <c r="M5368" t="s">
        <v>745</v>
      </c>
      <c r="N5368" t="s">
        <v>575</v>
      </c>
      <c r="P5368" t="s">
        <v>1887</v>
      </c>
      <c r="R5368" t="s">
        <v>150</v>
      </c>
      <c r="S5368" t="s">
        <v>145</v>
      </c>
      <c r="U5368">
        <v>0</v>
      </c>
      <c r="V5368" t="s">
        <v>544</v>
      </c>
      <c r="W5368" t="s">
        <v>546</v>
      </c>
      <c r="X5368" s="784">
        <v>6603048821.7575006</v>
      </c>
    </row>
    <row r="5369" spans="1:24">
      <c r="A5369" t="s">
        <v>358</v>
      </c>
      <c r="B5369" t="s">
        <v>698</v>
      </c>
      <c r="C5369" t="s">
        <v>296</v>
      </c>
      <c r="D5369" t="s">
        <v>131</v>
      </c>
      <c r="E5369" t="s">
        <v>377</v>
      </c>
      <c r="F5369" t="s">
        <v>310</v>
      </c>
      <c r="G5369" t="s">
        <v>344</v>
      </c>
      <c r="H5369" t="s">
        <v>104</v>
      </c>
      <c r="I5369">
        <v>2022</v>
      </c>
      <c r="J5369" t="s">
        <v>379</v>
      </c>
      <c r="K5369" t="s">
        <v>546</v>
      </c>
      <c r="L5369" s="784">
        <v>0</v>
      </c>
      <c r="M5369" t="s">
        <v>745</v>
      </c>
      <c r="N5369" t="s">
        <v>575</v>
      </c>
      <c r="P5369" t="s">
        <v>1887</v>
      </c>
      <c r="R5369" t="s">
        <v>148</v>
      </c>
      <c r="S5369" t="s">
        <v>145</v>
      </c>
      <c r="U5369">
        <v>1</v>
      </c>
      <c r="V5369" t="s">
        <v>544</v>
      </c>
      <c r="W5369" t="s">
        <v>548</v>
      </c>
      <c r="X5369" s="784" t="s">
        <v>575</v>
      </c>
    </row>
    <row r="5370" spans="1:24">
      <c r="A5370" t="s">
        <v>358</v>
      </c>
      <c r="B5370" t="s">
        <v>699</v>
      </c>
      <c r="C5370" t="s">
        <v>297</v>
      </c>
      <c r="D5370" t="s">
        <v>128</v>
      </c>
      <c r="E5370" t="s">
        <v>377</v>
      </c>
      <c r="F5370" t="s">
        <v>310</v>
      </c>
      <c r="G5370" t="s">
        <v>344</v>
      </c>
      <c r="H5370" t="s">
        <v>104</v>
      </c>
      <c r="I5370">
        <v>2022</v>
      </c>
      <c r="J5370" t="s">
        <v>379</v>
      </c>
      <c r="K5370" t="s">
        <v>546</v>
      </c>
      <c r="L5370" s="784">
        <v>0</v>
      </c>
      <c r="M5370" t="s">
        <v>745</v>
      </c>
      <c r="N5370" t="s">
        <v>575</v>
      </c>
      <c r="P5370" t="s">
        <v>1887</v>
      </c>
      <c r="R5370" t="s">
        <v>150</v>
      </c>
      <c r="S5370" t="s">
        <v>145</v>
      </c>
      <c r="U5370">
        <v>0</v>
      </c>
      <c r="V5370" t="s">
        <v>544</v>
      </c>
      <c r="W5370" t="s">
        <v>542</v>
      </c>
      <c r="X5370" s="784">
        <v>515352723.9821828</v>
      </c>
    </row>
    <row r="5371" spans="1:24">
      <c r="A5371" t="s">
        <v>358</v>
      </c>
      <c r="B5371" t="s">
        <v>700</v>
      </c>
      <c r="C5371" t="s">
        <v>298</v>
      </c>
      <c r="D5371" t="s">
        <v>128</v>
      </c>
      <c r="E5371" t="s">
        <v>377</v>
      </c>
      <c r="F5371" t="s">
        <v>310</v>
      </c>
      <c r="G5371" t="s">
        <v>344</v>
      </c>
      <c r="H5371" t="s">
        <v>104</v>
      </c>
      <c r="I5371">
        <v>2022</v>
      </c>
      <c r="J5371" t="s">
        <v>379</v>
      </c>
      <c r="K5371" t="s">
        <v>546</v>
      </c>
      <c r="L5371" s="784">
        <v>0</v>
      </c>
      <c r="M5371" t="s">
        <v>745</v>
      </c>
      <c r="N5371" t="s">
        <v>575</v>
      </c>
      <c r="P5371" t="s">
        <v>1887</v>
      </c>
      <c r="R5371" t="s">
        <v>150</v>
      </c>
      <c r="S5371" t="s">
        <v>145</v>
      </c>
      <c r="U5371">
        <v>0</v>
      </c>
      <c r="V5371" t="s">
        <v>544</v>
      </c>
      <c r="W5371" t="s">
        <v>546</v>
      </c>
      <c r="X5371" s="784">
        <v>566711742.22428358</v>
      </c>
    </row>
  </sheetData>
  <autoFilter ref="P2:P5371" xr:uid="{962CDD49-0C8F-41E0-8BDD-4FF32A5C415B}"/>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dimension ref="A1:AU166"/>
  <sheetViews>
    <sheetView zoomScale="55" zoomScaleNormal="55" workbookViewId="0">
      <pane xSplit="4" ySplit="4" topLeftCell="E5" activePane="bottomRight" state="frozen"/>
      <selection pane="topRight" activeCell="E1" sqref="E1"/>
      <selection pane="bottomLeft" activeCell="A5" sqref="A5"/>
      <selection pane="bottomRight" activeCell="AE2" sqref="AE2"/>
    </sheetView>
  </sheetViews>
  <sheetFormatPr defaultRowHeight="15.5"/>
  <cols>
    <col min="4" max="4" width="29.58203125" bestFit="1" customWidth="1"/>
    <col min="5" max="5" width="15.83203125" bestFit="1" customWidth="1"/>
    <col min="6" max="37" width="16" style="830" customWidth="1"/>
    <col min="38" max="40" width="14" customWidth="1"/>
    <col min="41" max="41" width="32.5" customWidth="1"/>
  </cols>
  <sheetData>
    <row r="1" spans="1:41" ht="36">
      <c r="A1" s="1243" t="s">
        <v>758</v>
      </c>
      <c r="B1" s="1243"/>
      <c r="C1" s="1243"/>
      <c r="D1" s="1243"/>
      <c r="E1" s="1243"/>
      <c r="F1" s="1243"/>
      <c r="G1" s="1243"/>
      <c r="H1" s="1243"/>
    </row>
    <row r="2" spans="1:41" ht="48.75" customHeight="1">
      <c r="D2" s="599" t="s">
        <v>122</v>
      </c>
      <c r="E2" t="s">
        <v>356</v>
      </c>
      <c r="G2" s="1241" t="s">
        <v>759</v>
      </c>
      <c r="H2" s="1241"/>
      <c r="I2" s="1242"/>
    </row>
    <row r="3" spans="1:41">
      <c r="A3" s="1244" t="s">
        <v>760</v>
      </c>
      <c r="B3" s="1244"/>
      <c r="C3" s="1244"/>
      <c r="F3" s="1240" t="s">
        <v>383</v>
      </c>
      <c r="G3" s="1240"/>
      <c r="H3" s="1240"/>
      <c r="I3" s="1248" t="s">
        <v>310</v>
      </c>
      <c r="J3" s="1249"/>
      <c r="K3" s="1249"/>
      <c r="L3" s="1249"/>
      <c r="M3" s="1249"/>
      <c r="N3" s="1249"/>
      <c r="O3" s="1249"/>
      <c r="P3" s="1250"/>
      <c r="Q3" s="1245" t="s">
        <v>384</v>
      </c>
      <c r="R3" s="1246"/>
      <c r="S3" s="1246"/>
      <c r="T3" s="1246"/>
      <c r="U3" s="1246"/>
      <c r="V3" s="1246"/>
      <c r="W3" s="1246"/>
      <c r="X3" s="1246"/>
      <c r="Y3" s="1246"/>
      <c r="Z3" s="1246"/>
      <c r="AA3" s="1246"/>
      <c r="AB3" s="1246"/>
      <c r="AC3" s="1247"/>
      <c r="AD3" s="1240" t="s">
        <v>312</v>
      </c>
      <c r="AE3" s="1240"/>
      <c r="AF3" s="1240"/>
    </row>
    <row r="4" spans="1:41" ht="93">
      <c r="A4" s="1244"/>
      <c r="B4" s="1244"/>
      <c r="C4" s="1244"/>
      <c r="D4" s="840" t="s">
        <v>433</v>
      </c>
      <c r="E4" s="831" t="s">
        <v>3</v>
      </c>
      <c r="F4" s="882" t="s">
        <v>761</v>
      </c>
      <c r="G4" s="882" t="s">
        <v>762</v>
      </c>
      <c r="H4" s="882" t="s">
        <v>763</v>
      </c>
      <c r="I4" s="882" t="s">
        <v>764</v>
      </c>
      <c r="J4" s="882" t="s">
        <v>765</v>
      </c>
      <c r="K4" s="882" t="s">
        <v>766</v>
      </c>
      <c r="L4" s="882" t="s">
        <v>767</v>
      </c>
      <c r="M4" s="882" t="s">
        <v>768</v>
      </c>
      <c r="N4" s="899" t="s">
        <v>769</v>
      </c>
      <c r="O4" s="899" t="s">
        <v>770</v>
      </c>
      <c r="P4" s="899" t="s">
        <v>771</v>
      </c>
      <c r="Q4" s="836" t="s">
        <v>772</v>
      </c>
      <c r="R4" s="836" t="s">
        <v>773</v>
      </c>
      <c r="S4" s="836" t="s">
        <v>774</v>
      </c>
      <c r="T4" s="836" t="s">
        <v>775</v>
      </c>
      <c r="U4" s="836" t="s">
        <v>776</v>
      </c>
      <c r="V4" s="889" t="s">
        <v>777</v>
      </c>
      <c r="W4" s="836" t="s">
        <v>778</v>
      </c>
      <c r="X4" s="836" t="s">
        <v>779</v>
      </c>
      <c r="Y4" s="836" t="s">
        <v>780</v>
      </c>
      <c r="Z4" s="882" t="s">
        <v>781</v>
      </c>
      <c r="AA4" s="837" t="s">
        <v>782</v>
      </c>
      <c r="AB4" s="836" t="s">
        <v>783</v>
      </c>
      <c r="AC4" s="836" t="s">
        <v>784</v>
      </c>
      <c r="AD4" s="836" t="s">
        <v>785</v>
      </c>
      <c r="AE4" s="836" t="s">
        <v>786</v>
      </c>
      <c r="AF4" s="882" t="s">
        <v>787</v>
      </c>
      <c r="AG4" s="836" t="s">
        <v>788</v>
      </c>
      <c r="AH4" s="832" t="s">
        <v>789</v>
      </c>
      <c r="AI4" s="832" t="s">
        <v>790</v>
      </c>
      <c r="AJ4" s="832" t="s">
        <v>791</v>
      </c>
      <c r="AK4" s="832" t="s">
        <v>792</v>
      </c>
      <c r="AL4" s="832" t="s">
        <v>793</v>
      </c>
      <c r="AM4" s="882" t="s">
        <v>794</v>
      </c>
      <c r="AN4" s="882" t="s">
        <v>795</v>
      </c>
    </row>
    <row r="5" spans="1:41" ht="20.25" customHeight="1">
      <c r="A5" s="1244"/>
      <c r="B5" s="1244"/>
      <c r="C5" s="1244"/>
      <c r="D5" s="835" t="s">
        <v>160</v>
      </c>
      <c r="E5" s="835" t="s">
        <v>148</v>
      </c>
      <c r="F5" s="838">
        <v>33600000</v>
      </c>
      <c r="G5" s="838">
        <v>2019230.7692307692</v>
      </c>
      <c r="H5" s="838">
        <v>0</v>
      </c>
      <c r="I5" s="838"/>
      <c r="J5" s="838">
        <v>922566</v>
      </c>
      <c r="K5" s="838">
        <v>1063750</v>
      </c>
      <c r="L5" s="838">
        <v>567847.22222222213</v>
      </c>
      <c r="M5" s="838">
        <v>502703</v>
      </c>
      <c r="N5" s="838">
        <v>7481878</v>
      </c>
      <c r="O5" s="838">
        <v>0</v>
      </c>
      <c r="P5" s="930"/>
      <c r="Q5" s="838"/>
      <c r="R5" s="838">
        <v>0</v>
      </c>
      <c r="S5" s="838"/>
      <c r="T5" s="838"/>
      <c r="U5" s="838"/>
      <c r="V5" s="838"/>
      <c r="W5" s="838"/>
      <c r="X5" s="838"/>
      <c r="Y5" s="838"/>
      <c r="Z5" s="838">
        <v>4050000</v>
      </c>
      <c r="AA5" s="838">
        <v>0</v>
      </c>
      <c r="AB5" s="838"/>
      <c r="AC5" s="838"/>
      <c r="AD5" s="838"/>
      <c r="AE5" s="838"/>
      <c r="AF5" s="838">
        <v>99000</v>
      </c>
      <c r="AG5" s="838">
        <v>2000000</v>
      </c>
      <c r="AH5" s="838">
        <v>35619230.769230768</v>
      </c>
      <c r="AI5" s="838">
        <v>4050000</v>
      </c>
      <c r="AJ5" s="838">
        <v>99000</v>
      </c>
      <c r="AK5" s="838">
        <v>8949908</v>
      </c>
      <c r="AL5" s="838">
        <v>10538744.222222222</v>
      </c>
      <c r="AM5" s="838">
        <v>52306974.991452992</v>
      </c>
      <c r="AN5" s="839">
        <v>4.3769225550894868</v>
      </c>
      <c r="AO5" t="str">
        <f>IF($AN5="","",IF($AN5=0, $AU$160, IF($AN5&lt;1, $AU$161, IF($AN5&lt;=3, $AU$162, IF($AN5&lt;=5,$AU$163, IF($AN5&lt;=10,$AU$164, IF( $AN5&lt;=20, $AU$165, IF($AN5&gt;20,$AU$166))))))))</f>
        <v>4. Between US$ 3 and US$ 5</v>
      </c>
    </row>
    <row r="6" spans="1:41">
      <c r="D6" s="835" t="s">
        <v>161</v>
      </c>
      <c r="E6" s="835" t="s">
        <v>152</v>
      </c>
      <c r="F6" s="838">
        <v>0</v>
      </c>
      <c r="G6" s="838">
        <v>0</v>
      </c>
      <c r="H6" s="838">
        <v>0</v>
      </c>
      <c r="I6" s="838"/>
      <c r="J6" s="838">
        <v>0</v>
      </c>
      <c r="K6" s="838">
        <v>0</v>
      </c>
      <c r="L6" s="838">
        <v>0</v>
      </c>
      <c r="M6" s="838">
        <v>0</v>
      </c>
      <c r="N6" s="838">
        <v>0</v>
      </c>
      <c r="O6" s="838">
        <v>0</v>
      </c>
      <c r="P6" s="930"/>
      <c r="Q6" s="838"/>
      <c r="R6" s="838">
        <v>0</v>
      </c>
      <c r="S6" s="838"/>
      <c r="T6" s="838"/>
      <c r="U6" s="838"/>
      <c r="V6" s="838"/>
      <c r="W6" s="838"/>
      <c r="X6" s="838"/>
      <c r="Y6" s="838"/>
      <c r="Z6" s="838">
        <v>500000</v>
      </c>
      <c r="AA6" s="838">
        <v>0</v>
      </c>
      <c r="AB6" s="838"/>
      <c r="AC6" s="838"/>
      <c r="AD6" s="838"/>
      <c r="AE6" s="838"/>
      <c r="AF6" s="838">
        <v>0</v>
      </c>
      <c r="AG6" s="838">
        <v>100000</v>
      </c>
      <c r="AH6" s="838">
        <v>0</v>
      </c>
      <c r="AI6" s="838">
        <v>500000</v>
      </c>
      <c r="AJ6" s="838">
        <v>0</v>
      </c>
      <c r="AK6" s="838">
        <v>100000</v>
      </c>
      <c r="AL6" s="838">
        <v>0</v>
      </c>
      <c r="AM6" s="838">
        <v>600000</v>
      </c>
      <c r="AN6" s="839">
        <v>0.69615243510641045</v>
      </c>
      <c r="AO6" t="str">
        <f t="shared" ref="AO6:AO69" si="0">IF($AN6="","",IF($AN6=0, $AU$160, IF($AN6&lt;1, $AU$161, IF($AN6&lt;=3, $AU$162, IF($AN6&lt;=5,$AU$163, IF($AN6&lt;=10,$AU$164, IF( $AN6&lt;=20, $AU$165, IF($AN6&gt;20,$AU$166))))))))</f>
        <v>2. Less than US$ 1</v>
      </c>
    </row>
    <row r="7" spans="1:41">
      <c r="D7" s="835" t="s">
        <v>143</v>
      </c>
      <c r="E7" s="835" t="s">
        <v>150</v>
      </c>
      <c r="F7" s="838">
        <v>0</v>
      </c>
      <c r="G7" s="838">
        <v>0</v>
      </c>
      <c r="H7" s="838">
        <v>0</v>
      </c>
      <c r="I7" s="838"/>
      <c r="J7" s="838">
        <v>682071</v>
      </c>
      <c r="K7" s="838">
        <v>50000</v>
      </c>
      <c r="L7" s="838">
        <v>59999.999999999993</v>
      </c>
      <c r="M7" s="838">
        <v>33499.5</v>
      </c>
      <c r="N7" s="838">
        <v>847780</v>
      </c>
      <c r="O7" s="838">
        <v>849470</v>
      </c>
      <c r="P7" s="930"/>
      <c r="Q7" s="838">
        <v>0</v>
      </c>
      <c r="R7" s="838">
        <v>0</v>
      </c>
      <c r="S7" s="838"/>
      <c r="T7" s="838"/>
      <c r="U7" s="838"/>
      <c r="V7" s="838"/>
      <c r="W7" s="838"/>
      <c r="X7" s="838"/>
      <c r="Y7" s="838"/>
      <c r="Z7" s="838">
        <v>541945</v>
      </c>
      <c r="AA7" s="838">
        <v>541945</v>
      </c>
      <c r="AB7" s="838">
        <v>625566</v>
      </c>
      <c r="AC7" s="838"/>
      <c r="AD7" s="838"/>
      <c r="AE7" s="838"/>
      <c r="AF7" s="838">
        <v>0</v>
      </c>
      <c r="AG7" s="838">
        <v>0</v>
      </c>
      <c r="AH7" s="838">
        <v>0</v>
      </c>
      <c r="AI7" s="838">
        <v>1167511</v>
      </c>
      <c r="AJ7" s="838">
        <v>0</v>
      </c>
      <c r="AK7" s="838">
        <v>1167511</v>
      </c>
      <c r="AL7" s="838">
        <v>3372290.5</v>
      </c>
      <c r="AM7" s="838">
        <v>3690331.5</v>
      </c>
      <c r="AN7" s="839">
        <v>0.2757067511111217</v>
      </c>
      <c r="AO7" t="str">
        <f t="shared" si="0"/>
        <v>2. Less than US$ 1</v>
      </c>
    </row>
    <row r="8" spans="1:41">
      <c r="D8" s="835" t="s">
        <v>162</v>
      </c>
      <c r="E8" s="835" t="s">
        <v>150</v>
      </c>
      <c r="F8" s="838">
        <v>43000000</v>
      </c>
      <c r="G8" s="838">
        <v>0</v>
      </c>
      <c r="H8" s="838">
        <v>0</v>
      </c>
      <c r="I8" s="838"/>
      <c r="J8" s="838">
        <v>539335</v>
      </c>
      <c r="K8" s="838">
        <v>175000</v>
      </c>
      <c r="L8" s="838">
        <v>20000</v>
      </c>
      <c r="M8" s="838">
        <v>29999.59</v>
      </c>
      <c r="N8" s="838">
        <v>3845583</v>
      </c>
      <c r="O8" s="838">
        <v>0</v>
      </c>
      <c r="P8" s="930"/>
      <c r="Q8" s="838">
        <v>0</v>
      </c>
      <c r="R8" s="838">
        <v>0</v>
      </c>
      <c r="S8" s="838"/>
      <c r="T8" s="838"/>
      <c r="U8" s="838"/>
      <c r="V8" s="838"/>
      <c r="W8" s="838"/>
      <c r="X8" s="838"/>
      <c r="Y8" s="838"/>
      <c r="Z8" s="838">
        <v>2218200</v>
      </c>
      <c r="AA8" s="838">
        <v>0</v>
      </c>
      <c r="AB8" s="838">
        <v>412890</v>
      </c>
      <c r="AC8" s="838"/>
      <c r="AD8" s="838"/>
      <c r="AE8" s="838"/>
      <c r="AF8" s="838">
        <v>191000</v>
      </c>
      <c r="AG8" s="838">
        <v>839236</v>
      </c>
      <c r="AH8" s="838">
        <v>43000000</v>
      </c>
      <c r="AI8" s="838">
        <v>2631090</v>
      </c>
      <c r="AJ8" s="838">
        <v>191000</v>
      </c>
      <c r="AK8" s="838">
        <v>2252126</v>
      </c>
      <c r="AL8" s="838">
        <v>4609917.59</v>
      </c>
      <c r="AM8" s="838">
        <v>51271243.590000004</v>
      </c>
      <c r="AN8" s="839">
        <v>5.0364267245239542</v>
      </c>
      <c r="AO8" t="str">
        <f t="shared" si="0"/>
        <v>5. Between US$ 5 and US$ 10</v>
      </c>
    </row>
    <row r="9" spans="1:41">
      <c r="D9" s="835" t="s">
        <v>163</v>
      </c>
      <c r="E9" s="835" t="s">
        <v>550</v>
      </c>
      <c r="F9" s="838">
        <v>0</v>
      </c>
      <c r="G9" s="838">
        <v>0</v>
      </c>
      <c r="H9" s="838">
        <v>0</v>
      </c>
      <c r="I9" s="838"/>
      <c r="J9" s="838">
        <v>0</v>
      </c>
      <c r="K9" s="838">
        <v>0</v>
      </c>
      <c r="L9" s="838">
        <v>0</v>
      </c>
      <c r="M9" s="838">
        <v>0</v>
      </c>
      <c r="N9" s="838">
        <v>0</v>
      </c>
      <c r="O9" s="838">
        <v>0</v>
      </c>
      <c r="P9" s="930"/>
      <c r="Q9" s="838"/>
      <c r="R9" s="838">
        <v>0</v>
      </c>
      <c r="S9" s="838"/>
      <c r="T9" s="838"/>
      <c r="U9" s="838"/>
      <c r="V9" s="838"/>
      <c r="W9" s="838"/>
      <c r="X9" s="838"/>
      <c r="Y9" s="838"/>
      <c r="Z9" s="838">
        <v>0</v>
      </c>
      <c r="AA9" s="838">
        <v>0</v>
      </c>
      <c r="AB9" s="838"/>
      <c r="AC9" s="838"/>
      <c r="AD9" s="838"/>
      <c r="AE9" s="838"/>
      <c r="AF9" s="838">
        <v>0</v>
      </c>
      <c r="AG9" s="838">
        <v>0</v>
      </c>
      <c r="AH9" s="838">
        <v>0</v>
      </c>
      <c r="AI9" s="838">
        <v>0</v>
      </c>
      <c r="AJ9" s="838">
        <v>0</v>
      </c>
      <c r="AK9" s="838">
        <v>0</v>
      </c>
      <c r="AL9" s="838">
        <v>0</v>
      </c>
      <c r="AM9" s="838">
        <v>0</v>
      </c>
      <c r="AN9" s="839">
        <v>0</v>
      </c>
      <c r="AO9" t="str">
        <f t="shared" si="0"/>
        <v>1. No funding</v>
      </c>
    </row>
    <row r="10" spans="1:41">
      <c r="D10" s="835" t="s">
        <v>164</v>
      </c>
      <c r="E10" s="835" t="s">
        <v>152</v>
      </c>
      <c r="F10" s="838">
        <v>1000000</v>
      </c>
      <c r="G10" s="838">
        <v>0</v>
      </c>
      <c r="H10" s="838">
        <v>22752903</v>
      </c>
      <c r="I10" s="838"/>
      <c r="J10" s="838">
        <v>0</v>
      </c>
      <c r="K10" s="838">
        <v>0</v>
      </c>
      <c r="L10" s="838">
        <v>0</v>
      </c>
      <c r="M10" s="838">
        <v>0</v>
      </c>
      <c r="N10" s="838">
        <v>0</v>
      </c>
      <c r="O10" s="838">
        <v>0</v>
      </c>
      <c r="P10" s="930"/>
      <c r="Q10" s="838"/>
      <c r="R10" s="838">
        <v>0</v>
      </c>
      <c r="S10" s="838"/>
      <c r="T10" s="838"/>
      <c r="U10" s="838"/>
      <c r="V10" s="838"/>
      <c r="W10" s="838"/>
      <c r="X10" s="838"/>
      <c r="Y10" s="838"/>
      <c r="Z10" s="838">
        <v>0</v>
      </c>
      <c r="AA10" s="838">
        <v>0</v>
      </c>
      <c r="AB10" s="838"/>
      <c r="AC10" s="838"/>
      <c r="AD10" s="838"/>
      <c r="AE10" s="838">
        <v>68056</v>
      </c>
      <c r="AF10" s="838">
        <v>0</v>
      </c>
      <c r="AG10" s="838">
        <v>0</v>
      </c>
      <c r="AH10" s="838">
        <v>23752903</v>
      </c>
      <c r="AI10" s="838">
        <v>0</v>
      </c>
      <c r="AJ10" s="838">
        <v>68056</v>
      </c>
      <c r="AK10" s="838">
        <v>68056</v>
      </c>
      <c r="AL10" s="838">
        <v>0</v>
      </c>
      <c r="AM10" s="838">
        <v>23820959</v>
      </c>
      <c r="AN10" s="839">
        <v>1.7410758417114118</v>
      </c>
      <c r="AO10" t="str">
        <f t="shared" si="0"/>
        <v>3. Between US$ 1 and US$ 3</v>
      </c>
    </row>
    <row r="11" spans="1:41">
      <c r="D11" s="835" t="s">
        <v>165</v>
      </c>
      <c r="E11" s="835" t="s">
        <v>152</v>
      </c>
      <c r="F11" s="838">
        <v>0</v>
      </c>
      <c r="G11" s="838">
        <v>0</v>
      </c>
      <c r="H11" s="838">
        <v>0</v>
      </c>
      <c r="I11" s="838"/>
      <c r="J11" s="838">
        <v>0</v>
      </c>
      <c r="K11" s="838">
        <v>0</v>
      </c>
      <c r="L11" s="838">
        <v>0</v>
      </c>
      <c r="M11" s="838">
        <v>0</v>
      </c>
      <c r="N11" s="838">
        <v>0</v>
      </c>
      <c r="O11" s="838">
        <v>0</v>
      </c>
      <c r="P11" s="930"/>
      <c r="Q11" s="838"/>
      <c r="R11" s="838">
        <v>0</v>
      </c>
      <c r="S11" s="838"/>
      <c r="T11" s="838"/>
      <c r="U11" s="838"/>
      <c r="V11" s="838"/>
      <c r="W11" s="838"/>
      <c r="X11" s="838"/>
      <c r="Y11" s="838"/>
      <c r="Z11" s="838">
        <v>2700000</v>
      </c>
      <c r="AA11" s="838">
        <v>1700000</v>
      </c>
      <c r="AB11" s="838"/>
      <c r="AC11" s="838"/>
      <c r="AD11" s="838"/>
      <c r="AE11" s="838"/>
      <c r="AF11" s="838">
        <v>0</v>
      </c>
      <c r="AG11" s="838">
        <v>100000</v>
      </c>
      <c r="AH11" s="838">
        <v>0</v>
      </c>
      <c r="AI11" s="838">
        <v>2700000</v>
      </c>
      <c r="AJ11" s="838">
        <v>0</v>
      </c>
      <c r="AK11" s="838">
        <v>1800000</v>
      </c>
      <c r="AL11" s="838">
        <v>0</v>
      </c>
      <c r="AM11" s="838">
        <v>2800000</v>
      </c>
      <c r="AN11" s="839">
        <v>3.1445184753936934</v>
      </c>
      <c r="AO11" t="str">
        <f t="shared" si="0"/>
        <v>4. Between US$ 3 and US$ 5</v>
      </c>
    </row>
    <row r="12" spans="1:41">
      <c r="D12" s="835" t="s">
        <v>166</v>
      </c>
      <c r="E12" s="835" t="s">
        <v>152</v>
      </c>
      <c r="F12" s="838">
        <v>0</v>
      </c>
      <c r="G12" s="838">
        <v>0</v>
      </c>
      <c r="H12" s="838">
        <v>0</v>
      </c>
      <c r="I12" s="838"/>
      <c r="J12" s="838">
        <v>0</v>
      </c>
      <c r="K12" s="838">
        <v>0</v>
      </c>
      <c r="L12" s="838">
        <v>0</v>
      </c>
      <c r="M12" s="838">
        <v>0</v>
      </c>
      <c r="N12" s="838">
        <v>0</v>
      </c>
      <c r="O12" s="838">
        <v>0</v>
      </c>
      <c r="P12" s="930"/>
      <c r="Q12" s="838"/>
      <c r="R12" s="838">
        <v>0</v>
      </c>
      <c r="S12" s="838"/>
      <c r="T12" s="838"/>
      <c r="U12" s="838"/>
      <c r="V12" s="838"/>
      <c r="W12" s="838"/>
      <c r="X12" s="838"/>
      <c r="Y12" s="838"/>
      <c r="Z12" s="838">
        <v>1000000</v>
      </c>
      <c r="AA12" s="838">
        <v>0</v>
      </c>
      <c r="AB12" s="838"/>
      <c r="AC12" s="838"/>
      <c r="AD12" s="838"/>
      <c r="AE12" s="838"/>
      <c r="AF12" s="838">
        <v>0</v>
      </c>
      <c r="AG12" s="838">
        <v>100000</v>
      </c>
      <c r="AH12" s="838">
        <v>0</v>
      </c>
      <c r="AI12" s="838">
        <v>1000000</v>
      </c>
      <c r="AJ12" s="838">
        <v>0</v>
      </c>
      <c r="AK12" s="838">
        <v>100000</v>
      </c>
      <c r="AL12" s="838">
        <v>0</v>
      </c>
      <c r="AM12" s="838">
        <v>1100000</v>
      </c>
      <c r="AN12" s="839">
        <v>0.35865629354413459</v>
      </c>
      <c r="AO12" t="str">
        <f t="shared" si="0"/>
        <v>2. Less than US$ 1</v>
      </c>
    </row>
    <row r="13" spans="1:41">
      <c r="D13" s="835" t="s">
        <v>167</v>
      </c>
      <c r="E13" s="835" t="s">
        <v>150</v>
      </c>
      <c r="F13" s="838">
        <v>87700000</v>
      </c>
      <c r="G13" s="838">
        <v>0</v>
      </c>
      <c r="H13" s="838">
        <v>0</v>
      </c>
      <c r="I13" s="838"/>
      <c r="J13" s="838">
        <v>2482278</v>
      </c>
      <c r="K13" s="838">
        <v>625000</v>
      </c>
      <c r="L13" s="838">
        <v>326500</v>
      </c>
      <c r="M13" s="838">
        <v>389427</v>
      </c>
      <c r="N13" s="838">
        <v>10151220</v>
      </c>
      <c r="O13" s="838">
        <v>0</v>
      </c>
      <c r="P13" s="930"/>
      <c r="Q13" s="838"/>
      <c r="R13" s="838">
        <v>0</v>
      </c>
      <c r="S13" s="838"/>
      <c r="T13" s="838"/>
      <c r="U13" s="838"/>
      <c r="V13" s="838"/>
      <c r="W13" s="838"/>
      <c r="X13" s="838"/>
      <c r="Y13" s="838"/>
      <c r="Z13" s="838">
        <v>3992811</v>
      </c>
      <c r="AA13" s="838">
        <v>0</v>
      </c>
      <c r="AB13" s="838"/>
      <c r="AC13" s="838">
        <v>4594003.5999999996</v>
      </c>
      <c r="AD13" s="838"/>
      <c r="AE13" s="838">
        <v>391896</v>
      </c>
      <c r="AF13" s="838">
        <v>1074000</v>
      </c>
      <c r="AG13" s="838">
        <v>3000000</v>
      </c>
      <c r="AH13" s="838">
        <v>87700000</v>
      </c>
      <c r="AI13" s="838">
        <v>8586814.5999999996</v>
      </c>
      <c r="AJ13" s="838">
        <v>1465896</v>
      </c>
      <c r="AK13" s="838">
        <v>12913466.6</v>
      </c>
      <c r="AL13" s="838">
        <v>13974425</v>
      </c>
      <c r="AM13" s="838">
        <v>114727135.59999999</v>
      </c>
      <c r="AN13" s="839">
        <v>2.2995535219081646</v>
      </c>
      <c r="AO13" t="str">
        <f t="shared" si="0"/>
        <v>3. Between US$ 1 and US$ 3</v>
      </c>
    </row>
    <row r="14" spans="1:41">
      <c r="D14" s="835" t="s">
        <v>168</v>
      </c>
      <c r="E14" s="835" t="s">
        <v>152</v>
      </c>
      <c r="F14" s="838">
        <v>0</v>
      </c>
      <c r="G14" s="838">
        <v>0</v>
      </c>
      <c r="H14" s="838">
        <v>0</v>
      </c>
      <c r="I14" s="838"/>
      <c r="J14" s="838">
        <v>0</v>
      </c>
      <c r="K14" s="838">
        <v>0</v>
      </c>
      <c r="L14" s="838">
        <v>0</v>
      </c>
      <c r="M14" s="838">
        <v>0</v>
      </c>
      <c r="N14" s="838">
        <v>0</v>
      </c>
      <c r="O14" s="838">
        <v>0</v>
      </c>
      <c r="P14" s="930"/>
      <c r="Q14" s="838"/>
      <c r="R14" s="838">
        <v>0</v>
      </c>
      <c r="S14" s="838"/>
      <c r="T14" s="838"/>
      <c r="U14" s="838"/>
      <c r="V14" s="838"/>
      <c r="W14" s="838"/>
      <c r="X14" s="838"/>
      <c r="Y14" s="838"/>
      <c r="Z14" s="838">
        <v>500000</v>
      </c>
      <c r="AA14" s="838">
        <v>0</v>
      </c>
      <c r="AB14" s="838"/>
      <c r="AC14" s="838"/>
      <c r="AD14" s="838"/>
      <c r="AE14" s="838"/>
      <c r="AF14" s="838">
        <v>0</v>
      </c>
      <c r="AG14" s="838">
        <v>0</v>
      </c>
      <c r="AH14" s="838">
        <v>0</v>
      </c>
      <c r="AI14" s="838">
        <v>500000</v>
      </c>
      <c r="AJ14" s="838">
        <v>0</v>
      </c>
      <c r="AK14" s="838">
        <v>0</v>
      </c>
      <c r="AL14" s="838">
        <v>0</v>
      </c>
      <c r="AM14" s="838">
        <v>500000</v>
      </c>
      <c r="AN14" s="839">
        <v>0.17650006789957612</v>
      </c>
      <c r="AO14" t="str">
        <f t="shared" si="0"/>
        <v>2. Less than US$ 1</v>
      </c>
    </row>
    <row r="15" spans="1:41">
      <c r="D15" s="835" t="s">
        <v>169</v>
      </c>
      <c r="E15" s="835" t="s">
        <v>150</v>
      </c>
      <c r="F15" s="838">
        <v>0</v>
      </c>
      <c r="G15" s="838">
        <v>0</v>
      </c>
      <c r="H15" s="838">
        <v>2922505</v>
      </c>
      <c r="I15" s="838"/>
      <c r="J15" s="838">
        <v>0</v>
      </c>
      <c r="K15" s="838">
        <v>0</v>
      </c>
      <c r="L15" s="838">
        <v>0</v>
      </c>
      <c r="M15" s="838">
        <v>0</v>
      </c>
      <c r="N15" s="838">
        <v>0</v>
      </c>
      <c r="O15" s="838">
        <v>0</v>
      </c>
      <c r="P15" s="930"/>
      <c r="Q15" s="838"/>
      <c r="R15" s="838">
        <v>0</v>
      </c>
      <c r="S15" s="838"/>
      <c r="T15" s="838"/>
      <c r="U15" s="838"/>
      <c r="V15" s="838"/>
      <c r="W15" s="838"/>
      <c r="X15" s="838"/>
      <c r="Y15" s="838"/>
      <c r="Z15" s="838">
        <v>0</v>
      </c>
      <c r="AA15" s="838">
        <v>0</v>
      </c>
      <c r="AB15" s="838"/>
      <c r="AC15" s="838">
        <v>824765</v>
      </c>
      <c r="AD15" s="838"/>
      <c r="AE15" s="838"/>
      <c r="AF15" s="838">
        <v>0</v>
      </c>
      <c r="AG15" s="838">
        <v>100000</v>
      </c>
      <c r="AH15" s="838">
        <v>2922505</v>
      </c>
      <c r="AI15" s="838">
        <v>824765</v>
      </c>
      <c r="AJ15" s="838">
        <v>0</v>
      </c>
      <c r="AK15" s="838">
        <v>924765</v>
      </c>
      <c r="AL15" s="838">
        <v>0</v>
      </c>
      <c r="AM15" s="838">
        <v>3847270</v>
      </c>
      <c r="AN15" s="839">
        <v>31.671420750857177</v>
      </c>
      <c r="AO15" t="str">
        <f t="shared" si="0"/>
        <v>7. Above US$ 20</v>
      </c>
    </row>
    <row r="16" spans="1:41">
      <c r="D16" s="835" t="s">
        <v>170</v>
      </c>
      <c r="E16" s="835" t="s">
        <v>150</v>
      </c>
      <c r="F16" s="838">
        <v>5000000</v>
      </c>
      <c r="G16" s="838">
        <v>0</v>
      </c>
      <c r="H16" s="838">
        <v>0</v>
      </c>
      <c r="I16" s="838"/>
      <c r="J16" s="838">
        <v>386989</v>
      </c>
      <c r="K16" s="838">
        <v>1130000</v>
      </c>
      <c r="L16" s="838">
        <v>91200</v>
      </c>
      <c r="M16" s="838">
        <v>142437</v>
      </c>
      <c r="N16" s="838">
        <v>1974291</v>
      </c>
      <c r="O16" s="838">
        <v>0</v>
      </c>
      <c r="P16" s="930">
        <v>1880277</v>
      </c>
      <c r="Q16" s="838"/>
      <c r="R16" s="838">
        <v>0</v>
      </c>
      <c r="S16" s="838"/>
      <c r="T16" s="838"/>
      <c r="U16" s="838"/>
      <c r="V16" s="838"/>
      <c r="W16" s="838"/>
      <c r="X16" s="838"/>
      <c r="Y16" s="838"/>
      <c r="Z16" s="838">
        <v>1810000</v>
      </c>
      <c r="AA16" s="838">
        <v>0</v>
      </c>
      <c r="AB16" s="838"/>
      <c r="AC16" s="838"/>
      <c r="AD16" s="838"/>
      <c r="AE16" s="838"/>
      <c r="AF16" s="838">
        <v>0</v>
      </c>
      <c r="AG16" s="838">
        <v>564235</v>
      </c>
      <c r="AH16" s="838">
        <v>5000000</v>
      </c>
      <c r="AI16" s="838">
        <v>1810000</v>
      </c>
      <c r="AJ16" s="838">
        <v>0</v>
      </c>
      <c r="AK16" s="838">
        <v>2538526</v>
      </c>
      <c r="AL16" s="838">
        <v>5605194</v>
      </c>
      <c r="AM16" s="838">
        <v>12979429</v>
      </c>
      <c r="AN16" s="839">
        <v>3.4747936402482118</v>
      </c>
      <c r="AO16" t="str">
        <f t="shared" si="0"/>
        <v>4. Between US$ 3 and US$ 5</v>
      </c>
    </row>
    <row r="17" spans="4:41">
      <c r="D17" s="835" t="s">
        <v>171</v>
      </c>
      <c r="E17" s="835" t="s">
        <v>150</v>
      </c>
      <c r="F17" s="838">
        <v>0</v>
      </c>
      <c r="G17" s="838">
        <v>0</v>
      </c>
      <c r="H17" s="838">
        <v>0</v>
      </c>
      <c r="I17" s="838"/>
      <c r="J17" s="838">
        <v>69721</v>
      </c>
      <c r="K17" s="838">
        <v>0</v>
      </c>
      <c r="L17" s="838">
        <v>29999.999999999996</v>
      </c>
      <c r="M17" s="838">
        <v>40000</v>
      </c>
      <c r="N17" s="838">
        <v>230000</v>
      </c>
      <c r="O17" s="838">
        <v>230000</v>
      </c>
      <c r="P17" s="930"/>
      <c r="Q17" s="838"/>
      <c r="R17" s="838">
        <v>0</v>
      </c>
      <c r="S17" s="838"/>
      <c r="T17" s="838"/>
      <c r="U17" s="838"/>
      <c r="V17" s="838"/>
      <c r="W17" s="838"/>
      <c r="X17" s="838"/>
      <c r="Y17" s="838"/>
      <c r="Z17" s="838">
        <v>0</v>
      </c>
      <c r="AA17" s="838">
        <v>0</v>
      </c>
      <c r="AB17" s="838">
        <v>923174</v>
      </c>
      <c r="AC17" s="838"/>
      <c r="AD17" s="838"/>
      <c r="AE17" s="838"/>
      <c r="AF17" s="838">
        <v>0</v>
      </c>
      <c r="AG17" s="838">
        <v>110950</v>
      </c>
      <c r="AH17" s="838">
        <v>0</v>
      </c>
      <c r="AI17" s="838">
        <v>923174</v>
      </c>
      <c r="AJ17" s="838">
        <v>0</v>
      </c>
      <c r="AK17" s="838">
        <v>1034124</v>
      </c>
      <c r="AL17" s="838">
        <v>829721</v>
      </c>
      <c r="AM17" s="838">
        <v>1633845</v>
      </c>
      <c r="AN17" s="839">
        <v>6.9831388639569179</v>
      </c>
      <c r="AO17" t="str">
        <f t="shared" si="0"/>
        <v>5. Between US$ 5 and US$ 10</v>
      </c>
    </row>
    <row r="18" spans="4:41">
      <c r="D18" s="835" t="s">
        <v>172</v>
      </c>
      <c r="E18" s="835" t="s">
        <v>150</v>
      </c>
      <c r="F18" s="838">
        <v>0</v>
      </c>
      <c r="G18" s="838">
        <v>0</v>
      </c>
      <c r="H18" s="838">
        <v>0</v>
      </c>
      <c r="I18" s="838"/>
      <c r="J18" s="838">
        <v>283036</v>
      </c>
      <c r="K18" s="838">
        <v>0</v>
      </c>
      <c r="L18" s="838">
        <v>0</v>
      </c>
      <c r="M18" s="838">
        <v>100000</v>
      </c>
      <c r="N18" s="838">
        <v>920000</v>
      </c>
      <c r="O18" s="838">
        <v>1280000</v>
      </c>
      <c r="P18" s="930"/>
      <c r="Q18" s="838"/>
      <c r="R18" s="838">
        <v>0</v>
      </c>
      <c r="S18" s="838"/>
      <c r="T18" s="838"/>
      <c r="U18" s="838"/>
      <c r="V18" s="838"/>
      <c r="W18" s="838"/>
      <c r="X18" s="838"/>
      <c r="Y18" s="838"/>
      <c r="Z18" s="838">
        <v>2700000</v>
      </c>
      <c r="AA18" s="838">
        <v>0</v>
      </c>
      <c r="AB18" s="838"/>
      <c r="AC18" s="838"/>
      <c r="AD18" s="838"/>
      <c r="AE18" s="838">
        <v>273483</v>
      </c>
      <c r="AF18" s="838">
        <v>0</v>
      </c>
      <c r="AG18" s="838">
        <v>400000</v>
      </c>
      <c r="AH18" s="838">
        <v>0</v>
      </c>
      <c r="AI18" s="838">
        <v>2700000</v>
      </c>
      <c r="AJ18" s="838">
        <v>273483</v>
      </c>
      <c r="AK18" s="838">
        <v>673483</v>
      </c>
      <c r="AL18" s="838">
        <v>3863036</v>
      </c>
      <c r="AM18" s="838">
        <v>5956519</v>
      </c>
      <c r="AN18" s="839">
        <v>1.6779490173303848</v>
      </c>
      <c r="AO18" t="str">
        <f t="shared" si="0"/>
        <v>3. Between US$ 1 and US$ 3</v>
      </c>
    </row>
    <row r="19" spans="4:41">
      <c r="D19" s="835" t="s">
        <v>174</v>
      </c>
      <c r="E19" s="835" t="s">
        <v>152</v>
      </c>
      <c r="F19" s="838">
        <v>0</v>
      </c>
      <c r="G19" s="838">
        <v>0</v>
      </c>
      <c r="H19" s="838">
        <v>0</v>
      </c>
      <c r="I19" s="838"/>
      <c r="J19" s="838">
        <v>0</v>
      </c>
      <c r="K19" s="838">
        <v>0</v>
      </c>
      <c r="L19" s="838">
        <v>0</v>
      </c>
      <c r="M19" s="838">
        <v>0</v>
      </c>
      <c r="N19" s="838">
        <v>0</v>
      </c>
      <c r="O19" s="838">
        <v>0</v>
      </c>
      <c r="P19" s="930"/>
      <c r="Q19" s="838"/>
      <c r="R19" s="838">
        <v>0</v>
      </c>
      <c r="S19" s="838"/>
      <c r="T19" s="838"/>
      <c r="U19" s="838"/>
      <c r="V19" s="838"/>
      <c r="W19" s="838"/>
      <c r="X19" s="838"/>
      <c r="Y19" s="838"/>
      <c r="Z19" s="838">
        <v>2050000</v>
      </c>
      <c r="AA19" s="838">
        <v>1800000</v>
      </c>
      <c r="AB19" s="838"/>
      <c r="AC19" s="838"/>
      <c r="AD19" s="838"/>
      <c r="AE19" s="838"/>
      <c r="AF19" s="838">
        <v>0</v>
      </c>
      <c r="AG19" s="838">
        <v>200000</v>
      </c>
      <c r="AH19" s="838">
        <v>0</v>
      </c>
      <c r="AI19" s="838">
        <v>2050000</v>
      </c>
      <c r="AJ19" s="838">
        <v>0</v>
      </c>
      <c r="AK19" s="838">
        <v>2000000</v>
      </c>
      <c r="AL19" s="838">
        <v>0</v>
      </c>
      <c r="AM19" s="838">
        <v>2250000</v>
      </c>
      <c r="AN19" s="839">
        <v>2.2981750345262495</v>
      </c>
      <c r="AO19" t="str">
        <f t="shared" si="0"/>
        <v>3. Between US$ 1 and US$ 3</v>
      </c>
    </row>
    <row r="20" spans="4:41">
      <c r="D20" s="835" t="s">
        <v>175</v>
      </c>
      <c r="E20" s="835" t="s">
        <v>152</v>
      </c>
      <c r="F20" s="838">
        <v>0</v>
      </c>
      <c r="G20" s="838">
        <v>0</v>
      </c>
      <c r="H20" s="838">
        <v>0</v>
      </c>
      <c r="I20" s="838"/>
      <c r="J20" s="838">
        <v>0</v>
      </c>
      <c r="K20" s="838">
        <v>0</v>
      </c>
      <c r="L20" s="838">
        <v>0</v>
      </c>
      <c r="M20" s="838">
        <v>0</v>
      </c>
      <c r="N20" s="838">
        <v>0</v>
      </c>
      <c r="O20" s="838">
        <v>0</v>
      </c>
      <c r="P20" s="930"/>
      <c r="Q20" s="838"/>
      <c r="R20" s="838">
        <v>0</v>
      </c>
      <c r="S20" s="838"/>
      <c r="T20" s="838"/>
      <c r="U20" s="838"/>
      <c r="V20" s="838"/>
      <c r="W20" s="838"/>
      <c r="X20" s="838"/>
      <c r="Y20" s="838"/>
      <c r="Z20" s="838">
        <v>3555000</v>
      </c>
      <c r="AA20" s="838">
        <v>0</v>
      </c>
      <c r="AB20" s="838"/>
      <c r="AC20" s="838"/>
      <c r="AD20" s="838">
        <v>266162</v>
      </c>
      <c r="AE20" s="838"/>
      <c r="AF20" s="838">
        <v>0</v>
      </c>
      <c r="AG20" s="838">
        <v>650000</v>
      </c>
      <c r="AH20" s="838">
        <v>0</v>
      </c>
      <c r="AI20" s="838">
        <v>3555000</v>
      </c>
      <c r="AJ20" s="838">
        <v>266162</v>
      </c>
      <c r="AK20" s="838">
        <v>916162</v>
      </c>
      <c r="AL20" s="838">
        <v>0</v>
      </c>
      <c r="AM20" s="838">
        <v>4471162</v>
      </c>
      <c r="AN20" s="839">
        <v>6.2170968836384066</v>
      </c>
      <c r="AO20" t="str">
        <f t="shared" si="0"/>
        <v>5. Between US$ 5 and US$ 10</v>
      </c>
    </row>
    <row r="21" spans="4:41">
      <c r="D21" s="835" t="s">
        <v>144</v>
      </c>
      <c r="E21" s="835" t="s">
        <v>152</v>
      </c>
      <c r="F21" s="838">
        <v>0</v>
      </c>
      <c r="G21" s="838">
        <v>0</v>
      </c>
      <c r="H21" s="838">
        <v>0</v>
      </c>
      <c r="I21" s="838"/>
      <c r="J21" s="838">
        <v>0</v>
      </c>
      <c r="K21" s="838">
        <v>0</v>
      </c>
      <c r="L21" s="838">
        <v>0</v>
      </c>
      <c r="M21" s="838">
        <v>0</v>
      </c>
      <c r="N21" s="838">
        <v>0</v>
      </c>
      <c r="O21" s="838">
        <v>0</v>
      </c>
      <c r="P21" s="930"/>
      <c r="Q21" s="838"/>
      <c r="R21" s="838">
        <v>0</v>
      </c>
      <c r="S21" s="838"/>
      <c r="T21" s="838"/>
      <c r="U21" s="838"/>
      <c r="V21" s="838"/>
      <c r="W21" s="838"/>
      <c r="X21" s="838"/>
      <c r="Y21" s="838"/>
      <c r="Z21" s="838">
        <v>3750000</v>
      </c>
      <c r="AA21" s="838">
        <v>0</v>
      </c>
      <c r="AB21" s="838"/>
      <c r="AC21" s="838"/>
      <c r="AD21" s="838"/>
      <c r="AE21" s="838">
        <v>92593</v>
      </c>
      <c r="AF21" s="838">
        <v>0</v>
      </c>
      <c r="AG21" s="838">
        <v>660000</v>
      </c>
      <c r="AH21" s="838">
        <v>0</v>
      </c>
      <c r="AI21" s="838">
        <v>3750000</v>
      </c>
      <c r="AJ21" s="838">
        <v>92593</v>
      </c>
      <c r="AK21" s="838">
        <v>752593</v>
      </c>
      <c r="AL21" s="838">
        <v>0</v>
      </c>
      <c r="AM21" s="838">
        <v>4502593</v>
      </c>
      <c r="AN21" s="839">
        <v>7.0135996987558763E-2</v>
      </c>
      <c r="AO21" t="str">
        <f t="shared" si="0"/>
        <v>2. Less than US$ 1</v>
      </c>
    </row>
    <row r="22" spans="4:41">
      <c r="D22" s="835" t="s">
        <v>176</v>
      </c>
      <c r="E22" s="835" t="s">
        <v>152</v>
      </c>
      <c r="F22" s="838">
        <v>0</v>
      </c>
      <c r="G22" s="838">
        <v>0</v>
      </c>
      <c r="H22" s="838">
        <v>0</v>
      </c>
      <c r="I22" s="838"/>
      <c r="J22" s="838">
        <v>0</v>
      </c>
      <c r="K22" s="838">
        <v>0</v>
      </c>
      <c r="L22" s="838">
        <v>0</v>
      </c>
      <c r="M22" s="838">
        <v>0</v>
      </c>
      <c r="N22" s="838">
        <v>0</v>
      </c>
      <c r="O22" s="838">
        <v>0</v>
      </c>
      <c r="P22" s="930"/>
      <c r="Q22" s="838"/>
      <c r="R22" s="838">
        <v>0</v>
      </c>
      <c r="S22" s="838"/>
      <c r="T22" s="838"/>
      <c r="U22" s="838"/>
      <c r="V22" s="838"/>
      <c r="W22" s="838"/>
      <c r="X22" s="838"/>
      <c r="Y22" s="838"/>
      <c r="Z22" s="838">
        <v>1300000</v>
      </c>
      <c r="AA22" s="838">
        <v>0</v>
      </c>
      <c r="AB22" s="838"/>
      <c r="AC22" s="838"/>
      <c r="AD22" s="838"/>
      <c r="AE22" s="838"/>
      <c r="AF22" s="838">
        <v>0</v>
      </c>
      <c r="AG22" s="838">
        <v>0</v>
      </c>
      <c r="AH22" s="838">
        <v>0</v>
      </c>
      <c r="AI22" s="838">
        <v>1300000</v>
      </c>
      <c r="AJ22" s="838">
        <v>0</v>
      </c>
      <c r="AK22" s="838">
        <v>0</v>
      </c>
      <c r="AL22" s="838">
        <v>0</v>
      </c>
      <c r="AM22" s="838">
        <v>1300000</v>
      </c>
      <c r="AN22" s="839">
        <v>0.62364073304650658</v>
      </c>
      <c r="AO22" t="str">
        <f t="shared" si="0"/>
        <v>2. Less than US$ 1</v>
      </c>
    </row>
    <row r="23" spans="4:41">
      <c r="D23" s="835" t="s">
        <v>177</v>
      </c>
      <c r="E23" s="835" t="s">
        <v>148</v>
      </c>
      <c r="F23" s="838">
        <v>0</v>
      </c>
      <c r="G23" s="838">
        <v>0</v>
      </c>
      <c r="H23" s="838">
        <v>0</v>
      </c>
      <c r="I23" s="838"/>
      <c r="J23" s="838">
        <v>555832</v>
      </c>
      <c r="K23" s="838">
        <v>78000</v>
      </c>
      <c r="L23" s="838">
        <v>385000</v>
      </c>
      <c r="M23" s="838">
        <v>398040</v>
      </c>
      <c r="N23" s="838">
        <v>1144242</v>
      </c>
      <c r="O23" s="838">
        <v>0</v>
      </c>
      <c r="P23" s="930"/>
      <c r="Q23" s="838"/>
      <c r="R23" s="838">
        <v>0</v>
      </c>
      <c r="S23" s="838"/>
      <c r="T23" s="838"/>
      <c r="U23" s="838"/>
      <c r="V23" s="838"/>
      <c r="W23" s="838"/>
      <c r="X23" s="838"/>
      <c r="Y23" s="838">
        <v>1110635</v>
      </c>
      <c r="Z23" s="838">
        <v>2000000</v>
      </c>
      <c r="AA23" s="838">
        <v>350000</v>
      </c>
      <c r="AB23" s="838"/>
      <c r="AC23" s="838"/>
      <c r="AD23" s="838"/>
      <c r="AE23" s="838"/>
      <c r="AF23" s="838">
        <v>2736000</v>
      </c>
      <c r="AG23" s="838">
        <v>898700</v>
      </c>
      <c r="AH23" s="838">
        <v>0</v>
      </c>
      <c r="AI23" s="838">
        <v>3110635</v>
      </c>
      <c r="AJ23" s="838">
        <v>2736000</v>
      </c>
      <c r="AK23" s="838">
        <v>2359335</v>
      </c>
      <c r="AL23" s="838">
        <v>2561114</v>
      </c>
      <c r="AM23" s="838">
        <v>9306449</v>
      </c>
      <c r="AN23" s="839">
        <v>1.4430551560830129</v>
      </c>
      <c r="AO23" t="str">
        <f t="shared" si="0"/>
        <v>3. Between US$ 1 and US$ 3</v>
      </c>
    </row>
    <row r="24" spans="4:41">
      <c r="D24" s="835" t="s">
        <v>178</v>
      </c>
      <c r="E24" s="835" t="s">
        <v>148</v>
      </c>
      <c r="F24" s="838">
        <v>17800000</v>
      </c>
      <c r="G24" s="838">
        <v>0</v>
      </c>
      <c r="H24" s="838">
        <v>0</v>
      </c>
      <c r="I24" s="838"/>
      <c r="J24" s="838">
        <v>0</v>
      </c>
      <c r="K24" s="838">
        <v>175000</v>
      </c>
      <c r="L24" s="838">
        <v>172200</v>
      </c>
      <c r="M24" s="838">
        <v>185859</v>
      </c>
      <c r="N24" s="838">
        <v>0</v>
      </c>
      <c r="O24" s="838">
        <v>0</v>
      </c>
      <c r="P24" s="930"/>
      <c r="Q24" s="838"/>
      <c r="R24" s="838">
        <v>0</v>
      </c>
      <c r="S24" s="838"/>
      <c r="T24" s="838"/>
      <c r="U24" s="838"/>
      <c r="V24" s="838"/>
      <c r="W24" s="838"/>
      <c r="X24" s="838"/>
      <c r="Y24" s="838"/>
      <c r="Z24" s="838">
        <v>1000000</v>
      </c>
      <c r="AA24" s="838">
        <v>500000</v>
      </c>
      <c r="AB24" s="838"/>
      <c r="AC24" s="838"/>
      <c r="AD24" s="838"/>
      <c r="AE24" s="838"/>
      <c r="AF24" s="838">
        <v>0</v>
      </c>
      <c r="AG24" s="838">
        <v>575000</v>
      </c>
      <c r="AH24" s="838">
        <v>17800000</v>
      </c>
      <c r="AI24" s="838">
        <v>1000000</v>
      </c>
      <c r="AJ24" s="838">
        <v>0</v>
      </c>
      <c r="AK24" s="838">
        <v>1075000</v>
      </c>
      <c r="AL24" s="838">
        <v>533059</v>
      </c>
      <c r="AM24" s="838">
        <v>19908059</v>
      </c>
      <c r="AN24" s="839">
        <v>5.4147591787008578</v>
      </c>
      <c r="AO24" t="str">
        <f t="shared" si="0"/>
        <v>5. Between US$ 5 and US$ 10</v>
      </c>
    </row>
    <row r="25" spans="4:41">
      <c r="D25" s="835" t="s">
        <v>179</v>
      </c>
      <c r="E25" s="835" t="s">
        <v>150</v>
      </c>
      <c r="F25" s="838">
        <v>4700000</v>
      </c>
      <c r="G25" s="838">
        <v>0</v>
      </c>
      <c r="H25" s="838">
        <v>0</v>
      </c>
      <c r="I25" s="838"/>
      <c r="J25" s="838">
        <v>0</v>
      </c>
      <c r="K25" s="838">
        <v>40000</v>
      </c>
      <c r="L25" s="838">
        <v>23148.148148148146</v>
      </c>
      <c r="M25" s="838">
        <v>104999.54000000001</v>
      </c>
      <c r="N25" s="838">
        <v>72358</v>
      </c>
      <c r="O25" s="838">
        <v>227642</v>
      </c>
      <c r="P25" s="930"/>
      <c r="Q25" s="838"/>
      <c r="R25" s="838">
        <v>0</v>
      </c>
      <c r="S25" s="838"/>
      <c r="T25" s="838"/>
      <c r="U25" s="838"/>
      <c r="V25" s="838"/>
      <c r="W25" s="838"/>
      <c r="X25" s="838"/>
      <c r="Y25" s="838"/>
      <c r="Z25" s="838">
        <v>500000</v>
      </c>
      <c r="AA25" s="838">
        <v>500000</v>
      </c>
      <c r="AB25" s="838"/>
      <c r="AC25" s="838"/>
      <c r="AD25" s="838"/>
      <c r="AE25" s="838"/>
      <c r="AF25" s="838">
        <v>0</v>
      </c>
      <c r="AG25" s="838">
        <v>0</v>
      </c>
      <c r="AH25" s="838">
        <v>4700000</v>
      </c>
      <c r="AI25" s="838">
        <v>500000</v>
      </c>
      <c r="AJ25" s="838">
        <v>0</v>
      </c>
      <c r="AK25" s="838">
        <v>500000</v>
      </c>
      <c r="AL25" s="838">
        <v>695789.68814814813</v>
      </c>
      <c r="AM25" s="838">
        <v>5668147.6881481484</v>
      </c>
      <c r="AN25" s="839">
        <v>33.624830045079996</v>
      </c>
      <c r="AO25" t="str">
        <f t="shared" si="0"/>
        <v>7. Above US$ 20</v>
      </c>
    </row>
    <row r="26" spans="4:41">
      <c r="D26" s="835" t="s">
        <v>180</v>
      </c>
      <c r="E26" s="835" t="s">
        <v>150</v>
      </c>
      <c r="F26" s="838">
        <v>3500000</v>
      </c>
      <c r="G26" s="838">
        <v>0</v>
      </c>
      <c r="H26" s="838">
        <v>0</v>
      </c>
      <c r="I26" s="838"/>
      <c r="J26" s="838">
        <v>459999</v>
      </c>
      <c r="K26" s="838">
        <v>0</v>
      </c>
      <c r="L26" s="838">
        <v>95138.888888888876</v>
      </c>
      <c r="M26" s="838">
        <v>136826</v>
      </c>
      <c r="N26" s="838">
        <v>1238955</v>
      </c>
      <c r="O26" s="838">
        <v>0</v>
      </c>
      <c r="P26" s="930"/>
      <c r="Q26" s="838"/>
      <c r="R26" s="838">
        <v>5452817</v>
      </c>
      <c r="S26" s="838"/>
      <c r="T26" s="838"/>
      <c r="U26" s="838">
        <v>279000</v>
      </c>
      <c r="V26" s="838"/>
      <c r="W26" s="838"/>
      <c r="X26" s="838"/>
      <c r="Y26" s="838"/>
      <c r="Z26" s="838">
        <v>662222</v>
      </c>
      <c r="AA26" s="838">
        <v>0</v>
      </c>
      <c r="AB26" s="838">
        <v>615359</v>
      </c>
      <c r="AC26" s="838"/>
      <c r="AD26" s="838"/>
      <c r="AE26" s="838"/>
      <c r="AF26" s="838">
        <v>354000</v>
      </c>
      <c r="AG26" s="838">
        <v>0</v>
      </c>
      <c r="AH26" s="838">
        <v>3500000</v>
      </c>
      <c r="AI26" s="838">
        <v>7009398</v>
      </c>
      <c r="AJ26" s="838">
        <v>354000</v>
      </c>
      <c r="AK26" s="838">
        <v>2536948</v>
      </c>
      <c r="AL26" s="838">
        <v>1930918.888888889</v>
      </c>
      <c r="AM26" s="838">
        <v>12794316.888888888</v>
      </c>
      <c r="AN26" s="839">
        <v>2.5166175234006567</v>
      </c>
      <c r="AO26" t="str">
        <f t="shared" si="0"/>
        <v>3. Between US$ 1 and US$ 3</v>
      </c>
    </row>
    <row r="27" spans="4:41">
      <c r="D27" s="835" t="s">
        <v>181</v>
      </c>
      <c r="E27" s="835" t="s">
        <v>150</v>
      </c>
      <c r="F27" s="838">
        <v>18000000</v>
      </c>
      <c r="G27" s="838">
        <v>0</v>
      </c>
      <c r="H27" s="838">
        <v>0</v>
      </c>
      <c r="I27" s="838">
        <v>380000</v>
      </c>
      <c r="J27" s="838">
        <v>690768</v>
      </c>
      <c r="K27" s="838">
        <v>627400</v>
      </c>
      <c r="L27" s="838">
        <v>208184.85185185185</v>
      </c>
      <c r="M27" s="838">
        <v>328692</v>
      </c>
      <c r="N27" s="838">
        <v>5427618</v>
      </c>
      <c r="O27" s="838">
        <v>0</v>
      </c>
      <c r="P27" s="930"/>
      <c r="Q27" s="838">
        <v>0</v>
      </c>
      <c r="R27" s="838">
        <v>0</v>
      </c>
      <c r="S27" s="838"/>
      <c r="T27" s="838"/>
      <c r="U27" s="838"/>
      <c r="V27" s="838"/>
      <c r="W27" s="838"/>
      <c r="X27" s="838"/>
      <c r="Y27" s="838"/>
      <c r="Z27" s="838">
        <v>1600000</v>
      </c>
      <c r="AA27" s="838">
        <v>500000</v>
      </c>
      <c r="AB27" s="838">
        <v>925640</v>
      </c>
      <c r="AC27" s="838"/>
      <c r="AD27" s="838"/>
      <c r="AE27" s="838"/>
      <c r="AF27" s="838">
        <v>0</v>
      </c>
      <c r="AG27" s="838">
        <v>1645844</v>
      </c>
      <c r="AH27" s="838">
        <v>18000000</v>
      </c>
      <c r="AI27" s="838">
        <v>2525640</v>
      </c>
      <c r="AJ27" s="838">
        <v>0</v>
      </c>
      <c r="AK27" s="838">
        <v>3268476</v>
      </c>
      <c r="AL27" s="838">
        <v>7662662.8518518517</v>
      </c>
      <c r="AM27" s="838">
        <v>29834146.851851851</v>
      </c>
      <c r="AN27" s="839">
        <v>3.6528871259334599</v>
      </c>
      <c r="AO27" t="str">
        <f t="shared" si="0"/>
        <v>4. Between US$ 3 and US$ 5</v>
      </c>
    </row>
    <row r="28" spans="4:41">
      <c r="D28" s="835" t="s">
        <v>182</v>
      </c>
      <c r="E28" s="835" t="s">
        <v>148</v>
      </c>
      <c r="F28" s="838">
        <v>0</v>
      </c>
      <c r="G28" s="838">
        <v>0</v>
      </c>
      <c r="H28" s="838">
        <v>0</v>
      </c>
      <c r="I28" s="838">
        <v>500000</v>
      </c>
      <c r="J28" s="838">
        <v>201700</v>
      </c>
      <c r="K28" s="838">
        <v>265000</v>
      </c>
      <c r="L28" s="838">
        <v>390170.37037037034</v>
      </c>
      <c r="M28" s="838">
        <v>557042</v>
      </c>
      <c r="N28" s="838">
        <v>1303508</v>
      </c>
      <c r="O28" s="838">
        <v>0</v>
      </c>
      <c r="P28" s="930"/>
      <c r="Q28" s="838"/>
      <c r="R28" s="838">
        <v>0</v>
      </c>
      <c r="S28" s="838"/>
      <c r="T28" s="838"/>
      <c r="U28" s="838"/>
      <c r="V28" s="838"/>
      <c r="W28" s="838"/>
      <c r="X28" s="838"/>
      <c r="Y28" s="838">
        <v>1110635</v>
      </c>
      <c r="Z28" s="838">
        <v>1150000</v>
      </c>
      <c r="AA28" s="838">
        <v>1150000</v>
      </c>
      <c r="AB28" s="838"/>
      <c r="AC28" s="838"/>
      <c r="AD28" s="838"/>
      <c r="AE28" s="838"/>
      <c r="AF28" s="838">
        <v>0</v>
      </c>
      <c r="AG28" s="838">
        <v>0</v>
      </c>
      <c r="AH28" s="838">
        <v>0</v>
      </c>
      <c r="AI28" s="838">
        <v>2260635</v>
      </c>
      <c r="AJ28" s="838">
        <v>0</v>
      </c>
      <c r="AK28" s="838">
        <v>3564143</v>
      </c>
      <c r="AL28" s="838">
        <v>3217420.3703703703</v>
      </c>
      <c r="AM28" s="838">
        <v>5478055.3703703703</v>
      </c>
      <c r="AN28" s="839">
        <v>3.7114294342446912</v>
      </c>
      <c r="AO28" t="str">
        <f t="shared" si="0"/>
        <v>4. Between US$ 3 and US$ 5</v>
      </c>
    </row>
    <row r="29" spans="4:41">
      <c r="D29" s="835" t="s">
        <v>183</v>
      </c>
      <c r="E29" s="835" t="s">
        <v>148</v>
      </c>
      <c r="F29" s="838">
        <v>9000000</v>
      </c>
      <c r="G29" s="838">
        <v>0</v>
      </c>
      <c r="H29" s="838">
        <v>0</v>
      </c>
      <c r="I29" s="838">
        <v>1582483</v>
      </c>
      <c r="J29" s="838">
        <v>0</v>
      </c>
      <c r="K29" s="838">
        <v>1069300</v>
      </c>
      <c r="L29" s="838">
        <v>225360.18518518517</v>
      </c>
      <c r="M29" s="838">
        <v>455627</v>
      </c>
      <c r="N29" s="838">
        <v>4700000</v>
      </c>
      <c r="O29" s="838">
        <v>0</v>
      </c>
      <c r="P29" s="930"/>
      <c r="Q29" s="838"/>
      <c r="R29" s="838">
        <v>0</v>
      </c>
      <c r="S29" s="838"/>
      <c r="T29" s="838"/>
      <c r="U29" s="838"/>
      <c r="V29" s="838"/>
      <c r="W29" s="838"/>
      <c r="X29" s="838"/>
      <c r="Y29" s="838"/>
      <c r="Z29" s="838">
        <v>0</v>
      </c>
      <c r="AA29" s="838">
        <v>0</v>
      </c>
      <c r="AB29" s="838"/>
      <c r="AC29" s="838"/>
      <c r="AD29" s="838"/>
      <c r="AE29" s="838"/>
      <c r="AF29" s="838">
        <v>0</v>
      </c>
      <c r="AG29" s="838">
        <v>1086043</v>
      </c>
      <c r="AH29" s="838">
        <v>9000000</v>
      </c>
      <c r="AI29" s="838">
        <v>0</v>
      </c>
      <c r="AJ29" s="838">
        <v>0</v>
      </c>
      <c r="AK29" s="838">
        <v>1086043</v>
      </c>
      <c r="AL29" s="838">
        <v>8032770.1851851847</v>
      </c>
      <c r="AM29" s="838">
        <v>18118813.185185187</v>
      </c>
      <c r="AN29" s="839">
        <v>3.5705644403833223</v>
      </c>
      <c r="AO29" t="str">
        <f t="shared" si="0"/>
        <v>4. Between US$ 3 and US$ 5</v>
      </c>
    </row>
    <row r="30" spans="4:41">
      <c r="D30" s="835" t="s">
        <v>184</v>
      </c>
      <c r="E30" s="835" t="s">
        <v>550</v>
      </c>
      <c r="F30" s="838">
        <v>0</v>
      </c>
      <c r="G30" s="838">
        <v>0</v>
      </c>
      <c r="H30" s="838">
        <v>0</v>
      </c>
      <c r="I30" s="838"/>
      <c r="J30" s="838">
        <v>0</v>
      </c>
      <c r="K30" s="838">
        <v>0</v>
      </c>
      <c r="L30" s="838">
        <v>0</v>
      </c>
      <c r="M30" s="838">
        <v>0</v>
      </c>
      <c r="N30" s="838">
        <v>0</v>
      </c>
      <c r="O30" s="838">
        <v>0</v>
      </c>
      <c r="P30" s="930"/>
      <c r="Q30" s="838"/>
      <c r="R30" s="838">
        <v>0</v>
      </c>
      <c r="S30" s="838"/>
      <c r="T30" s="838"/>
      <c r="U30" s="838"/>
      <c r="V30" s="838"/>
      <c r="W30" s="838"/>
      <c r="X30" s="838"/>
      <c r="Y30" s="838"/>
      <c r="Z30" s="838">
        <v>0</v>
      </c>
      <c r="AA30" s="838">
        <v>0</v>
      </c>
      <c r="AB30" s="838"/>
      <c r="AC30" s="838"/>
      <c r="AD30" s="838"/>
      <c r="AE30" s="838"/>
      <c r="AF30" s="838">
        <v>0</v>
      </c>
      <c r="AG30" s="838">
        <v>0</v>
      </c>
      <c r="AH30" s="838">
        <v>0</v>
      </c>
      <c r="AI30" s="838">
        <v>0</v>
      </c>
      <c r="AJ30" s="838">
        <v>0</v>
      </c>
      <c r="AK30" s="838">
        <v>0</v>
      </c>
      <c r="AL30" s="838">
        <v>0</v>
      </c>
      <c r="AM30" s="838">
        <v>0</v>
      </c>
      <c r="AN30" s="839">
        <v>0</v>
      </c>
      <c r="AO30" t="str">
        <f t="shared" si="0"/>
        <v>1. No funding</v>
      </c>
    </row>
    <row r="31" spans="4:41">
      <c r="D31" s="835" t="s">
        <v>185</v>
      </c>
      <c r="E31" s="835" t="s">
        <v>152</v>
      </c>
      <c r="F31" s="838">
        <v>0</v>
      </c>
      <c r="G31" s="838">
        <v>0</v>
      </c>
      <c r="H31" s="838">
        <v>0</v>
      </c>
      <c r="I31" s="838"/>
      <c r="J31" s="838">
        <v>0</v>
      </c>
      <c r="K31" s="838">
        <v>0</v>
      </c>
      <c r="L31" s="838">
        <v>0</v>
      </c>
      <c r="M31" s="838">
        <v>0</v>
      </c>
      <c r="N31" s="838">
        <v>0</v>
      </c>
      <c r="O31" s="838">
        <v>0</v>
      </c>
      <c r="P31" s="930"/>
      <c r="Q31" s="838"/>
      <c r="R31" s="838">
        <v>0</v>
      </c>
      <c r="S31" s="838"/>
      <c r="T31" s="838"/>
      <c r="U31" s="838"/>
      <c r="V31" s="838"/>
      <c r="W31" s="838"/>
      <c r="X31" s="838"/>
      <c r="Y31" s="838"/>
      <c r="Z31" s="838">
        <v>0</v>
      </c>
      <c r="AA31" s="838">
        <v>0</v>
      </c>
      <c r="AB31" s="838"/>
      <c r="AC31" s="838"/>
      <c r="AD31" s="838"/>
      <c r="AE31" s="838"/>
      <c r="AF31" s="838">
        <v>0</v>
      </c>
      <c r="AG31" s="838">
        <v>0</v>
      </c>
      <c r="AH31" s="838">
        <v>0</v>
      </c>
      <c r="AI31" s="838">
        <v>0</v>
      </c>
      <c r="AJ31" s="838">
        <v>0</v>
      </c>
      <c r="AK31" s="838">
        <v>0</v>
      </c>
      <c r="AL31" s="838">
        <v>0</v>
      </c>
      <c r="AM31" s="838">
        <v>0</v>
      </c>
      <c r="AN31" s="839">
        <v>0</v>
      </c>
      <c r="AO31" t="str">
        <f t="shared" si="0"/>
        <v>1. No funding</v>
      </c>
    </row>
    <row r="32" spans="4:41">
      <c r="D32" s="835" t="s">
        <v>186</v>
      </c>
      <c r="E32" s="835" t="s">
        <v>152</v>
      </c>
      <c r="F32" s="838">
        <v>0</v>
      </c>
      <c r="G32" s="838">
        <v>0</v>
      </c>
      <c r="H32" s="838">
        <v>0</v>
      </c>
      <c r="I32" s="838"/>
      <c r="J32" s="838">
        <v>0</v>
      </c>
      <c r="K32" s="838">
        <v>0</v>
      </c>
      <c r="L32" s="838">
        <v>0</v>
      </c>
      <c r="M32" s="838">
        <v>0</v>
      </c>
      <c r="N32" s="838">
        <v>0</v>
      </c>
      <c r="O32" s="838">
        <v>0</v>
      </c>
      <c r="P32" s="930"/>
      <c r="Q32" s="838"/>
      <c r="R32" s="838">
        <v>0</v>
      </c>
      <c r="S32" s="838"/>
      <c r="T32" s="838"/>
      <c r="U32" s="838"/>
      <c r="V32" s="838"/>
      <c r="W32" s="838"/>
      <c r="X32" s="838"/>
      <c r="Y32" s="838"/>
      <c r="Z32" s="838">
        <v>11000000</v>
      </c>
      <c r="AA32" s="838">
        <v>0</v>
      </c>
      <c r="AB32" s="838"/>
      <c r="AC32" s="838"/>
      <c r="AD32" s="838"/>
      <c r="AE32" s="838"/>
      <c r="AF32" s="838">
        <v>0</v>
      </c>
      <c r="AG32" s="838">
        <v>200000</v>
      </c>
      <c r="AH32" s="838">
        <v>0</v>
      </c>
      <c r="AI32" s="838">
        <v>11000000</v>
      </c>
      <c r="AJ32" s="838">
        <v>0</v>
      </c>
      <c r="AK32" s="838">
        <v>200000</v>
      </c>
      <c r="AL32" s="838">
        <v>0</v>
      </c>
      <c r="AM32" s="838">
        <v>11200000</v>
      </c>
      <c r="AN32" s="839">
        <v>0.72823019392841593</v>
      </c>
      <c r="AO32" t="str">
        <f t="shared" si="0"/>
        <v>2. Less than US$ 1</v>
      </c>
    </row>
    <row r="33" spans="4:41">
      <c r="D33" s="835" t="s">
        <v>187</v>
      </c>
      <c r="E33" s="835" t="s">
        <v>150</v>
      </c>
      <c r="F33" s="838">
        <v>12800000</v>
      </c>
      <c r="G33" s="838">
        <v>0</v>
      </c>
      <c r="H33" s="838">
        <v>0</v>
      </c>
      <c r="I33" s="838"/>
      <c r="J33" s="838">
        <v>80000</v>
      </c>
      <c r="K33" s="838">
        <v>0</v>
      </c>
      <c r="L33" s="838">
        <v>118499.99999999999</v>
      </c>
      <c r="M33" s="838">
        <v>146590</v>
      </c>
      <c r="N33" s="838">
        <v>146720</v>
      </c>
      <c r="O33" s="838">
        <v>0</v>
      </c>
      <c r="P33" s="930"/>
      <c r="Q33" s="838"/>
      <c r="R33" s="838">
        <v>0</v>
      </c>
      <c r="S33" s="838"/>
      <c r="T33" s="838"/>
      <c r="U33" s="838"/>
      <c r="V33" s="838"/>
      <c r="W33" s="838"/>
      <c r="X33" s="838"/>
      <c r="Y33" s="838"/>
      <c r="Z33" s="838">
        <v>100000</v>
      </c>
      <c r="AA33" s="838">
        <v>0</v>
      </c>
      <c r="AB33" s="838"/>
      <c r="AC33" s="838"/>
      <c r="AD33" s="838"/>
      <c r="AE33" s="838"/>
      <c r="AF33" s="838">
        <v>0</v>
      </c>
      <c r="AG33" s="838">
        <v>143500</v>
      </c>
      <c r="AH33" s="838">
        <v>12800000</v>
      </c>
      <c r="AI33" s="838">
        <v>100000</v>
      </c>
      <c r="AJ33" s="838">
        <v>0</v>
      </c>
      <c r="AK33" s="838">
        <v>290220</v>
      </c>
      <c r="AL33" s="838">
        <v>491810</v>
      </c>
      <c r="AM33" s="838">
        <v>13535310</v>
      </c>
      <c r="AN33" s="839">
        <v>50.782143403837672</v>
      </c>
      <c r="AO33" t="str">
        <f t="shared" si="0"/>
        <v>7. Above US$ 20</v>
      </c>
    </row>
    <row r="34" spans="4:41">
      <c r="D34" s="835" t="s">
        <v>188</v>
      </c>
      <c r="E34" s="835" t="s">
        <v>148</v>
      </c>
      <c r="F34" s="838">
        <v>50000000</v>
      </c>
      <c r="G34" s="838">
        <v>0</v>
      </c>
      <c r="H34" s="838">
        <v>0</v>
      </c>
      <c r="I34" s="838">
        <v>2438852</v>
      </c>
      <c r="J34" s="838">
        <v>1737208</v>
      </c>
      <c r="K34" s="838">
        <v>2313750</v>
      </c>
      <c r="L34" s="838">
        <v>457699.99999999994</v>
      </c>
      <c r="M34" s="838">
        <v>512667</v>
      </c>
      <c r="N34" s="838">
        <v>13184599</v>
      </c>
      <c r="O34" s="838">
        <v>0</v>
      </c>
      <c r="P34" s="930"/>
      <c r="Q34" s="838">
        <v>0</v>
      </c>
      <c r="R34" s="838">
        <v>0</v>
      </c>
      <c r="S34" s="838"/>
      <c r="T34" s="838"/>
      <c r="U34" s="838"/>
      <c r="V34" s="838"/>
      <c r="W34" s="838"/>
      <c r="X34" s="838">
        <v>1997233</v>
      </c>
      <c r="Y34" s="838">
        <v>1693999</v>
      </c>
      <c r="Z34" s="838">
        <v>5350000</v>
      </c>
      <c r="AA34" s="838">
        <v>250899</v>
      </c>
      <c r="AB34" s="838">
        <v>2313812</v>
      </c>
      <c r="AC34" s="838"/>
      <c r="AD34" s="838"/>
      <c r="AE34" s="838">
        <v>250899</v>
      </c>
      <c r="AF34" s="838">
        <v>850000</v>
      </c>
      <c r="AG34" s="838">
        <v>3858268</v>
      </c>
      <c r="AH34" s="838">
        <v>50000000</v>
      </c>
      <c r="AI34" s="838">
        <v>11355044</v>
      </c>
      <c r="AJ34" s="838">
        <v>1100899</v>
      </c>
      <c r="AK34" s="838">
        <v>18873001</v>
      </c>
      <c r="AL34" s="838">
        <v>20644776</v>
      </c>
      <c r="AM34" s="838">
        <v>86958987</v>
      </c>
      <c r="AN34" s="839">
        <v>3.1377961628217355</v>
      </c>
      <c r="AO34" t="str">
        <f t="shared" si="0"/>
        <v>4. Between US$ 3 and US$ 5</v>
      </c>
    </row>
    <row r="35" spans="4:41">
      <c r="D35" s="835" t="s">
        <v>189</v>
      </c>
      <c r="E35" s="835" t="s">
        <v>150</v>
      </c>
      <c r="F35" s="838">
        <v>3000000</v>
      </c>
      <c r="G35" s="838">
        <v>0</v>
      </c>
      <c r="H35" s="838">
        <v>0</v>
      </c>
      <c r="I35" s="838"/>
      <c r="J35" s="838">
        <v>180490</v>
      </c>
      <c r="K35" s="838">
        <v>45600</v>
      </c>
      <c r="L35" s="838">
        <v>155000</v>
      </c>
      <c r="M35" s="838">
        <v>203300</v>
      </c>
      <c r="N35" s="838">
        <v>978460</v>
      </c>
      <c r="O35" s="838">
        <v>0</v>
      </c>
      <c r="P35" s="930"/>
      <c r="Q35" s="838">
        <v>0</v>
      </c>
      <c r="R35" s="838">
        <v>0</v>
      </c>
      <c r="S35" s="838"/>
      <c r="T35" s="838"/>
      <c r="U35" s="838"/>
      <c r="V35" s="838"/>
      <c r="W35" s="838"/>
      <c r="X35" s="838"/>
      <c r="Y35" s="838"/>
      <c r="Z35" s="838">
        <v>1500000</v>
      </c>
      <c r="AA35" s="838">
        <v>1500000</v>
      </c>
      <c r="AB35" s="838"/>
      <c r="AC35" s="838"/>
      <c r="AD35" s="838"/>
      <c r="AE35" s="838"/>
      <c r="AF35" s="838">
        <v>0</v>
      </c>
      <c r="AG35" s="838">
        <v>555079</v>
      </c>
      <c r="AH35" s="838">
        <v>3000000</v>
      </c>
      <c r="AI35" s="838">
        <v>1500000</v>
      </c>
      <c r="AJ35" s="838">
        <v>0</v>
      </c>
      <c r="AK35" s="838">
        <v>3033539</v>
      </c>
      <c r="AL35" s="838">
        <v>1562850</v>
      </c>
      <c r="AM35" s="838">
        <v>6617929</v>
      </c>
      <c r="AN35" s="839">
        <v>3.899539869392886</v>
      </c>
      <c r="AO35" t="str">
        <f t="shared" si="0"/>
        <v>4. Between US$ 3 and US$ 5</v>
      </c>
    </row>
    <row r="36" spans="4:41">
      <c r="D36" s="835" t="s">
        <v>190</v>
      </c>
      <c r="E36" t="s">
        <v>322</v>
      </c>
      <c r="F36" s="838">
        <v>0</v>
      </c>
      <c r="G36" s="838">
        <v>0</v>
      </c>
      <c r="H36" s="838">
        <v>0</v>
      </c>
      <c r="I36" s="838"/>
      <c r="J36" s="838">
        <v>0</v>
      </c>
      <c r="K36" s="838">
        <v>0</v>
      </c>
      <c r="L36" s="838">
        <v>0</v>
      </c>
      <c r="M36" s="838">
        <v>0</v>
      </c>
      <c r="N36" s="838">
        <v>0</v>
      </c>
      <c r="O36" s="838">
        <v>0</v>
      </c>
      <c r="P36" s="930"/>
      <c r="Q36" s="838"/>
      <c r="R36" s="838">
        <v>0</v>
      </c>
      <c r="S36" s="838"/>
      <c r="T36" s="838"/>
      <c r="U36" s="838"/>
      <c r="V36" s="838"/>
      <c r="W36" s="838"/>
      <c r="X36" s="838"/>
      <c r="Y36" s="838"/>
      <c r="Z36" s="838">
        <v>0</v>
      </c>
      <c r="AA36" s="838">
        <v>0</v>
      </c>
      <c r="AB36" s="838">
        <v>198193</v>
      </c>
      <c r="AC36" s="838"/>
      <c r="AD36" s="838"/>
      <c r="AE36" s="838"/>
      <c r="AF36" s="838">
        <v>0</v>
      </c>
      <c r="AG36" s="838">
        <v>0</v>
      </c>
      <c r="AH36" s="838">
        <v>0</v>
      </c>
      <c r="AI36" s="838">
        <v>198193</v>
      </c>
      <c r="AJ36" s="838">
        <v>0</v>
      </c>
      <c r="AK36" s="838">
        <v>198193</v>
      </c>
      <c r="AL36" s="838">
        <v>0</v>
      </c>
      <c r="AM36" s="838">
        <v>198193</v>
      </c>
      <c r="AN36" s="839">
        <v>37.613489713808548</v>
      </c>
      <c r="AO36" t="str">
        <f t="shared" si="0"/>
        <v>7. Above US$ 20</v>
      </c>
    </row>
    <row r="37" spans="4:41">
      <c r="D37" s="835" t="s">
        <v>191</v>
      </c>
      <c r="E37" s="835" t="s">
        <v>152</v>
      </c>
      <c r="F37" s="838">
        <v>0</v>
      </c>
      <c r="G37" s="838">
        <v>0</v>
      </c>
      <c r="H37" s="838">
        <v>0</v>
      </c>
      <c r="I37" s="838"/>
      <c r="J37" s="838">
        <v>0</v>
      </c>
      <c r="K37" s="838">
        <v>0</v>
      </c>
      <c r="L37" s="838">
        <v>0</v>
      </c>
      <c r="M37" s="838">
        <v>0</v>
      </c>
      <c r="N37" s="838">
        <v>0</v>
      </c>
      <c r="O37" s="838">
        <v>0</v>
      </c>
      <c r="P37" s="930"/>
      <c r="Q37" s="838"/>
      <c r="R37" s="838">
        <v>0</v>
      </c>
      <c r="S37" s="838"/>
      <c r="T37" s="838"/>
      <c r="U37" s="838"/>
      <c r="V37" s="838"/>
      <c r="W37" s="838"/>
      <c r="X37" s="838"/>
      <c r="Y37" s="838"/>
      <c r="Z37" s="838">
        <v>550000</v>
      </c>
      <c r="AA37" s="838">
        <v>0</v>
      </c>
      <c r="AB37" s="838"/>
      <c r="AC37" s="838"/>
      <c r="AD37" s="838"/>
      <c r="AE37" s="838"/>
      <c r="AF37" s="838">
        <v>0</v>
      </c>
      <c r="AG37" s="838">
        <v>0</v>
      </c>
      <c r="AH37" s="838">
        <v>0</v>
      </c>
      <c r="AI37" s="838">
        <v>550000</v>
      </c>
      <c r="AJ37" s="838">
        <v>0</v>
      </c>
      <c r="AK37" s="838">
        <v>0</v>
      </c>
      <c r="AL37" s="838">
        <v>0</v>
      </c>
      <c r="AM37" s="838">
        <v>550000</v>
      </c>
      <c r="AN37" s="839">
        <v>0.35674536404534718</v>
      </c>
      <c r="AO37" t="str">
        <f t="shared" si="0"/>
        <v>2. Less than US$ 1</v>
      </c>
    </row>
    <row r="38" spans="4:41">
      <c r="D38" s="835" t="s">
        <v>192</v>
      </c>
      <c r="E38" s="835" t="s">
        <v>150</v>
      </c>
      <c r="F38" s="838">
        <v>31900000</v>
      </c>
      <c r="G38" s="838">
        <v>0</v>
      </c>
      <c r="H38" s="838">
        <v>0</v>
      </c>
      <c r="I38" s="838">
        <v>1000526</v>
      </c>
      <c r="J38" s="838">
        <v>664320</v>
      </c>
      <c r="K38" s="838">
        <v>400000</v>
      </c>
      <c r="L38" s="838">
        <v>74074.074074074073</v>
      </c>
      <c r="M38" s="838">
        <v>92436.2</v>
      </c>
      <c r="N38" s="838">
        <v>2628307</v>
      </c>
      <c r="O38" s="838">
        <v>0</v>
      </c>
      <c r="P38" s="930"/>
      <c r="Q38" s="838">
        <v>0</v>
      </c>
      <c r="R38" s="838">
        <v>0</v>
      </c>
      <c r="S38" s="838"/>
      <c r="T38" s="838"/>
      <c r="U38" s="838"/>
      <c r="V38" s="838"/>
      <c r="W38" s="838"/>
      <c r="X38" s="838"/>
      <c r="Y38" s="838"/>
      <c r="Z38" s="838">
        <v>4476000</v>
      </c>
      <c r="AA38" s="838">
        <v>600000</v>
      </c>
      <c r="AB38" s="838"/>
      <c r="AC38" s="838"/>
      <c r="AD38" s="838">
        <v>675541</v>
      </c>
      <c r="AE38" s="838"/>
      <c r="AF38" s="838">
        <v>1500000</v>
      </c>
      <c r="AG38" s="838">
        <v>1677055</v>
      </c>
      <c r="AH38" s="838">
        <v>31900000</v>
      </c>
      <c r="AI38" s="838">
        <v>4476000</v>
      </c>
      <c r="AJ38" s="838">
        <v>2175541</v>
      </c>
      <c r="AK38" s="838">
        <v>2952596</v>
      </c>
      <c r="AL38" s="838">
        <v>4859663.2740740739</v>
      </c>
      <c r="AM38" s="838">
        <v>45088259.274074078</v>
      </c>
      <c r="AN38" s="839">
        <v>5.5554172632531831</v>
      </c>
      <c r="AO38" t="str">
        <f t="shared" si="0"/>
        <v>5. Between US$ 5 and US$ 10</v>
      </c>
    </row>
    <row r="39" spans="4:41">
      <c r="D39" s="835" t="s">
        <v>193</v>
      </c>
      <c r="E39" s="835" t="s">
        <v>550</v>
      </c>
      <c r="F39" s="838">
        <v>0</v>
      </c>
      <c r="G39" s="838">
        <v>0</v>
      </c>
      <c r="H39" s="838">
        <v>0</v>
      </c>
      <c r="I39" s="838"/>
      <c r="J39" s="838">
        <v>0</v>
      </c>
      <c r="K39" s="838">
        <v>0</v>
      </c>
      <c r="L39" s="838">
        <v>0</v>
      </c>
      <c r="M39" s="838">
        <v>0</v>
      </c>
      <c r="N39" s="838">
        <v>0</v>
      </c>
      <c r="O39" s="838">
        <v>0</v>
      </c>
      <c r="P39" s="930"/>
      <c r="Q39" s="838"/>
      <c r="R39" s="838">
        <v>0</v>
      </c>
      <c r="S39" s="838"/>
      <c r="T39" s="838"/>
      <c r="U39" s="838"/>
      <c r="V39" s="838"/>
      <c r="W39" s="838"/>
      <c r="X39" s="838"/>
      <c r="Y39" s="838"/>
      <c r="Z39" s="838">
        <v>0</v>
      </c>
      <c r="AA39" s="838">
        <v>0</v>
      </c>
      <c r="AB39" s="838"/>
      <c r="AC39" s="838"/>
      <c r="AD39" s="838"/>
      <c r="AE39" s="838"/>
      <c r="AF39" s="838">
        <v>0</v>
      </c>
      <c r="AG39" s="838">
        <v>0</v>
      </c>
      <c r="AH39" s="838">
        <v>0</v>
      </c>
      <c r="AI39" s="838">
        <v>0</v>
      </c>
      <c r="AJ39" s="838">
        <v>0</v>
      </c>
      <c r="AK39" s="838">
        <v>0</v>
      </c>
      <c r="AL39" s="838">
        <v>0</v>
      </c>
      <c r="AM39" s="838">
        <v>0</v>
      </c>
      <c r="AN39" s="839">
        <v>0</v>
      </c>
      <c r="AO39" t="str">
        <f t="shared" si="0"/>
        <v>1. No funding</v>
      </c>
    </row>
    <row r="40" spans="4:41">
      <c r="D40" s="835" t="s">
        <v>147</v>
      </c>
      <c r="E40" s="835" t="s">
        <v>152</v>
      </c>
      <c r="F40" s="838">
        <v>0</v>
      </c>
      <c r="G40" s="838">
        <v>0</v>
      </c>
      <c r="H40" s="838">
        <v>0</v>
      </c>
      <c r="I40" s="838"/>
      <c r="J40" s="838">
        <v>0</v>
      </c>
      <c r="K40" s="838">
        <v>0</v>
      </c>
      <c r="L40" s="838">
        <v>0</v>
      </c>
      <c r="M40" s="838">
        <v>0</v>
      </c>
      <c r="N40" s="838">
        <v>0</v>
      </c>
      <c r="O40" s="838">
        <v>0</v>
      </c>
      <c r="P40" s="930"/>
      <c r="Q40" s="838"/>
      <c r="R40" s="838">
        <v>0</v>
      </c>
      <c r="S40" s="838"/>
      <c r="T40" s="838"/>
      <c r="U40" s="838"/>
      <c r="V40" s="838"/>
      <c r="W40" s="838"/>
      <c r="X40" s="838"/>
      <c r="Y40" s="838"/>
      <c r="Z40" s="838">
        <v>0</v>
      </c>
      <c r="AA40" s="838">
        <v>0</v>
      </c>
      <c r="AB40" s="838"/>
      <c r="AC40" s="838">
        <v>715090</v>
      </c>
      <c r="AD40" s="838"/>
      <c r="AE40" s="838"/>
      <c r="AF40" s="838">
        <v>0</v>
      </c>
      <c r="AG40" s="838">
        <v>500000</v>
      </c>
      <c r="AH40" s="838">
        <v>0</v>
      </c>
      <c r="AI40" s="838">
        <v>715090</v>
      </c>
      <c r="AJ40" s="838">
        <v>0</v>
      </c>
      <c r="AK40" s="838">
        <v>1215090</v>
      </c>
      <c r="AL40" s="838">
        <v>0</v>
      </c>
      <c r="AM40" s="838">
        <v>1215090</v>
      </c>
      <c r="AN40" s="839">
        <v>0.357879453568271</v>
      </c>
      <c r="AO40" t="str">
        <f t="shared" si="0"/>
        <v>2. Less than US$ 1</v>
      </c>
    </row>
    <row r="41" spans="4:41">
      <c r="D41" s="835" t="s">
        <v>194</v>
      </c>
      <c r="E41" s="835" t="s">
        <v>150</v>
      </c>
      <c r="F41" s="838">
        <v>0</v>
      </c>
      <c r="G41" s="838">
        <v>0</v>
      </c>
      <c r="H41" s="838">
        <v>0</v>
      </c>
      <c r="I41" s="838"/>
      <c r="J41" s="838">
        <v>0</v>
      </c>
      <c r="K41" s="838">
        <v>40000</v>
      </c>
      <c r="L41" s="838">
        <v>168981.48148148146</v>
      </c>
      <c r="M41" s="838">
        <v>189473</v>
      </c>
      <c r="N41" s="838">
        <v>978421</v>
      </c>
      <c r="O41" s="838">
        <v>0</v>
      </c>
      <c r="P41" s="930"/>
      <c r="Q41" s="838">
        <v>0</v>
      </c>
      <c r="R41" s="838">
        <v>0</v>
      </c>
      <c r="S41" s="838"/>
      <c r="T41" s="838"/>
      <c r="U41" s="838"/>
      <c r="V41" s="838"/>
      <c r="W41" s="838"/>
      <c r="X41" s="838"/>
      <c r="Y41" s="838"/>
      <c r="Z41" s="838">
        <v>1100000</v>
      </c>
      <c r="AA41" s="838">
        <v>0</v>
      </c>
      <c r="AB41" s="838">
        <v>92553</v>
      </c>
      <c r="AC41" s="838"/>
      <c r="AD41" s="838"/>
      <c r="AE41" s="838"/>
      <c r="AF41" s="838">
        <v>0</v>
      </c>
      <c r="AG41" s="838">
        <v>0</v>
      </c>
      <c r="AH41" s="838">
        <v>0</v>
      </c>
      <c r="AI41" s="838">
        <v>1192553</v>
      </c>
      <c r="AJ41" s="838">
        <v>0</v>
      </c>
      <c r="AK41" s="838">
        <v>384661</v>
      </c>
      <c r="AL41" s="838">
        <v>1376875.4814814813</v>
      </c>
      <c r="AM41" s="838">
        <v>2569428.4814814813</v>
      </c>
      <c r="AN41" s="839">
        <v>8.5459860735347153</v>
      </c>
      <c r="AO41" t="str">
        <f t="shared" si="0"/>
        <v>5. Between US$ 5 and US$ 10</v>
      </c>
    </row>
    <row r="42" spans="4:41">
      <c r="D42" s="835" t="s">
        <v>195</v>
      </c>
      <c r="E42" s="835" t="s">
        <v>152</v>
      </c>
      <c r="F42" s="838">
        <v>0</v>
      </c>
      <c r="G42" s="838">
        <v>0</v>
      </c>
      <c r="H42" s="838">
        <v>0</v>
      </c>
      <c r="I42" s="838"/>
      <c r="J42" s="838">
        <v>0</v>
      </c>
      <c r="K42" s="838">
        <v>0</v>
      </c>
      <c r="L42" s="838">
        <v>0</v>
      </c>
      <c r="M42" s="838">
        <v>50000.030000000006</v>
      </c>
      <c r="N42" s="838">
        <v>230000</v>
      </c>
      <c r="O42" s="838">
        <v>200000</v>
      </c>
      <c r="P42" s="930"/>
      <c r="Q42" s="838"/>
      <c r="R42" s="838">
        <v>0</v>
      </c>
      <c r="S42" s="838"/>
      <c r="T42" s="838"/>
      <c r="U42" s="838"/>
      <c r="V42" s="838"/>
      <c r="W42" s="838"/>
      <c r="X42" s="838"/>
      <c r="Y42" s="838"/>
      <c r="Z42" s="838">
        <v>0</v>
      </c>
      <c r="AA42" s="838">
        <v>0</v>
      </c>
      <c r="AB42" s="838"/>
      <c r="AC42" s="838"/>
      <c r="AD42" s="838"/>
      <c r="AE42" s="838"/>
      <c r="AF42" s="838">
        <v>0</v>
      </c>
      <c r="AG42" s="838">
        <v>75000</v>
      </c>
      <c r="AH42" s="838">
        <v>0</v>
      </c>
      <c r="AI42" s="838">
        <v>0</v>
      </c>
      <c r="AJ42" s="838">
        <v>0</v>
      </c>
      <c r="AK42" s="838">
        <v>75000</v>
      </c>
      <c r="AL42" s="838">
        <v>680000.03</v>
      </c>
      <c r="AM42" s="838">
        <v>555000.03</v>
      </c>
      <c r="AN42" s="839">
        <v>25.828971727748691</v>
      </c>
      <c r="AO42" t="str">
        <f t="shared" si="0"/>
        <v>7. Above US$ 20</v>
      </c>
    </row>
    <row r="43" spans="4:41">
      <c r="D43" s="835" t="s">
        <v>196</v>
      </c>
      <c r="E43" s="835" t="s">
        <v>152</v>
      </c>
      <c r="F43" s="838">
        <v>0</v>
      </c>
      <c r="G43" s="838">
        <v>0</v>
      </c>
      <c r="H43" s="838">
        <v>360305</v>
      </c>
      <c r="I43" s="838"/>
      <c r="J43" s="838">
        <v>0</v>
      </c>
      <c r="K43" s="838">
        <v>0</v>
      </c>
      <c r="L43" s="838">
        <v>0</v>
      </c>
      <c r="M43" s="838">
        <v>0</v>
      </c>
      <c r="N43" s="838">
        <v>0</v>
      </c>
      <c r="O43" s="838">
        <v>0</v>
      </c>
      <c r="P43" s="930"/>
      <c r="Q43" s="838"/>
      <c r="R43" s="838">
        <v>0</v>
      </c>
      <c r="S43" s="838"/>
      <c r="T43" s="838"/>
      <c r="U43" s="838"/>
      <c r="V43" s="838"/>
      <c r="W43" s="838"/>
      <c r="X43" s="838"/>
      <c r="Y43" s="838"/>
      <c r="Z43" s="838">
        <v>241451</v>
      </c>
      <c r="AA43" s="838">
        <v>0</v>
      </c>
      <c r="AB43" s="838"/>
      <c r="AC43" s="838"/>
      <c r="AD43" s="838"/>
      <c r="AE43" s="838"/>
      <c r="AF43" s="838">
        <v>0</v>
      </c>
      <c r="AG43" s="838">
        <v>200000</v>
      </c>
      <c r="AH43" s="838">
        <v>360305</v>
      </c>
      <c r="AI43" s="838">
        <v>241451</v>
      </c>
      <c r="AJ43" s="838">
        <v>0</v>
      </c>
      <c r="AK43" s="838">
        <v>200000</v>
      </c>
      <c r="AL43" s="838">
        <v>0</v>
      </c>
      <c r="AM43" s="838">
        <v>801756</v>
      </c>
      <c r="AN43" s="839">
        <v>0.24398299973871879</v>
      </c>
      <c r="AO43" t="str">
        <f t="shared" si="0"/>
        <v>2. Less than US$ 1</v>
      </c>
    </row>
    <row r="44" spans="4:41">
      <c r="D44" s="835" t="s">
        <v>197</v>
      </c>
      <c r="E44" s="835" t="s">
        <v>152</v>
      </c>
      <c r="F44" s="838">
        <v>30100000</v>
      </c>
      <c r="G44" s="838">
        <v>0</v>
      </c>
      <c r="H44" s="838">
        <v>673947</v>
      </c>
      <c r="I44" s="838"/>
      <c r="J44" s="838">
        <v>0</v>
      </c>
      <c r="K44" s="838">
        <v>0</v>
      </c>
      <c r="L44" s="838">
        <v>0</v>
      </c>
      <c r="M44" s="838">
        <v>0</v>
      </c>
      <c r="N44" s="838">
        <v>0</v>
      </c>
      <c r="O44" s="838">
        <v>0</v>
      </c>
      <c r="P44" s="930"/>
      <c r="Q44" s="838"/>
      <c r="R44" s="838">
        <v>0</v>
      </c>
      <c r="S44" s="838"/>
      <c r="T44" s="838"/>
      <c r="U44" s="838"/>
      <c r="V44" s="838"/>
      <c r="W44" s="838"/>
      <c r="X44" s="838"/>
      <c r="Y44" s="838"/>
      <c r="Z44" s="838">
        <v>3320000</v>
      </c>
      <c r="AA44" s="838">
        <v>0</v>
      </c>
      <c r="AB44" s="838"/>
      <c r="AC44" s="838"/>
      <c r="AD44" s="838"/>
      <c r="AE44" s="838"/>
      <c r="AF44" s="838">
        <v>0</v>
      </c>
      <c r="AG44" s="838">
        <v>0</v>
      </c>
      <c r="AH44" s="838">
        <v>30773947</v>
      </c>
      <c r="AI44" s="838">
        <v>3320000</v>
      </c>
      <c r="AJ44" s="838">
        <v>0</v>
      </c>
      <c r="AK44" s="838">
        <v>0</v>
      </c>
      <c r="AL44" s="838">
        <v>0</v>
      </c>
      <c r="AM44" s="838">
        <v>34093947</v>
      </c>
      <c r="AN44" s="839">
        <v>6.3530567224459729</v>
      </c>
      <c r="AO44" t="str">
        <f t="shared" si="0"/>
        <v>5. Between US$ 5 and US$ 10</v>
      </c>
    </row>
    <row r="45" spans="4:41">
      <c r="D45" s="835" t="s">
        <v>198</v>
      </c>
      <c r="E45" s="835" t="s">
        <v>150</v>
      </c>
      <c r="F45" s="838">
        <v>0</v>
      </c>
      <c r="G45" s="838">
        <v>0</v>
      </c>
      <c r="H45" s="838">
        <v>0</v>
      </c>
      <c r="I45" s="838"/>
      <c r="J45" s="838">
        <v>1466837</v>
      </c>
      <c r="K45" s="838">
        <v>70000</v>
      </c>
      <c r="L45" s="838">
        <v>70820.370370370365</v>
      </c>
      <c r="M45" s="838">
        <v>45000</v>
      </c>
      <c r="N45" s="838">
        <v>4499931</v>
      </c>
      <c r="O45" s="838">
        <v>3628370</v>
      </c>
      <c r="P45" s="930"/>
      <c r="Q45" s="838">
        <v>0</v>
      </c>
      <c r="R45" s="838">
        <v>0</v>
      </c>
      <c r="S45" s="838"/>
      <c r="T45" s="838"/>
      <c r="U45" s="838"/>
      <c r="V45" s="838"/>
      <c r="W45" s="838"/>
      <c r="X45" s="838"/>
      <c r="Y45" s="838"/>
      <c r="Z45" s="838">
        <v>5400000</v>
      </c>
      <c r="AA45" s="838">
        <v>0</v>
      </c>
      <c r="AB45" s="838">
        <v>1546200</v>
      </c>
      <c r="AC45" s="838"/>
      <c r="AD45" s="838"/>
      <c r="AE45" s="838">
        <v>92593</v>
      </c>
      <c r="AF45" s="838">
        <v>0</v>
      </c>
      <c r="AG45" s="838">
        <v>1458302</v>
      </c>
      <c r="AH45" s="838">
        <v>0</v>
      </c>
      <c r="AI45" s="838">
        <v>6946200</v>
      </c>
      <c r="AJ45" s="838">
        <v>92593</v>
      </c>
      <c r="AK45" s="838">
        <v>3097095</v>
      </c>
      <c r="AL45" s="838">
        <v>13409328.370370369</v>
      </c>
      <c r="AM45" s="838">
        <v>18278053.370370369</v>
      </c>
      <c r="AN45" s="839">
        <v>0.58438348591476286</v>
      </c>
      <c r="AO45" t="str">
        <f t="shared" si="0"/>
        <v>2. Less than US$ 1</v>
      </c>
    </row>
    <row r="46" spans="4:41">
      <c r="D46" s="835" t="s">
        <v>199</v>
      </c>
      <c r="E46" s="835" t="s">
        <v>150</v>
      </c>
      <c r="F46" s="838">
        <v>26000000</v>
      </c>
      <c r="G46" s="838">
        <v>0</v>
      </c>
      <c r="H46" s="838">
        <v>20000000</v>
      </c>
      <c r="I46" s="838"/>
      <c r="J46" s="838">
        <v>158796</v>
      </c>
      <c r="K46" s="838">
        <v>135000</v>
      </c>
      <c r="L46" s="838">
        <v>0</v>
      </c>
      <c r="M46" s="838">
        <v>30000.000000000007</v>
      </c>
      <c r="N46" s="838">
        <v>279812</v>
      </c>
      <c r="O46" s="838">
        <v>1191606</v>
      </c>
      <c r="P46" s="930"/>
      <c r="Q46" s="838"/>
      <c r="R46" s="838">
        <v>0</v>
      </c>
      <c r="S46" s="838"/>
      <c r="T46" s="838"/>
      <c r="U46" s="838">
        <v>40000</v>
      </c>
      <c r="V46" s="838"/>
      <c r="W46" s="838"/>
      <c r="X46" s="838"/>
      <c r="Y46" s="838"/>
      <c r="Z46" s="838">
        <v>2800000</v>
      </c>
      <c r="AA46" s="838">
        <v>0</v>
      </c>
      <c r="AB46" s="838"/>
      <c r="AC46" s="838"/>
      <c r="AD46" s="838"/>
      <c r="AE46" s="838"/>
      <c r="AF46" s="838">
        <v>0</v>
      </c>
      <c r="AG46" s="838">
        <v>300000</v>
      </c>
      <c r="AH46" s="838">
        <v>46000000</v>
      </c>
      <c r="AI46" s="838">
        <v>2840000</v>
      </c>
      <c r="AJ46" s="838">
        <v>0</v>
      </c>
      <c r="AK46" s="838">
        <v>340000</v>
      </c>
      <c r="AL46" s="838">
        <v>2986820</v>
      </c>
      <c r="AM46" s="838">
        <v>50935214</v>
      </c>
      <c r="AN46" s="839">
        <v>26.046490245710924</v>
      </c>
      <c r="AO46" t="str">
        <f t="shared" si="0"/>
        <v>7. Above US$ 20</v>
      </c>
    </row>
    <row r="47" spans="4:41">
      <c r="D47" s="835" t="s">
        <v>200</v>
      </c>
      <c r="E47" s="835" t="s">
        <v>152</v>
      </c>
      <c r="F47" s="838">
        <v>0</v>
      </c>
      <c r="G47" s="838">
        <v>0</v>
      </c>
      <c r="H47" s="838">
        <v>0</v>
      </c>
      <c r="I47" s="838"/>
      <c r="J47" s="838">
        <v>0</v>
      </c>
      <c r="K47" s="838">
        <v>0</v>
      </c>
      <c r="L47" s="838">
        <v>0</v>
      </c>
      <c r="M47" s="838">
        <v>0</v>
      </c>
      <c r="N47" s="838">
        <v>0</v>
      </c>
      <c r="O47" s="838">
        <v>0</v>
      </c>
      <c r="P47" s="930"/>
      <c r="Q47" s="838"/>
      <c r="R47" s="838">
        <v>0</v>
      </c>
      <c r="S47" s="838"/>
      <c r="T47" s="838"/>
      <c r="U47" s="838"/>
      <c r="V47" s="838"/>
      <c r="W47" s="838"/>
      <c r="X47" s="838"/>
      <c r="Y47" s="838"/>
      <c r="Z47" s="838">
        <v>0</v>
      </c>
      <c r="AA47" s="838">
        <v>0</v>
      </c>
      <c r="AB47" s="838"/>
      <c r="AC47" s="838"/>
      <c r="AD47" s="838"/>
      <c r="AE47" s="838"/>
      <c r="AF47" s="838">
        <v>0</v>
      </c>
      <c r="AG47" s="838">
        <v>0</v>
      </c>
      <c r="AH47" s="838">
        <v>0</v>
      </c>
      <c r="AI47" s="838">
        <v>0</v>
      </c>
      <c r="AJ47" s="838">
        <v>0</v>
      </c>
      <c r="AK47" s="838">
        <v>0</v>
      </c>
      <c r="AL47" s="838">
        <v>0</v>
      </c>
      <c r="AM47" s="838">
        <v>0</v>
      </c>
      <c r="AN47" s="839">
        <v>0</v>
      </c>
      <c r="AO47" t="str">
        <f t="shared" si="0"/>
        <v>1. No funding</v>
      </c>
    </row>
    <row r="48" spans="4:41">
      <c r="D48" s="835" t="s">
        <v>201</v>
      </c>
      <c r="E48" s="835" t="s">
        <v>148</v>
      </c>
      <c r="F48" s="838">
        <v>0</v>
      </c>
      <c r="G48" s="838">
        <v>0</v>
      </c>
      <c r="H48" s="838">
        <v>0</v>
      </c>
      <c r="I48" s="838"/>
      <c r="J48" s="838">
        <v>0</v>
      </c>
      <c r="K48" s="838">
        <v>0</v>
      </c>
      <c r="L48" s="838">
        <v>174129.62962962961</v>
      </c>
      <c r="M48" s="838">
        <v>183655</v>
      </c>
      <c r="N48" s="838">
        <v>0</v>
      </c>
      <c r="O48" s="838">
        <v>0</v>
      </c>
      <c r="P48" s="930"/>
      <c r="Q48" s="838"/>
      <c r="R48" s="838">
        <v>0</v>
      </c>
      <c r="S48" s="838"/>
      <c r="T48" s="838"/>
      <c r="U48" s="838"/>
      <c r="V48" s="838"/>
      <c r="W48" s="838"/>
      <c r="X48" s="838"/>
      <c r="Y48" s="838"/>
      <c r="Z48" s="838">
        <v>0</v>
      </c>
      <c r="AA48" s="838">
        <v>0</v>
      </c>
      <c r="AB48" s="838"/>
      <c r="AC48" s="838"/>
      <c r="AD48" s="838"/>
      <c r="AE48" s="838"/>
      <c r="AF48" s="838">
        <v>0</v>
      </c>
      <c r="AG48" s="838">
        <v>0</v>
      </c>
      <c r="AH48" s="838">
        <v>0</v>
      </c>
      <c r="AI48" s="838">
        <v>0</v>
      </c>
      <c r="AJ48" s="838">
        <v>0</v>
      </c>
      <c r="AK48" s="838">
        <v>0</v>
      </c>
      <c r="AL48" s="838">
        <v>357784.62962962961</v>
      </c>
      <c r="AM48" s="838">
        <v>357784.62962962961</v>
      </c>
      <c r="AN48" s="839">
        <v>0.3311475817595092</v>
      </c>
      <c r="AO48" t="str">
        <f t="shared" si="0"/>
        <v>2. Less than US$ 1</v>
      </c>
    </row>
    <row r="49" spans="4:41">
      <c r="D49" s="835" t="s">
        <v>202</v>
      </c>
      <c r="E49" s="835" t="s">
        <v>150</v>
      </c>
      <c r="F49" s="838">
        <v>3700000</v>
      </c>
      <c r="G49" s="838">
        <v>0</v>
      </c>
      <c r="H49" s="838">
        <v>0</v>
      </c>
      <c r="I49" s="838"/>
      <c r="J49" s="838">
        <v>50213</v>
      </c>
      <c r="K49" s="838">
        <v>40000</v>
      </c>
      <c r="L49" s="838">
        <v>26100</v>
      </c>
      <c r="M49" s="838">
        <v>25000</v>
      </c>
      <c r="N49" s="838">
        <v>230000</v>
      </c>
      <c r="O49" s="838">
        <v>230000</v>
      </c>
      <c r="P49" s="930"/>
      <c r="Q49" s="838">
        <v>0</v>
      </c>
      <c r="R49" s="838">
        <v>0</v>
      </c>
      <c r="S49" s="838"/>
      <c r="T49" s="838"/>
      <c r="U49" s="838"/>
      <c r="V49" s="838"/>
      <c r="W49" s="838"/>
      <c r="X49" s="838"/>
      <c r="Y49" s="838">
        <v>783159</v>
      </c>
      <c r="Z49" s="838">
        <v>2650000</v>
      </c>
      <c r="AA49" s="838">
        <v>0</v>
      </c>
      <c r="AB49" s="838">
        <v>109293</v>
      </c>
      <c r="AC49" s="838"/>
      <c r="AD49" s="838">
        <v>401732</v>
      </c>
      <c r="AE49" s="838"/>
      <c r="AF49" s="838">
        <v>0</v>
      </c>
      <c r="AG49" s="838">
        <v>766500</v>
      </c>
      <c r="AH49" s="838">
        <v>3700000</v>
      </c>
      <c r="AI49" s="838">
        <v>3542452</v>
      </c>
      <c r="AJ49" s="838">
        <v>401732</v>
      </c>
      <c r="AK49" s="838">
        <v>2060684</v>
      </c>
      <c r="AL49" s="838">
        <v>831313</v>
      </c>
      <c r="AM49" s="838">
        <v>9011997</v>
      </c>
      <c r="AN49" s="839">
        <v>25.623323373443004</v>
      </c>
      <c r="AO49" t="str">
        <f t="shared" si="0"/>
        <v>7. Above US$ 20</v>
      </c>
    </row>
    <row r="50" spans="4:41">
      <c r="D50" s="835" t="s">
        <v>203</v>
      </c>
      <c r="E50" s="835" t="s">
        <v>148</v>
      </c>
      <c r="F50" s="838">
        <v>167200000</v>
      </c>
      <c r="G50" s="838">
        <v>0</v>
      </c>
      <c r="H50" s="838">
        <v>0</v>
      </c>
      <c r="I50" s="838"/>
      <c r="J50" s="838">
        <v>2119570</v>
      </c>
      <c r="K50" s="838">
        <v>842209</v>
      </c>
      <c r="L50" s="838">
        <v>268302.77777777775</v>
      </c>
      <c r="M50" s="838">
        <v>534413</v>
      </c>
      <c r="N50" s="838">
        <v>14685613</v>
      </c>
      <c r="O50" s="838">
        <v>0</v>
      </c>
      <c r="P50" s="930"/>
      <c r="Q50" s="838">
        <v>0</v>
      </c>
      <c r="R50" s="838">
        <v>0</v>
      </c>
      <c r="S50" s="838"/>
      <c r="T50" s="838"/>
      <c r="U50" s="838"/>
      <c r="V50" s="838"/>
      <c r="W50" s="838"/>
      <c r="X50" s="838"/>
      <c r="Y50" s="838">
        <v>2791137</v>
      </c>
      <c r="Z50" s="838">
        <v>6900000</v>
      </c>
      <c r="AA50" s="838">
        <v>0</v>
      </c>
      <c r="AB50" s="838">
        <v>1343285</v>
      </c>
      <c r="AC50" s="838"/>
      <c r="AD50" s="838">
        <v>1101933</v>
      </c>
      <c r="AE50" s="838">
        <v>454015</v>
      </c>
      <c r="AF50" s="838">
        <v>3158000</v>
      </c>
      <c r="AG50" s="838">
        <v>2775000</v>
      </c>
      <c r="AH50" s="838">
        <v>167200000</v>
      </c>
      <c r="AI50" s="838">
        <v>11034422</v>
      </c>
      <c r="AJ50" s="838">
        <v>4713948</v>
      </c>
      <c r="AK50" s="838">
        <v>8465370</v>
      </c>
      <c r="AL50" s="838">
        <v>18450107.777777776</v>
      </c>
      <c r="AM50" s="838">
        <v>204173477.77777779</v>
      </c>
      <c r="AN50" s="839">
        <v>5.7736685534813388</v>
      </c>
      <c r="AO50" t="str">
        <f t="shared" si="0"/>
        <v>5. Between US$ 5 and US$ 10</v>
      </c>
    </row>
    <row r="51" spans="4:41">
      <c r="D51" s="835" t="s">
        <v>204</v>
      </c>
      <c r="E51" s="835" t="s">
        <v>152</v>
      </c>
      <c r="F51" s="838">
        <v>0</v>
      </c>
      <c r="G51" s="838">
        <v>0</v>
      </c>
      <c r="H51" s="838">
        <v>0</v>
      </c>
      <c r="I51" s="838"/>
      <c r="J51" s="838">
        <v>0</v>
      </c>
      <c r="K51" s="838">
        <v>0</v>
      </c>
      <c r="L51" s="838">
        <v>46750</v>
      </c>
      <c r="M51" s="838">
        <v>25000</v>
      </c>
      <c r="N51" s="838">
        <v>230000</v>
      </c>
      <c r="O51" s="838">
        <v>230000</v>
      </c>
      <c r="P51" s="930"/>
      <c r="Q51" s="838"/>
      <c r="R51" s="838">
        <v>6148491</v>
      </c>
      <c r="S51" s="838">
        <v>1000000</v>
      </c>
      <c r="T51" s="838"/>
      <c r="U51" s="838"/>
      <c r="V51" s="838"/>
      <c r="W51" s="838"/>
      <c r="X51" s="838"/>
      <c r="Y51" s="838"/>
      <c r="Z51" s="838">
        <v>1500000</v>
      </c>
      <c r="AA51" s="838">
        <v>1500000</v>
      </c>
      <c r="AB51" s="838">
        <v>639730</v>
      </c>
      <c r="AC51" s="838"/>
      <c r="AD51" s="838"/>
      <c r="AE51" s="838">
        <v>226328</v>
      </c>
      <c r="AF51" s="838">
        <v>0</v>
      </c>
      <c r="AG51" s="838">
        <v>400000</v>
      </c>
      <c r="AH51" s="838">
        <v>0</v>
      </c>
      <c r="AI51" s="838">
        <v>9288221</v>
      </c>
      <c r="AJ51" s="838">
        <v>226328</v>
      </c>
      <c r="AK51" s="838">
        <v>7670558</v>
      </c>
      <c r="AL51" s="838">
        <v>761750</v>
      </c>
      <c r="AM51" s="838">
        <v>10446299</v>
      </c>
      <c r="AN51" s="839">
        <v>38.565771660691468</v>
      </c>
      <c r="AO51" t="str">
        <f t="shared" si="0"/>
        <v>7. Above US$ 20</v>
      </c>
    </row>
    <row r="52" spans="4:41">
      <c r="D52" s="835" t="s">
        <v>205</v>
      </c>
      <c r="E52" s="835" t="s">
        <v>152</v>
      </c>
      <c r="F52" s="838">
        <v>2900000</v>
      </c>
      <c r="G52" s="838">
        <v>0</v>
      </c>
      <c r="H52" s="838">
        <v>0</v>
      </c>
      <c r="I52" s="838"/>
      <c r="J52" s="838">
        <v>0</v>
      </c>
      <c r="K52" s="838">
        <v>0</v>
      </c>
      <c r="L52" s="838">
        <v>0</v>
      </c>
      <c r="M52" s="838">
        <v>0</v>
      </c>
      <c r="N52" s="838">
        <v>0</v>
      </c>
      <c r="O52" s="838">
        <v>0</v>
      </c>
      <c r="P52" s="930"/>
      <c r="Q52" s="838"/>
      <c r="R52" s="838">
        <v>0</v>
      </c>
      <c r="S52" s="838"/>
      <c r="T52" s="838"/>
      <c r="U52" s="838"/>
      <c r="V52" s="838"/>
      <c r="W52" s="838"/>
      <c r="X52" s="838"/>
      <c r="Y52" s="838"/>
      <c r="Z52" s="838">
        <v>300000</v>
      </c>
      <c r="AA52" s="838">
        <v>0</v>
      </c>
      <c r="AB52" s="838"/>
      <c r="AC52" s="838"/>
      <c r="AD52" s="838"/>
      <c r="AE52" s="838"/>
      <c r="AF52" s="838">
        <v>0</v>
      </c>
      <c r="AG52" s="838">
        <v>0</v>
      </c>
      <c r="AH52" s="838">
        <v>2900000</v>
      </c>
      <c r="AI52" s="838">
        <v>300000</v>
      </c>
      <c r="AJ52" s="838">
        <v>0</v>
      </c>
      <c r="AK52" s="838">
        <v>0</v>
      </c>
      <c r="AL52" s="838">
        <v>0</v>
      </c>
      <c r="AM52" s="838">
        <v>3200000</v>
      </c>
      <c r="AN52" s="839">
        <v>4.6807665984006119</v>
      </c>
      <c r="AO52" t="str">
        <f t="shared" si="0"/>
        <v>4. Between US$ 3 and US$ 5</v>
      </c>
    </row>
    <row r="53" spans="4:41">
      <c r="D53" s="835" t="s">
        <v>206</v>
      </c>
      <c r="E53" s="835" t="s">
        <v>148</v>
      </c>
      <c r="F53" s="838">
        <v>1600000</v>
      </c>
      <c r="G53" s="838">
        <v>0</v>
      </c>
      <c r="H53" s="838">
        <v>0</v>
      </c>
      <c r="I53" s="838"/>
      <c r="J53" s="838">
        <v>98207</v>
      </c>
      <c r="K53" s="838">
        <v>0</v>
      </c>
      <c r="L53" s="838">
        <v>104000</v>
      </c>
      <c r="M53" s="838">
        <v>86135</v>
      </c>
      <c r="N53" s="838">
        <v>977007</v>
      </c>
      <c r="O53" s="838">
        <v>0</v>
      </c>
      <c r="P53" s="930"/>
      <c r="Q53" s="838"/>
      <c r="R53" s="838">
        <v>0</v>
      </c>
      <c r="S53" s="838"/>
      <c r="T53" s="838"/>
      <c r="U53" s="838"/>
      <c r="V53" s="838"/>
      <c r="W53" s="838"/>
      <c r="X53" s="838"/>
      <c r="Y53" s="838"/>
      <c r="Z53" s="838">
        <v>1085000</v>
      </c>
      <c r="AA53" s="838">
        <v>1085000</v>
      </c>
      <c r="AB53" s="838"/>
      <c r="AC53" s="838"/>
      <c r="AD53" s="838"/>
      <c r="AE53" s="838"/>
      <c r="AF53" s="838">
        <v>0</v>
      </c>
      <c r="AG53" s="838">
        <v>552287</v>
      </c>
      <c r="AH53" s="838">
        <v>1600000</v>
      </c>
      <c r="AI53" s="838">
        <v>1085000</v>
      </c>
      <c r="AJ53" s="838">
        <v>0</v>
      </c>
      <c r="AK53" s="838">
        <v>1637287</v>
      </c>
      <c r="AL53" s="838">
        <v>1265349</v>
      </c>
      <c r="AM53" s="838">
        <v>4502636</v>
      </c>
      <c r="AN53" s="839">
        <v>6.0350490047261616</v>
      </c>
      <c r="AO53" t="str">
        <f t="shared" si="0"/>
        <v>5. Between US$ 5 and US$ 10</v>
      </c>
    </row>
    <row r="54" spans="4:41">
      <c r="D54" s="835" t="s">
        <v>207</v>
      </c>
      <c r="E54" s="835" t="s">
        <v>152</v>
      </c>
      <c r="F54" s="838">
        <v>1100000</v>
      </c>
      <c r="G54" s="838">
        <v>0</v>
      </c>
      <c r="H54" s="838">
        <v>0</v>
      </c>
      <c r="I54" s="838"/>
      <c r="J54" s="838">
        <v>0</v>
      </c>
      <c r="K54" s="838">
        <v>0</v>
      </c>
      <c r="L54" s="838">
        <v>0</v>
      </c>
      <c r="M54" s="838">
        <v>0</v>
      </c>
      <c r="N54" s="838">
        <v>0</v>
      </c>
      <c r="O54" s="838">
        <v>0</v>
      </c>
      <c r="P54" s="930"/>
      <c r="Q54" s="838"/>
      <c r="R54" s="838">
        <v>0</v>
      </c>
      <c r="S54" s="838"/>
      <c r="T54" s="838"/>
      <c r="U54" s="838"/>
      <c r="V54" s="838"/>
      <c r="W54" s="838"/>
      <c r="X54" s="838"/>
      <c r="Y54" s="838"/>
      <c r="Z54" s="838">
        <v>4400000</v>
      </c>
      <c r="AA54" s="838">
        <v>1000000</v>
      </c>
      <c r="AB54" s="838"/>
      <c r="AC54" s="838"/>
      <c r="AD54" s="838"/>
      <c r="AE54" s="838"/>
      <c r="AF54" s="838">
        <v>0</v>
      </c>
      <c r="AG54" s="838">
        <v>200000</v>
      </c>
      <c r="AH54" s="838">
        <v>1100000</v>
      </c>
      <c r="AI54" s="838">
        <v>4400000</v>
      </c>
      <c r="AJ54" s="838">
        <v>0</v>
      </c>
      <c r="AK54" s="838">
        <v>1200000</v>
      </c>
      <c r="AL54" s="838">
        <v>0</v>
      </c>
      <c r="AM54" s="838">
        <v>5700000</v>
      </c>
      <c r="AN54" s="839">
        <v>4.7741416407418216</v>
      </c>
      <c r="AO54" t="str">
        <f t="shared" si="0"/>
        <v>4. Between US$ 3 and US$ 5</v>
      </c>
    </row>
    <row r="55" spans="4:41">
      <c r="D55" s="835" t="s">
        <v>208</v>
      </c>
      <c r="E55" s="835" t="s">
        <v>150</v>
      </c>
      <c r="F55" s="838">
        <v>7000000</v>
      </c>
      <c r="G55" s="838">
        <v>0</v>
      </c>
      <c r="H55" s="838">
        <v>0</v>
      </c>
      <c r="I55" s="838"/>
      <c r="J55" s="838">
        <v>793746</v>
      </c>
      <c r="K55" s="838">
        <v>890000</v>
      </c>
      <c r="L55" s="838">
        <v>193425</v>
      </c>
      <c r="M55" s="838">
        <v>204263</v>
      </c>
      <c r="N55" s="838">
        <v>2108935</v>
      </c>
      <c r="O55" s="838">
        <v>0</v>
      </c>
      <c r="P55" s="930"/>
      <c r="Q55" s="838"/>
      <c r="R55" s="838">
        <v>0</v>
      </c>
      <c r="S55" s="838"/>
      <c r="T55" s="838"/>
      <c r="U55" s="838"/>
      <c r="V55" s="838"/>
      <c r="W55" s="838"/>
      <c r="X55" s="838"/>
      <c r="Y55" s="838"/>
      <c r="Z55" s="838">
        <v>2950000</v>
      </c>
      <c r="AA55" s="838">
        <v>0</v>
      </c>
      <c r="AB55" s="838">
        <v>925925</v>
      </c>
      <c r="AC55" s="838"/>
      <c r="AD55" s="838">
        <v>608549</v>
      </c>
      <c r="AE55" s="838">
        <v>142909</v>
      </c>
      <c r="AF55" s="838">
        <v>223000</v>
      </c>
      <c r="AG55" s="838">
        <v>0</v>
      </c>
      <c r="AH55" s="838">
        <v>7000000</v>
      </c>
      <c r="AI55" s="838">
        <v>3875925</v>
      </c>
      <c r="AJ55" s="838">
        <v>974458</v>
      </c>
      <c r="AK55" s="838">
        <v>1757871</v>
      </c>
      <c r="AL55" s="838">
        <v>4190369</v>
      </c>
      <c r="AM55" s="838">
        <v>16040752</v>
      </c>
      <c r="AN55" s="839">
        <v>1.685016943500711</v>
      </c>
      <c r="AO55" t="str">
        <f t="shared" si="0"/>
        <v>3. Between US$ 1 and US$ 3</v>
      </c>
    </row>
    <row r="56" spans="4:41">
      <c r="D56" s="835" t="s">
        <v>209</v>
      </c>
      <c r="E56" s="835" t="s">
        <v>152</v>
      </c>
      <c r="F56" s="838">
        <v>0</v>
      </c>
      <c r="G56" s="838">
        <v>0</v>
      </c>
      <c r="H56" s="838">
        <v>0</v>
      </c>
      <c r="I56" s="838"/>
      <c r="J56" s="838">
        <v>0</v>
      </c>
      <c r="K56" s="838">
        <v>0</v>
      </c>
      <c r="L56" s="838">
        <v>0</v>
      </c>
      <c r="M56" s="838">
        <v>50000</v>
      </c>
      <c r="N56" s="838">
        <v>230000</v>
      </c>
      <c r="O56" s="838">
        <v>200000</v>
      </c>
      <c r="P56" s="930"/>
      <c r="Q56" s="838"/>
      <c r="R56" s="838">
        <v>0</v>
      </c>
      <c r="S56" s="838"/>
      <c r="T56" s="838"/>
      <c r="U56" s="838"/>
      <c r="V56" s="838"/>
      <c r="W56" s="838"/>
      <c r="X56" s="838"/>
      <c r="Y56" s="838"/>
      <c r="Z56" s="838">
        <v>0</v>
      </c>
      <c r="AA56" s="838">
        <v>0</v>
      </c>
      <c r="AB56" s="838"/>
      <c r="AC56" s="838"/>
      <c r="AD56" s="838"/>
      <c r="AE56" s="838"/>
      <c r="AF56" s="838">
        <v>0</v>
      </c>
      <c r="AG56" s="838">
        <v>75000</v>
      </c>
      <c r="AH56" s="838">
        <v>0</v>
      </c>
      <c r="AI56" s="838">
        <v>0</v>
      </c>
      <c r="AJ56" s="838">
        <v>0</v>
      </c>
      <c r="AK56" s="838">
        <v>75000</v>
      </c>
      <c r="AL56" s="838">
        <v>680000</v>
      </c>
      <c r="AM56" s="838">
        <v>555000</v>
      </c>
      <c r="AN56" s="839">
        <v>16.369508472326682</v>
      </c>
      <c r="AO56" t="str">
        <f t="shared" si="0"/>
        <v>6. Between US$ 10 and US$ 20</v>
      </c>
    </row>
    <row r="57" spans="4:41">
      <c r="D57" s="835" t="s">
        <v>210</v>
      </c>
      <c r="E57" s="835" t="s">
        <v>152</v>
      </c>
      <c r="F57" s="838">
        <v>0</v>
      </c>
      <c r="G57" s="838">
        <v>0</v>
      </c>
      <c r="H57" s="838">
        <v>0</v>
      </c>
      <c r="I57" s="838"/>
      <c r="J57" s="838">
        <v>0</v>
      </c>
      <c r="K57" s="838">
        <v>0</v>
      </c>
      <c r="L57" s="838">
        <v>0</v>
      </c>
      <c r="M57" s="838">
        <v>0</v>
      </c>
      <c r="N57" s="838">
        <v>0</v>
      </c>
      <c r="O57" s="838">
        <v>0</v>
      </c>
      <c r="P57" s="930"/>
      <c r="Q57" s="838">
        <v>0</v>
      </c>
      <c r="R57" s="838">
        <v>0</v>
      </c>
      <c r="S57" s="838"/>
      <c r="T57" s="838"/>
      <c r="U57" s="838"/>
      <c r="V57" s="838"/>
      <c r="W57" s="838"/>
      <c r="X57" s="838"/>
      <c r="Y57" s="838"/>
      <c r="Z57" s="838">
        <v>5395000</v>
      </c>
      <c r="AA57" s="838">
        <v>0</v>
      </c>
      <c r="AB57" s="838">
        <v>1388889</v>
      </c>
      <c r="AC57" s="838"/>
      <c r="AD57" s="838"/>
      <c r="AE57" s="838"/>
      <c r="AF57" s="838">
        <v>0</v>
      </c>
      <c r="AG57" s="838">
        <v>0</v>
      </c>
      <c r="AH57" s="838">
        <v>0</v>
      </c>
      <c r="AI57" s="838">
        <v>6783889</v>
      </c>
      <c r="AJ57" s="838">
        <v>0</v>
      </c>
      <c r="AK57" s="838">
        <v>1388889</v>
      </c>
      <c r="AL57" s="838">
        <v>0</v>
      </c>
      <c r="AM57" s="838">
        <v>6783889</v>
      </c>
      <c r="AN57" s="839">
        <v>1.2390754460982039</v>
      </c>
      <c r="AO57" t="str">
        <f t="shared" si="0"/>
        <v>3. Between US$ 1 and US$ 3</v>
      </c>
    </row>
    <row r="58" spans="4:41">
      <c r="D58" s="835" t="s">
        <v>211</v>
      </c>
      <c r="E58" s="835" t="s">
        <v>148</v>
      </c>
      <c r="F58" s="838">
        <v>10600000</v>
      </c>
      <c r="G58" s="838">
        <v>0</v>
      </c>
      <c r="H58" s="838">
        <v>0</v>
      </c>
      <c r="I58" s="838"/>
      <c r="J58" s="838">
        <v>390259</v>
      </c>
      <c r="K58" s="838">
        <v>225000</v>
      </c>
      <c r="L58" s="838">
        <v>252699.99999999997</v>
      </c>
      <c r="M58" s="838">
        <v>440787</v>
      </c>
      <c r="N58" s="838">
        <v>2304800</v>
      </c>
      <c r="O58" s="838">
        <v>0</v>
      </c>
      <c r="P58" s="930"/>
      <c r="Q58" s="838"/>
      <c r="R58" s="838">
        <v>0</v>
      </c>
      <c r="S58" s="838"/>
      <c r="T58" s="838"/>
      <c r="U58" s="838"/>
      <c r="V58" s="838"/>
      <c r="W58" s="838"/>
      <c r="X58" s="838"/>
      <c r="Y58" s="838"/>
      <c r="Z58" s="838">
        <v>2900000</v>
      </c>
      <c r="AA58" s="838">
        <v>0</v>
      </c>
      <c r="AB58" s="838">
        <v>926346</v>
      </c>
      <c r="AC58" s="838"/>
      <c r="AD58" s="838"/>
      <c r="AE58" s="838">
        <v>378110</v>
      </c>
      <c r="AF58" s="838">
        <v>0</v>
      </c>
      <c r="AG58" s="838">
        <v>378110</v>
      </c>
      <c r="AH58" s="838">
        <v>10600000</v>
      </c>
      <c r="AI58" s="838">
        <v>3826346</v>
      </c>
      <c r="AJ58" s="838">
        <v>378110</v>
      </c>
      <c r="AK58" s="838">
        <v>1682566</v>
      </c>
      <c r="AL58" s="838">
        <v>3613546</v>
      </c>
      <c r="AM58" s="838">
        <v>18796112</v>
      </c>
      <c r="AN58" s="839">
        <v>4.6419653642198524</v>
      </c>
      <c r="AO58" t="str">
        <f t="shared" si="0"/>
        <v>4. Between US$ 3 and US$ 5</v>
      </c>
    </row>
    <row r="59" spans="4:41">
      <c r="D59" s="835" t="s">
        <v>212</v>
      </c>
      <c r="E59" s="835" t="s">
        <v>148</v>
      </c>
      <c r="F59" s="838">
        <v>2100000</v>
      </c>
      <c r="G59" s="838">
        <v>0</v>
      </c>
      <c r="H59" s="838">
        <v>0</v>
      </c>
      <c r="I59" s="838"/>
      <c r="J59" s="838">
        <v>105973</v>
      </c>
      <c r="K59" s="838">
        <v>45600</v>
      </c>
      <c r="L59" s="838">
        <v>173660.18518518517</v>
      </c>
      <c r="M59" s="838">
        <v>180992</v>
      </c>
      <c r="N59" s="838">
        <v>978460</v>
      </c>
      <c r="O59" s="838">
        <v>0</v>
      </c>
      <c r="P59" s="930"/>
      <c r="Q59" s="838"/>
      <c r="R59" s="838">
        <v>0</v>
      </c>
      <c r="S59" s="838"/>
      <c r="T59" s="838"/>
      <c r="U59" s="838"/>
      <c r="V59" s="838"/>
      <c r="W59" s="838"/>
      <c r="X59" s="838"/>
      <c r="Y59" s="838"/>
      <c r="Z59" s="838">
        <v>200000</v>
      </c>
      <c r="AA59" s="838">
        <v>200000</v>
      </c>
      <c r="AB59" s="838"/>
      <c r="AC59" s="838"/>
      <c r="AD59" s="838"/>
      <c r="AE59" s="838">
        <v>225847</v>
      </c>
      <c r="AF59" s="838">
        <v>0</v>
      </c>
      <c r="AG59" s="838">
        <v>225847</v>
      </c>
      <c r="AH59" s="838">
        <v>2100000</v>
      </c>
      <c r="AI59" s="838">
        <v>200000</v>
      </c>
      <c r="AJ59" s="838">
        <v>225847</v>
      </c>
      <c r="AK59" s="838">
        <v>1630154</v>
      </c>
      <c r="AL59" s="838">
        <v>1484685.1851851852</v>
      </c>
      <c r="AM59" s="838">
        <v>4236379.1851851847</v>
      </c>
      <c r="AN59" s="839">
        <v>7.0063676577989877</v>
      </c>
      <c r="AO59" t="str">
        <f t="shared" si="0"/>
        <v>5. Between US$ 5 and US$ 10</v>
      </c>
    </row>
    <row r="60" spans="4:41">
      <c r="D60" s="835" t="s">
        <v>213</v>
      </c>
      <c r="E60" s="835" t="s">
        <v>152</v>
      </c>
      <c r="F60" s="838">
        <v>200000</v>
      </c>
      <c r="G60" s="838">
        <v>0</v>
      </c>
      <c r="H60" s="838">
        <v>0</v>
      </c>
      <c r="I60" s="838"/>
      <c r="J60" s="838">
        <v>62549</v>
      </c>
      <c r="K60" s="838">
        <v>215000</v>
      </c>
      <c r="L60" s="838">
        <v>0</v>
      </c>
      <c r="M60" s="838">
        <v>44999.999999999964</v>
      </c>
      <c r="N60" s="838">
        <v>230000</v>
      </c>
      <c r="O60" s="838">
        <v>600000</v>
      </c>
      <c r="P60" s="930"/>
      <c r="Q60" s="838"/>
      <c r="R60" s="838">
        <v>0</v>
      </c>
      <c r="S60" s="838"/>
      <c r="T60" s="838"/>
      <c r="U60" s="838"/>
      <c r="V60" s="838"/>
      <c r="W60" s="838"/>
      <c r="X60" s="838"/>
      <c r="Y60" s="838"/>
      <c r="Z60" s="838">
        <v>705800</v>
      </c>
      <c r="AA60" s="838">
        <v>705800</v>
      </c>
      <c r="AB60" s="838"/>
      <c r="AC60" s="838"/>
      <c r="AD60" s="838"/>
      <c r="AE60" s="838"/>
      <c r="AF60" s="838">
        <v>0</v>
      </c>
      <c r="AG60" s="838">
        <v>100000</v>
      </c>
      <c r="AH60" s="838">
        <v>200000</v>
      </c>
      <c r="AI60" s="838">
        <v>705800</v>
      </c>
      <c r="AJ60" s="838">
        <v>0</v>
      </c>
      <c r="AK60" s="838">
        <v>805800</v>
      </c>
      <c r="AL60" s="838">
        <v>1752549</v>
      </c>
      <c r="AM60" s="838">
        <v>2158349</v>
      </c>
      <c r="AN60" s="839">
        <v>9.1031667402647098</v>
      </c>
      <c r="AO60" t="str">
        <f t="shared" si="0"/>
        <v>5. Between US$ 5 and US$ 10</v>
      </c>
    </row>
    <row r="61" spans="4:41">
      <c r="D61" s="835" t="s">
        <v>214</v>
      </c>
      <c r="E61" s="835" t="s">
        <v>150</v>
      </c>
      <c r="F61" s="838">
        <v>0</v>
      </c>
      <c r="G61" s="838">
        <v>0</v>
      </c>
      <c r="H61" s="838">
        <v>0</v>
      </c>
      <c r="I61" s="838"/>
      <c r="J61" s="838">
        <v>365688</v>
      </c>
      <c r="K61" s="838">
        <v>1160000</v>
      </c>
      <c r="L61" s="838">
        <v>315255.55555555556</v>
      </c>
      <c r="M61" s="838">
        <v>403390</v>
      </c>
      <c r="N61" s="838">
        <v>2138482</v>
      </c>
      <c r="O61" s="838">
        <v>0</v>
      </c>
      <c r="P61" s="930"/>
      <c r="Q61" s="838">
        <v>0</v>
      </c>
      <c r="R61" s="838">
        <v>0</v>
      </c>
      <c r="S61" s="838"/>
      <c r="T61" s="838">
        <v>49489.62</v>
      </c>
      <c r="U61" s="838"/>
      <c r="V61" s="838"/>
      <c r="W61" s="838"/>
      <c r="X61" s="838"/>
      <c r="Y61" s="838"/>
      <c r="Z61" s="838">
        <v>2650000</v>
      </c>
      <c r="AA61" s="838">
        <v>0</v>
      </c>
      <c r="AB61" s="838">
        <v>1851852</v>
      </c>
      <c r="AC61" s="838">
        <v>4969926</v>
      </c>
      <c r="AD61" s="838"/>
      <c r="AE61" s="838"/>
      <c r="AF61" s="838">
        <v>99000</v>
      </c>
      <c r="AG61" s="838">
        <v>1500000</v>
      </c>
      <c r="AH61" s="838">
        <v>0</v>
      </c>
      <c r="AI61" s="838">
        <v>9521267.620000001</v>
      </c>
      <c r="AJ61" s="838">
        <v>99000</v>
      </c>
      <c r="AK61" s="838">
        <v>10057934.620000001</v>
      </c>
      <c r="AL61" s="838">
        <v>4382815.555555556</v>
      </c>
      <c r="AM61" s="838">
        <v>15503083.175555555</v>
      </c>
      <c r="AN61" s="839">
        <v>4.4774184075683348</v>
      </c>
      <c r="AO61" t="str">
        <f t="shared" si="0"/>
        <v>4. Between US$ 3 and US$ 5</v>
      </c>
    </row>
    <row r="62" spans="4:41">
      <c r="D62" s="835" t="s">
        <v>215</v>
      </c>
      <c r="E62" s="835" t="s">
        <v>150</v>
      </c>
      <c r="F62" s="838">
        <v>13800000</v>
      </c>
      <c r="G62" s="838">
        <v>0</v>
      </c>
      <c r="H62" s="838">
        <v>15800000</v>
      </c>
      <c r="I62" s="838"/>
      <c r="J62" s="838">
        <v>219032</v>
      </c>
      <c r="K62" s="838">
        <v>130000</v>
      </c>
      <c r="L62" s="838">
        <v>24259.259259259259</v>
      </c>
      <c r="M62" s="838">
        <v>232501.58</v>
      </c>
      <c r="N62" s="838">
        <v>369382</v>
      </c>
      <c r="O62" s="838">
        <v>1035145</v>
      </c>
      <c r="P62" s="930"/>
      <c r="Q62" s="838"/>
      <c r="R62" s="838">
        <v>0</v>
      </c>
      <c r="S62" s="838"/>
      <c r="T62" s="838"/>
      <c r="U62" s="838"/>
      <c r="V62" s="838"/>
      <c r="W62" s="838"/>
      <c r="X62" s="838"/>
      <c r="Y62" s="838"/>
      <c r="Z62" s="838">
        <v>4652400</v>
      </c>
      <c r="AA62" s="838">
        <v>0</v>
      </c>
      <c r="AB62" s="838"/>
      <c r="AC62" s="838"/>
      <c r="AD62" s="838"/>
      <c r="AE62" s="838"/>
      <c r="AF62" s="838">
        <v>0</v>
      </c>
      <c r="AG62" s="838">
        <v>300000</v>
      </c>
      <c r="AH62" s="838">
        <v>29600000</v>
      </c>
      <c r="AI62" s="838">
        <v>4652400</v>
      </c>
      <c r="AJ62" s="838">
        <v>0</v>
      </c>
      <c r="AK62" s="838">
        <v>300000</v>
      </c>
      <c r="AL62" s="838">
        <v>3045464.8392592594</v>
      </c>
      <c r="AM62" s="838">
        <v>36562719.839259259</v>
      </c>
      <c r="AN62" s="839">
        <v>12.111279485760488</v>
      </c>
      <c r="AO62" t="str">
        <f t="shared" si="0"/>
        <v>6. Between US$ 10 and US$ 20</v>
      </c>
    </row>
    <row r="63" spans="4:41">
      <c r="D63" s="835" t="s">
        <v>216</v>
      </c>
      <c r="E63" s="835" t="s">
        <v>150</v>
      </c>
      <c r="F63" s="838">
        <v>0</v>
      </c>
      <c r="G63" s="838">
        <v>7000000</v>
      </c>
      <c r="H63" s="838">
        <v>0</v>
      </c>
      <c r="I63" s="838"/>
      <c r="J63" s="838">
        <v>8716494</v>
      </c>
      <c r="K63" s="838">
        <v>0</v>
      </c>
      <c r="L63" s="838">
        <v>5971660.1851851847</v>
      </c>
      <c r="M63" s="838">
        <v>10181364</v>
      </c>
      <c r="N63" s="838">
        <v>10867000</v>
      </c>
      <c r="O63" s="838">
        <v>0</v>
      </c>
      <c r="P63" s="930"/>
      <c r="Q63" s="838"/>
      <c r="R63" s="838">
        <v>0</v>
      </c>
      <c r="S63" s="838"/>
      <c r="T63" s="838"/>
      <c r="U63" s="838"/>
      <c r="V63" s="838"/>
      <c r="W63" s="838"/>
      <c r="X63" s="838"/>
      <c r="Y63" s="838"/>
      <c r="Z63" s="838">
        <v>36840139</v>
      </c>
      <c r="AA63" s="838">
        <v>2000000</v>
      </c>
      <c r="AB63" s="838"/>
      <c r="AC63" s="838">
        <v>1200000</v>
      </c>
      <c r="AD63" s="838"/>
      <c r="AE63" s="838">
        <v>24758715</v>
      </c>
      <c r="AF63" s="838">
        <v>81000</v>
      </c>
      <c r="AG63" s="838">
        <v>12694456</v>
      </c>
      <c r="AH63" s="838">
        <v>7000000</v>
      </c>
      <c r="AI63" s="838">
        <v>38040139</v>
      </c>
      <c r="AJ63" s="838">
        <v>24839715</v>
      </c>
      <c r="AK63" s="838">
        <v>43753171</v>
      </c>
      <c r="AL63" s="838">
        <v>35736518.185185187</v>
      </c>
      <c r="AM63" s="838">
        <v>118310828.18518519</v>
      </c>
      <c r="AN63" s="839">
        <v>0.2830248821014717</v>
      </c>
      <c r="AO63" t="str">
        <f t="shared" si="0"/>
        <v>2. Less than US$ 1</v>
      </c>
    </row>
    <row r="64" spans="4:41">
      <c r="D64" s="835" t="s">
        <v>217</v>
      </c>
      <c r="E64" s="835" t="s">
        <v>150</v>
      </c>
      <c r="F64" s="838">
        <v>258300000</v>
      </c>
      <c r="G64" s="838">
        <v>0</v>
      </c>
      <c r="H64" s="838">
        <v>0</v>
      </c>
      <c r="I64" s="838"/>
      <c r="J64" s="838">
        <v>1734565</v>
      </c>
      <c r="K64" s="838">
        <v>165200</v>
      </c>
      <c r="L64" s="838">
        <v>100000</v>
      </c>
      <c r="M64" s="838">
        <v>115000</v>
      </c>
      <c r="N64" s="838">
        <v>0</v>
      </c>
      <c r="O64" s="838">
        <v>0</v>
      </c>
      <c r="P64" s="930"/>
      <c r="Q64" s="838"/>
      <c r="R64" s="838">
        <v>2711076</v>
      </c>
      <c r="S64" s="838">
        <v>3230725</v>
      </c>
      <c r="T64" s="838"/>
      <c r="U64" s="838"/>
      <c r="V64" s="838"/>
      <c r="W64" s="838"/>
      <c r="X64" s="838"/>
      <c r="Y64" s="838"/>
      <c r="Z64" s="838">
        <v>13950000</v>
      </c>
      <c r="AA64" s="838">
        <v>4700000</v>
      </c>
      <c r="AB64" s="838">
        <v>3751813</v>
      </c>
      <c r="AC64" s="838"/>
      <c r="AD64" s="838"/>
      <c r="AE64" s="838">
        <v>93593</v>
      </c>
      <c r="AF64" s="838">
        <v>0</v>
      </c>
      <c r="AG64" s="838">
        <v>0</v>
      </c>
      <c r="AH64" s="838">
        <v>258300000</v>
      </c>
      <c r="AI64" s="838">
        <v>23643614</v>
      </c>
      <c r="AJ64" s="838">
        <v>93593</v>
      </c>
      <c r="AK64" s="838">
        <v>12550724</v>
      </c>
      <c r="AL64" s="838">
        <v>2114765</v>
      </c>
      <c r="AM64" s="838">
        <v>284151972</v>
      </c>
      <c r="AN64" s="839">
        <v>3.4272945143921274</v>
      </c>
      <c r="AO64" t="str">
        <f t="shared" si="0"/>
        <v>4. Between US$ 3 and US$ 5</v>
      </c>
    </row>
    <row r="65" spans="4:41">
      <c r="D65" s="835" t="s">
        <v>149</v>
      </c>
      <c r="E65" s="835" t="s">
        <v>150</v>
      </c>
      <c r="F65" s="838">
        <v>0</v>
      </c>
      <c r="G65" s="838">
        <v>0</v>
      </c>
      <c r="H65" s="838">
        <v>0</v>
      </c>
      <c r="I65" s="838"/>
      <c r="J65" s="838">
        <v>0</v>
      </c>
      <c r="K65" s="838">
        <v>0</v>
      </c>
      <c r="L65" s="838">
        <v>0</v>
      </c>
      <c r="M65" s="838">
        <v>0</v>
      </c>
      <c r="N65" s="838">
        <v>0</v>
      </c>
      <c r="O65" s="838">
        <v>0</v>
      </c>
      <c r="P65" s="930"/>
      <c r="Q65" s="838"/>
      <c r="R65" s="838">
        <v>0</v>
      </c>
      <c r="S65" s="838"/>
      <c r="T65" s="838"/>
      <c r="U65" s="838"/>
      <c r="V65" s="838"/>
      <c r="W65" s="838"/>
      <c r="X65" s="838"/>
      <c r="Y65" s="838"/>
      <c r="Z65" s="838">
        <v>0</v>
      </c>
      <c r="AA65" s="838">
        <v>0</v>
      </c>
      <c r="AB65" s="838"/>
      <c r="AC65" s="838"/>
      <c r="AD65" s="838"/>
      <c r="AE65" s="838"/>
      <c r="AF65" s="838">
        <v>0</v>
      </c>
      <c r="AG65" s="838">
        <v>2428858</v>
      </c>
      <c r="AH65" s="838">
        <v>0</v>
      </c>
      <c r="AI65" s="838">
        <v>0</v>
      </c>
      <c r="AJ65" s="838">
        <v>0</v>
      </c>
      <c r="AK65" s="838">
        <v>2428858</v>
      </c>
      <c r="AL65" s="838">
        <v>0</v>
      </c>
      <c r="AM65" s="838">
        <v>2428858</v>
      </c>
      <c r="AN65" s="839">
        <v>9.521711634196868E-2</v>
      </c>
      <c r="AO65" t="str">
        <f t="shared" si="0"/>
        <v>2. Less than US$ 1</v>
      </c>
    </row>
    <row r="66" spans="4:41">
      <c r="D66" s="835" t="s">
        <v>218</v>
      </c>
      <c r="E66" s="835" t="s">
        <v>152</v>
      </c>
      <c r="F66" s="838">
        <v>25000000</v>
      </c>
      <c r="G66" s="838">
        <v>0</v>
      </c>
      <c r="H66" s="838">
        <v>0</v>
      </c>
      <c r="I66" s="838"/>
      <c r="J66" s="838">
        <v>0</v>
      </c>
      <c r="K66" s="838">
        <v>0</v>
      </c>
      <c r="L66" s="838">
        <v>0</v>
      </c>
      <c r="M66" s="838">
        <v>0</v>
      </c>
      <c r="N66" s="838">
        <v>0</v>
      </c>
      <c r="O66" s="838">
        <v>0</v>
      </c>
      <c r="P66" s="930"/>
      <c r="Q66" s="838"/>
      <c r="R66" s="838">
        <v>0</v>
      </c>
      <c r="S66" s="838"/>
      <c r="T66" s="838"/>
      <c r="U66" s="838"/>
      <c r="V66" s="838"/>
      <c r="W66" s="838"/>
      <c r="X66" s="838"/>
      <c r="Y66" s="838"/>
      <c r="Z66" s="838">
        <v>1534768</v>
      </c>
      <c r="AA66" s="838">
        <v>1290000</v>
      </c>
      <c r="AB66" s="838"/>
      <c r="AC66" s="838"/>
      <c r="AD66" s="838"/>
      <c r="AE66" s="838"/>
      <c r="AF66" s="838">
        <v>0</v>
      </c>
      <c r="AG66" s="838">
        <v>5799334</v>
      </c>
      <c r="AH66" s="838">
        <v>25000000</v>
      </c>
      <c r="AI66" s="838">
        <v>1534768</v>
      </c>
      <c r="AJ66" s="838">
        <v>0</v>
      </c>
      <c r="AK66" s="838">
        <v>7089334</v>
      </c>
      <c r="AL66" s="838">
        <v>0</v>
      </c>
      <c r="AM66" s="838">
        <v>32334102</v>
      </c>
      <c r="AN66" s="839">
        <v>2.617339452484329</v>
      </c>
      <c r="AO66" t="str">
        <f t="shared" si="0"/>
        <v>3. Between US$ 1 and US$ 3</v>
      </c>
    </row>
    <row r="67" spans="4:41">
      <c r="D67" s="835" t="s">
        <v>219</v>
      </c>
      <c r="E67" s="835" t="s">
        <v>152</v>
      </c>
      <c r="F67" s="838">
        <v>0</v>
      </c>
      <c r="G67" s="838">
        <v>0</v>
      </c>
      <c r="H67" s="838">
        <v>0</v>
      </c>
      <c r="I67" s="838"/>
      <c r="J67" s="838">
        <v>0</v>
      </c>
      <c r="K67" s="838">
        <v>0</v>
      </c>
      <c r="L67" s="838">
        <v>0</v>
      </c>
      <c r="M67" s="838">
        <v>0</v>
      </c>
      <c r="N67" s="838">
        <v>0</v>
      </c>
      <c r="O67" s="838">
        <v>0</v>
      </c>
      <c r="P67" s="930"/>
      <c r="Q67" s="838">
        <v>0</v>
      </c>
      <c r="R67" s="838">
        <v>0</v>
      </c>
      <c r="S67" s="838"/>
      <c r="T67" s="838"/>
      <c r="U67" s="838"/>
      <c r="V67" s="838"/>
      <c r="W67" s="838"/>
      <c r="X67" s="838"/>
      <c r="Y67" s="838"/>
      <c r="Z67" s="838">
        <v>3450000</v>
      </c>
      <c r="AA67" s="838">
        <v>0</v>
      </c>
      <c r="AB67" s="838">
        <v>1129630</v>
      </c>
      <c r="AC67" s="838"/>
      <c r="AD67" s="838"/>
      <c r="AE67" s="838"/>
      <c r="AF67" s="838">
        <v>0</v>
      </c>
      <c r="AG67" s="838">
        <v>0</v>
      </c>
      <c r="AH67" s="838">
        <v>0</v>
      </c>
      <c r="AI67" s="838">
        <v>4579630</v>
      </c>
      <c r="AJ67" s="838">
        <v>0</v>
      </c>
      <c r="AK67" s="838">
        <v>1129630</v>
      </c>
      <c r="AL67" s="838">
        <v>0</v>
      </c>
      <c r="AM67" s="838">
        <v>4579630</v>
      </c>
      <c r="AN67" s="839">
        <v>5.1338921880734762</v>
      </c>
      <c r="AO67" t="str">
        <f t="shared" si="0"/>
        <v>5. Between US$ 5 and US$ 10</v>
      </c>
    </row>
    <row r="68" spans="4:41">
      <c r="D68" s="835" t="s">
        <v>220</v>
      </c>
      <c r="E68" s="835" t="s">
        <v>152</v>
      </c>
      <c r="F68" s="838">
        <v>1300000</v>
      </c>
      <c r="G68" s="838">
        <v>0</v>
      </c>
      <c r="H68" s="838">
        <v>0</v>
      </c>
      <c r="I68" s="838"/>
      <c r="J68" s="838">
        <v>0</v>
      </c>
      <c r="K68" s="838">
        <v>0</v>
      </c>
      <c r="L68" s="838">
        <v>0</v>
      </c>
      <c r="M68" s="838">
        <v>0</v>
      </c>
      <c r="N68" s="838">
        <v>0</v>
      </c>
      <c r="O68" s="838">
        <v>0</v>
      </c>
      <c r="P68" s="930"/>
      <c r="Q68" s="838"/>
      <c r="R68" s="838">
        <v>0</v>
      </c>
      <c r="S68" s="838"/>
      <c r="T68" s="838"/>
      <c r="U68" s="838"/>
      <c r="V68" s="838"/>
      <c r="W68" s="838"/>
      <c r="X68" s="838"/>
      <c r="Y68" s="838"/>
      <c r="Z68" s="838">
        <v>2979126</v>
      </c>
      <c r="AA68" s="838">
        <v>0</v>
      </c>
      <c r="AB68" s="838"/>
      <c r="AC68" s="838"/>
      <c r="AD68" s="838"/>
      <c r="AE68" s="838"/>
      <c r="AF68" s="838">
        <v>0</v>
      </c>
      <c r="AG68" s="838">
        <v>1423400</v>
      </c>
      <c r="AH68" s="838">
        <v>1300000</v>
      </c>
      <c r="AI68" s="838">
        <v>2979126</v>
      </c>
      <c r="AJ68" s="838">
        <v>0</v>
      </c>
      <c r="AK68" s="838">
        <v>1423400</v>
      </c>
      <c r="AL68" s="838">
        <v>0</v>
      </c>
      <c r="AM68" s="838">
        <v>5702526</v>
      </c>
      <c r="AN68" s="839">
        <v>1.8510448219898643</v>
      </c>
      <c r="AO68" t="str">
        <f t="shared" si="0"/>
        <v>3. Between US$ 1 and US$ 3</v>
      </c>
    </row>
    <row r="69" spans="4:41">
      <c r="D69" s="835" t="s">
        <v>221</v>
      </c>
      <c r="E69" s="835" t="s">
        <v>152</v>
      </c>
      <c r="F69" s="838">
        <v>0</v>
      </c>
      <c r="G69" s="838">
        <v>0</v>
      </c>
      <c r="H69" s="838">
        <v>0</v>
      </c>
      <c r="I69" s="838"/>
      <c r="J69" s="838">
        <v>0</v>
      </c>
      <c r="K69" s="838">
        <v>0</v>
      </c>
      <c r="L69" s="838">
        <v>0</v>
      </c>
      <c r="M69" s="838">
        <v>0</v>
      </c>
      <c r="N69" s="838">
        <v>0</v>
      </c>
      <c r="O69" s="838">
        <v>0</v>
      </c>
      <c r="P69" s="930"/>
      <c r="Q69" s="838"/>
      <c r="R69" s="838">
        <v>0</v>
      </c>
      <c r="S69" s="838"/>
      <c r="T69" s="838"/>
      <c r="U69" s="838"/>
      <c r="V69" s="838"/>
      <c r="W69" s="838"/>
      <c r="X69" s="838"/>
      <c r="Y69" s="838"/>
      <c r="Z69" s="838">
        <v>2450000</v>
      </c>
      <c r="AA69" s="838">
        <v>700000</v>
      </c>
      <c r="AB69" s="838"/>
      <c r="AC69" s="838"/>
      <c r="AD69" s="838"/>
      <c r="AE69" s="838"/>
      <c r="AF69" s="838">
        <v>0</v>
      </c>
      <c r="AG69" s="838">
        <v>50000</v>
      </c>
      <c r="AH69" s="838">
        <v>0</v>
      </c>
      <c r="AI69" s="838">
        <v>2450000</v>
      </c>
      <c r="AJ69" s="838">
        <v>0</v>
      </c>
      <c r="AK69" s="838">
        <v>750000</v>
      </c>
      <c r="AL69" s="838">
        <v>0</v>
      </c>
      <c r="AM69" s="838">
        <v>2500000</v>
      </c>
      <c r="AN69" s="839">
        <v>0.43871291178076488</v>
      </c>
      <c r="AO69" t="str">
        <f t="shared" si="0"/>
        <v>2. Less than US$ 1</v>
      </c>
    </row>
    <row r="70" spans="4:41">
      <c r="D70" s="835" t="s">
        <v>222</v>
      </c>
      <c r="E70" s="835" t="s">
        <v>150</v>
      </c>
      <c r="F70" s="838">
        <v>18700000</v>
      </c>
      <c r="G70" s="838">
        <v>0</v>
      </c>
      <c r="H70" s="838">
        <v>0</v>
      </c>
      <c r="I70" s="838"/>
      <c r="J70" s="838">
        <v>1181227</v>
      </c>
      <c r="K70" s="838">
        <v>1015000</v>
      </c>
      <c r="L70" s="838">
        <v>279000</v>
      </c>
      <c r="M70" s="838">
        <v>196345</v>
      </c>
      <c r="N70" s="838">
        <v>3006517</v>
      </c>
      <c r="O70" s="838">
        <v>0</v>
      </c>
      <c r="P70" s="930"/>
      <c r="Q70" s="838">
        <v>0</v>
      </c>
      <c r="R70" s="838">
        <v>0</v>
      </c>
      <c r="S70" s="838"/>
      <c r="T70" s="838"/>
      <c r="U70" s="838"/>
      <c r="V70" s="838"/>
      <c r="W70" s="838"/>
      <c r="X70" s="838"/>
      <c r="Y70" s="838"/>
      <c r="Z70" s="838">
        <v>3850000</v>
      </c>
      <c r="AA70" s="838">
        <v>0</v>
      </c>
      <c r="AB70" s="838">
        <v>1337969</v>
      </c>
      <c r="AC70" s="838"/>
      <c r="AD70" s="838"/>
      <c r="AE70" s="838">
        <v>2399110</v>
      </c>
      <c r="AF70" s="838">
        <v>2702000</v>
      </c>
      <c r="AG70" s="838">
        <v>500000</v>
      </c>
      <c r="AH70" s="838">
        <v>18700000</v>
      </c>
      <c r="AI70" s="838">
        <v>5187969</v>
      </c>
      <c r="AJ70" s="838">
        <v>5101110</v>
      </c>
      <c r="AK70" s="838">
        <v>6543596</v>
      </c>
      <c r="AL70" s="838">
        <v>5678089</v>
      </c>
      <c r="AM70" s="838">
        <v>35167168</v>
      </c>
      <c r="AN70" s="839">
        <v>2.1318977310380314</v>
      </c>
      <c r="AO70" t="str">
        <f t="shared" ref="AO70:AO133" si="1">IF($AN70="","",IF($AN70=0, $AU$160, IF($AN70&lt;1, $AU$161, IF($AN70&lt;=3, $AU$162, IF($AN70&lt;=5,$AU$163, IF($AN70&lt;=10,$AU$164, IF( $AN70&lt;=20, $AU$165, IF($AN70&gt;20,$AU$166))))))))</f>
        <v>3. Between US$ 1 and US$ 3</v>
      </c>
    </row>
    <row r="71" spans="4:41">
      <c r="D71" s="835" t="s">
        <v>223</v>
      </c>
      <c r="E71" s="835" t="s">
        <v>150</v>
      </c>
      <c r="F71" s="838">
        <v>0</v>
      </c>
      <c r="G71" s="838">
        <v>0</v>
      </c>
      <c r="H71" s="838">
        <v>0</v>
      </c>
      <c r="I71" s="838"/>
      <c r="J71" s="838">
        <v>0</v>
      </c>
      <c r="K71" s="838">
        <v>0</v>
      </c>
      <c r="L71" s="838">
        <v>46450</v>
      </c>
      <c r="M71" s="838">
        <v>0</v>
      </c>
      <c r="N71" s="838">
        <v>0</v>
      </c>
      <c r="O71" s="838">
        <v>0</v>
      </c>
      <c r="P71" s="930"/>
      <c r="Q71" s="838"/>
      <c r="R71" s="838">
        <v>0</v>
      </c>
      <c r="S71" s="838">
        <v>4750</v>
      </c>
      <c r="T71" s="838"/>
      <c r="U71" s="838"/>
      <c r="V71" s="838"/>
      <c r="W71" s="838"/>
      <c r="X71" s="838"/>
      <c r="Y71" s="838"/>
      <c r="Z71" s="838">
        <v>0</v>
      </c>
      <c r="AA71" s="838">
        <v>0</v>
      </c>
      <c r="AB71" s="838"/>
      <c r="AC71" s="838"/>
      <c r="AD71" s="838"/>
      <c r="AE71" s="838"/>
      <c r="AF71" s="838">
        <v>99000</v>
      </c>
      <c r="AG71" s="838">
        <v>0</v>
      </c>
      <c r="AH71" s="838">
        <v>0</v>
      </c>
      <c r="AI71" s="838">
        <v>4750</v>
      </c>
      <c r="AJ71" s="838">
        <v>99000</v>
      </c>
      <c r="AK71" s="838">
        <v>4750</v>
      </c>
      <c r="AL71" s="838">
        <v>46450</v>
      </c>
      <c r="AM71" s="838">
        <v>150200</v>
      </c>
      <c r="AN71" s="839">
        <v>4.1245153282586964</v>
      </c>
      <c r="AO71" t="str">
        <f t="shared" si="1"/>
        <v>4. Between US$ 3 and US$ 5</v>
      </c>
    </row>
    <row r="72" spans="4:41">
      <c r="D72" s="835" t="s">
        <v>224</v>
      </c>
      <c r="E72" s="835" t="s">
        <v>148</v>
      </c>
      <c r="F72" s="838">
        <v>0</v>
      </c>
      <c r="G72" s="838">
        <v>0</v>
      </c>
      <c r="H72" s="838">
        <v>0</v>
      </c>
      <c r="I72" s="838"/>
      <c r="J72" s="838">
        <v>0</v>
      </c>
      <c r="K72" s="838">
        <v>0</v>
      </c>
      <c r="L72" s="838">
        <v>0</v>
      </c>
      <c r="M72" s="838">
        <v>0</v>
      </c>
      <c r="N72" s="838">
        <v>0</v>
      </c>
      <c r="O72" s="838">
        <v>0</v>
      </c>
      <c r="P72" s="930"/>
      <c r="Q72" s="838"/>
      <c r="R72" s="838">
        <v>0</v>
      </c>
      <c r="S72" s="838"/>
      <c r="T72" s="838"/>
      <c r="U72" s="838"/>
      <c r="V72" s="838"/>
      <c r="W72" s="838"/>
      <c r="X72" s="838"/>
      <c r="Y72" s="838"/>
      <c r="Z72" s="838">
        <v>0</v>
      </c>
      <c r="AA72" s="838">
        <v>0</v>
      </c>
      <c r="AB72" s="838"/>
      <c r="AC72" s="838"/>
      <c r="AD72" s="838"/>
      <c r="AE72" s="838"/>
      <c r="AF72" s="838">
        <v>0</v>
      </c>
      <c r="AG72" s="838">
        <v>0</v>
      </c>
      <c r="AH72" s="838">
        <v>0</v>
      </c>
      <c r="AI72" s="838">
        <v>0</v>
      </c>
      <c r="AJ72" s="838">
        <v>0</v>
      </c>
      <c r="AK72" s="838">
        <v>0</v>
      </c>
      <c r="AL72" s="838">
        <v>0</v>
      </c>
      <c r="AM72" s="838">
        <v>0</v>
      </c>
      <c r="AN72" s="839">
        <v>0</v>
      </c>
      <c r="AO72" t="str">
        <f t="shared" si="1"/>
        <v>1. No funding</v>
      </c>
    </row>
    <row r="73" spans="4:41">
      <c r="D73" s="835" t="s">
        <v>225</v>
      </c>
      <c r="E73" s="835" t="s">
        <v>152</v>
      </c>
      <c r="F73" s="838">
        <v>2000000</v>
      </c>
      <c r="G73" s="838">
        <v>0</v>
      </c>
      <c r="H73" s="838">
        <v>0</v>
      </c>
      <c r="I73" s="838"/>
      <c r="J73" s="838">
        <v>60336</v>
      </c>
      <c r="K73" s="838">
        <v>0</v>
      </c>
      <c r="L73" s="838">
        <v>101700</v>
      </c>
      <c r="M73" s="838">
        <v>27000</v>
      </c>
      <c r="N73" s="838">
        <v>230000</v>
      </c>
      <c r="O73" s="838">
        <v>230000</v>
      </c>
      <c r="P73" s="930"/>
      <c r="Q73" s="838"/>
      <c r="R73" s="838">
        <v>0</v>
      </c>
      <c r="S73" s="838"/>
      <c r="T73" s="838"/>
      <c r="U73" s="838"/>
      <c r="V73" s="838"/>
      <c r="W73" s="838"/>
      <c r="X73" s="838"/>
      <c r="Y73" s="838"/>
      <c r="Z73" s="838">
        <v>2500000</v>
      </c>
      <c r="AA73" s="838">
        <v>0</v>
      </c>
      <c r="AB73" s="838"/>
      <c r="AC73" s="838"/>
      <c r="AD73" s="838"/>
      <c r="AE73" s="838"/>
      <c r="AF73" s="838">
        <v>0</v>
      </c>
      <c r="AG73" s="838">
        <v>619000</v>
      </c>
      <c r="AH73" s="838">
        <v>2000000</v>
      </c>
      <c r="AI73" s="838">
        <v>2500000</v>
      </c>
      <c r="AJ73" s="838">
        <v>0</v>
      </c>
      <c r="AK73" s="838">
        <v>619000</v>
      </c>
      <c r="AL73" s="838">
        <v>879036</v>
      </c>
      <c r="AM73" s="838">
        <v>5768036</v>
      </c>
      <c r="AN73" s="839">
        <v>10.717272389446302</v>
      </c>
      <c r="AO73" t="str">
        <f t="shared" si="1"/>
        <v>6. Between US$ 10 and US$ 20</v>
      </c>
    </row>
    <row r="74" spans="4:41">
      <c r="D74" s="835" t="s">
        <v>226</v>
      </c>
      <c r="E74" s="835" t="s">
        <v>150</v>
      </c>
      <c r="F74" s="838">
        <v>3000000</v>
      </c>
      <c r="G74" s="838">
        <v>0</v>
      </c>
      <c r="H74" s="838">
        <v>0</v>
      </c>
      <c r="I74" s="838"/>
      <c r="J74" s="838">
        <v>211426</v>
      </c>
      <c r="K74" s="838">
        <v>276200</v>
      </c>
      <c r="L74" s="838">
        <v>80800</v>
      </c>
      <c r="M74" s="838">
        <v>161891</v>
      </c>
      <c r="N74" s="838">
        <v>978461</v>
      </c>
      <c r="O74" s="838">
        <v>0</v>
      </c>
      <c r="P74" s="930"/>
      <c r="Q74" s="838"/>
      <c r="R74" s="838">
        <v>0</v>
      </c>
      <c r="S74" s="838"/>
      <c r="T74" s="838"/>
      <c r="U74" s="838"/>
      <c r="V74" s="838"/>
      <c r="W74" s="838"/>
      <c r="X74" s="838"/>
      <c r="Y74" s="838"/>
      <c r="Z74" s="838">
        <v>3000000</v>
      </c>
      <c r="AA74" s="838">
        <v>0</v>
      </c>
      <c r="AB74" s="838"/>
      <c r="AC74" s="838"/>
      <c r="AD74" s="838"/>
      <c r="AE74" s="838"/>
      <c r="AF74" s="838">
        <v>0</v>
      </c>
      <c r="AG74" s="838">
        <v>1220000</v>
      </c>
      <c r="AH74" s="838">
        <v>3000000</v>
      </c>
      <c r="AI74" s="838">
        <v>3000000</v>
      </c>
      <c r="AJ74" s="838">
        <v>0</v>
      </c>
      <c r="AK74" s="838">
        <v>1658418</v>
      </c>
      <c r="AL74" s="838">
        <v>1708778</v>
      </c>
      <c r="AM74" s="838">
        <v>8928778</v>
      </c>
      <c r="AN74" s="839">
        <v>4.4901984361007861</v>
      </c>
      <c r="AO74" t="str">
        <f t="shared" si="1"/>
        <v>4. Between US$ 3 and US$ 5</v>
      </c>
    </row>
    <row r="75" spans="4:41">
      <c r="D75" s="835" t="s">
        <v>227</v>
      </c>
      <c r="E75" s="835" t="s">
        <v>150</v>
      </c>
      <c r="F75" s="838">
        <v>5600000</v>
      </c>
      <c r="G75" s="838">
        <v>0</v>
      </c>
      <c r="H75" s="838">
        <v>0</v>
      </c>
      <c r="I75" s="838">
        <v>66000</v>
      </c>
      <c r="J75" s="838">
        <v>134999</v>
      </c>
      <c r="K75" s="838">
        <v>0</v>
      </c>
      <c r="L75" s="838">
        <v>66358.333333333328</v>
      </c>
      <c r="M75" s="838">
        <v>177570</v>
      </c>
      <c r="N75" s="838">
        <v>1112744</v>
      </c>
      <c r="O75" s="838">
        <v>0</v>
      </c>
      <c r="P75" s="930"/>
      <c r="Q75" s="838"/>
      <c r="R75" s="838">
        <v>2956038</v>
      </c>
      <c r="S75" s="838"/>
      <c r="T75" s="838"/>
      <c r="U75" s="838"/>
      <c r="V75" s="838"/>
      <c r="W75" s="838"/>
      <c r="X75" s="838"/>
      <c r="Y75" s="838"/>
      <c r="Z75" s="838">
        <v>2900000</v>
      </c>
      <c r="AA75" s="838">
        <v>1900000</v>
      </c>
      <c r="AB75" s="838">
        <v>1077479</v>
      </c>
      <c r="AC75" s="838"/>
      <c r="AD75" s="838"/>
      <c r="AE75" s="838"/>
      <c r="AF75" s="838">
        <v>248000</v>
      </c>
      <c r="AG75" s="838">
        <v>850000</v>
      </c>
      <c r="AH75" s="838">
        <v>5600000</v>
      </c>
      <c r="AI75" s="838">
        <v>6933517</v>
      </c>
      <c r="AJ75" s="838">
        <v>248000</v>
      </c>
      <c r="AK75" s="838">
        <v>6537942</v>
      </c>
      <c r="AL75" s="838">
        <v>1557671.3333333333</v>
      </c>
      <c r="AM75" s="838">
        <v>15189188.333333334</v>
      </c>
      <c r="AN75" s="839">
        <v>6.8611155303452929</v>
      </c>
      <c r="AO75" t="str">
        <f t="shared" si="1"/>
        <v>5. Between US$ 5 and US$ 10</v>
      </c>
    </row>
    <row r="76" spans="4:41">
      <c r="D76" s="835" t="s">
        <v>228</v>
      </c>
      <c r="E76" s="835" t="s">
        <v>152</v>
      </c>
      <c r="F76" s="838">
        <v>9000000</v>
      </c>
      <c r="G76" s="838">
        <v>0</v>
      </c>
      <c r="H76" s="838">
        <v>0</v>
      </c>
      <c r="I76" s="838"/>
      <c r="J76" s="838">
        <v>0</v>
      </c>
      <c r="K76" s="838">
        <v>0</v>
      </c>
      <c r="L76" s="838">
        <v>0</v>
      </c>
      <c r="M76" s="838">
        <v>0</v>
      </c>
      <c r="N76" s="838">
        <v>0</v>
      </c>
      <c r="O76" s="838">
        <v>0</v>
      </c>
      <c r="P76" s="930"/>
      <c r="Q76" s="838"/>
      <c r="R76" s="838">
        <v>0</v>
      </c>
      <c r="S76" s="838"/>
      <c r="T76" s="838">
        <v>394444</v>
      </c>
      <c r="U76" s="838"/>
      <c r="V76" s="838"/>
      <c r="W76" s="838"/>
      <c r="X76" s="838"/>
      <c r="Y76" s="838"/>
      <c r="Z76" s="838">
        <v>3150000</v>
      </c>
      <c r="AA76" s="838">
        <v>0</v>
      </c>
      <c r="AB76" s="838"/>
      <c r="AC76" s="838"/>
      <c r="AD76" s="838"/>
      <c r="AE76" s="838">
        <v>14058</v>
      </c>
      <c r="AF76" s="838">
        <v>0</v>
      </c>
      <c r="AG76" s="838">
        <v>8535626</v>
      </c>
      <c r="AH76" s="838">
        <v>9000000</v>
      </c>
      <c r="AI76" s="838">
        <v>3544444</v>
      </c>
      <c r="AJ76" s="838">
        <v>14058</v>
      </c>
      <c r="AK76" s="838">
        <v>8944128</v>
      </c>
      <c r="AL76" s="838">
        <v>0</v>
      </c>
      <c r="AM76" s="838">
        <v>21094128</v>
      </c>
      <c r="AN76" s="839">
        <v>10.387382405858579</v>
      </c>
      <c r="AO76" t="str">
        <f t="shared" si="1"/>
        <v>6. Between US$ 10 and US$ 20</v>
      </c>
    </row>
    <row r="77" spans="4:41">
      <c r="D77" s="835" t="s">
        <v>229</v>
      </c>
      <c r="E77" s="835" t="s">
        <v>150</v>
      </c>
      <c r="F77" s="838">
        <v>5500000</v>
      </c>
      <c r="G77" s="838">
        <v>0</v>
      </c>
      <c r="H77" s="838">
        <v>0</v>
      </c>
      <c r="I77" s="838"/>
      <c r="J77" s="838">
        <v>86879</v>
      </c>
      <c r="K77" s="838">
        <v>45600</v>
      </c>
      <c r="L77" s="838">
        <v>119799.99999999999</v>
      </c>
      <c r="M77" s="838">
        <v>117165</v>
      </c>
      <c r="N77" s="838">
        <v>390226</v>
      </c>
      <c r="O77" s="838">
        <v>0</v>
      </c>
      <c r="P77" s="930"/>
      <c r="Q77" s="838"/>
      <c r="R77" s="838">
        <v>0</v>
      </c>
      <c r="S77" s="838"/>
      <c r="T77" s="838"/>
      <c r="U77" s="838"/>
      <c r="V77" s="838"/>
      <c r="W77" s="838"/>
      <c r="X77" s="838"/>
      <c r="Y77" s="838">
        <v>679123</v>
      </c>
      <c r="Z77" s="838">
        <v>1860000</v>
      </c>
      <c r="AA77" s="838">
        <v>0</v>
      </c>
      <c r="AB77" s="838"/>
      <c r="AC77" s="838"/>
      <c r="AD77" s="838"/>
      <c r="AE77" s="838"/>
      <c r="AF77" s="838">
        <v>0</v>
      </c>
      <c r="AG77" s="838">
        <v>720000</v>
      </c>
      <c r="AH77" s="838">
        <v>5500000</v>
      </c>
      <c r="AI77" s="838">
        <v>2539123</v>
      </c>
      <c r="AJ77" s="838">
        <v>0</v>
      </c>
      <c r="AK77" s="838">
        <v>1789349</v>
      </c>
      <c r="AL77" s="838">
        <v>759670</v>
      </c>
      <c r="AM77" s="838">
        <v>9518793</v>
      </c>
      <c r="AN77" s="839">
        <v>14.695843158178974</v>
      </c>
      <c r="AO77" t="str">
        <f t="shared" si="1"/>
        <v>6. Between US$ 10 and US$ 20</v>
      </c>
    </row>
    <row r="78" spans="4:41">
      <c r="D78" s="835" t="s">
        <v>230</v>
      </c>
      <c r="E78" s="835" t="s">
        <v>148</v>
      </c>
      <c r="F78" s="838">
        <v>1700000</v>
      </c>
      <c r="G78" s="838">
        <v>0</v>
      </c>
      <c r="H78" s="838">
        <v>0</v>
      </c>
      <c r="I78" s="838"/>
      <c r="J78" s="838">
        <v>162026</v>
      </c>
      <c r="K78" s="838">
        <v>220600</v>
      </c>
      <c r="L78" s="838">
        <v>127347.22222222222</v>
      </c>
      <c r="M78" s="838">
        <v>147123.23000000001</v>
      </c>
      <c r="N78" s="838">
        <v>977644</v>
      </c>
      <c r="O78" s="838">
        <v>0</v>
      </c>
      <c r="P78" s="930"/>
      <c r="Q78" s="838"/>
      <c r="R78" s="838">
        <v>0</v>
      </c>
      <c r="S78" s="838"/>
      <c r="T78" s="838"/>
      <c r="U78" s="838"/>
      <c r="V78" s="838"/>
      <c r="W78" s="838"/>
      <c r="X78" s="838"/>
      <c r="Y78" s="838"/>
      <c r="Z78" s="838">
        <v>1900000</v>
      </c>
      <c r="AA78" s="838">
        <v>500000</v>
      </c>
      <c r="AB78" s="838">
        <v>897224</v>
      </c>
      <c r="AC78" s="838"/>
      <c r="AD78" s="838"/>
      <c r="AE78" s="838"/>
      <c r="AF78" s="838">
        <v>0</v>
      </c>
      <c r="AG78" s="838">
        <v>586872</v>
      </c>
      <c r="AH78" s="838">
        <v>1700000</v>
      </c>
      <c r="AI78" s="838">
        <v>2797224</v>
      </c>
      <c r="AJ78" s="838">
        <v>0</v>
      </c>
      <c r="AK78" s="838">
        <v>1984096</v>
      </c>
      <c r="AL78" s="838">
        <v>1634740.4522222222</v>
      </c>
      <c r="AM78" s="838">
        <v>6718836.4522222225</v>
      </c>
      <c r="AN78" s="839">
        <v>4.3234019767946403</v>
      </c>
      <c r="AO78" t="str">
        <f t="shared" si="1"/>
        <v>4. Between US$ 3 and US$ 5</v>
      </c>
    </row>
    <row r="79" spans="4:41">
      <c r="D79" s="835" t="s">
        <v>231</v>
      </c>
      <c r="E79" s="835" t="s">
        <v>152</v>
      </c>
      <c r="F79" s="838">
        <v>0</v>
      </c>
      <c r="G79" s="838">
        <v>0</v>
      </c>
      <c r="H79" s="838">
        <v>0</v>
      </c>
      <c r="I79" s="838"/>
      <c r="J79" s="838">
        <v>0</v>
      </c>
      <c r="K79" s="838">
        <v>0</v>
      </c>
      <c r="L79" s="838">
        <v>0</v>
      </c>
      <c r="M79" s="838">
        <v>0</v>
      </c>
      <c r="N79" s="838">
        <v>0</v>
      </c>
      <c r="O79" s="838">
        <v>0</v>
      </c>
      <c r="P79" s="930"/>
      <c r="Q79" s="838"/>
      <c r="R79" s="838">
        <v>0</v>
      </c>
      <c r="S79" s="838"/>
      <c r="T79" s="838"/>
      <c r="U79" s="838"/>
      <c r="V79" s="838"/>
      <c r="W79" s="838"/>
      <c r="X79" s="838"/>
      <c r="Y79" s="838">
        <v>1789976</v>
      </c>
      <c r="Z79" s="838">
        <v>1716264</v>
      </c>
      <c r="AA79" s="838">
        <v>1716264</v>
      </c>
      <c r="AB79" s="838">
        <v>833333</v>
      </c>
      <c r="AC79" s="838"/>
      <c r="AD79" s="838"/>
      <c r="AE79" s="838"/>
      <c r="AF79" s="838">
        <v>0</v>
      </c>
      <c r="AG79" s="838">
        <v>1000000</v>
      </c>
      <c r="AH79" s="838">
        <v>0</v>
      </c>
      <c r="AI79" s="838">
        <v>4339573</v>
      </c>
      <c r="AJ79" s="838">
        <v>0</v>
      </c>
      <c r="AK79" s="838">
        <v>5339573</v>
      </c>
      <c r="AL79" s="838">
        <v>0</v>
      </c>
      <c r="AM79" s="838">
        <v>5339573</v>
      </c>
      <c r="AN79" s="839">
        <v>2.5578040483024838</v>
      </c>
      <c r="AO79" t="str">
        <f t="shared" si="1"/>
        <v>3. Between US$ 1 and US$ 3</v>
      </c>
    </row>
    <row r="80" spans="4:41">
      <c r="D80" s="835" t="s">
        <v>232</v>
      </c>
      <c r="E80" s="835" t="s">
        <v>148</v>
      </c>
      <c r="F80" s="838">
        <v>58500000</v>
      </c>
      <c r="G80" s="838">
        <v>0</v>
      </c>
      <c r="H80" s="838">
        <v>0</v>
      </c>
      <c r="I80" s="838">
        <v>533106</v>
      </c>
      <c r="J80" s="838">
        <v>694958</v>
      </c>
      <c r="K80" s="838">
        <v>688600</v>
      </c>
      <c r="L80" s="838">
        <v>504961.99999999994</v>
      </c>
      <c r="M80" s="838">
        <v>487213.8</v>
      </c>
      <c r="N80" s="838">
        <v>4064028</v>
      </c>
      <c r="O80" s="838">
        <v>0</v>
      </c>
      <c r="P80" s="930"/>
      <c r="Q80" s="838"/>
      <c r="R80" s="838">
        <v>0</v>
      </c>
      <c r="S80" s="838"/>
      <c r="T80" s="838"/>
      <c r="U80" s="838"/>
      <c r="V80" s="838"/>
      <c r="W80" s="838"/>
      <c r="X80" s="838"/>
      <c r="Y80" s="838">
        <v>1064350</v>
      </c>
      <c r="Z80" s="838">
        <v>2650000</v>
      </c>
      <c r="AA80" s="838">
        <v>0</v>
      </c>
      <c r="AB80" s="838"/>
      <c r="AC80" s="838"/>
      <c r="AD80" s="838"/>
      <c r="AE80" s="838"/>
      <c r="AF80" s="838">
        <v>0</v>
      </c>
      <c r="AG80" s="838">
        <v>1100000</v>
      </c>
      <c r="AH80" s="838">
        <v>58500000</v>
      </c>
      <c r="AI80" s="838">
        <v>3714350</v>
      </c>
      <c r="AJ80" s="838">
        <v>0</v>
      </c>
      <c r="AK80" s="838">
        <v>2164350</v>
      </c>
      <c r="AL80" s="838">
        <v>6972867.7999999998</v>
      </c>
      <c r="AM80" s="838">
        <v>70287217.799999997</v>
      </c>
      <c r="AN80" s="839">
        <v>8.2417413550543053</v>
      </c>
      <c r="AO80" t="str">
        <f t="shared" si="1"/>
        <v>5. Between US$ 5 and US$ 10</v>
      </c>
    </row>
    <row r="81" spans="4:41">
      <c r="D81" s="835" t="s">
        <v>233</v>
      </c>
      <c r="E81" s="835" t="s">
        <v>148</v>
      </c>
      <c r="F81" s="838">
        <v>4700000</v>
      </c>
      <c r="G81" s="838">
        <v>0</v>
      </c>
      <c r="H81" s="838">
        <v>0</v>
      </c>
      <c r="I81" s="838"/>
      <c r="J81" s="838">
        <v>386999</v>
      </c>
      <c r="K81" s="838">
        <v>686179</v>
      </c>
      <c r="L81" s="838">
        <v>135565</v>
      </c>
      <c r="M81" s="838">
        <v>121579</v>
      </c>
      <c r="N81" s="838">
        <v>1451414</v>
      </c>
      <c r="O81" s="838">
        <v>0</v>
      </c>
      <c r="P81" s="930"/>
      <c r="Q81" s="838">
        <v>0</v>
      </c>
      <c r="R81" s="838">
        <v>0</v>
      </c>
      <c r="S81" s="838"/>
      <c r="T81" s="838"/>
      <c r="U81" s="838"/>
      <c r="V81" s="838"/>
      <c r="W81" s="838"/>
      <c r="X81" s="838"/>
      <c r="Y81" s="838"/>
      <c r="Z81" s="838">
        <v>0</v>
      </c>
      <c r="AA81" s="838">
        <v>0</v>
      </c>
      <c r="AB81" s="838">
        <v>621248</v>
      </c>
      <c r="AC81" s="838"/>
      <c r="AD81" s="838"/>
      <c r="AE81" s="838">
        <v>665180</v>
      </c>
      <c r="AF81" s="838">
        <v>0</v>
      </c>
      <c r="AG81" s="838">
        <v>1066214</v>
      </c>
      <c r="AH81" s="838">
        <v>4700000</v>
      </c>
      <c r="AI81" s="838">
        <v>621248</v>
      </c>
      <c r="AJ81" s="838">
        <v>665180</v>
      </c>
      <c r="AK81" s="838">
        <v>3484202</v>
      </c>
      <c r="AL81" s="838">
        <v>2781736</v>
      </c>
      <c r="AM81" s="838">
        <v>9834378</v>
      </c>
      <c r="AN81" s="839">
        <v>1.6684544094542253</v>
      </c>
      <c r="AO81" t="str">
        <f t="shared" si="1"/>
        <v>3. Between US$ 1 and US$ 3</v>
      </c>
    </row>
    <row r="82" spans="4:41">
      <c r="D82" s="835" t="s">
        <v>234</v>
      </c>
      <c r="E82" s="835" t="s">
        <v>152</v>
      </c>
      <c r="F82" s="838">
        <v>0</v>
      </c>
      <c r="G82" s="838">
        <v>0</v>
      </c>
      <c r="H82" s="838">
        <v>0</v>
      </c>
      <c r="I82" s="838"/>
      <c r="J82" s="838">
        <v>0</v>
      </c>
      <c r="K82" s="838">
        <v>0</v>
      </c>
      <c r="L82" s="838">
        <v>0</v>
      </c>
      <c r="M82" s="838">
        <v>0</v>
      </c>
      <c r="N82" s="838">
        <v>0</v>
      </c>
      <c r="O82" s="838">
        <v>0</v>
      </c>
      <c r="P82" s="930"/>
      <c r="Q82" s="838"/>
      <c r="R82" s="838">
        <v>139957</v>
      </c>
      <c r="S82" s="838"/>
      <c r="T82" s="838"/>
      <c r="U82" s="838"/>
      <c r="V82" s="838"/>
      <c r="W82" s="838"/>
      <c r="X82" s="838"/>
      <c r="Y82" s="838"/>
      <c r="Z82" s="838">
        <v>218600</v>
      </c>
      <c r="AA82" s="838">
        <v>0</v>
      </c>
      <c r="AB82" s="838">
        <v>1969467</v>
      </c>
      <c r="AC82" s="838"/>
      <c r="AD82" s="838"/>
      <c r="AE82" s="838">
        <v>272222</v>
      </c>
      <c r="AF82" s="838">
        <v>0</v>
      </c>
      <c r="AG82" s="838">
        <v>0</v>
      </c>
      <c r="AH82" s="838">
        <v>0</v>
      </c>
      <c r="AI82" s="838">
        <v>2328024</v>
      </c>
      <c r="AJ82" s="838">
        <v>272222</v>
      </c>
      <c r="AK82" s="838">
        <v>2370270</v>
      </c>
      <c r="AL82" s="838">
        <v>0</v>
      </c>
      <c r="AM82" s="838">
        <v>2600246</v>
      </c>
      <c r="AN82" s="839">
        <v>0.26444456614523643</v>
      </c>
      <c r="AO82" t="str">
        <f t="shared" si="1"/>
        <v>2. Less than US$ 1</v>
      </c>
    </row>
    <row r="83" spans="4:41">
      <c r="D83" s="835" t="s">
        <v>235</v>
      </c>
      <c r="E83" s="835" t="s">
        <v>152</v>
      </c>
      <c r="F83" s="838">
        <v>0</v>
      </c>
      <c r="G83" s="838">
        <v>0</v>
      </c>
      <c r="H83" s="838">
        <v>0</v>
      </c>
      <c r="I83" s="838"/>
      <c r="J83" s="838">
        <v>60026</v>
      </c>
      <c r="K83" s="838">
        <v>0</v>
      </c>
      <c r="L83" s="838">
        <v>115708.33333333333</v>
      </c>
      <c r="M83" s="838">
        <v>490000.00000000006</v>
      </c>
      <c r="N83" s="838">
        <v>230000</v>
      </c>
      <c r="O83" s="838">
        <v>230000</v>
      </c>
      <c r="P83" s="930"/>
      <c r="Q83" s="838"/>
      <c r="R83" s="838">
        <v>0</v>
      </c>
      <c r="S83" s="838"/>
      <c r="T83" s="838"/>
      <c r="U83" s="838"/>
      <c r="V83" s="838"/>
      <c r="W83" s="838"/>
      <c r="X83" s="838"/>
      <c r="Y83" s="838"/>
      <c r="Z83" s="838">
        <v>1000000</v>
      </c>
      <c r="AA83" s="838">
        <v>0</v>
      </c>
      <c r="AB83" s="838">
        <v>956222</v>
      </c>
      <c r="AC83" s="838"/>
      <c r="AD83" s="838"/>
      <c r="AE83" s="838"/>
      <c r="AF83" s="838">
        <v>0</v>
      </c>
      <c r="AG83" s="838">
        <v>77341</v>
      </c>
      <c r="AH83" s="838">
        <v>0</v>
      </c>
      <c r="AI83" s="838">
        <v>1956222</v>
      </c>
      <c r="AJ83" s="838">
        <v>0</v>
      </c>
      <c r="AK83" s="838">
        <v>1033563</v>
      </c>
      <c r="AL83" s="838">
        <v>1355734.3333333335</v>
      </c>
      <c r="AM83" s="838">
        <v>3159297.3333333335</v>
      </c>
      <c r="AN83" s="839">
        <v>19.37197143429438</v>
      </c>
      <c r="AO83" t="str">
        <f t="shared" si="1"/>
        <v>6. Between US$ 10 and US$ 20</v>
      </c>
    </row>
    <row r="84" spans="4:41">
      <c r="D84" s="835" t="s">
        <v>236</v>
      </c>
      <c r="E84" s="835" t="s">
        <v>148</v>
      </c>
      <c r="F84" s="838">
        <v>8000000</v>
      </c>
      <c r="G84" s="838">
        <v>0</v>
      </c>
      <c r="H84" s="838">
        <v>0</v>
      </c>
      <c r="I84" s="838">
        <v>700000</v>
      </c>
      <c r="J84" s="838">
        <v>530000</v>
      </c>
      <c r="K84" s="838">
        <v>1350000</v>
      </c>
      <c r="L84" s="838">
        <v>396300</v>
      </c>
      <c r="M84" s="838">
        <v>487920</v>
      </c>
      <c r="N84" s="838">
        <v>124207</v>
      </c>
      <c r="O84" s="838">
        <v>0</v>
      </c>
      <c r="P84" s="930"/>
      <c r="Q84" s="838">
        <v>0</v>
      </c>
      <c r="R84" s="838">
        <v>0</v>
      </c>
      <c r="S84" s="838"/>
      <c r="T84" s="838"/>
      <c r="U84" s="838"/>
      <c r="V84" s="838"/>
      <c r="W84" s="838"/>
      <c r="X84" s="838"/>
      <c r="Y84" s="838">
        <v>1110635</v>
      </c>
      <c r="Z84" s="838">
        <v>3100000</v>
      </c>
      <c r="AA84" s="838">
        <v>0</v>
      </c>
      <c r="AB84" s="838">
        <v>925390</v>
      </c>
      <c r="AC84" s="838"/>
      <c r="AD84" s="838"/>
      <c r="AE84" s="838"/>
      <c r="AF84" s="838">
        <v>0</v>
      </c>
      <c r="AG84" s="838">
        <v>1802789</v>
      </c>
      <c r="AH84" s="838">
        <v>8000000</v>
      </c>
      <c r="AI84" s="838">
        <v>5136025</v>
      </c>
      <c r="AJ84" s="838">
        <v>0</v>
      </c>
      <c r="AK84" s="838">
        <v>7340037</v>
      </c>
      <c r="AL84" s="838">
        <v>3588427</v>
      </c>
      <c r="AM84" s="838">
        <v>18527241</v>
      </c>
      <c r="AN84" s="839">
        <v>2.9611760301392556</v>
      </c>
      <c r="AO84" t="str">
        <f t="shared" si="1"/>
        <v>3. Between US$ 1 and US$ 3</v>
      </c>
    </row>
    <row r="85" spans="4:41">
      <c r="D85" s="835" t="s">
        <v>237</v>
      </c>
      <c r="E85" s="835" t="s">
        <v>152</v>
      </c>
      <c r="F85" s="838">
        <v>0</v>
      </c>
      <c r="G85" s="838">
        <v>0</v>
      </c>
      <c r="H85" s="838">
        <v>0</v>
      </c>
      <c r="I85" s="838"/>
      <c r="J85" s="838">
        <v>0</v>
      </c>
      <c r="K85" s="838">
        <v>0</v>
      </c>
      <c r="L85" s="838">
        <v>63999.999999999993</v>
      </c>
      <c r="M85" s="838">
        <v>65000</v>
      </c>
      <c r="N85" s="838">
        <v>0</v>
      </c>
      <c r="O85" s="838">
        <v>0</v>
      </c>
      <c r="P85" s="930"/>
      <c r="Q85" s="838"/>
      <c r="R85" s="838">
        <v>0</v>
      </c>
      <c r="S85" s="838"/>
      <c r="T85" s="838"/>
      <c r="U85" s="838"/>
      <c r="V85" s="838"/>
      <c r="W85" s="838"/>
      <c r="X85" s="838"/>
      <c r="Y85" s="838"/>
      <c r="Z85" s="838">
        <v>0</v>
      </c>
      <c r="AA85" s="838">
        <v>0</v>
      </c>
      <c r="AB85" s="838"/>
      <c r="AC85" s="838"/>
      <c r="AD85" s="838"/>
      <c r="AE85" s="838"/>
      <c r="AF85" s="838">
        <v>0</v>
      </c>
      <c r="AG85" s="838">
        <v>0</v>
      </c>
      <c r="AH85" s="838">
        <v>0</v>
      </c>
      <c r="AI85" s="838">
        <v>0</v>
      </c>
      <c r="AJ85" s="838">
        <v>0</v>
      </c>
      <c r="AK85" s="838">
        <v>0</v>
      </c>
      <c r="AL85" s="838">
        <v>129000</v>
      </c>
      <c r="AM85" s="838">
        <v>129000</v>
      </c>
      <c r="AN85" s="839">
        <v>7.361375036378889</v>
      </c>
      <c r="AO85" t="str">
        <f t="shared" si="1"/>
        <v>5. Between US$ 5 and US$ 10</v>
      </c>
    </row>
    <row r="86" spans="4:41">
      <c r="D86" s="835" t="s">
        <v>238</v>
      </c>
      <c r="E86" s="835" t="s">
        <v>150</v>
      </c>
      <c r="F86" s="838">
        <v>16399999.999999998</v>
      </c>
      <c r="G86" s="838">
        <v>0</v>
      </c>
      <c r="H86" s="838">
        <v>0</v>
      </c>
      <c r="I86" s="838"/>
      <c r="J86" s="838">
        <v>180361</v>
      </c>
      <c r="K86" s="838">
        <v>175000</v>
      </c>
      <c r="L86" s="838">
        <v>135300</v>
      </c>
      <c r="M86" s="838">
        <v>194913.52</v>
      </c>
      <c r="N86" s="838">
        <v>978364</v>
      </c>
      <c r="O86" s="838">
        <v>0</v>
      </c>
      <c r="P86" s="930"/>
      <c r="Q86" s="838">
        <v>0</v>
      </c>
      <c r="R86" s="838">
        <v>0</v>
      </c>
      <c r="S86" s="838"/>
      <c r="T86" s="838"/>
      <c r="U86" s="838"/>
      <c r="V86" s="838"/>
      <c r="W86" s="838"/>
      <c r="X86" s="838"/>
      <c r="Y86" s="838"/>
      <c r="Z86" s="838">
        <v>862839</v>
      </c>
      <c r="AA86" s="838">
        <v>862839</v>
      </c>
      <c r="AB86" s="838">
        <v>826642</v>
      </c>
      <c r="AC86" s="838"/>
      <c r="AD86" s="838"/>
      <c r="AE86" s="838"/>
      <c r="AF86" s="838">
        <v>0</v>
      </c>
      <c r="AG86" s="838">
        <v>535076</v>
      </c>
      <c r="AH86" s="838">
        <v>16399999.999999998</v>
      </c>
      <c r="AI86" s="838">
        <v>1689481</v>
      </c>
      <c r="AJ86" s="838">
        <v>0</v>
      </c>
      <c r="AK86" s="838">
        <v>2224557</v>
      </c>
      <c r="AL86" s="838">
        <v>1663938.52</v>
      </c>
      <c r="AM86" s="838">
        <v>20288495.52</v>
      </c>
      <c r="AN86" s="839">
        <v>14.162672357286009</v>
      </c>
      <c r="AO86" t="str">
        <f t="shared" si="1"/>
        <v>6. Between US$ 10 and US$ 20</v>
      </c>
    </row>
    <row r="87" spans="4:41">
      <c r="D87" s="835" t="s">
        <v>239</v>
      </c>
      <c r="E87" s="835" t="s">
        <v>152</v>
      </c>
      <c r="F87" s="838">
        <v>0</v>
      </c>
      <c r="G87" s="838">
        <v>0</v>
      </c>
      <c r="H87" s="838">
        <v>0</v>
      </c>
      <c r="I87" s="838"/>
      <c r="J87" s="838">
        <v>0</v>
      </c>
      <c r="K87" s="838">
        <v>0</v>
      </c>
      <c r="L87" s="838">
        <v>0</v>
      </c>
      <c r="M87" s="838">
        <v>0</v>
      </c>
      <c r="N87" s="838">
        <v>0</v>
      </c>
      <c r="O87" s="838">
        <v>0</v>
      </c>
      <c r="P87" s="930"/>
      <c r="Q87" s="838"/>
      <c r="R87" s="838">
        <v>0</v>
      </c>
      <c r="S87" s="838"/>
      <c r="T87" s="838"/>
      <c r="U87" s="838"/>
      <c r="V87" s="838"/>
      <c r="W87" s="838"/>
      <c r="X87" s="838"/>
      <c r="Y87" s="838"/>
      <c r="Z87" s="838">
        <v>250000</v>
      </c>
      <c r="AA87" s="838">
        <v>0</v>
      </c>
      <c r="AB87" s="838"/>
      <c r="AC87" s="838"/>
      <c r="AD87" s="838"/>
      <c r="AE87" s="838"/>
      <c r="AF87" s="838">
        <v>0</v>
      </c>
      <c r="AG87" s="838">
        <v>0</v>
      </c>
      <c r="AH87" s="838">
        <v>0</v>
      </c>
      <c r="AI87" s="838">
        <v>250000</v>
      </c>
      <c r="AJ87" s="838">
        <v>0</v>
      </c>
      <c r="AK87" s="838">
        <v>0</v>
      </c>
      <c r="AL87" s="838">
        <v>0</v>
      </c>
      <c r="AM87" s="838">
        <v>250000</v>
      </c>
      <c r="AN87" s="839">
        <v>0.65440160993266472</v>
      </c>
      <c r="AO87" t="str">
        <f t="shared" si="1"/>
        <v>2. Less than US$ 1</v>
      </c>
    </row>
    <row r="88" spans="4:41">
      <c r="D88" s="835" t="s">
        <v>240</v>
      </c>
      <c r="E88" s="835" t="s">
        <v>152</v>
      </c>
      <c r="F88" s="838">
        <v>0</v>
      </c>
      <c r="G88" s="838">
        <v>0</v>
      </c>
      <c r="H88" s="838">
        <v>0</v>
      </c>
      <c r="I88" s="838"/>
      <c r="J88" s="838">
        <v>0</v>
      </c>
      <c r="K88" s="838">
        <v>0</v>
      </c>
      <c r="L88" s="838">
        <v>0</v>
      </c>
      <c r="M88" s="838">
        <v>0</v>
      </c>
      <c r="N88" s="838">
        <v>0</v>
      </c>
      <c r="O88" s="838">
        <v>0</v>
      </c>
      <c r="P88" s="930"/>
      <c r="Q88" s="838"/>
      <c r="R88" s="838">
        <v>0</v>
      </c>
      <c r="S88" s="838"/>
      <c r="T88" s="838"/>
      <c r="U88" s="838"/>
      <c r="V88" s="838"/>
      <c r="W88" s="838"/>
      <c r="X88" s="838"/>
      <c r="Y88" s="838"/>
      <c r="Z88" s="838">
        <v>0</v>
      </c>
      <c r="AA88" s="838">
        <v>0</v>
      </c>
      <c r="AB88" s="838"/>
      <c r="AC88" s="838"/>
      <c r="AD88" s="838"/>
      <c r="AE88" s="838"/>
      <c r="AF88" s="838">
        <v>0</v>
      </c>
      <c r="AG88" s="838">
        <v>0</v>
      </c>
      <c r="AH88" s="838">
        <v>0</v>
      </c>
      <c r="AI88" s="838">
        <v>0</v>
      </c>
      <c r="AJ88" s="838">
        <v>0</v>
      </c>
      <c r="AK88" s="838">
        <v>0</v>
      </c>
      <c r="AL88" s="838">
        <v>0</v>
      </c>
      <c r="AM88" s="838">
        <v>0</v>
      </c>
      <c r="AN88" s="839">
        <v>0</v>
      </c>
      <c r="AO88" t="str">
        <f t="shared" si="1"/>
        <v>1. No funding</v>
      </c>
    </row>
    <row r="89" spans="4:41">
      <c r="D89" s="835" t="s">
        <v>241</v>
      </c>
      <c r="E89" s="835" t="s">
        <v>150</v>
      </c>
      <c r="F89" s="838">
        <v>0</v>
      </c>
      <c r="G89" s="838">
        <v>0</v>
      </c>
      <c r="H89" s="838">
        <v>0</v>
      </c>
      <c r="I89" s="838"/>
      <c r="J89" s="838">
        <v>0</v>
      </c>
      <c r="K89" s="838">
        <v>0</v>
      </c>
      <c r="L89" s="838">
        <v>72000</v>
      </c>
      <c r="M89" s="838">
        <v>180000</v>
      </c>
      <c r="N89" s="838">
        <v>0</v>
      </c>
      <c r="O89" s="838">
        <v>230000</v>
      </c>
      <c r="P89" s="930"/>
      <c r="Q89" s="838"/>
      <c r="R89" s="838">
        <v>0</v>
      </c>
      <c r="S89" s="838"/>
      <c r="T89" s="838"/>
      <c r="U89" s="838"/>
      <c r="V89" s="838"/>
      <c r="W89" s="838"/>
      <c r="X89" s="838">
        <v>1730708</v>
      </c>
      <c r="Y89" s="838"/>
      <c r="Z89" s="838">
        <v>0</v>
      </c>
      <c r="AA89" s="838">
        <v>0</v>
      </c>
      <c r="AB89" s="838">
        <v>136826</v>
      </c>
      <c r="AC89" s="838"/>
      <c r="AD89" s="838"/>
      <c r="AE89" s="838"/>
      <c r="AF89" s="838">
        <v>0</v>
      </c>
      <c r="AG89" s="838">
        <v>0</v>
      </c>
      <c r="AH89" s="838">
        <v>0</v>
      </c>
      <c r="AI89" s="838">
        <v>1867534</v>
      </c>
      <c r="AJ89" s="838">
        <v>0</v>
      </c>
      <c r="AK89" s="838">
        <v>1867534</v>
      </c>
      <c r="AL89" s="838">
        <v>712000</v>
      </c>
      <c r="AM89" s="838">
        <v>2349534</v>
      </c>
      <c r="AN89" s="839">
        <v>67.367253021375419</v>
      </c>
      <c r="AO89" t="str">
        <f t="shared" si="1"/>
        <v>7. Above US$ 20</v>
      </c>
    </row>
    <row r="90" spans="4:41">
      <c r="D90" s="835" t="s">
        <v>242</v>
      </c>
      <c r="E90" s="835" t="s">
        <v>152</v>
      </c>
      <c r="F90" s="838">
        <v>9800000</v>
      </c>
      <c r="G90" s="838">
        <v>0</v>
      </c>
      <c r="H90" s="838">
        <v>0</v>
      </c>
      <c r="I90" s="838"/>
      <c r="J90" s="838">
        <v>90649</v>
      </c>
      <c r="K90" s="838">
        <v>0</v>
      </c>
      <c r="L90" s="838">
        <v>37600</v>
      </c>
      <c r="M90" s="838">
        <v>94999.950000000012</v>
      </c>
      <c r="N90" s="838">
        <v>367944</v>
      </c>
      <c r="O90" s="838">
        <v>370000.2</v>
      </c>
      <c r="P90" s="930"/>
      <c r="Q90" s="838"/>
      <c r="R90" s="838">
        <v>0</v>
      </c>
      <c r="S90" s="838"/>
      <c r="T90" s="838"/>
      <c r="U90" s="838"/>
      <c r="V90" s="838"/>
      <c r="W90" s="838"/>
      <c r="X90" s="838"/>
      <c r="Y90" s="838"/>
      <c r="Z90" s="838">
        <v>1900000</v>
      </c>
      <c r="AA90" s="838">
        <v>726000</v>
      </c>
      <c r="AB90" s="838"/>
      <c r="AC90" s="838"/>
      <c r="AD90" s="838"/>
      <c r="AE90" s="838"/>
      <c r="AF90" s="838">
        <v>0</v>
      </c>
      <c r="AG90" s="838">
        <v>672500</v>
      </c>
      <c r="AH90" s="838">
        <v>9800000</v>
      </c>
      <c r="AI90" s="838">
        <v>1900000</v>
      </c>
      <c r="AJ90" s="838">
        <v>0</v>
      </c>
      <c r="AK90" s="838">
        <v>1398500</v>
      </c>
      <c r="AL90" s="838">
        <v>1331193.3500000001</v>
      </c>
      <c r="AM90" s="838">
        <v>13333693.149999999</v>
      </c>
      <c r="AN90" s="839">
        <v>11.045071497650568</v>
      </c>
      <c r="AO90" t="str">
        <f t="shared" si="1"/>
        <v>6. Between US$ 10 and US$ 20</v>
      </c>
    </row>
    <row r="91" spans="4:41">
      <c r="D91" s="835" t="s">
        <v>243</v>
      </c>
      <c r="E91" s="835" t="s">
        <v>150</v>
      </c>
      <c r="F91" s="838">
        <v>25500000</v>
      </c>
      <c r="G91" s="838">
        <v>0</v>
      </c>
      <c r="H91" s="838">
        <v>0</v>
      </c>
      <c r="I91" s="838"/>
      <c r="J91" s="838">
        <v>71067</v>
      </c>
      <c r="K91" s="838">
        <v>0</v>
      </c>
      <c r="L91" s="838">
        <v>123999.99999999999</v>
      </c>
      <c r="M91" s="838">
        <v>25000</v>
      </c>
      <c r="N91" s="838">
        <v>230000</v>
      </c>
      <c r="O91" s="838">
        <v>230000</v>
      </c>
      <c r="P91" s="930"/>
      <c r="Q91" s="838"/>
      <c r="R91" s="838">
        <v>0</v>
      </c>
      <c r="S91" s="838"/>
      <c r="T91" s="838"/>
      <c r="U91" s="838"/>
      <c r="V91" s="838"/>
      <c r="W91" s="838"/>
      <c r="X91" s="838"/>
      <c r="Y91" s="838"/>
      <c r="Z91" s="838">
        <v>500000</v>
      </c>
      <c r="AA91" s="838">
        <v>250000</v>
      </c>
      <c r="AB91" s="838">
        <v>11111111</v>
      </c>
      <c r="AC91" s="838"/>
      <c r="AD91" s="838"/>
      <c r="AE91" s="838"/>
      <c r="AF91" s="838">
        <v>99000</v>
      </c>
      <c r="AG91" s="838">
        <v>0</v>
      </c>
      <c r="AH91" s="838">
        <v>25500000</v>
      </c>
      <c r="AI91" s="838">
        <v>11611111</v>
      </c>
      <c r="AJ91" s="838">
        <v>99000</v>
      </c>
      <c r="AK91" s="838">
        <v>11361111</v>
      </c>
      <c r="AL91" s="838">
        <v>910067</v>
      </c>
      <c r="AM91" s="838">
        <v>37890178</v>
      </c>
      <c r="AN91" s="839">
        <v>37.936285761714792</v>
      </c>
      <c r="AO91" t="str">
        <f t="shared" si="1"/>
        <v>7. Above US$ 20</v>
      </c>
    </row>
    <row r="92" spans="4:41">
      <c r="D92" s="835" t="s">
        <v>244</v>
      </c>
      <c r="E92" s="835" t="s">
        <v>152</v>
      </c>
      <c r="F92" s="838">
        <v>0</v>
      </c>
      <c r="G92" s="838">
        <v>0</v>
      </c>
      <c r="H92" s="838">
        <v>0</v>
      </c>
      <c r="I92" s="838"/>
      <c r="J92" s="838">
        <v>0</v>
      </c>
      <c r="K92" s="838">
        <v>0</v>
      </c>
      <c r="L92" s="838">
        <v>0</v>
      </c>
      <c r="M92" s="838">
        <v>0</v>
      </c>
      <c r="N92" s="838">
        <v>0</v>
      </c>
      <c r="O92" s="838">
        <v>0</v>
      </c>
      <c r="P92" s="930"/>
      <c r="Q92" s="838"/>
      <c r="R92" s="838">
        <v>0</v>
      </c>
      <c r="S92" s="838"/>
      <c r="T92" s="838"/>
      <c r="U92" s="838"/>
      <c r="V92" s="838"/>
      <c r="W92" s="838"/>
      <c r="X92" s="838"/>
      <c r="Y92" s="838"/>
      <c r="Z92" s="838">
        <v>800000</v>
      </c>
      <c r="AA92" s="838">
        <v>0</v>
      </c>
      <c r="AB92" s="838"/>
      <c r="AC92" s="838"/>
      <c r="AD92" s="838"/>
      <c r="AE92" s="838"/>
      <c r="AF92" s="838">
        <v>0</v>
      </c>
      <c r="AG92" s="838">
        <v>100000</v>
      </c>
      <c r="AH92" s="838">
        <v>0</v>
      </c>
      <c r="AI92" s="838">
        <v>800000</v>
      </c>
      <c r="AJ92" s="838">
        <v>0</v>
      </c>
      <c r="AK92" s="838">
        <v>100000</v>
      </c>
      <c r="AL92" s="838">
        <v>0</v>
      </c>
      <c r="AM92" s="838">
        <v>900000</v>
      </c>
      <c r="AN92" s="839">
        <v>4.7766821484242525</v>
      </c>
      <c r="AO92" t="str">
        <f t="shared" si="1"/>
        <v>4. Between US$ 3 and US$ 5</v>
      </c>
    </row>
    <row r="93" spans="4:41">
      <c r="D93" s="835" t="s">
        <v>245</v>
      </c>
      <c r="E93" s="835" t="s">
        <v>150</v>
      </c>
      <c r="F93" s="838">
        <v>0</v>
      </c>
      <c r="G93" s="838">
        <v>0</v>
      </c>
      <c r="H93" s="838">
        <v>0</v>
      </c>
      <c r="I93" s="838"/>
      <c r="J93" s="838">
        <v>0</v>
      </c>
      <c r="K93" s="838">
        <v>50000</v>
      </c>
      <c r="L93" s="838">
        <v>20000</v>
      </c>
      <c r="M93" s="838">
        <v>66000</v>
      </c>
      <c r="N93" s="838">
        <v>0</v>
      </c>
      <c r="O93" s="838">
        <v>100000</v>
      </c>
      <c r="P93" s="930"/>
      <c r="Q93" s="838"/>
      <c r="R93" s="838">
        <v>0</v>
      </c>
      <c r="S93" s="838"/>
      <c r="T93" s="838"/>
      <c r="U93" s="838"/>
      <c r="V93" s="838"/>
      <c r="W93" s="838"/>
      <c r="X93" s="838"/>
      <c r="Y93" s="838"/>
      <c r="Z93" s="838">
        <v>3750000</v>
      </c>
      <c r="AA93" s="838">
        <v>2500000</v>
      </c>
      <c r="AB93" s="838"/>
      <c r="AC93" s="838"/>
      <c r="AD93" s="838"/>
      <c r="AE93" s="838"/>
      <c r="AF93" s="838">
        <v>0</v>
      </c>
      <c r="AG93" s="838">
        <v>200000</v>
      </c>
      <c r="AH93" s="838">
        <v>0</v>
      </c>
      <c r="AI93" s="838">
        <v>3750000</v>
      </c>
      <c r="AJ93" s="838">
        <v>0</v>
      </c>
      <c r="AK93" s="838">
        <v>2700000</v>
      </c>
      <c r="AL93" s="838">
        <v>336000</v>
      </c>
      <c r="AM93" s="838">
        <v>4186000</v>
      </c>
      <c r="AN93" s="839">
        <v>0.37363537066989655</v>
      </c>
      <c r="AO93" t="str">
        <f t="shared" si="1"/>
        <v>2. Less than US$ 1</v>
      </c>
    </row>
    <row r="94" spans="4:41">
      <c r="D94" s="835" t="s">
        <v>246</v>
      </c>
      <c r="E94" s="835" t="s">
        <v>148</v>
      </c>
      <c r="F94" s="838">
        <v>25000000</v>
      </c>
      <c r="G94" s="838">
        <v>0</v>
      </c>
      <c r="H94" s="838">
        <v>0</v>
      </c>
      <c r="I94" s="838">
        <v>741350</v>
      </c>
      <c r="J94" s="838">
        <v>322906</v>
      </c>
      <c r="K94" s="838">
        <v>1425000</v>
      </c>
      <c r="L94" s="838">
        <v>229312.96296296295</v>
      </c>
      <c r="M94" s="838">
        <v>572794.06000000006</v>
      </c>
      <c r="N94" s="838">
        <v>3299996</v>
      </c>
      <c r="O94" s="838">
        <v>0</v>
      </c>
      <c r="P94" s="930"/>
      <c r="Q94" s="838"/>
      <c r="R94" s="838">
        <v>0</v>
      </c>
      <c r="S94" s="838"/>
      <c r="T94" s="838"/>
      <c r="U94" s="838"/>
      <c r="V94" s="838"/>
      <c r="W94" s="838"/>
      <c r="X94" s="838"/>
      <c r="Y94" s="838"/>
      <c r="Z94" s="838">
        <v>3450000</v>
      </c>
      <c r="AA94" s="838">
        <v>0</v>
      </c>
      <c r="AB94" s="838">
        <v>669732</v>
      </c>
      <c r="AC94" s="838"/>
      <c r="AD94" s="838"/>
      <c r="AE94" s="838"/>
      <c r="AF94" s="838">
        <v>1328000</v>
      </c>
      <c r="AG94" s="838">
        <v>860469</v>
      </c>
      <c r="AH94" s="838">
        <v>25000000</v>
      </c>
      <c r="AI94" s="838">
        <v>4119732</v>
      </c>
      <c r="AJ94" s="838">
        <v>1328000</v>
      </c>
      <c r="AK94" s="838">
        <v>3155798</v>
      </c>
      <c r="AL94" s="838">
        <v>6591359.0229629632</v>
      </c>
      <c r="AM94" s="838">
        <v>37899560.022962965</v>
      </c>
      <c r="AN94" s="839">
        <v>3.9278577865749305</v>
      </c>
      <c r="AO94" t="str">
        <f t="shared" si="1"/>
        <v>4. Between US$ 3 and US$ 5</v>
      </c>
    </row>
    <row r="95" spans="4:41">
      <c r="D95" s="835" t="s">
        <v>247</v>
      </c>
      <c r="E95" s="835" t="s">
        <v>150</v>
      </c>
      <c r="F95" s="838">
        <v>0</v>
      </c>
      <c r="G95" s="838">
        <v>0</v>
      </c>
      <c r="H95" s="838">
        <v>0</v>
      </c>
      <c r="I95" s="838"/>
      <c r="J95" s="838">
        <v>0</v>
      </c>
      <c r="K95" s="838">
        <v>295000</v>
      </c>
      <c r="L95" s="838">
        <v>505999.99999999994</v>
      </c>
      <c r="M95" s="838">
        <v>630498</v>
      </c>
      <c r="N95" s="838">
        <v>0</v>
      </c>
      <c r="O95" s="838">
        <v>0</v>
      </c>
      <c r="P95" s="930"/>
      <c r="Q95" s="838"/>
      <c r="R95" s="838">
        <v>0</v>
      </c>
      <c r="S95" s="838"/>
      <c r="T95" s="838"/>
      <c r="U95" s="838"/>
      <c r="V95" s="838"/>
      <c r="W95" s="838"/>
      <c r="X95" s="838"/>
      <c r="Y95" s="838"/>
      <c r="Z95" s="838">
        <v>2550000</v>
      </c>
      <c r="AA95" s="838">
        <v>783056</v>
      </c>
      <c r="AB95" s="838">
        <v>1773821</v>
      </c>
      <c r="AC95" s="838"/>
      <c r="AD95" s="838"/>
      <c r="AE95" s="838"/>
      <c r="AF95" s="838">
        <v>0</v>
      </c>
      <c r="AG95" s="838">
        <v>1240000</v>
      </c>
      <c r="AH95" s="838">
        <v>0</v>
      </c>
      <c r="AI95" s="838">
        <v>4323821</v>
      </c>
      <c r="AJ95" s="838">
        <v>0</v>
      </c>
      <c r="AK95" s="838">
        <v>3796877</v>
      </c>
      <c r="AL95" s="838">
        <v>1431498</v>
      </c>
      <c r="AM95" s="838">
        <v>6995319</v>
      </c>
      <c r="AN95" s="839">
        <v>0.42545933006549247</v>
      </c>
      <c r="AO95" t="str">
        <f t="shared" si="1"/>
        <v>2. Less than US$ 1</v>
      </c>
    </row>
    <row r="96" spans="4:41">
      <c r="D96" s="835" t="s">
        <v>248</v>
      </c>
      <c r="E96" s="835" t="s">
        <v>152</v>
      </c>
      <c r="F96" s="838">
        <v>0</v>
      </c>
      <c r="G96" s="838">
        <v>0</v>
      </c>
      <c r="H96" s="838">
        <v>0</v>
      </c>
      <c r="I96" s="838"/>
      <c r="J96" s="838">
        <v>0</v>
      </c>
      <c r="K96" s="838">
        <v>0</v>
      </c>
      <c r="L96" s="838">
        <v>0</v>
      </c>
      <c r="M96" s="838">
        <v>0</v>
      </c>
      <c r="N96" s="838">
        <v>0</v>
      </c>
      <c r="O96" s="838">
        <v>0</v>
      </c>
      <c r="P96" s="930"/>
      <c r="Q96" s="838"/>
      <c r="R96" s="838">
        <v>0</v>
      </c>
      <c r="S96" s="838"/>
      <c r="T96" s="838"/>
      <c r="U96" s="838"/>
      <c r="V96" s="838"/>
      <c r="W96" s="838"/>
      <c r="X96" s="838"/>
      <c r="Y96" s="838"/>
      <c r="Z96" s="838">
        <v>3000000</v>
      </c>
      <c r="AA96" s="838">
        <v>0</v>
      </c>
      <c r="AB96" s="838"/>
      <c r="AC96" s="838"/>
      <c r="AD96" s="838"/>
      <c r="AE96" s="838"/>
      <c r="AF96" s="838">
        <v>0</v>
      </c>
      <c r="AG96" s="838">
        <v>1642000</v>
      </c>
      <c r="AH96" s="838">
        <v>0</v>
      </c>
      <c r="AI96" s="838">
        <v>3000000</v>
      </c>
      <c r="AJ96" s="838">
        <v>0</v>
      </c>
      <c r="AK96" s="838">
        <v>1642000</v>
      </c>
      <c r="AL96" s="838">
        <v>0</v>
      </c>
      <c r="AM96" s="838">
        <v>4642000</v>
      </c>
      <c r="AN96" s="839">
        <v>5.9803927631321283</v>
      </c>
      <c r="AO96" t="str">
        <f t="shared" si="1"/>
        <v>5. Between US$ 5 and US$ 10</v>
      </c>
    </row>
    <row r="97" spans="4:41">
      <c r="D97" s="835" t="s">
        <v>249</v>
      </c>
      <c r="E97" s="835" t="s">
        <v>550</v>
      </c>
      <c r="F97" s="838">
        <v>0</v>
      </c>
      <c r="G97" s="838">
        <v>0</v>
      </c>
      <c r="H97" s="838">
        <v>0</v>
      </c>
      <c r="I97" s="838"/>
      <c r="J97" s="838">
        <v>0</v>
      </c>
      <c r="K97" s="838">
        <v>0</v>
      </c>
      <c r="L97" s="838">
        <v>0</v>
      </c>
      <c r="M97" s="838">
        <v>0</v>
      </c>
      <c r="N97" s="838">
        <v>0</v>
      </c>
      <c r="O97" s="838">
        <v>0</v>
      </c>
      <c r="P97" s="930"/>
      <c r="Q97" s="838"/>
      <c r="R97" s="838">
        <v>0</v>
      </c>
      <c r="S97" s="838"/>
      <c r="T97" s="838"/>
      <c r="U97" s="838"/>
      <c r="V97" s="838"/>
      <c r="W97" s="838"/>
      <c r="X97" s="838"/>
      <c r="Y97" s="838"/>
      <c r="Z97" s="838">
        <v>0</v>
      </c>
      <c r="AA97" s="838">
        <v>0</v>
      </c>
      <c r="AB97" s="838"/>
      <c r="AC97" s="838"/>
      <c r="AD97" s="838"/>
      <c r="AE97" s="838"/>
      <c r="AF97" s="838">
        <v>0</v>
      </c>
      <c r="AG97" s="838">
        <v>0</v>
      </c>
      <c r="AH97" s="838">
        <v>0</v>
      </c>
      <c r="AI97" s="838">
        <v>0</v>
      </c>
      <c r="AJ97" s="838">
        <v>0</v>
      </c>
      <c r="AK97" s="838">
        <v>0</v>
      </c>
      <c r="AL97" s="838">
        <v>0</v>
      </c>
      <c r="AM97" s="838">
        <v>0</v>
      </c>
      <c r="AN97" s="839">
        <v>0</v>
      </c>
      <c r="AO97" t="str">
        <f t="shared" si="1"/>
        <v>1. No funding</v>
      </c>
    </row>
    <row r="98" spans="4:41">
      <c r="D98" s="835" t="s">
        <v>250</v>
      </c>
      <c r="E98" s="835" t="s">
        <v>150</v>
      </c>
      <c r="F98" s="838">
        <v>10900000</v>
      </c>
      <c r="G98" s="838">
        <v>0</v>
      </c>
      <c r="H98" s="838">
        <v>0</v>
      </c>
      <c r="I98" s="838"/>
      <c r="J98" s="838">
        <v>737464</v>
      </c>
      <c r="K98" s="838">
        <v>295600</v>
      </c>
      <c r="L98" s="838">
        <v>346810.18518518517</v>
      </c>
      <c r="M98" s="838">
        <v>374143</v>
      </c>
      <c r="N98" s="838">
        <v>2159909</v>
      </c>
      <c r="O98" s="838">
        <v>0</v>
      </c>
      <c r="P98" s="930"/>
      <c r="Q98" s="838"/>
      <c r="R98" s="838">
        <v>0</v>
      </c>
      <c r="S98" s="838">
        <v>729927</v>
      </c>
      <c r="T98" s="838"/>
      <c r="U98" s="838"/>
      <c r="V98" s="838"/>
      <c r="W98" s="838"/>
      <c r="X98" s="838"/>
      <c r="Y98" s="838"/>
      <c r="Z98" s="838">
        <v>4100000</v>
      </c>
      <c r="AA98" s="838">
        <v>0</v>
      </c>
      <c r="AB98" s="838">
        <v>1151337</v>
      </c>
      <c r="AC98" s="838">
        <v>175000</v>
      </c>
      <c r="AD98" s="838"/>
      <c r="AE98" s="838">
        <v>97920</v>
      </c>
      <c r="AF98" s="838">
        <v>99000</v>
      </c>
      <c r="AG98" s="838">
        <v>1889000</v>
      </c>
      <c r="AH98" s="838">
        <v>10900000</v>
      </c>
      <c r="AI98" s="838">
        <v>6156264</v>
      </c>
      <c r="AJ98" s="838">
        <v>196920</v>
      </c>
      <c r="AK98" s="838">
        <v>5101540</v>
      </c>
      <c r="AL98" s="838">
        <v>3913926.1851851852</v>
      </c>
      <c r="AM98" s="838">
        <v>23056110.185185187</v>
      </c>
      <c r="AN98" s="839">
        <v>2.5898536749984147</v>
      </c>
      <c r="AO98" t="str">
        <f t="shared" si="1"/>
        <v>3. Between US$ 1 and US$ 3</v>
      </c>
    </row>
    <row r="99" spans="4:41">
      <c r="D99" s="835" t="s">
        <v>251</v>
      </c>
      <c r="E99" s="835" t="s">
        <v>150</v>
      </c>
      <c r="F99" s="838">
        <v>0</v>
      </c>
      <c r="G99" s="838">
        <v>0</v>
      </c>
      <c r="H99" s="838">
        <v>0</v>
      </c>
      <c r="I99" s="838"/>
      <c r="J99" s="838">
        <v>218802</v>
      </c>
      <c r="K99" s="838">
        <v>390000</v>
      </c>
      <c r="L99" s="838">
        <v>46300</v>
      </c>
      <c r="M99" s="838">
        <v>199223.3</v>
      </c>
      <c r="N99" s="838">
        <v>0</v>
      </c>
      <c r="O99" s="838">
        <v>0</v>
      </c>
      <c r="P99" s="930"/>
      <c r="Q99" s="838">
        <v>0</v>
      </c>
      <c r="R99" s="838">
        <v>0</v>
      </c>
      <c r="S99" s="838"/>
      <c r="T99" s="838"/>
      <c r="U99" s="838"/>
      <c r="V99" s="838"/>
      <c r="W99" s="838"/>
      <c r="X99" s="838"/>
      <c r="Y99" s="838"/>
      <c r="Z99" s="838">
        <v>150000</v>
      </c>
      <c r="AA99" s="838">
        <v>0</v>
      </c>
      <c r="AB99" s="838">
        <v>1388889</v>
      </c>
      <c r="AC99" s="838">
        <v>1278918</v>
      </c>
      <c r="AD99" s="838"/>
      <c r="AE99" s="838"/>
      <c r="AF99" s="838">
        <v>0</v>
      </c>
      <c r="AG99" s="838">
        <v>800000</v>
      </c>
      <c r="AH99" s="838">
        <v>0</v>
      </c>
      <c r="AI99" s="838">
        <v>2817807</v>
      </c>
      <c r="AJ99" s="838">
        <v>0</v>
      </c>
      <c r="AK99" s="838">
        <v>3467807</v>
      </c>
      <c r="AL99" s="838">
        <v>854325.3</v>
      </c>
      <c r="AM99" s="838">
        <v>4472132.3</v>
      </c>
      <c r="AN99" s="839">
        <v>2.2241517029500519</v>
      </c>
      <c r="AO99" t="str">
        <f t="shared" si="1"/>
        <v>3. Between US$ 1 and US$ 3</v>
      </c>
    </row>
    <row r="100" spans="4:41">
      <c r="D100" s="835" t="s">
        <v>252</v>
      </c>
      <c r="E100" s="835" t="s">
        <v>148</v>
      </c>
      <c r="F100" s="838">
        <v>9400000</v>
      </c>
      <c r="G100" s="838">
        <v>0</v>
      </c>
      <c r="H100" s="838">
        <v>0</v>
      </c>
      <c r="I100" s="838">
        <v>750000</v>
      </c>
      <c r="J100" s="838">
        <v>639701</v>
      </c>
      <c r="K100" s="838">
        <v>278323.45</v>
      </c>
      <c r="L100" s="838">
        <v>475174.99999999994</v>
      </c>
      <c r="M100" s="838">
        <v>478851</v>
      </c>
      <c r="N100" s="838">
        <v>3500000</v>
      </c>
      <c r="O100" s="838">
        <v>0</v>
      </c>
      <c r="P100" s="930"/>
      <c r="Q100" s="838">
        <v>0</v>
      </c>
      <c r="R100" s="838">
        <v>0</v>
      </c>
      <c r="S100" s="838"/>
      <c r="T100" s="838"/>
      <c r="U100" s="838"/>
      <c r="V100" s="838"/>
      <c r="W100" s="838"/>
      <c r="X100" s="838"/>
      <c r="Y100" s="838"/>
      <c r="Z100" s="838">
        <v>4750000</v>
      </c>
      <c r="AA100" s="838">
        <v>500000</v>
      </c>
      <c r="AB100" s="838"/>
      <c r="AC100" s="838"/>
      <c r="AD100" s="838"/>
      <c r="AE100" s="838"/>
      <c r="AF100" s="838">
        <v>0</v>
      </c>
      <c r="AG100" s="838">
        <v>1345921</v>
      </c>
      <c r="AH100" s="838">
        <v>9400000</v>
      </c>
      <c r="AI100" s="838">
        <v>4750000</v>
      </c>
      <c r="AJ100" s="838">
        <v>0</v>
      </c>
      <c r="AK100" s="838">
        <v>1845921</v>
      </c>
      <c r="AL100" s="838">
        <v>6122050.4500000002</v>
      </c>
      <c r="AM100" s="838">
        <v>21617971.449999999</v>
      </c>
      <c r="AN100" s="839">
        <v>2.8673928470006866</v>
      </c>
      <c r="AO100" t="str">
        <f t="shared" si="1"/>
        <v>3. Between US$ 1 and US$ 3</v>
      </c>
    </row>
    <row r="101" spans="4:41">
      <c r="D101" s="835" t="s">
        <v>253</v>
      </c>
      <c r="E101" s="835" t="s">
        <v>150</v>
      </c>
      <c r="F101" s="838">
        <v>76000000</v>
      </c>
      <c r="G101" s="838">
        <v>0</v>
      </c>
      <c r="H101" s="838">
        <v>0</v>
      </c>
      <c r="I101" s="838">
        <v>4999000</v>
      </c>
      <c r="J101" s="838">
        <v>2554787</v>
      </c>
      <c r="K101" s="838">
        <v>1459081</v>
      </c>
      <c r="L101" s="838">
        <v>190600</v>
      </c>
      <c r="M101" s="838">
        <v>396163</v>
      </c>
      <c r="N101" s="838">
        <v>9995381</v>
      </c>
      <c r="O101" s="838">
        <v>0</v>
      </c>
      <c r="P101" s="930"/>
      <c r="Q101" s="838"/>
      <c r="R101" s="838">
        <v>0</v>
      </c>
      <c r="S101" s="838"/>
      <c r="T101" s="838"/>
      <c r="U101" s="838"/>
      <c r="V101" s="838"/>
      <c r="W101" s="838"/>
      <c r="X101" s="838"/>
      <c r="Y101" s="838">
        <v>1693999</v>
      </c>
      <c r="Z101" s="838">
        <v>1600863.3</v>
      </c>
      <c r="AA101" s="838">
        <v>0</v>
      </c>
      <c r="AB101" s="838">
        <v>2104378</v>
      </c>
      <c r="AC101" s="838"/>
      <c r="AD101" s="838"/>
      <c r="AE101" s="838">
        <v>42296</v>
      </c>
      <c r="AF101" s="838">
        <v>1714000</v>
      </c>
      <c r="AG101" s="838">
        <v>5036546</v>
      </c>
      <c r="AH101" s="838">
        <v>76000000</v>
      </c>
      <c r="AI101" s="838">
        <v>5399240.2999999998</v>
      </c>
      <c r="AJ101" s="838">
        <v>1756296</v>
      </c>
      <c r="AK101" s="838">
        <v>14001349</v>
      </c>
      <c r="AL101" s="838">
        <v>19595012</v>
      </c>
      <c r="AM101" s="838">
        <v>107787094.3</v>
      </c>
      <c r="AN101" s="839">
        <v>1.6995700938315388</v>
      </c>
      <c r="AO101" t="str">
        <f t="shared" si="1"/>
        <v>3. Between US$ 1 and US$ 3</v>
      </c>
    </row>
    <row r="102" spans="4:41">
      <c r="D102" s="835" t="s">
        <v>254</v>
      </c>
      <c r="E102" s="835" t="s">
        <v>152</v>
      </c>
      <c r="F102" s="838">
        <v>500000</v>
      </c>
      <c r="G102" s="838">
        <v>0</v>
      </c>
      <c r="H102" s="838">
        <v>0</v>
      </c>
      <c r="I102" s="838"/>
      <c r="J102" s="838">
        <v>0</v>
      </c>
      <c r="K102" s="838">
        <v>0</v>
      </c>
      <c r="L102" s="838">
        <v>0</v>
      </c>
      <c r="M102" s="838">
        <v>0</v>
      </c>
      <c r="N102" s="838">
        <v>0</v>
      </c>
      <c r="O102" s="838">
        <v>0</v>
      </c>
      <c r="P102" s="930"/>
      <c r="Q102" s="838"/>
      <c r="R102" s="838">
        <v>0</v>
      </c>
      <c r="S102" s="838"/>
      <c r="T102" s="838"/>
      <c r="U102" s="838"/>
      <c r="V102" s="838"/>
      <c r="W102" s="838"/>
      <c r="X102" s="838"/>
      <c r="Y102" s="838"/>
      <c r="Z102" s="838">
        <v>1000000</v>
      </c>
      <c r="AA102" s="838">
        <v>0</v>
      </c>
      <c r="AB102" s="838"/>
      <c r="AC102" s="838"/>
      <c r="AD102" s="838"/>
      <c r="AE102" s="838"/>
      <c r="AF102" s="838">
        <v>0</v>
      </c>
      <c r="AG102" s="838">
        <v>100000</v>
      </c>
      <c r="AH102" s="838">
        <v>500000</v>
      </c>
      <c r="AI102" s="838">
        <v>1000000</v>
      </c>
      <c r="AJ102" s="838">
        <v>0</v>
      </c>
      <c r="AK102" s="838">
        <v>100000</v>
      </c>
      <c r="AL102" s="838">
        <v>0</v>
      </c>
      <c r="AM102" s="838">
        <v>1600000</v>
      </c>
      <c r="AN102" s="839">
        <v>2.5608252003125487</v>
      </c>
      <c r="AO102" t="str">
        <f t="shared" si="1"/>
        <v>3. Between US$ 1 and US$ 3</v>
      </c>
    </row>
    <row r="103" spans="4:41">
      <c r="D103" s="835" t="s">
        <v>255</v>
      </c>
      <c r="E103" s="835" t="s">
        <v>150</v>
      </c>
      <c r="F103" s="838">
        <v>0</v>
      </c>
      <c r="G103" s="838">
        <v>0</v>
      </c>
      <c r="H103" s="838">
        <v>0</v>
      </c>
      <c r="I103" s="838"/>
      <c r="J103" s="838">
        <v>2538909</v>
      </c>
      <c r="K103" s="838">
        <v>870000</v>
      </c>
      <c r="L103" s="838">
        <v>262300</v>
      </c>
      <c r="M103" s="838">
        <v>693360</v>
      </c>
      <c r="N103" s="838">
        <v>14360986</v>
      </c>
      <c r="O103" s="838">
        <v>0</v>
      </c>
      <c r="P103" s="930"/>
      <c r="Q103" s="838"/>
      <c r="R103" s="838">
        <v>0</v>
      </c>
      <c r="S103" s="838"/>
      <c r="T103" s="838"/>
      <c r="U103" s="838"/>
      <c r="V103" s="838"/>
      <c r="W103" s="838"/>
      <c r="X103" s="838"/>
      <c r="Y103" s="838"/>
      <c r="Z103" s="838">
        <v>2500000</v>
      </c>
      <c r="AA103" s="838">
        <v>950000</v>
      </c>
      <c r="AB103" s="838">
        <v>6106979</v>
      </c>
      <c r="AC103" s="838"/>
      <c r="AD103" s="838"/>
      <c r="AE103" s="838">
        <v>150000</v>
      </c>
      <c r="AF103" s="838">
        <v>697000</v>
      </c>
      <c r="AG103" s="838">
        <v>3000000</v>
      </c>
      <c r="AH103" s="838">
        <v>0</v>
      </c>
      <c r="AI103" s="838">
        <v>8606979</v>
      </c>
      <c r="AJ103" s="838">
        <v>847000</v>
      </c>
      <c r="AK103" s="838">
        <v>16912065</v>
      </c>
      <c r="AL103" s="838">
        <v>18725555</v>
      </c>
      <c r="AM103" s="838">
        <v>31179534</v>
      </c>
      <c r="AN103" s="839">
        <v>0.46150893768709844</v>
      </c>
      <c r="AO103" t="str">
        <f t="shared" si="1"/>
        <v>2. Less than US$ 1</v>
      </c>
    </row>
    <row r="104" spans="4:41">
      <c r="D104" s="835" t="s">
        <v>256</v>
      </c>
      <c r="E104" s="835" t="s">
        <v>550</v>
      </c>
      <c r="F104" s="838">
        <v>0</v>
      </c>
      <c r="G104" s="838">
        <v>0</v>
      </c>
      <c r="H104" s="838">
        <v>0</v>
      </c>
      <c r="I104" s="838"/>
      <c r="J104" s="838">
        <v>0</v>
      </c>
      <c r="K104" s="838">
        <v>0</v>
      </c>
      <c r="L104" s="838">
        <v>0</v>
      </c>
      <c r="M104" s="838">
        <v>0</v>
      </c>
      <c r="N104" s="838">
        <v>0</v>
      </c>
      <c r="O104" s="838">
        <v>0</v>
      </c>
      <c r="P104" s="930"/>
      <c r="Q104" s="838"/>
      <c r="R104" s="838">
        <v>0</v>
      </c>
      <c r="S104" s="838"/>
      <c r="T104" s="838"/>
      <c r="U104" s="838"/>
      <c r="V104" s="838"/>
      <c r="W104" s="838"/>
      <c r="X104" s="838"/>
      <c r="Y104" s="838"/>
      <c r="Z104" s="838">
        <v>0</v>
      </c>
      <c r="AA104" s="838">
        <v>0</v>
      </c>
      <c r="AB104" s="838"/>
      <c r="AC104" s="838"/>
      <c r="AD104" s="838"/>
      <c r="AE104" s="838"/>
      <c r="AF104" s="838">
        <v>0</v>
      </c>
      <c r="AG104" s="838">
        <v>0</v>
      </c>
      <c r="AH104" s="838">
        <v>0</v>
      </c>
      <c r="AI104" s="838">
        <v>0</v>
      </c>
      <c r="AJ104" s="838">
        <v>0</v>
      </c>
      <c r="AK104" s="838">
        <v>0</v>
      </c>
      <c r="AL104" s="838">
        <v>0</v>
      </c>
      <c r="AM104" s="838">
        <v>0</v>
      </c>
      <c r="AN104" s="839">
        <v>0</v>
      </c>
      <c r="AO104" t="str">
        <f t="shared" si="1"/>
        <v>1. No funding</v>
      </c>
    </row>
    <row r="105" spans="4:41">
      <c r="D105" s="835" t="s">
        <v>257</v>
      </c>
      <c r="E105" s="835" t="s">
        <v>152</v>
      </c>
      <c r="F105" s="838">
        <v>0</v>
      </c>
      <c r="G105" s="838">
        <v>0</v>
      </c>
      <c r="H105" s="838">
        <v>1700000</v>
      </c>
      <c r="I105" s="838"/>
      <c r="J105" s="838">
        <v>0</v>
      </c>
      <c r="K105" s="838">
        <v>0</v>
      </c>
      <c r="L105" s="838">
        <v>0</v>
      </c>
      <c r="M105" s="838">
        <v>0</v>
      </c>
      <c r="N105" s="838">
        <v>0</v>
      </c>
      <c r="O105" s="838">
        <v>0</v>
      </c>
      <c r="P105" s="930"/>
      <c r="Q105" s="838"/>
      <c r="R105" s="838">
        <v>0</v>
      </c>
      <c r="S105" s="838"/>
      <c r="T105" s="838"/>
      <c r="U105" s="838"/>
      <c r="V105" s="838"/>
      <c r="W105" s="838"/>
      <c r="X105" s="838"/>
      <c r="Y105" s="838"/>
      <c r="Z105" s="838">
        <v>200000</v>
      </c>
      <c r="AA105" s="838">
        <v>0</v>
      </c>
      <c r="AB105" s="838"/>
      <c r="AC105" s="838"/>
      <c r="AD105" s="838"/>
      <c r="AE105" s="838"/>
      <c r="AF105" s="838">
        <v>0</v>
      </c>
      <c r="AG105" s="838">
        <v>0</v>
      </c>
      <c r="AH105" s="838">
        <v>1700000</v>
      </c>
      <c r="AI105" s="838">
        <v>200000</v>
      </c>
      <c r="AJ105" s="838">
        <v>0</v>
      </c>
      <c r="AK105" s="838">
        <v>0</v>
      </c>
      <c r="AL105" s="838">
        <v>0</v>
      </c>
      <c r="AM105" s="838">
        <v>1900000</v>
      </c>
      <c r="AN105" s="839">
        <v>1.445444108518162</v>
      </c>
      <c r="AO105" t="str">
        <f t="shared" si="1"/>
        <v>3. Between US$ 1 and US$ 3</v>
      </c>
    </row>
    <row r="106" spans="4:41">
      <c r="D106" s="835" t="s">
        <v>258</v>
      </c>
      <c r="E106" s="835" t="s">
        <v>150</v>
      </c>
      <c r="F106" s="838">
        <v>10000000</v>
      </c>
      <c r="G106" s="838">
        <v>0</v>
      </c>
      <c r="H106" s="838">
        <v>0</v>
      </c>
      <c r="I106" s="838"/>
      <c r="J106" s="838">
        <v>199349</v>
      </c>
      <c r="K106" s="838">
        <v>0</v>
      </c>
      <c r="L106" s="838">
        <v>258399.99999999997</v>
      </c>
      <c r="M106" s="838">
        <v>464915</v>
      </c>
      <c r="N106" s="838">
        <v>31079</v>
      </c>
      <c r="O106" s="838">
        <v>0</v>
      </c>
      <c r="P106" s="930"/>
      <c r="Q106" s="838"/>
      <c r="R106" s="838">
        <v>0</v>
      </c>
      <c r="S106" s="838">
        <v>2112690</v>
      </c>
      <c r="T106" s="838"/>
      <c r="U106" s="838"/>
      <c r="V106" s="838"/>
      <c r="W106" s="838"/>
      <c r="X106" s="838"/>
      <c r="Y106" s="838"/>
      <c r="Z106" s="838">
        <v>4500000</v>
      </c>
      <c r="AA106" s="838">
        <v>500000</v>
      </c>
      <c r="AB106" s="838">
        <v>7563717</v>
      </c>
      <c r="AC106" s="838"/>
      <c r="AD106" s="838"/>
      <c r="AE106" s="838">
        <v>5067038</v>
      </c>
      <c r="AF106" s="838">
        <v>0</v>
      </c>
      <c r="AG106" s="838">
        <v>400000</v>
      </c>
      <c r="AH106" s="838">
        <v>10000000</v>
      </c>
      <c r="AI106" s="838">
        <v>14176407</v>
      </c>
      <c r="AJ106" s="838">
        <v>5067038</v>
      </c>
      <c r="AK106" s="838">
        <v>15643445</v>
      </c>
      <c r="AL106" s="838">
        <v>953743</v>
      </c>
      <c r="AM106" s="838">
        <v>30597188</v>
      </c>
      <c r="AN106" s="839">
        <v>11.184402976713651</v>
      </c>
      <c r="AO106" t="str">
        <f t="shared" si="1"/>
        <v>6. Between US$ 10 and US$ 20</v>
      </c>
    </row>
    <row r="107" spans="4:41">
      <c r="D107" s="835" t="s">
        <v>259</v>
      </c>
      <c r="E107" s="835" t="s">
        <v>152</v>
      </c>
      <c r="F107" s="838">
        <v>0</v>
      </c>
      <c r="G107" s="838">
        <v>0</v>
      </c>
      <c r="H107" s="838">
        <v>0</v>
      </c>
      <c r="I107" s="838"/>
      <c r="J107" s="838">
        <v>0</v>
      </c>
      <c r="K107" s="838">
        <v>0</v>
      </c>
      <c r="L107" s="838">
        <v>0</v>
      </c>
      <c r="M107" s="838">
        <v>0</v>
      </c>
      <c r="N107" s="838">
        <v>0</v>
      </c>
      <c r="O107" s="838">
        <v>0</v>
      </c>
      <c r="P107" s="930"/>
      <c r="Q107" s="838">
        <v>0</v>
      </c>
      <c r="R107" s="838">
        <v>0</v>
      </c>
      <c r="S107" s="838"/>
      <c r="T107" s="838"/>
      <c r="U107" s="838"/>
      <c r="V107" s="838"/>
      <c r="W107" s="838"/>
      <c r="X107" s="838"/>
      <c r="Y107" s="838"/>
      <c r="Z107" s="838">
        <v>2500000</v>
      </c>
      <c r="AA107" s="838">
        <v>0</v>
      </c>
      <c r="AB107" s="838">
        <v>1913888</v>
      </c>
      <c r="AC107" s="838"/>
      <c r="AD107" s="838"/>
      <c r="AE107" s="838"/>
      <c r="AF107" s="838">
        <v>0</v>
      </c>
      <c r="AG107" s="838">
        <v>200000</v>
      </c>
      <c r="AH107" s="838">
        <v>0</v>
      </c>
      <c r="AI107" s="838">
        <v>4413888</v>
      </c>
      <c r="AJ107" s="838">
        <v>0</v>
      </c>
      <c r="AK107" s="838">
        <v>2113888</v>
      </c>
      <c r="AL107" s="838">
        <v>0</v>
      </c>
      <c r="AM107" s="838">
        <v>4613888</v>
      </c>
      <c r="AN107" s="839">
        <v>2.130248119908825</v>
      </c>
      <c r="AO107" t="str">
        <f t="shared" si="1"/>
        <v>3. Between US$ 1 and US$ 3</v>
      </c>
    </row>
    <row r="108" spans="4:41">
      <c r="D108" s="835" t="s">
        <v>260</v>
      </c>
      <c r="E108" s="835" t="s">
        <v>152</v>
      </c>
      <c r="F108" s="838">
        <v>500000000</v>
      </c>
      <c r="G108" s="838">
        <v>0</v>
      </c>
      <c r="H108" s="838">
        <v>0</v>
      </c>
      <c r="I108" s="838"/>
      <c r="J108" s="838">
        <v>0</v>
      </c>
      <c r="K108" s="838">
        <v>0</v>
      </c>
      <c r="L108" s="838">
        <v>0</v>
      </c>
      <c r="M108" s="838">
        <v>0</v>
      </c>
      <c r="N108" s="838">
        <v>0</v>
      </c>
      <c r="O108" s="838">
        <v>0</v>
      </c>
      <c r="P108" s="930"/>
      <c r="Q108" s="838"/>
      <c r="R108" s="838">
        <v>0</v>
      </c>
      <c r="S108" s="838"/>
      <c r="T108" s="838"/>
      <c r="U108" s="838"/>
      <c r="V108" s="838"/>
      <c r="W108" s="838"/>
      <c r="X108" s="838"/>
      <c r="Y108" s="838"/>
      <c r="Z108" s="838">
        <v>6713840</v>
      </c>
      <c r="AA108" s="838">
        <v>0</v>
      </c>
      <c r="AB108" s="838"/>
      <c r="AC108" s="838"/>
      <c r="AD108" s="838"/>
      <c r="AE108" s="838">
        <v>425647</v>
      </c>
      <c r="AF108" s="838">
        <v>0</v>
      </c>
      <c r="AG108" s="838">
        <v>802143</v>
      </c>
      <c r="AH108" s="838">
        <v>500000000</v>
      </c>
      <c r="AI108" s="838">
        <v>6713840</v>
      </c>
      <c r="AJ108" s="838">
        <v>425647</v>
      </c>
      <c r="AK108" s="838">
        <v>1227790</v>
      </c>
      <c r="AL108" s="838">
        <v>0</v>
      </c>
      <c r="AM108" s="838">
        <v>507941630</v>
      </c>
      <c r="AN108" s="839">
        <v>50.754448659013299</v>
      </c>
      <c r="AO108" t="str">
        <f t="shared" si="1"/>
        <v>7. Above US$ 20</v>
      </c>
    </row>
    <row r="109" spans="4:41">
      <c r="D109" s="835" t="s">
        <v>261</v>
      </c>
      <c r="E109" s="835" t="s">
        <v>150</v>
      </c>
      <c r="F109" s="838">
        <v>27000000</v>
      </c>
      <c r="G109" s="838">
        <v>0</v>
      </c>
      <c r="H109" s="838">
        <v>0</v>
      </c>
      <c r="I109" s="838"/>
      <c r="J109" s="838">
        <v>1428676</v>
      </c>
      <c r="K109" s="838">
        <v>45600</v>
      </c>
      <c r="L109" s="838">
        <v>70000</v>
      </c>
      <c r="M109" s="838">
        <v>25000</v>
      </c>
      <c r="N109" s="838">
        <v>4914708</v>
      </c>
      <c r="O109" s="838">
        <v>4499999.7</v>
      </c>
      <c r="P109" s="930"/>
      <c r="Q109" s="838"/>
      <c r="R109" s="838">
        <v>2678432</v>
      </c>
      <c r="S109" s="838"/>
      <c r="T109" s="838"/>
      <c r="U109" s="838"/>
      <c r="V109" s="838"/>
      <c r="W109" s="838"/>
      <c r="X109" s="838"/>
      <c r="Y109" s="838"/>
      <c r="Z109" s="838">
        <v>5300000</v>
      </c>
      <c r="AA109" s="838">
        <v>1600000</v>
      </c>
      <c r="AB109" s="838">
        <v>3494059</v>
      </c>
      <c r="AC109" s="838"/>
      <c r="AD109" s="838"/>
      <c r="AE109" s="838">
        <v>2831663</v>
      </c>
      <c r="AF109" s="838">
        <v>99000</v>
      </c>
      <c r="AG109" s="838">
        <v>100000</v>
      </c>
      <c r="AH109" s="838">
        <v>27000000</v>
      </c>
      <c r="AI109" s="838">
        <v>11472491</v>
      </c>
      <c r="AJ109" s="838">
        <v>2930663</v>
      </c>
      <c r="AK109" s="838">
        <v>8025722</v>
      </c>
      <c r="AL109" s="838">
        <v>15483983.399999999</v>
      </c>
      <c r="AM109" s="838">
        <v>52487137.700000003</v>
      </c>
      <c r="AN109" s="839">
        <v>1.5755244848025638</v>
      </c>
      <c r="AO109" t="str">
        <f t="shared" si="1"/>
        <v>3. Between US$ 1 and US$ 3</v>
      </c>
    </row>
    <row r="110" spans="4:41">
      <c r="D110" s="835" t="s">
        <v>262</v>
      </c>
      <c r="E110" s="835" t="s">
        <v>550</v>
      </c>
      <c r="F110" s="838">
        <v>0</v>
      </c>
      <c r="G110" s="838">
        <v>0</v>
      </c>
      <c r="H110" s="838">
        <v>0</v>
      </c>
      <c r="I110" s="838"/>
      <c r="J110" s="838">
        <v>0</v>
      </c>
      <c r="K110" s="838">
        <v>0</v>
      </c>
      <c r="L110" s="838">
        <v>0</v>
      </c>
      <c r="M110" s="838">
        <v>0</v>
      </c>
      <c r="N110" s="838">
        <v>0</v>
      </c>
      <c r="O110" s="838">
        <v>0</v>
      </c>
      <c r="P110" s="930"/>
      <c r="Q110" s="838"/>
      <c r="R110" s="838">
        <v>0</v>
      </c>
      <c r="S110" s="838"/>
      <c r="T110" s="838"/>
      <c r="U110" s="838"/>
      <c r="V110" s="838"/>
      <c r="W110" s="838"/>
      <c r="X110" s="838"/>
      <c r="Y110" s="838"/>
      <c r="Z110" s="838">
        <v>0</v>
      </c>
      <c r="AA110" s="838">
        <v>0</v>
      </c>
      <c r="AB110" s="838"/>
      <c r="AC110" s="838"/>
      <c r="AD110" s="838"/>
      <c r="AE110" s="838"/>
      <c r="AF110" s="838">
        <v>0</v>
      </c>
      <c r="AG110" s="838">
        <v>0</v>
      </c>
      <c r="AH110" s="838">
        <v>0</v>
      </c>
      <c r="AI110" s="838">
        <v>0</v>
      </c>
      <c r="AJ110" s="838">
        <v>0</v>
      </c>
      <c r="AK110" s="838">
        <v>0</v>
      </c>
      <c r="AL110" s="838">
        <v>0</v>
      </c>
      <c r="AM110" s="838">
        <v>0</v>
      </c>
      <c r="AN110" s="839">
        <v>0</v>
      </c>
      <c r="AO110" t="str">
        <f t="shared" si="1"/>
        <v>1. No funding</v>
      </c>
    </row>
    <row r="111" spans="4:41">
      <c r="D111" s="835" t="s">
        <v>151</v>
      </c>
      <c r="E111" s="835" t="s">
        <v>152</v>
      </c>
      <c r="F111" s="838">
        <v>0</v>
      </c>
      <c r="G111" s="838">
        <v>0</v>
      </c>
      <c r="H111" s="838">
        <v>0</v>
      </c>
      <c r="I111" s="838"/>
      <c r="J111" s="838">
        <v>0</v>
      </c>
      <c r="K111" s="838">
        <v>0</v>
      </c>
      <c r="L111" s="838">
        <v>0</v>
      </c>
      <c r="M111" s="838">
        <v>0</v>
      </c>
      <c r="N111" s="838">
        <v>0</v>
      </c>
      <c r="O111" s="838">
        <v>0</v>
      </c>
      <c r="P111" s="930"/>
      <c r="Q111" s="838"/>
      <c r="R111" s="838">
        <v>0</v>
      </c>
      <c r="S111" s="838"/>
      <c r="T111" s="838"/>
      <c r="U111" s="838"/>
      <c r="V111" s="838"/>
      <c r="W111" s="838"/>
      <c r="X111" s="838"/>
      <c r="Y111" s="838"/>
      <c r="Z111" s="838">
        <v>2400000</v>
      </c>
      <c r="AA111" s="838">
        <v>1200000</v>
      </c>
      <c r="AB111" s="838"/>
      <c r="AC111" s="838"/>
      <c r="AD111" s="838"/>
      <c r="AE111" s="838"/>
      <c r="AF111" s="838">
        <v>0</v>
      </c>
      <c r="AG111" s="838">
        <v>50000</v>
      </c>
      <c r="AH111" s="838">
        <v>0</v>
      </c>
      <c r="AI111" s="838">
        <v>2400000</v>
      </c>
      <c r="AJ111" s="838">
        <v>0</v>
      </c>
      <c r="AK111" s="838">
        <v>1250000</v>
      </c>
      <c r="AL111" s="838">
        <v>0</v>
      </c>
      <c r="AM111" s="838">
        <v>2450000</v>
      </c>
      <c r="AN111" s="839">
        <v>0.4245140691413169</v>
      </c>
      <c r="AO111" t="str">
        <f t="shared" si="1"/>
        <v>2. Less than US$ 1</v>
      </c>
    </row>
    <row r="112" spans="4:41">
      <c r="D112" s="835" t="s">
        <v>263</v>
      </c>
      <c r="E112" s="835" t="s">
        <v>152</v>
      </c>
      <c r="F112" s="838">
        <v>0</v>
      </c>
      <c r="G112" s="838">
        <v>0</v>
      </c>
      <c r="H112" s="838">
        <v>0</v>
      </c>
      <c r="I112" s="838"/>
      <c r="J112" s="838">
        <v>0</v>
      </c>
      <c r="K112" s="838">
        <v>0</v>
      </c>
      <c r="L112" s="838">
        <v>0</v>
      </c>
      <c r="M112" s="838">
        <v>0</v>
      </c>
      <c r="N112" s="838">
        <v>0</v>
      </c>
      <c r="O112" s="838">
        <v>0</v>
      </c>
      <c r="P112" s="930"/>
      <c r="Q112" s="838"/>
      <c r="R112" s="838">
        <v>0</v>
      </c>
      <c r="S112" s="838"/>
      <c r="T112" s="838"/>
      <c r="U112" s="838"/>
      <c r="V112" s="838"/>
      <c r="W112" s="838"/>
      <c r="X112" s="838"/>
      <c r="Y112" s="838"/>
      <c r="Z112" s="838">
        <v>0</v>
      </c>
      <c r="AA112" s="838">
        <v>0</v>
      </c>
      <c r="AB112" s="838"/>
      <c r="AC112" s="838"/>
      <c r="AD112" s="838"/>
      <c r="AE112" s="838"/>
      <c r="AF112" s="838">
        <v>0</v>
      </c>
      <c r="AG112" s="838">
        <v>0</v>
      </c>
      <c r="AH112" s="838">
        <v>0</v>
      </c>
      <c r="AI112" s="838">
        <v>0</v>
      </c>
      <c r="AJ112" s="838">
        <v>0</v>
      </c>
      <c r="AK112" s="838">
        <v>0</v>
      </c>
      <c r="AL112" s="838">
        <v>0</v>
      </c>
      <c r="AM112" s="838">
        <v>0</v>
      </c>
      <c r="AN112" s="839">
        <v>0</v>
      </c>
      <c r="AO112" t="str">
        <f t="shared" si="1"/>
        <v>1. No funding</v>
      </c>
    </row>
    <row r="113" spans="4:41">
      <c r="D113" s="835" t="s">
        <v>264</v>
      </c>
      <c r="E113" s="835" t="s">
        <v>148</v>
      </c>
      <c r="F113" s="838">
        <v>7400000</v>
      </c>
      <c r="G113" s="838">
        <v>0</v>
      </c>
      <c r="H113" s="838">
        <v>0</v>
      </c>
      <c r="I113" s="838"/>
      <c r="J113" s="838">
        <v>381994</v>
      </c>
      <c r="K113" s="838">
        <v>200000</v>
      </c>
      <c r="L113" s="838">
        <v>135238.88888888888</v>
      </c>
      <c r="M113" s="838">
        <v>100309</v>
      </c>
      <c r="N113" s="838">
        <v>893334</v>
      </c>
      <c r="O113" s="838">
        <v>0</v>
      </c>
      <c r="P113" s="930"/>
      <c r="Q113" s="838"/>
      <c r="R113" s="838">
        <v>0</v>
      </c>
      <c r="S113" s="838"/>
      <c r="T113" s="838"/>
      <c r="U113" s="838"/>
      <c r="V113" s="838"/>
      <c r="W113" s="838"/>
      <c r="X113" s="838"/>
      <c r="Y113" s="838"/>
      <c r="Z113" s="838">
        <v>1830000</v>
      </c>
      <c r="AA113" s="838">
        <v>0</v>
      </c>
      <c r="AB113" s="838"/>
      <c r="AC113" s="838"/>
      <c r="AD113" s="838"/>
      <c r="AE113" s="838"/>
      <c r="AF113" s="838">
        <v>0</v>
      </c>
      <c r="AG113" s="838">
        <v>374000</v>
      </c>
      <c r="AH113" s="838">
        <v>7400000</v>
      </c>
      <c r="AI113" s="838">
        <v>1830000</v>
      </c>
      <c r="AJ113" s="838">
        <v>0</v>
      </c>
      <c r="AK113" s="838">
        <v>432776</v>
      </c>
      <c r="AL113" s="838">
        <v>1710875.888888889</v>
      </c>
      <c r="AM113" s="838">
        <v>11314875.888888888</v>
      </c>
      <c r="AN113" s="839">
        <v>2.8408243640228052</v>
      </c>
      <c r="AO113" t="str">
        <f t="shared" si="1"/>
        <v>3. Between US$ 1 and US$ 3</v>
      </c>
    </row>
    <row r="114" spans="4:41">
      <c r="D114" s="835" t="s">
        <v>265</v>
      </c>
      <c r="E114" s="835" t="s">
        <v>150</v>
      </c>
      <c r="F114" s="838">
        <v>0</v>
      </c>
      <c r="G114" s="838">
        <v>3160000</v>
      </c>
      <c r="H114" s="838">
        <v>0</v>
      </c>
      <c r="I114" s="838"/>
      <c r="J114" s="838">
        <v>0</v>
      </c>
      <c r="K114" s="838">
        <v>0</v>
      </c>
      <c r="L114" s="838">
        <v>50000</v>
      </c>
      <c r="M114" s="838">
        <v>25000</v>
      </c>
      <c r="N114" s="838">
        <v>0</v>
      </c>
      <c r="O114" s="838">
        <v>0</v>
      </c>
      <c r="P114" s="930"/>
      <c r="Q114" s="838"/>
      <c r="R114" s="838">
        <v>0</v>
      </c>
      <c r="S114" s="838">
        <v>25462</v>
      </c>
      <c r="T114" s="838"/>
      <c r="U114" s="838"/>
      <c r="V114" s="838"/>
      <c r="W114" s="838"/>
      <c r="X114" s="838"/>
      <c r="Y114" s="838"/>
      <c r="Z114" s="838">
        <v>0</v>
      </c>
      <c r="AA114" s="838">
        <v>0</v>
      </c>
      <c r="AB114" s="838">
        <v>126233</v>
      </c>
      <c r="AC114" s="838"/>
      <c r="AD114" s="838"/>
      <c r="AE114" s="838"/>
      <c r="AF114" s="838">
        <v>0</v>
      </c>
      <c r="AG114" s="838">
        <v>0</v>
      </c>
      <c r="AH114" s="838">
        <v>3160000</v>
      </c>
      <c r="AI114" s="838">
        <v>151695</v>
      </c>
      <c r="AJ114" s="838">
        <v>0</v>
      </c>
      <c r="AK114" s="838">
        <v>151695</v>
      </c>
      <c r="AL114" s="838">
        <v>75000</v>
      </c>
      <c r="AM114" s="838">
        <v>3386695</v>
      </c>
      <c r="AN114" s="839">
        <v>56.404305566658678</v>
      </c>
      <c r="AO114" t="str">
        <f t="shared" si="1"/>
        <v>7. Above US$ 20</v>
      </c>
    </row>
    <row r="115" spans="4:41">
      <c r="D115" s="835" t="s">
        <v>266</v>
      </c>
      <c r="E115" s="835" t="s">
        <v>150</v>
      </c>
      <c r="F115" s="838">
        <v>1800000</v>
      </c>
      <c r="G115" s="838">
        <v>0</v>
      </c>
      <c r="H115" s="838">
        <v>0</v>
      </c>
      <c r="I115" s="838"/>
      <c r="J115" s="838">
        <v>91602</v>
      </c>
      <c r="K115" s="838">
        <v>40000</v>
      </c>
      <c r="L115" s="838">
        <v>46300</v>
      </c>
      <c r="M115" s="838">
        <v>321989</v>
      </c>
      <c r="N115" s="838">
        <v>978461</v>
      </c>
      <c r="O115" s="838">
        <v>0</v>
      </c>
      <c r="P115" s="930"/>
      <c r="Q115" s="838"/>
      <c r="R115" s="838">
        <v>0</v>
      </c>
      <c r="S115" s="838"/>
      <c r="T115" s="838"/>
      <c r="U115" s="838"/>
      <c r="V115" s="838"/>
      <c r="W115" s="838"/>
      <c r="X115" s="838"/>
      <c r="Y115" s="838"/>
      <c r="Z115" s="838">
        <v>200000</v>
      </c>
      <c r="AA115" s="838">
        <v>200000</v>
      </c>
      <c r="AB115" s="838"/>
      <c r="AC115" s="838"/>
      <c r="AD115" s="838"/>
      <c r="AE115" s="838"/>
      <c r="AF115" s="838">
        <v>0</v>
      </c>
      <c r="AG115" s="838">
        <v>0</v>
      </c>
      <c r="AH115" s="838">
        <v>1800000</v>
      </c>
      <c r="AI115" s="838">
        <v>200000</v>
      </c>
      <c r="AJ115" s="838">
        <v>0</v>
      </c>
      <c r="AK115" s="838">
        <v>394440</v>
      </c>
      <c r="AL115" s="838">
        <v>1478352</v>
      </c>
      <c r="AM115" s="838">
        <v>3478352</v>
      </c>
      <c r="AN115" s="839">
        <v>51.908573748082354</v>
      </c>
      <c r="AO115" t="str">
        <f t="shared" si="1"/>
        <v>7. Above US$ 20</v>
      </c>
    </row>
    <row r="116" spans="4:41">
      <c r="D116" s="835" t="s">
        <v>267</v>
      </c>
      <c r="E116" s="835" t="s">
        <v>150</v>
      </c>
      <c r="F116" s="838">
        <v>54900000</v>
      </c>
      <c r="G116" s="838">
        <v>0</v>
      </c>
      <c r="H116" s="838">
        <v>0</v>
      </c>
      <c r="I116" s="838"/>
      <c r="J116" s="838">
        <v>463070</v>
      </c>
      <c r="K116" s="838">
        <v>225000</v>
      </c>
      <c r="L116" s="838">
        <v>171296.29629629629</v>
      </c>
      <c r="M116" s="838">
        <v>186993</v>
      </c>
      <c r="N116" s="838">
        <v>1380115</v>
      </c>
      <c r="O116" s="838">
        <v>0</v>
      </c>
      <c r="P116" s="930"/>
      <c r="Q116" s="838"/>
      <c r="R116" s="838">
        <v>0</v>
      </c>
      <c r="S116" s="838"/>
      <c r="T116" s="838"/>
      <c r="U116" s="838"/>
      <c r="V116" s="838"/>
      <c r="W116" s="838"/>
      <c r="X116" s="838"/>
      <c r="Y116" s="838"/>
      <c r="Z116" s="838">
        <v>2200000</v>
      </c>
      <c r="AA116" s="838">
        <v>900000</v>
      </c>
      <c r="AB116" s="838">
        <v>891000</v>
      </c>
      <c r="AC116" s="838"/>
      <c r="AD116" s="838"/>
      <c r="AE116" s="838">
        <v>779275</v>
      </c>
      <c r="AF116" s="838">
        <v>0</v>
      </c>
      <c r="AG116" s="838">
        <v>779275</v>
      </c>
      <c r="AH116" s="838">
        <v>54900000</v>
      </c>
      <c r="AI116" s="838">
        <v>3091000</v>
      </c>
      <c r="AJ116" s="838">
        <v>779275</v>
      </c>
      <c r="AK116" s="838">
        <v>3349550</v>
      </c>
      <c r="AL116" s="838">
        <v>2426474.2962962962</v>
      </c>
      <c r="AM116" s="838">
        <v>61976024.296296299</v>
      </c>
      <c r="AN116" s="839">
        <v>12.013436119795076</v>
      </c>
      <c r="AO116" t="str">
        <f t="shared" si="1"/>
        <v>6. Between US$ 10 and US$ 20</v>
      </c>
    </row>
    <row r="117" spans="4:41">
      <c r="D117" s="835" t="s">
        <v>153</v>
      </c>
      <c r="E117" s="835" t="s">
        <v>152</v>
      </c>
      <c r="F117" s="838">
        <v>0</v>
      </c>
      <c r="G117" s="838">
        <v>0</v>
      </c>
      <c r="H117" s="838">
        <v>0</v>
      </c>
      <c r="I117" s="838"/>
      <c r="J117" s="838">
        <v>0</v>
      </c>
      <c r="K117" s="838">
        <v>0</v>
      </c>
      <c r="L117" s="838">
        <v>0</v>
      </c>
      <c r="M117" s="838">
        <v>0</v>
      </c>
      <c r="N117" s="838">
        <v>0</v>
      </c>
      <c r="O117" s="838">
        <v>0</v>
      </c>
      <c r="P117" s="930"/>
      <c r="Q117" s="838"/>
      <c r="R117" s="838">
        <v>0</v>
      </c>
      <c r="S117" s="838"/>
      <c r="T117" s="838"/>
      <c r="U117" s="838"/>
      <c r="V117" s="838"/>
      <c r="W117" s="838"/>
      <c r="X117" s="838"/>
      <c r="Y117" s="838"/>
      <c r="Z117" s="838">
        <v>2500000</v>
      </c>
      <c r="AA117" s="838">
        <v>0</v>
      </c>
      <c r="AB117" s="838"/>
      <c r="AC117" s="838"/>
      <c r="AD117" s="838"/>
      <c r="AE117" s="838"/>
      <c r="AF117" s="838">
        <v>0</v>
      </c>
      <c r="AG117" s="838">
        <v>100000</v>
      </c>
      <c r="AH117" s="838">
        <v>0</v>
      </c>
      <c r="AI117" s="838">
        <v>2500000</v>
      </c>
      <c r="AJ117" s="838">
        <v>0</v>
      </c>
      <c r="AK117" s="838">
        <v>100000</v>
      </c>
      <c r="AL117" s="838">
        <v>0</v>
      </c>
      <c r="AM117" s="838">
        <v>2600000</v>
      </c>
      <c r="AN117" s="839">
        <v>0.99644953533067038</v>
      </c>
      <c r="AO117" t="str">
        <f t="shared" si="1"/>
        <v>2. Less than US$ 1</v>
      </c>
    </row>
    <row r="118" spans="4:41">
      <c r="D118" s="835" t="s">
        <v>268</v>
      </c>
      <c r="E118" s="835" t="s">
        <v>550</v>
      </c>
      <c r="F118" s="838">
        <v>0</v>
      </c>
      <c r="G118" s="838">
        <v>0</v>
      </c>
      <c r="H118" s="838">
        <v>0</v>
      </c>
      <c r="I118" s="838"/>
      <c r="J118" s="838">
        <v>0</v>
      </c>
      <c r="K118" s="838">
        <v>0</v>
      </c>
      <c r="L118" s="838">
        <v>0</v>
      </c>
      <c r="M118" s="838">
        <v>0</v>
      </c>
      <c r="N118" s="838">
        <v>0</v>
      </c>
      <c r="O118" s="838">
        <v>0</v>
      </c>
      <c r="P118" s="930"/>
      <c r="Q118" s="838"/>
      <c r="R118" s="838">
        <v>0</v>
      </c>
      <c r="S118" s="838"/>
      <c r="T118" s="838"/>
      <c r="U118" s="838"/>
      <c r="V118" s="838"/>
      <c r="W118" s="838"/>
      <c r="X118" s="838"/>
      <c r="Y118" s="838"/>
      <c r="Z118" s="838">
        <v>330000</v>
      </c>
      <c r="AA118" s="838">
        <v>0</v>
      </c>
      <c r="AB118" s="838"/>
      <c r="AC118" s="838"/>
      <c r="AD118" s="838"/>
      <c r="AE118" s="838"/>
      <c r="AF118" s="838">
        <v>0</v>
      </c>
      <c r="AG118" s="838">
        <v>0</v>
      </c>
      <c r="AH118" s="838">
        <v>0</v>
      </c>
      <c r="AI118" s="838">
        <v>330000</v>
      </c>
      <c r="AJ118" s="838">
        <v>0</v>
      </c>
      <c r="AK118" s="838">
        <v>0</v>
      </c>
      <c r="AL118" s="838">
        <v>0</v>
      </c>
      <c r="AM118" s="838">
        <v>330000</v>
      </c>
      <c r="AN118" s="839">
        <v>11.185682326621924</v>
      </c>
      <c r="AO118" t="str">
        <f t="shared" si="1"/>
        <v>6. Between US$ 10 and US$ 20</v>
      </c>
    </row>
    <row r="119" spans="4:41">
      <c r="D119" s="835" t="s">
        <v>269</v>
      </c>
      <c r="E119" s="835" t="s">
        <v>148</v>
      </c>
      <c r="F119" s="838">
        <v>8500000</v>
      </c>
      <c r="G119" s="838">
        <v>0</v>
      </c>
      <c r="H119" s="838">
        <v>0</v>
      </c>
      <c r="I119" s="838">
        <v>173000</v>
      </c>
      <c r="J119" s="838">
        <v>279827</v>
      </c>
      <c r="K119" s="838">
        <v>215000</v>
      </c>
      <c r="L119" s="838">
        <v>94500</v>
      </c>
      <c r="M119" s="838">
        <v>148730</v>
      </c>
      <c r="N119" s="838">
        <v>967687</v>
      </c>
      <c r="O119" s="838">
        <v>0</v>
      </c>
      <c r="P119" s="930">
        <v>2172278.56</v>
      </c>
      <c r="Q119" s="838">
        <v>1114766</v>
      </c>
      <c r="R119" s="838">
        <v>0</v>
      </c>
      <c r="S119" s="838"/>
      <c r="T119" s="838"/>
      <c r="U119" s="838"/>
      <c r="V119" s="838"/>
      <c r="W119" s="838"/>
      <c r="X119" s="838"/>
      <c r="Y119" s="838"/>
      <c r="Z119" s="838">
        <v>2000000</v>
      </c>
      <c r="AA119" s="838">
        <v>1450000</v>
      </c>
      <c r="AB119" s="838"/>
      <c r="AC119" s="838"/>
      <c r="AD119" s="838"/>
      <c r="AE119" s="838">
        <v>472533</v>
      </c>
      <c r="AF119" s="838">
        <v>0</v>
      </c>
      <c r="AG119" s="838">
        <v>472533</v>
      </c>
      <c r="AH119" s="838">
        <v>8500000</v>
      </c>
      <c r="AI119" s="838">
        <v>3114766</v>
      </c>
      <c r="AJ119" s="838">
        <v>472533</v>
      </c>
      <c r="AK119" s="838">
        <v>4224872</v>
      </c>
      <c r="AL119" s="838">
        <v>4051022.56</v>
      </c>
      <c r="AM119" s="838">
        <v>16610854.560000001</v>
      </c>
      <c r="AN119" s="839">
        <v>6.8010296581288863</v>
      </c>
      <c r="AO119" t="str">
        <f t="shared" si="1"/>
        <v>5. Between US$ 5 and US$ 10</v>
      </c>
    </row>
    <row r="120" spans="4:41">
      <c r="D120" s="835" t="s">
        <v>270</v>
      </c>
      <c r="E120" s="835" t="s">
        <v>150</v>
      </c>
      <c r="F120" s="838">
        <v>0</v>
      </c>
      <c r="G120" s="838">
        <v>0</v>
      </c>
      <c r="H120" s="838">
        <v>0</v>
      </c>
      <c r="I120" s="838"/>
      <c r="J120" s="838">
        <v>0</v>
      </c>
      <c r="K120" s="838">
        <v>75200</v>
      </c>
      <c r="L120" s="838">
        <v>151000</v>
      </c>
      <c r="M120" s="838">
        <v>93090</v>
      </c>
      <c r="N120" s="838">
        <v>0</v>
      </c>
      <c r="O120" s="838">
        <v>0</v>
      </c>
      <c r="P120" s="930"/>
      <c r="Q120" s="838"/>
      <c r="R120" s="838">
        <v>0</v>
      </c>
      <c r="S120" s="838">
        <v>107682</v>
      </c>
      <c r="T120" s="838"/>
      <c r="U120" s="838"/>
      <c r="V120" s="838"/>
      <c r="W120" s="838"/>
      <c r="X120" s="838"/>
      <c r="Y120" s="838"/>
      <c r="Z120" s="838">
        <v>0</v>
      </c>
      <c r="AA120" s="838">
        <v>0</v>
      </c>
      <c r="AB120" s="838">
        <v>3316389</v>
      </c>
      <c r="AC120" s="838"/>
      <c r="AD120" s="838"/>
      <c r="AE120" s="838"/>
      <c r="AF120" s="838">
        <v>0</v>
      </c>
      <c r="AG120" s="838">
        <v>0</v>
      </c>
      <c r="AH120" s="838">
        <v>0</v>
      </c>
      <c r="AI120" s="838">
        <v>3424071</v>
      </c>
      <c r="AJ120" s="838">
        <v>0</v>
      </c>
      <c r="AK120" s="838">
        <v>3424071</v>
      </c>
      <c r="AL120" s="838">
        <v>319290</v>
      </c>
      <c r="AM120" s="838">
        <v>3743361</v>
      </c>
      <c r="AN120" s="839">
        <v>17.724373042422176</v>
      </c>
      <c r="AO120" t="str">
        <f t="shared" si="1"/>
        <v>6. Between US$ 10 and US$ 20</v>
      </c>
    </row>
    <row r="121" spans="4:41">
      <c r="D121" s="835" t="s">
        <v>271</v>
      </c>
      <c r="E121" s="835" t="s">
        <v>148</v>
      </c>
      <c r="F121" s="838">
        <v>18000000</v>
      </c>
      <c r="G121" s="838">
        <v>0</v>
      </c>
      <c r="H121" s="838">
        <v>0</v>
      </c>
      <c r="I121" s="838">
        <v>995840</v>
      </c>
      <c r="J121" s="838">
        <v>455449</v>
      </c>
      <c r="K121" s="838">
        <v>3077980</v>
      </c>
      <c r="L121" s="838">
        <v>499062.40740740742</v>
      </c>
      <c r="M121" s="838">
        <v>557990.22</v>
      </c>
      <c r="N121" s="838">
        <v>5100000</v>
      </c>
      <c r="O121" s="838">
        <v>0</v>
      </c>
      <c r="P121" s="930"/>
      <c r="Q121" s="838">
        <v>0</v>
      </c>
      <c r="R121" s="838">
        <v>0</v>
      </c>
      <c r="S121" s="838"/>
      <c r="T121" s="838"/>
      <c r="U121" s="838"/>
      <c r="V121" s="838"/>
      <c r="W121" s="838"/>
      <c r="X121" s="838"/>
      <c r="Y121" s="838"/>
      <c r="Z121" s="838">
        <v>1500000</v>
      </c>
      <c r="AA121" s="838">
        <v>1500000</v>
      </c>
      <c r="AB121" s="838">
        <v>815580</v>
      </c>
      <c r="AC121" s="838"/>
      <c r="AD121" s="838"/>
      <c r="AE121" s="838">
        <v>345491</v>
      </c>
      <c r="AF121" s="838">
        <v>0</v>
      </c>
      <c r="AG121" s="838">
        <v>2015014</v>
      </c>
      <c r="AH121" s="838">
        <v>18000000</v>
      </c>
      <c r="AI121" s="838">
        <v>2315580</v>
      </c>
      <c r="AJ121" s="838">
        <v>345491</v>
      </c>
      <c r="AK121" s="838">
        <v>7296861</v>
      </c>
      <c r="AL121" s="838">
        <v>10686321.627407407</v>
      </c>
      <c r="AM121" s="838">
        <v>33362406.627407409</v>
      </c>
      <c r="AN121" s="839">
        <v>6.797764118179531</v>
      </c>
      <c r="AO121" t="str">
        <f t="shared" si="1"/>
        <v>5. Between US$ 5 and US$ 10</v>
      </c>
    </row>
    <row r="122" spans="4:41">
      <c r="D122" s="835" t="s">
        <v>272</v>
      </c>
      <c r="E122" s="835" t="s">
        <v>152</v>
      </c>
      <c r="F122" s="838">
        <v>0</v>
      </c>
      <c r="G122" s="838">
        <v>0</v>
      </c>
      <c r="H122" s="838">
        <v>0</v>
      </c>
      <c r="I122" s="838"/>
      <c r="J122" s="838">
        <v>0</v>
      </c>
      <c r="K122" s="838">
        <v>0</v>
      </c>
      <c r="L122" s="838">
        <v>0</v>
      </c>
      <c r="M122" s="838">
        <v>0</v>
      </c>
      <c r="N122" s="838">
        <v>0</v>
      </c>
      <c r="O122" s="838">
        <v>0</v>
      </c>
      <c r="P122" s="930"/>
      <c r="Q122" s="838"/>
      <c r="R122" s="838">
        <v>0</v>
      </c>
      <c r="S122" s="838"/>
      <c r="T122" s="838"/>
      <c r="U122" s="838"/>
      <c r="V122" s="838"/>
      <c r="W122" s="838"/>
      <c r="X122" s="838"/>
      <c r="Y122" s="838"/>
      <c r="Z122" s="838">
        <v>10000000</v>
      </c>
      <c r="AA122" s="838">
        <v>0</v>
      </c>
      <c r="AB122" s="838"/>
      <c r="AC122" s="838"/>
      <c r="AD122" s="838"/>
      <c r="AE122" s="838">
        <v>555556</v>
      </c>
      <c r="AF122" s="838">
        <v>987000</v>
      </c>
      <c r="AG122" s="838">
        <v>1872229</v>
      </c>
      <c r="AH122" s="838">
        <v>0</v>
      </c>
      <c r="AI122" s="838">
        <v>10000000</v>
      </c>
      <c r="AJ122" s="838">
        <v>1542556</v>
      </c>
      <c r="AK122" s="838">
        <v>2427785</v>
      </c>
      <c r="AL122" s="838">
        <v>0</v>
      </c>
      <c r="AM122" s="838">
        <v>13414785</v>
      </c>
      <c r="AN122" s="839">
        <v>0.74474456178971793</v>
      </c>
      <c r="AO122" t="str">
        <f t="shared" si="1"/>
        <v>2. Less than US$ 1</v>
      </c>
    </row>
    <row r="123" spans="4:41">
      <c r="D123" s="835" t="s">
        <v>273</v>
      </c>
      <c r="E123" s="835" t="s">
        <v>148</v>
      </c>
      <c r="F123" s="838">
        <v>7500000</v>
      </c>
      <c r="G123" s="838">
        <v>0</v>
      </c>
      <c r="H123" s="838">
        <v>0</v>
      </c>
      <c r="I123" s="838">
        <v>500000</v>
      </c>
      <c r="J123" s="838">
        <v>344160</v>
      </c>
      <c r="K123" s="838">
        <v>1337523</v>
      </c>
      <c r="L123" s="838">
        <v>305807.40740740742</v>
      </c>
      <c r="M123" s="838">
        <v>351367</v>
      </c>
      <c r="N123" s="838">
        <v>2766766</v>
      </c>
      <c r="O123" s="838">
        <v>0</v>
      </c>
      <c r="P123" s="930"/>
      <c r="Q123" s="838">
        <v>0</v>
      </c>
      <c r="R123" s="838">
        <v>0</v>
      </c>
      <c r="S123" s="838"/>
      <c r="T123" s="838"/>
      <c r="U123" s="838"/>
      <c r="V123" s="838"/>
      <c r="W123" s="838"/>
      <c r="X123" s="838"/>
      <c r="Y123" s="838">
        <v>1620781</v>
      </c>
      <c r="Z123" s="838">
        <v>2934755</v>
      </c>
      <c r="AA123" s="838">
        <v>0</v>
      </c>
      <c r="AB123" s="838">
        <v>1005223</v>
      </c>
      <c r="AC123" s="838"/>
      <c r="AD123" s="838"/>
      <c r="AE123" s="838"/>
      <c r="AF123" s="838">
        <v>0</v>
      </c>
      <c r="AG123" s="838">
        <v>680600</v>
      </c>
      <c r="AH123" s="838">
        <v>7500000</v>
      </c>
      <c r="AI123" s="838">
        <v>5560759</v>
      </c>
      <c r="AJ123" s="838">
        <v>0</v>
      </c>
      <c r="AK123" s="838">
        <v>4276995</v>
      </c>
      <c r="AL123" s="838">
        <v>5605623.4074074076</v>
      </c>
      <c r="AM123" s="838">
        <v>19346982.407407407</v>
      </c>
      <c r="AN123" s="839">
        <v>5.6662687966512912</v>
      </c>
      <c r="AO123" t="str">
        <f t="shared" si="1"/>
        <v>5. Between US$ 5 and US$ 10</v>
      </c>
    </row>
    <row r="124" spans="4:41">
      <c r="D124" s="835" t="s">
        <v>274</v>
      </c>
      <c r="E124" s="835" t="s">
        <v>150</v>
      </c>
      <c r="F124" s="838">
        <v>39100000</v>
      </c>
      <c r="G124" s="838">
        <v>48970000</v>
      </c>
      <c r="H124" s="838">
        <v>0</v>
      </c>
      <c r="I124" s="838"/>
      <c r="J124" s="838">
        <v>374093</v>
      </c>
      <c r="K124" s="838">
        <v>40000</v>
      </c>
      <c r="L124" s="838">
        <v>46000</v>
      </c>
      <c r="M124" s="838">
        <v>160000</v>
      </c>
      <c r="N124" s="838">
        <v>981803</v>
      </c>
      <c r="O124" s="838">
        <v>979797</v>
      </c>
      <c r="P124" s="930"/>
      <c r="Q124" s="838"/>
      <c r="R124" s="838">
        <v>0</v>
      </c>
      <c r="S124" s="838"/>
      <c r="T124" s="838"/>
      <c r="U124" s="838"/>
      <c r="V124" s="838"/>
      <c r="W124" s="838"/>
      <c r="X124" s="838"/>
      <c r="Y124" s="838"/>
      <c r="Z124" s="838">
        <v>1000000</v>
      </c>
      <c r="AA124" s="838">
        <v>0</v>
      </c>
      <c r="AB124" s="838">
        <v>2166298</v>
      </c>
      <c r="AC124" s="838"/>
      <c r="AD124" s="838"/>
      <c r="AE124" s="838"/>
      <c r="AF124" s="838">
        <v>0</v>
      </c>
      <c r="AG124" s="838">
        <v>500000</v>
      </c>
      <c r="AH124" s="838">
        <v>88070000</v>
      </c>
      <c r="AI124" s="838">
        <v>3166298</v>
      </c>
      <c r="AJ124" s="838">
        <v>0</v>
      </c>
      <c r="AK124" s="838">
        <v>2666298</v>
      </c>
      <c r="AL124" s="838">
        <v>3561490</v>
      </c>
      <c r="AM124" s="838">
        <v>94317991</v>
      </c>
      <c r="AN124" s="839">
        <v>14.624776859636894</v>
      </c>
      <c r="AO124" t="str">
        <f t="shared" si="1"/>
        <v>6. Between US$ 10 and US$ 20</v>
      </c>
    </row>
    <row r="125" spans="4:41">
      <c r="D125" s="835" t="s">
        <v>275</v>
      </c>
      <c r="E125" s="835" t="s">
        <v>550</v>
      </c>
      <c r="F125" s="838">
        <v>0</v>
      </c>
      <c r="G125" s="838">
        <v>0</v>
      </c>
      <c r="H125" s="838">
        <v>0</v>
      </c>
      <c r="I125" s="838"/>
      <c r="J125" s="838">
        <v>0</v>
      </c>
      <c r="K125" s="838">
        <v>0</v>
      </c>
      <c r="L125" s="838">
        <v>0</v>
      </c>
      <c r="M125" s="838">
        <v>0</v>
      </c>
      <c r="N125" s="838">
        <v>0</v>
      </c>
      <c r="O125" s="838">
        <v>0</v>
      </c>
      <c r="P125" s="930"/>
      <c r="Q125" s="838"/>
      <c r="R125" s="838">
        <v>0</v>
      </c>
      <c r="S125" s="838"/>
      <c r="T125" s="838"/>
      <c r="U125" s="838"/>
      <c r="V125" s="838"/>
      <c r="W125" s="838"/>
      <c r="X125" s="838"/>
      <c r="Y125" s="838"/>
      <c r="Z125" s="838">
        <v>0</v>
      </c>
      <c r="AA125" s="838">
        <v>0</v>
      </c>
      <c r="AB125" s="838"/>
      <c r="AC125" s="838"/>
      <c r="AD125" s="838"/>
      <c r="AE125" s="838"/>
      <c r="AF125" s="838">
        <v>0</v>
      </c>
      <c r="AG125" s="838">
        <v>0</v>
      </c>
      <c r="AH125" s="838">
        <v>0</v>
      </c>
      <c r="AI125" s="838">
        <v>0</v>
      </c>
      <c r="AJ125" s="838">
        <v>0</v>
      </c>
      <c r="AK125" s="838">
        <v>0</v>
      </c>
      <c r="AL125" s="838">
        <v>0</v>
      </c>
      <c r="AM125" s="838">
        <v>0</v>
      </c>
      <c r="AN125" s="839">
        <v>0</v>
      </c>
      <c r="AO125" t="str">
        <f t="shared" si="1"/>
        <v>1. No funding</v>
      </c>
    </row>
    <row r="126" spans="4:41">
      <c r="D126" s="835" t="s">
        <v>154</v>
      </c>
      <c r="E126" s="835" t="s">
        <v>152</v>
      </c>
      <c r="F126" s="838">
        <v>0</v>
      </c>
      <c r="G126" s="838">
        <v>0</v>
      </c>
      <c r="H126" s="838">
        <v>0</v>
      </c>
      <c r="I126" s="838"/>
      <c r="J126" s="838">
        <v>0</v>
      </c>
      <c r="K126" s="838">
        <v>0</v>
      </c>
      <c r="L126" s="838">
        <v>0</v>
      </c>
      <c r="M126" s="838">
        <v>50000</v>
      </c>
      <c r="N126" s="838">
        <v>230000</v>
      </c>
      <c r="O126" s="838">
        <v>0</v>
      </c>
      <c r="P126" s="930"/>
      <c r="Q126" s="838"/>
      <c r="R126" s="838">
        <v>0</v>
      </c>
      <c r="S126" s="838"/>
      <c r="T126" s="838"/>
      <c r="U126" s="838"/>
      <c r="V126" s="838"/>
      <c r="W126" s="838"/>
      <c r="X126" s="838"/>
      <c r="Y126" s="838"/>
      <c r="Z126" s="838">
        <v>0</v>
      </c>
      <c r="AA126" s="838">
        <v>0</v>
      </c>
      <c r="AB126" s="838"/>
      <c r="AC126" s="838"/>
      <c r="AD126" s="838"/>
      <c r="AE126" s="838"/>
      <c r="AF126" s="838">
        <v>0</v>
      </c>
      <c r="AG126" s="838">
        <v>75000</v>
      </c>
      <c r="AH126" s="838">
        <v>0</v>
      </c>
      <c r="AI126" s="838">
        <v>0</v>
      </c>
      <c r="AJ126" s="838">
        <v>0</v>
      </c>
      <c r="AK126" s="838">
        <v>75000</v>
      </c>
      <c r="AL126" s="838">
        <v>280000</v>
      </c>
      <c r="AM126" s="838">
        <v>355000</v>
      </c>
      <c r="AN126" s="839">
        <v>6.4171741657221677</v>
      </c>
      <c r="AO126" t="str">
        <f t="shared" si="1"/>
        <v>5. Between US$ 5 and US$ 10</v>
      </c>
    </row>
    <row r="127" spans="4:41">
      <c r="D127" s="835" t="s">
        <v>155</v>
      </c>
      <c r="E127" s="835" t="s">
        <v>152</v>
      </c>
      <c r="F127" s="838">
        <v>0</v>
      </c>
      <c r="G127" s="838">
        <v>0</v>
      </c>
      <c r="H127" s="838">
        <v>0</v>
      </c>
      <c r="I127" s="838"/>
      <c r="J127" s="838">
        <v>0</v>
      </c>
      <c r="K127" s="838">
        <v>0</v>
      </c>
      <c r="L127" s="838">
        <v>0</v>
      </c>
      <c r="M127" s="838">
        <v>65000</v>
      </c>
      <c r="N127" s="838">
        <v>230000</v>
      </c>
      <c r="O127" s="838">
        <v>200000</v>
      </c>
      <c r="P127" s="930"/>
      <c r="Q127" s="838"/>
      <c r="R127" s="838">
        <v>0</v>
      </c>
      <c r="S127" s="838"/>
      <c r="T127" s="838"/>
      <c r="U127" s="838"/>
      <c r="V127" s="838"/>
      <c r="W127" s="838"/>
      <c r="X127" s="838"/>
      <c r="Y127" s="838"/>
      <c r="Z127" s="838">
        <v>0</v>
      </c>
      <c r="AA127" s="838">
        <v>0</v>
      </c>
      <c r="AB127" s="838"/>
      <c r="AC127" s="838"/>
      <c r="AD127" s="838"/>
      <c r="AE127" s="838"/>
      <c r="AF127" s="838">
        <v>0</v>
      </c>
      <c r="AG127" s="838">
        <v>75000</v>
      </c>
      <c r="AH127" s="838">
        <v>0</v>
      </c>
      <c r="AI127" s="838">
        <v>0</v>
      </c>
      <c r="AJ127" s="838">
        <v>0</v>
      </c>
      <c r="AK127" s="838">
        <v>75000</v>
      </c>
      <c r="AL127" s="838">
        <v>695000</v>
      </c>
      <c r="AM127" s="838">
        <v>570000</v>
      </c>
      <c r="AN127" s="839">
        <v>17.075735380024987</v>
      </c>
      <c r="AO127" t="str">
        <f t="shared" si="1"/>
        <v>6. Between US$ 10 and US$ 20</v>
      </c>
    </row>
    <row r="128" spans="4:41">
      <c r="D128" s="835" t="s">
        <v>276</v>
      </c>
      <c r="E128" s="835" t="s">
        <v>150</v>
      </c>
      <c r="F128" s="838">
        <v>0</v>
      </c>
      <c r="G128" s="838">
        <v>0</v>
      </c>
      <c r="H128" s="838">
        <v>0</v>
      </c>
      <c r="I128" s="838"/>
      <c r="J128" s="838">
        <v>0</v>
      </c>
      <c r="K128" s="838">
        <v>0</v>
      </c>
      <c r="L128" s="838">
        <v>25000</v>
      </c>
      <c r="M128" s="838">
        <v>402999.54000000004</v>
      </c>
      <c r="N128" s="838">
        <v>230000</v>
      </c>
      <c r="O128" s="838">
        <v>1000000</v>
      </c>
      <c r="P128" s="930"/>
      <c r="Q128" s="838"/>
      <c r="R128" s="838">
        <v>0</v>
      </c>
      <c r="S128" s="838"/>
      <c r="T128" s="838"/>
      <c r="U128" s="838"/>
      <c r="V128" s="838"/>
      <c r="W128" s="838"/>
      <c r="X128" s="838"/>
      <c r="Y128" s="838"/>
      <c r="Z128" s="838">
        <v>900000</v>
      </c>
      <c r="AA128" s="838">
        <v>0</v>
      </c>
      <c r="AB128" s="838"/>
      <c r="AC128" s="838"/>
      <c r="AD128" s="838"/>
      <c r="AE128" s="838"/>
      <c r="AF128" s="838">
        <v>0</v>
      </c>
      <c r="AG128" s="838">
        <v>450000</v>
      </c>
      <c r="AH128" s="838">
        <v>0</v>
      </c>
      <c r="AI128" s="838">
        <v>900000</v>
      </c>
      <c r="AJ128" s="838">
        <v>0</v>
      </c>
      <c r="AK128" s="838">
        <v>450000</v>
      </c>
      <c r="AL128" s="838">
        <v>2657999.54</v>
      </c>
      <c r="AM128" s="838">
        <v>3007999.54</v>
      </c>
      <c r="AN128" s="839">
        <v>1.9198034779594018</v>
      </c>
      <c r="AO128" t="str">
        <f t="shared" si="1"/>
        <v>3. Between US$ 1 and US$ 3</v>
      </c>
    </row>
    <row r="129" spans="4:41">
      <c r="D129" s="835" t="s">
        <v>277</v>
      </c>
      <c r="E129" s="835" t="s">
        <v>148</v>
      </c>
      <c r="F129" s="838">
        <v>49600000</v>
      </c>
      <c r="G129" s="838">
        <v>0</v>
      </c>
      <c r="H129" s="838">
        <v>0</v>
      </c>
      <c r="I129" s="838"/>
      <c r="J129" s="838">
        <v>936629</v>
      </c>
      <c r="K129" s="838">
        <v>50000</v>
      </c>
      <c r="L129" s="838">
        <v>384079.62962962961</v>
      </c>
      <c r="M129" s="838">
        <v>685003</v>
      </c>
      <c r="N129" s="838">
        <v>3536433</v>
      </c>
      <c r="O129" s="838">
        <v>0</v>
      </c>
      <c r="P129" s="930"/>
      <c r="Q129" s="838"/>
      <c r="R129" s="838">
        <v>0</v>
      </c>
      <c r="S129" s="838"/>
      <c r="T129" s="838"/>
      <c r="U129" s="838"/>
      <c r="V129" s="838"/>
      <c r="W129" s="838"/>
      <c r="X129" s="838"/>
      <c r="Y129" s="838"/>
      <c r="Z129" s="838">
        <v>710000</v>
      </c>
      <c r="AA129" s="838">
        <v>0</v>
      </c>
      <c r="AB129" s="838"/>
      <c r="AC129" s="838"/>
      <c r="AD129" s="838"/>
      <c r="AE129" s="838">
        <v>476081.75</v>
      </c>
      <c r="AF129" s="838">
        <v>0</v>
      </c>
      <c r="AG129" s="838">
        <v>7767500</v>
      </c>
      <c r="AH129" s="838">
        <v>49600000</v>
      </c>
      <c r="AI129" s="838">
        <v>710000</v>
      </c>
      <c r="AJ129" s="838">
        <v>476081.75</v>
      </c>
      <c r="AK129" s="838">
        <v>9367936.75</v>
      </c>
      <c r="AL129" s="838">
        <v>5592144.6296296297</v>
      </c>
      <c r="AM129" s="838">
        <v>64145726.379629627</v>
      </c>
      <c r="AN129" s="839">
        <v>4.7611262058117649</v>
      </c>
      <c r="AO129" t="str">
        <f t="shared" si="1"/>
        <v>4. Between US$ 3 and US$ 5</v>
      </c>
    </row>
    <row r="130" spans="4:41">
      <c r="D130" s="835" t="s">
        <v>278</v>
      </c>
      <c r="E130" s="835" t="s">
        <v>152</v>
      </c>
      <c r="F130" s="838">
        <v>0</v>
      </c>
      <c r="G130" s="838">
        <v>0</v>
      </c>
      <c r="H130" s="838">
        <v>0</v>
      </c>
      <c r="I130" s="838"/>
      <c r="J130" s="838">
        <v>0</v>
      </c>
      <c r="K130" s="838">
        <v>0</v>
      </c>
      <c r="L130" s="838">
        <v>0</v>
      </c>
      <c r="M130" s="838">
        <v>0</v>
      </c>
      <c r="N130" s="838">
        <v>0</v>
      </c>
      <c r="O130" s="838">
        <v>0</v>
      </c>
      <c r="P130" s="930"/>
      <c r="Q130" s="838"/>
      <c r="R130" s="838">
        <v>0</v>
      </c>
      <c r="S130" s="838"/>
      <c r="T130" s="838"/>
      <c r="U130" s="838"/>
      <c r="V130" s="838"/>
      <c r="W130" s="838"/>
      <c r="X130" s="838"/>
      <c r="Y130" s="838"/>
      <c r="Z130" s="838">
        <v>0</v>
      </c>
      <c r="AA130" s="838">
        <v>0</v>
      </c>
      <c r="AB130" s="838"/>
      <c r="AC130" s="838"/>
      <c r="AD130" s="838"/>
      <c r="AE130" s="838">
        <v>282294</v>
      </c>
      <c r="AF130" s="838">
        <v>0</v>
      </c>
      <c r="AG130" s="838">
        <v>0</v>
      </c>
      <c r="AH130" s="838">
        <v>0</v>
      </c>
      <c r="AI130" s="838">
        <v>0</v>
      </c>
      <c r="AJ130" s="838">
        <v>282294</v>
      </c>
      <c r="AK130" s="838">
        <v>282294</v>
      </c>
      <c r="AL130" s="838">
        <v>0</v>
      </c>
      <c r="AM130" s="838">
        <v>282294</v>
      </c>
      <c r="AN130" s="839">
        <v>1.5900357892388957</v>
      </c>
      <c r="AO130" t="str">
        <f t="shared" si="1"/>
        <v>3. Between US$ 1 and US$ 3</v>
      </c>
    </row>
    <row r="131" spans="4:41">
      <c r="D131" s="835" t="s">
        <v>279</v>
      </c>
      <c r="E131" s="835" t="s">
        <v>148</v>
      </c>
      <c r="F131" s="838">
        <v>0</v>
      </c>
      <c r="G131" s="838">
        <v>0</v>
      </c>
      <c r="H131" s="838">
        <v>0</v>
      </c>
      <c r="I131" s="838"/>
      <c r="J131" s="838">
        <v>340991</v>
      </c>
      <c r="K131" s="838">
        <v>175000</v>
      </c>
      <c r="L131" s="838">
        <v>460772.22222222219</v>
      </c>
      <c r="M131" s="838">
        <v>458787.5</v>
      </c>
      <c r="N131" s="838">
        <v>2730325</v>
      </c>
      <c r="O131" s="838">
        <v>0</v>
      </c>
      <c r="P131" s="930"/>
      <c r="Q131" s="838"/>
      <c r="R131" s="838">
        <v>0</v>
      </c>
      <c r="S131" s="838"/>
      <c r="T131" s="838"/>
      <c r="U131" s="838"/>
      <c r="V131" s="838"/>
      <c r="W131" s="838"/>
      <c r="X131" s="838"/>
      <c r="Y131" s="838"/>
      <c r="Z131" s="838">
        <v>300000</v>
      </c>
      <c r="AA131" s="838">
        <v>0</v>
      </c>
      <c r="AB131" s="838"/>
      <c r="AC131" s="838"/>
      <c r="AD131" s="838"/>
      <c r="AE131" s="838"/>
      <c r="AF131" s="838">
        <v>0</v>
      </c>
      <c r="AG131" s="838">
        <v>5153018</v>
      </c>
      <c r="AH131" s="838">
        <v>0</v>
      </c>
      <c r="AI131" s="838">
        <v>300000</v>
      </c>
      <c r="AJ131" s="838">
        <v>0</v>
      </c>
      <c r="AK131" s="838">
        <v>6878887</v>
      </c>
      <c r="AL131" s="838">
        <v>4165875.722222222</v>
      </c>
      <c r="AM131" s="838">
        <v>9618893.722222222</v>
      </c>
      <c r="AN131" s="839">
        <v>1.7544045949788896</v>
      </c>
      <c r="AO131" t="str">
        <f t="shared" si="1"/>
        <v>3. Between US$ 1 and US$ 3</v>
      </c>
    </row>
    <row r="132" spans="4:41">
      <c r="D132" s="835" t="s">
        <v>280</v>
      </c>
      <c r="E132" s="835" t="s">
        <v>150</v>
      </c>
      <c r="F132" s="838">
        <v>2400000</v>
      </c>
      <c r="G132" s="838">
        <v>770000</v>
      </c>
      <c r="H132" s="838">
        <v>0</v>
      </c>
      <c r="I132" s="838"/>
      <c r="J132" s="838">
        <v>365913</v>
      </c>
      <c r="K132" s="838">
        <v>268000</v>
      </c>
      <c r="L132" s="838">
        <v>105279.62962962962</v>
      </c>
      <c r="M132" s="838">
        <v>630278.15</v>
      </c>
      <c r="N132" s="838">
        <v>978461</v>
      </c>
      <c r="O132" s="838">
        <v>0</v>
      </c>
      <c r="P132" s="930"/>
      <c r="Q132" s="838"/>
      <c r="R132" s="838">
        <v>0</v>
      </c>
      <c r="S132" s="838"/>
      <c r="T132" s="838"/>
      <c r="U132" s="838"/>
      <c r="V132" s="838"/>
      <c r="W132" s="838"/>
      <c r="X132" s="838"/>
      <c r="Y132" s="838"/>
      <c r="Z132" s="838">
        <v>1952000</v>
      </c>
      <c r="AA132" s="838">
        <v>0</v>
      </c>
      <c r="AB132" s="838"/>
      <c r="AC132" s="838"/>
      <c r="AD132" s="838"/>
      <c r="AE132" s="838"/>
      <c r="AF132" s="838">
        <v>0</v>
      </c>
      <c r="AG132" s="838">
        <v>0</v>
      </c>
      <c r="AH132" s="838">
        <v>3170000</v>
      </c>
      <c r="AI132" s="838">
        <v>1952000</v>
      </c>
      <c r="AJ132" s="838">
        <v>0</v>
      </c>
      <c r="AK132" s="838">
        <v>276360</v>
      </c>
      <c r="AL132" s="838">
        <v>2347931.7796296296</v>
      </c>
      <c r="AM132" s="838">
        <v>7469931.7796296291</v>
      </c>
      <c r="AN132" s="839">
        <v>2.5539210583756229</v>
      </c>
      <c r="AO132" t="str">
        <f t="shared" si="1"/>
        <v>3. Between US$ 1 and US$ 3</v>
      </c>
    </row>
    <row r="133" spans="4:41">
      <c r="D133" s="835" t="s">
        <v>156</v>
      </c>
      <c r="E133" s="835" t="s">
        <v>150</v>
      </c>
      <c r="F133" s="838">
        <v>0</v>
      </c>
      <c r="G133" s="838">
        <v>0</v>
      </c>
      <c r="H133" s="838">
        <v>0</v>
      </c>
      <c r="I133" s="838"/>
      <c r="J133" s="838">
        <v>1266103</v>
      </c>
      <c r="K133" s="838">
        <v>420000</v>
      </c>
      <c r="L133" s="838">
        <v>48400</v>
      </c>
      <c r="M133" s="838">
        <v>49990.400000000001</v>
      </c>
      <c r="N133" s="838">
        <v>6752492</v>
      </c>
      <c r="O133" s="838">
        <v>0</v>
      </c>
      <c r="P133" s="930"/>
      <c r="Q133" s="838"/>
      <c r="R133" s="838">
        <v>0</v>
      </c>
      <c r="S133" s="838"/>
      <c r="T133" s="838"/>
      <c r="U133" s="838"/>
      <c r="V133" s="838">
        <v>506757</v>
      </c>
      <c r="W133" s="838"/>
      <c r="X133" s="838"/>
      <c r="Y133" s="838"/>
      <c r="Z133" s="838">
        <v>2500000</v>
      </c>
      <c r="AA133" s="838">
        <v>750000</v>
      </c>
      <c r="AB133" s="838"/>
      <c r="AC133" s="838"/>
      <c r="AD133" s="838"/>
      <c r="AE133" s="838"/>
      <c r="AF133" s="838">
        <v>0</v>
      </c>
      <c r="AG133" s="838">
        <v>1824000</v>
      </c>
      <c r="AH133" s="838">
        <v>0</v>
      </c>
      <c r="AI133" s="838">
        <v>3006757</v>
      </c>
      <c r="AJ133" s="838">
        <v>0</v>
      </c>
      <c r="AK133" s="838">
        <v>3080757</v>
      </c>
      <c r="AL133" s="838">
        <v>8536985.4000000004</v>
      </c>
      <c r="AM133" s="838">
        <v>13367742.4</v>
      </c>
      <c r="AN133" s="839">
        <v>0.72455728604575842</v>
      </c>
      <c r="AO133" t="str">
        <f t="shared" si="1"/>
        <v>2. Less than US$ 1</v>
      </c>
    </row>
    <row r="134" spans="4:41">
      <c r="D134" s="835" t="s">
        <v>157</v>
      </c>
      <c r="E134" s="835" t="s">
        <v>152</v>
      </c>
      <c r="F134" s="838">
        <v>0</v>
      </c>
      <c r="G134" s="838">
        <v>0</v>
      </c>
      <c r="H134" s="838">
        <v>0</v>
      </c>
      <c r="I134" s="838"/>
      <c r="J134" s="838">
        <v>0</v>
      </c>
      <c r="K134" s="838">
        <v>0</v>
      </c>
      <c r="L134" s="838">
        <v>0</v>
      </c>
      <c r="M134" s="838">
        <v>0</v>
      </c>
      <c r="N134" s="838">
        <v>0</v>
      </c>
      <c r="O134" s="838">
        <v>0</v>
      </c>
      <c r="P134" s="930"/>
      <c r="Q134" s="838"/>
      <c r="R134" s="838">
        <v>0</v>
      </c>
      <c r="S134" s="838"/>
      <c r="T134" s="838"/>
      <c r="U134" s="838"/>
      <c r="V134" s="838"/>
      <c r="W134" s="838"/>
      <c r="X134" s="838"/>
      <c r="Y134" s="838"/>
      <c r="Z134" s="838">
        <v>1200000</v>
      </c>
      <c r="AA134" s="838">
        <v>0</v>
      </c>
      <c r="AB134" s="838">
        <v>693880</v>
      </c>
      <c r="AC134" s="838"/>
      <c r="AD134" s="838"/>
      <c r="AE134" s="838">
        <v>272222</v>
      </c>
      <c r="AF134" s="838">
        <v>0</v>
      </c>
      <c r="AG134" s="838">
        <v>0</v>
      </c>
      <c r="AH134" s="838">
        <v>0</v>
      </c>
      <c r="AI134" s="838">
        <v>1893880</v>
      </c>
      <c r="AJ134" s="838">
        <v>272222</v>
      </c>
      <c r="AK134" s="838">
        <v>966102</v>
      </c>
      <c r="AL134" s="838">
        <v>0</v>
      </c>
      <c r="AM134" s="838">
        <v>2166102</v>
      </c>
      <c r="AN134" s="839">
        <v>0.10322019845822018</v>
      </c>
      <c r="AO134" t="str">
        <f t="shared" ref="AO134:AO152" si="2">IF($AN134="","",IF($AN134=0, $AU$160, IF($AN134&lt;1, $AU$161, IF($AN134&lt;=3, $AU$162, IF($AN134&lt;=5,$AU$163, IF($AN134&lt;=10,$AU$164, IF( $AN134&lt;=20, $AU$165, IF($AN134&gt;20,$AU$166))))))))</f>
        <v>2. Less than US$ 1</v>
      </c>
    </row>
    <row r="135" spans="4:41">
      <c r="D135" s="835" t="s">
        <v>281</v>
      </c>
      <c r="E135" s="835" t="s">
        <v>150</v>
      </c>
      <c r="F135" s="838">
        <v>0</v>
      </c>
      <c r="G135" s="838">
        <v>0</v>
      </c>
      <c r="H135" s="838">
        <v>0</v>
      </c>
      <c r="I135" s="838"/>
      <c r="J135" s="838">
        <v>50361</v>
      </c>
      <c r="K135" s="838">
        <v>50000</v>
      </c>
      <c r="L135" s="838">
        <v>129999.99999999999</v>
      </c>
      <c r="M135" s="838">
        <v>25000</v>
      </c>
      <c r="N135" s="838">
        <v>244615</v>
      </c>
      <c r="O135" s="838">
        <v>0</v>
      </c>
      <c r="P135" s="930"/>
      <c r="Q135" s="838"/>
      <c r="R135" s="838">
        <v>0</v>
      </c>
      <c r="S135" s="838"/>
      <c r="T135" s="838"/>
      <c r="U135" s="838"/>
      <c r="V135" s="838"/>
      <c r="W135" s="838"/>
      <c r="X135" s="838"/>
      <c r="Y135" s="838"/>
      <c r="Z135" s="838">
        <v>725723</v>
      </c>
      <c r="AA135" s="838">
        <v>0</v>
      </c>
      <c r="AB135" s="838">
        <v>1135520</v>
      </c>
      <c r="AC135" s="838"/>
      <c r="AD135" s="838"/>
      <c r="AE135" s="838">
        <v>1683183</v>
      </c>
      <c r="AF135" s="838">
        <v>99000</v>
      </c>
      <c r="AG135" s="838">
        <v>260000</v>
      </c>
      <c r="AH135" s="838">
        <v>0</v>
      </c>
      <c r="AI135" s="838">
        <v>1861243</v>
      </c>
      <c r="AJ135" s="838">
        <v>1782183</v>
      </c>
      <c r="AK135" s="838">
        <v>3078703</v>
      </c>
      <c r="AL135" s="838">
        <v>499976</v>
      </c>
      <c r="AM135" s="838">
        <v>4403402</v>
      </c>
      <c r="AN135" s="839">
        <v>10.922151737822839</v>
      </c>
      <c r="AO135" t="str">
        <f t="shared" si="2"/>
        <v>6. Between US$ 10 and US$ 20</v>
      </c>
    </row>
    <row r="136" spans="4:41">
      <c r="D136" s="835" t="s">
        <v>282</v>
      </c>
      <c r="E136" s="835" t="s">
        <v>148</v>
      </c>
      <c r="F136" s="838">
        <v>21600000</v>
      </c>
      <c r="G136" s="838">
        <v>0</v>
      </c>
      <c r="H136" s="838">
        <v>0</v>
      </c>
      <c r="I136" s="838"/>
      <c r="J136" s="838">
        <v>283310</v>
      </c>
      <c r="K136" s="838">
        <v>40000</v>
      </c>
      <c r="L136" s="838">
        <v>141046.29629629629</v>
      </c>
      <c r="M136" s="838">
        <v>213951</v>
      </c>
      <c r="N136" s="838">
        <v>1000017</v>
      </c>
      <c r="O136" s="838">
        <v>0</v>
      </c>
      <c r="P136" s="930"/>
      <c r="Q136" s="838"/>
      <c r="R136" s="838">
        <v>0</v>
      </c>
      <c r="S136" s="838"/>
      <c r="T136" s="838"/>
      <c r="U136" s="838"/>
      <c r="V136" s="838"/>
      <c r="W136" s="838"/>
      <c r="X136" s="838"/>
      <c r="Y136" s="838"/>
      <c r="Z136" s="838">
        <v>500000</v>
      </c>
      <c r="AA136" s="838">
        <v>0</v>
      </c>
      <c r="AB136" s="838"/>
      <c r="AC136" s="838"/>
      <c r="AD136" s="838"/>
      <c r="AE136" s="838"/>
      <c r="AF136" s="838">
        <v>0</v>
      </c>
      <c r="AG136" s="838">
        <v>500000</v>
      </c>
      <c r="AH136" s="838">
        <v>21600000</v>
      </c>
      <c r="AI136" s="838">
        <v>500000</v>
      </c>
      <c r="AJ136" s="838">
        <v>0</v>
      </c>
      <c r="AK136" s="838">
        <v>500000</v>
      </c>
      <c r="AL136" s="838">
        <v>1678324.2962962962</v>
      </c>
      <c r="AM136" s="838">
        <v>24278324.296296295</v>
      </c>
      <c r="AN136" s="839">
        <v>9.5453453268166886</v>
      </c>
      <c r="AO136" t="str">
        <f t="shared" si="2"/>
        <v>5. Between US$ 5 and US$ 10</v>
      </c>
    </row>
    <row r="137" spans="4:41">
      <c r="D137" s="835" t="s">
        <v>283</v>
      </c>
      <c r="E137" s="835" t="s">
        <v>152</v>
      </c>
      <c r="F137" s="838">
        <v>0</v>
      </c>
      <c r="G137" s="838">
        <v>2770000</v>
      </c>
      <c r="H137" s="838">
        <v>0</v>
      </c>
      <c r="I137" s="838"/>
      <c r="J137" s="838">
        <v>0</v>
      </c>
      <c r="K137" s="838">
        <v>0</v>
      </c>
      <c r="L137" s="838">
        <v>55481.481481481474</v>
      </c>
      <c r="M137" s="838">
        <v>25000</v>
      </c>
      <c r="N137" s="838">
        <v>230000</v>
      </c>
      <c r="O137" s="838">
        <v>230000</v>
      </c>
      <c r="P137" s="930"/>
      <c r="Q137" s="838"/>
      <c r="R137" s="838">
        <v>0</v>
      </c>
      <c r="S137" s="838">
        <v>23028</v>
      </c>
      <c r="T137" s="838"/>
      <c r="U137" s="838"/>
      <c r="V137" s="838"/>
      <c r="W137" s="838"/>
      <c r="X137" s="838"/>
      <c r="Y137" s="838"/>
      <c r="Z137" s="838">
        <v>0</v>
      </c>
      <c r="AA137" s="838">
        <v>0</v>
      </c>
      <c r="AB137" s="838">
        <v>498460</v>
      </c>
      <c r="AC137" s="838"/>
      <c r="AD137" s="838"/>
      <c r="AE137" s="838"/>
      <c r="AF137" s="838">
        <v>0</v>
      </c>
      <c r="AG137" s="838">
        <v>0</v>
      </c>
      <c r="AH137" s="838">
        <v>2770000</v>
      </c>
      <c r="AI137" s="838">
        <v>521488</v>
      </c>
      <c r="AJ137" s="838">
        <v>0</v>
      </c>
      <c r="AK137" s="838">
        <v>521488</v>
      </c>
      <c r="AL137" s="838">
        <v>770481.48148148146</v>
      </c>
      <c r="AM137" s="838">
        <v>3831969.4814814813</v>
      </c>
      <c r="AN137" s="839">
        <v>119.64547817924739</v>
      </c>
      <c r="AO137" t="str">
        <f t="shared" si="2"/>
        <v>7. Above US$ 20</v>
      </c>
    </row>
    <row r="138" spans="4:41">
      <c r="D138" s="835" t="s">
        <v>284</v>
      </c>
      <c r="E138" s="835" t="s">
        <v>550</v>
      </c>
      <c r="F138" s="838">
        <v>0</v>
      </c>
      <c r="G138" s="838">
        <v>0</v>
      </c>
      <c r="H138" s="838">
        <v>2735057</v>
      </c>
      <c r="I138" s="838"/>
      <c r="J138" s="838">
        <v>0</v>
      </c>
      <c r="K138" s="838">
        <v>0</v>
      </c>
      <c r="L138" s="838">
        <v>0</v>
      </c>
      <c r="M138" s="838">
        <v>0</v>
      </c>
      <c r="N138" s="838">
        <v>0</v>
      </c>
      <c r="O138" s="838">
        <v>0</v>
      </c>
      <c r="P138" s="930"/>
      <c r="Q138" s="838"/>
      <c r="R138" s="838">
        <v>0</v>
      </c>
      <c r="S138" s="838"/>
      <c r="T138" s="838"/>
      <c r="U138" s="838"/>
      <c r="V138" s="838"/>
      <c r="W138" s="838"/>
      <c r="X138" s="838"/>
      <c r="Y138" s="838"/>
      <c r="Z138" s="838">
        <v>0</v>
      </c>
      <c r="AA138" s="838">
        <v>0</v>
      </c>
      <c r="AB138" s="838"/>
      <c r="AC138" s="838"/>
      <c r="AD138" s="838"/>
      <c r="AE138" s="838"/>
      <c r="AF138" s="838">
        <v>0</v>
      </c>
      <c r="AG138" s="838">
        <v>0</v>
      </c>
      <c r="AH138" s="838">
        <v>2735057</v>
      </c>
      <c r="AI138" s="838">
        <v>0</v>
      </c>
      <c r="AJ138" s="838">
        <v>0</v>
      </c>
      <c r="AK138" s="838">
        <v>0</v>
      </c>
      <c r="AL138" s="838">
        <v>0</v>
      </c>
      <c r="AM138" s="838">
        <v>2735057</v>
      </c>
      <c r="AN138" s="839">
        <v>6.5144089291511467</v>
      </c>
      <c r="AO138" t="str">
        <f t="shared" si="2"/>
        <v>5. Between US$ 5 and US$ 10</v>
      </c>
    </row>
    <row r="139" spans="4:41">
      <c r="D139" s="835" t="s">
        <v>285</v>
      </c>
      <c r="E139" s="835" t="s">
        <v>150</v>
      </c>
      <c r="F139" s="838">
        <v>9300000</v>
      </c>
      <c r="G139" s="838">
        <v>0</v>
      </c>
      <c r="H139" s="838">
        <v>0</v>
      </c>
      <c r="I139" s="838"/>
      <c r="J139" s="838">
        <v>275648</v>
      </c>
      <c r="K139" s="838">
        <v>40000</v>
      </c>
      <c r="L139" s="838">
        <v>124999.99999999999</v>
      </c>
      <c r="M139" s="838">
        <v>50000.03</v>
      </c>
      <c r="N139" s="838">
        <v>530082</v>
      </c>
      <c r="O139" s="838">
        <v>499854</v>
      </c>
      <c r="P139" s="930"/>
      <c r="Q139" s="838">
        <v>0</v>
      </c>
      <c r="R139" s="838">
        <v>0</v>
      </c>
      <c r="S139" s="838"/>
      <c r="T139" s="838"/>
      <c r="U139" s="838"/>
      <c r="V139" s="838"/>
      <c r="W139" s="838"/>
      <c r="X139" s="838"/>
      <c r="Y139" s="838"/>
      <c r="Z139" s="838">
        <v>3000000</v>
      </c>
      <c r="AA139" s="838">
        <v>3000000</v>
      </c>
      <c r="AB139" s="838">
        <v>650000</v>
      </c>
      <c r="AC139" s="838"/>
      <c r="AD139" s="838"/>
      <c r="AE139" s="838">
        <v>3118906</v>
      </c>
      <c r="AF139" s="838">
        <v>0</v>
      </c>
      <c r="AG139" s="838">
        <v>0</v>
      </c>
      <c r="AH139" s="838">
        <v>9300000</v>
      </c>
      <c r="AI139" s="838">
        <v>3650000</v>
      </c>
      <c r="AJ139" s="838">
        <v>3118906</v>
      </c>
      <c r="AK139" s="838">
        <v>6768906</v>
      </c>
      <c r="AL139" s="838">
        <v>2020438.03</v>
      </c>
      <c r="AM139" s="838">
        <v>17589490.030000001</v>
      </c>
      <c r="AN139" s="839">
        <v>4.912264806285827</v>
      </c>
      <c r="AO139" t="str">
        <f t="shared" si="2"/>
        <v>4. Between US$ 3 and US$ 5</v>
      </c>
    </row>
    <row r="140" spans="4:41">
      <c r="D140" s="835" t="s">
        <v>286</v>
      </c>
      <c r="E140" s="835" t="s">
        <v>152</v>
      </c>
      <c r="F140" s="838">
        <v>0</v>
      </c>
      <c r="G140" s="838">
        <v>0</v>
      </c>
      <c r="H140" s="838">
        <v>0</v>
      </c>
      <c r="I140" s="838"/>
      <c r="J140" s="838">
        <v>0</v>
      </c>
      <c r="K140" s="838">
        <v>0</v>
      </c>
      <c r="L140" s="838">
        <v>0</v>
      </c>
      <c r="M140" s="838">
        <v>0</v>
      </c>
      <c r="N140" s="838">
        <v>0</v>
      </c>
      <c r="O140" s="838">
        <v>0</v>
      </c>
      <c r="P140" s="930"/>
      <c r="Q140" s="838"/>
      <c r="R140" s="838">
        <v>0</v>
      </c>
      <c r="S140" s="838"/>
      <c r="T140" s="838"/>
      <c r="U140" s="838"/>
      <c r="V140" s="838"/>
      <c r="W140" s="838"/>
      <c r="X140" s="838"/>
      <c r="Y140" s="838"/>
      <c r="Z140" s="838">
        <v>0</v>
      </c>
      <c r="AA140" s="838">
        <v>0</v>
      </c>
      <c r="AB140" s="838"/>
      <c r="AC140" s="838"/>
      <c r="AD140" s="838"/>
      <c r="AE140" s="838"/>
      <c r="AF140" s="838">
        <v>0</v>
      </c>
      <c r="AG140" s="838">
        <v>0</v>
      </c>
      <c r="AH140" s="838">
        <v>0</v>
      </c>
      <c r="AI140" s="838">
        <v>0</v>
      </c>
      <c r="AJ140" s="838">
        <v>0</v>
      </c>
      <c r="AK140" s="838">
        <v>0</v>
      </c>
      <c r="AL140" s="838">
        <v>0</v>
      </c>
      <c r="AM140" s="838">
        <v>0</v>
      </c>
      <c r="AN140" s="839">
        <v>0</v>
      </c>
      <c r="AO140" t="str">
        <f t="shared" si="2"/>
        <v>1. No funding</v>
      </c>
    </row>
    <row r="141" spans="4:41">
      <c r="D141" s="835" t="s">
        <v>287</v>
      </c>
      <c r="E141" s="835" t="s">
        <v>152</v>
      </c>
      <c r="F141" s="838">
        <v>0</v>
      </c>
      <c r="G141" s="838">
        <v>0</v>
      </c>
      <c r="H141" s="838">
        <v>0</v>
      </c>
      <c r="I141" s="838"/>
      <c r="J141" s="838">
        <v>0</v>
      </c>
      <c r="K141" s="838">
        <v>0</v>
      </c>
      <c r="L141" s="838">
        <v>0</v>
      </c>
      <c r="M141" s="838">
        <v>0</v>
      </c>
      <c r="N141" s="838">
        <v>0</v>
      </c>
      <c r="O141" s="838">
        <v>0</v>
      </c>
      <c r="P141" s="930"/>
      <c r="Q141" s="838"/>
      <c r="R141" s="838">
        <v>0</v>
      </c>
      <c r="S141" s="838"/>
      <c r="T141" s="838"/>
      <c r="U141" s="838"/>
      <c r="V141" s="838"/>
      <c r="W141" s="838"/>
      <c r="X141" s="838"/>
      <c r="Y141" s="838"/>
      <c r="Z141" s="838">
        <v>0</v>
      </c>
      <c r="AA141" s="838">
        <v>0</v>
      </c>
      <c r="AB141" s="838"/>
      <c r="AC141" s="838"/>
      <c r="AD141" s="838"/>
      <c r="AE141" s="838"/>
      <c r="AF141" s="838">
        <v>0</v>
      </c>
      <c r="AG141" s="838">
        <v>0</v>
      </c>
      <c r="AH141" s="838">
        <v>0</v>
      </c>
      <c r="AI141" s="838">
        <v>0</v>
      </c>
      <c r="AJ141" s="838">
        <v>0</v>
      </c>
      <c r="AK141" s="838">
        <v>0</v>
      </c>
      <c r="AL141" s="838">
        <v>0</v>
      </c>
      <c r="AM141" s="838">
        <v>0</v>
      </c>
      <c r="AN141" s="839">
        <v>0</v>
      </c>
      <c r="AO141" t="str">
        <f t="shared" si="2"/>
        <v>1. No funding</v>
      </c>
    </row>
    <row r="142" spans="4:41">
      <c r="D142" s="835" t="s">
        <v>288</v>
      </c>
      <c r="E142" s="835" t="s">
        <v>152</v>
      </c>
      <c r="F142" s="838">
        <v>0</v>
      </c>
      <c r="G142" s="838">
        <v>840000.00000000012</v>
      </c>
      <c r="H142" s="838">
        <v>0</v>
      </c>
      <c r="I142" s="838"/>
      <c r="J142" s="838">
        <v>0</v>
      </c>
      <c r="K142" s="838">
        <v>0</v>
      </c>
      <c r="L142" s="838">
        <v>48270.370370370365</v>
      </c>
      <c r="M142" s="838">
        <v>25000</v>
      </c>
      <c r="N142" s="838">
        <v>230000</v>
      </c>
      <c r="O142" s="838">
        <v>230000</v>
      </c>
      <c r="P142" s="930"/>
      <c r="Q142" s="838"/>
      <c r="R142" s="838">
        <v>0</v>
      </c>
      <c r="S142" s="838"/>
      <c r="T142" s="838"/>
      <c r="U142" s="838"/>
      <c r="V142" s="838"/>
      <c r="W142" s="838"/>
      <c r="X142" s="838"/>
      <c r="Y142" s="838"/>
      <c r="Z142" s="838">
        <v>0</v>
      </c>
      <c r="AA142" s="838">
        <v>0</v>
      </c>
      <c r="AB142" s="838">
        <v>133119</v>
      </c>
      <c r="AC142" s="838"/>
      <c r="AD142" s="838"/>
      <c r="AE142" s="838"/>
      <c r="AF142" s="838">
        <v>0</v>
      </c>
      <c r="AG142" s="838">
        <v>0</v>
      </c>
      <c r="AH142" s="838">
        <v>840000.00000000012</v>
      </c>
      <c r="AI142" s="838">
        <v>133119</v>
      </c>
      <c r="AJ142" s="838">
        <v>0</v>
      </c>
      <c r="AK142" s="838">
        <v>133119</v>
      </c>
      <c r="AL142" s="838">
        <v>763270.37037037034</v>
      </c>
      <c r="AM142" s="838">
        <v>1506389.3703703703</v>
      </c>
      <c r="AN142" s="839">
        <v>65.10006095050781</v>
      </c>
      <c r="AO142" t="str">
        <f t="shared" si="2"/>
        <v>7. Above US$ 20</v>
      </c>
    </row>
    <row r="143" spans="4:41">
      <c r="D143" s="835" t="s">
        <v>289</v>
      </c>
      <c r="E143" s="835" t="s">
        <v>148</v>
      </c>
      <c r="F143" s="838">
        <v>20150000</v>
      </c>
      <c r="G143" s="838">
        <v>0</v>
      </c>
      <c r="H143" s="838">
        <v>0</v>
      </c>
      <c r="I143" s="838"/>
      <c r="J143" s="838">
        <v>1044909</v>
      </c>
      <c r="K143" s="838">
        <v>328600</v>
      </c>
      <c r="L143" s="838">
        <v>317030.55555555556</v>
      </c>
      <c r="M143" s="838">
        <v>216660</v>
      </c>
      <c r="N143" s="838">
        <v>3554186</v>
      </c>
      <c r="O143" s="838">
        <v>0</v>
      </c>
      <c r="P143" s="930"/>
      <c r="Q143" s="838">
        <v>0</v>
      </c>
      <c r="R143" s="838">
        <v>0</v>
      </c>
      <c r="S143" s="838"/>
      <c r="T143" s="838"/>
      <c r="U143" s="838"/>
      <c r="V143" s="838"/>
      <c r="W143" s="838"/>
      <c r="X143" s="838"/>
      <c r="Y143" s="838">
        <v>929362</v>
      </c>
      <c r="Z143" s="838">
        <v>4863335</v>
      </c>
      <c r="AA143" s="838">
        <v>0</v>
      </c>
      <c r="AB143" s="838">
        <v>1518928</v>
      </c>
      <c r="AC143" s="838"/>
      <c r="AD143" s="838">
        <v>1105023</v>
      </c>
      <c r="AE143" s="838">
        <v>944445</v>
      </c>
      <c r="AF143" s="838">
        <v>1106000</v>
      </c>
      <c r="AG143" s="838">
        <v>316219</v>
      </c>
      <c r="AH143" s="838">
        <v>20150000</v>
      </c>
      <c r="AI143" s="838">
        <v>7311625</v>
      </c>
      <c r="AJ143" s="838">
        <v>3155468</v>
      </c>
      <c r="AK143" s="838">
        <v>4813977</v>
      </c>
      <c r="AL143" s="838">
        <v>5461385.555555556</v>
      </c>
      <c r="AM143" s="838">
        <v>36394697.555555552</v>
      </c>
      <c r="AN143" s="839">
        <v>2.5744177228502476</v>
      </c>
      <c r="AO143" t="str">
        <f t="shared" si="2"/>
        <v>3. Between US$ 1 and US$ 3</v>
      </c>
    </row>
    <row r="144" spans="4:41">
      <c r="D144" s="835" t="s">
        <v>290</v>
      </c>
      <c r="E144" s="835" t="s">
        <v>150</v>
      </c>
      <c r="F144" s="838">
        <v>70000000</v>
      </c>
      <c r="G144" s="838">
        <v>0</v>
      </c>
      <c r="H144" s="838">
        <v>0</v>
      </c>
      <c r="I144" s="838"/>
      <c r="J144" s="838">
        <v>681003</v>
      </c>
      <c r="K144" s="838">
        <v>110000</v>
      </c>
      <c r="L144" s="838">
        <v>50891.666666666664</v>
      </c>
      <c r="M144" s="838">
        <v>81000</v>
      </c>
      <c r="N144" s="838">
        <v>1977835</v>
      </c>
      <c r="O144" s="838">
        <v>1979999.5220290006</v>
      </c>
      <c r="P144" s="930"/>
      <c r="Q144" s="838"/>
      <c r="R144" s="838">
        <v>0</v>
      </c>
      <c r="S144" s="838"/>
      <c r="T144" s="838"/>
      <c r="U144" s="838"/>
      <c r="V144" s="838"/>
      <c r="W144" s="838"/>
      <c r="X144" s="838"/>
      <c r="Y144" s="838"/>
      <c r="Z144" s="838">
        <v>4950000</v>
      </c>
      <c r="AA144" s="838">
        <v>0</v>
      </c>
      <c r="AB144" s="838"/>
      <c r="AC144" s="838"/>
      <c r="AD144" s="838"/>
      <c r="AE144" s="838">
        <v>92593</v>
      </c>
      <c r="AF144" s="838">
        <v>0</v>
      </c>
      <c r="AG144" s="838">
        <v>1450000</v>
      </c>
      <c r="AH144" s="838">
        <v>70000000</v>
      </c>
      <c r="AI144" s="838">
        <v>4950000</v>
      </c>
      <c r="AJ144" s="838">
        <v>92593</v>
      </c>
      <c r="AK144" s="838">
        <v>1542593</v>
      </c>
      <c r="AL144" s="838">
        <v>6860728.7107246676</v>
      </c>
      <c r="AM144" s="838">
        <v>81373322.188695669</v>
      </c>
      <c r="AN144" s="839">
        <v>6.2402631435915019</v>
      </c>
      <c r="AO144" t="str">
        <f t="shared" si="2"/>
        <v>5. Between US$ 5 and US$ 10</v>
      </c>
    </row>
    <row r="145" spans="4:47">
      <c r="D145" s="835" t="s">
        <v>291</v>
      </c>
      <c r="E145" s="835" t="s">
        <v>550</v>
      </c>
      <c r="F145" s="838">
        <v>0</v>
      </c>
      <c r="G145" s="838">
        <v>0</v>
      </c>
      <c r="H145" s="838">
        <v>0</v>
      </c>
      <c r="I145" s="838"/>
      <c r="J145" s="838">
        <v>0</v>
      </c>
      <c r="K145" s="838">
        <v>412400</v>
      </c>
      <c r="L145" s="838">
        <v>0</v>
      </c>
      <c r="M145" s="838">
        <v>0</v>
      </c>
      <c r="N145" s="838">
        <v>0</v>
      </c>
      <c r="O145" s="838">
        <v>0</v>
      </c>
      <c r="P145" s="930"/>
      <c r="Q145" s="838"/>
      <c r="R145" s="838">
        <v>0</v>
      </c>
      <c r="S145" s="838"/>
      <c r="T145" s="838"/>
      <c r="U145" s="838"/>
      <c r="V145" s="838"/>
      <c r="W145" s="838"/>
      <c r="X145" s="838"/>
      <c r="Y145" s="838"/>
      <c r="Z145" s="838">
        <v>0</v>
      </c>
      <c r="AA145" s="838">
        <v>0</v>
      </c>
      <c r="AB145" s="838"/>
      <c r="AC145" s="838"/>
      <c r="AD145" s="838"/>
      <c r="AE145" s="838"/>
      <c r="AF145" s="838">
        <v>0</v>
      </c>
      <c r="AG145" s="838">
        <v>0</v>
      </c>
      <c r="AH145" s="838">
        <v>0</v>
      </c>
      <c r="AI145" s="838">
        <v>0</v>
      </c>
      <c r="AJ145" s="838">
        <v>0</v>
      </c>
      <c r="AK145" s="838">
        <v>0</v>
      </c>
      <c r="AL145" s="838">
        <v>412400</v>
      </c>
      <c r="AM145" s="838">
        <v>412400</v>
      </c>
      <c r="AN145" s="839">
        <v>0.3957324990324993</v>
      </c>
      <c r="AO145" t="str">
        <f t="shared" si="2"/>
        <v>2. Less than US$ 1</v>
      </c>
    </row>
    <row r="146" spans="4:47">
      <c r="D146" s="835" t="s">
        <v>292</v>
      </c>
      <c r="E146" s="835" t="s">
        <v>150</v>
      </c>
      <c r="F146" s="838">
        <v>0</v>
      </c>
      <c r="G146" s="838">
        <v>0</v>
      </c>
      <c r="H146" s="838">
        <v>0</v>
      </c>
      <c r="I146" s="838"/>
      <c r="J146" s="838">
        <v>949999</v>
      </c>
      <c r="K146" s="838">
        <v>275000</v>
      </c>
      <c r="L146" s="838">
        <v>105295.99999999999</v>
      </c>
      <c r="M146" s="838">
        <v>135034</v>
      </c>
      <c r="N146" s="838">
        <v>2404057</v>
      </c>
      <c r="O146" s="838">
        <v>0</v>
      </c>
      <c r="P146" s="930"/>
      <c r="Q146" s="838"/>
      <c r="R146" s="838">
        <v>0</v>
      </c>
      <c r="S146" s="838"/>
      <c r="T146" s="838"/>
      <c r="U146" s="838"/>
      <c r="V146" s="838"/>
      <c r="W146" s="838"/>
      <c r="X146" s="838"/>
      <c r="Y146" s="838"/>
      <c r="Z146" s="838">
        <v>3100000</v>
      </c>
      <c r="AA146" s="838">
        <v>2600000</v>
      </c>
      <c r="AB146" s="838"/>
      <c r="AC146" s="838"/>
      <c r="AD146" s="838"/>
      <c r="AE146" s="838"/>
      <c r="AF146" s="838">
        <v>0</v>
      </c>
      <c r="AG146" s="838">
        <v>950000</v>
      </c>
      <c r="AH146" s="838">
        <v>0</v>
      </c>
      <c r="AI146" s="838">
        <v>3100000</v>
      </c>
      <c r="AJ146" s="838">
        <v>0</v>
      </c>
      <c r="AK146" s="838">
        <v>5531860</v>
      </c>
      <c r="AL146" s="838">
        <v>3869386</v>
      </c>
      <c r="AM146" s="838">
        <v>7919386</v>
      </c>
      <c r="AN146" s="839">
        <v>0.77788001341161261</v>
      </c>
      <c r="AO146" t="str">
        <f t="shared" si="2"/>
        <v>2. Less than US$ 1</v>
      </c>
    </row>
    <row r="147" spans="4:47">
      <c r="D147" s="835" t="s">
        <v>293</v>
      </c>
      <c r="E147" s="835" t="s">
        <v>150</v>
      </c>
      <c r="F147" s="838">
        <v>0</v>
      </c>
      <c r="G147" s="838">
        <v>1610000</v>
      </c>
      <c r="H147" s="838">
        <v>0</v>
      </c>
      <c r="I147" s="838"/>
      <c r="J147" s="838">
        <v>0</v>
      </c>
      <c r="K147" s="838">
        <v>0</v>
      </c>
      <c r="L147" s="838">
        <v>0</v>
      </c>
      <c r="M147" s="838">
        <v>25000</v>
      </c>
      <c r="N147" s="838">
        <v>230000</v>
      </c>
      <c r="O147" s="838">
        <v>230000.22990000001</v>
      </c>
      <c r="P147" s="930"/>
      <c r="Q147" s="838"/>
      <c r="R147" s="838">
        <v>0</v>
      </c>
      <c r="S147" s="838">
        <v>42755</v>
      </c>
      <c r="T147" s="838"/>
      <c r="U147" s="838"/>
      <c r="V147" s="838"/>
      <c r="W147" s="838"/>
      <c r="X147" s="838"/>
      <c r="Y147" s="838"/>
      <c r="Z147" s="838">
        <v>0</v>
      </c>
      <c r="AA147" s="838">
        <v>0</v>
      </c>
      <c r="AB147" s="838">
        <v>417188</v>
      </c>
      <c r="AC147" s="838"/>
      <c r="AD147" s="838"/>
      <c r="AE147" s="838"/>
      <c r="AF147" s="838">
        <v>0</v>
      </c>
      <c r="AG147" s="838">
        <v>0</v>
      </c>
      <c r="AH147" s="838">
        <v>1610000</v>
      </c>
      <c r="AI147" s="838">
        <v>459943</v>
      </c>
      <c r="AJ147" s="838">
        <v>0</v>
      </c>
      <c r="AK147" s="838">
        <v>459943</v>
      </c>
      <c r="AL147" s="838">
        <v>715000.45980000007</v>
      </c>
      <c r="AM147" s="838">
        <v>2554943.2299000002</v>
      </c>
      <c r="AN147" s="839">
        <v>27.08251956662766</v>
      </c>
      <c r="AO147" t="str">
        <f t="shared" si="2"/>
        <v>7. Above US$ 20</v>
      </c>
    </row>
    <row r="148" spans="4:47">
      <c r="D148" s="835" t="s">
        <v>294</v>
      </c>
      <c r="E148" t="s">
        <v>322</v>
      </c>
      <c r="F148" s="838">
        <v>0</v>
      </c>
      <c r="G148" s="838">
        <v>0</v>
      </c>
      <c r="H148" s="838">
        <v>0</v>
      </c>
      <c r="I148" s="838"/>
      <c r="J148" s="838">
        <v>0</v>
      </c>
      <c r="K148" s="838">
        <v>0</v>
      </c>
      <c r="L148" s="838">
        <v>0</v>
      </c>
      <c r="M148" s="838">
        <v>0</v>
      </c>
      <c r="N148" s="838">
        <v>0</v>
      </c>
      <c r="O148" s="838">
        <v>0</v>
      </c>
      <c r="P148" s="930"/>
      <c r="Q148" s="838">
        <v>0</v>
      </c>
      <c r="R148" s="838">
        <v>0</v>
      </c>
      <c r="S148" s="838"/>
      <c r="T148" s="838"/>
      <c r="U148" s="838">
        <v>103218.84</v>
      </c>
      <c r="V148" s="838"/>
      <c r="W148" s="838">
        <v>216262</v>
      </c>
      <c r="X148" s="838"/>
      <c r="Y148" s="838"/>
      <c r="Z148" s="838">
        <v>0</v>
      </c>
      <c r="AA148" s="838">
        <v>0</v>
      </c>
      <c r="AB148" s="838">
        <v>2175926</v>
      </c>
      <c r="AC148" s="838">
        <v>6801213</v>
      </c>
      <c r="AD148" s="838"/>
      <c r="AE148" s="838"/>
      <c r="AF148" s="838">
        <v>0</v>
      </c>
      <c r="AG148" s="838">
        <v>1000000</v>
      </c>
      <c r="AH148" s="838">
        <v>0</v>
      </c>
      <c r="AI148" s="838">
        <v>9296619.8399999999</v>
      </c>
      <c r="AJ148" s="838">
        <v>0</v>
      </c>
      <c r="AK148" s="838">
        <v>10296619.84</v>
      </c>
      <c r="AL148" s="838">
        <v>0</v>
      </c>
      <c r="AM148" s="838">
        <v>10296619.84</v>
      </c>
      <c r="AN148" s="839">
        <v>1.1956847066581706</v>
      </c>
      <c r="AO148" t="str">
        <f t="shared" si="2"/>
        <v>3. Between US$ 1 and US$ 3</v>
      </c>
    </row>
    <row r="149" spans="4:47">
      <c r="D149" s="835" t="s">
        <v>295</v>
      </c>
      <c r="E149" s="835" t="s">
        <v>150</v>
      </c>
      <c r="F149" s="838">
        <v>0</v>
      </c>
      <c r="G149" s="838">
        <v>0</v>
      </c>
      <c r="H149" s="838">
        <v>0</v>
      </c>
      <c r="I149" s="838">
        <v>500000</v>
      </c>
      <c r="J149" s="838">
        <v>1230395</v>
      </c>
      <c r="K149" s="838">
        <v>70000</v>
      </c>
      <c r="L149" s="838">
        <v>100000</v>
      </c>
      <c r="M149" s="838">
        <v>95000</v>
      </c>
      <c r="N149" s="838">
        <v>1172197</v>
      </c>
      <c r="O149" s="838">
        <v>0</v>
      </c>
      <c r="P149" s="930"/>
      <c r="Q149" s="838"/>
      <c r="R149" s="838">
        <v>10290519</v>
      </c>
      <c r="S149" s="838"/>
      <c r="T149" s="838"/>
      <c r="U149" s="838"/>
      <c r="V149" s="838"/>
      <c r="W149" s="838"/>
      <c r="X149" s="838"/>
      <c r="Y149" s="838"/>
      <c r="Z149" s="838">
        <v>2037000</v>
      </c>
      <c r="AA149" s="838">
        <v>0</v>
      </c>
      <c r="AB149" s="838">
        <v>1690799</v>
      </c>
      <c r="AC149" s="838"/>
      <c r="AD149" s="838"/>
      <c r="AE149" s="838"/>
      <c r="AF149" s="838">
        <v>0</v>
      </c>
      <c r="AG149" s="838">
        <v>1000000</v>
      </c>
      <c r="AH149" s="838">
        <v>0</v>
      </c>
      <c r="AI149" s="838">
        <v>14018318</v>
      </c>
      <c r="AJ149" s="838">
        <v>0</v>
      </c>
      <c r="AK149" s="838">
        <v>9677380</v>
      </c>
      <c r="AL149" s="838">
        <v>3167592</v>
      </c>
      <c r="AM149" s="838">
        <v>18185910</v>
      </c>
      <c r="AN149" s="839">
        <v>0.61750456450896452</v>
      </c>
      <c r="AO149" t="str">
        <f t="shared" si="2"/>
        <v>2. Less than US$ 1</v>
      </c>
    </row>
    <row r="150" spans="4:47">
      <c r="D150" s="835" t="s">
        <v>296</v>
      </c>
      <c r="E150" s="835" t="s">
        <v>148</v>
      </c>
      <c r="F150" s="838">
        <v>17800000</v>
      </c>
      <c r="G150" s="838">
        <v>0</v>
      </c>
      <c r="H150" s="838">
        <v>0</v>
      </c>
      <c r="I150" s="838"/>
      <c r="J150" s="838">
        <v>738190</v>
      </c>
      <c r="K150" s="838">
        <v>1953750</v>
      </c>
      <c r="L150" s="838">
        <v>516199.99999999994</v>
      </c>
      <c r="M150" s="838">
        <v>493313.16</v>
      </c>
      <c r="N150" s="838">
        <v>4283508</v>
      </c>
      <c r="O150" s="838">
        <v>0</v>
      </c>
      <c r="P150" s="930"/>
      <c r="Q150" s="838"/>
      <c r="R150" s="838">
        <v>0</v>
      </c>
      <c r="S150" s="838"/>
      <c r="T150" s="838"/>
      <c r="U150" s="838"/>
      <c r="V150" s="838"/>
      <c r="W150" s="838"/>
      <c r="X150" s="838"/>
      <c r="Y150" s="838"/>
      <c r="Z150" s="838">
        <v>2878000</v>
      </c>
      <c r="AA150" s="838">
        <v>1400000</v>
      </c>
      <c r="AB150" s="838"/>
      <c r="AC150" s="838"/>
      <c r="AD150" s="838"/>
      <c r="AE150" s="838">
        <v>126204</v>
      </c>
      <c r="AF150" s="838">
        <v>0</v>
      </c>
      <c r="AG150" s="838">
        <v>5929249</v>
      </c>
      <c r="AH150" s="838">
        <v>17800000</v>
      </c>
      <c r="AI150" s="838">
        <v>2878000</v>
      </c>
      <c r="AJ150" s="838">
        <v>126204</v>
      </c>
      <c r="AK150" s="838">
        <v>8498530</v>
      </c>
      <c r="AL150" s="838">
        <v>7984961.1600000001</v>
      </c>
      <c r="AM150" s="838">
        <v>34718414.159999996</v>
      </c>
      <c r="AN150" s="839">
        <v>3.7955271189954396</v>
      </c>
      <c r="AO150" t="str">
        <f t="shared" si="2"/>
        <v>4. Between US$ 3 and US$ 5</v>
      </c>
    </row>
    <row r="151" spans="4:47">
      <c r="D151" s="835" t="s">
        <v>297</v>
      </c>
      <c r="E151" s="835" t="s">
        <v>150</v>
      </c>
      <c r="F151" s="838">
        <v>11800000</v>
      </c>
      <c r="G151" s="838">
        <v>0</v>
      </c>
      <c r="H151" s="838">
        <v>0</v>
      </c>
      <c r="I151" s="838"/>
      <c r="J151" s="838">
        <v>520291</v>
      </c>
      <c r="K151" s="838">
        <v>265000</v>
      </c>
      <c r="L151" s="838">
        <v>113199.99999999999</v>
      </c>
      <c r="M151" s="838">
        <v>74900</v>
      </c>
      <c r="N151" s="838">
        <v>1920838</v>
      </c>
      <c r="O151" s="838">
        <v>0</v>
      </c>
      <c r="P151" s="930"/>
      <c r="Q151" s="838">
        <v>0</v>
      </c>
      <c r="R151" s="838">
        <v>0</v>
      </c>
      <c r="S151" s="838"/>
      <c r="T151" s="838"/>
      <c r="U151" s="838"/>
      <c r="V151" s="838"/>
      <c r="W151" s="838"/>
      <c r="X151" s="838"/>
      <c r="Y151" s="838"/>
      <c r="Z151" s="838">
        <v>3200000</v>
      </c>
      <c r="AA151" s="838">
        <v>1250000</v>
      </c>
      <c r="AB151" s="838">
        <v>1092669</v>
      </c>
      <c r="AC151" s="838"/>
      <c r="AD151" s="838"/>
      <c r="AE151" s="838">
        <v>148853</v>
      </c>
      <c r="AF151" s="838">
        <v>0</v>
      </c>
      <c r="AG151" s="838">
        <v>1080000</v>
      </c>
      <c r="AH151" s="838">
        <v>11800000</v>
      </c>
      <c r="AI151" s="838">
        <v>4292669</v>
      </c>
      <c r="AJ151" s="838">
        <v>148853</v>
      </c>
      <c r="AK151" s="838">
        <v>4209117</v>
      </c>
      <c r="AL151" s="838">
        <v>2894229</v>
      </c>
      <c r="AM151" s="838">
        <v>20215751</v>
      </c>
      <c r="AN151" s="839">
        <v>3.5614956006372651</v>
      </c>
      <c r="AO151" t="str">
        <f t="shared" si="2"/>
        <v>4. Between US$ 3 and US$ 5</v>
      </c>
    </row>
    <row r="152" spans="4:47">
      <c r="D152" s="835" t="s">
        <v>298</v>
      </c>
      <c r="E152" s="835" t="s">
        <v>150</v>
      </c>
      <c r="F152" s="838">
        <v>0</v>
      </c>
      <c r="G152" s="838">
        <v>0</v>
      </c>
      <c r="H152" s="838">
        <v>0</v>
      </c>
      <c r="I152" s="838"/>
      <c r="J152" s="838">
        <v>0</v>
      </c>
      <c r="K152" s="838">
        <v>205000</v>
      </c>
      <c r="L152" s="838">
        <v>387250</v>
      </c>
      <c r="M152" s="838">
        <v>345203</v>
      </c>
      <c r="N152" s="838">
        <v>1388818</v>
      </c>
      <c r="O152" s="838">
        <v>0</v>
      </c>
      <c r="P152" s="930"/>
      <c r="Q152" s="838">
        <v>0</v>
      </c>
      <c r="R152" s="838">
        <v>0</v>
      </c>
      <c r="S152" s="838"/>
      <c r="T152" s="838"/>
      <c r="U152" s="838"/>
      <c r="V152" s="838"/>
      <c r="W152" s="838"/>
      <c r="X152" s="838"/>
      <c r="Y152" s="838">
        <v>903950</v>
      </c>
      <c r="Z152" s="838">
        <v>2500000</v>
      </c>
      <c r="AA152" s="838">
        <v>0</v>
      </c>
      <c r="AB152" s="838">
        <v>610791</v>
      </c>
      <c r="AC152" s="838"/>
      <c r="AD152" s="838"/>
      <c r="AE152" s="838"/>
      <c r="AF152" s="838">
        <v>100000</v>
      </c>
      <c r="AG152" s="838">
        <v>315226</v>
      </c>
      <c r="AH152" s="838">
        <v>0</v>
      </c>
      <c r="AI152" s="838">
        <v>4014741</v>
      </c>
      <c r="AJ152" s="838">
        <v>100000</v>
      </c>
      <c r="AK152" s="838">
        <v>2987177</v>
      </c>
      <c r="AL152" s="838">
        <v>2326271</v>
      </c>
      <c r="AM152" s="838">
        <v>6756238</v>
      </c>
      <c r="AN152" s="839">
        <v>1.4922169470073812</v>
      </c>
      <c r="AO152" t="str">
        <f t="shared" si="2"/>
        <v>3. Between US$ 1 and US$ 3</v>
      </c>
    </row>
    <row r="153" spans="4:47">
      <c r="F153"/>
      <c r="G153"/>
      <c r="H153"/>
      <c r="I153"/>
      <c r="J153"/>
      <c r="K153"/>
      <c r="L153"/>
      <c r="M153"/>
      <c r="N153"/>
      <c r="O153"/>
      <c r="P153"/>
      <c r="Q153"/>
      <c r="R153"/>
      <c r="S153"/>
      <c r="T153"/>
      <c r="U153"/>
      <c r="V153"/>
      <c r="W153"/>
      <c r="X153"/>
      <c r="Y153"/>
      <c r="Z153"/>
      <c r="AA153"/>
      <c r="AB153"/>
      <c r="AC153"/>
      <c r="AD153"/>
      <c r="AE153"/>
      <c r="AF153"/>
      <c r="AG153"/>
      <c r="AH153"/>
      <c r="AI153"/>
      <c r="AJ153"/>
      <c r="AK153"/>
      <c r="AO153" t="str">
        <f t="shared" ref="AO153" si="3">IF($AM153="","",IF($AM153=0, $AU$160, IF($AM153&lt;1, $AU$161, IF($AM153&lt;=3, $AU$162, IF($AM153&lt;=5,$AU$163, IF($AM153&lt;=10,$AU$164, IF( $AM153&lt;=20, $AU$165, IF($AM153&gt;20,$AU$166))))))))</f>
        <v/>
      </c>
    </row>
    <row r="154" spans="4:47">
      <c r="F154"/>
      <c r="G154"/>
      <c r="H154"/>
      <c r="I154"/>
      <c r="J154"/>
      <c r="K154"/>
      <c r="L154"/>
      <c r="M154"/>
      <c r="N154"/>
      <c r="O154"/>
      <c r="P154"/>
      <c r="Q154"/>
      <c r="R154"/>
      <c r="S154"/>
      <c r="T154"/>
      <c r="U154"/>
      <c r="V154"/>
      <c r="W154"/>
      <c r="X154"/>
      <c r="Y154"/>
      <c r="Z154"/>
      <c r="AA154"/>
      <c r="AB154"/>
      <c r="AC154"/>
      <c r="AD154"/>
      <c r="AE154"/>
      <c r="AF154"/>
      <c r="AG154"/>
      <c r="AH154"/>
      <c r="AI154"/>
      <c r="AJ154"/>
      <c r="AK154"/>
    </row>
    <row r="160" spans="4:47" ht="31">
      <c r="AU160" s="833" t="s">
        <v>796</v>
      </c>
    </row>
    <row r="161" spans="47:47">
      <c r="AU161" s="834" t="s">
        <v>797</v>
      </c>
    </row>
    <row r="162" spans="47:47">
      <c r="AU162" s="834" t="s">
        <v>798</v>
      </c>
    </row>
    <row r="163" spans="47:47">
      <c r="AU163" s="834" t="s">
        <v>799</v>
      </c>
    </row>
    <row r="164" spans="47:47">
      <c r="AU164" s="834" t="s">
        <v>800</v>
      </c>
    </row>
    <row r="165" spans="47:47">
      <c r="AU165" s="834" t="s">
        <v>801</v>
      </c>
    </row>
    <row r="166" spans="47:47">
      <c r="AU166" s="834" t="s">
        <v>802</v>
      </c>
    </row>
  </sheetData>
  <mergeCells count="7">
    <mergeCell ref="AD3:AF3"/>
    <mergeCell ref="G2:I2"/>
    <mergeCell ref="A1:H1"/>
    <mergeCell ref="A3:C5"/>
    <mergeCell ref="F3:H3"/>
    <mergeCell ref="Q3:AC3"/>
    <mergeCell ref="I3:P3"/>
  </mergeCells>
  <conditionalFormatting sqref="AY164">
    <cfRule type="expression" dxfId="290" priority="8">
      <formula>$AU$160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NOT(ISERROR(SEARCH($AU$166,AO5)))</xm:f>
            <xm:f>$AU$166</xm:f>
            <x14:dxf>
              <fill>
                <patternFill>
                  <bgColor rgb="FF00B050"/>
                </patternFill>
              </fill>
            </x14:dxf>
          </x14:cfRule>
          <x14:cfRule type="containsText" priority="10" operator="containsText" id="{78E3C2EC-6D2F-4B58-84B5-D48A673FEC98}">
            <xm:f>NOT(ISERROR(SEARCH($AU$165,AO5)))</xm:f>
            <xm:f>$AU$165</xm:f>
            <x14:dxf>
              <fill>
                <patternFill>
                  <bgColor rgb="FF92D050"/>
                </patternFill>
              </fill>
            </x14:dxf>
          </x14:cfRule>
          <x14:cfRule type="containsText" priority="11" operator="containsText" id="{90CAF527-8C75-402C-8EB2-536559CB6C3E}">
            <xm:f>NOT(ISERROR(SEARCH($AU$164,AO5)))</xm:f>
            <xm:f>$AU$164</xm:f>
            <x14:dxf>
              <fill>
                <patternFill>
                  <bgColor rgb="FFE2EFDA"/>
                </patternFill>
              </fill>
            </x14:dxf>
          </x14:cfRule>
          <x14:cfRule type="containsText" priority="12" operator="containsText" id="{4C7677B0-9CCB-4662-B4E5-1A30E07A2FA2}">
            <xm:f>NOT(ISERROR(SEARCH($AU$163,AO5)))</xm:f>
            <xm:f>$AU$163</xm:f>
            <x14:dxf>
              <fill>
                <patternFill>
                  <bgColor rgb="FFED7D31"/>
                </patternFill>
              </fill>
            </x14:dxf>
          </x14:cfRule>
          <x14:cfRule type="containsText" priority="13" operator="containsText" id="{6B39B3CA-2A3E-474F-8E3A-A693763994E9}">
            <xm:f>NOT(ISERROR(SEARCH($AU$162,AO5)))</xm:f>
            <xm:f>$AU$162</xm:f>
            <x14:dxf>
              <fill>
                <patternFill>
                  <bgColor rgb="FFFFFF00"/>
                </patternFill>
              </fill>
            </x14:dxf>
          </x14:cfRule>
          <x14:cfRule type="containsText" priority="14" operator="containsText" id="{6ECF95EF-5E30-4350-9B80-7B98D02F644F}">
            <xm:f>NOT(ISERROR(SEARCH($AU$161,AO5)))</xm:f>
            <xm:f>$AU$161</xm:f>
            <x14:dxf>
              <fill>
                <patternFill>
                  <bgColor rgb="FFFCE4D6"/>
                </patternFill>
              </fill>
            </x14:dxf>
          </x14:cfRule>
          <x14:cfRule type="containsText" priority="15" operator="containsText" id="{3F802F6F-ABF4-44F8-B028-8E66B7C0C3C0}">
            <xm:f>NOT(ISERROR(SEARCH($AU$160,AO5)))</xm:f>
            <xm:f>$AU$160</xm:f>
            <x14:dxf>
              <fill>
                <patternFill>
                  <bgColor rgb="FFFF0000"/>
                </patternFill>
              </fill>
            </x14:dxf>
          </x14:cfRule>
          <xm:sqref>AO5:AO153</xm:sqref>
        </x14:conditionalFormatting>
      </x14:conditionalFormattings>
    </ex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dimension ref="A1:L22"/>
  <sheetViews>
    <sheetView zoomScale="80" zoomScaleNormal="80" workbookViewId="0">
      <selection activeCell="A16" sqref="A16:XFD16"/>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803</v>
      </c>
      <c r="H1" s="1157" t="s">
        <v>804</v>
      </c>
      <c r="I1" s="1157"/>
      <c r="J1" s="1157"/>
      <c r="K1" s="792"/>
    </row>
    <row r="2" spans="1:12" ht="55" customHeight="1">
      <c r="A2" s="1254" t="s">
        <v>805</v>
      </c>
      <c r="B2" s="1255"/>
      <c r="C2" s="1256"/>
      <c r="D2" s="1257" t="s">
        <v>806</v>
      </c>
      <c r="E2" s="1257"/>
      <c r="F2" s="1258" t="s">
        <v>807</v>
      </c>
      <c r="G2" s="1259"/>
      <c r="H2" s="764">
        <v>2021</v>
      </c>
      <c r="I2" s="764">
        <v>2022</v>
      </c>
      <c r="J2" s="793">
        <v>2023</v>
      </c>
      <c r="K2" s="798" t="s">
        <v>808</v>
      </c>
      <c r="L2" s="795" t="s">
        <v>809</v>
      </c>
    </row>
    <row r="3" spans="1:12">
      <c r="A3" s="337" t="s">
        <v>810</v>
      </c>
      <c r="B3" s="337" t="s">
        <v>432</v>
      </c>
      <c r="C3" s="338"/>
      <c r="D3" s="339"/>
      <c r="E3" s="339"/>
      <c r="F3" s="340">
        <v>7937701</v>
      </c>
      <c r="G3" s="762"/>
      <c r="H3" s="765"/>
      <c r="I3" s="765"/>
      <c r="J3" s="794"/>
      <c r="K3" s="799"/>
      <c r="L3" s="796"/>
    </row>
    <row r="4" spans="1:12">
      <c r="A4" s="1260"/>
      <c r="B4" s="691" t="s">
        <v>599</v>
      </c>
      <c r="C4" s="338" t="s">
        <v>204</v>
      </c>
      <c r="D4" s="339">
        <v>5274420</v>
      </c>
      <c r="E4" s="339">
        <f>SUM(D4/1.291)</f>
        <v>4085530.5964368708</v>
      </c>
      <c r="F4" s="341"/>
      <c r="G4" s="762">
        <f>SUM(F3/1.291)</f>
        <v>6148490.3175832694</v>
      </c>
      <c r="H4" s="765">
        <v>3904500</v>
      </c>
      <c r="I4" s="765">
        <v>2243991</v>
      </c>
      <c r="J4" s="794"/>
      <c r="K4" s="799">
        <f>SUM(H4:J4)</f>
        <v>6148491</v>
      </c>
      <c r="L4" s="796">
        <v>3904500</v>
      </c>
    </row>
    <row r="5" spans="1:12">
      <c r="A5" s="1261"/>
      <c r="B5" s="692" t="s">
        <v>619</v>
      </c>
      <c r="C5" s="338" t="s">
        <v>223</v>
      </c>
      <c r="D5" s="339">
        <v>708851</v>
      </c>
      <c r="E5" s="339">
        <f t="shared" ref="E5:E22" si="0">SUM(D5/1.291)</f>
        <v>549071.26258714183</v>
      </c>
      <c r="F5" s="341"/>
      <c r="G5" s="762"/>
      <c r="H5" s="765"/>
      <c r="I5" s="765"/>
      <c r="J5" s="794"/>
      <c r="K5" s="799"/>
      <c r="L5" s="796"/>
    </row>
    <row r="6" spans="1:12">
      <c r="A6" s="1261"/>
      <c r="B6" s="692" t="s">
        <v>645</v>
      </c>
      <c r="C6" s="338" t="s">
        <v>249</v>
      </c>
      <c r="D6" s="339">
        <v>69464</v>
      </c>
      <c r="E6" s="339">
        <f t="shared" si="0"/>
        <v>53806.351665375681</v>
      </c>
      <c r="F6" s="341"/>
      <c r="G6" s="762"/>
      <c r="H6" s="765"/>
      <c r="I6" s="765"/>
      <c r="J6" s="794"/>
      <c r="K6" s="799"/>
      <c r="L6" s="796"/>
    </row>
    <row r="7" spans="1:12">
      <c r="A7" s="1261"/>
      <c r="B7" s="692" t="s">
        <v>654</v>
      </c>
      <c r="C7" s="338" t="s">
        <v>654</v>
      </c>
      <c r="D7" s="339">
        <v>53560105</v>
      </c>
      <c r="E7" s="339">
        <f t="shared" si="0"/>
        <v>41487300.54221534</v>
      </c>
      <c r="F7" s="342">
        <v>15000000</v>
      </c>
      <c r="G7" s="762">
        <f t="shared" ref="G7:G22" si="1">SUM(F7/1.291)</f>
        <v>11618900.077459335</v>
      </c>
      <c r="H7" s="765"/>
      <c r="I7" s="765"/>
      <c r="J7" s="794"/>
      <c r="K7" s="799"/>
      <c r="L7" s="796"/>
    </row>
    <row r="8" spans="1:12">
      <c r="A8" s="1261"/>
      <c r="B8" s="692" t="s">
        <v>662</v>
      </c>
      <c r="C8" s="338" t="s">
        <v>265</v>
      </c>
      <c r="D8" s="339">
        <v>1173315</v>
      </c>
      <c r="E8" s="339">
        <f t="shared" si="0"/>
        <v>908841.98295894661</v>
      </c>
      <c r="F8" s="341"/>
      <c r="G8" s="762"/>
      <c r="H8" s="765"/>
      <c r="I8" s="765"/>
      <c r="J8" s="794"/>
      <c r="K8" s="799"/>
      <c r="L8" s="796"/>
    </row>
    <row r="9" spans="1:12">
      <c r="A9" s="1261"/>
      <c r="B9" s="692" t="s">
        <v>668</v>
      </c>
      <c r="C9" s="338" t="s">
        <v>270</v>
      </c>
      <c r="D9" s="339">
        <v>4274249</v>
      </c>
      <c r="E9" s="339">
        <f t="shared" si="0"/>
        <v>3310804.802478699</v>
      </c>
      <c r="F9" s="341"/>
      <c r="G9" s="762"/>
      <c r="H9" s="765"/>
      <c r="I9" s="765"/>
      <c r="J9" s="794"/>
      <c r="K9" s="799"/>
      <c r="L9" s="796"/>
    </row>
    <row r="10" spans="1:12">
      <c r="A10" s="1261"/>
      <c r="B10" s="692" t="s">
        <v>685</v>
      </c>
      <c r="C10" s="338" t="s">
        <v>283</v>
      </c>
      <c r="D10" s="339">
        <v>584342</v>
      </c>
      <c r="E10" s="339">
        <f t="shared" si="0"/>
        <v>452627.42060418281</v>
      </c>
      <c r="F10" s="341"/>
      <c r="G10" s="762"/>
      <c r="H10" s="765"/>
      <c r="I10" s="765"/>
      <c r="J10" s="794"/>
      <c r="K10" s="799"/>
      <c r="L10" s="796"/>
    </row>
    <row r="11" spans="1:12">
      <c r="A11" s="1261"/>
      <c r="B11" s="692" t="s">
        <v>690</v>
      </c>
      <c r="C11" s="338" t="s">
        <v>288</v>
      </c>
      <c r="D11" s="339">
        <v>62695</v>
      </c>
      <c r="E11" s="339">
        <f t="shared" si="0"/>
        <v>48563.129357087535</v>
      </c>
      <c r="F11" s="341"/>
      <c r="G11" s="762"/>
      <c r="H11" s="765"/>
      <c r="I11" s="765"/>
      <c r="J11" s="794"/>
      <c r="K11" s="799"/>
      <c r="L11" s="796"/>
    </row>
    <row r="12" spans="1:12">
      <c r="A12" s="1261"/>
      <c r="B12" s="692" t="s">
        <v>695</v>
      </c>
      <c r="C12" s="338" t="s">
        <v>293</v>
      </c>
      <c r="D12" s="339">
        <v>1768870</v>
      </c>
      <c r="E12" s="339">
        <f t="shared" si="0"/>
        <v>1370154.9186676994</v>
      </c>
      <c r="F12" s="341"/>
      <c r="G12" s="762"/>
      <c r="H12" s="765"/>
      <c r="I12" s="765"/>
      <c r="J12" s="794"/>
      <c r="K12" s="799"/>
      <c r="L12" s="796"/>
    </row>
    <row r="13" spans="1:12">
      <c r="A13" s="1262"/>
      <c r="B13" s="693"/>
      <c r="C13" s="338"/>
      <c r="D13" s="339"/>
      <c r="E13" s="339">
        <f t="shared" si="0"/>
        <v>0</v>
      </c>
      <c r="F13" s="341"/>
      <c r="G13" s="762"/>
      <c r="H13" s="765"/>
      <c r="I13" s="765"/>
      <c r="J13" s="794"/>
      <c r="K13" s="799"/>
      <c r="L13" s="796"/>
    </row>
    <row r="14" spans="1:12">
      <c r="A14" s="337" t="s">
        <v>811</v>
      </c>
      <c r="B14" s="337" t="s">
        <v>572</v>
      </c>
      <c r="C14" s="338" t="s">
        <v>180</v>
      </c>
      <c r="D14" s="339">
        <v>14475583</v>
      </c>
      <c r="E14" s="339">
        <f t="shared" si="0"/>
        <v>11212690.162664602</v>
      </c>
      <c r="F14" s="341">
        <v>7165000</v>
      </c>
      <c r="G14" s="762">
        <f>SUM(F14/1.291)</f>
        <v>5549961.2703330759</v>
      </c>
      <c r="H14" s="765">
        <v>1426941</v>
      </c>
      <c r="I14" s="765">
        <v>2968037</v>
      </c>
      <c r="J14" s="794">
        <v>1057839</v>
      </c>
      <c r="K14" s="799">
        <f t="shared" ref="K14:K21" si="2">SUM(H14:J14)</f>
        <v>5452817</v>
      </c>
      <c r="L14" s="796">
        <v>1642589</v>
      </c>
    </row>
    <row r="15" spans="1:12">
      <c r="A15" s="343"/>
      <c r="B15" s="343" t="s">
        <v>612</v>
      </c>
      <c r="C15" s="338" t="s">
        <v>217</v>
      </c>
      <c r="D15" s="339">
        <v>77150932</v>
      </c>
      <c r="E15" s="339">
        <f t="shared" si="0"/>
        <v>59760597.986057326</v>
      </c>
      <c r="F15" s="341">
        <v>3500000</v>
      </c>
      <c r="G15" s="762">
        <f t="shared" si="1"/>
        <v>2711076.6847405112</v>
      </c>
      <c r="H15" s="765">
        <v>774593</v>
      </c>
      <c r="I15" s="765">
        <v>1936483</v>
      </c>
      <c r="J15" s="794"/>
      <c r="K15" s="799">
        <f t="shared" si="2"/>
        <v>2711076</v>
      </c>
      <c r="L15" s="796">
        <v>774593</v>
      </c>
    </row>
    <row r="16" spans="1:12">
      <c r="A16" s="212"/>
      <c r="B16" s="212" t="s">
        <v>623</v>
      </c>
      <c r="C16" s="338" t="s">
        <v>812</v>
      </c>
      <c r="D16" s="339">
        <v>5714046</v>
      </c>
      <c r="E16" s="339">
        <f t="shared" si="0"/>
        <v>4426061.9674670799</v>
      </c>
      <c r="F16" s="341">
        <v>3804420</v>
      </c>
      <c r="G16" s="762">
        <f t="shared" si="1"/>
        <v>2946878.3888458563</v>
      </c>
      <c r="H16" s="765">
        <v>1290925</v>
      </c>
      <c r="I16" s="765">
        <v>1120435</v>
      </c>
      <c r="J16" s="794">
        <v>544678</v>
      </c>
      <c r="K16" s="799">
        <f t="shared" si="2"/>
        <v>2956038</v>
      </c>
      <c r="L16" s="796">
        <v>2661863</v>
      </c>
    </row>
    <row r="17" spans="1:12">
      <c r="A17" s="344" t="s">
        <v>813</v>
      </c>
      <c r="B17" s="344" t="s">
        <v>643</v>
      </c>
      <c r="C17" s="344" t="s">
        <v>814</v>
      </c>
      <c r="D17" s="345">
        <v>11958339</v>
      </c>
      <c r="E17" s="345">
        <f t="shared" si="0"/>
        <v>9262849.7288923319</v>
      </c>
      <c r="F17" s="345"/>
      <c r="G17" s="763"/>
      <c r="H17" s="765"/>
      <c r="I17" s="765"/>
      <c r="J17" s="794"/>
      <c r="K17" s="799"/>
      <c r="L17" s="796"/>
    </row>
    <row r="18" spans="1:12">
      <c r="A18" s="1251"/>
      <c r="B18" s="694" t="s">
        <v>657</v>
      </c>
      <c r="C18" s="346" t="s">
        <v>261</v>
      </c>
      <c r="D18" s="347">
        <v>13721780</v>
      </c>
      <c r="E18" s="339">
        <f t="shared" si="0"/>
        <v>10628799.38032533</v>
      </c>
      <c r="F18" s="342">
        <v>15000000</v>
      </c>
      <c r="G18" s="762">
        <f t="shared" si="1"/>
        <v>11618900.077459335</v>
      </c>
      <c r="H18" s="765">
        <v>2678432</v>
      </c>
      <c r="I18" s="765"/>
      <c r="J18" s="794"/>
      <c r="K18" s="799">
        <f>SUM(H18:J18)</f>
        <v>2678432</v>
      </c>
      <c r="L18" s="796"/>
    </row>
    <row r="19" spans="1:12">
      <c r="A19" s="1252"/>
      <c r="B19" s="695" t="s">
        <v>683</v>
      </c>
      <c r="C19" s="338" t="s">
        <v>815</v>
      </c>
      <c r="D19" s="339">
        <v>8123687</v>
      </c>
      <c r="E19" s="339">
        <f t="shared" si="0"/>
        <v>6292553.8342370261</v>
      </c>
      <c r="F19" s="348">
        <v>2211703</v>
      </c>
      <c r="G19" s="762">
        <f t="shared" si="1"/>
        <v>1713170.4105344694</v>
      </c>
      <c r="H19" s="765"/>
      <c r="I19" s="765"/>
      <c r="J19" s="794"/>
      <c r="K19" s="799"/>
      <c r="L19" s="796"/>
    </row>
    <row r="20" spans="1:12">
      <c r="A20" s="1252"/>
      <c r="B20" s="695" t="s">
        <v>697</v>
      </c>
      <c r="C20" s="338" t="s">
        <v>295</v>
      </c>
      <c r="D20" s="339">
        <v>13499441</v>
      </c>
      <c r="E20" s="339">
        <f t="shared" si="0"/>
        <v>10456577.072037181</v>
      </c>
      <c r="F20" s="341">
        <v>13500000</v>
      </c>
      <c r="G20" s="762">
        <f t="shared" si="1"/>
        <v>10457010.069713401</v>
      </c>
      <c r="H20" s="765">
        <v>6180930</v>
      </c>
      <c r="I20" s="765">
        <v>3017504</v>
      </c>
      <c r="J20" s="794">
        <v>1092085</v>
      </c>
      <c r="K20" s="799">
        <f t="shared" si="2"/>
        <v>10290519</v>
      </c>
      <c r="L20" s="796">
        <v>6164384</v>
      </c>
    </row>
    <row r="21" spans="1:12" ht="16" thickBot="1">
      <c r="A21" s="1253"/>
      <c r="B21" s="696" t="s">
        <v>630</v>
      </c>
      <c r="C21" s="338" t="s">
        <v>234</v>
      </c>
      <c r="D21" s="339"/>
      <c r="E21" s="339">
        <f t="shared" si="0"/>
        <v>0</v>
      </c>
      <c r="F21" s="341">
        <v>180684</v>
      </c>
      <c r="G21" s="762">
        <f t="shared" si="1"/>
        <v>139956.62277304416</v>
      </c>
      <c r="H21" s="765">
        <v>116189</v>
      </c>
      <c r="I21" s="765">
        <v>23768</v>
      </c>
      <c r="J21" s="794"/>
      <c r="K21" s="800">
        <f t="shared" si="2"/>
        <v>139957</v>
      </c>
      <c r="L21" s="797">
        <v>128581</v>
      </c>
    </row>
    <row r="22" spans="1:12">
      <c r="A22" s="337" t="s">
        <v>816</v>
      </c>
      <c r="B22" s="337"/>
      <c r="C22" s="337"/>
      <c r="D22" s="349">
        <f>SUM(D4:D20)</f>
        <v>212120119</v>
      </c>
      <c r="E22" s="349">
        <f t="shared" si="0"/>
        <v>164306831.13865221</v>
      </c>
      <c r="F22" s="350">
        <f>SUM(F3:F21)</f>
        <v>68299508</v>
      </c>
      <c r="G22" s="350">
        <f t="shared" si="1"/>
        <v>52904343.919442296</v>
      </c>
      <c r="H22" s="804">
        <f>SUM(H4:H21)</f>
        <v>16372510</v>
      </c>
      <c r="I22" s="804">
        <f t="shared" ref="I22:L22" si="3">SUM(I4:I21)</f>
        <v>11310218</v>
      </c>
      <c r="J22" s="804">
        <f t="shared" si="3"/>
        <v>2694602</v>
      </c>
      <c r="K22" s="804">
        <f>SUM(K4:K21)</f>
        <v>30377330</v>
      </c>
      <c r="L22" s="804">
        <f t="shared" si="3"/>
        <v>15276510</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87" t="s">
        <v>432</v>
      </c>
      <c r="B1" s="687" t="s">
        <v>433</v>
      </c>
      <c r="C1" s="687" t="s">
        <v>122</v>
      </c>
      <c r="D1" s="80" t="s">
        <v>3</v>
      </c>
      <c r="E1" s="80" t="s">
        <v>434</v>
      </c>
      <c r="F1" s="80" t="s">
        <v>817</v>
      </c>
      <c r="G1" s="81" t="s">
        <v>9</v>
      </c>
      <c r="H1" s="80" t="s">
        <v>507</v>
      </c>
      <c r="I1" s="80" t="s">
        <v>506</v>
      </c>
      <c r="J1" s="80" t="s">
        <v>13</v>
      </c>
      <c r="K1" s="80" t="s">
        <v>15</v>
      </c>
      <c r="L1" s="80" t="s">
        <v>443</v>
      </c>
      <c r="M1" s="80" t="s">
        <v>17</v>
      </c>
      <c r="N1" s="80" t="s">
        <v>20</v>
      </c>
      <c r="O1" s="80" t="s">
        <v>818</v>
      </c>
      <c r="P1" s="80" t="s">
        <v>819</v>
      </c>
      <c r="Q1" s="80" t="s">
        <v>820</v>
      </c>
      <c r="R1" s="79" t="s">
        <v>505</v>
      </c>
      <c r="S1" s="79"/>
      <c r="T1" s="79"/>
      <c r="U1" s="79"/>
      <c r="V1" s="79"/>
      <c r="W1" s="79"/>
      <c r="X1" s="79"/>
      <c r="Y1" s="1232" t="s">
        <v>821</v>
      </c>
    </row>
    <row r="2" spans="1:25" s="54" customFormat="1" ht="16" hidden="1" customHeight="1">
      <c r="A2" s="688"/>
      <c r="B2" s="688"/>
      <c r="C2" s="688"/>
      <c r="D2" s="80"/>
      <c r="E2" s="80"/>
      <c r="F2" s="80"/>
      <c r="G2" s="81"/>
      <c r="H2" s="80"/>
      <c r="I2" s="80"/>
      <c r="J2" s="80"/>
      <c r="K2" s="80"/>
      <c r="L2" s="80"/>
      <c r="M2" s="80"/>
      <c r="N2" s="80"/>
      <c r="O2" s="80"/>
      <c r="P2" s="80"/>
      <c r="Q2" s="80"/>
      <c r="R2" s="79" t="s">
        <v>436</v>
      </c>
      <c r="S2" s="79" t="s">
        <v>437</v>
      </c>
      <c r="T2" s="79" t="s">
        <v>438</v>
      </c>
      <c r="U2" s="79" t="s">
        <v>439</v>
      </c>
      <c r="V2" s="79" t="s">
        <v>440</v>
      </c>
      <c r="W2" s="79" t="s">
        <v>441</v>
      </c>
      <c r="X2" s="79" t="s">
        <v>442</v>
      </c>
      <c r="Y2" s="1233"/>
    </row>
    <row r="3" spans="1:25" ht="16" hidden="1" customHeight="1">
      <c r="A3" s="55" t="s">
        <v>599</v>
      </c>
      <c r="B3" s="55" t="s">
        <v>204</v>
      </c>
      <c r="C3" s="55" t="s">
        <v>126</v>
      </c>
      <c r="D3" s="63" t="s">
        <v>152</v>
      </c>
      <c r="E3" s="63" t="s">
        <v>145</v>
      </c>
      <c r="F3" s="63" t="s">
        <v>396</v>
      </c>
      <c r="G3" s="63" t="s">
        <v>541</v>
      </c>
      <c r="H3" s="63"/>
      <c r="I3" s="63"/>
      <c r="J3" s="63" t="s">
        <v>541</v>
      </c>
      <c r="K3" s="63" t="s">
        <v>541</v>
      </c>
      <c r="L3" s="63" t="s">
        <v>548</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541</v>
      </c>
      <c r="X3" s="64" t="s">
        <v>544</v>
      </c>
      <c r="Y3" s="55"/>
    </row>
    <row r="4" spans="1:25" ht="16" hidden="1" customHeight="1">
      <c r="A4" s="55" t="s">
        <v>637</v>
      </c>
      <c r="B4" s="55" t="s">
        <v>241</v>
      </c>
      <c r="C4" s="55" t="s">
        <v>126</v>
      </c>
      <c r="D4" s="55" t="s">
        <v>150</v>
      </c>
      <c r="E4" s="55" t="s">
        <v>145</v>
      </c>
      <c r="F4" s="55" t="s">
        <v>394</v>
      </c>
      <c r="G4" s="55" t="s">
        <v>541</v>
      </c>
      <c r="H4" s="55"/>
      <c r="I4" s="55"/>
      <c r="J4" s="55" t="s">
        <v>541</v>
      </c>
      <c r="K4" s="55" t="s">
        <v>544</v>
      </c>
      <c r="L4" s="55" t="s">
        <v>542</v>
      </c>
      <c r="M4" s="55"/>
      <c r="N4" s="55"/>
      <c r="O4" s="56"/>
      <c r="P4" s="57"/>
      <c r="Q4" s="57"/>
      <c r="R4" s="56" t="str">
        <f t="shared" si="0"/>
        <v>No</v>
      </c>
      <c r="S4" s="56" t="str">
        <f t="shared" si="0"/>
        <v>No</v>
      </c>
      <c r="T4" s="56" t="str">
        <f t="shared" si="1"/>
        <v>No</v>
      </c>
      <c r="U4" s="56" t="str">
        <f t="shared" si="2"/>
        <v>Yes</v>
      </c>
      <c r="V4" s="56" t="str">
        <f t="shared" si="3"/>
        <v>No</v>
      </c>
      <c r="W4" s="56" t="s">
        <v>541</v>
      </c>
      <c r="X4" s="56" t="s">
        <v>544</v>
      </c>
      <c r="Y4" s="55" t="s">
        <v>541</v>
      </c>
    </row>
    <row r="5" spans="1:25" ht="16" hidden="1" customHeight="1">
      <c r="A5" s="55" t="s">
        <v>554</v>
      </c>
      <c r="B5" s="55" t="s">
        <v>166</v>
      </c>
      <c r="C5" s="55" t="s">
        <v>127</v>
      </c>
      <c r="D5" s="55" t="s">
        <v>152</v>
      </c>
      <c r="E5" s="55" t="s">
        <v>146</v>
      </c>
      <c r="F5" s="55" t="s">
        <v>395</v>
      </c>
      <c r="G5" s="55" t="s">
        <v>541</v>
      </c>
      <c r="H5" s="55"/>
      <c r="I5" s="55" t="s">
        <v>541</v>
      </c>
      <c r="J5" s="55" t="s">
        <v>544</v>
      </c>
      <c r="K5" s="55" t="s">
        <v>544</v>
      </c>
      <c r="L5" s="55" t="s">
        <v>546</v>
      </c>
      <c r="M5" s="55"/>
      <c r="N5" s="55"/>
      <c r="O5" s="71" t="s">
        <v>407</v>
      </c>
      <c r="P5" s="72"/>
      <c r="Q5" s="57"/>
      <c r="R5" s="56" t="str">
        <f t="shared" si="0"/>
        <v>Yes</v>
      </c>
      <c r="S5" s="56" t="str">
        <f t="shared" si="0"/>
        <v>Yes</v>
      </c>
      <c r="T5" s="56" t="str">
        <f t="shared" si="1"/>
        <v>No</v>
      </c>
      <c r="U5" s="56" t="str">
        <f t="shared" si="2"/>
        <v>No</v>
      </c>
      <c r="V5" s="56" t="str">
        <f t="shared" si="3"/>
        <v>Yes</v>
      </c>
      <c r="W5" s="56" t="s">
        <v>541</v>
      </c>
      <c r="X5" s="56" t="s">
        <v>544</v>
      </c>
      <c r="Y5" s="55"/>
    </row>
    <row r="6" spans="1:25" ht="16" hidden="1" customHeight="1">
      <c r="A6" s="55" t="s">
        <v>572</v>
      </c>
      <c r="B6" s="55" t="s">
        <v>180</v>
      </c>
      <c r="C6" s="55" t="s">
        <v>126</v>
      </c>
      <c r="D6" s="55" t="s">
        <v>150</v>
      </c>
      <c r="E6" s="55" t="s">
        <v>145</v>
      </c>
      <c r="F6" s="55" t="s">
        <v>394</v>
      </c>
      <c r="G6" s="55" t="s">
        <v>541</v>
      </c>
      <c r="H6" s="55"/>
      <c r="I6" s="55"/>
      <c r="J6" s="55" t="s">
        <v>541</v>
      </c>
      <c r="K6" s="55" t="s">
        <v>544</v>
      </c>
      <c r="L6" s="55" t="s">
        <v>558</v>
      </c>
      <c r="M6" s="55"/>
      <c r="N6" s="55"/>
      <c r="O6" s="71" t="s">
        <v>407</v>
      </c>
      <c r="P6" s="57" t="s">
        <v>822</v>
      </c>
      <c r="Q6" s="57"/>
      <c r="R6" s="56" t="str">
        <f t="shared" si="0"/>
        <v>No</v>
      </c>
      <c r="S6" s="56" t="str">
        <f t="shared" si="0"/>
        <v>No</v>
      </c>
      <c r="T6" s="56" t="str">
        <f t="shared" si="1"/>
        <v>No</v>
      </c>
      <c r="U6" s="56" t="str">
        <f t="shared" si="2"/>
        <v>Yes</v>
      </c>
      <c r="V6" s="56" t="str">
        <f t="shared" si="3"/>
        <v>No</v>
      </c>
      <c r="W6" s="56" t="s">
        <v>541</v>
      </c>
      <c r="X6" s="56" t="s">
        <v>541</v>
      </c>
      <c r="Y6" s="55"/>
    </row>
    <row r="7" spans="1:25" ht="16" hidden="1" customHeight="1">
      <c r="A7" s="55" t="s">
        <v>619</v>
      </c>
      <c r="B7" s="55" t="s">
        <v>223</v>
      </c>
      <c r="C7" s="55" t="s">
        <v>126</v>
      </c>
      <c r="D7" s="55" t="s">
        <v>150</v>
      </c>
      <c r="E7" s="55" t="s">
        <v>145</v>
      </c>
      <c r="F7" s="55" t="s">
        <v>394</v>
      </c>
      <c r="G7" s="55" t="s">
        <v>541</v>
      </c>
      <c r="H7" s="55"/>
      <c r="I7" s="55"/>
      <c r="J7" s="55" t="s">
        <v>541</v>
      </c>
      <c r="K7" s="55" t="s">
        <v>544</v>
      </c>
      <c r="L7" s="55" t="s">
        <v>542</v>
      </c>
      <c r="M7" s="55"/>
      <c r="N7" s="55"/>
      <c r="O7" s="56"/>
      <c r="P7" s="57"/>
      <c r="Q7" s="57"/>
      <c r="R7" s="56" t="str">
        <f t="shared" si="0"/>
        <v>No</v>
      </c>
      <c r="S7" s="56" t="str">
        <f t="shared" si="0"/>
        <v>No</v>
      </c>
      <c r="T7" s="56" t="str">
        <f t="shared" si="1"/>
        <v>No</v>
      </c>
      <c r="U7" s="56" t="str">
        <f t="shared" si="2"/>
        <v>Yes</v>
      </c>
      <c r="V7" s="56" t="str">
        <f t="shared" si="3"/>
        <v>No</v>
      </c>
      <c r="W7" s="56" t="s">
        <v>541</v>
      </c>
      <c r="X7" s="56" t="s">
        <v>544</v>
      </c>
      <c r="Y7" s="55"/>
    </row>
    <row r="8" spans="1:25" ht="16" hidden="1" customHeight="1">
      <c r="A8" s="55" t="s">
        <v>623</v>
      </c>
      <c r="B8" s="55" t="s">
        <v>227</v>
      </c>
      <c r="C8" s="55" t="s">
        <v>126</v>
      </c>
      <c r="D8" s="55" t="s">
        <v>150</v>
      </c>
      <c r="E8" s="55" t="s">
        <v>145</v>
      </c>
      <c r="F8" s="55" t="s">
        <v>394</v>
      </c>
      <c r="G8" s="55" t="s">
        <v>541</v>
      </c>
      <c r="H8" s="55"/>
      <c r="I8" s="55"/>
      <c r="J8" s="55" t="s">
        <v>541</v>
      </c>
      <c r="K8" s="55" t="s">
        <v>544</v>
      </c>
      <c r="L8" s="55" t="s">
        <v>542</v>
      </c>
      <c r="M8" s="55" t="s">
        <v>541</v>
      </c>
      <c r="N8" s="55"/>
      <c r="O8" s="71" t="s">
        <v>407</v>
      </c>
      <c r="P8" s="72"/>
      <c r="Q8" s="57"/>
      <c r="R8" s="56" t="str">
        <f t="shared" si="0"/>
        <v>No</v>
      </c>
      <c r="S8" s="56" t="str">
        <f t="shared" si="0"/>
        <v>No</v>
      </c>
      <c r="T8" s="56" t="str">
        <f t="shared" si="1"/>
        <v>No</v>
      </c>
      <c r="U8" s="56" t="str">
        <f t="shared" si="2"/>
        <v>Yes</v>
      </c>
      <c r="V8" s="56" t="str">
        <f t="shared" si="3"/>
        <v>No</v>
      </c>
      <c r="W8" s="56" t="s">
        <v>541</v>
      </c>
      <c r="X8" s="56" t="s">
        <v>541</v>
      </c>
      <c r="Y8" s="55"/>
    </row>
    <row r="9" spans="1:25" ht="16" hidden="1" customHeight="1">
      <c r="A9" s="55" t="s">
        <v>643</v>
      </c>
      <c r="B9" s="55" t="s">
        <v>247</v>
      </c>
      <c r="C9" s="55" t="s">
        <v>126</v>
      </c>
      <c r="D9" s="55" t="s">
        <v>150</v>
      </c>
      <c r="E9" s="55" t="s">
        <v>145</v>
      </c>
      <c r="F9" s="55" t="s">
        <v>394</v>
      </c>
      <c r="G9" s="55" t="s">
        <v>541</v>
      </c>
      <c r="H9" s="55"/>
      <c r="I9" s="55"/>
      <c r="J9" s="55" t="s">
        <v>541</v>
      </c>
      <c r="K9" s="55" t="s">
        <v>541</v>
      </c>
      <c r="L9" s="55" t="s">
        <v>558</v>
      </c>
      <c r="M9" s="55"/>
      <c r="N9" s="55"/>
      <c r="O9" s="71" t="s">
        <v>407</v>
      </c>
      <c r="P9" s="72"/>
      <c r="Q9" s="57"/>
      <c r="R9" s="56" t="str">
        <f t="shared" si="0"/>
        <v>No</v>
      </c>
      <c r="S9" s="56" t="str">
        <f t="shared" si="0"/>
        <v>No</v>
      </c>
      <c r="T9" s="56" t="str">
        <f t="shared" si="1"/>
        <v>No</v>
      </c>
      <c r="U9" s="56" t="str">
        <f t="shared" si="2"/>
        <v>Yes</v>
      </c>
      <c r="V9" s="56" t="str">
        <f t="shared" si="3"/>
        <v>No</v>
      </c>
      <c r="W9" s="56" t="s">
        <v>541</v>
      </c>
      <c r="X9" s="56" t="s">
        <v>544</v>
      </c>
      <c r="Y9" s="55"/>
    </row>
    <row r="10" spans="1:25" ht="16" hidden="1" customHeight="1">
      <c r="A10" s="55" t="s">
        <v>560</v>
      </c>
      <c r="B10" s="55" t="s">
        <v>169</v>
      </c>
      <c r="C10" s="55" t="s">
        <v>130</v>
      </c>
      <c r="D10" s="55" t="s">
        <v>152</v>
      </c>
      <c r="E10" s="55" t="s">
        <v>146</v>
      </c>
      <c r="F10" s="55" t="s">
        <v>395</v>
      </c>
      <c r="G10" s="55"/>
      <c r="H10" s="55"/>
      <c r="I10" s="55"/>
      <c r="J10" s="55" t="s">
        <v>544</v>
      </c>
      <c r="K10" s="55" t="s">
        <v>544</v>
      </c>
      <c r="L10" s="55" t="s">
        <v>546</v>
      </c>
      <c r="M10" s="55" t="s">
        <v>541</v>
      </c>
      <c r="N10" s="55"/>
      <c r="O10" s="56"/>
      <c r="P10" s="57"/>
      <c r="Q10" s="57"/>
      <c r="R10" s="56" t="str">
        <f t="shared" si="0"/>
        <v>Yes</v>
      </c>
      <c r="S10" s="56" t="str">
        <f t="shared" si="0"/>
        <v>Yes</v>
      </c>
      <c r="T10" s="56" t="str">
        <f t="shared" si="1"/>
        <v>No</v>
      </c>
      <c r="U10" s="56" t="str">
        <f t="shared" si="2"/>
        <v>No</v>
      </c>
      <c r="V10" s="56" t="str">
        <f t="shared" si="3"/>
        <v>Yes</v>
      </c>
      <c r="W10" s="56" t="s">
        <v>541</v>
      </c>
      <c r="X10" s="56" t="s">
        <v>544</v>
      </c>
      <c r="Y10" s="55"/>
    </row>
    <row r="11" spans="1:25" ht="16" hidden="1" customHeight="1">
      <c r="A11" s="55" t="s">
        <v>564</v>
      </c>
      <c r="B11" s="55" t="s">
        <v>172</v>
      </c>
      <c r="C11" s="55" t="s">
        <v>130</v>
      </c>
      <c r="D11" s="55" t="s">
        <v>150</v>
      </c>
      <c r="E11" s="55" t="s">
        <v>145</v>
      </c>
      <c r="F11" s="55" t="s">
        <v>395</v>
      </c>
      <c r="G11" s="55"/>
      <c r="H11" s="55"/>
      <c r="I11" s="55"/>
      <c r="J11" s="55" t="s">
        <v>544</v>
      </c>
      <c r="K11" s="55" t="s">
        <v>544</v>
      </c>
      <c r="L11" s="55" t="s">
        <v>546</v>
      </c>
      <c r="M11" s="55" t="s">
        <v>541</v>
      </c>
      <c r="N11" s="55"/>
      <c r="O11" s="71" t="s">
        <v>407</v>
      </c>
      <c r="P11" s="72"/>
      <c r="Q11" s="57"/>
      <c r="R11" s="56" t="str">
        <f t="shared" si="0"/>
        <v>Yes</v>
      </c>
      <c r="S11" s="56" t="str">
        <f t="shared" si="0"/>
        <v>Yes</v>
      </c>
      <c r="T11" s="56" t="str">
        <f t="shared" si="1"/>
        <v>No</v>
      </c>
      <c r="U11" s="56" t="str">
        <f t="shared" si="2"/>
        <v>No</v>
      </c>
      <c r="V11" s="56" t="str">
        <f t="shared" si="3"/>
        <v>Yes</v>
      </c>
      <c r="W11" s="56" t="s">
        <v>541</v>
      </c>
      <c r="X11" s="56" t="s">
        <v>541</v>
      </c>
      <c r="Y11" s="55"/>
    </row>
    <row r="12" spans="1:25" ht="16" hidden="1" customHeight="1">
      <c r="A12" s="55" t="s">
        <v>567</v>
      </c>
      <c r="B12" s="55" t="s">
        <v>144</v>
      </c>
      <c r="C12" s="55" t="s">
        <v>130</v>
      </c>
      <c r="D12" s="55" t="s">
        <v>152</v>
      </c>
      <c r="E12" s="55" t="s">
        <v>146</v>
      </c>
      <c r="F12" s="55" t="s">
        <v>395</v>
      </c>
      <c r="G12" s="55"/>
      <c r="H12" s="55"/>
      <c r="I12" s="55"/>
      <c r="J12" s="55" t="s">
        <v>544</v>
      </c>
      <c r="K12" s="55" t="s">
        <v>544</v>
      </c>
      <c r="L12" s="55" t="s">
        <v>546</v>
      </c>
      <c r="M12" s="55"/>
      <c r="N12" s="55"/>
      <c r="O12" s="56"/>
      <c r="P12" s="57"/>
      <c r="Q12" s="57"/>
      <c r="R12" s="56" t="str">
        <f t="shared" si="0"/>
        <v>Yes</v>
      </c>
      <c r="S12" s="56" t="str">
        <f t="shared" si="0"/>
        <v>Yes</v>
      </c>
      <c r="T12" s="56" t="str">
        <f t="shared" si="1"/>
        <v>No</v>
      </c>
      <c r="U12" s="56" t="str">
        <f t="shared" si="2"/>
        <v>No</v>
      </c>
      <c r="V12" s="56" t="str">
        <f t="shared" si="3"/>
        <v>Yes</v>
      </c>
      <c r="W12" s="56" t="s">
        <v>541</v>
      </c>
      <c r="X12" s="56" t="s">
        <v>544</v>
      </c>
      <c r="Y12" s="55"/>
    </row>
    <row r="13" spans="1:25" ht="16" hidden="1" customHeight="1">
      <c r="A13" s="55" t="s">
        <v>639</v>
      </c>
      <c r="B13" s="55" t="s">
        <v>243</v>
      </c>
      <c r="C13" s="55" t="s">
        <v>126</v>
      </c>
      <c r="D13" s="55" t="s">
        <v>150</v>
      </c>
      <c r="E13" s="55" t="s">
        <v>145</v>
      </c>
      <c r="F13" s="55" t="s">
        <v>395</v>
      </c>
      <c r="G13" s="55" t="s">
        <v>541</v>
      </c>
      <c r="H13" s="55"/>
      <c r="I13" s="55"/>
      <c r="J13" s="55" t="s">
        <v>541</v>
      </c>
      <c r="K13" s="55" t="s">
        <v>544</v>
      </c>
      <c r="L13" s="55" t="s">
        <v>548</v>
      </c>
      <c r="M13" s="55"/>
      <c r="N13" s="55"/>
      <c r="O13" s="56"/>
      <c r="P13" s="57" t="s">
        <v>822</v>
      </c>
      <c r="Q13" s="57"/>
      <c r="R13" s="56" t="str">
        <f t="shared" si="0"/>
        <v>Yes</v>
      </c>
      <c r="S13" s="56" t="str">
        <f t="shared" si="0"/>
        <v>Yes</v>
      </c>
      <c r="T13" s="56" t="str">
        <f t="shared" si="1"/>
        <v>No</v>
      </c>
      <c r="U13" s="56" t="str">
        <f t="shared" si="2"/>
        <v>No</v>
      </c>
      <c r="V13" s="56" t="str">
        <f t="shared" si="3"/>
        <v>Yes</v>
      </c>
      <c r="W13" s="56" t="s">
        <v>541</v>
      </c>
      <c r="X13" s="56" t="s">
        <v>544</v>
      </c>
      <c r="Y13" s="55"/>
    </row>
    <row r="14" spans="1:25" ht="16" hidden="1" customHeight="1">
      <c r="A14" s="55" t="s">
        <v>654</v>
      </c>
      <c r="B14" s="55" t="s">
        <v>258</v>
      </c>
      <c r="C14" s="55" t="s">
        <v>126</v>
      </c>
      <c r="D14" s="55" t="s">
        <v>150</v>
      </c>
      <c r="E14" s="55" t="s">
        <v>145</v>
      </c>
      <c r="F14" s="55" t="s">
        <v>396</v>
      </c>
      <c r="G14" s="55" t="s">
        <v>541</v>
      </c>
      <c r="H14" s="55"/>
      <c r="I14" s="55"/>
      <c r="J14" s="55" t="s">
        <v>541</v>
      </c>
      <c r="K14" s="55" t="s">
        <v>541</v>
      </c>
      <c r="L14" s="55" t="s">
        <v>542</v>
      </c>
      <c r="M14" s="55" t="s">
        <v>541</v>
      </c>
      <c r="N14" s="55"/>
      <c r="O14" s="71" t="s">
        <v>407</v>
      </c>
      <c r="P14" s="72"/>
      <c r="Q14" s="57"/>
      <c r="R14" s="56" t="str">
        <f t="shared" si="0"/>
        <v>No</v>
      </c>
      <c r="S14" s="56" t="str">
        <f t="shared" si="0"/>
        <v>No</v>
      </c>
      <c r="T14" s="56" t="str">
        <f t="shared" si="1"/>
        <v>Yes</v>
      </c>
      <c r="U14" s="56" t="str">
        <f t="shared" si="2"/>
        <v>Yes</v>
      </c>
      <c r="V14" s="56" t="str">
        <f t="shared" si="3"/>
        <v>No</v>
      </c>
      <c r="W14" s="56" t="s">
        <v>541</v>
      </c>
      <c r="X14" s="56" t="s">
        <v>544</v>
      </c>
      <c r="Y14" s="55"/>
    </row>
    <row r="15" spans="1:25" ht="16" hidden="1" customHeight="1">
      <c r="A15" s="55" t="s">
        <v>668</v>
      </c>
      <c r="B15" s="55" t="s">
        <v>270</v>
      </c>
      <c r="C15" s="55" t="s">
        <v>126</v>
      </c>
      <c r="D15" s="55" t="s">
        <v>150</v>
      </c>
      <c r="E15" s="55" t="s">
        <v>145</v>
      </c>
      <c r="F15" s="55" t="s">
        <v>394</v>
      </c>
      <c r="G15" s="55" t="s">
        <v>541</v>
      </c>
      <c r="H15" s="55"/>
      <c r="I15" s="55"/>
      <c r="J15" s="55" t="s">
        <v>541</v>
      </c>
      <c r="K15" s="55" t="s">
        <v>544</v>
      </c>
      <c r="L15" s="55" t="s">
        <v>562</v>
      </c>
      <c r="M15" s="55" t="s">
        <v>541</v>
      </c>
      <c r="N15" s="55"/>
      <c r="O15" s="56"/>
      <c r="P15" s="57"/>
      <c r="Q15" s="57"/>
      <c r="R15" s="56" t="str">
        <f t="shared" si="0"/>
        <v>No</v>
      </c>
      <c r="S15" s="56" t="str">
        <f t="shared" si="0"/>
        <v>No</v>
      </c>
      <c r="T15" s="56" t="str">
        <f t="shared" si="1"/>
        <v>No</v>
      </c>
      <c r="U15" s="56" t="str">
        <f t="shared" si="2"/>
        <v>Yes</v>
      </c>
      <c r="V15" s="56" t="str">
        <f t="shared" si="3"/>
        <v>No</v>
      </c>
      <c r="W15" s="56" t="s">
        <v>541</v>
      </c>
      <c r="X15" s="56" t="s">
        <v>544</v>
      </c>
      <c r="Y15" s="55"/>
    </row>
    <row r="16" spans="1:25" ht="16" hidden="1" customHeight="1">
      <c r="A16" s="55" t="s">
        <v>683</v>
      </c>
      <c r="B16" s="55" t="s">
        <v>281</v>
      </c>
      <c r="C16" s="55" t="s">
        <v>126</v>
      </c>
      <c r="D16" s="55" t="s">
        <v>150</v>
      </c>
      <c r="E16" s="55" t="s">
        <v>145</v>
      </c>
      <c r="F16" s="55" t="s">
        <v>396</v>
      </c>
      <c r="G16" s="55" t="s">
        <v>541</v>
      </c>
      <c r="H16" s="55"/>
      <c r="I16" s="55"/>
      <c r="J16" s="55" t="s">
        <v>541</v>
      </c>
      <c r="K16" s="55" t="s">
        <v>544</v>
      </c>
      <c r="L16" s="55" t="s">
        <v>558</v>
      </c>
      <c r="M16" s="55"/>
      <c r="N16" s="55"/>
      <c r="O16" s="56"/>
      <c r="P16" s="57"/>
      <c r="Q16" s="57"/>
      <c r="R16" s="56" t="str">
        <f t="shared" si="0"/>
        <v>No</v>
      </c>
      <c r="S16" s="56" t="str">
        <f t="shared" si="0"/>
        <v>No</v>
      </c>
      <c r="T16" s="56" t="str">
        <f t="shared" si="1"/>
        <v>Yes</v>
      </c>
      <c r="U16" s="56" t="str">
        <f t="shared" si="2"/>
        <v>Yes</v>
      </c>
      <c r="V16" s="56" t="str">
        <f t="shared" si="3"/>
        <v>No</v>
      </c>
      <c r="W16" s="56" t="s">
        <v>541</v>
      </c>
      <c r="X16" s="56" t="s">
        <v>544</v>
      </c>
      <c r="Y16" s="55"/>
    </row>
    <row r="17" spans="1:25" ht="16" hidden="1" customHeight="1">
      <c r="A17" s="55" t="s">
        <v>685</v>
      </c>
      <c r="B17" s="55" t="s">
        <v>283</v>
      </c>
      <c r="C17" s="55" t="s">
        <v>126</v>
      </c>
      <c r="D17" s="55" t="s">
        <v>152</v>
      </c>
      <c r="E17" s="55" t="s">
        <v>145</v>
      </c>
      <c r="F17" s="55" t="s">
        <v>394</v>
      </c>
      <c r="G17" s="55" t="s">
        <v>541</v>
      </c>
      <c r="H17" s="55"/>
      <c r="I17" s="55"/>
      <c r="J17" s="55" t="s">
        <v>541</v>
      </c>
      <c r="K17" s="55" t="s">
        <v>541</v>
      </c>
      <c r="L17" s="55" t="s">
        <v>542</v>
      </c>
      <c r="M17" s="55"/>
      <c r="N17" s="55"/>
      <c r="O17" s="56"/>
      <c r="P17" s="57" t="s">
        <v>822</v>
      </c>
      <c r="Q17" s="57"/>
      <c r="R17" s="56" t="str">
        <f t="shared" si="0"/>
        <v>No</v>
      </c>
      <c r="S17" s="56" t="str">
        <f t="shared" si="0"/>
        <v>No</v>
      </c>
      <c r="T17" s="56" t="str">
        <f t="shared" si="1"/>
        <v>No</v>
      </c>
      <c r="U17" s="56" t="str">
        <f t="shared" si="2"/>
        <v>Yes</v>
      </c>
      <c r="V17" s="56" t="str">
        <f t="shared" si="3"/>
        <v>No</v>
      </c>
      <c r="W17" s="56" t="s">
        <v>541</v>
      </c>
      <c r="X17" s="56" t="s">
        <v>544</v>
      </c>
      <c r="Y17" s="55"/>
    </row>
    <row r="18" spans="1:25" ht="16" hidden="1" customHeight="1">
      <c r="A18" s="55" t="s">
        <v>690</v>
      </c>
      <c r="B18" s="55" t="s">
        <v>288</v>
      </c>
      <c r="C18" s="55" t="s">
        <v>126</v>
      </c>
      <c r="D18" s="55" t="s">
        <v>152</v>
      </c>
      <c r="E18" s="55" t="s">
        <v>145</v>
      </c>
      <c r="F18" s="55" t="s">
        <v>394</v>
      </c>
      <c r="G18" s="55" t="s">
        <v>541</v>
      </c>
      <c r="H18" s="55"/>
      <c r="I18" s="55"/>
      <c r="J18" s="55" t="s">
        <v>541</v>
      </c>
      <c r="K18" s="55" t="s">
        <v>544</v>
      </c>
      <c r="L18" s="55" t="s">
        <v>548</v>
      </c>
      <c r="M18" s="55"/>
      <c r="N18" s="55"/>
      <c r="O18" s="56" t="s">
        <v>823</v>
      </c>
      <c r="P18" s="57" t="s">
        <v>822</v>
      </c>
      <c r="Q18" s="57"/>
      <c r="R18" s="56" t="str">
        <f t="shared" si="0"/>
        <v>No</v>
      </c>
      <c r="S18" s="56" t="str">
        <f t="shared" si="0"/>
        <v>No</v>
      </c>
      <c r="T18" s="56" t="str">
        <f t="shared" si="1"/>
        <v>No</v>
      </c>
      <c r="U18" s="56" t="str">
        <f t="shared" si="2"/>
        <v>Yes</v>
      </c>
      <c r="V18" s="56" t="str">
        <f t="shared" si="3"/>
        <v>No</v>
      </c>
      <c r="W18" s="56" t="s">
        <v>541</v>
      </c>
      <c r="X18" s="56" t="s">
        <v>544</v>
      </c>
      <c r="Y18" s="55"/>
    </row>
    <row r="19" spans="1:25" ht="16" hidden="1" customHeight="1">
      <c r="A19" s="55" t="s">
        <v>584</v>
      </c>
      <c r="B19" s="55" t="s">
        <v>190</v>
      </c>
      <c r="C19" s="55" t="s">
        <v>126</v>
      </c>
      <c r="D19" s="55" t="s">
        <v>550</v>
      </c>
      <c r="E19" s="55" t="s">
        <v>146</v>
      </c>
      <c r="F19" s="55"/>
      <c r="G19" s="55" t="s">
        <v>541</v>
      </c>
      <c r="H19" s="55"/>
      <c r="I19" s="55"/>
      <c r="J19" s="55" t="s">
        <v>544</v>
      </c>
      <c r="K19" s="55" t="s">
        <v>544</v>
      </c>
      <c r="L19" s="55" t="s">
        <v>546</v>
      </c>
      <c r="M19" s="55" t="s">
        <v>541</v>
      </c>
      <c r="N19" s="55"/>
      <c r="O19" s="56"/>
      <c r="P19" s="57"/>
      <c r="Q19" s="57"/>
      <c r="R19" s="56" t="str">
        <f t="shared" si="0"/>
        <v>No</v>
      </c>
      <c r="S19" s="56" t="str">
        <f t="shared" si="0"/>
        <v>No</v>
      </c>
      <c r="T19" s="56" t="str">
        <f t="shared" si="1"/>
        <v>No</v>
      </c>
      <c r="U19" s="56" t="str">
        <f t="shared" si="2"/>
        <v>No</v>
      </c>
      <c r="V19" s="56" t="str">
        <f t="shared" si="3"/>
        <v>No</v>
      </c>
      <c r="W19" s="56" t="s">
        <v>541</v>
      </c>
      <c r="X19" s="56" t="s">
        <v>544</v>
      </c>
      <c r="Y19" s="55"/>
    </row>
    <row r="20" spans="1:25" ht="16" customHeight="1">
      <c r="A20" s="55" t="s">
        <v>695</v>
      </c>
      <c r="B20" s="55" t="s">
        <v>293</v>
      </c>
      <c r="C20" s="55" t="s">
        <v>126</v>
      </c>
      <c r="D20" s="55" t="s">
        <v>150</v>
      </c>
      <c r="E20" s="55" t="s">
        <v>145</v>
      </c>
      <c r="F20" s="55" t="s">
        <v>394</v>
      </c>
      <c r="G20" s="55" t="s">
        <v>541</v>
      </c>
      <c r="H20" s="55"/>
      <c r="I20" s="55"/>
      <c r="J20" s="55" t="s">
        <v>541</v>
      </c>
      <c r="K20" s="55" t="s">
        <v>544</v>
      </c>
      <c r="L20" s="55" t="s">
        <v>562</v>
      </c>
      <c r="M20" s="55"/>
      <c r="N20" s="55"/>
      <c r="O20" s="56"/>
      <c r="P20" s="57" t="s">
        <v>822</v>
      </c>
      <c r="Q20" s="57"/>
      <c r="R20" s="56" t="str">
        <f t="shared" si="0"/>
        <v>No</v>
      </c>
      <c r="S20" s="56" t="str">
        <f t="shared" si="0"/>
        <v>No</v>
      </c>
      <c r="T20" s="56" t="str">
        <f t="shared" si="1"/>
        <v>No</v>
      </c>
      <c r="U20" s="56" t="str">
        <f t="shared" si="2"/>
        <v>Yes</v>
      </c>
      <c r="V20" s="56" t="str">
        <f t="shared" si="3"/>
        <v>No</v>
      </c>
      <c r="W20" s="56" t="s">
        <v>541</v>
      </c>
      <c r="X20" s="56" t="s">
        <v>544</v>
      </c>
      <c r="Y20" s="55" t="s">
        <v>824</v>
      </c>
    </row>
    <row r="21" spans="1:25" ht="16" hidden="1" customHeight="1">
      <c r="A21" s="55" t="s">
        <v>662</v>
      </c>
      <c r="B21" s="55" t="s">
        <v>265</v>
      </c>
      <c r="C21" s="55" t="s">
        <v>126</v>
      </c>
      <c r="D21" s="55" t="s">
        <v>152</v>
      </c>
      <c r="E21" s="55" t="s">
        <v>145</v>
      </c>
      <c r="F21" s="55" t="s">
        <v>394</v>
      </c>
      <c r="G21" s="55" t="s">
        <v>541</v>
      </c>
      <c r="H21" s="55"/>
      <c r="I21" s="55"/>
      <c r="J21" s="55" t="s">
        <v>541</v>
      </c>
      <c r="K21" s="55" t="s">
        <v>541</v>
      </c>
      <c r="L21" s="55" t="s">
        <v>542</v>
      </c>
      <c r="M21" s="55"/>
      <c r="N21" s="55"/>
      <c r="O21" s="56"/>
      <c r="P21" s="57" t="s">
        <v>822</v>
      </c>
      <c r="Q21" s="57"/>
      <c r="R21" s="56" t="str">
        <f t="shared" si="0"/>
        <v>No</v>
      </c>
      <c r="S21" s="56" t="str">
        <f t="shared" si="0"/>
        <v>No</v>
      </c>
      <c r="T21" s="56" t="str">
        <f t="shared" si="1"/>
        <v>No</v>
      </c>
      <c r="U21" s="56" t="str">
        <f t="shared" si="2"/>
        <v>Yes</v>
      </c>
      <c r="V21" s="56" t="str">
        <f t="shared" si="3"/>
        <v>No</v>
      </c>
      <c r="W21" s="56" t="s">
        <v>541</v>
      </c>
      <c r="X21" s="56" t="s">
        <v>544</v>
      </c>
      <c r="Y21" s="55"/>
    </row>
    <row r="22" spans="1:25" ht="16" hidden="1" customHeight="1">
      <c r="A22" s="55" t="s">
        <v>585</v>
      </c>
      <c r="B22" s="55" t="s">
        <v>191</v>
      </c>
      <c r="C22" s="55" t="s">
        <v>130</v>
      </c>
      <c r="D22" s="55" t="s">
        <v>152</v>
      </c>
      <c r="E22" s="55" t="s">
        <v>146</v>
      </c>
      <c r="F22" s="55" t="s">
        <v>395</v>
      </c>
      <c r="G22" s="55"/>
      <c r="H22" s="55"/>
      <c r="I22" s="55"/>
      <c r="J22" s="55" t="s">
        <v>544</v>
      </c>
      <c r="K22" s="55" t="s">
        <v>544</v>
      </c>
      <c r="L22" s="55" t="s">
        <v>546</v>
      </c>
      <c r="M22" s="55" t="s">
        <v>541</v>
      </c>
      <c r="N22" s="55"/>
      <c r="O22" s="56" t="s">
        <v>407</v>
      </c>
      <c r="P22" s="57"/>
      <c r="Q22" s="57"/>
      <c r="R22" s="56" t="str">
        <f t="shared" si="0"/>
        <v>Yes</v>
      </c>
      <c r="S22" s="56" t="str">
        <f t="shared" si="0"/>
        <v>Yes</v>
      </c>
      <c r="T22" s="56" t="str">
        <f t="shared" si="1"/>
        <v>No</v>
      </c>
      <c r="U22" s="56" t="str">
        <f t="shared" si="2"/>
        <v>No</v>
      </c>
      <c r="V22" s="56" t="str">
        <f t="shared" si="3"/>
        <v>Yes</v>
      </c>
      <c r="W22" s="56" t="s">
        <v>541</v>
      </c>
      <c r="X22" s="56" t="s">
        <v>544</v>
      </c>
      <c r="Y22" s="55"/>
    </row>
    <row r="23" spans="1:25" ht="16" hidden="1" customHeight="1">
      <c r="A23" s="55" t="s">
        <v>622</v>
      </c>
      <c r="B23" s="55" t="s">
        <v>226</v>
      </c>
      <c r="C23" s="55" t="s">
        <v>127</v>
      </c>
      <c r="D23" s="55" t="s">
        <v>150</v>
      </c>
      <c r="E23" s="55" t="s">
        <v>145</v>
      </c>
      <c r="F23" s="55" t="s">
        <v>394</v>
      </c>
      <c r="G23" s="55" t="s">
        <v>541</v>
      </c>
      <c r="H23" s="55"/>
      <c r="I23" s="55" t="s">
        <v>541</v>
      </c>
      <c r="J23" s="55" t="s">
        <v>541</v>
      </c>
      <c r="K23" s="55" t="s">
        <v>544</v>
      </c>
      <c r="L23" s="55" t="s">
        <v>562</v>
      </c>
      <c r="M23" s="55"/>
      <c r="N23" s="55"/>
      <c r="O23" s="71" t="s">
        <v>407</v>
      </c>
      <c r="P23" s="72"/>
      <c r="Q23" s="57" t="s">
        <v>822</v>
      </c>
      <c r="R23" s="56" t="str">
        <f t="shared" ref="R23:S42" si="4">IF($F23="IBRD","Yes","No")</f>
        <v>No</v>
      </c>
      <c r="S23" s="56" t="str">
        <f t="shared" si="4"/>
        <v>No</v>
      </c>
      <c r="T23" s="56" t="str">
        <f t="shared" si="1"/>
        <v>No</v>
      </c>
      <c r="U23" s="56" t="str">
        <f t="shared" si="2"/>
        <v>Yes</v>
      </c>
      <c r="V23" s="56" t="str">
        <f t="shared" si="3"/>
        <v>No</v>
      </c>
      <c r="W23" s="56" t="s">
        <v>541</v>
      </c>
      <c r="X23" s="56" t="s">
        <v>541</v>
      </c>
      <c r="Y23" s="55"/>
    </row>
    <row r="24" spans="1:25" ht="16" hidden="1" customHeight="1">
      <c r="A24" s="55" t="s">
        <v>638</v>
      </c>
      <c r="B24" s="55" t="s">
        <v>242</v>
      </c>
      <c r="C24" s="55" t="s">
        <v>127</v>
      </c>
      <c r="D24" s="55" t="s">
        <v>150</v>
      </c>
      <c r="E24" s="55" t="s">
        <v>145</v>
      </c>
      <c r="F24" s="55" t="s">
        <v>395</v>
      </c>
      <c r="G24" s="55"/>
      <c r="H24" s="55"/>
      <c r="I24" s="55"/>
      <c r="J24" s="55" t="s">
        <v>541</v>
      </c>
      <c r="K24" s="55" t="s">
        <v>544</v>
      </c>
      <c r="L24" s="55" t="s">
        <v>558</v>
      </c>
      <c r="M24" s="55"/>
      <c r="N24" s="55"/>
      <c r="O24" s="71" t="s">
        <v>408</v>
      </c>
      <c r="P24" s="72"/>
      <c r="Q24" s="57"/>
      <c r="R24" s="56" t="str">
        <f t="shared" si="4"/>
        <v>Yes</v>
      </c>
      <c r="S24" s="56" t="str">
        <f t="shared" si="4"/>
        <v>Yes</v>
      </c>
      <c r="T24" s="56" t="str">
        <f t="shared" si="1"/>
        <v>No</v>
      </c>
      <c r="U24" s="56" t="str">
        <f t="shared" si="2"/>
        <v>No</v>
      </c>
      <c r="V24" s="56" t="str">
        <f t="shared" si="3"/>
        <v>Yes</v>
      </c>
      <c r="W24" s="56" t="s">
        <v>541</v>
      </c>
      <c r="X24" s="56" t="s">
        <v>544</v>
      </c>
      <c r="Y24" s="55"/>
    </row>
    <row r="25" spans="1:25" ht="16" hidden="1" customHeight="1">
      <c r="A25" s="55" t="s">
        <v>545</v>
      </c>
      <c r="B25" s="55" t="s">
        <v>143</v>
      </c>
      <c r="C25" s="55" t="s">
        <v>131</v>
      </c>
      <c r="D25" s="55" t="s">
        <v>150</v>
      </c>
      <c r="E25" s="55" t="s">
        <v>145</v>
      </c>
      <c r="F25" s="55" t="s">
        <v>395</v>
      </c>
      <c r="G25" s="55"/>
      <c r="H25" s="55" t="s">
        <v>541</v>
      </c>
      <c r="I25" s="55"/>
      <c r="J25" s="55" t="s">
        <v>544</v>
      </c>
      <c r="K25" s="55" t="s">
        <v>544</v>
      </c>
      <c r="L25" s="55" t="s">
        <v>546</v>
      </c>
      <c r="M25" s="55"/>
      <c r="N25" s="55"/>
      <c r="O25" s="56"/>
      <c r="P25" s="57"/>
      <c r="Q25" s="57"/>
      <c r="R25" s="56" t="str">
        <f t="shared" si="4"/>
        <v>Yes</v>
      </c>
      <c r="S25" s="56" t="str">
        <f t="shared" si="4"/>
        <v>Yes</v>
      </c>
      <c r="T25" s="56" t="str">
        <f t="shared" si="1"/>
        <v>No</v>
      </c>
      <c r="U25" s="56" t="str">
        <f t="shared" si="2"/>
        <v>No</v>
      </c>
      <c r="V25" s="56" t="str">
        <f t="shared" si="3"/>
        <v>Yes</v>
      </c>
      <c r="W25" s="56" t="s">
        <v>541</v>
      </c>
      <c r="X25" s="56" t="s">
        <v>544</v>
      </c>
      <c r="Y25" s="55"/>
    </row>
    <row r="26" spans="1:25" ht="16" hidden="1" customHeight="1">
      <c r="A26" s="55" t="s">
        <v>592</v>
      </c>
      <c r="B26" s="55" t="s">
        <v>197</v>
      </c>
      <c r="C26" s="55" t="s">
        <v>130</v>
      </c>
      <c r="D26" s="55" t="s">
        <v>152</v>
      </c>
      <c r="E26" s="55" t="s">
        <v>146</v>
      </c>
      <c r="F26" s="55" t="s">
        <v>395</v>
      </c>
      <c r="G26" s="55"/>
      <c r="H26" s="55"/>
      <c r="I26" s="55"/>
      <c r="J26" s="55" t="s">
        <v>544</v>
      </c>
      <c r="K26" s="55" t="s">
        <v>544</v>
      </c>
      <c r="L26" s="55" t="s">
        <v>546</v>
      </c>
      <c r="M26" s="55"/>
      <c r="N26" s="55"/>
      <c r="O26" s="71" t="s">
        <v>406</v>
      </c>
      <c r="P26" s="72"/>
      <c r="Q26" s="57"/>
      <c r="R26" s="56" t="str">
        <f t="shared" si="4"/>
        <v>Yes</v>
      </c>
      <c r="S26" s="56" t="str">
        <f t="shared" si="4"/>
        <v>Yes</v>
      </c>
      <c r="T26" s="56" t="str">
        <f t="shared" si="1"/>
        <v>No</v>
      </c>
      <c r="U26" s="56" t="str">
        <f t="shared" si="2"/>
        <v>No</v>
      </c>
      <c r="V26" s="56" t="str">
        <f t="shared" si="3"/>
        <v>Yes</v>
      </c>
      <c r="W26" s="56" t="s">
        <v>541</v>
      </c>
      <c r="X26" s="56" t="s">
        <v>544</v>
      </c>
      <c r="Y26" s="55" t="s">
        <v>541</v>
      </c>
    </row>
    <row r="27" spans="1:25" ht="16" hidden="1" customHeight="1">
      <c r="A27" s="55" t="s">
        <v>593</v>
      </c>
      <c r="B27" s="55" t="s">
        <v>198</v>
      </c>
      <c r="C27" s="55" t="s">
        <v>131</v>
      </c>
      <c r="D27" s="55" t="s">
        <v>150</v>
      </c>
      <c r="E27" s="55" t="s">
        <v>145</v>
      </c>
      <c r="F27" s="55" t="s">
        <v>395</v>
      </c>
      <c r="G27" s="55"/>
      <c r="H27" s="55"/>
      <c r="I27" s="55" t="s">
        <v>541</v>
      </c>
      <c r="J27" s="55" t="s">
        <v>544</v>
      </c>
      <c r="K27" s="55" t="s">
        <v>544</v>
      </c>
      <c r="L27" s="55" t="s">
        <v>546</v>
      </c>
      <c r="M27" s="55"/>
      <c r="N27" s="55"/>
      <c r="O27" s="56"/>
      <c r="P27" s="57"/>
      <c r="Q27" s="57"/>
      <c r="R27" s="56" t="str">
        <f t="shared" si="4"/>
        <v>Yes</v>
      </c>
      <c r="S27" s="56" t="str">
        <f t="shared" si="4"/>
        <v>Yes</v>
      </c>
      <c r="T27" s="56" t="str">
        <f t="shared" si="1"/>
        <v>No</v>
      </c>
      <c r="U27" s="56" t="str">
        <f t="shared" si="2"/>
        <v>No</v>
      </c>
      <c r="V27" s="56" t="str">
        <f t="shared" si="3"/>
        <v>Yes</v>
      </c>
      <c r="W27" s="56" t="s">
        <v>541</v>
      </c>
      <c r="X27" s="56" t="s">
        <v>541</v>
      </c>
      <c r="Y27" s="55" t="s">
        <v>541</v>
      </c>
    </row>
    <row r="28" spans="1:25" ht="16" hidden="1" customHeight="1">
      <c r="A28" s="55" t="s">
        <v>596</v>
      </c>
      <c r="B28" s="55" t="s">
        <v>201</v>
      </c>
      <c r="C28" s="55" t="s">
        <v>128</v>
      </c>
      <c r="D28" s="55" t="s">
        <v>148</v>
      </c>
      <c r="E28" s="55" t="s">
        <v>145</v>
      </c>
      <c r="F28" s="55" t="s">
        <v>394</v>
      </c>
      <c r="G28" s="55"/>
      <c r="H28" s="55" t="s">
        <v>541</v>
      </c>
      <c r="I28" s="55"/>
      <c r="J28" s="55" t="s">
        <v>544</v>
      </c>
      <c r="K28" s="55" t="s">
        <v>544</v>
      </c>
      <c r="L28" s="55" t="s">
        <v>546</v>
      </c>
      <c r="M28" s="55"/>
      <c r="N28" s="55"/>
      <c r="O28" s="56"/>
      <c r="P28" s="57"/>
      <c r="Q28" s="57"/>
      <c r="R28" s="56" t="str">
        <f t="shared" si="4"/>
        <v>No</v>
      </c>
      <c r="S28" s="56" t="str">
        <f t="shared" si="4"/>
        <v>No</v>
      </c>
      <c r="T28" s="56" t="str">
        <f t="shared" si="1"/>
        <v>No</v>
      </c>
      <c r="U28" s="56" t="str">
        <f t="shared" si="2"/>
        <v>Yes</v>
      </c>
      <c r="V28" s="56" t="str">
        <f t="shared" si="3"/>
        <v>No</v>
      </c>
      <c r="W28" s="56" t="s">
        <v>541</v>
      </c>
      <c r="X28" s="56" t="s">
        <v>541</v>
      </c>
      <c r="Y28" s="55"/>
    </row>
    <row r="29" spans="1:25" ht="16" hidden="1" customHeight="1">
      <c r="A29" s="55" t="s">
        <v>680</v>
      </c>
      <c r="B29" s="55" t="s">
        <v>280</v>
      </c>
      <c r="C29" s="55" t="s">
        <v>127</v>
      </c>
      <c r="D29" s="55" t="s">
        <v>148</v>
      </c>
      <c r="E29" s="55" t="s">
        <v>145</v>
      </c>
      <c r="F29" s="55" t="s">
        <v>394</v>
      </c>
      <c r="G29" s="55"/>
      <c r="H29" s="55"/>
      <c r="I29" s="55" t="s">
        <v>541</v>
      </c>
      <c r="J29" s="55" t="s">
        <v>541</v>
      </c>
      <c r="K29" s="55" t="s">
        <v>541</v>
      </c>
      <c r="L29" s="55" t="s">
        <v>542</v>
      </c>
      <c r="M29" s="55"/>
      <c r="N29" s="55"/>
      <c r="O29" s="56"/>
      <c r="P29" s="57"/>
      <c r="Q29" s="57"/>
      <c r="R29" s="56" t="str">
        <f t="shared" si="4"/>
        <v>No</v>
      </c>
      <c r="S29" s="56" t="str">
        <f t="shared" si="4"/>
        <v>No</v>
      </c>
      <c r="T29" s="56" t="str">
        <f t="shared" si="1"/>
        <v>No</v>
      </c>
      <c r="U29" s="56" t="str">
        <f t="shared" si="2"/>
        <v>Yes</v>
      </c>
      <c r="V29" s="56" t="str">
        <f t="shared" si="3"/>
        <v>No</v>
      </c>
      <c r="W29" s="56" t="s">
        <v>541</v>
      </c>
      <c r="X29" s="56" t="s">
        <v>544</v>
      </c>
      <c r="Y29" s="55"/>
    </row>
    <row r="30" spans="1:25" ht="16" hidden="1" customHeight="1">
      <c r="A30" s="55" t="s">
        <v>694</v>
      </c>
      <c r="B30" s="55" t="s">
        <v>292</v>
      </c>
      <c r="C30" s="55" t="s">
        <v>127</v>
      </c>
      <c r="D30" s="55" t="s">
        <v>150</v>
      </c>
      <c r="E30" s="55" t="s">
        <v>145</v>
      </c>
      <c r="F30" s="55" t="s">
        <v>396</v>
      </c>
      <c r="G30" s="55" t="s">
        <v>541</v>
      </c>
      <c r="H30" s="55"/>
      <c r="I30" s="55" t="s">
        <v>541</v>
      </c>
      <c r="J30" s="55" t="s">
        <v>541</v>
      </c>
      <c r="K30" s="55" t="s">
        <v>544</v>
      </c>
      <c r="L30" s="55" t="s">
        <v>558</v>
      </c>
      <c r="M30" s="55"/>
      <c r="N30" s="55"/>
      <c r="O30" s="56"/>
      <c r="P30" s="57"/>
      <c r="Q30" s="57"/>
      <c r="R30" s="56" t="str">
        <f t="shared" si="4"/>
        <v>No</v>
      </c>
      <c r="S30" s="56" t="str">
        <f t="shared" si="4"/>
        <v>No</v>
      </c>
      <c r="T30" s="56" t="str">
        <f t="shared" si="1"/>
        <v>Yes</v>
      </c>
      <c r="U30" s="56" t="str">
        <f t="shared" si="2"/>
        <v>Yes</v>
      </c>
      <c r="V30" s="56" t="str">
        <f t="shared" si="3"/>
        <v>No</v>
      </c>
      <c r="W30" s="56" t="s">
        <v>541</v>
      </c>
      <c r="X30" s="56" t="s">
        <v>544</v>
      </c>
      <c r="Y30" s="55"/>
    </row>
    <row r="31" spans="1:25" ht="16" hidden="1" customHeight="1">
      <c r="A31" s="55" t="s">
        <v>621</v>
      </c>
      <c r="B31" s="55" t="s">
        <v>225</v>
      </c>
      <c r="C31" s="55" t="s">
        <v>127</v>
      </c>
      <c r="D31" s="55" t="s">
        <v>152</v>
      </c>
      <c r="E31" s="55" t="s">
        <v>145</v>
      </c>
      <c r="F31" s="55" t="s">
        <v>394</v>
      </c>
      <c r="G31" s="55"/>
      <c r="H31" s="55"/>
      <c r="I31" s="55"/>
      <c r="J31" s="55" t="s">
        <v>541</v>
      </c>
      <c r="K31" s="55" t="s">
        <v>544</v>
      </c>
      <c r="L31" s="55" t="s">
        <v>548</v>
      </c>
      <c r="M31" s="55"/>
      <c r="N31" s="55"/>
      <c r="O31" s="71" t="s">
        <v>407</v>
      </c>
      <c r="P31" s="72"/>
      <c r="Q31" s="57"/>
      <c r="R31" s="56" t="str">
        <f t="shared" si="4"/>
        <v>No</v>
      </c>
      <c r="S31" s="56" t="str">
        <f t="shared" si="4"/>
        <v>No</v>
      </c>
      <c r="T31" s="56" t="str">
        <f t="shared" si="1"/>
        <v>No</v>
      </c>
      <c r="U31" s="56" t="str">
        <f t="shared" si="2"/>
        <v>Yes</v>
      </c>
      <c r="V31" s="56" t="str">
        <f t="shared" si="3"/>
        <v>No</v>
      </c>
      <c r="W31" s="56" t="s">
        <v>541</v>
      </c>
      <c r="X31" s="56" t="s">
        <v>544</v>
      </c>
      <c r="Y31" s="55"/>
    </row>
    <row r="32" spans="1:25" ht="16" hidden="1" customHeight="1">
      <c r="A32" s="55" t="s">
        <v>600</v>
      </c>
      <c r="B32" s="55" t="s">
        <v>205</v>
      </c>
      <c r="C32" s="55" t="s">
        <v>129</v>
      </c>
      <c r="D32" s="55" t="s">
        <v>152</v>
      </c>
      <c r="E32" s="55" t="s">
        <v>146</v>
      </c>
      <c r="F32" s="55" t="s">
        <v>395</v>
      </c>
      <c r="G32" s="55"/>
      <c r="H32" s="55" t="s">
        <v>541</v>
      </c>
      <c r="I32" s="55" t="s">
        <v>541</v>
      </c>
      <c r="J32" s="55" t="s">
        <v>544</v>
      </c>
      <c r="K32" s="55" t="s">
        <v>544</v>
      </c>
      <c r="L32" s="55" t="s">
        <v>546</v>
      </c>
      <c r="M32" s="55"/>
      <c r="N32" s="55"/>
      <c r="O32" s="71" t="s">
        <v>407</v>
      </c>
      <c r="P32" s="72"/>
      <c r="Q32" s="57"/>
      <c r="R32" s="56" t="str">
        <f t="shared" si="4"/>
        <v>Yes</v>
      </c>
      <c r="S32" s="56" t="str">
        <f t="shared" si="4"/>
        <v>Yes</v>
      </c>
      <c r="T32" s="56" t="str">
        <f t="shared" si="1"/>
        <v>No</v>
      </c>
      <c r="U32" s="56" t="str">
        <f t="shared" si="2"/>
        <v>No</v>
      </c>
      <c r="V32" s="56" t="str">
        <f t="shared" si="3"/>
        <v>Yes</v>
      </c>
      <c r="W32" s="56" t="s">
        <v>541</v>
      </c>
      <c r="X32" s="56" t="s">
        <v>544</v>
      </c>
      <c r="Y32" s="55"/>
    </row>
    <row r="33" spans="1:25" ht="16" hidden="1" customHeight="1">
      <c r="A33" s="55" t="s">
        <v>602</v>
      </c>
      <c r="B33" s="55" t="s">
        <v>207</v>
      </c>
      <c r="C33" s="55" t="s">
        <v>127</v>
      </c>
      <c r="D33" s="55" t="s">
        <v>152</v>
      </c>
      <c r="E33" s="55" t="s">
        <v>146</v>
      </c>
      <c r="F33" s="55" t="s">
        <v>395</v>
      </c>
      <c r="G33" s="55"/>
      <c r="H33" s="55"/>
      <c r="I33" s="55"/>
      <c r="J33" s="55" t="s">
        <v>544</v>
      </c>
      <c r="K33" s="55" t="s">
        <v>544</v>
      </c>
      <c r="L33" s="55" t="s">
        <v>546</v>
      </c>
      <c r="M33" s="55"/>
      <c r="N33" s="55"/>
      <c r="O33" s="71" t="s">
        <v>407</v>
      </c>
      <c r="P33" s="72"/>
      <c r="Q33" s="57"/>
      <c r="R33" s="56" t="str">
        <f t="shared" si="4"/>
        <v>Yes</v>
      </c>
      <c r="S33" s="56" t="str">
        <f t="shared" si="4"/>
        <v>Yes</v>
      </c>
      <c r="T33" s="56" t="str">
        <f t="shared" si="1"/>
        <v>No</v>
      </c>
      <c r="U33" s="56" t="str">
        <f t="shared" si="2"/>
        <v>No</v>
      </c>
      <c r="V33" s="56" t="str">
        <f t="shared" si="3"/>
        <v>Yes</v>
      </c>
      <c r="W33" s="56" t="s">
        <v>541</v>
      </c>
      <c r="X33" s="56" t="s">
        <v>544</v>
      </c>
      <c r="Y33" s="55"/>
    </row>
    <row r="34" spans="1:25" ht="16" hidden="1" customHeight="1">
      <c r="A34" s="55" t="s">
        <v>547</v>
      </c>
      <c r="B34" s="55" t="s">
        <v>162</v>
      </c>
      <c r="C34" s="55" t="s">
        <v>128</v>
      </c>
      <c r="D34" s="55" t="s">
        <v>150</v>
      </c>
      <c r="E34" s="55" t="s">
        <v>145</v>
      </c>
      <c r="F34" s="55" t="s">
        <v>395</v>
      </c>
      <c r="G34" s="55"/>
      <c r="H34" s="55" t="s">
        <v>541</v>
      </c>
      <c r="I34" s="55"/>
      <c r="J34" s="55" t="s">
        <v>541</v>
      </c>
      <c r="K34" s="55" t="s">
        <v>541</v>
      </c>
      <c r="L34" s="55" t="s">
        <v>548</v>
      </c>
      <c r="M34" s="55"/>
      <c r="N34" s="55"/>
      <c r="O34" s="56" t="s">
        <v>407</v>
      </c>
      <c r="P34" s="57"/>
      <c r="Q34" s="57"/>
      <c r="R34" s="56" t="str">
        <f t="shared" si="4"/>
        <v>Yes</v>
      </c>
      <c r="S34" s="56" t="str">
        <f t="shared" si="4"/>
        <v>Yes</v>
      </c>
      <c r="T34" s="56" t="str">
        <f t="shared" si="1"/>
        <v>No</v>
      </c>
      <c r="U34" s="56" t="str">
        <f t="shared" si="2"/>
        <v>No</v>
      </c>
      <c r="V34" s="56" t="str">
        <f t="shared" si="3"/>
        <v>Yes</v>
      </c>
      <c r="W34" s="56" t="s">
        <v>541</v>
      </c>
      <c r="X34" s="56" t="s">
        <v>541</v>
      </c>
      <c r="Y34" s="55"/>
    </row>
    <row r="35" spans="1:25" ht="16" hidden="1" customHeight="1">
      <c r="A35" s="55" t="s">
        <v>570</v>
      </c>
      <c r="B35" s="55" t="s">
        <v>178</v>
      </c>
      <c r="C35" s="55" t="s">
        <v>128</v>
      </c>
      <c r="D35" s="55" t="s">
        <v>148</v>
      </c>
      <c r="E35" s="55" t="s">
        <v>145</v>
      </c>
      <c r="F35" s="55" t="s">
        <v>394</v>
      </c>
      <c r="G35" s="55"/>
      <c r="H35" s="55" t="s">
        <v>541</v>
      </c>
      <c r="I35" s="55"/>
      <c r="J35" s="55" t="s">
        <v>541</v>
      </c>
      <c r="K35" s="55" t="s">
        <v>541</v>
      </c>
      <c r="L35" s="55" t="s">
        <v>548</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541</v>
      </c>
      <c r="X35" s="56" t="s">
        <v>541</v>
      </c>
      <c r="Y35" s="55" t="s">
        <v>541</v>
      </c>
    </row>
    <row r="36" spans="1:25" ht="16" hidden="1" customHeight="1">
      <c r="A36" s="55" t="s">
        <v>580</v>
      </c>
      <c r="B36" s="55" t="s">
        <v>187</v>
      </c>
      <c r="C36" s="55" t="s">
        <v>128</v>
      </c>
      <c r="D36" s="55" t="s">
        <v>150</v>
      </c>
      <c r="E36" s="55" t="s">
        <v>145</v>
      </c>
      <c r="F36" s="55" t="s">
        <v>394</v>
      </c>
      <c r="G36" s="55"/>
      <c r="H36" s="55" t="s">
        <v>541</v>
      </c>
      <c r="I36" s="55"/>
      <c r="J36" s="55" t="s">
        <v>541</v>
      </c>
      <c r="K36" s="55" t="s">
        <v>541</v>
      </c>
      <c r="L36" s="55" t="s">
        <v>562</v>
      </c>
      <c r="M36" s="55"/>
      <c r="N36" s="55"/>
      <c r="O36" s="71" t="s">
        <v>407</v>
      </c>
      <c r="P36" s="72"/>
      <c r="Q36" s="57"/>
      <c r="R36" s="56" t="str">
        <f t="shared" si="4"/>
        <v>No</v>
      </c>
      <c r="S36" s="56" t="str">
        <f t="shared" si="4"/>
        <v>No</v>
      </c>
      <c r="T36" s="56" t="str">
        <f t="shared" si="5"/>
        <v>No</v>
      </c>
      <c r="U36" s="56" t="str">
        <f t="shared" si="6"/>
        <v>Yes</v>
      </c>
      <c r="V36" s="56" t="str">
        <f t="shared" si="7"/>
        <v>No</v>
      </c>
      <c r="W36" s="56" t="s">
        <v>541</v>
      </c>
      <c r="X36" s="56" t="s">
        <v>541</v>
      </c>
      <c r="Y36" s="55"/>
    </row>
    <row r="37" spans="1:25" ht="16" hidden="1" customHeight="1">
      <c r="A37" s="55" t="s">
        <v>598</v>
      </c>
      <c r="B37" s="55" t="s">
        <v>203</v>
      </c>
      <c r="C37" s="55" t="s">
        <v>128</v>
      </c>
      <c r="D37" s="55" t="s">
        <v>148</v>
      </c>
      <c r="E37" s="55" t="s">
        <v>145</v>
      </c>
      <c r="F37" s="55" t="s">
        <v>394</v>
      </c>
      <c r="G37" s="55"/>
      <c r="H37" s="55" t="s">
        <v>541</v>
      </c>
      <c r="I37" s="55"/>
      <c r="J37" s="55" t="s">
        <v>541</v>
      </c>
      <c r="K37" s="55" t="s">
        <v>541</v>
      </c>
      <c r="L37" s="55" t="s">
        <v>542</v>
      </c>
      <c r="M37" s="55" t="s">
        <v>541</v>
      </c>
      <c r="N37" s="55"/>
      <c r="O37" s="56" t="s">
        <v>406</v>
      </c>
      <c r="P37" s="57"/>
      <c r="Q37" s="57"/>
      <c r="R37" s="56" t="str">
        <f t="shared" si="4"/>
        <v>No</v>
      </c>
      <c r="S37" s="56" t="str">
        <f t="shared" si="4"/>
        <v>No</v>
      </c>
      <c r="T37" s="56" t="str">
        <f t="shared" si="5"/>
        <v>No</v>
      </c>
      <c r="U37" s="56" t="str">
        <f t="shared" si="6"/>
        <v>Yes</v>
      </c>
      <c r="V37" s="56" t="str">
        <f t="shared" si="7"/>
        <v>No</v>
      </c>
      <c r="W37" s="56" t="s">
        <v>541</v>
      </c>
      <c r="X37" s="56" t="s">
        <v>541</v>
      </c>
      <c r="Y37" s="55"/>
    </row>
    <row r="38" spans="1:25" ht="16" hidden="1" customHeight="1">
      <c r="A38" s="55" t="s">
        <v>618</v>
      </c>
      <c r="B38" s="55" t="s">
        <v>222</v>
      </c>
      <c r="C38" s="55" t="s">
        <v>128</v>
      </c>
      <c r="D38" s="55" t="s">
        <v>150</v>
      </c>
      <c r="E38" s="55" t="s">
        <v>145</v>
      </c>
      <c r="F38" s="55" t="s">
        <v>396</v>
      </c>
      <c r="G38" s="55"/>
      <c r="H38" s="55" t="s">
        <v>541</v>
      </c>
      <c r="I38" s="55"/>
      <c r="J38" s="55" t="s">
        <v>541</v>
      </c>
      <c r="K38" s="55" t="s">
        <v>541</v>
      </c>
      <c r="L38" s="55" t="s">
        <v>542</v>
      </c>
      <c r="M38" s="55"/>
      <c r="N38" s="55"/>
      <c r="O38" s="71" t="s">
        <v>407</v>
      </c>
      <c r="P38" s="72"/>
      <c r="Q38" s="57"/>
      <c r="R38" s="56" t="str">
        <f t="shared" si="4"/>
        <v>No</v>
      </c>
      <c r="S38" s="56" t="str">
        <f t="shared" si="4"/>
        <v>No</v>
      </c>
      <c r="T38" s="56" t="str">
        <f t="shared" si="5"/>
        <v>Yes</v>
      </c>
      <c r="U38" s="56" t="str">
        <f t="shared" si="6"/>
        <v>Yes</v>
      </c>
      <c r="V38" s="56" t="str">
        <f t="shared" si="7"/>
        <v>No</v>
      </c>
      <c r="W38" s="56" t="s">
        <v>541</v>
      </c>
      <c r="X38" s="56" t="s">
        <v>541</v>
      </c>
      <c r="Y38" s="55" t="s">
        <v>541</v>
      </c>
    </row>
    <row r="39" spans="1:25" ht="16" hidden="1" customHeight="1">
      <c r="A39" s="55" t="s">
        <v>625</v>
      </c>
      <c r="B39" s="55" t="s">
        <v>229</v>
      </c>
      <c r="C39" s="55" t="s">
        <v>128</v>
      </c>
      <c r="D39" s="55" t="s">
        <v>150</v>
      </c>
      <c r="E39" s="55" t="s">
        <v>145</v>
      </c>
      <c r="F39" s="55" t="s">
        <v>394</v>
      </c>
      <c r="G39" s="55"/>
      <c r="H39" s="55"/>
      <c r="I39" s="55"/>
      <c r="J39" s="55" t="s">
        <v>541</v>
      </c>
      <c r="K39" s="55" t="s">
        <v>541</v>
      </c>
      <c r="L39" s="55" t="s">
        <v>562</v>
      </c>
      <c r="M39" s="55"/>
      <c r="N39" s="55"/>
      <c r="O39" s="71" t="s">
        <v>407</v>
      </c>
      <c r="P39" s="72"/>
      <c r="Q39" s="57"/>
      <c r="R39" s="56" t="str">
        <f t="shared" si="4"/>
        <v>No</v>
      </c>
      <c r="S39" s="56" t="str">
        <f t="shared" si="4"/>
        <v>No</v>
      </c>
      <c r="T39" s="56" t="str">
        <f t="shared" si="5"/>
        <v>No</v>
      </c>
      <c r="U39" s="56" t="str">
        <f t="shared" si="6"/>
        <v>Yes</v>
      </c>
      <c r="V39" s="56" t="str">
        <f t="shared" si="7"/>
        <v>No</v>
      </c>
      <c r="W39" s="56" t="s">
        <v>541</v>
      </c>
      <c r="X39" s="56" t="s">
        <v>541</v>
      </c>
      <c r="Y39" s="55"/>
    </row>
    <row r="40" spans="1:25" ht="16" hidden="1" customHeight="1">
      <c r="A40" s="55" t="s">
        <v>628</v>
      </c>
      <c r="B40" s="55" t="s">
        <v>232</v>
      </c>
      <c r="C40" s="55" t="s">
        <v>128</v>
      </c>
      <c r="D40" s="55" t="s">
        <v>148</v>
      </c>
      <c r="E40" s="55" t="s">
        <v>145</v>
      </c>
      <c r="F40" s="55" t="s">
        <v>394</v>
      </c>
      <c r="G40" s="55"/>
      <c r="H40" s="55" t="s">
        <v>541</v>
      </c>
      <c r="I40" s="55"/>
      <c r="J40" s="55" t="s">
        <v>541</v>
      </c>
      <c r="K40" s="55" t="s">
        <v>541</v>
      </c>
      <c r="L40" s="55" t="s">
        <v>562</v>
      </c>
      <c r="M40" s="55"/>
      <c r="N40" s="55"/>
      <c r="O40" s="71" t="s">
        <v>407</v>
      </c>
      <c r="P40" s="72"/>
      <c r="Q40" s="57"/>
      <c r="R40" s="56" t="str">
        <f t="shared" si="4"/>
        <v>No</v>
      </c>
      <c r="S40" s="56" t="str">
        <f t="shared" si="4"/>
        <v>No</v>
      </c>
      <c r="T40" s="56" t="str">
        <f t="shared" si="5"/>
        <v>No</v>
      </c>
      <c r="U40" s="56" t="str">
        <f t="shared" si="6"/>
        <v>Yes</v>
      </c>
      <c r="V40" s="56" t="str">
        <f t="shared" si="7"/>
        <v>No</v>
      </c>
      <c r="W40" s="56" t="s">
        <v>541</v>
      </c>
      <c r="X40" s="56" t="s">
        <v>544</v>
      </c>
      <c r="Y40" s="55" t="s">
        <v>541</v>
      </c>
    </row>
    <row r="41" spans="1:25" ht="16" hidden="1" customHeight="1">
      <c r="A41" s="55" t="s">
        <v>642</v>
      </c>
      <c r="B41" s="55" t="s">
        <v>246</v>
      </c>
      <c r="C41" s="55" t="s">
        <v>128</v>
      </c>
      <c r="D41" s="55" t="s">
        <v>148</v>
      </c>
      <c r="E41" s="55" t="s">
        <v>145</v>
      </c>
      <c r="F41" s="55" t="s">
        <v>394</v>
      </c>
      <c r="G41" s="55"/>
      <c r="H41" s="55" t="s">
        <v>541</v>
      </c>
      <c r="I41" s="55" t="s">
        <v>541</v>
      </c>
      <c r="J41" s="55" t="s">
        <v>541</v>
      </c>
      <c r="K41" s="55" t="s">
        <v>541</v>
      </c>
      <c r="L41" s="55" t="s">
        <v>583</v>
      </c>
      <c r="M41" s="55" t="s">
        <v>541</v>
      </c>
      <c r="N41" s="55"/>
      <c r="O41" s="71" t="s">
        <v>407</v>
      </c>
      <c r="P41" s="72"/>
      <c r="Q41" s="57"/>
      <c r="R41" s="56" t="str">
        <f t="shared" si="4"/>
        <v>No</v>
      </c>
      <c r="S41" s="56" t="str">
        <f t="shared" si="4"/>
        <v>No</v>
      </c>
      <c r="T41" s="56" t="str">
        <f t="shared" si="5"/>
        <v>No</v>
      </c>
      <c r="U41" s="56" t="str">
        <f t="shared" si="6"/>
        <v>Yes</v>
      </c>
      <c r="V41" s="56" t="str">
        <f t="shared" si="7"/>
        <v>No</v>
      </c>
      <c r="W41" s="56" t="s">
        <v>541</v>
      </c>
      <c r="X41" s="56" t="s">
        <v>544</v>
      </c>
      <c r="Y41" s="55"/>
    </row>
    <row r="42" spans="1:25" ht="16" hidden="1" customHeight="1">
      <c r="A42" s="55" t="s">
        <v>612</v>
      </c>
      <c r="B42" s="55" t="s">
        <v>217</v>
      </c>
      <c r="C42" s="55" t="s">
        <v>126</v>
      </c>
      <c r="D42" s="55" t="s">
        <v>152</v>
      </c>
      <c r="E42" s="55" t="s">
        <v>145</v>
      </c>
      <c r="F42" s="55" t="s">
        <v>395</v>
      </c>
      <c r="G42" s="55" t="s">
        <v>541</v>
      </c>
      <c r="H42" s="55"/>
      <c r="I42" s="55" t="s">
        <v>541</v>
      </c>
      <c r="J42" s="55" t="s">
        <v>544</v>
      </c>
      <c r="K42" s="55" t="s">
        <v>544</v>
      </c>
      <c r="L42" s="55" t="s">
        <v>546</v>
      </c>
      <c r="M42" s="55"/>
      <c r="N42" s="55"/>
      <c r="O42" s="56" t="s">
        <v>408</v>
      </c>
      <c r="P42" s="57" t="s">
        <v>822</v>
      </c>
      <c r="Q42" s="57" t="s">
        <v>822</v>
      </c>
      <c r="R42" s="56" t="str">
        <f t="shared" si="4"/>
        <v>Yes</v>
      </c>
      <c r="S42" s="56" t="str">
        <f t="shared" si="4"/>
        <v>Yes</v>
      </c>
      <c r="T42" s="56" t="str">
        <f t="shared" si="5"/>
        <v>No</v>
      </c>
      <c r="U42" s="56" t="str">
        <f t="shared" si="6"/>
        <v>No</v>
      </c>
      <c r="V42" s="56" t="str">
        <f t="shared" si="7"/>
        <v>Yes</v>
      </c>
      <c r="W42" s="56" t="s">
        <v>541</v>
      </c>
      <c r="X42" s="56" t="s">
        <v>541</v>
      </c>
      <c r="Y42" s="55" t="s">
        <v>541</v>
      </c>
    </row>
    <row r="43" spans="1:25" ht="16" hidden="1" customHeight="1">
      <c r="A43" s="55" t="s">
        <v>611</v>
      </c>
      <c r="B43" s="55" t="s">
        <v>216</v>
      </c>
      <c r="C43" s="55" t="s">
        <v>132</v>
      </c>
      <c r="D43" s="55" t="s">
        <v>150</v>
      </c>
      <c r="E43" s="55" t="s">
        <v>145</v>
      </c>
      <c r="F43" s="55" t="s">
        <v>395</v>
      </c>
      <c r="G43" s="55" t="s">
        <v>541</v>
      </c>
      <c r="H43" s="55"/>
      <c r="I43" s="55"/>
      <c r="J43" s="55" t="s">
        <v>544</v>
      </c>
      <c r="K43" s="55" t="s">
        <v>544</v>
      </c>
      <c r="L43" s="55" t="s">
        <v>546</v>
      </c>
      <c r="M43" s="55"/>
      <c r="N43" s="55"/>
      <c r="O43" s="56"/>
      <c r="P43" s="57" t="s">
        <v>822</v>
      </c>
      <c r="Q43" s="57"/>
      <c r="R43" s="56" t="str">
        <f t="shared" ref="R43:S62" si="8">IF($F43="IBRD","Yes","No")</f>
        <v>Yes</v>
      </c>
      <c r="S43" s="56" t="str">
        <f t="shared" si="8"/>
        <v>Yes</v>
      </c>
      <c r="T43" s="56" t="str">
        <f t="shared" si="5"/>
        <v>No</v>
      </c>
      <c r="U43" s="56" t="str">
        <f t="shared" si="6"/>
        <v>No</v>
      </c>
      <c r="V43" s="56" t="str">
        <f t="shared" si="7"/>
        <v>Yes</v>
      </c>
      <c r="W43" s="56" t="s">
        <v>541</v>
      </c>
      <c r="X43" s="56" t="s">
        <v>541</v>
      </c>
      <c r="Y43" s="55"/>
    </row>
    <row r="44" spans="1:25" ht="16" hidden="1" customHeight="1">
      <c r="A44" s="55" t="s">
        <v>613</v>
      </c>
      <c r="B44" s="55" t="s">
        <v>149</v>
      </c>
      <c r="C44" s="55" t="s">
        <v>131</v>
      </c>
      <c r="D44" s="55" t="s">
        <v>152</v>
      </c>
      <c r="E44" s="55" t="s">
        <v>146</v>
      </c>
      <c r="F44" s="55" t="s">
        <v>395</v>
      </c>
      <c r="G44" s="55"/>
      <c r="H44" s="55"/>
      <c r="I44" s="55" t="s">
        <v>541</v>
      </c>
      <c r="J44" s="55" t="s">
        <v>544</v>
      </c>
      <c r="K44" s="55" t="s">
        <v>544</v>
      </c>
      <c r="L44" s="55" t="s">
        <v>546</v>
      </c>
      <c r="M44" s="55"/>
      <c r="N44" s="55"/>
      <c r="O44" s="56"/>
      <c r="P44" s="57"/>
      <c r="Q44" s="57"/>
      <c r="R44" s="56" t="str">
        <f t="shared" si="8"/>
        <v>Yes</v>
      </c>
      <c r="S44" s="56" t="str">
        <f t="shared" si="8"/>
        <v>Yes</v>
      </c>
      <c r="T44" s="56" t="str">
        <f t="shared" si="5"/>
        <v>No</v>
      </c>
      <c r="U44" s="56" t="str">
        <f t="shared" si="6"/>
        <v>No</v>
      </c>
      <c r="V44" s="56" t="str">
        <f t="shared" si="7"/>
        <v>Yes</v>
      </c>
      <c r="W44" s="56" t="s">
        <v>541</v>
      </c>
      <c r="X44" s="56" t="s">
        <v>544</v>
      </c>
      <c r="Y44" s="55"/>
    </row>
    <row r="45" spans="1:25" ht="16" hidden="1" customHeight="1">
      <c r="A45" s="55" t="s">
        <v>614</v>
      </c>
      <c r="B45" s="55" t="s">
        <v>218</v>
      </c>
      <c r="C45" s="55" t="s">
        <v>131</v>
      </c>
      <c r="D45" s="55" t="s">
        <v>152</v>
      </c>
      <c r="E45" s="55" t="s">
        <v>146</v>
      </c>
      <c r="F45" s="55" t="s">
        <v>395</v>
      </c>
      <c r="G45" s="55"/>
      <c r="H45" s="55"/>
      <c r="I45" s="55" t="s">
        <v>541</v>
      </c>
      <c r="J45" s="55" t="s">
        <v>544</v>
      </c>
      <c r="K45" s="55" t="s">
        <v>544</v>
      </c>
      <c r="L45" s="55" t="s">
        <v>546</v>
      </c>
      <c r="M45" s="55"/>
      <c r="N45" s="55"/>
      <c r="O45" s="56"/>
      <c r="P45" s="57"/>
      <c r="Q45" s="57"/>
      <c r="R45" s="56" t="str">
        <f t="shared" si="8"/>
        <v>Yes</v>
      </c>
      <c r="S45" s="56" t="str">
        <f t="shared" si="8"/>
        <v>Yes</v>
      </c>
      <c r="T45" s="56" t="str">
        <f t="shared" si="5"/>
        <v>No</v>
      </c>
      <c r="U45" s="56" t="str">
        <f t="shared" si="6"/>
        <v>No</v>
      </c>
      <c r="V45" s="56" t="str">
        <f t="shared" si="7"/>
        <v>Yes</v>
      </c>
      <c r="W45" s="56" t="s">
        <v>541</v>
      </c>
      <c r="X45" s="56" t="s">
        <v>544</v>
      </c>
      <c r="Y45" s="55"/>
    </row>
    <row r="46" spans="1:25" ht="16" hidden="1" customHeight="1">
      <c r="A46" s="55" t="s">
        <v>616</v>
      </c>
      <c r="B46" s="55" t="s">
        <v>220</v>
      </c>
      <c r="C46" s="55" t="s">
        <v>131</v>
      </c>
      <c r="D46" s="55" t="s">
        <v>152</v>
      </c>
      <c r="E46" s="55" t="s">
        <v>146</v>
      </c>
      <c r="F46" s="55" t="s">
        <v>395</v>
      </c>
      <c r="G46" s="55"/>
      <c r="H46" s="55"/>
      <c r="I46" s="55" t="s">
        <v>541</v>
      </c>
      <c r="J46" s="55" t="s">
        <v>544</v>
      </c>
      <c r="K46" s="55" t="s">
        <v>544</v>
      </c>
      <c r="L46" s="55" t="s">
        <v>546</v>
      </c>
      <c r="M46" s="55"/>
      <c r="N46" s="55"/>
      <c r="O46" s="71" t="s">
        <v>407</v>
      </c>
      <c r="P46" s="72"/>
      <c r="Q46" s="57"/>
      <c r="R46" s="56" t="str">
        <f t="shared" si="8"/>
        <v>Yes</v>
      </c>
      <c r="S46" s="56" t="str">
        <f t="shared" si="8"/>
        <v>Yes</v>
      </c>
      <c r="T46" s="56" t="str">
        <f t="shared" si="5"/>
        <v>No</v>
      </c>
      <c r="U46" s="56" t="str">
        <f t="shared" si="6"/>
        <v>No</v>
      </c>
      <c r="V46" s="56" t="str">
        <f t="shared" si="7"/>
        <v>Yes</v>
      </c>
      <c r="W46" s="56" t="s">
        <v>541</v>
      </c>
      <c r="X46" s="56" t="s">
        <v>544</v>
      </c>
      <c r="Y46" s="55"/>
    </row>
    <row r="47" spans="1:25" ht="16" hidden="1" customHeight="1">
      <c r="A47" s="55" t="s">
        <v>629</v>
      </c>
      <c r="B47" s="55" t="s">
        <v>233</v>
      </c>
      <c r="C47" s="55" t="s">
        <v>128</v>
      </c>
      <c r="D47" s="55" t="s">
        <v>148</v>
      </c>
      <c r="E47" s="55" t="s">
        <v>145</v>
      </c>
      <c r="F47" s="55" t="s">
        <v>394</v>
      </c>
      <c r="G47" s="55"/>
      <c r="H47" s="55" t="s">
        <v>541</v>
      </c>
      <c r="I47" s="55"/>
      <c r="J47" s="55" t="s">
        <v>541</v>
      </c>
      <c r="K47" s="55" t="s">
        <v>541</v>
      </c>
      <c r="L47" s="55" t="s">
        <v>542</v>
      </c>
      <c r="M47" s="55" t="s">
        <v>541</v>
      </c>
      <c r="N47" s="55"/>
      <c r="O47" s="71" t="s">
        <v>407</v>
      </c>
      <c r="P47" s="72"/>
      <c r="Q47" s="57"/>
      <c r="R47" s="56" t="str">
        <f t="shared" si="8"/>
        <v>No</v>
      </c>
      <c r="S47" s="56" t="str">
        <f t="shared" si="8"/>
        <v>No</v>
      </c>
      <c r="T47" s="56" t="str">
        <f t="shared" si="5"/>
        <v>No</v>
      </c>
      <c r="U47" s="56" t="str">
        <f t="shared" si="6"/>
        <v>Yes</v>
      </c>
      <c r="V47" s="56" t="str">
        <f t="shared" si="7"/>
        <v>No</v>
      </c>
      <c r="W47" s="56" t="s">
        <v>541</v>
      </c>
      <c r="X47" s="56" t="s">
        <v>544</v>
      </c>
      <c r="Y47" s="55" t="s">
        <v>541</v>
      </c>
    </row>
    <row r="48" spans="1:25" ht="16" hidden="1" customHeight="1">
      <c r="A48" s="55" t="s">
        <v>661</v>
      </c>
      <c r="B48" s="55" t="s">
        <v>264</v>
      </c>
      <c r="C48" s="55" t="s">
        <v>128</v>
      </c>
      <c r="D48" s="55" t="s">
        <v>148</v>
      </c>
      <c r="E48" s="55" t="s">
        <v>145</v>
      </c>
      <c r="F48" s="55" t="s">
        <v>394</v>
      </c>
      <c r="G48" s="55"/>
      <c r="H48" s="73" t="s">
        <v>541</v>
      </c>
      <c r="I48" s="73"/>
      <c r="J48" s="55" t="s">
        <v>541</v>
      </c>
      <c r="K48" s="55" t="s">
        <v>544</v>
      </c>
      <c r="L48" s="55" t="s">
        <v>562</v>
      </c>
      <c r="M48" s="55" t="s">
        <v>541</v>
      </c>
      <c r="N48" s="55"/>
      <c r="O48" s="71" t="s">
        <v>406</v>
      </c>
      <c r="P48" s="72"/>
      <c r="Q48" s="57"/>
      <c r="R48" s="56" t="str">
        <f t="shared" si="8"/>
        <v>No</v>
      </c>
      <c r="S48" s="56" t="str">
        <f t="shared" si="8"/>
        <v>No</v>
      </c>
      <c r="T48" s="56" t="str">
        <f t="shared" si="5"/>
        <v>No</v>
      </c>
      <c r="U48" s="56" t="str">
        <f t="shared" si="6"/>
        <v>Yes</v>
      </c>
      <c r="V48" s="56" t="str">
        <f t="shared" si="7"/>
        <v>No</v>
      </c>
      <c r="W48" s="56" t="s">
        <v>541</v>
      </c>
      <c r="X48" s="56" t="s">
        <v>544</v>
      </c>
      <c r="Y48" s="55" t="s">
        <v>541</v>
      </c>
    </row>
    <row r="49" spans="1:25" ht="16" hidden="1" customHeight="1">
      <c r="A49" s="55" t="s">
        <v>669</v>
      </c>
      <c r="B49" s="55" t="s">
        <v>271</v>
      </c>
      <c r="C49" s="55" t="s">
        <v>128</v>
      </c>
      <c r="D49" s="55" t="s">
        <v>148</v>
      </c>
      <c r="E49" s="55" t="s">
        <v>145</v>
      </c>
      <c r="F49" s="55" t="s">
        <v>394</v>
      </c>
      <c r="G49" s="55"/>
      <c r="H49" s="73" t="s">
        <v>541</v>
      </c>
      <c r="I49" s="73"/>
      <c r="J49" s="55" t="s">
        <v>541</v>
      </c>
      <c r="K49" s="55" t="s">
        <v>544</v>
      </c>
      <c r="L49" s="55" t="s">
        <v>583</v>
      </c>
      <c r="M49" s="55" t="s">
        <v>541</v>
      </c>
      <c r="N49" s="55"/>
      <c r="O49" s="56"/>
      <c r="P49" s="57"/>
      <c r="Q49" s="57"/>
      <c r="R49" s="56" t="str">
        <f t="shared" si="8"/>
        <v>No</v>
      </c>
      <c r="S49" s="56" t="str">
        <f t="shared" si="8"/>
        <v>No</v>
      </c>
      <c r="T49" s="56" t="str">
        <f t="shared" si="5"/>
        <v>No</v>
      </c>
      <c r="U49" s="56" t="str">
        <f t="shared" si="6"/>
        <v>Yes</v>
      </c>
      <c r="V49" s="56" t="str">
        <f t="shared" si="7"/>
        <v>No</v>
      </c>
      <c r="W49" s="56" t="s">
        <v>541</v>
      </c>
      <c r="X49" s="56" t="s">
        <v>544</v>
      </c>
      <c r="Y49" s="55"/>
    </row>
    <row r="50" spans="1:25" ht="16" hidden="1" customHeight="1">
      <c r="A50" s="55" t="s">
        <v>671</v>
      </c>
      <c r="B50" s="55" t="s">
        <v>273</v>
      </c>
      <c r="C50" s="55" t="s">
        <v>128</v>
      </c>
      <c r="D50" s="55" t="s">
        <v>148</v>
      </c>
      <c r="E50" s="55" t="s">
        <v>145</v>
      </c>
      <c r="F50" s="55" t="s">
        <v>394</v>
      </c>
      <c r="G50" s="55"/>
      <c r="H50" s="73" t="s">
        <v>541</v>
      </c>
      <c r="I50" s="73"/>
      <c r="J50" s="55" t="s">
        <v>541</v>
      </c>
      <c r="K50" s="55" t="s">
        <v>544</v>
      </c>
      <c r="L50" s="55" t="s">
        <v>542</v>
      </c>
      <c r="M50" s="55"/>
      <c r="N50" s="55"/>
      <c r="O50" s="71" t="s">
        <v>407</v>
      </c>
      <c r="P50" s="72"/>
      <c r="Q50" s="57"/>
      <c r="R50" s="56" t="str">
        <f t="shared" si="8"/>
        <v>No</v>
      </c>
      <c r="S50" s="56" t="str">
        <f t="shared" si="8"/>
        <v>No</v>
      </c>
      <c r="T50" s="56" t="str">
        <f t="shared" si="5"/>
        <v>No</v>
      </c>
      <c r="U50" s="56" t="str">
        <f t="shared" si="6"/>
        <v>Yes</v>
      </c>
      <c r="V50" s="56" t="str">
        <f t="shared" si="7"/>
        <v>No</v>
      </c>
      <c r="W50" s="56" t="s">
        <v>541</v>
      </c>
      <c r="X50" s="56" t="s">
        <v>544</v>
      </c>
      <c r="Y50" s="55"/>
    </row>
    <row r="51" spans="1:25" ht="16" hidden="1" customHeight="1">
      <c r="A51" s="55" t="s">
        <v>681</v>
      </c>
      <c r="B51" s="55" t="s">
        <v>156</v>
      </c>
      <c r="C51" s="55" t="s">
        <v>128</v>
      </c>
      <c r="D51" s="55" t="s">
        <v>150</v>
      </c>
      <c r="E51" s="55" t="s">
        <v>145</v>
      </c>
      <c r="F51" s="55" t="s">
        <v>394</v>
      </c>
      <c r="G51" s="55"/>
      <c r="H51" s="73" t="s">
        <v>541</v>
      </c>
      <c r="I51" s="73"/>
      <c r="J51" s="55" t="s">
        <v>541</v>
      </c>
      <c r="K51" s="55" t="s">
        <v>541</v>
      </c>
      <c r="L51" s="55" t="s">
        <v>548</v>
      </c>
      <c r="M51" s="55"/>
      <c r="N51" s="55"/>
      <c r="O51" s="56"/>
      <c r="P51" s="57"/>
      <c r="Q51" s="57"/>
      <c r="R51" s="56" t="str">
        <f t="shared" si="8"/>
        <v>No</v>
      </c>
      <c r="S51" s="56" t="str">
        <f t="shared" si="8"/>
        <v>No</v>
      </c>
      <c r="T51" s="56" t="str">
        <f t="shared" si="5"/>
        <v>No</v>
      </c>
      <c r="U51" s="56" t="str">
        <f t="shared" si="6"/>
        <v>Yes</v>
      </c>
      <c r="V51" s="56" t="str">
        <f t="shared" si="7"/>
        <v>No</v>
      </c>
      <c r="W51" s="56" t="s">
        <v>541</v>
      </c>
      <c r="X51" s="56" t="s">
        <v>544</v>
      </c>
      <c r="Y51" s="55"/>
    </row>
    <row r="52" spans="1:25" ht="16" hidden="1" customHeight="1">
      <c r="A52" s="55" t="s">
        <v>624</v>
      </c>
      <c r="B52" s="55" t="s">
        <v>228</v>
      </c>
      <c r="C52" s="55" t="s">
        <v>131</v>
      </c>
      <c r="D52" s="55" t="s">
        <v>152</v>
      </c>
      <c r="E52" s="55" t="s">
        <v>146</v>
      </c>
      <c r="F52" s="55" t="s">
        <v>395</v>
      </c>
      <c r="G52" s="55"/>
      <c r="H52" s="55"/>
      <c r="I52" s="55" t="s">
        <v>541</v>
      </c>
      <c r="J52" s="55" t="s">
        <v>544</v>
      </c>
      <c r="K52" s="55" t="s">
        <v>544</v>
      </c>
      <c r="L52" s="55" t="s">
        <v>546</v>
      </c>
      <c r="M52" s="55"/>
      <c r="N52" s="55"/>
      <c r="O52" s="56" t="s">
        <v>406</v>
      </c>
      <c r="P52" s="57"/>
      <c r="Q52" s="57"/>
      <c r="R52" s="56" t="str">
        <f t="shared" si="8"/>
        <v>Yes</v>
      </c>
      <c r="S52" s="56" t="str">
        <f t="shared" si="8"/>
        <v>Yes</v>
      </c>
      <c r="T52" s="56" t="str">
        <f t="shared" si="5"/>
        <v>No</v>
      </c>
      <c r="U52" s="56" t="str">
        <f t="shared" si="6"/>
        <v>No</v>
      </c>
      <c r="V52" s="56" t="str">
        <f t="shared" si="7"/>
        <v>Yes</v>
      </c>
      <c r="W52" s="56" t="s">
        <v>541</v>
      </c>
      <c r="X52" s="56" t="s">
        <v>544</v>
      </c>
      <c r="Y52" s="55"/>
    </row>
    <row r="53" spans="1:25" ht="16" hidden="1" customHeight="1">
      <c r="A53" s="55" t="s">
        <v>691</v>
      </c>
      <c r="B53" s="55" t="s">
        <v>289</v>
      </c>
      <c r="C53" s="55" t="s">
        <v>128</v>
      </c>
      <c r="D53" s="55" t="s">
        <v>148</v>
      </c>
      <c r="E53" s="55" t="s">
        <v>145</v>
      </c>
      <c r="F53" s="55" t="s">
        <v>394</v>
      </c>
      <c r="G53" s="55"/>
      <c r="H53" s="73" t="s">
        <v>541</v>
      </c>
      <c r="I53" s="73" t="s">
        <v>541</v>
      </c>
      <c r="J53" s="55" t="s">
        <v>541</v>
      </c>
      <c r="K53" s="55" t="s">
        <v>541</v>
      </c>
      <c r="L53" s="55" t="s">
        <v>558</v>
      </c>
      <c r="M53" s="55" t="s">
        <v>541</v>
      </c>
      <c r="N53" s="55"/>
      <c r="O53" s="56"/>
      <c r="P53" s="57"/>
      <c r="Q53" s="57"/>
      <c r="R53" s="56" t="str">
        <f t="shared" si="8"/>
        <v>No</v>
      </c>
      <c r="S53" s="56" t="str">
        <f t="shared" si="8"/>
        <v>No</v>
      </c>
      <c r="T53" s="56" t="str">
        <f t="shared" si="5"/>
        <v>No</v>
      </c>
      <c r="U53" s="56" t="str">
        <f t="shared" si="6"/>
        <v>Yes</v>
      </c>
      <c r="V53" s="56" t="str">
        <f t="shared" si="7"/>
        <v>No</v>
      </c>
      <c r="W53" s="56" t="s">
        <v>541</v>
      </c>
      <c r="X53" s="56" t="s">
        <v>544</v>
      </c>
      <c r="Y53" s="55" t="s">
        <v>541</v>
      </c>
    </row>
    <row r="54" spans="1:25" ht="16" hidden="1" customHeight="1">
      <c r="A54" s="55" t="s">
        <v>627</v>
      </c>
      <c r="B54" s="55" t="s">
        <v>231</v>
      </c>
      <c r="C54" s="55" t="s">
        <v>131</v>
      </c>
      <c r="D54" s="55" t="s">
        <v>152</v>
      </c>
      <c r="E54" s="55" t="s">
        <v>146</v>
      </c>
      <c r="F54" s="55" t="s">
        <v>395</v>
      </c>
      <c r="G54" s="55"/>
      <c r="H54" s="55" t="s">
        <v>541</v>
      </c>
      <c r="I54" s="55" t="s">
        <v>541</v>
      </c>
      <c r="J54" s="55" t="s">
        <v>544</v>
      </c>
      <c r="K54" s="55" t="s">
        <v>544</v>
      </c>
      <c r="L54" s="55" t="s">
        <v>546</v>
      </c>
      <c r="M54" s="55"/>
      <c r="N54" s="55"/>
      <c r="O54" s="56"/>
      <c r="P54" s="57"/>
      <c r="Q54" s="57"/>
      <c r="R54" s="56" t="str">
        <f t="shared" si="8"/>
        <v>Yes</v>
      </c>
      <c r="S54" s="56" t="str">
        <f t="shared" si="8"/>
        <v>Yes</v>
      </c>
      <c r="T54" s="56" t="str">
        <f t="shared" si="5"/>
        <v>No</v>
      </c>
      <c r="U54" s="56" t="str">
        <f t="shared" si="6"/>
        <v>No</v>
      </c>
      <c r="V54" s="56" t="str">
        <f t="shared" si="7"/>
        <v>Yes</v>
      </c>
      <c r="W54" s="56" t="s">
        <v>541</v>
      </c>
      <c r="X54" s="56" t="s">
        <v>544</v>
      </c>
      <c r="Y54" s="55"/>
    </row>
    <row r="55" spans="1:25" ht="16" hidden="1" customHeight="1">
      <c r="A55" s="55" t="s">
        <v>699</v>
      </c>
      <c r="B55" s="55" t="s">
        <v>297</v>
      </c>
      <c r="C55" s="55" t="s">
        <v>128</v>
      </c>
      <c r="D55" s="55" t="s">
        <v>150</v>
      </c>
      <c r="E55" s="55" t="s">
        <v>145</v>
      </c>
      <c r="F55" s="55" t="s">
        <v>394</v>
      </c>
      <c r="G55" s="55"/>
      <c r="H55" s="73" t="s">
        <v>541</v>
      </c>
      <c r="I55" s="73"/>
      <c r="J55" s="55" t="s">
        <v>541</v>
      </c>
      <c r="K55" s="55" t="s">
        <v>541</v>
      </c>
      <c r="L55" s="55" t="s">
        <v>542</v>
      </c>
      <c r="M55" s="55" t="s">
        <v>541</v>
      </c>
      <c r="N55" s="55"/>
      <c r="O55" s="71" t="s">
        <v>407</v>
      </c>
      <c r="P55" s="72"/>
      <c r="Q55" s="57"/>
      <c r="R55" s="56" t="str">
        <f t="shared" si="8"/>
        <v>No</v>
      </c>
      <c r="S55" s="56" t="str">
        <f t="shared" si="8"/>
        <v>No</v>
      </c>
      <c r="T55" s="56" t="str">
        <f t="shared" si="5"/>
        <v>No</v>
      </c>
      <c r="U55" s="56" t="str">
        <f t="shared" si="6"/>
        <v>Yes</v>
      </c>
      <c r="V55" s="56" t="str">
        <f t="shared" si="7"/>
        <v>No</v>
      </c>
      <c r="W55" s="56" t="s">
        <v>541</v>
      </c>
      <c r="X55" s="56" t="s">
        <v>544</v>
      </c>
      <c r="Y55" s="55"/>
    </row>
    <row r="56" spans="1:25" ht="16" hidden="1" customHeight="1">
      <c r="A56" s="55" t="s">
        <v>672</v>
      </c>
      <c r="B56" s="55" t="s">
        <v>274</v>
      </c>
      <c r="C56" s="55" t="s">
        <v>132</v>
      </c>
      <c r="D56" s="55" t="s">
        <v>150</v>
      </c>
      <c r="E56" s="55" t="s">
        <v>145</v>
      </c>
      <c r="F56" s="55" t="s">
        <v>395</v>
      </c>
      <c r="G56" s="55"/>
      <c r="H56" s="55"/>
      <c r="I56" s="55"/>
      <c r="J56" s="55" t="s">
        <v>544</v>
      </c>
      <c r="K56" s="55" t="s">
        <v>544</v>
      </c>
      <c r="L56" s="55" t="s">
        <v>546</v>
      </c>
      <c r="M56" s="55"/>
      <c r="N56" s="55"/>
      <c r="O56" s="56" t="s">
        <v>408</v>
      </c>
      <c r="P56" s="57" t="s">
        <v>822</v>
      </c>
      <c r="Q56" s="57"/>
      <c r="R56" s="56" t="str">
        <f t="shared" si="8"/>
        <v>Yes</v>
      </c>
      <c r="S56" s="56" t="str">
        <f t="shared" si="8"/>
        <v>Yes</v>
      </c>
      <c r="T56" s="56" t="str">
        <f t="shared" si="5"/>
        <v>No</v>
      </c>
      <c r="U56" s="56" t="str">
        <f t="shared" si="6"/>
        <v>No</v>
      </c>
      <c r="V56" s="56" t="str">
        <f t="shared" si="7"/>
        <v>Yes</v>
      </c>
      <c r="W56" s="56" t="s">
        <v>541</v>
      </c>
      <c r="X56" s="56" t="s">
        <v>544</v>
      </c>
      <c r="Y56" s="55"/>
    </row>
    <row r="57" spans="1:25" ht="16" hidden="1" customHeight="1">
      <c r="A57" s="55" t="s">
        <v>590</v>
      </c>
      <c r="B57" s="55" t="s">
        <v>195</v>
      </c>
      <c r="C57" s="55" t="s">
        <v>130</v>
      </c>
      <c r="D57" s="55" t="s">
        <v>152</v>
      </c>
      <c r="E57" s="55" t="s">
        <v>145</v>
      </c>
      <c r="F57" s="55" t="s">
        <v>396</v>
      </c>
      <c r="G57" s="55"/>
      <c r="H57" s="55"/>
      <c r="I57" s="55"/>
      <c r="J57" s="55" t="s">
        <v>541</v>
      </c>
      <c r="K57" s="55" t="s">
        <v>541</v>
      </c>
      <c r="L57" s="55" t="s">
        <v>548</v>
      </c>
      <c r="M57" s="55"/>
      <c r="N57" s="55"/>
      <c r="O57" s="56"/>
      <c r="P57" s="57"/>
      <c r="Q57" s="57"/>
      <c r="R57" s="56" t="str">
        <f t="shared" si="8"/>
        <v>No</v>
      </c>
      <c r="S57" s="56" t="str">
        <f t="shared" si="8"/>
        <v>No</v>
      </c>
      <c r="T57" s="56" t="str">
        <f t="shared" si="5"/>
        <v>Yes</v>
      </c>
      <c r="U57" s="56" t="str">
        <f t="shared" si="6"/>
        <v>Yes</v>
      </c>
      <c r="V57" s="56" t="str">
        <f t="shared" si="7"/>
        <v>No</v>
      </c>
      <c r="W57" s="56" t="s">
        <v>541</v>
      </c>
      <c r="X57" s="56" t="s">
        <v>544</v>
      </c>
      <c r="Y57" s="55" t="s">
        <v>541</v>
      </c>
    </row>
    <row r="58" spans="1:25" ht="16" customHeight="1">
      <c r="A58" s="55" t="s">
        <v>641</v>
      </c>
      <c r="B58" s="55" t="s">
        <v>245</v>
      </c>
      <c r="C58" s="55" t="s">
        <v>131</v>
      </c>
      <c r="D58" s="55" t="s">
        <v>150</v>
      </c>
      <c r="E58" s="55" t="s">
        <v>145</v>
      </c>
      <c r="F58" s="55" t="s">
        <v>395</v>
      </c>
      <c r="G58" s="55"/>
      <c r="H58" s="55"/>
      <c r="I58" s="55" t="s">
        <v>541</v>
      </c>
      <c r="J58" s="55" t="s">
        <v>544</v>
      </c>
      <c r="K58" s="55" t="s">
        <v>544</v>
      </c>
      <c r="L58" s="55" t="s">
        <v>546</v>
      </c>
      <c r="M58" s="55"/>
      <c r="N58" s="55"/>
      <c r="O58" s="56"/>
      <c r="P58" s="57"/>
      <c r="Q58" s="57"/>
      <c r="R58" s="56" t="str">
        <f t="shared" si="8"/>
        <v>Yes</v>
      </c>
      <c r="S58" s="56" t="str">
        <f t="shared" si="8"/>
        <v>Yes</v>
      </c>
      <c r="T58" s="56" t="str">
        <f t="shared" si="5"/>
        <v>No</v>
      </c>
      <c r="U58" s="56" t="str">
        <f t="shared" si="6"/>
        <v>No</v>
      </c>
      <c r="V58" s="56" t="str">
        <f t="shared" si="7"/>
        <v>Yes</v>
      </c>
      <c r="W58" s="56" t="s">
        <v>541</v>
      </c>
      <c r="X58" s="56" t="s">
        <v>544</v>
      </c>
      <c r="Y58" s="236"/>
    </row>
    <row r="59" spans="1:25" ht="16" hidden="1" customHeight="1">
      <c r="A59" s="55" t="s">
        <v>635</v>
      </c>
      <c r="B59" s="55" t="s">
        <v>239</v>
      </c>
      <c r="C59" s="55" t="s">
        <v>128</v>
      </c>
      <c r="D59" s="55" t="s">
        <v>550</v>
      </c>
      <c r="E59" s="55" t="s">
        <v>146</v>
      </c>
      <c r="F59" s="55" t="s">
        <v>395</v>
      </c>
      <c r="G59" s="55"/>
      <c r="H59" s="55" t="s">
        <v>541</v>
      </c>
      <c r="I59" s="55" t="s">
        <v>541</v>
      </c>
      <c r="J59" s="55" t="s">
        <v>544</v>
      </c>
      <c r="K59" s="55" t="s">
        <v>544</v>
      </c>
      <c r="L59" s="55" t="s">
        <v>546</v>
      </c>
      <c r="M59" s="55"/>
      <c r="N59" s="55"/>
      <c r="O59" s="71" t="s">
        <v>407</v>
      </c>
      <c r="P59" s="72"/>
      <c r="Q59" s="57"/>
      <c r="R59" s="56" t="str">
        <f t="shared" si="8"/>
        <v>Yes</v>
      </c>
      <c r="S59" s="56" t="str">
        <f t="shared" si="8"/>
        <v>Yes</v>
      </c>
      <c r="T59" s="56" t="str">
        <f t="shared" si="5"/>
        <v>No</v>
      </c>
      <c r="U59" s="56" t="str">
        <f t="shared" si="6"/>
        <v>No</v>
      </c>
      <c r="V59" s="56" t="str">
        <f t="shared" si="7"/>
        <v>Yes</v>
      </c>
      <c r="W59" s="56" t="s">
        <v>541</v>
      </c>
      <c r="X59" s="56" t="s">
        <v>544</v>
      </c>
      <c r="Y59" s="55"/>
    </row>
    <row r="60" spans="1:25" ht="16" hidden="1" customHeight="1">
      <c r="A60" s="55" t="s">
        <v>604</v>
      </c>
      <c r="B60" s="55" t="s">
        <v>209</v>
      </c>
      <c r="C60" s="55" t="s">
        <v>130</v>
      </c>
      <c r="D60" s="55" t="s">
        <v>152</v>
      </c>
      <c r="E60" s="55" t="s">
        <v>145</v>
      </c>
      <c r="F60" s="55" t="s">
        <v>396</v>
      </c>
      <c r="G60" s="55"/>
      <c r="H60" s="55"/>
      <c r="I60" s="55"/>
      <c r="J60" s="55" t="s">
        <v>541</v>
      </c>
      <c r="K60" s="55" t="s">
        <v>541</v>
      </c>
      <c r="L60" s="55" t="s">
        <v>583</v>
      </c>
      <c r="M60" s="55"/>
      <c r="N60" s="55"/>
      <c r="O60" s="56"/>
      <c r="P60" s="57"/>
      <c r="Q60" s="57"/>
      <c r="R60" s="56" t="str">
        <f t="shared" si="8"/>
        <v>No</v>
      </c>
      <c r="S60" s="56" t="str">
        <f t="shared" si="8"/>
        <v>No</v>
      </c>
      <c r="T60" s="56" t="str">
        <f t="shared" si="5"/>
        <v>Yes</v>
      </c>
      <c r="U60" s="56" t="str">
        <f t="shared" si="6"/>
        <v>Yes</v>
      </c>
      <c r="V60" s="56" t="str">
        <f t="shared" si="7"/>
        <v>No</v>
      </c>
      <c r="W60" s="56" t="s">
        <v>541</v>
      </c>
      <c r="X60" s="56" t="s">
        <v>544</v>
      </c>
      <c r="Y60" s="55"/>
    </row>
    <row r="61" spans="1:25" ht="16" hidden="1" customHeight="1">
      <c r="A61" s="55" t="s">
        <v>608</v>
      </c>
      <c r="B61" s="55" t="s">
        <v>213</v>
      </c>
      <c r="C61" s="55" t="s">
        <v>130</v>
      </c>
      <c r="D61" s="55" t="s">
        <v>152</v>
      </c>
      <c r="E61" s="55" t="s">
        <v>145</v>
      </c>
      <c r="F61" s="55" t="s">
        <v>394</v>
      </c>
      <c r="G61" s="55"/>
      <c r="H61" s="55"/>
      <c r="I61" s="55"/>
      <c r="J61" s="55" t="s">
        <v>541</v>
      </c>
      <c r="K61" s="55" t="s">
        <v>544</v>
      </c>
      <c r="L61" s="55" t="s">
        <v>562</v>
      </c>
      <c r="M61" s="55"/>
      <c r="N61" s="55"/>
      <c r="O61" s="56" t="s">
        <v>407</v>
      </c>
      <c r="P61" s="57"/>
      <c r="Q61" s="57"/>
      <c r="R61" s="56" t="str">
        <f t="shared" si="8"/>
        <v>No</v>
      </c>
      <c r="S61" s="56" t="str">
        <f t="shared" si="8"/>
        <v>No</v>
      </c>
      <c r="T61" s="56" t="str">
        <f t="shared" si="5"/>
        <v>No</v>
      </c>
      <c r="U61" s="56" t="str">
        <f t="shared" si="6"/>
        <v>Yes</v>
      </c>
      <c r="V61" s="56" t="str">
        <f t="shared" si="7"/>
        <v>No</v>
      </c>
      <c r="W61" s="56" t="s">
        <v>541</v>
      </c>
      <c r="X61" s="56" t="s">
        <v>544</v>
      </c>
      <c r="Y61" s="55"/>
    </row>
    <row r="62" spans="1:25" ht="16" hidden="1" customHeight="1">
      <c r="A62" s="55" t="s">
        <v>610</v>
      </c>
      <c r="B62" s="55" t="s">
        <v>215</v>
      </c>
      <c r="C62" s="55" t="s">
        <v>130</v>
      </c>
      <c r="D62" s="55" t="s">
        <v>150</v>
      </c>
      <c r="E62" s="55" t="s">
        <v>145</v>
      </c>
      <c r="F62" s="55" t="s">
        <v>394</v>
      </c>
      <c r="G62" s="55"/>
      <c r="H62" s="55"/>
      <c r="I62" s="55"/>
      <c r="J62" s="55" t="s">
        <v>541</v>
      </c>
      <c r="K62" s="55" t="s">
        <v>544</v>
      </c>
      <c r="L62" s="55" t="s">
        <v>558</v>
      </c>
      <c r="M62" s="55"/>
      <c r="N62" s="55"/>
      <c r="O62" s="56" t="s">
        <v>406</v>
      </c>
      <c r="P62" s="57"/>
      <c r="Q62" s="57"/>
      <c r="R62" s="56" t="str">
        <f t="shared" si="8"/>
        <v>No</v>
      </c>
      <c r="S62" s="56" t="str">
        <f t="shared" si="8"/>
        <v>No</v>
      </c>
      <c r="T62" s="56" t="str">
        <f t="shared" si="5"/>
        <v>No</v>
      </c>
      <c r="U62" s="56" t="str">
        <f t="shared" si="6"/>
        <v>Yes</v>
      </c>
      <c r="V62" s="56" t="str">
        <f t="shared" si="7"/>
        <v>No</v>
      </c>
      <c r="W62" s="56" t="s">
        <v>541</v>
      </c>
      <c r="X62" s="56" t="s">
        <v>541</v>
      </c>
      <c r="Y62" s="55" t="s">
        <v>541</v>
      </c>
    </row>
    <row r="63" spans="1:25" ht="16" hidden="1" customHeight="1">
      <c r="A63" s="55" t="s">
        <v>609</v>
      </c>
      <c r="B63" s="55" t="s">
        <v>214</v>
      </c>
      <c r="C63" s="55" t="s">
        <v>130</v>
      </c>
      <c r="D63" s="55" t="s">
        <v>148</v>
      </c>
      <c r="E63" s="55" t="s">
        <v>145</v>
      </c>
      <c r="F63" s="55" t="s">
        <v>394</v>
      </c>
      <c r="G63" s="55"/>
      <c r="H63" s="55"/>
      <c r="I63" s="55"/>
      <c r="J63" s="55" t="s">
        <v>541</v>
      </c>
      <c r="K63" s="55" t="s">
        <v>544</v>
      </c>
      <c r="L63" s="55" t="s">
        <v>542</v>
      </c>
      <c r="M63" s="55" t="s">
        <v>541</v>
      </c>
      <c r="N63" s="55"/>
      <c r="O63" s="56"/>
      <c r="P63" s="57"/>
      <c r="Q63" s="57"/>
      <c r="R63" s="56" t="str">
        <f t="shared" ref="R63:S82" si="9">IF($F63="IBRD","Yes","No")</f>
        <v>No</v>
      </c>
      <c r="S63" s="56" t="str">
        <f t="shared" si="9"/>
        <v>No</v>
      </c>
      <c r="T63" s="56" t="str">
        <f t="shared" si="5"/>
        <v>No</v>
      </c>
      <c r="U63" s="56" t="str">
        <f t="shared" si="6"/>
        <v>Yes</v>
      </c>
      <c r="V63" s="56" t="str">
        <f t="shared" si="7"/>
        <v>No</v>
      </c>
      <c r="W63" s="56" t="s">
        <v>541</v>
      </c>
      <c r="X63" s="56" t="s">
        <v>541</v>
      </c>
      <c r="Y63" s="55"/>
    </row>
    <row r="64" spans="1:25" ht="16" hidden="1" customHeight="1">
      <c r="A64" s="55" t="s">
        <v>674</v>
      </c>
      <c r="B64" s="55" t="s">
        <v>154</v>
      </c>
      <c r="C64" s="55" t="s">
        <v>130</v>
      </c>
      <c r="D64" s="55" t="s">
        <v>152</v>
      </c>
      <c r="E64" s="55" t="s">
        <v>145</v>
      </c>
      <c r="F64" s="55" t="s">
        <v>396</v>
      </c>
      <c r="G64" s="55"/>
      <c r="H64" s="55"/>
      <c r="I64" s="55"/>
      <c r="J64" s="55" t="s">
        <v>541</v>
      </c>
      <c r="K64" s="55" t="s">
        <v>541</v>
      </c>
      <c r="L64" s="55" t="s">
        <v>548</v>
      </c>
      <c r="M64" s="55"/>
      <c r="N64" s="55"/>
      <c r="O64" s="56"/>
      <c r="P64" s="57"/>
      <c r="Q64" s="57"/>
      <c r="R64" s="56" t="str">
        <f t="shared" si="9"/>
        <v>No</v>
      </c>
      <c r="S64" s="56" t="str">
        <f t="shared" si="9"/>
        <v>No</v>
      </c>
      <c r="T64" s="56" t="str">
        <f t="shared" si="5"/>
        <v>Yes</v>
      </c>
      <c r="U64" s="56" t="str">
        <f t="shared" si="6"/>
        <v>Yes</v>
      </c>
      <c r="V64" s="56" t="str">
        <f t="shared" si="7"/>
        <v>No</v>
      </c>
      <c r="W64" s="56" t="s">
        <v>541</v>
      </c>
      <c r="X64" s="56" t="s">
        <v>544</v>
      </c>
      <c r="Y64" s="55"/>
    </row>
    <row r="65" spans="1:25" ht="16" hidden="1" customHeight="1">
      <c r="A65" s="55" t="s">
        <v>640</v>
      </c>
      <c r="B65" s="55" t="s">
        <v>244</v>
      </c>
      <c r="C65" s="55" t="s">
        <v>127</v>
      </c>
      <c r="D65" s="55" t="s">
        <v>550</v>
      </c>
      <c r="E65" s="55" t="s">
        <v>146</v>
      </c>
      <c r="F65" s="55" t="s">
        <v>395</v>
      </c>
      <c r="G65" s="55"/>
      <c r="H65" s="55"/>
      <c r="I65" s="55"/>
      <c r="J65" s="55" t="s">
        <v>544</v>
      </c>
      <c r="K65" s="55" t="s">
        <v>544</v>
      </c>
      <c r="L65" s="55" t="s">
        <v>546</v>
      </c>
      <c r="M65" s="55"/>
      <c r="N65" s="55"/>
      <c r="O65" s="71" t="s">
        <v>407</v>
      </c>
      <c r="P65" s="72"/>
      <c r="Q65" s="57"/>
      <c r="R65" s="56" t="str">
        <f t="shared" si="9"/>
        <v>Yes</v>
      </c>
      <c r="S65" s="56" t="str">
        <f t="shared" si="9"/>
        <v>Yes</v>
      </c>
      <c r="T65" s="56" t="str">
        <f t="shared" si="5"/>
        <v>No</v>
      </c>
      <c r="U65" s="56" t="str">
        <f t="shared" si="6"/>
        <v>No</v>
      </c>
      <c r="V65" s="56" t="str">
        <f t="shared" si="7"/>
        <v>Yes</v>
      </c>
      <c r="W65" s="56" t="s">
        <v>541</v>
      </c>
      <c r="X65" s="56" t="s">
        <v>544</v>
      </c>
      <c r="Y65" s="55" t="s">
        <v>541</v>
      </c>
    </row>
    <row r="66" spans="1:25" ht="16" hidden="1" customHeight="1">
      <c r="A66" s="55" t="s">
        <v>647</v>
      </c>
      <c r="B66" s="55" t="s">
        <v>251</v>
      </c>
      <c r="C66" s="55" t="s">
        <v>130</v>
      </c>
      <c r="D66" s="55" t="s">
        <v>150</v>
      </c>
      <c r="E66" s="55" t="s">
        <v>145</v>
      </c>
      <c r="F66" s="55" t="s">
        <v>394</v>
      </c>
      <c r="G66" s="55"/>
      <c r="H66" s="55"/>
      <c r="I66" s="55"/>
      <c r="J66" s="55" t="s">
        <v>541</v>
      </c>
      <c r="K66" s="55" t="s">
        <v>544</v>
      </c>
      <c r="L66" s="55" t="s">
        <v>562</v>
      </c>
      <c r="M66" s="55" t="s">
        <v>541</v>
      </c>
      <c r="N66" s="55"/>
      <c r="O66" s="56"/>
      <c r="P66" s="57"/>
      <c r="Q66" s="57"/>
      <c r="R66" s="56" t="str">
        <f t="shared" si="9"/>
        <v>No</v>
      </c>
      <c r="S66" s="56" t="str">
        <f t="shared" si="9"/>
        <v>No</v>
      </c>
      <c r="T66" s="56" t="str">
        <f t="shared" si="5"/>
        <v>No</v>
      </c>
      <c r="U66" s="56" t="str">
        <f t="shared" si="6"/>
        <v>Yes</v>
      </c>
      <c r="V66" s="56" t="str">
        <f t="shared" si="7"/>
        <v>No</v>
      </c>
      <c r="W66" s="56" t="s">
        <v>541</v>
      </c>
      <c r="X66" s="56" t="s">
        <v>544</v>
      </c>
      <c r="Y66" s="55"/>
    </row>
    <row r="67" spans="1:25" ht="16" customHeight="1">
      <c r="A67" s="55" t="s">
        <v>675</v>
      </c>
      <c r="B67" s="55" t="s">
        <v>155</v>
      </c>
      <c r="C67" s="55" t="s">
        <v>130</v>
      </c>
      <c r="D67" s="55" t="s">
        <v>152</v>
      </c>
      <c r="E67" s="55" t="s">
        <v>145</v>
      </c>
      <c r="F67" s="55" t="s">
        <v>396</v>
      </c>
      <c r="G67" s="55"/>
      <c r="H67" s="55"/>
      <c r="I67" s="55"/>
      <c r="J67" s="55" t="s">
        <v>541</v>
      </c>
      <c r="K67" s="55" t="s">
        <v>541</v>
      </c>
      <c r="L67" s="55" t="s">
        <v>542</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541</v>
      </c>
      <c r="X67" s="56" t="s">
        <v>544</v>
      </c>
      <c r="Y67" s="55"/>
    </row>
    <row r="68" spans="1:25" ht="16" hidden="1" customHeight="1">
      <c r="A68" s="55" t="s">
        <v>589</v>
      </c>
      <c r="B68" s="55" t="s">
        <v>194</v>
      </c>
      <c r="C68" s="55" t="s">
        <v>131</v>
      </c>
      <c r="D68" s="55" t="s">
        <v>150</v>
      </c>
      <c r="E68" s="55" t="s">
        <v>145</v>
      </c>
      <c r="F68" s="55" t="s">
        <v>394</v>
      </c>
      <c r="G68" s="55"/>
      <c r="H68" s="55" t="s">
        <v>541</v>
      </c>
      <c r="I68" s="55" t="s">
        <v>541</v>
      </c>
      <c r="J68" s="55" t="s">
        <v>541</v>
      </c>
      <c r="K68" s="55" t="s">
        <v>541</v>
      </c>
      <c r="L68" s="55" t="s">
        <v>542</v>
      </c>
      <c r="M68" s="55"/>
      <c r="N68" s="55"/>
      <c r="O68" s="56"/>
      <c r="P68" s="57"/>
      <c r="Q68" s="57"/>
      <c r="R68" s="56" t="str">
        <f t="shared" si="9"/>
        <v>No</v>
      </c>
      <c r="S68" s="56" t="str">
        <f t="shared" si="9"/>
        <v>No</v>
      </c>
      <c r="T68" s="56" t="str">
        <f t="shared" si="10"/>
        <v>No</v>
      </c>
      <c r="U68" s="56" t="str">
        <f t="shared" si="11"/>
        <v>Yes</v>
      </c>
      <c r="V68" s="56" t="str">
        <f t="shared" si="12"/>
        <v>No</v>
      </c>
      <c r="W68" s="56" t="s">
        <v>541</v>
      </c>
      <c r="X68" s="56" t="s">
        <v>541</v>
      </c>
      <c r="Y68" s="55"/>
    </row>
    <row r="69" spans="1:25" ht="16" hidden="1" customHeight="1">
      <c r="A69" s="55" t="s">
        <v>698</v>
      </c>
      <c r="B69" s="55" t="s">
        <v>296</v>
      </c>
      <c r="C69" s="55" t="s">
        <v>131</v>
      </c>
      <c r="D69" s="55" t="s">
        <v>148</v>
      </c>
      <c r="E69" s="55" t="s">
        <v>145</v>
      </c>
      <c r="F69" s="55" t="s">
        <v>394</v>
      </c>
      <c r="G69" s="55"/>
      <c r="H69" s="55"/>
      <c r="I69" s="55" t="s">
        <v>541</v>
      </c>
      <c r="J69" s="55" t="s">
        <v>541</v>
      </c>
      <c r="K69" s="55" t="s">
        <v>541</v>
      </c>
      <c r="L69" s="55" t="s">
        <v>548</v>
      </c>
      <c r="M69" s="55"/>
      <c r="N69" s="55"/>
      <c r="O69" s="71" t="s">
        <v>407</v>
      </c>
      <c r="P69" s="72"/>
      <c r="Q69" s="57"/>
      <c r="R69" s="56" t="str">
        <f t="shared" si="9"/>
        <v>No</v>
      </c>
      <c r="S69" s="56" t="str">
        <f t="shared" si="9"/>
        <v>No</v>
      </c>
      <c r="T69" s="56" t="str">
        <f t="shared" si="10"/>
        <v>No</v>
      </c>
      <c r="U69" s="56" t="str">
        <f t="shared" si="11"/>
        <v>Yes</v>
      </c>
      <c r="V69" s="56" t="str">
        <f t="shared" si="12"/>
        <v>No</v>
      </c>
      <c r="W69" s="56" t="s">
        <v>541</v>
      </c>
      <c r="X69" s="56" t="s">
        <v>544</v>
      </c>
      <c r="Y69" s="55"/>
    </row>
    <row r="70" spans="1:25" ht="16" customHeight="1">
      <c r="A70" s="55" t="s">
        <v>540</v>
      </c>
      <c r="B70" s="55" t="s">
        <v>160</v>
      </c>
      <c r="C70" s="55" t="s">
        <v>132</v>
      </c>
      <c r="D70" s="55" t="s">
        <v>148</v>
      </c>
      <c r="E70" s="55" t="s">
        <v>145</v>
      </c>
      <c r="F70" s="55" t="s">
        <v>394</v>
      </c>
      <c r="G70" s="55" t="s">
        <v>541</v>
      </c>
      <c r="H70" s="55"/>
      <c r="I70" s="55" t="s">
        <v>541</v>
      </c>
      <c r="J70" s="55" t="s">
        <v>541</v>
      </c>
      <c r="K70" s="55" t="s">
        <v>541</v>
      </c>
      <c r="L70" s="55" t="s">
        <v>542</v>
      </c>
      <c r="M70" s="55"/>
      <c r="N70" s="55"/>
      <c r="O70" s="56" t="s">
        <v>406</v>
      </c>
      <c r="P70" s="57" t="s">
        <v>822</v>
      </c>
      <c r="Q70" s="57"/>
      <c r="R70" s="56" t="str">
        <f t="shared" si="9"/>
        <v>No</v>
      </c>
      <c r="S70" s="56" t="str">
        <f t="shared" si="9"/>
        <v>No</v>
      </c>
      <c r="T70" s="56" t="str">
        <f t="shared" si="10"/>
        <v>No</v>
      </c>
      <c r="U70" s="56" t="str">
        <f t="shared" si="11"/>
        <v>Yes</v>
      </c>
      <c r="V70" s="56" t="str">
        <f t="shared" si="12"/>
        <v>No</v>
      </c>
      <c r="W70" s="56" t="s">
        <v>541</v>
      </c>
      <c r="X70" s="56" t="s">
        <v>541</v>
      </c>
      <c r="Y70" s="55"/>
    </row>
    <row r="71" spans="1:25" ht="16" hidden="1" customHeight="1">
      <c r="A71" s="55" t="s">
        <v>557</v>
      </c>
      <c r="B71" s="55" t="s">
        <v>167</v>
      </c>
      <c r="C71" s="55" t="s">
        <v>132</v>
      </c>
      <c r="D71" s="55" t="s">
        <v>150</v>
      </c>
      <c r="E71" s="55" t="s">
        <v>145</v>
      </c>
      <c r="F71" s="55" t="s">
        <v>394</v>
      </c>
      <c r="G71" s="55" t="s">
        <v>541</v>
      </c>
      <c r="H71" s="55"/>
      <c r="I71" s="55" t="s">
        <v>541</v>
      </c>
      <c r="J71" s="55" t="s">
        <v>541</v>
      </c>
      <c r="K71" s="55" t="s">
        <v>544</v>
      </c>
      <c r="L71" s="55" t="s">
        <v>558</v>
      </c>
      <c r="M71" s="55"/>
      <c r="N71" s="55"/>
      <c r="O71" s="56" t="s">
        <v>406</v>
      </c>
      <c r="P71" s="57" t="s">
        <v>822</v>
      </c>
      <c r="Q71" s="57" t="s">
        <v>822</v>
      </c>
      <c r="R71" s="56" t="str">
        <f t="shared" si="9"/>
        <v>No</v>
      </c>
      <c r="S71" s="56" t="str">
        <f t="shared" si="9"/>
        <v>No</v>
      </c>
      <c r="T71" s="56" t="str">
        <f t="shared" si="10"/>
        <v>No</v>
      </c>
      <c r="U71" s="56" t="str">
        <f t="shared" si="11"/>
        <v>Yes</v>
      </c>
      <c r="V71" s="56" t="str">
        <f t="shared" si="12"/>
        <v>No</v>
      </c>
      <c r="W71" s="56" t="s">
        <v>541</v>
      </c>
      <c r="X71" s="56" t="s">
        <v>541</v>
      </c>
      <c r="Y71" s="55"/>
    </row>
    <row r="72" spans="1:25" ht="16" hidden="1" customHeight="1">
      <c r="A72" s="55" t="s">
        <v>563</v>
      </c>
      <c r="B72" s="55" t="s">
        <v>171</v>
      </c>
      <c r="C72" s="55" t="s">
        <v>132</v>
      </c>
      <c r="D72" s="55" t="s">
        <v>150</v>
      </c>
      <c r="E72" s="55" t="s">
        <v>145</v>
      </c>
      <c r="F72" s="55" t="s">
        <v>394</v>
      </c>
      <c r="G72" s="55" t="s">
        <v>541</v>
      </c>
      <c r="H72" s="55"/>
      <c r="I72" s="55"/>
      <c r="J72" s="55" t="s">
        <v>541</v>
      </c>
      <c r="K72" s="55" t="s">
        <v>544</v>
      </c>
      <c r="L72" s="55" t="s">
        <v>548</v>
      </c>
      <c r="M72" s="55"/>
      <c r="N72" s="55"/>
      <c r="O72" s="56"/>
      <c r="P72" s="57" t="s">
        <v>822</v>
      </c>
      <c r="Q72" s="57"/>
      <c r="R72" s="56" t="str">
        <f t="shared" si="9"/>
        <v>No</v>
      </c>
      <c r="S72" s="56" t="str">
        <f t="shared" si="9"/>
        <v>No</v>
      </c>
      <c r="T72" s="56" t="str">
        <f t="shared" si="10"/>
        <v>No</v>
      </c>
      <c r="U72" s="56" t="str">
        <f t="shared" si="11"/>
        <v>Yes</v>
      </c>
      <c r="V72" s="56" t="str">
        <f t="shared" si="12"/>
        <v>No</v>
      </c>
      <c r="W72" s="56" t="s">
        <v>541</v>
      </c>
      <c r="X72" s="56" t="s">
        <v>541</v>
      </c>
      <c r="Y72" s="55" t="s">
        <v>541</v>
      </c>
    </row>
    <row r="73" spans="1:25" ht="16" hidden="1" customHeight="1">
      <c r="A73" s="55" t="s">
        <v>631</v>
      </c>
      <c r="B73" s="55" t="s">
        <v>235</v>
      </c>
      <c r="C73" s="55" t="s">
        <v>132</v>
      </c>
      <c r="D73" s="55" t="s">
        <v>152</v>
      </c>
      <c r="E73" s="55" t="s">
        <v>145</v>
      </c>
      <c r="F73" s="55" t="s">
        <v>394</v>
      </c>
      <c r="G73" s="55" t="s">
        <v>541</v>
      </c>
      <c r="H73" s="55"/>
      <c r="I73" s="55" t="s">
        <v>541</v>
      </c>
      <c r="J73" s="55" t="s">
        <v>541</v>
      </c>
      <c r="K73" s="55" t="s">
        <v>541</v>
      </c>
      <c r="L73" s="55" t="s">
        <v>542</v>
      </c>
      <c r="M73" s="55"/>
      <c r="N73" s="55"/>
      <c r="O73" s="71"/>
      <c r="P73" s="57" t="s">
        <v>822</v>
      </c>
      <c r="Q73" s="57" t="s">
        <v>822</v>
      </c>
      <c r="R73" s="56" t="str">
        <f t="shared" si="9"/>
        <v>No</v>
      </c>
      <c r="S73" s="56" t="str">
        <f t="shared" si="9"/>
        <v>No</v>
      </c>
      <c r="T73" s="56" t="str">
        <f t="shared" si="10"/>
        <v>No</v>
      </c>
      <c r="U73" s="56" t="str">
        <f t="shared" si="11"/>
        <v>Yes</v>
      </c>
      <c r="V73" s="56" t="str">
        <f t="shared" si="12"/>
        <v>No</v>
      </c>
      <c r="W73" s="56" t="s">
        <v>541</v>
      </c>
      <c r="X73" s="56" t="s">
        <v>544</v>
      </c>
      <c r="Y73" s="55" t="s">
        <v>541</v>
      </c>
    </row>
    <row r="74" spans="1:25" ht="16" hidden="1" customHeight="1">
      <c r="A74" s="55" t="s">
        <v>646</v>
      </c>
      <c r="B74" s="55" t="s">
        <v>250</v>
      </c>
      <c r="C74" s="55" t="s">
        <v>132</v>
      </c>
      <c r="D74" s="55" t="s">
        <v>150</v>
      </c>
      <c r="E74" s="55" t="s">
        <v>145</v>
      </c>
      <c r="F74" s="55" t="s">
        <v>394</v>
      </c>
      <c r="G74" s="55"/>
      <c r="H74" s="55"/>
      <c r="I74" s="55"/>
      <c r="J74" s="55" t="s">
        <v>541</v>
      </c>
      <c r="K74" s="55" t="s">
        <v>541</v>
      </c>
      <c r="L74" s="55" t="s">
        <v>558</v>
      </c>
      <c r="M74" s="55"/>
      <c r="N74" s="55"/>
      <c r="O74" s="56" t="s">
        <v>406</v>
      </c>
      <c r="P74" s="57" t="s">
        <v>822</v>
      </c>
      <c r="Q74" s="57"/>
      <c r="R74" s="56" t="str">
        <f t="shared" si="9"/>
        <v>No</v>
      </c>
      <c r="S74" s="56" t="str">
        <f t="shared" si="9"/>
        <v>No</v>
      </c>
      <c r="T74" s="56" t="str">
        <f t="shared" si="10"/>
        <v>No</v>
      </c>
      <c r="U74" s="56" t="str">
        <f t="shared" si="11"/>
        <v>Yes</v>
      </c>
      <c r="V74" s="56" t="str">
        <f t="shared" si="12"/>
        <v>No</v>
      </c>
      <c r="W74" s="56" t="s">
        <v>541</v>
      </c>
      <c r="X74" s="56" t="s">
        <v>544</v>
      </c>
      <c r="Y74" s="55"/>
    </row>
    <row r="75" spans="1:25" ht="16" customHeight="1">
      <c r="A75" s="55" t="s">
        <v>653</v>
      </c>
      <c r="B75" s="55" t="s">
        <v>257</v>
      </c>
      <c r="C75" s="55" t="s">
        <v>130</v>
      </c>
      <c r="D75" s="55" t="s">
        <v>550</v>
      </c>
      <c r="E75" s="55" t="s">
        <v>146</v>
      </c>
      <c r="F75" s="55" t="s">
        <v>395</v>
      </c>
      <c r="G75" s="55"/>
      <c r="H75" s="55"/>
      <c r="I75" s="55"/>
      <c r="J75" s="55" t="s">
        <v>544</v>
      </c>
      <c r="K75" s="55" t="s">
        <v>544</v>
      </c>
      <c r="L75" s="55" t="s">
        <v>546</v>
      </c>
      <c r="M75" s="55"/>
      <c r="N75" s="55"/>
      <c r="O75" s="71" t="s">
        <v>407</v>
      </c>
      <c r="P75" s="72"/>
      <c r="Q75" s="57"/>
      <c r="R75" s="56" t="str">
        <f t="shared" si="9"/>
        <v>Yes</v>
      </c>
      <c r="S75" s="56" t="str">
        <f t="shared" si="9"/>
        <v>Yes</v>
      </c>
      <c r="T75" s="56" t="str">
        <f t="shared" si="10"/>
        <v>No</v>
      </c>
      <c r="U75" s="56" t="str">
        <f t="shared" si="11"/>
        <v>No</v>
      </c>
      <c r="V75" s="56" t="str">
        <f t="shared" si="12"/>
        <v>Yes</v>
      </c>
      <c r="W75" s="56" t="s">
        <v>541</v>
      </c>
      <c r="X75" s="56" t="s">
        <v>544</v>
      </c>
      <c r="Y75" s="55"/>
    </row>
    <row r="76" spans="1:25" ht="16" hidden="1" customHeight="1">
      <c r="A76" s="55" t="s">
        <v>657</v>
      </c>
      <c r="B76" s="55" t="s">
        <v>261</v>
      </c>
      <c r="C76" s="55" t="s">
        <v>126</v>
      </c>
      <c r="D76" s="55" t="s">
        <v>150</v>
      </c>
      <c r="E76" s="55" t="s">
        <v>145</v>
      </c>
      <c r="F76" s="55" t="s">
        <v>395</v>
      </c>
      <c r="G76" s="55" t="s">
        <v>541</v>
      </c>
      <c r="H76" s="55"/>
      <c r="I76" s="55"/>
      <c r="J76" s="55" t="s">
        <v>544</v>
      </c>
      <c r="K76" s="55" t="s">
        <v>544</v>
      </c>
      <c r="L76" s="55" t="s">
        <v>546</v>
      </c>
      <c r="M76" s="55"/>
      <c r="N76" s="55"/>
      <c r="O76" s="56" t="s">
        <v>406</v>
      </c>
      <c r="P76" s="57" t="s">
        <v>822</v>
      </c>
      <c r="Q76" s="57"/>
      <c r="R76" s="56" t="str">
        <f t="shared" si="9"/>
        <v>Yes</v>
      </c>
      <c r="S76" s="56" t="str">
        <f t="shared" si="9"/>
        <v>Yes</v>
      </c>
      <c r="T76" s="56" t="str">
        <f t="shared" si="10"/>
        <v>No</v>
      </c>
      <c r="U76" s="56" t="str">
        <f t="shared" si="11"/>
        <v>No</v>
      </c>
      <c r="V76" s="56" t="str">
        <f t="shared" si="12"/>
        <v>Yes</v>
      </c>
      <c r="W76" s="56" t="s">
        <v>541</v>
      </c>
      <c r="X76" s="56" t="s">
        <v>544</v>
      </c>
      <c r="Y76" s="55"/>
    </row>
    <row r="77" spans="1:25" ht="16" hidden="1" customHeight="1">
      <c r="A77" s="55" t="s">
        <v>651</v>
      </c>
      <c r="B77" s="55" t="s">
        <v>255</v>
      </c>
      <c r="C77" s="55" t="s">
        <v>132</v>
      </c>
      <c r="D77" s="55" t="s">
        <v>150</v>
      </c>
      <c r="E77" s="55" t="s">
        <v>145</v>
      </c>
      <c r="F77" s="55" t="s">
        <v>396</v>
      </c>
      <c r="G77" s="55" t="s">
        <v>541</v>
      </c>
      <c r="H77" s="55"/>
      <c r="I77" s="55" t="s">
        <v>541</v>
      </c>
      <c r="J77" s="55" t="s">
        <v>541</v>
      </c>
      <c r="K77" s="55" t="s">
        <v>541</v>
      </c>
      <c r="L77" s="55" t="s">
        <v>548</v>
      </c>
      <c r="M77" s="55"/>
      <c r="N77" s="55"/>
      <c r="O77" s="56" t="s">
        <v>408</v>
      </c>
      <c r="P77" s="57" t="s">
        <v>822</v>
      </c>
      <c r="Q77" s="57" t="s">
        <v>822</v>
      </c>
      <c r="R77" s="56" t="str">
        <f t="shared" si="9"/>
        <v>No</v>
      </c>
      <c r="S77" s="56" t="str">
        <f t="shared" si="9"/>
        <v>No</v>
      </c>
      <c r="T77" s="56" t="str">
        <f t="shared" si="10"/>
        <v>Yes</v>
      </c>
      <c r="U77" s="56" t="str">
        <f t="shared" si="11"/>
        <v>Yes</v>
      </c>
      <c r="V77" s="56" t="str">
        <f t="shared" si="12"/>
        <v>No</v>
      </c>
      <c r="W77" s="56" t="s">
        <v>541</v>
      </c>
      <c r="X77" s="56" t="s">
        <v>544</v>
      </c>
      <c r="Y77" s="55"/>
    </row>
    <row r="78" spans="1:25" ht="16" hidden="1" customHeight="1">
      <c r="A78" s="55" t="s">
        <v>620</v>
      </c>
      <c r="B78" s="55" t="s">
        <v>224</v>
      </c>
      <c r="C78" s="55" t="s">
        <v>126</v>
      </c>
      <c r="D78" s="55" t="s">
        <v>148</v>
      </c>
      <c r="E78" s="55" t="s">
        <v>145</v>
      </c>
      <c r="F78" s="55"/>
      <c r="G78" s="55"/>
      <c r="H78" s="55"/>
      <c r="I78" s="55"/>
      <c r="J78" s="55" t="s">
        <v>544</v>
      </c>
      <c r="K78" s="55" t="s">
        <v>544</v>
      </c>
      <c r="L78" s="55" t="s">
        <v>546</v>
      </c>
      <c r="M78" s="55"/>
      <c r="N78" s="55"/>
      <c r="O78" s="56"/>
      <c r="P78" s="57"/>
      <c r="Q78" s="57"/>
      <c r="R78" s="56" t="str">
        <f t="shared" si="9"/>
        <v>No</v>
      </c>
      <c r="S78" s="56" t="str">
        <f t="shared" si="9"/>
        <v>No</v>
      </c>
      <c r="T78" s="56" t="str">
        <f t="shared" si="10"/>
        <v>No</v>
      </c>
      <c r="U78" s="56" t="str">
        <f t="shared" si="11"/>
        <v>No</v>
      </c>
      <c r="V78" s="56" t="str">
        <f t="shared" si="12"/>
        <v>No</v>
      </c>
      <c r="W78" s="56" t="s">
        <v>541</v>
      </c>
      <c r="X78" s="56" t="s">
        <v>544</v>
      </c>
      <c r="Y78" s="55"/>
    </row>
    <row r="79" spans="1:25" ht="16" hidden="1" customHeight="1">
      <c r="A79" s="55" t="s">
        <v>676</v>
      </c>
      <c r="B79" s="55" t="s">
        <v>276</v>
      </c>
      <c r="C79" s="55" t="s">
        <v>131</v>
      </c>
      <c r="D79" s="55" t="s">
        <v>150</v>
      </c>
      <c r="E79" s="55" t="s">
        <v>145</v>
      </c>
      <c r="F79" s="55"/>
      <c r="G79" s="55"/>
      <c r="H79" s="55"/>
      <c r="I79" s="55" t="s">
        <v>541</v>
      </c>
      <c r="J79" s="55" t="s">
        <v>544</v>
      </c>
      <c r="K79" s="55" t="s">
        <v>544</v>
      </c>
      <c r="L79" s="55" t="s">
        <v>546</v>
      </c>
      <c r="M79" s="55"/>
      <c r="N79" s="55"/>
      <c r="O79" s="71" t="s">
        <v>407</v>
      </c>
      <c r="P79" s="72"/>
      <c r="Q79" s="57"/>
      <c r="R79" s="56" t="str">
        <f t="shared" si="9"/>
        <v>No</v>
      </c>
      <c r="S79" s="56" t="str">
        <f t="shared" si="9"/>
        <v>No</v>
      </c>
      <c r="T79" s="56" t="str">
        <f t="shared" si="10"/>
        <v>No</v>
      </c>
      <c r="U79" s="56" t="str">
        <f t="shared" si="11"/>
        <v>No</v>
      </c>
      <c r="V79" s="56" t="str">
        <f t="shared" si="12"/>
        <v>No</v>
      </c>
      <c r="W79" s="56" t="s">
        <v>541</v>
      </c>
      <c r="X79" s="56" t="s">
        <v>544</v>
      </c>
      <c r="Y79" s="55"/>
    </row>
    <row r="80" spans="1:25" ht="16" customHeight="1">
      <c r="A80" s="55" t="s">
        <v>561</v>
      </c>
      <c r="B80" s="55" t="s">
        <v>170</v>
      </c>
      <c r="C80" s="55" t="s">
        <v>129</v>
      </c>
      <c r="D80" s="55" t="s">
        <v>150</v>
      </c>
      <c r="E80" s="55" t="s">
        <v>145</v>
      </c>
      <c r="F80" s="55" t="s">
        <v>394</v>
      </c>
      <c r="G80" s="55"/>
      <c r="H80" s="55" t="s">
        <v>541</v>
      </c>
      <c r="I80" s="55" t="s">
        <v>541</v>
      </c>
      <c r="J80" s="55" t="s">
        <v>541</v>
      </c>
      <c r="K80" s="55" t="s">
        <v>544</v>
      </c>
      <c r="L80" s="55" t="s">
        <v>562</v>
      </c>
      <c r="M80" s="55"/>
      <c r="N80" s="55"/>
      <c r="O80" s="71" t="s">
        <v>407</v>
      </c>
      <c r="P80" s="72"/>
      <c r="Q80" s="57" t="s">
        <v>822</v>
      </c>
      <c r="R80" s="56" t="str">
        <f t="shared" si="9"/>
        <v>No</v>
      </c>
      <c r="S80" s="56" t="str">
        <f t="shared" si="9"/>
        <v>No</v>
      </c>
      <c r="T80" s="56" t="str">
        <f t="shared" si="10"/>
        <v>No</v>
      </c>
      <c r="U80" s="56" t="str">
        <f t="shared" si="11"/>
        <v>Yes</v>
      </c>
      <c r="V80" s="56" t="str">
        <f t="shared" si="12"/>
        <v>No</v>
      </c>
      <c r="W80" s="56" t="s">
        <v>541</v>
      </c>
      <c r="X80" s="56" t="s">
        <v>541</v>
      </c>
      <c r="Y80" s="55"/>
    </row>
    <row r="81" spans="1:25" ht="16" hidden="1" customHeight="1">
      <c r="A81" s="55" t="s">
        <v>677</v>
      </c>
      <c r="B81" s="55" t="s">
        <v>277</v>
      </c>
      <c r="C81" s="55" t="s">
        <v>131</v>
      </c>
      <c r="D81" s="55" t="s">
        <v>148</v>
      </c>
      <c r="E81" s="55" t="s">
        <v>145</v>
      </c>
      <c r="F81" s="55" t="s">
        <v>394</v>
      </c>
      <c r="G81" s="55"/>
      <c r="H81" s="73" t="s">
        <v>541</v>
      </c>
      <c r="I81" s="73" t="s">
        <v>541</v>
      </c>
      <c r="J81" s="55" t="s">
        <v>544</v>
      </c>
      <c r="K81" s="55" t="s">
        <v>544</v>
      </c>
      <c r="L81" s="55" t="s">
        <v>546</v>
      </c>
      <c r="M81" s="55" t="s">
        <v>541</v>
      </c>
      <c r="N81" s="55"/>
      <c r="O81" s="71" t="s">
        <v>407</v>
      </c>
      <c r="P81" s="72"/>
      <c r="Q81" s="57"/>
      <c r="R81" s="56" t="str">
        <f t="shared" si="9"/>
        <v>No</v>
      </c>
      <c r="S81" s="56" t="str">
        <f t="shared" si="9"/>
        <v>No</v>
      </c>
      <c r="T81" s="56" t="str">
        <f t="shared" si="10"/>
        <v>No</v>
      </c>
      <c r="U81" s="56" t="str">
        <f t="shared" si="11"/>
        <v>Yes</v>
      </c>
      <c r="V81" s="56" t="str">
        <f t="shared" si="12"/>
        <v>No</v>
      </c>
      <c r="W81" s="56" t="s">
        <v>541</v>
      </c>
      <c r="X81" s="56" t="s">
        <v>544</v>
      </c>
      <c r="Y81" s="55"/>
    </row>
    <row r="82" spans="1:25" ht="16" hidden="1" customHeight="1">
      <c r="A82" s="55" t="s">
        <v>569</v>
      </c>
      <c r="B82" s="55" t="s">
        <v>177</v>
      </c>
      <c r="C82" s="55" t="s">
        <v>129</v>
      </c>
      <c r="D82" s="55" t="s">
        <v>148</v>
      </c>
      <c r="E82" s="55" t="s">
        <v>145</v>
      </c>
      <c r="F82" s="55" t="s">
        <v>394</v>
      </c>
      <c r="G82" s="55"/>
      <c r="H82" s="55"/>
      <c r="I82" s="55" t="s">
        <v>541</v>
      </c>
      <c r="J82" s="55" t="s">
        <v>541</v>
      </c>
      <c r="K82" s="55" t="s">
        <v>541</v>
      </c>
      <c r="L82" s="55" t="s">
        <v>562</v>
      </c>
      <c r="M82" s="55"/>
      <c r="N82" s="55"/>
      <c r="O82" s="56"/>
      <c r="P82" s="57"/>
      <c r="Q82" s="57"/>
      <c r="R82" s="56" t="str">
        <f t="shared" si="9"/>
        <v>No</v>
      </c>
      <c r="S82" s="56" t="str">
        <f t="shared" si="9"/>
        <v>No</v>
      </c>
      <c r="T82" s="56" t="str">
        <f t="shared" si="10"/>
        <v>No</v>
      </c>
      <c r="U82" s="56" t="str">
        <f t="shared" si="11"/>
        <v>Yes</v>
      </c>
      <c r="V82" s="56" t="str">
        <f t="shared" si="12"/>
        <v>No</v>
      </c>
      <c r="W82" s="56" t="s">
        <v>541</v>
      </c>
      <c r="X82" s="56" t="s">
        <v>541</v>
      </c>
      <c r="Y82" s="55"/>
    </row>
    <row r="83" spans="1:25" ht="16" hidden="1" customHeight="1">
      <c r="A83" s="55" t="s">
        <v>574</v>
      </c>
      <c r="B83" s="55" t="s">
        <v>182</v>
      </c>
      <c r="C83" s="55" t="s">
        <v>129</v>
      </c>
      <c r="D83" s="55" t="s">
        <v>148</v>
      </c>
      <c r="E83" s="55" t="s">
        <v>145</v>
      </c>
      <c r="F83" s="55" t="s">
        <v>394</v>
      </c>
      <c r="G83" s="55"/>
      <c r="H83" s="55" t="s">
        <v>541</v>
      </c>
      <c r="I83" s="55"/>
      <c r="J83" s="55" t="s">
        <v>541</v>
      </c>
      <c r="K83" s="55" t="s">
        <v>541</v>
      </c>
      <c r="L83" s="55" t="s">
        <v>542</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541</v>
      </c>
      <c r="X83" s="56" t="s">
        <v>541</v>
      </c>
      <c r="Y83" s="55"/>
    </row>
    <row r="84" spans="1:25" ht="16" hidden="1" customHeight="1">
      <c r="A84" s="55" t="s">
        <v>586</v>
      </c>
      <c r="B84" s="55" t="s">
        <v>192</v>
      </c>
      <c r="C84" s="55" t="s">
        <v>129</v>
      </c>
      <c r="D84" s="55" t="s">
        <v>150</v>
      </c>
      <c r="E84" s="55" t="s">
        <v>145</v>
      </c>
      <c r="F84" s="55" t="s">
        <v>394</v>
      </c>
      <c r="G84" s="55"/>
      <c r="H84" s="55" t="s">
        <v>541</v>
      </c>
      <c r="I84" s="55" t="s">
        <v>541</v>
      </c>
      <c r="J84" s="55" t="s">
        <v>541</v>
      </c>
      <c r="K84" s="55" t="s">
        <v>541</v>
      </c>
      <c r="L84" s="55" t="s">
        <v>562</v>
      </c>
      <c r="M84" s="55"/>
      <c r="N84" s="55"/>
      <c r="O84" s="56" t="s">
        <v>406</v>
      </c>
      <c r="P84" s="57"/>
      <c r="Q84" s="57"/>
      <c r="R84" s="56" t="str">
        <f t="shared" si="13"/>
        <v>No</v>
      </c>
      <c r="S84" s="56" t="str">
        <f t="shared" si="13"/>
        <v>No</v>
      </c>
      <c r="T84" s="56" t="str">
        <f t="shared" si="10"/>
        <v>No</v>
      </c>
      <c r="U84" s="56" t="str">
        <f t="shared" si="11"/>
        <v>Yes</v>
      </c>
      <c r="V84" s="56" t="str">
        <f t="shared" si="12"/>
        <v>No</v>
      </c>
      <c r="W84" s="56" t="s">
        <v>541</v>
      </c>
      <c r="X84" s="56" t="s">
        <v>541</v>
      </c>
      <c r="Y84" s="55" t="s">
        <v>541</v>
      </c>
    </row>
    <row r="85" spans="1:25" ht="16" customHeight="1">
      <c r="A85" s="55" t="s">
        <v>594</v>
      </c>
      <c r="B85" s="55" t="s">
        <v>199</v>
      </c>
      <c r="C85" s="55" t="s">
        <v>130</v>
      </c>
      <c r="D85" s="55" t="s">
        <v>150</v>
      </c>
      <c r="E85" s="55" t="s">
        <v>145</v>
      </c>
      <c r="F85" s="55" t="s">
        <v>395</v>
      </c>
      <c r="G85" s="55"/>
      <c r="H85" s="55"/>
      <c r="I85" s="55"/>
      <c r="J85" s="55" t="s">
        <v>544</v>
      </c>
      <c r="K85" s="55" t="s">
        <v>544</v>
      </c>
      <c r="L85" s="55" t="s">
        <v>546</v>
      </c>
      <c r="M85" s="55"/>
      <c r="N85" s="55"/>
      <c r="O85" s="71" t="s">
        <v>406</v>
      </c>
      <c r="P85" s="72"/>
      <c r="Q85" s="57"/>
      <c r="R85" s="56" t="str">
        <f t="shared" si="13"/>
        <v>Yes</v>
      </c>
      <c r="S85" s="56" t="str">
        <f t="shared" si="13"/>
        <v>Yes</v>
      </c>
      <c r="T85" s="56" t="str">
        <f t="shared" si="10"/>
        <v>No</v>
      </c>
      <c r="U85" s="56" t="str">
        <f t="shared" si="11"/>
        <v>No</v>
      </c>
      <c r="V85" s="56" t="str">
        <f t="shared" si="12"/>
        <v>Yes</v>
      </c>
      <c r="W85" s="56" t="s">
        <v>541</v>
      </c>
      <c r="X85" s="56" t="s">
        <v>544</v>
      </c>
      <c r="Y85" s="55"/>
    </row>
    <row r="86" spans="1:25" ht="16" customHeight="1">
      <c r="A86" s="55" t="s">
        <v>573</v>
      </c>
      <c r="B86" s="55" t="s">
        <v>181</v>
      </c>
      <c r="C86" s="55" t="s">
        <v>129</v>
      </c>
      <c r="D86" s="55" t="s">
        <v>150</v>
      </c>
      <c r="E86" s="55" t="s">
        <v>145</v>
      </c>
      <c r="F86" s="55" t="s">
        <v>396</v>
      </c>
      <c r="G86" s="55"/>
      <c r="H86" s="55" t="s">
        <v>541</v>
      </c>
      <c r="I86" s="55" t="s">
        <v>541</v>
      </c>
      <c r="J86" s="55" t="s">
        <v>541</v>
      </c>
      <c r="K86" s="55" t="s">
        <v>541</v>
      </c>
      <c r="L86" s="55" t="s">
        <v>542</v>
      </c>
      <c r="M86" s="55" t="s">
        <v>541</v>
      </c>
      <c r="N86" s="55"/>
      <c r="O86" s="56"/>
      <c r="P86" s="57"/>
      <c r="Q86" s="57" t="s">
        <v>822</v>
      </c>
      <c r="R86" s="56" t="str">
        <f t="shared" si="13"/>
        <v>No</v>
      </c>
      <c r="S86" s="56" t="str">
        <f t="shared" si="13"/>
        <v>No</v>
      </c>
      <c r="T86" s="56" t="str">
        <f t="shared" si="10"/>
        <v>Yes</v>
      </c>
      <c r="U86" s="56" t="str">
        <f t="shared" si="11"/>
        <v>Yes</v>
      </c>
      <c r="V86" s="56" t="str">
        <f t="shared" si="12"/>
        <v>No</v>
      </c>
      <c r="W86" s="56" t="s">
        <v>541</v>
      </c>
      <c r="X86" s="56" t="s">
        <v>541</v>
      </c>
      <c r="Y86" s="55"/>
    </row>
    <row r="87" spans="1:25" ht="16" hidden="1" customHeight="1">
      <c r="A87" s="55" t="s">
        <v>581</v>
      </c>
      <c r="B87" s="55" t="s">
        <v>188</v>
      </c>
      <c r="C87" s="55" t="s">
        <v>129</v>
      </c>
      <c r="D87" s="55" t="s">
        <v>148</v>
      </c>
      <c r="E87" s="55" t="s">
        <v>145</v>
      </c>
      <c r="F87" s="55" t="s">
        <v>394</v>
      </c>
      <c r="G87" s="55"/>
      <c r="H87" s="55" t="s">
        <v>541</v>
      </c>
      <c r="I87" s="55"/>
      <c r="J87" s="55" t="s">
        <v>541</v>
      </c>
      <c r="K87" s="55" t="s">
        <v>541</v>
      </c>
      <c r="L87" s="55" t="s">
        <v>562</v>
      </c>
      <c r="M87" s="55"/>
      <c r="N87" s="55"/>
      <c r="O87" s="71" t="s">
        <v>407</v>
      </c>
      <c r="P87" s="72"/>
      <c r="Q87" s="57"/>
      <c r="R87" s="56" t="str">
        <f t="shared" si="13"/>
        <v>No</v>
      </c>
      <c r="S87" s="56" t="str">
        <f t="shared" si="13"/>
        <v>No</v>
      </c>
      <c r="T87" s="56" t="str">
        <f t="shared" si="10"/>
        <v>No</v>
      </c>
      <c r="U87" s="56" t="str">
        <f t="shared" si="11"/>
        <v>Yes</v>
      </c>
      <c r="V87" s="56" t="str">
        <f t="shared" si="12"/>
        <v>No</v>
      </c>
      <c r="W87" s="56" t="s">
        <v>541</v>
      </c>
      <c r="X87" s="56" t="s">
        <v>541</v>
      </c>
      <c r="Y87" s="55"/>
    </row>
    <row r="88" spans="1:25" ht="16" hidden="1" customHeight="1">
      <c r="A88" s="55" t="s">
        <v>582</v>
      </c>
      <c r="B88" s="55" t="s">
        <v>189</v>
      </c>
      <c r="C88" s="55" t="s">
        <v>129</v>
      </c>
      <c r="D88" s="55" t="s">
        <v>150</v>
      </c>
      <c r="E88" s="55" t="s">
        <v>145</v>
      </c>
      <c r="F88" s="55" t="s">
        <v>396</v>
      </c>
      <c r="G88" s="55"/>
      <c r="H88" s="55"/>
      <c r="I88" s="55"/>
      <c r="J88" s="55" t="s">
        <v>541</v>
      </c>
      <c r="K88" s="55" t="s">
        <v>541</v>
      </c>
      <c r="L88" s="55" t="s">
        <v>583</v>
      </c>
      <c r="M88" s="55"/>
      <c r="N88" s="55"/>
      <c r="O88" s="71" t="s">
        <v>408</v>
      </c>
      <c r="P88" s="72"/>
      <c r="Q88" s="57"/>
      <c r="R88" s="56" t="str">
        <f t="shared" si="13"/>
        <v>No</v>
      </c>
      <c r="S88" s="56" t="str">
        <f t="shared" si="13"/>
        <v>No</v>
      </c>
      <c r="T88" s="56" t="str">
        <f t="shared" si="10"/>
        <v>Yes</v>
      </c>
      <c r="U88" s="56" t="str">
        <f t="shared" si="11"/>
        <v>Yes</v>
      </c>
      <c r="V88" s="56" t="str">
        <f t="shared" si="12"/>
        <v>No</v>
      </c>
      <c r="W88" s="56" t="s">
        <v>541</v>
      </c>
      <c r="X88" s="56" t="s">
        <v>541</v>
      </c>
      <c r="Y88" s="55" t="s">
        <v>541</v>
      </c>
    </row>
    <row r="89" spans="1:25" ht="16" hidden="1" customHeight="1">
      <c r="A89" s="55" t="s">
        <v>597</v>
      </c>
      <c r="B89" s="55" t="s">
        <v>202</v>
      </c>
      <c r="C89" s="55" t="s">
        <v>128</v>
      </c>
      <c r="D89" s="55" t="s">
        <v>150</v>
      </c>
      <c r="E89" s="55" t="s">
        <v>145</v>
      </c>
      <c r="F89" s="55" t="s">
        <v>395</v>
      </c>
      <c r="G89" s="55"/>
      <c r="H89" s="73" t="s">
        <v>541</v>
      </c>
      <c r="I89" s="73"/>
      <c r="J89" s="55" t="s">
        <v>544</v>
      </c>
      <c r="K89" s="55" t="s">
        <v>544</v>
      </c>
      <c r="L89" s="55" t="s">
        <v>546</v>
      </c>
      <c r="M89" s="55" t="s">
        <v>541</v>
      </c>
      <c r="N89" s="55"/>
      <c r="O89" s="56" t="s">
        <v>406</v>
      </c>
      <c r="P89" s="57"/>
      <c r="Q89" s="57"/>
      <c r="R89" s="56" t="str">
        <f t="shared" si="13"/>
        <v>Yes</v>
      </c>
      <c r="S89" s="56" t="str">
        <f t="shared" si="13"/>
        <v>Yes</v>
      </c>
      <c r="T89" s="56" t="str">
        <f t="shared" si="10"/>
        <v>No</v>
      </c>
      <c r="U89" s="56" t="str">
        <f t="shared" si="11"/>
        <v>No</v>
      </c>
      <c r="V89" s="56" t="str">
        <f t="shared" si="12"/>
        <v>Yes</v>
      </c>
      <c r="W89" s="56" t="s">
        <v>541</v>
      </c>
      <c r="X89" s="56" t="s">
        <v>544</v>
      </c>
      <c r="Y89" s="55" t="s">
        <v>541</v>
      </c>
    </row>
    <row r="90" spans="1:25" ht="16" hidden="1" customHeight="1">
      <c r="A90" s="55" t="s">
        <v>666</v>
      </c>
      <c r="B90" s="55" t="s">
        <v>268</v>
      </c>
      <c r="C90" s="55" t="s">
        <v>128</v>
      </c>
      <c r="D90" s="55" t="s">
        <v>550</v>
      </c>
      <c r="E90" s="55" t="s">
        <v>146</v>
      </c>
      <c r="F90" s="55" t="s">
        <v>395</v>
      </c>
      <c r="G90" s="55"/>
      <c r="H90" s="55"/>
      <c r="I90" s="55"/>
      <c r="J90" s="55" t="s">
        <v>544</v>
      </c>
      <c r="K90" s="55" t="s">
        <v>544</v>
      </c>
      <c r="L90" s="55" t="s">
        <v>546</v>
      </c>
      <c r="M90" s="55"/>
      <c r="N90" s="55"/>
      <c r="O90" s="71" t="s">
        <v>407</v>
      </c>
      <c r="P90" s="72"/>
      <c r="Q90" s="57"/>
      <c r="R90" s="56" t="str">
        <f t="shared" si="13"/>
        <v>Yes</v>
      </c>
      <c r="S90" s="56" t="str">
        <f t="shared" si="13"/>
        <v>Yes</v>
      </c>
      <c r="T90" s="56" t="str">
        <f t="shared" si="10"/>
        <v>No</v>
      </c>
      <c r="U90" s="56" t="str">
        <f t="shared" si="11"/>
        <v>No</v>
      </c>
      <c r="V90" s="56" t="str">
        <f t="shared" si="12"/>
        <v>Yes</v>
      </c>
      <c r="W90" s="56" t="s">
        <v>541</v>
      </c>
      <c r="X90" s="56" t="s">
        <v>544</v>
      </c>
      <c r="Y90" s="55"/>
    </row>
    <row r="91" spans="1:25" ht="16" hidden="1" customHeight="1">
      <c r="A91" s="55" t="s">
        <v>679</v>
      </c>
      <c r="B91" s="55" t="s">
        <v>279</v>
      </c>
      <c r="C91" s="55" t="s">
        <v>131</v>
      </c>
      <c r="D91" s="55" t="s">
        <v>148</v>
      </c>
      <c r="E91" s="55" t="s">
        <v>145</v>
      </c>
      <c r="F91" s="55" t="s">
        <v>394</v>
      </c>
      <c r="G91" s="55"/>
      <c r="H91" s="55"/>
      <c r="I91" s="55" t="s">
        <v>541</v>
      </c>
      <c r="J91" s="55" t="s">
        <v>544</v>
      </c>
      <c r="K91" s="55" t="s">
        <v>544</v>
      </c>
      <c r="L91" s="55" t="s">
        <v>546</v>
      </c>
      <c r="M91" s="55" t="s">
        <v>541</v>
      </c>
      <c r="N91" s="55"/>
      <c r="O91" s="56"/>
      <c r="P91" s="57"/>
      <c r="Q91" s="57"/>
      <c r="R91" s="56" t="str">
        <f t="shared" si="13"/>
        <v>No</v>
      </c>
      <c r="S91" s="56" t="str">
        <f t="shared" si="13"/>
        <v>No</v>
      </c>
      <c r="T91" s="56" t="str">
        <f t="shared" si="10"/>
        <v>No</v>
      </c>
      <c r="U91" s="56" t="str">
        <f t="shared" si="11"/>
        <v>Yes</v>
      </c>
      <c r="V91" s="56" t="str">
        <f t="shared" si="12"/>
        <v>No</v>
      </c>
      <c r="W91" s="56" t="s">
        <v>541</v>
      </c>
      <c r="X91" s="56" t="s">
        <v>544</v>
      </c>
      <c r="Y91" s="55" t="s">
        <v>541</v>
      </c>
    </row>
    <row r="92" spans="1:25" ht="16" customHeight="1">
      <c r="A92" s="55" t="s">
        <v>571</v>
      </c>
      <c r="B92" s="55" t="s">
        <v>179</v>
      </c>
      <c r="C92" s="55" t="s">
        <v>129</v>
      </c>
      <c r="D92" s="55" t="s">
        <v>150</v>
      </c>
      <c r="E92" s="55" t="s">
        <v>145</v>
      </c>
      <c r="F92" s="55" t="s">
        <v>396</v>
      </c>
      <c r="G92" s="55"/>
      <c r="H92" s="55" t="s">
        <v>541</v>
      </c>
      <c r="I92" s="55"/>
      <c r="J92" s="55" t="s">
        <v>541</v>
      </c>
      <c r="K92" s="55" t="s">
        <v>541</v>
      </c>
      <c r="L92" s="55" t="s">
        <v>542</v>
      </c>
      <c r="M92" s="55"/>
      <c r="N92" s="55"/>
      <c r="O92" s="56" t="s">
        <v>406</v>
      </c>
      <c r="P92" s="57"/>
      <c r="Q92" s="57"/>
      <c r="R92" s="56" t="str">
        <f t="shared" si="13"/>
        <v>No</v>
      </c>
      <c r="S92" s="56" t="str">
        <f t="shared" si="13"/>
        <v>No</v>
      </c>
      <c r="T92" s="56" t="str">
        <f t="shared" si="10"/>
        <v>Yes</v>
      </c>
      <c r="U92" s="56" t="str">
        <f t="shared" si="11"/>
        <v>Yes</v>
      </c>
      <c r="V92" s="56" t="str">
        <f t="shared" si="12"/>
        <v>No</v>
      </c>
      <c r="W92" s="56" t="s">
        <v>541</v>
      </c>
      <c r="X92" s="56" t="s">
        <v>544</v>
      </c>
      <c r="Y92" s="55"/>
    </row>
    <row r="93" spans="1:25" ht="16" hidden="1" customHeight="1">
      <c r="A93" s="55" t="s">
        <v>603</v>
      </c>
      <c r="B93" s="55" t="s">
        <v>208</v>
      </c>
      <c r="C93" s="55" t="s">
        <v>129</v>
      </c>
      <c r="D93" s="55" t="s">
        <v>150</v>
      </c>
      <c r="E93" s="55" t="s">
        <v>145</v>
      </c>
      <c r="F93" s="55" t="s">
        <v>394</v>
      </c>
      <c r="G93" s="55"/>
      <c r="H93" s="55" t="s">
        <v>541</v>
      </c>
      <c r="I93" s="55"/>
      <c r="J93" s="55" t="s">
        <v>541</v>
      </c>
      <c r="K93" s="55" t="s">
        <v>544</v>
      </c>
      <c r="L93" s="55" t="s">
        <v>542</v>
      </c>
      <c r="M93" s="55" t="s">
        <v>541</v>
      </c>
      <c r="N93" s="55"/>
      <c r="O93" s="56" t="s">
        <v>407</v>
      </c>
      <c r="P93" s="57"/>
      <c r="Q93" s="57"/>
      <c r="R93" s="56" t="str">
        <f t="shared" si="13"/>
        <v>No</v>
      </c>
      <c r="S93" s="56" t="str">
        <f t="shared" si="13"/>
        <v>No</v>
      </c>
      <c r="T93" s="56" t="str">
        <f t="shared" si="10"/>
        <v>No</v>
      </c>
      <c r="U93" s="56" t="str">
        <f t="shared" si="11"/>
        <v>Yes</v>
      </c>
      <c r="V93" s="56" t="str">
        <f t="shared" si="12"/>
        <v>No</v>
      </c>
      <c r="W93" s="56" t="s">
        <v>541</v>
      </c>
      <c r="X93" s="56" t="s">
        <v>541</v>
      </c>
      <c r="Y93" s="55"/>
    </row>
    <row r="94" spans="1:25" ht="16" hidden="1" customHeight="1">
      <c r="A94" s="55" t="s">
        <v>606</v>
      </c>
      <c r="B94" s="55" t="s">
        <v>211</v>
      </c>
      <c r="C94" s="55" t="s">
        <v>129</v>
      </c>
      <c r="D94" s="55" t="s">
        <v>148</v>
      </c>
      <c r="E94" s="55" t="s">
        <v>145</v>
      </c>
      <c r="F94" s="55" t="s">
        <v>394</v>
      </c>
      <c r="G94" s="55"/>
      <c r="H94" s="55" t="s">
        <v>541</v>
      </c>
      <c r="I94" s="55" t="s">
        <v>541</v>
      </c>
      <c r="J94" s="55" t="s">
        <v>541</v>
      </c>
      <c r="K94" s="55" t="s">
        <v>541</v>
      </c>
      <c r="L94" s="55" t="s">
        <v>562</v>
      </c>
      <c r="M94" s="55"/>
      <c r="N94" s="55"/>
      <c r="O94" s="56"/>
      <c r="P94" s="57"/>
      <c r="Q94" s="57"/>
      <c r="R94" s="56" t="str">
        <f t="shared" si="13"/>
        <v>No</v>
      </c>
      <c r="S94" s="56" t="str">
        <f t="shared" si="13"/>
        <v>No</v>
      </c>
      <c r="T94" s="56" t="str">
        <f t="shared" si="10"/>
        <v>No</v>
      </c>
      <c r="U94" s="56" t="str">
        <f t="shared" si="11"/>
        <v>Yes</v>
      </c>
      <c r="V94" s="56" t="str">
        <f t="shared" si="12"/>
        <v>No</v>
      </c>
      <c r="W94" s="56" t="s">
        <v>541</v>
      </c>
      <c r="X94" s="56" t="s">
        <v>541</v>
      </c>
      <c r="Y94" s="55"/>
    </row>
    <row r="95" spans="1:25" ht="16" hidden="1" customHeight="1">
      <c r="A95" s="55" t="s">
        <v>689</v>
      </c>
      <c r="B95" s="55" t="s">
        <v>287</v>
      </c>
      <c r="C95" s="55" t="s">
        <v>127</v>
      </c>
      <c r="D95" s="55" t="s">
        <v>152</v>
      </c>
      <c r="E95" s="55" t="s">
        <v>146</v>
      </c>
      <c r="F95" s="55" t="s">
        <v>395</v>
      </c>
      <c r="G95" s="55" t="s">
        <v>541</v>
      </c>
      <c r="H95" s="55"/>
      <c r="I95" s="55" t="s">
        <v>541</v>
      </c>
      <c r="J95" s="55" t="s">
        <v>544</v>
      </c>
      <c r="K95" s="55" t="s">
        <v>544</v>
      </c>
      <c r="L95" s="55" t="s">
        <v>546</v>
      </c>
      <c r="M95" s="55"/>
      <c r="N95" s="55"/>
      <c r="O95" s="71" t="s">
        <v>407</v>
      </c>
      <c r="P95" s="72"/>
      <c r="Q95" s="57"/>
      <c r="R95" s="56" t="str">
        <f t="shared" si="13"/>
        <v>Yes</v>
      </c>
      <c r="S95" s="56" t="str">
        <f t="shared" si="13"/>
        <v>Yes</v>
      </c>
      <c r="T95" s="56" t="str">
        <f t="shared" si="10"/>
        <v>No</v>
      </c>
      <c r="U95" s="56" t="str">
        <f t="shared" si="11"/>
        <v>No</v>
      </c>
      <c r="V95" s="56" t="str">
        <f t="shared" si="12"/>
        <v>Yes</v>
      </c>
      <c r="W95" s="56" t="s">
        <v>541</v>
      </c>
      <c r="X95" s="56" t="s">
        <v>544</v>
      </c>
      <c r="Y95" s="55" t="s">
        <v>541</v>
      </c>
    </row>
    <row r="96" spans="1:25" ht="16" hidden="1" customHeight="1">
      <c r="A96" s="55" t="s">
        <v>601</v>
      </c>
      <c r="B96" s="55" t="s">
        <v>206</v>
      </c>
      <c r="C96" s="55" t="s">
        <v>129</v>
      </c>
      <c r="D96" s="55" t="s">
        <v>148</v>
      </c>
      <c r="E96" s="55" t="s">
        <v>145</v>
      </c>
      <c r="F96" s="55" t="s">
        <v>394</v>
      </c>
      <c r="G96" s="55"/>
      <c r="H96" s="55" t="s">
        <v>541</v>
      </c>
      <c r="I96" s="55" t="s">
        <v>541</v>
      </c>
      <c r="J96" s="55" t="s">
        <v>541</v>
      </c>
      <c r="K96" s="55" t="s">
        <v>541</v>
      </c>
      <c r="L96" s="55" t="s">
        <v>542</v>
      </c>
      <c r="M96" s="55"/>
      <c r="N96" s="55"/>
      <c r="O96" s="56" t="s">
        <v>406</v>
      </c>
      <c r="P96" s="57"/>
      <c r="Q96" s="57"/>
      <c r="R96" s="56" t="str">
        <f t="shared" si="13"/>
        <v>No</v>
      </c>
      <c r="S96" s="56" t="str">
        <f t="shared" si="13"/>
        <v>No</v>
      </c>
      <c r="T96" s="56" t="str">
        <f t="shared" si="10"/>
        <v>No</v>
      </c>
      <c r="U96" s="56" t="str">
        <f t="shared" si="11"/>
        <v>Yes</v>
      </c>
      <c r="V96" s="56" t="str">
        <f t="shared" si="12"/>
        <v>No</v>
      </c>
      <c r="W96" s="56" t="s">
        <v>541</v>
      </c>
      <c r="X96" s="56" t="s">
        <v>541</v>
      </c>
      <c r="Y96" s="55" t="s">
        <v>541</v>
      </c>
    </row>
    <row r="97" spans="1:25" ht="16" customHeight="1">
      <c r="A97" s="55" t="s">
        <v>607</v>
      </c>
      <c r="B97" s="55" t="s">
        <v>212</v>
      </c>
      <c r="C97" s="55" t="s">
        <v>129</v>
      </c>
      <c r="D97" s="55" t="s">
        <v>148</v>
      </c>
      <c r="E97" s="55" t="s">
        <v>145</v>
      </c>
      <c r="F97" s="55" t="s">
        <v>394</v>
      </c>
      <c r="G97" s="55"/>
      <c r="H97" s="55" t="s">
        <v>541</v>
      </c>
      <c r="I97" s="55" t="s">
        <v>541</v>
      </c>
      <c r="J97" s="55" t="s">
        <v>541</v>
      </c>
      <c r="K97" s="55" t="s">
        <v>541</v>
      </c>
      <c r="L97" s="55" t="s">
        <v>542</v>
      </c>
      <c r="M97" s="55"/>
      <c r="N97" s="55"/>
      <c r="O97" s="56" t="s">
        <v>407</v>
      </c>
      <c r="P97" s="57"/>
      <c r="Q97" s="57"/>
      <c r="R97" s="56" t="str">
        <f t="shared" si="13"/>
        <v>No</v>
      </c>
      <c r="S97" s="56" t="str">
        <f t="shared" si="13"/>
        <v>No</v>
      </c>
      <c r="T97" s="56" t="str">
        <f t="shared" si="10"/>
        <v>No</v>
      </c>
      <c r="U97" s="56" t="str">
        <f t="shared" si="11"/>
        <v>Yes</v>
      </c>
      <c r="V97" s="56" t="str">
        <f t="shared" si="12"/>
        <v>No</v>
      </c>
      <c r="W97" s="56" t="s">
        <v>541</v>
      </c>
      <c r="X97" s="56" t="s">
        <v>541</v>
      </c>
      <c r="Y97" s="55"/>
    </row>
    <row r="98" spans="1:25" ht="16" hidden="1" customHeight="1">
      <c r="A98" s="55" t="s">
        <v>686</v>
      </c>
      <c r="B98" s="55" t="s">
        <v>284</v>
      </c>
      <c r="C98" s="55" t="s">
        <v>130</v>
      </c>
      <c r="D98" s="55" t="s">
        <v>550</v>
      </c>
      <c r="E98" s="55" t="s">
        <v>146</v>
      </c>
      <c r="F98" s="55" t="s">
        <v>395</v>
      </c>
      <c r="G98" s="55"/>
      <c r="H98" s="55"/>
      <c r="I98" s="55"/>
      <c r="J98" s="55" t="s">
        <v>544</v>
      </c>
      <c r="K98" s="55" t="s">
        <v>544</v>
      </c>
      <c r="L98" s="55" t="s">
        <v>546</v>
      </c>
      <c r="M98" s="55"/>
      <c r="N98" s="55"/>
      <c r="O98" s="71" t="s">
        <v>407</v>
      </c>
      <c r="P98" s="72"/>
      <c r="Q98" s="57"/>
      <c r="R98" s="56" t="str">
        <f t="shared" si="13"/>
        <v>Yes</v>
      </c>
      <c r="S98" s="56" t="str">
        <f t="shared" si="13"/>
        <v>Yes</v>
      </c>
      <c r="T98" s="56" t="str">
        <f t="shared" si="10"/>
        <v>No</v>
      </c>
      <c r="U98" s="56" t="str">
        <f t="shared" si="11"/>
        <v>No</v>
      </c>
      <c r="V98" s="56" t="str">
        <f t="shared" si="12"/>
        <v>Yes</v>
      </c>
      <c r="W98" s="56" t="s">
        <v>541</v>
      </c>
      <c r="X98" s="56" t="s">
        <v>544</v>
      </c>
      <c r="Y98" s="55"/>
    </row>
    <row r="99" spans="1:25" ht="16" customHeight="1">
      <c r="A99" s="55" t="s">
        <v>687</v>
      </c>
      <c r="B99" s="55" t="s">
        <v>285</v>
      </c>
      <c r="C99" s="55" t="s">
        <v>131</v>
      </c>
      <c r="D99" s="55" t="s">
        <v>150</v>
      </c>
      <c r="E99" s="55" t="s">
        <v>145</v>
      </c>
      <c r="F99" s="55" t="s">
        <v>395</v>
      </c>
      <c r="G99" s="55"/>
      <c r="H99" s="73" t="s">
        <v>541</v>
      </c>
      <c r="I99" s="55" t="s">
        <v>541</v>
      </c>
      <c r="J99" s="55" t="s">
        <v>544</v>
      </c>
      <c r="K99" s="55" t="s">
        <v>544</v>
      </c>
      <c r="L99" s="55" t="s">
        <v>546</v>
      </c>
      <c r="M99" s="55"/>
      <c r="N99" s="55"/>
      <c r="O99" s="56" t="s">
        <v>406</v>
      </c>
      <c r="P99" s="57"/>
      <c r="Q99" s="57" t="s">
        <v>822</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541</v>
      </c>
      <c r="X99" s="56" t="s">
        <v>544</v>
      </c>
      <c r="Y99" s="55"/>
    </row>
    <row r="100" spans="1:25" ht="16" hidden="1" customHeight="1">
      <c r="A100" s="55" t="s">
        <v>626</v>
      </c>
      <c r="B100" s="55" t="s">
        <v>230</v>
      </c>
      <c r="C100" s="55" t="s">
        <v>129</v>
      </c>
      <c r="D100" s="55" t="s">
        <v>148</v>
      </c>
      <c r="E100" s="55" t="s">
        <v>145</v>
      </c>
      <c r="F100" s="55" t="s">
        <v>394</v>
      </c>
      <c r="G100" s="55"/>
      <c r="H100" s="55" t="s">
        <v>541</v>
      </c>
      <c r="I100" s="55"/>
      <c r="J100" s="55" t="s">
        <v>541</v>
      </c>
      <c r="K100" s="55" t="s">
        <v>544</v>
      </c>
      <c r="L100" s="55" t="s">
        <v>542</v>
      </c>
      <c r="M100" s="55"/>
      <c r="N100" s="55"/>
      <c r="O100" s="71" t="s">
        <v>407</v>
      </c>
      <c r="P100" s="72"/>
      <c r="Q100" s="57"/>
      <c r="R100" s="56" t="str">
        <f t="shared" si="13"/>
        <v>No</v>
      </c>
      <c r="S100" s="56" t="str">
        <f t="shared" si="13"/>
        <v>No</v>
      </c>
      <c r="T100" s="56" t="str">
        <f t="shared" si="14"/>
        <v>No</v>
      </c>
      <c r="U100" s="56" t="str">
        <f t="shared" si="15"/>
        <v>Yes</v>
      </c>
      <c r="V100" s="56" t="str">
        <f t="shared" si="16"/>
        <v>No</v>
      </c>
      <c r="W100" s="56" t="s">
        <v>541</v>
      </c>
      <c r="X100" s="56" t="s">
        <v>541</v>
      </c>
      <c r="Y100" s="55"/>
    </row>
    <row r="101" spans="1:25" ht="16" hidden="1" customHeight="1">
      <c r="A101" s="55" t="s">
        <v>632</v>
      </c>
      <c r="B101" s="55" t="s">
        <v>236</v>
      </c>
      <c r="C101" s="55" t="s">
        <v>129</v>
      </c>
      <c r="D101" s="55" t="s">
        <v>148</v>
      </c>
      <c r="E101" s="55" t="s">
        <v>145</v>
      </c>
      <c r="F101" s="55" t="s">
        <v>394</v>
      </c>
      <c r="G101" s="55"/>
      <c r="H101" s="55" t="s">
        <v>541</v>
      </c>
      <c r="I101" s="55"/>
      <c r="J101" s="55" t="s">
        <v>541</v>
      </c>
      <c r="K101" s="55" t="s">
        <v>541</v>
      </c>
      <c r="L101" s="55" t="s">
        <v>562</v>
      </c>
      <c r="M101" s="55"/>
      <c r="N101" s="55"/>
      <c r="O101" s="71" t="s">
        <v>407</v>
      </c>
      <c r="P101" s="72"/>
      <c r="Q101" s="57"/>
      <c r="R101" s="56" t="str">
        <f t="shared" si="13"/>
        <v>No</v>
      </c>
      <c r="S101" s="56" t="str">
        <f t="shared" si="13"/>
        <v>No</v>
      </c>
      <c r="T101" s="56" t="str">
        <f t="shared" si="14"/>
        <v>No</v>
      </c>
      <c r="U101" s="56" t="str">
        <f t="shared" si="15"/>
        <v>Yes</v>
      </c>
      <c r="V101" s="56" t="str">
        <f t="shared" si="16"/>
        <v>No</v>
      </c>
      <c r="W101" s="56" t="s">
        <v>541</v>
      </c>
      <c r="X101" s="56" t="s">
        <v>544</v>
      </c>
      <c r="Y101" s="55"/>
    </row>
    <row r="102" spans="1:25" ht="16" customHeight="1">
      <c r="A102" s="55" t="s">
        <v>634</v>
      </c>
      <c r="B102" s="55" t="s">
        <v>238</v>
      </c>
      <c r="C102" s="55" t="s">
        <v>129</v>
      </c>
      <c r="D102" s="55" t="s">
        <v>150</v>
      </c>
      <c r="E102" s="55" t="s">
        <v>145</v>
      </c>
      <c r="F102" s="55" t="s">
        <v>394</v>
      </c>
      <c r="G102" s="55"/>
      <c r="H102" s="55" t="s">
        <v>541</v>
      </c>
      <c r="I102" s="55" t="s">
        <v>541</v>
      </c>
      <c r="J102" s="55" t="s">
        <v>541</v>
      </c>
      <c r="K102" s="55" t="s">
        <v>541</v>
      </c>
      <c r="L102" s="55" t="s">
        <v>542</v>
      </c>
      <c r="M102" s="55"/>
      <c r="N102" s="55"/>
      <c r="O102" s="71" t="s">
        <v>407</v>
      </c>
      <c r="P102" s="72"/>
      <c r="Q102" s="57"/>
      <c r="R102" s="56" t="str">
        <f t="shared" si="13"/>
        <v>No</v>
      </c>
      <c r="S102" s="56" t="str">
        <f t="shared" si="13"/>
        <v>No</v>
      </c>
      <c r="T102" s="56" t="str">
        <f t="shared" si="14"/>
        <v>No</v>
      </c>
      <c r="U102" s="56" t="str">
        <f t="shared" si="15"/>
        <v>Yes</v>
      </c>
      <c r="V102" s="56" t="str">
        <f t="shared" si="16"/>
        <v>No</v>
      </c>
      <c r="W102" s="56" t="s">
        <v>541</v>
      </c>
      <c r="X102" s="56" t="s">
        <v>544</v>
      </c>
      <c r="Y102" s="55"/>
    </row>
    <row r="103" spans="1:25" ht="16" hidden="1" customHeight="1">
      <c r="A103" s="55" t="s">
        <v>692</v>
      </c>
      <c r="B103" s="55" t="s">
        <v>290</v>
      </c>
      <c r="C103" s="55" t="s">
        <v>127</v>
      </c>
      <c r="D103" s="55" t="s">
        <v>150</v>
      </c>
      <c r="E103" s="55" t="s">
        <v>145</v>
      </c>
      <c r="F103" s="55" t="s">
        <v>395</v>
      </c>
      <c r="G103" s="55"/>
      <c r="H103" s="55"/>
      <c r="I103" s="55"/>
      <c r="J103" s="55" t="s">
        <v>544</v>
      </c>
      <c r="K103" s="55" t="s">
        <v>544</v>
      </c>
      <c r="L103" s="55" t="s">
        <v>546</v>
      </c>
      <c r="M103" s="55"/>
      <c r="N103" s="55"/>
      <c r="O103" s="71" t="s">
        <v>408</v>
      </c>
      <c r="P103" s="72"/>
      <c r="Q103" s="57"/>
      <c r="R103" s="56" t="str">
        <f t="shared" ref="R103:S113" si="17">IF($F103="IBRD","Yes","No")</f>
        <v>Yes</v>
      </c>
      <c r="S103" s="56" t="str">
        <f t="shared" si="17"/>
        <v>Yes</v>
      </c>
      <c r="T103" s="56" t="str">
        <f t="shared" si="14"/>
        <v>No</v>
      </c>
      <c r="U103" s="56" t="str">
        <f t="shared" si="15"/>
        <v>No</v>
      </c>
      <c r="V103" s="56" t="str">
        <f t="shared" si="16"/>
        <v>Yes</v>
      </c>
      <c r="W103" s="56" t="s">
        <v>541</v>
      </c>
      <c r="X103" s="56" t="s">
        <v>544</v>
      </c>
      <c r="Y103" s="55"/>
    </row>
    <row r="104" spans="1:25" ht="16" customHeight="1">
      <c r="A104" s="55" t="s">
        <v>648</v>
      </c>
      <c r="B104" s="55" t="s">
        <v>252</v>
      </c>
      <c r="C104" s="55" t="s">
        <v>129</v>
      </c>
      <c r="D104" s="55" t="s">
        <v>148</v>
      </c>
      <c r="E104" s="55" t="s">
        <v>145</v>
      </c>
      <c r="F104" s="55" t="s">
        <v>394</v>
      </c>
      <c r="G104" s="55"/>
      <c r="H104" s="55" t="s">
        <v>541</v>
      </c>
      <c r="I104" s="55" t="s">
        <v>541</v>
      </c>
      <c r="J104" s="55" t="s">
        <v>541</v>
      </c>
      <c r="K104" s="55" t="s">
        <v>541</v>
      </c>
      <c r="L104" s="55" t="s">
        <v>562</v>
      </c>
      <c r="M104" s="55"/>
      <c r="N104" s="55"/>
      <c r="O104" s="71" t="s">
        <v>407</v>
      </c>
      <c r="P104" s="72"/>
      <c r="Q104" s="57"/>
      <c r="R104" s="56" t="str">
        <f t="shared" si="17"/>
        <v>No</v>
      </c>
      <c r="S104" s="56" t="str">
        <f t="shared" si="17"/>
        <v>No</v>
      </c>
      <c r="T104" s="56" t="str">
        <f t="shared" si="14"/>
        <v>No</v>
      </c>
      <c r="U104" s="56" t="str">
        <f t="shared" si="15"/>
        <v>Yes</v>
      </c>
      <c r="V104" s="56" t="str">
        <f t="shared" si="16"/>
        <v>No</v>
      </c>
      <c r="W104" s="56" t="s">
        <v>541</v>
      </c>
      <c r="X104" s="56" t="s">
        <v>544</v>
      </c>
      <c r="Y104" s="55"/>
    </row>
    <row r="105" spans="1:25" ht="16" hidden="1" customHeight="1">
      <c r="A105" s="55" t="s">
        <v>649</v>
      </c>
      <c r="B105" s="55" t="s">
        <v>253</v>
      </c>
      <c r="C105" s="55" t="s">
        <v>129</v>
      </c>
      <c r="D105" s="55" t="s">
        <v>150</v>
      </c>
      <c r="E105" s="55" t="s">
        <v>145</v>
      </c>
      <c r="F105" s="55" t="s">
        <v>396</v>
      </c>
      <c r="G105" s="55"/>
      <c r="H105" s="55" t="s">
        <v>541</v>
      </c>
      <c r="I105" s="55" t="s">
        <v>541</v>
      </c>
      <c r="J105" s="55" t="s">
        <v>541</v>
      </c>
      <c r="K105" s="55" t="s">
        <v>544</v>
      </c>
      <c r="L105" s="55" t="s">
        <v>548</v>
      </c>
      <c r="M105" s="55"/>
      <c r="N105" s="55"/>
      <c r="O105" s="56"/>
      <c r="P105" s="57"/>
      <c r="Q105" s="57"/>
      <c r="R105" s="56" t="str">
        <f t="shared" si="17"/>
        <v>No</v>
      </c>
      <c r="S105" s="56" t="str">
        <f t="shared" si="17"/>
        <v>No</v>
      </c>
      <c r="T105" s="56" t="str">
        <f t="shared" si="14"/>
        <v>Yes</v>
      </c>
      <c r="U105" s="56" t="str">
        <f t="shared" si="15"/>
        <v>Yes</v>
      </c>
      <c r="V105" s="56" t="str">
        <f t="shared" si="16"/>
        <v>No</v>
      </c>
      <c r="W105" s="56" t="s">
        <v>541</v>
      </c>
      <c r="X105" s="56" t="s">
        <v>544</v>
      </c>
      <c r="Y105" s="55"/>
    </row>
    <row r="106" spans="1:25" ht="16" hidden="1" customHeight="1">
      <c r="A106" s="55" t="s">
        <v>696</v>
      </c>
      <c r="B106" s="55" t="s">
        <v>294</v>
      </c>
      <c r="C106" s="55" t="s">
        <v>130</v>
      </c>
      <c r="D106" s="55" t="s">
        <v>152</v>
      </c>
      <c r="E106" s="55" t="s">
        <v>146</v>
      </c>
      <c r="F106" s="55" t="s">
        <v>395</v>
      </c>
      <c r="G106" s="55"/>
      <c r="H106" s="55"/>
      <c r="I106" s="55"/>
      <c r="J106" s="55" t="s">
        <v>544</v>
      </c>
      <c r="K106" s="55" t="s">
        <v>544</v>
      </c>
      <c r="L106" s="55" t="s">
        <v>546</v>
      </c>
      <c r="M106" s="55"/>
      <c r="N106" s="55"/>
      <c r="O106" s="56"/>
      <c r="P106" s="57"/>
      <c r="Q106" s="57"/>
      <c r="R106" s="56" t="str">
        <f t="shared" si="17"/>
        <v>Yes</v>
      </c>
      <c r="S106" s="56" t="str">
        <f t="shared" si="17"/>
        <v>Yes</v>
      </c>
      <c r="T106" s="56" t="str">
        <f t="shared" si="14"/>
        <v>No</v>
      </c>
      <c r="U106" s="56" t="str">
        <f t="shared" si="15"/>
        <v>No</v>
      </c>
      <c r="V106" s="56" t="str">
        <f t="shared" si="16"/>
        <v>Yes</v>
      </c>
      <c r="W106" s="56" t="s">
        <v>541</v>
      </c>
      <c r="X106" s="56" t="s">
        <v>544</v>
      </c>
      <c r="Y106" s="55"/>
    </row>
    <row r="107" spans="1:25" ht="16" hidden="1" customHeight="1">
      <c r="A107" s="55" t="s">
        <v>697</v>
      </c>
      <c r="B107" s="55" t="s">
        <v>295</v>
      </c>
      <c r="C107" s="55" t="s">
        <v>126</v>
      </c>
      <c r="D107" s="55" t="s">
        <v>150</v>
      </c>
      <c r="E107" s="55" t="s">
        <v>145</v>
      </c>
      <c r="F107" s="55" t="s">
        <v>395</v>
      </c>
      <c r="G107" s="55" t="s">
        <v>541</v>
      </c>
      <c r="H107" s="55"/>
      <c r="I107" s="55"/>
      <c r="J107" s="55" t="s">
        <v>544</v>
      </c>
      <c r="K107" s="55" t="s">
        <v>544</v>
      </c>
      <c r="L107" s="55" t="s">
        <v>546</v>
      </c>
      <c r="M107" s="55" t="s">
        <v>541</v>
      </c>
      <c r="N107" s="55"/>
      <c r="O107" s="56"/>
      <c r="P107" s="57"/>
      <c r="Q107" s="57"/>
      <c r="R107" s="56" t="str">
        <f t="shared" si="17"/>
        <v>Yes</v>
      </c>
      <c r="S107" s="56" t="str">
        <f t="shared" si="17"/>
        <v>Yes</v>
      </c>
      <c r="T107" s="56" t="str">
        <f t="shared" si="14"/>
        <v>No</v>
      </c>
      <c r="U107" s="56" t="str">
        <f t="shared" si="15"/>
        <v>No</v>
      </c>
      <c r="V107" s="56" t="str">
        <f t="shared" si="16"/>
        <v>Yes</v>
      </c>
      <c r="W107" s="56" t="s">
        <v>541</v>
      </c>
      <c r="X107" s="56" t="s">
        <v>544</v>
      </c>
      <c r="Y107" s="55" t="s">
        <v>541</v>
      </c>
    </row>
    <row r="108" spans="1:25" ht="16" hidden="1" customHeight="1">
      <c r="A108" s="55" t="s">
        <v>664</v>
      </c>
      <c r="B108" s="55" t="s">
        <v>267</v>
      </c>
      <c r="C108" s="55" t="s">
        <v>129</v>
      </c>
      <c r="D108" s="55" t="s">
        <v>150</v>
      </c>
      <c r="E108" s="55" t="s">
        <v>145</v>
      </c>
      <c r="F108" s="55" t="s">
        <v>394</v>
      </c>
      <c r="G108" s="55"/>
      <c r="H108" s="73" t="s">
        <v>541</v>
      </c>
      <c r="I108" s="73" t="s">
        <v>541</v>
      </c>
      <c r="J108" s="55" t="s">
        <v>541</v>
      </c>
      <c r="K108" s="55" t="s">
        <v>541</v>
      </c>
      <c r="L108" s="55" t="s">
        <v>562</v>
      </c>
      <c r="M108" s="55"/>
      <c r="N108" s="55"/>
      <c r="O108" s="71" t="s">
        <v>407</v>
      </c>
      <c r="P108" s="72"/>
      <c r="Q108" s="57"/>
      <c r="R108" s="56" t="str">
        <f t="shared" si="17"/>
        <v>No</v>
      </c>
      <c r="S108" s="56" t="str">
        <f t="shared" si="17"/>
        <v>No</v>
      </c>
      <c r="T108" s="56" t="str">
        <f t="shared" si="14"/>
        <v>No</v>
      </c>
      <c r="U108" s="56" t="str">
        <f t="shared" si="15"/>
        <v>Yes</v>
      </c>
      <c r="V108" s="56" t="str">
        <f t="shared" si="16"/>
        <v>No</v>
      </c>
      <c r="W108" s="56" t="s">
        <v>541</v>
      </c>
      <c r="X108" s="56" t="s">
        <v>544</v>
      </c>
      <c r="Y108" s="55"/>
    </row>
    <row r="109" spans="1:25" ht="16" hidden="1" customHeight="1">
      <c r="A109" s="55" t="s">
        <v>667</v>
      </c>
      <c r="B109" s="55" t="s">
        <v>269</v>
      </c>
      <c r="C109" s="55" t="s">
        <v>129</v>
      </c>
      <c r="D109" s="55" t="s">
        <v>148</v>
      </c>
      <c r="E109" s="55" t="s">
        <v>145</v>
      </c>
      <c r="F109" s="55" t="s">
        <v>394</v>
      </c>
      <c r="G109" s="55"/>
      <c r="H109" s="73" t="s">
        <v>541</v>
      </c>
      <c r="I109" s="73"/>
      <c r="J109" s="55" t="s">
        <v>541</v>
      </c>
      <c r="K109" s="55" t="s">
        <v>541</v>
      </c>
      <c r="L109" s="55" t="s">
        <v>542</v>
      </c>
      <c r="M109" s="55"/>
      <c r="N109" s="55"/>
      <c r="O109" s="71" t="s">
        <v>407</v>
      </c>
      <c r="P109" s="72"/>
      <c r="Q109" s="57"/>
      <c r="R109" s="56" t="str">
        <f t="shared" si="17"/>
        <v>No</v>
      </c>
      <c r="S109" s="56" t="str">
        <f t="shared" si="17"/>
        <v>No</v>
      </c>
      <c r="T109" s="56" t="str">
        <f t="shared" si="14"/>
        <v>No</v>
      </c>
      <c r="U109" s="56" t="str">
        <f t="shared" si="15"/>
        <v>Yes</v>
      </c>
      <c r="V109" s="56" t="str">
        <f t="shared" si="16"/>
        <v>No</v>
      </c>
      <c r="W109" s="56" t="s">
        <v>541</v>
      </c>
      <c r="X109" s="56" t="s">
        <v>544</v>
      </c>
      <c r="Y109" s="55"/>
    </row>
    <row r="110" spans="1:25" ht="16" hidden="1" customHeight="1">
      <c r="A110" s="55" t="s">
        <v>663</v>
      </c>
      <c r="B110" s="55" t="s">
        <v>266</v>
      </c>
      <c r="C110" s="55" t="s">
        <v>129</v>
      </c>
      <c r="D110" s="55" t="s">
        <v>150</v>
      </c>
      <c r="E110" s="55" t="s">
        <v>145</v>
      </c>
      <c r="F110" s="55" t="s">
        <v>394</v>
      </c>
      <c r="G110" s="55"/>
      <c r="H110" s="73" t="s">
        <v>541</v>
      </c>
      <c r="I110" s="73"/>
      <c r="J110" s="55" t="s">
        <v>541</v>
      </c>
      <c r="K110" s="55" t="s">
        <v>541</v>
      </c>
      <c r="L110" s="55" t="s">
        <v>583</v>
      </c>
      <c r="M110" s="55"/>
      <c r="N110" s="55"/>
      <c r="O110" s="71" t="s">
        <v>408</v>
      </c>
      <c r="P110" s="72"/>
      <c r="Q110" s="57"/>
      <c r="R110" s="56" t="str">
        <f t="shared" si="17"/>
        <v>No</v>
      </c>
      <c r="S110" s="56" t="str">
        <f t="shared" si="17"/>
        <v>No</v>
      </c>
      <c r="T110" s="56" t="str">
        <f t="shared" si="14"/>
        <v>No</v>
      </c>
      <c r="U110" s="56" t="str">
        <f t="shared" si="15"/>
        <v>Yes</v>
      </c>
      <c r="V110" s="56" t="str">
        <f t="shared" si="16"/>
        <v>No</v>
      </c>
      <c r="W110" s="56" t="s">
        <v>541</v>
      </c>
      <c r="X110" s="56" t="s">
        <v>544</v>
      </c>
      <c r="Y110" s="55"/>
    </row>
    <row r="111" spans="1:25" ht="16" hidden="1" customHeight="1">
      <c r="A111" s="55" t="s">
        <v>576</v>
      </c>
      <c r="B111" s="55" t="s">
        <v>183</v>
      </c>
      <c r="C111" s="55" t="s">
        <v>129</v>
      </c>
      <c r="D111" s="55" t="s">
        <v>148</v>
      </c>
      <c r="E111" s="55" t="s">
        <v>145</v>
      </c>
      <c r="F111" s="55" t="s">
        <v>394</v>
      </c>
      <c r="G111" s="55"/>
      <c r="H111" s="73" t="s">
        <v>541</v>
      </c>
      <c r="I111" s="73" t="s">
        <v>541</v>
      </c>
      <c r="J111" s="55" t="s">
        <v>541</v>
      </c>
      <c r="K111" s="55" t="s">
        <v>541</v>
      </c>
      <c r="L111" s="55" t="s">
        <v>542</v>
      </c>
      <c r="M111" s="55"/>
      <c r="N111" s="55"/>
      <c r="O111" s="71" t="s">
        <v>407</v>
      </c>
      <c r="P111" s="72"/>
      <c r="Q111" s="57" t="s">
        <v>822</v>
      </c>
      <c r="R111" s="56" t="str">
        <f t="shared" si="17"/>
        <v>No</v>
      </c>
      <c r="S111" s="56" t="str">
        <f t="shared" si="17"/>
        <v>No</v>
      </c>
      <c r="T111" s="56" t="str">
        <f t="shared" si="14"/>
        <v>No</v>
      </c>
      <c r="U111" s="56" t="str">
        <f t="shared" si="15"/>
        <v>Yes</v>
      </c>
      <c r="V111" s="56" t="str">
        <f t="shared" si="16"/>
        <v>No</v>
      </c>
      <c r="W111" s="56" t="s">
        <v>541</v>
      </c>
      <c r="X111" s="56" t="s">
        <v>541</v>
      </c>
      <c r="Y111" s="55"/>
    </row>
    <row r="112" spans="1:25" ht="16" hidden="1" customHeight="1">
      <c r="A112" s="55" t="s">
        <v>670</v>
      </c>
      <c r="B112" s="55" t="s">
        <v>272</v>
      </c>
      <c r="C112" s="55" t="s">
        <v>128</v>
      </c>
      <c r="D112" s="55" t="s">
        <v>152</v>
      </c>
      <c r="E112" s="55" t="s">
        <v>146</v>
      </c>
      <c r="F112" s="55" t="s">
        <v>395</v>
      </c>
      <c r="G112" s="55"/>
      <c r="H112" s="73" t="s">
        <v>541</v>
      </c>
      <c r="I112" s="73"/>
      <c r="J112" s="55" t="s">
        <v>544</v>
      </c>
      <c r="K112" s="55" t="s">
        <v>544</v>
      </c>
      <c r="L112" s="55" t="s">
        <v>546</v>
      </c>
      <c r="M112" s="55"/>
      <c r="N112" s="55"/>
      <c r="O112" s="71" t="s">
        <v>407</v>
      </c>
      <c r="P112" s="72"/>
      <c r="Q112" s="57"/>
      <c r="R112" s="56" t="str">
        <f t="shared" si="17"/>
        <v>Yes</v>
      </c>
      <c r="S112" s="56" t="str">
        <f t="shared" si="17"/>
        <v>Yes</v>
      </c>
      <c r="T112" s="56" t="str">
        <f t="shared" si="14"/>
        <v>No</v>
      </c>
      <c r="U112" s="56" t="str">
        <f t="shared" si="15"/>
        <v>No</v>
      </c>
      <c r="V112" s="56" t="str">
        <f t="shared" si="16"/>
        <v>Yes</v>
      </c>
      <c r="W112" s="56" t="s">
        <v>541</v>
      </c>
      <c r="X112" s="56" t="s">
        <v>544</v>
      </c>
      <c r="Y112" s="55"/>
    </row>
    <row r="113" spans="1:25" ht="16" hidden="1" customHeight="1">
      <c r="A113" s="55" t="s">
        <v>684</v>
      </c>
      <c r="B113" s="55" t="s">
        <v>282</v>
      </c>
      <c r="C113" s="55" t="s">
        <v>129</v>
      </c>
      <c r="D113" s="55" t="s">
        <v>148</v>
      </c>
      <c r="E113" s="55" t="s">
        <v>145</v>
      </c>
      <c r="F113" s="55" t="s">
        <v>394</v>
      </c>
      <c r="G113" s="55"/>
      <c r="H113" s="73" t="s">
        <v>541</v>
      </c>
      <c r="I113" s="73" t="s">
        <v>541</v>
      </c>
      <c r="J113" s="55" t="s">
        <v>541</v>
      </c>
      <c r="K113" s="55" t="s">
        <v>541</v>
      </c>
      <c r="L113" s="55" t="s">
        <v>542</v>
      </c>
      <c r="M113" s="55" t="s">
        <v>541</v>
      </c>
      <c r="N113" s="55"/>
      <c r="O113" s="71" t="s">
        <v>407</v>
      </c>
      <c r="P113" s="72"/>
      <c r="Q113" s="57"/>
      <c r="R113" s="56" t="str">
        <f t="shared" si="17"/>
        <v>No</v>
      </c>
      <c r="S113" s="56" t="str">
        <f t="shared" si="17"/>
        <v>No</v>
      </c>
      <c r="T113" s="56" t="str">
        <f t="shared" si="14"/>
        <v>No</v>
      </c>
      <c r="U113" s="56" t="str">
        <f t="shared" si="15"/>
        <v>Yes</v>
      </c>
      <c r="V113" s="56" t="str">
        <f t="shared" si="16"/>
        <v>No</v>
      </c>
      <c r="W113" s="56" t="s">
        <v>541</v>
      </c>
      <c r="X113" s="56" t="s">
        <v>544</v>
      </c>
      <c r="Y113" s="55" t="s">
        <v>541</v>
      </c>
    </row>
    <row r="114" spans="1:25" ht="16" hidden="1" customHeight="1">
      <c r="A114" s="58" t="s">
        <v>700</v>
      </c>
      <c r="B114" s="58" t="s">
        <v>298</v>
      </c>
      <c r="C114" s="58" t="s">
        <v>128</v>
      </c>
      <c r="D114" s="58" t="s">
        <v>150</v>
      </c>
      <c r="E114" s="58" t="s">
        <v>145</v>
      </c>
      <c r="F114" s="55" t="s">
        <v>396</v>
      </c>
      <c r="G114" s="58"/>
      <c r="H114" s="74" t="s">
        <v>541</v>
      </c>
      <c r="I114" s="74"/>
      <c r="J114" s="58" t="s">
        <v>544</v>
      </c>
      <c r="K114" s="58" t="s">
        <v>544</v>
      </c>
      <c r="L114" s="58" t="s">
        <v>546</v>
      </c>
      <c r="M114" s="58"/>
      <c r="N114" s="58"/>
      <c r="O114" s="75" t="s">
        <v>407</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541</v>
      </c>
      <c r="X114" s="59" t="s">
        <v>544</v>
      </c>
      <c r="Y114" s="55"/>
    </row>
    <row r="115" spans="1:25" ht="16" hidden="1" customHeight="1">
      <c r="A115" s="57" t="s">
        <v>565</v>
      </c>
      <c r="B115" s="57" t="s">
        <v>174</v>
      </c>
      <c r="C115" s="57" t="s">
        <v>127</v>
      </c>
      <c r="D115" s="57" t="s">
        <v>152</v>
      </c>
      <c r="E115" s="57" t="s">
        <v>146</v>
      </c>
      <c r="F115" s="55" t="s">
        <v>395</v>
      </c>
      <c r="G115" s="57"/>
      <c r="H115" s="57"/>
      <c r="I115" s="57"/>
      <c r="J115" s="57" t="s">
        <v>544</v>
      </c>
      <c r="K115" s="57" t="s">
        <v>544</v>
      </c>
      <c r="L115" s="57" t="s">
        <v>546</v>
      </c>
      <c r="M115" s="57"/>
      <c r="N115" s="57"/>
      <c r="O115" s="57" t="s">
        <v>407</v>
      </c>
      <c r="P115" s="60"/>
      <c r="Q115" s="61"/>
      <c r="R115" s="57" t="str">
        <f t="shared" si="18"/>
        <v>Yes</v>
      </c>
      <c r="S115" s="57" t="str">
        <f t="shared" si="19"/>
        <v>Yes</v>
      </c>
      <c r="T115" s="57" t="str">
        <f t="shared" si="20"/>
        <v>No</v>
      </c>
      <c r="U115" s="57" t="str">
        <f t="shared" si="21"/>
        <v>No</v>
      </c>
      <c r="V115" s="57" t="str">
        <f t="shared" si="19"/>
        <v>Yes</v>
      </c>
      <c r="W115" s="57" t="s">
        <v>541</v>
      </c>
      <c r="X115" s="57" t="s">
        <v>544</v>
      </c>
      <c r="Y115" s="55"/>
    </row>
    <row r="116" spans="1:25" ht="17.25" hidden="1" customHeight="1">
      <c r="A116" s="66" t="s">
        <v>543</v>
      </c>
      <c r="B116" s="66" t="s">
        <v>161</v>
      </c>
      <c r="C116" s="57" t="s">
        <v>127</v>
      </c>
      <c r="D116" s="57" t="s">
        <v>152</v>
      </c>
      <c r="E116" s="57" t="s">
        <v>146</v>
      </c>
      <c r="F116" s="55" t="s">
        <v>395</v>
      </c>
      <c r="G116" s="57"/>
      <c r="H116" s="57"/>
      <c r="I116" s="57" t="s">
        <v>541</v>
      </c>
      <c r="J116" s="57" t="s">
        <v>544</v>
      </c>
      <c r="K116" s="57" t="s">
        <v>544</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541</v>
      </c>
      <c r="X116" s="57" t="s">
        <v>544</v>
      </c>
      <c r="Y116" s="55"/>
    </row>
    <row r="117" spans="1:25" ht="17.25" hidden="1" customHeight="1">
      <c r="A117" s="66" t="s">
        <v>551</v>
      </c>
      <c r="B117" s="66" t="s">
        <v>164</v>
      </c>
      <c r="C117" s="57" t="s">
        <v>130</v>
      </c>
      <c r="D117" s="57" t="s">
        <v>152</v>
      </c>
      <c r="E117" s="57" t="s">
        <v>146</v>
      </c>
      <c r="F117" s="55" t="s">
        <v>395</v>
      </c>
      <c r="G117" s="57"/>
      <c r="H117" s="57"/>
      <c r="I117" s="57"/>
      <c r="J117" s="57" t="s">
        <v>544</v>
      </c>
      <c r="K117" s="57" t="s">
        <v>544</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541</v>
      </c>
      <c r="X117" s="57" t="s">
        <v>544</v>
      </c>
      <c r="Y117" s="55" t="s">
        <v>541</v>
      </c>
    </row>
    <row r="118" spans="1:25" ht="17.25" hidden="1" customHeight="1">
      <c r="A118" s="66" t="s">
        <v>553</v>
      </c>
      <c r="B118" s="66" t="s">
        <v>165</v>
      </c>
      <c r="C118" s="57" t="s">
        <v>127</v>
      </c>
      <c r="D118" s="57" t="s">
        <v>152</v>
      </c>
      <c r="E118" s="57" t="s">
        <v>146</v>
      </c>
      <c r="F118" s="55" t="s">
        <v>395</v>
      </c>
      <c r="G118" s="57"/>
      <c r="H118" s="57"/>
      <c r="I118" s="57"/>
      <c r="J118" s="57" t="s">
        <v>544</v>
      </c>
      <c r="K118" s="57" t="s">
        <v>544</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541</v>
      </c>
      <c r="X118" s="57" t="s">
        <v>544</v>
      </c>
      <c r="Y118" s="55"/>
    </row>
    <row r="119" spans="1:25" ht="17.25" hidden="1" customHeight="1">
      <c r="A119" s="66" t="s">
        <v>549</v>
      </c>
      <c r="B119" s="66" t="s">
        <v>163</v>
      </c>
      <c r="C119" s="57" t="s">
        <v>130</v>
      </c>
      <c r="D119" s="57" t="s">
        <v>550</v>
      </c>
      <c r="E119" s="57" t="s">
        <v>146</v>
      </c>
      <c r="F119" s="55" t="s">
        <v>395</v>
      </c>
      <c r="G119" s="57"/>
      <c r="H119" s="57"/>
      <c r="I119" s="57"/>
      <c r="J119" s="57" t="s">
        <v>544</v>
      </c>
      <c r="K119" s="57" t="s">
        <v>544</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541</v>
      </c>
      <c r="X119" s="57" t="s">
        <v>544</v>
      </c>
      <c r="Y119" s="55" t="s">
        <v>541</v>
      </c>
    </row>
    <row r="120" spans="1:25" ht="17.25" hidden="1" customHeight="1">
      <c r="A120" s="66" t="s">
        <v>568</v>
      </c>
      <c r="B120" s="66" t="s">
        <v>176</v>
      </c>
      <c r="C120" s="57" t="s">
        <v>127</v>
      </c>
      <c r="D120" s="57" t="s">
        <v>152</v>
      </c>
      <c r="E120" s="57" t="s">
        <v>146</v>
      </c>
      <c r="F120" s="55" t="s">
        <v>395</v>
      </c>
      <c r="G120" s="57"/>
      <c r="H120" s="57"/>
      <c r="I120" s="57"/>
      <c r="J120" s="57" t="s">
        <v>544</v>
      </c>
      <c r="K120" s="57" t="s">
        <v>544</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541</v>
      </c>
      <c r="X120" s="57" t="s">
        <v>544</v>
      </c>
      <c r="Y120" s="55"/>
    </row>
    <row r="121" spans="1:25" ht="17.25" hidden="1" customHeight="1">
      <c r="A121" s="66" t="s">
        <v>559</v>
      </c>
      <c r="B121" s="66" t="s">
        <v>168</v>
      </c>
      <c r="C121" s="57" t="s">
        <v>127</v>
      </c>
      <c r="D121" s="57" t="s">
        <v>152</v>
      </c>
      <c r="E121" s="57" t="s">
        <v>146</v>
      </c>
      <c r="F121" s="55" t="s">
        <v>395</v>
      </c>
      <c r="G121" s="57"/>
      <c r="H121" s="57"/>
      <c r="I121" s="57"/>
      <c r="J121" s="57" t="s">
        <v>544</v>
      </c>
      <c r="K121" s="57" t="s">
        <v>544</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541</v>
      </c>
      <c r="X121" s="57" t="s">
        <v>544</v>
      </c>
      <c r="Y121" s="55"/>
    </row>
    <row r="122" spans="1:25" ht="17.25" hidden="1" customHeight="1">
      <c r="A122" s="66" t="s">
        <v>566</v>
      </c>
      <c r="B122" s="66" t="s">
        <v>175</v>
      </c>
      <c r="C122" s="57" t="s">
        <v>128</v>
      </c>
      <c r="D122" s="57" t="s">
        <v>152</v>
      </c>
      <c r="E122" s="57" t="s">
        <v>146</v>
      </c>
      <c r="F122" s="55" t="s">
        <v>395</v>
      </c>
      <c r="G122" s="57"/>
      <c r="H122" s="57" t="s">
        <v>541</v>
      </c>
      <c r="I122" s="57"/>
      <c r="J122" s="57" t="s">
        <v>544</v>
      </c>
      <c r="K122" s="57" t="s">
        <v>544</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541</v>
      </c>
      <c r="X122" s="57" t="s">
        <v>544</v>
      </c>
      <c r="Y122" s="55" t="s">
        <v>541</v>
      </c>
    </row>
    <row r="123" spans="1:25" ht="17.25" hidden="1" customHeight="1">
      <c r="A123" s="66" t="s">
        <v>577</v>
      </c>
      <c r="B123" s="66" t="s">
        <v>184</v>
      </c>
      <c r="C123" s="57" t="s">
        <v>130</v>
      </c>
      <c r="D123" s="57" t="s">
        <v>550</v>
      </c>
      <c r="E123" s="57" t="s">
        <v>146</v>
      </c>
      <c r="F123" s="55" t="s">
        <v>395</v>
      </c>
      <c r="G123" s="57"/>
      <c r="H123" s="57"/>
      <c r="I123" s="57"/>
      <c r="J123" s="57" t="s">
        <v>544</v>
      </c>
      <c r="K123" s="57" t="s">
        <v>544</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541</v>
      </c>
      <c r="X123" s="57" t="s">
        <v>544</v>
      </c>
      <c r="Y123" s="55"/>
    </row>
    <row r="124" spans="1:25" ht="17.25" hidden="1" customHeight="1">
      <c r="A124" s="66" t="s">
        <v>578</v>
      </c>
      <c r="B124" s="66" t="s">
        <v>185</v>
      </c>
      <c r="C124" s="57" t="s">
        <v>126</v>
      </c>
      <c r="D124" s="57" t="s">
        <v>152</v>
      </c>
      <c r="E124" s="57" t="s">
        <v>146</v>
      </c>
      <c r="F124" s="55" t="s">
        <v>395</v>
      </c>
      <c r="G124" s="57"/>
      <c r="H124" s="57"/>
      <c r="I124" s="57"/>
      <c r="J124" s="57" t="s">
        <v>544</v>
      </c>
      <c r="K124" s="57" t="s">
        <v>544</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541</v>
      </c>
      <c r="X124" s="57" t="s">
        <v>544</v>
      </c>
      <c r="Y124" s="55"/>
    </row>
    <row r="125" spans="1:25" ht="17.25" hidden="1" customHeight="1">
      <c r="A125" s="66" t="s">
        <v>579</v>
      </c>
      <c r="B125" s="66" t="s">
        <v>186</v>
      </c>
      <c r="C125" s="57" t="s">
        <v>130</v>
      </c>
      <c r="D125" s="57" t="s">
        <v>152</v>
      </c>
      <c r="E125" s="57" t="s">
        <v>146</v>
      </c>
      <c r="F125" s="55" t="s">
        <v>395</v>
      </c>
      <c r="G125" s="57"/>
      <c r="H125" s="57"/>
      <c r="I125" s="57"/>
      <c r="J125" s="57" t="s">
        <v>544</v>
      </c>
      <c r="K125" s="57" t="s">
        <v>544</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541</v>
      </c>
      <c r="X125" s="57" t="s">
        <v>544</v>
      </c>
      <c r="Y125" s="55"/>
    </row>
    <row r="126" spans="1:25" ht="17.25" hidden="1" customHeight="1">
      <c r="A126" s="66" t="s">
        <v>591</v>
      </c>
      <c r="B126" s="66" t="s">
        <v>196</v>
      </c>
      <c r="C126" s="57" t="s">
        <v>130</v>
      </c>
      <c r="D126" s="57" t="s">
        <v>152</v>
      </c>
      <c r="E126" s="57" t="s">
        <v>146</v>
      </c>
      <c r="F126" s="55" t="s">
        <v>395</v>
      </c>
      <c r="G126" s="57"/>
      <c r="H126" s="57"/>
      <c r="I126" s="57"/>
      <c r="J126" s="57" t="s">
        <v>544</v>
      </c>
      <c r="K126" s="57" t="s">
        <v>544</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541</v>
      </c>
      <c r="X126" s="57" t="s">
        <v>544</v>
      </c>
      <c r="Y126" s="55"/>
    </row>
    <row r="127" spans="1:25" ht="17.25" customHeight="1">
      <c r="A127" s="66" t="s">
        <v>595</v>
      </c>
      <c r="B127" s="66" t="s">
        <v>200</v>
      </c>
      <c r="C127" s="57" t="s">
        <v>130</v>
      </c>
      <c r="D127" s="57" t="s">
        <v>152</v>
      </c>
      <c r="E127" s="57" t="s">
        <v>146</v>
      </c>
      <c r="F127" s="55" t="s">
        <v>395</v>
      </c>
      <c r="G127" s="57"/>
      <c r="H127" s="57" t="s">
        <v>541</v>
      </c>
      <c r="I127" s="57"/>
      <c r="J127" s="57" t="s">
        <v>544</v>
      </c>
      <c r="K127" s="57" t="s">
        <v>544</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541</v>
      </c>
      <c r="X127" s="57" t="s">
        <v>544</v>
      </c>
      <c r="Y127" s="55"/>
    </row>
    <row r="128" spans="1:25" ht="17.25" hidden="1" customHeight="1">
      <c r="A128" s="66" t="s">
        <v>605</v>
      </c>
      <c r="B128" s="66" t="s">
        <v>210</v>
      </c>
      <c r="C128" s="57" t="s">
        <v>130</v>
      </c>
      <c r="D128" s="57" t="s">
        <v>152</v>
      </c>
      <c r="E128" s="57" t="s">
        <v>146</v>
      </c>
      <c r="F128" s="55" t="s">
        <v>395</v>
      </c>
      <c r="G128" s="57"/>
      <c r="H128" s="57"/>
      <c r="I128" s="57"/>
      <c r="J128" s="57" t="s">
        <v>544</v>
      </c>
      <c r="K128" s="57" t="s">
        <v>544</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541</v>
      </c>
      <c r="X128" s="57" t="s">
        <v>541</v>
      </c>
      <c r="Y128" s="55"/>
    </row>
    <row r="129" spans="1:25" ht="17.25" hidden="1" customHeight="1">
      <c r="A129" s="66" t="s">
        <v>587</v>
      </c>
      <c r="B129" s="66" t="s">
        <v>193</v>
      </c>
      <c r="C129" s="57" t="s">
        <v>127</v>
      </c>
      <c r="D129" s="57" t="s">
        <v>550</v>
      </c>
      <c r="E129" s="57" t="s">
        <v>146</v>
      </c>
      <c r="F129" s="55" t="s">
        <v>395</v>
      </c>
      <c r="G129" s="57"/>
      <c r="H129" s="57"/>
      <c r="I129" s="57"/>
      <c r="J129" s="57" t="s">
        <v>544</v>
      </c>
      <c r="K129" s="57" t="s">
        <v>544</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541</v>
      </c>
      <c r="X129" s="57" t="s">
        <v>544</v>
      </c>
      <c r="Y129" s="55"/>
    </row>
    <row r="130" spans="1:25" ht="17.25" customHeight="1">
      <c r="A130" s="66" t="s">
        <v>615</v>
      </c>
      <c r="B130" s="66" t="s">
        <v>219</v>
      </c>
      <c r="C130" s="57" t="s">
        <v>130</v>
      </c>
      <c r="D130" s="57" t="s">
        <v>152</v>
      </c>
      <c r="E130" s="57" t="s">
        <v>146</v>
      </c>
      <c r="F130" s="55" t="s">
        <v>395</v>
      </c>
      <c r="G130" s="57"/>
      <c r="H130" s="57"/>
      <c r="I130" s="57"/>
      <c r="J130" s="57" t="s">
        <v>544</v>
      </c>
      <c r="K130" s="57" t="s">
        <v>544</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541</v>
      </c>
      <c r="X130" s="57" t="s">
        <v>544</v>
      </c>
      <c r="Y130" s="55"/>
    </row>
    <row r="131" spans="1:25" ht="17.25" hidden="1" customHeight="1">
      <c r="A131" s="66" t="s">
        <v>617</v>
      </c>
      <c r="B131" s="66" t="s">
        <v>221</v>
      </c>
      <c r="C131" s="57" t="s">
        <v>127</v>
      </c>
      <c r="D131" s="57" t="s">
        <v>152</v>
      </c>
      <c r="E131" s="57" t="s">
        <v>146</v>
      </c>
      <c r="F131" s="55" t="s">
        <v>395</v>
      </c>
      <c r="G131" s="57"/>
      <c r="H131" s="57"/>
      <c r="I131" s="57"/>
      <c r="J131" s="57" t="s">
        <v>544</v>
      </c>
      <c r="K131" s="57" t="s">
        <v>544</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541</v>
      </c>
      <c r="X131" s="57" t="s">
        <v>544</v>
      </c>
      <c r="Y131" s="55"/>
    </row>
    <row r="132" spans="1:25" ht="17.25" hidden="1" customHeight="1">
      <c r="A132" s="66" t="s">
        <v>673</v>
      </c>
      <c r="B132" s="66" t="s">
        <v>275</v>
      </c>
      <c r="C132" s="57" t="s">
        <v>130</v>
      </c>
      <c r="D132" s="57" t="s">
        <v>550</v>
      </c>
      <c r="E132" s="57" t="s">
        <v>146</v>
      </c>
      <c r="F132" s="55" t="s">
        <v>395</v>
      </c>
      <c r="G132" s="57"/>
      <c r="H132" s="57"/>
      <c r="I132" s="57"/>
      <c r="J132" s="57" t="s">
        <v>544</v>
      </c>
      <c r="K132" s="57" t="s">
        <v>544</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541</v>
      </c>
      <c r="X132" s="57" t="s">
        <v>544</v>
      </c>
      <c r="Y132" s="55"/>
    </row>
    <row r="133" spans="1:25" ht="17.25" hidden="1" customHeight="1">
      <c r="A133" s="66" t="s">
        <v>636</v>
      </c>
      <c r="B133" s="66" t="s">
        <v>240</v>
      </c>
      <c r="C133" s="57" t="s">
        <v>130</v>
      </c>
      <c r="D133" s="57" t="s">
        <v>152</v>
      </c>
      <c r="E133" s="57" t="s">
        <v>146</v>
      </c>
      <c r="F133" s="55" t="s">
        <v>395</v>
      </c>
      <c r="G133" s="57"/>
      <c r="H133" s="57"/>
      <c r="I133" s="57"/>
      <c r="J133" s="57" t="s">
        <v>544</v>
      </c>
      <c r="K133" s="57" t="s">
        <v>544</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541</v>
      </c>
      <c r="X133" s="57" t="s">
        <v>544</v>
      </c>
      <c r="Y133" s="55" t="s">
        <v>541</v>
      </c>
    </row>
    <row r="134" spans="1:25" ht="17.25" hidden="1" customHeight="1">
      <c r="A134" s="66" t="s">
        <v>650</v>
      </c>
      <c r="B134" s="66" t="s">
        <v>254</v>
      </c>
      <c r="C134" s="57" t="s">
        <v>127</v>
      </c>
      <c r="D134" s="57" t="s">
        <v>152</v>
      </c>
      <c r="E134" s="57" t="s">
        <v>146</v>
      </c>
      <c r="F134" s="55" t="s">
        <v>395</v>
      </c>
      <c r="G134" s="57"/>
      <c r="H134" s="57"/>
      <c r="I134" s="57"/>
      <c r="J134" s="57" t="s">
        <v>544</v>
      </c>
      <c r="K134" s="57" t="s">
        <v>544</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541</v>
      </c>
      <c r="X134" s="57" t="s">
        <v>544</v>
      </c>
      <c r="Y134" s="55"/>
    </row>
    <row r="135" spans="1:25" ht="17.25" hidden="1" customHeight="1">
      <c r="A135" s="66" t="s">
        <v>630</v>
      </c>
      <c r="B135" s="66" t="s">
        <v>234</v>
      </c>
      <c r="C135" s="57" t="s">
        <v>126</v>
      </c>
      <c r="D135" s="57" t="s">
        <v>152</v>
      </c>
      <c r="E135" s="57" t="s">
        <v>146</v>
      </c>
      <c r="F135" s="55" t="s">
        <v>395</v>
      </c>
      <c r="G135" s="57" t="s">
        <v>541</v>
      </c>
      <c r="H135" s="57"/>
      <c r="I135" s="57" t="s">
        <v>541</v>
      </c>
      <c r="J135" s="57" t="s">
        <v>544</v>
      </c>
      <c r="K135" s="57" t="s">
        <v>544</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541</v>
      </c>
      <c r="X135" s="57" t="s">
        <v>544</v>
      </c>
      <c r="Y135" s="55"/>
    </row>
    <row r="136" spans="1:25" ht="17.25" hidden="1" customHeight="1">
      <c r="A136" s="66" t="s">
        <v>644</v>
      </c>
      <c r="B136" s="66" t="s">
        <v>248</v>
      </c>
      <c r="C136" s="57" t="s">
        <v>128</v>
      </c>
      <c r="D136" s="57" t="s">
        <v>152</v>
      </c>
      <c r="E136" s="57" t="s">
        <v>146</v>
      </c>
      <c r="F136" s="55" t="s">
        <v>395</v>
      </c>
      <c r="G136" s="57"/>
      <c r="H136" s="57" t="s">
        <v>541</v>
      </c>
      <c r="I136" s="57"/>
      <c r="J136" s="57" t="s">
        <v>544</v>
      </c>
      <c r="K136" s="57" t="s">
        <v>544</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541</v>
      </c>
      <c r="X136" s="57" t="s">
        <v>544</v>
      </c>
      <c r="Y136" s="55"/>
    </row>
    <row r="137" spans="1:25" ht="17.25" hidden="1" customHeight="1">
      <c r="A137" s="66" t="s">
        <v>645</v>
      </c>
      <c r="B137" s="66" t="s">
        <v>249</v>
      </c>
      <c r="C137" s="57" t="s">
        <v>126</v>
      </c>
      <c r="D137" s="57" t="s">
        <v>550</v>
      </c>
      <c r="E137" s="57" t="s">
        <v>146</v>
      </c>
      <c r="F137" s="55" t="s">
        <v>395</v>
      </c>
      <c r="G137" s="57" t="s">
        <v>541</v>
      </c>
      <c r="H137" s="57"/>
      <c r="I137" s="57"/>
      <c r="J137" s="57" t="s">
        <v>544</v>
      </c>
      <c r="K137" s="57" t="s">
        <v>544</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541</v>
      </c>
      <c r="X137" s="57" t="s">
        <v>544</v>
      </c>
      <c r="Y137" s="55" t="s">
        <v>541</v>
      </c>
    </row>
    <row r="138" spans="1:25" ht="17.25" hidden="1" customHeight="1">
      <c r="A138" s="66" t="s">
        <v>656</v>
      </c>
      <c r="B138" s="66" t="s">
        <v>260</v>
      </c>
      <c r="C138" s="57" t="s">
        <v>130</v>
      </c>
      <c r="D138" s="57" t="s">
        <v>152</v>
      </c>
      <c r="E138" s="57" t="s">
        <v>146</v>
      </c>
      <c r="F138" s="55" t="s">
        <v>395</v>
      </c>
      <c r="G138" s="57"/>
      <c r="H138" s="57"/>
      <c r="I138" s="57"/>
      <c r="J138" s="57" t="s">
        <v>544</v>
      </c>
      <c r="K138" s="57" t="s">
        <v>544</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541</v>
      </c>
      <c r="X138" s="57" t="s">
        <v>544</v>
      </c>
      <c r="Y138" s="55"/>
    </row>
    <row r="139" spans="1:25" ht="17.25" hidden="1" customHeight="1">
      <c r="A139" s="66" t="s">
        <v>652</v>
      </c>
      <c r="B139" s="66" t="s">
        <v>256</v>
      </c>
      <c r="C139" s="57" t="s">
        <v>130</v>
      </c>
      <c r="D139" s="57" t="s">
        <v>550</v>
      </c>
      <c r="E139" s="57" t="s">
        <v>146</v>
      </c>
      <c r="F139" s="55" t="s">
        <v>395</v>
      </c>
      <c r="G139" s="57" t="s">
        <v>541</v>
      </c>
      <c r="H139" s="57"/>
      <c r="I139" s="57"/>
      <c r="J139" s="57" t="s">
        <v>544</v>
      </c>
      <c r="K139" s="57" t="s">
        <v>544</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541</v>
      </c>
      <c r="X139" s="57" t="s">
        <v>544</v>
      </c>
      <c r="Y139" s="55"/>
    </row>
    <row r="140" spans="1:25" ht="17.25" hidden="1" customHeight="1">
      <c r="A140" s="66" t="s">
        <v>658</v>
      </c>
      <c r="B140" s="66" t="s">
        <v>262</v>
      </c>
      <c r="C140" s="57" t="s">
        <v>127</v>
      </c>
      <c r="D140" s="57" t="s">
        <v>550</v>
      </c>
      <c r="E140" s="57" t="s">
        <v>146</v>
      </c>
      <c r="F140" s="55" t="s">
        <v>395</v>
      </c>
      <c r="G140" s="57"/>
      <c r="H140" s="57"/>
      <c r="I140" s="57"/>
      <c r="J140" s="57" t="s">
        <v>544</v>
      </c>
      <c r="K140" s="57" t="s">
        <v>544</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541</v>
      </c>
      <c r="X140" s="57" t="s">
        <v>544</v>
      </c>
      <c r="Y140" s="55"/>
    </row>
    <row r="141" spans="1:25" ht="17.25" hidden="1" customHeight="1">
      <c r="A141" s="66" t="s">
        <v>655</v>
      </c>
      <c r="B141" s="66" t="s">
        <v>259</v>
      </c>
      <c r="C141" s="57" t="s">
        <v>130</v>
      </c>
      <c r="D141" s="57" t="s">
        <v>152</v>
      </c>
      <c r="E141" s="57" t="s">
        <v>146</v>
      </c>
      <c r="F141" s="55" t="s">
        <v>395</v>
      </c>
      <c r="G141" s="57"/>
      <c r="H141" s="57"/>
      <c r="I141" s="57"/>
      <c r="J141" s="57" t="s">
        <v>544</v>
      </c>
      <c r="K141" s="57" t="s">
        <v>544</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541</v>
      </c>
      <c r="X141" s="57" t="s">
        <v>544</v>
      </c>
      <c r="Y141" s="55"/>
    </row>
    <row r="142" spans="1:25" ht="17.25" hidden="1" customHeight="1">
      <c r="A142" s="66" t="s">
        <v>659</v>
      </c>
      <c r="B142" s="66" t="s">
        <v>151</v>
      </c>
      <c r="C142" s="57" t="s">
        <v>127</v>
      </c>
      <c r="D142" s="57" t="s">
        <v>550</v>
      </c>
      <c r="E142" s="57" t="s">
        <v>146</v>
      </c>
      <c r="F142" s="55" t="s">
        <v>395</v>
      </c>
      <c r="G142" s="57"/>
      <c r="H142" s="57"/>
      <c r="I142" s="57"/>
      <c r="J142" s="57" t="s">
        <v>544</v>
      </c>
      <c r="K142" s="57" t="s">
        <v>544</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541</v>
      </c>
      <c r="X142" s="57" t="s">
        <v>544</v>
      </c>
      <c r="Y142" s="55" t="s">
        <v>541</v>
      </c>
    </row>
    <row r="143" spans="1:25" ht="17.25" customHeight="1">
      <c r="A143" s="66" t="s">
        <v>660</v>
      </c>
      <c r="B143" s="66" t="s">
        <v>263</v>
      </c>
      <c r="C143" s="57" t="s">
        <v>127</v>
      </c>
      <c r="D143" s="57" t="s">
        <v>152</v>
      </c>
      <c r="E143" s="57" t="s">
        <v>146</v>
      </c>
      <c r="F143" s="55" t="s">
        <v>395</v>
      </c>
      <c r="G143" s="57"/>
      <c r="H143" s="57"/>
      <c r="I143" s="57"/>
      <c r="J143" s="57" t="s">
        <v>544</v>
      </c>
      <c r="K143" s="57" t="s">
        <v>544</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541</v>
      </c>
      <c r="X143" s="57" t="s">
        <v>544</v>
      </c>
      <c r="Y143" s="55"/>
    </row>
    <row r="144" spans="1:25" ht="17.25" hidden="1" customHeight="1">
      <c r="A144" s="66" t="s">
        <v>665</v>
      </c>
      <c r="B144" s="66" t="s">
        <v>153</v>
      </c>
      <c r="C144" s="57" t="s">
        <v>127</v>
      </c>
      <c r="D144" s="57" t="s">
        <v>152</v>
      </c>
      <c r="E144" s="57" t="s">
        <v>146</v>
      </c>
      <c r="F144" s="55" t="s">
        <v>395</v>
      </c>
      <c r="G144" s="57"/>
      <c r="H144" s="57"/>
      <c r="I144" s="57"/>
      <c r="J144" s="57" t="s">
        <v>544</v>
      </c>
      <c r="K144" s="57" t="s">
        <v>544</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541</v>
      </c>
      <c r="X144" s="57" t="s">
        <v>544</v>
      </c>
      <c r="Y144" s="55"/>
    </row>
    <row r="145" spans="1:25" ht="17.25" hidden="1" customHeight="1">
      <c r="A145" s="66" t="s">
        <v>678</v>
      </c>
      <c r="B145" s="66" t="s">
        <v>278</v>
      </c>
      <c r="C145" s="57" t="s">
        <v>126</v>
      </c>
      <c r="D145" s="57" t="s">
        <v>152</v>
      </c>
      <c r="E145" s="57" t="s">
        <v>146</v>
      </c>
      <c r="F145" s="55" t="s">
        <v>395</v>
      </c>
      <c r="G145" s="57"/>
      <c r="H145" s="57"/>
      <c r="I145" s="57"/>
      <c r="J145" s="57" t="s">
        <v>544</v>
      </c>
      <c r="K145" s="57" t="s">
        <v>544</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541</v>
      </c>
      <c r="X145" s="57" t="s">
        <v>544</v>
      </c>
      <c r="Y145" s="55"/>
    </row>
    <row r="146" spans="1:25" ht="17.25" hidden="1" customHeight="1">
      <c r="A146" s="66" t="s">
        <v>682</v>
      </c>
      <c r="B146" s="66" t="s">
        <v>157</v>
      </c>
      <c r="C146" s="57" t="s">
        <v>126</v>
      </c>
      <c r="D146" s="57" t="s">
        <v>152</v>
      </c>
      <c r="E146" s="57" t="s">
        <v>146</v>
      </c>
      <c r="F146" s="55" t="s">
        <v>395</v>
      </c>
      <c r="G146" s="57"/>
      <c r="H146" s="57"/>
      <c r="I146" s="57"/>
      <c r="J146" s="57" t="s">
        <v>544</v>
      </c>
      <c r="K146" s="57" t="s">
        <v>544</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541</v>
      </c>
      <c r="X146" s="57" t="s">
        <v>544</v>
      </c>
      <c r="Y146" s="55"/>
    </row>
    <row r="147" spans="1:25" ht="17.25" hidden="1" customHeight="1">
      <c r="A147" s="66" t="s">
        <v>688</v>
      </c>
      <c r="B147" s="66" t="s">
        <v>286</v>
      </c>
      <c r="C147" s="57" t="s">
        <v>127</v>
      </c>
      <c r="D147" s="57" t="s">
        <v>152</v>
      </c>
      <c r="E147" s="57" t="s">
        <v>146</v>
      </c>
      <c r="F147" s="55" t="s">
        <v>395</v>
      </c>
      <c r="G147" s="57"/>
      <c r="H147" s="57"/>
      <c r="I147" s="57" t="s">
        <v>541</v>
      </c>
      <c r="J147" s="57" t="s">
        <v>544</v>
      </c>
      <c r="K147" s="57" t="s">
        <v>544</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541</v>
      </c>
      <c r="X147" s="57" t="s">
        <v>544</v>
      </c>
      <c r="Y147" s="55"/>
    </row>
    <row r="148" spans="1:25" ht="17.25" hidden="1" customHeight="1">
      <c r="A148" s="66" t="s">
        <v>693</v>
      </c>
      <c r="B148" s="66" t="s">
        <v>291</v>
      </c>
      <c r="C148" s="57" t="s">
        <v>130</v>
      </c>
      <c r="D148" s="57" t="s">
        <v>550</v>
      </c>
      <c r="E148" s="57" t="s">
        <v>146</v>
      </c>
      <c r="F148" s="55" t="s">
        <v>395</v>
      </c>
      <c r="G148" s="57"/>
      <c r="H148" s="57"/>
      <c r="I148" s="57"/>
      <c r="J148" s="57" t="s">
        <v>544</v>
      </c>
      <c r="K148" s="57" t="s">
        <v>544</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541</v>
      </c>
      <c r="X148" s="57" t="s">
        <v>544</v>
      </c>
      <c r="Y148" s="55"/>
    </row>
    <row r="149" spans="1:25" ht="17.25" hidden="1" customHeight="1">
      <c r="A149" s="66" t="s">
        <v>633</v>
      </c>
      <c r="B149" s="66" t="s">
        <v>237</v>
      </c>
      <c r="C149" s="57" t="s">
        <v>126</v>
      </c>
      <c r="D149" s="57" t="s">
        <v>152</v>
      </c>
      <c r="E149" s="57" t="s">
        <v>146</v>
      </c>
      <c r="F149" s="55" t="s">
        <v>394</v>
      </c>
      <c r="G149" s="57" t="s">
        <v>541</v>
      </c>
      <c r="H149" s="57"/>
      <c r="I149" s="57"/>
      <c r="J149" s="57" t="s">
        <v>544</v>
      </c>
      <c r="K149" s="57" t="s">
        <v>544</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541</v>
      </c>
      <c r="X149" s="57" t="s">
        <v>544</v>
      </c>
      <c r="Y149" s="55" t="s">
        <v>541</v>
      </c>
    </row>
    <row r="150" spans="1:25" hidden="1">
      <c r="Y150" s="55" t="s">
        <v>541</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dimension ref="A1:N92"/>
  <sheetViews>
    <sheetView workbookViewId="0">
      <selection activeCell="I1" sqref="I1"/>
    </sheetView>
  </sheetViews>
  <sheetFormatPr defaultColWidth="11" defaultRowHeight="15.5"/>
  <cols>
    <col min="5" max="5" width="16.33203125" bestFit="1" customWidth="1"/>
  </cols>
  <sheetData>
    <row r="1" spans="1:14">
      <c r="A1" t="s">
        <v>122</v>
      </c>
      <c r="B1" t="s">
        <v>825</v>
      </c>
      <c r="C1" t="s">
        <v>358</v>
      </c>
      <c r="D1" t="s">
        <v>826</v>
      </c>
      <c r="E1" t="s">
        <v>827</v>
      </c>
      <c r="F1" t="s">
        <v>828</v>
      </c>
      <c r="G1" t="s">
        <v>829</v>
      </c>
      <c r="H1" t="s">
        <v>830</v>
      </c>
      <c r="I1" t="s">
        <v>831</v>
      </c>
      <c r="J1" t="s">
        <v>832</v>
      </c>
      <c r="K1" t="s">
        <v>833</v>
      </c>
      <c r="L1" t="s">
        <v>834</v>
      </c>
      <c r="M1" t="s">
        <v>835</v>
      </c>
      <c r="N1" t="s">
        <v>836</v>
      </c>
    </row>
    <row r="2" spans="1:14">
      <c r="A2" t="s">
        <v>837</v>
      </c>
      <c r="B2" t="s">
        <v>572</v>
      </c>
      <c r="C2" t="s">
        <v>180</v>
      </c>
      <c r="D2" t="s">
        <v>98</v>
      </c>
      <c r="E2" t="s">
        <v>838</v>
      </c>
      <c r="F2" t="s">
        <v>839</v>
      </c>
      <c r="H2" s="106">
        <v>44333</v>
      </c>
    </row>
    <row r="3" spans="1:14">
      <c r="B3" t="s">
        <v>572</v>
      </c>
      <c r="C3" t="s">
        <v>180</v>
      </c>
      <c r="D3" t="s">
        <v>100</v>
      </c>
      <c r="E3" t="s">
        <v>838</v>
      </c>
      <c r="F3" t="s">
        <v>840</v>
      </c>
    </row>
    <row r="4" spans="1:14">
      <c r="B4" t="s">
        <v>612</v>
      </c>
      <c r="C4" t="s">
        <v>217</v>
      </c>
      <c r="D4" t="s">
        <v>98</v>
      </c>
      <c r="E4" t="s">
        <v>841</v>
      </c>
      <c r="F4" t="s">
        <v>842</v>
      </c>
      <c r="G4" s="106">
        <v>44223</v>
      </c>
      <c r="H4" s="106">
        <v>44315</v>
      </c>
    </row>
    <row r="5" spans="1:14">
      <c r="B5" t="s">
        <v>612</v>
      </c>
      <c r="C5" t="s">
        <v>217</v>
      </c>
      <c r="D5" t="s">
        <v>100</v>
      </c>
      <c r="E5" t="s">
        <v>838</v>
      </c>
      <c r="F5" t="s">
        <v>843</v>
      </c>
    </row>
    <row r="6" spans="1:14">
      <c r="B6" t="s">
        <v>623</v>
      </c>
      <c r="C6" t="s">
        <v>227</v>
      </c>
      <c r="D6" t="s">
        <v>98</v>
      </c>
      <c r="E6" t="s">
        <v>838</v>
      </c>
      <c r="F6" t="s">
        <v>844</v>
      </c>
      <c r="H6" s="106">
        <v>44362</v>
      </c>
    </row>
    <row r="7" spans="1:14">
      <c r="B7" t="s">
        <v>643</v>
      </c>
      <c r="C7" t="s">
        <v>247</v>
      </c>
      <c r="D7" t="s">
        <v>98</v>
      </c>
      <c r="E7" t="s">
        <v>838</v>
      </c>
      <c r="F7" t="s">
        <v>845</v>
      </c>
      <c r="H7" s="106">
        <v>44369</v>
      </c>
    </row>
    <row r="8" spans="1:14">
      <c r="B8" t="s">
        <v>657</v>
      </c>
      <c r="C8" t="s">
        <v>261</v>
      </c>
      <c r="D8" t="s">
        <v>98</v>
      </c>
      <c r="E8" t="s">
        <v>406</v>
      </c>
      <c r="F8" t="s">
        <v>842</v>
      </c>
      <c r="G8" s="106">
        <v>44223</v>
      </c>
      <c r="H8" s="106">
        <v>44266</v>
      </c>
      <c r="I8" t="s">
        <v>846</v>
      </c>
      <c r="L8" t="s">
        <v>846</v>
      </c>
    </row>
    <row r="9" spans="1:14">
      <c r="B9" t="s">
        <v>657</v>
      </c>
      <c r="C9" t="s">
        <v>261</v>
      </c>
      <c r="D9" t="s">
        <v>100</v>
      </c>
      <c r="E9" t="s">
        <v>406</v>
      </c>
      <c r="F9" t="s">
        <v>847</v>
      </c>
    </row>
    <row r="10" spans="1:14">
      <c r="B10" t="s">
        <v>654</v>
      </c>
      <c r="C10" t="s">
        <v>654</v>
      </c>
      <c r="D10" t="s">
        <v>98</v>
      </c>
      <c r="E10" t="s">
        <v>848</v>
      </c>
      <c r="F10" t="s">
        <v>849</v>
      </c>
      <c r="G10" s="106">
        <v>44284</v>
      </c>
    </row>
    <row r="11" spans="1:14">
      <c r="B11" t="s">
        <v>662</v>
      </c>
      <c r="C11" t="s">
        <v>265</v>
      </c>
      <c r="D11" t="s">
        <v>100</v>
      </c>
      <c r="E11" t="s">
        <v>838</v>
      </c>
      <c r="F11" t="s">
        <v>850</v>
      </c>
      <c r="I11" t="s">
        <v>846</v>
      </c>
      <c r="L11" t="s">
        <v>846</v>
      </c>
    </row>
    <row r="12" spans="1:14">
      <c r="B12" t="s">
        <v>685</v>
      </c>
      <c r="C12" t="s">
        <v>283</v>
      </c>
      <c r="D12" t="s">
        <v>100</v>
      </c>
      <c r="E12" t="s">
        <v>838</v>
      </c>
      <c r="I12" t="s">
        <v>846</v>
      </c>
      <c r="L12" t="s">
        <v>846</v>
      </c>
    </row>
    <row r="13" spans="1:14">
      <c r="B13" t="s">
        <v>690</v>
      </c>
      <c r="C13" t="s">
        <v>288</v>
      </c>
      <c r="D13" t="s">
        <v>100</v>
      </c>
      <c r="E13" t="s">
        <v>838</v>
      </c>
      <c r="I13" t="s">
        <v>846</v>
      </c>
      <c r="L13" t="s">
        <v>846</v>
      </c>
    </row>
    <row r="14" spans="1:14">
      <c r="B14" t="s">
        <v>695</v>
      </c>
      <c r="C14" t="s">
        <v>293</v>
      </c>
      <c r="D14" t="s">
        <v>100</v>
      </c>
      <c r="E14" t="s">
        <v>838</v>
      </c>
      <c r="I14" t="s">
        <v>846</v>
      </c>
      <c r="L14" t="s">
        <v>846</v>
      </c>
    </row>
    <row r="16" spans="1:14">
      <c r="A16" t="s">
        <v>851</v>
      </c>
      <c r="B16" t="s">
        <v>554</v>
      </c>
      <c r="C16" t="s">
        <v>166</v>
      </c>
      <c r="D16" t="s">
        <v>98</v>
      </c>
      <c r="E16" t="s">
        <v>838</v>
      </c>
      <c r="F16" t="s">
        <v>852</v>
      </c>
      <c r="H16" s="106">
        <v>44348</v>
      </c>
    </row>
    <row r="17" spans="1:14">
      <c r="B17" t="s">
        <v>602</v>
      </c>
      <c r="C17" t="s">
        <v>207</v>
      </c>
      <c r="D17" t="s">
        <v>98</v>
      </c>
      <c r="E17" t="s">
        <v>853</v>
      </c>
      <c r="F17" t="s">
        <v>854</v>
      </c>
      <c r="G17" s="106">
        <v>44301</v>
      </c>
      <c r="H17" s="106">
        <v>44343</v>
      </c>
    </row>
    <row r="18" spans="1:14">
      <c r="B18" t="s">
        <v>621</v>
      </c>
      <c r="C18" t="s">
        <v>225</v>
      </c>
      <c r="D18" t="s">
        <v>98</v>
      </c>
      <c r="E18" t="s">
        <v>838</v>
      </c>
      <c r="F18" t="s">
        <v>855</v>
      </c>
      <c r="I18" t="s">
        <v>846</v>
      </c>
      <c r="L18" t="s">
        <v>846</v>
      </c>
    </row>
    <row r="19" spans="1:14">
      <c r="B19" t="s">
        <v>622</v>
      </c>
      <c r="C19" t="s">
        <v>722</v>
      </c>
      <c r="D19" t="s">
        <v>98</v>
      </c>
      <c r="E19" t="s">
        <v>853</v>
      </c>
      <c r="F19" t="s">
        <v>856</v>
      </c>
      <c r="G19" s="106">
        <v>44300</v>
      </c>
      <c r="H19" s="106">
        <v>44342</v>
      </c>
    </row>
    <row r="20" spans="1:14">
      <c r="B20" t="s">
        <v>638</v>
      </c>
      <c r="C20" t="s">
        <v>242</v>
      </c>
      <c r="D20" t="s">
        <v>98</v>
      </c>
      <c r="E20" t="s">
        <v>841</v>
      </c>
      <c r="F20" t="s">
        <v>857</v>
      </c>
      <c r="G20" s="106">
        <v>44223</v>
      </c>
      <c r="H20" s="106">
        <v>44315</v>
      </c>
    </row>
    <row r="21" spans="1:14" ht="15" customHeight="1">
      <c r="B21" t="s">
        <v>639</v>
      </c>
      <c r="C21" t="s">
        <v>243</v>
      </c>
      <c r="D21" t="s">
        <v>98</v>
      </c>
      <c r="E21" t="s">
        <v>406</v>
      </c>
      <c r="F21" t="s">
        <v>858</v>
      </c>
      <c r="G21" s="106">
        <v>44167</v>
      </c>
      <c r="H21" s="106">
        <v>44238</v>
      </c>
      <c r="M21" t="s">
        <v>846</v>
      </c>
      <c r="N21" t="s">
        <v>859</v>
      </c>
    </row>
    <row r="22" spans="1:14">
      <c r="B22" t="s">
        <v>639</v>
      </c>
      <c r="C22" t="s">
        <v>243</v>
      </c>
      <c r="D22" t="s">
        <v>100</v>
      </c>
      <c r="E22" t="s">
        <v>838</v>
      </c>
      <c r="F22" t="s">
        <v>860</v>
      </c>
    </row>
    <row r="23" spans="1:14">
      <c r="B23" t="s">
        <v>640</v>
      </c>
      <c r="C23" t="s">
        <v>244</v>
      </c>
      <c r="D23" t="s">
        <v>98</v>
      </c>
      <c r="E23" t="s">
        <v>853</v>
      </c>
      <c r="F23" t="s">
        <v>861</v>
      </c>
      <c r="G23" s="106">
        <v>44293</v>
      </c>
      <c r="H23" s="106">
        <v>44376</v>
      </c>
    </row>
    <row r="24" spans="1:14">
      <c r="B24" t="s">
        <v>680</v>
      </c>
      <c r="C24" t="s">
        <v>280</v>
      </c>
      <c r="D24" t="s">
        <v>98</v>
      </c>
      <c r="E24" t="s">
        <v>406</v>
      </c>
      <c r="F24" t="s">
        <v>862</v>
      </c>
      <c r="G24" s="106">
        <v>44167</v>
      </c>
      <c r="H24" s="106">
        <v>44238</v>
      </c>
    </row>
    <row r="25" spans="1:14">
      <c r="B25" t="s">
        <v>680</v>
      </c>
      <c r="C25" t="s">
        <v>280</v>
      </c>
      <c r="D25" t="s">
        <v>100</v>
      </c>
      <c r="E25" t="s">
        <v>838</v>
      </c>
      <c r="F25" t="s">
        <v>863</v>
      </c>
    </row>
    <row r="26" spans="1:14">
      <c r="B26" t="s">
        <v>689</v>
      </c>
      <c r="C26" t="s">
        <v>287</v>
      </c>
      <c r="D26" t="s">
        <v>98</v>
      </c>
      <c r="E26" t="s">
        <v>864</v>
      </c>
      <c r="F26" t="s">
        <v>856</v>
      </c>
    </row>
    <row r="27" spans="1:14">
      <c r="B27" t="s">
        <v>692</v>
      </c>
      <c r="C27" t="s">
        <v>290</v>
      </c>
      <c r="D27" t="s">
        <v>98</v>
      </c>
      <c r="E27" t="s">
        <v>848</v>
      </c>
      <c r="F27" t="s">
        <v>865</v>
      </c>
      <c r="G27" s="106">
        <v>44257</v>
      </c>
      <c r="H27" s="106">
        <v>44294</v>
      </c>
    </row>
    <row r="29" spans="1:14">
      <c r="A29" t="s">
        <v>866</v>
      </c>
      <c r="B29" t="s">
        <v>580</v>
      </c>
      <c r="C29" t="s">
        <v>187</v>
      </c>
      <c r="D29" t="s">
        <v>98</v>
      </c>
      <c r="E29" t="s">
        <v>838</v>
      </c>
      <c r="F29" t="s">
        <v>856</v>
      </c>
      <c r="H29" s="106">
        <v>44350</v>
      </c>
    </row>
    <row r="30" spans="1:14">
      <c r="B30" t="s">
        <v>597</v>
      </c>
      <c r="C30" t="s">
        <v>202</v>
      </c>
      <c r="D30" t="s">
        <v>98</v>
      </c>
      <c r="E30" t="s">
        <v>406</v>
      </c>
      <c r="F30" t="s">
        <v>867</v>
      </c>
      <c r="H30" s="106">
        <v>44302</v>
      </c>
      <c r="I30" t="s">
        <v>846</v>
      </c>
      <c r="L30" t="s">
        <v>846</v>
      </c>
    </row>
    <row r="31" spans="1:14">
      <c r="B31" t="s">
        <v>598</v>
      </c>
      <c r="C31" t="s">
        <v>203</v>
      </c>
      <c r="D31" t="s">
        <v>98</v>
      </c>
      <c r="E31" t="s">
        <v>406</v>
      </c>
      <c r="F31" t="s">
        <v>868</v>
      </c>
      <c r="G31" s="106">
        <v>44223</v>
      </c>
      <c r="H31" s="106">
        <v>44281</v>
      </c>
    </row>
    <row r="32" spans="1:14">
      <c r="B32" t="s">
        <v>618</v>
      </c>
      <c r="C32" t="s">
        <v>222</v>
      </c>
      <c r="D32" t="s">
        <v>98</v>
      </c>
      <c r="E32" t="s">
        <v>838</v>
      </c>
      <c r="F32" t="s">
        <v>869</v>
      </c>
      <c r="H32" s="106">
        <v>44357</v>
      </c>
    </row>
    <row r="33" spans="1:12">
      <c r="B33" t="s">
        <v>625</v>
      </c>
      <c r="C33" t="s">
        <v>723</v>
      </c>
      <c r="D33" t="s">
        <v>98</v>
      </c>
      <c r="E33" t="s">
        <v>848</v>
      </c>
      <c r="F33" t="s">
        <v>870</v>
      </c>
      <c r="G33" s="106">
        <v>44286</v>
      </c>
      <c r="H33" s="106">
        <v>44308</v>
      </c>
    </row>
    <row r="34" spans="1:12">
      <c r="B34" t="s">
        <v>628</v>
      </c>
      <c r="C34" t="s">
        <v>232</v>
      </c>
      <c r="D34" t="s">
        <v>98</v>
      </c>
      <c r="E34" t="s">
        <v>838</v>
      </c>
      <c r="F34" t="s">
        <v>871</v>
      </c>
      <c r="H34" s="106">
        <v>44336</v>
      </c>
      <c r="I34" t="s">
        <v>846</v>
      </c>
    </row>
    <row r="35" spans="1:12">
      <c r="B35" t="s">
        <v>629</v>
      </c>
      <c r="C35" t="s">
        <v>233</v>
      </c>
      <c r="D35" t="s">
        <v>98</v>
      </c>
      <c r="E35" t="s">
        <v>838</v>
      </c>
      <c r="F35" t="s">
        <v>872</v>
      </c>
      <c r="H35" s="106">
        <v>44336</v>
      </c>
      <c r="I35" t="s">
        <v>846</v>
      </c>
    </row>
    <row r="36" spans="1:12">
      <c r="B36" t="s">
        <v>635</v>
      </c>
      <c r="C36" t="s">
        <v>239</v>
      </c>
      <c r="D36" t="s">
        <v>98</v>
      </c>
      <c r="E36" t="s">
        <v>838</v>
      </c>
      <c r="F36" t="s">
        <v>873</v>
      </c>
      <c r="H36" s="106">
        <v>44362</v>
      </c>
    </row>
    <row r="37" spans="1:12">
      <c r="B37" t="s">
        <v>642</v>
      </c>
      <c r="C37" t="s">
        <v>246</v>
      </c>
      <c r="D37" t="s">
        <v>98</v>
      </c>
      <c r="E37" t="s">
        <v>848</v>
      </c>
      <c r="F37" t="s">
        <v>874</v>
      </c>
      <c r="G37" s="106">
        <v>44286</v>
      </c>
      <c r="H37" s="106">
        <v>44335</v>
      </c>
      <c r="I37" t="s">
        <v>846</v>
      </c>
    </row>
    <row r="38" spans="1:12">
      <c r="B38" t="s">
        <v>661</v>
      </c>
      <c r="C38" t="s">
        <v>264</v>
      </c>
      <c r="D38" t="s">
        <v>98</v>
      </c>
      <c r="E38" t="s">
        <v>406</v>
      </c>
      <c r="F38" t="s">
        <v>875</v>
      </c>
      <c r="G38" s="106">
        <v>44258</v>
      </c>
      <c r="H38" s="106">
        <v>44302</v>
      </c>
    </row>
    <row r="39" spans="1:12">
      <c r="B39" t="s">
        <v>666</v>
      </c>
      <c r="C39" t="s">
        <v>268</v>
      </c>
      <c r="D39" t="s">
        <v>98</v>
      </c>
      <c r="E39" t="s">
        <v>838</v>
      </c>
      <c r="F39" t="s">
        <v>876</v>
      </c>
      <c r="H39" s="106">
        <v>44330</v>
      </c>
    </row>
    <row r="40" spans="1:12">
      <c r="B40" t="s">
        <v>670</v>
      </c>
      <c r="C40" t="s">
        <v>272</v>
      </c>
      <c r="D40" t="s">
        <v>98</v>
      </c>
      <c r="E40" t="s">
        <v>838</v>
      </c>
    </row>
    <row r="41" spans="1:12">
      <c r="B41" t="s">
        <v>671</v>
      </c>
      <c r="C41" t="s">
        <v>273</v>
      </c>
      <c r="D41" t="s">
        <v>98</v>
      </c>
      <c r="E41" t="s">
        <v>838</v>
      </c>
      <c r="F41" t="s">
        <v>877</v>
      </c>
      <c r="H41" s="106">
        <v>44372</v>
      </c>
      <c r="I41" t="s">
        <v>846</v>
      </c>
    </row>
    <row r="42" spans="1:12">
      <c r="B42" t="s">
        <v>699</v>
      </c>
      <c r="C42" t="s">
        <v>297</v>
      </c>
      <c r="D42" t="s">
        <v>98</v>
      </c>
      <c r="E42" t="s">
        <v>838</v>
      </c>
      <c r="F42" t="s">
        <v>878</v>
      </c>
      <c r="H42" s="106">
        <v>44343</v>
      </c>
    </row>
    <row r="43" spans="1:12">
      <c r="B43" t="s">
        <v>700</v>
      </c>
      <c r="C43" t="s">
        <v>298</v>
      </c>
      <c r="D43" t="s">
        <v>98</v>
      </c>
      <c r="E43" t="s">
        <v>838</v>
      </c>
      <c r="F43" t="s">
        <v>876</v>
      </c>
      <c r="H43" s="106">
        <v>44336</v>
      </c>
      <c r="I43" t="s">
        <v>846</v>
      </c>
    </row>
    <row r="45" spans="1:12">
      <c r="A45" t="s">
        <v>879</v>
      </c>
      <c r="B45" t="s">
        <v>564</v>
      </c>
      <c r="C45" t="s">
        <v>715</v>
      </c>
      <c r="D45" t="s">
        <v>98</v>
      </c>
      <c r="E45" t="s">
        <v>838</v>
      </c>
    </row>
    <row r="46" spans="1:12">
      <c r="B46" t="s">
        <v>592</v>
      </c>
      <c r="C46" t="s">
        <v>197</v>
      </c>
      <c r="D46" t="s">
        <v>98</v>
      </c>
      <c r="E46" t="s">
        <v>406</v>
      </c>
      <c r="F46" t="s">
        <v>880</v>
      </c>
      <c r="G46" s="106">
        <v>44258</v>
      </c>
      <c r="H46" s="106">
        <v>44287</v>
      </c>
    </row>
    <row r="47" spans="1:12">
      <c r="B47" t="s">
        <v>594</v>
      </c>
      <c r="C47" t="s">
        <v>199</v>
      </c>
      <c r="D47" t="s">
        <v>98</v>
      </c>
      <c r="E47" t="s">
        <v>406</v>
      </c>
      <c r="F47" t="s">
        <v>881</v>
      </c>
      <c r="G47" s="106">
        <v>44258</v>
      </c>
      <c r="H47" s="106">
        <v>44302</v>
      </c>
      <c r="I47" t="s">
        <v>846</v>
      </c>
      <c r="L47" t="s">
        <v>846</v>
      </c>
    </row>
    <row r="48" spans="1:12">
      <c r="B48" t="s">
        <v>608</v>
      </c>
      <c r="C48" t="s">
        <v>213</v>
      </c>
      <c r="D48" t="s">
        <v>98</v>
      </c>
      <c r="E48" t="s">
        <v>838</v>
      </c>
      <c r="F48" t="s">
        <v>867</v>
      </c>
      <c r="H48" s="106">
        <v>44371</v>
      </c>
    </row>
    <row r="49" spans="1:12">
      <c r="B49" t="s">
        <v>610</v>
      </c>
      <c r="C49" t="s">
        <v>215</v>
      </c>
      <c r="D49" t="s">
        <v>98</v>
      </c>
      <c r="E49" t="s">
        <v>406</v>
      </c>
      <c r="F49" t="s">
        <v>856</v>
      </c>
      <c r="G49" s="106">
        <v>44258</v>
      </c>
      <c r="H49" s="106">
        <v>44302</v>
      </c>
    </row>
    <row r="50" spans="1:12">
      <c r="B50" t="s">
        <v>653</v>
      </c>
      <c r="C50" t="s">
        <v>257</v>
      </c>
      <c r="D50" t="s">
        <v>98</v>
      </c>
      <c r="E50" t="s">
        <v>838</v>
      </c>
    </row>
    <row r="52" spans="1:12">
      <c r="A52" t="s">
        <v>131</v>
      </c>
      <c r="B52" t="s">
        <v>616</v>
      </c>
      <c r="C52" t="s">
        <v>220</v>
      </c>
      <c r="D52" t="s">
        <v>98</v>
      </c>
      <c r="E52" t="s">
        <v>838</v>
      </c>
      <c r="F52" t="s">
        <v>880</v>
      </c>
      <c r="H52" s="106">
        <v>44343</v>
      </c>
    </row>
    <row r="53" spans="1:12">
      <c r="B53" t="s">
        <v>624</v>
      </c>
      <c r="C53" t="s">
        <v>228</v>
      </c>
      <c r="D53" t="s">
        <v>98</v>
      </c>
      <c r="E53" t="s">
        <v>406</v>
      </c>
      <c r="F53" t="s">
        <v>882</v>
      </c>
      <c r="G53" s="106">
        <v>44215</v>
      </c>
      <c r="H53" s="106">
        <v>44217</v>
      </c>
      <c r="J53" t="s">
        <v>883</v>
      </c>
    </row>
    <row r="54" spans="1:12">
      <c r="B54" t="s">
        <v>677</v>
      </c>
      <c r="C54" t="s">
        <v>277</v>
      </c>
      <c r="D54" t="s">
        <v>98</v>
      </c>
      <c r="E54" t="s">
        <v>838</v>
      </c>
    </row>
    <row r="55" spans="1:12">
      <c r="B55" t="s">
        <v>687</v>
      </c>
      <c r="C55" t="s">
        <v>285</v>
      </c>
      <c r="D55" t="s">
        <v>98</v>
      </c>
      <c r="E55" t="s">
        <v>406</v>
      </c>
      <c r="F55" t="s">
        <v>884</v>
      </c>
      <c r="G55" s="106">
        <v>44223</v>
      </c>
      <c r="H55" s="106">
        <v>44281</v>
      </c>
      <c r="L55" t="s">
        <v>846</v>
      </c>
    </row>
    <row r="56" spans="1:12">
      <c r="B56" t="s">
        <v>676</v>
      </c>
      <c r="C56" t="s">
        <v>885</v>
      </c>
      <c r="D56" t="s">
        <v>98</v>
      </c>
      <c r="E56" t="s">
        <v>838</v>
      </c>
      <c r="F56" t="s">
        <v>886</v>
      </c>
      <c r="H56" s="106">
        <v>44336</v>
      </c>
      <c r="I56" t="s">
        <v>846</v>
      </c>
      <c r="L56" t="s">
        <v>846</v>
      </c>
    </row>
    <row r="57" spans="1:12">
      <c r="B57" t="s">
        <v>698</v>
      </c>
      <c r="C57" t="s">
        <v>296</v>
      </c>
      <c r="D57" t="s">
        <v>98</v>
      </c>
      <c r="E57" t="s">
        <v>838</v>
      </c>
      <c r="F57" t="s">
        <v>887</v>
      </c>
      <c r="H57" s="106">
        <v>44308</v>
      </c>
    </row>
    <row r="59" spans="1:12">
      <c r="A59" t="s">
        <v>888</v>
      </c>
      <c r="B59" t="s">
        <v>540</v>
      </c>
      <c r="C59" t="s">
        <v>160</v>
      </c>
      <c r="D59" t="s">
        <v>98</v>
      </c>
      <c r="E59" t="s">
        <v>406</v>
      </c>
      <c r="F59" t="s">
        <v>889</v>
      </c>
      <c r="G59" s="106">
        <v>44223</v>
      </c>
      <c r="H59" s="106">
        <v>44273</v>
      </c>
      <c r="J59" t="s">
        <v>890</v>
      </c>
    </row>
    <row r="60" spans="1:12">
      <c r="B60" t="s">
        <v>540</v>
      </c>
      <c r="C60" t="s">
        <v>160</v>
      </c>
      <c r="D60" t="s">
        <v>100</v>
      </c>
      <c r="E60" t="s">
        <v>838</v>
      </c>
      <c r="F60" t="s">
        <v>881</v>
      </c>
    </row>
    <row r="61" spans="1:12">
      <c r="B61" t="s">
        <v>557</v>
      </c>
      <c r="C61" t="s">
        <v>167</v>
      </c>
      <c r="D61" t="s">
        <v>98</v>
      </c>
      <c r="E61" t="s">
        <v>406</v>
      </c>
      <c r="F61" t="s">
        <v>842</v>
      </c>
      <c r="G61" s="106">
        <v>44223</v>
      </c>
      <c r="H61" s="106">
        <v>44273</v>
      </c>
    </row>
    <row r="62" spans="1:12">
      <c r="B62" t="s">
        <v>557</v>
      </c>
      <c r="C62" t="s">
        <v>167</v>
      </c>
      <c r="D62" t="s">
        <v>100</v>
      </c>
      <c r="E62" t="s">
        <v>838</v>
      </c>
      <c r="F62" t="s">
        <v>891</v>
      </c>
    </row>
    <row r="63" spans="1:12">
      <c r="B63" t="s">
        <v>563</v>
      </c>
      <c r="C63" t="s">
        <v>171</v>
      </c>
      <c r="D63" t="s">
        <v>100</v>
      </c>
      <c r="E63" t="s">
        <v>838</v>
      </c>
      <c r="F63" t="s">
        <v>844</v>
      </c>
    </row>
    <row r="64" spans="1:12">
      <c r="B64" t="s">
        <v>611</v>
      </c>
      <c r="C64" t="s">
        <v>216</v>
      </c>
      <c r="D64" t="s">
        <v>100</v>
      </c>
      <c r="E64" t="s">
        <v>838</v>
      </c>
      <c r="F64" t="s">
        <v>892</v>
      </c>
    </row>
    <row r="65" spans="1:12">
      <c r="B65" t="s">
        <v>631</v>
      </c>
      <c r="C65" t="s">
        <v>235</v>
      </c>
      <c r="D65" t="s">
        <v>100</v>
      </c>
      <c r="E65" t="s">
        <v>838</v>
      </c>
      <c r="F65" t="s">
        <v>844</v>
      </c>
      <c r="I65" t="s">
        <v>846</v>
      </c>
      <c r="L65" t="s">
        <v>846</v>
      </c>
    </row>
    <row r="66" spans="1:12">
      <c r="B66" t="s">
        <v>646</v>
      </c>
      <c r="C66" t="s">
        <v>250</v>
      </c>
      <c r="D66" t="s">
        <v>98</v>
      </c>
      <c r="E66" t="s">
        <v>406</v>
      </c>
      <c r="F66" t="s">
        <v>893</v>
      </c>
      <c r="G66" s="106">
        <v>44223</v>
      </c>
      <c r="H66" s="106">
        <v>44273</v>
      </c>
    </row>
    <row r="67" spans="1:12">
      <c r="B67" t="s">
        <v>646</v>
      </c>
      <c r="C67" t="s">
        <v>250</v>
      </c>
      <c r="D67" t="s">
        <v>100</v>
      </c>
      <c r="E67" t="s">
        <v>838</v>
      </c>
      <c r="F67" t="s">
        <v>894</v>
      </c>
    </row>
    <row r="68" spans="1:12">
      <c r="B68" t="s">
        <v>651</v>
      </c>
      <c r="C68" t="s">
        <v>255</v>
      </c>
      <c r="D68" t="s">
        <v>98</v>
      </c>
      <c r="E68" t="s">
        <v>848</v>
      </c>
      <c r="F68" t="s">
        <v>895</v>
      </c>
      <c r="G68" s="106">
        <v>44258</v>
      </c>
    </row>
    <row r="69" spans="1:12">
      <c r="B69" t="s">
        <v>651</v>
      </c>
      <c r="C69" t="s">
        <v>255</v>
      </c>
      <c r="D69" t="s">
        <v>100</v>
      </c>
      <c r="E69" t="s">
        <v>838</v>
      </c>
      <c r="F69" t="s">
        <v>896</v>
      </c>
    </row>
    <row r="70" spans="1:12">
      <c r="B70" t="s">
        <v>672</v>
      </c>
      <c r="C70" t="s">
        <v>274</v>
      </c>
      <c r="D70" t="s">
        <v>100</v>
      </c>
      <c r="E70" t="s">
        <v>838</v>
      </c>
      <c r="F70" t="s">
        <v>897</v>
      </c>
    </row>
    <row r="71" spans="1:12">
      <c r="B71" t="s">
        <v>672</v>
      </c>
      <c r="C71" t="s">
        <v>274</v>
      </c>
      <c r="D71" t="s">
        <v>98</v>
      </c>
      <c r="E71" t="s">
        <v>848</v>
      </c>
      <c r="F71" t="s">
        <v>898</v>
      </c>
      <c r="G71" s="106">
        <v>44258</v>
      </c>
      <c r="H71" s="106">
        <v>44316</v>
      </c>
    </row>
    <row r="73" spans="1:12">
      <c r="A73" t="s">
        <v>899</v>
      </c>
      <c r="B73" t="s">
        <v>547</v>
      </c>
      <c r="C73" t="s">
        <v>162</v>
      </c>
      <c r="D73" t="s">
        <v>98</v>
      </c>
      <c r="E73" t="s">
        <v>838</v>
      </c>
      <c r="F73" t="s">
        <v>880</v>
      </c>
      <c r="H73" s="106">
        <v>44383</v>
      </c>
    </row>
    <row r="74" spans="1:12">
      <c r="B74" t="s">
        <v>561</v>
      </c>
      <c r="C74" t="s">
        <v>170</v>
      </c>
      <c r="D74" t="s">
        <v>98</v>
      </c>
      <c r="E74" t="s">
        <v>838</v>
      </c>
      <c r="F74" t="s">
        <v>857</v>
      </c>
      <c r="H74" s="106">
        <v>44322</v>
      </c>
    </row>
    <row r="75" spans="1:12">
      <c r="B75" t="s">
        <v>571</v>
      </c>
      <c r="C75" t="s">
        <v>179</v>
      </c>
      <c r="D75" t="s">
        <v>98</v>
      </c>
      <c r="E75" t="s">
        <v>406</v>
      </c>
      <c r="F75" t="s">
        <v>876</v>
      </c>
      <c r="G75" s="106">
        <v>44167</v>
      </c>
      <c r="H75" s="106">
        <v>44238</v>
      </c>
      <c r="I75" t="s">
        <v>846</v>
      </c>
      <c r="L75" t="s">
        <v>846</v>
      </c>
    </row>
    <row r="76" spans="1:12">
      <c r="B76" t="s">
        <v>576</v>
      </c>
      <c r="C76" t="s">
        <v>183</v>
      </c>
      <c r="D76" t="s">
        <v>98</v>
      </c>
      <c r="E76" t="s">
        <v>838</v>
      </c>
      <c r="F76" t="s">
        <v>856</v>
      </c>
      <c r="H76" s="106">
        <v>44308</v>
      </c>
    </row>
    <row r="77" spans="1:12">
      <c r="B77" t="s">
        <v>586</v>
      </c>
      <c r="C77" t="s">
        <v>900</v>
      </c>
      <c r="D77" t="s">
        <v>98</v>
      </c>
      <c r="E77" t="s">
        <v>406</v>
      </c>
      <c r="F77" t="s">
        <v>884</v>
      </c>
      <c r="G77" s="106">
        <v>44258</v>
      </c>
      <c r="H77" s="106">
        <v>44302</v>
      </c>
    </row>
    <row r="78" spans="1:12">
      <c r="B78" t="s">
        <v>581</v>
      </c>
      <c r="C78" t="s">
        <v>901</v>
      </c>
      <c r="D78" t="s">
        <v>98</v>
      </c>
      <c r="E78" t="s">
        <v>838</v>
      </c>
      <c r="F78" t="s">
        <v>897</v>
      </c>
      <c r="H78" s="106">
        <v>44312</v>
      </c>
    </row>
    <row r="79" spans="1:12">
      <c r="B79" t="s">
        <v>600</v>
      </c>
      <c r="C79" t="s">
        <v>205</v>
      </c>
      <c r="D79" t="s">
        <v>98</v>
      </c>
      <c r="E79" t="s">
        <v>838</v>
      </c>
      <c r="F79" t="s">
        <v>844</v>
      </c>
      <c r="H79" s="106">
        <v>44371</v>
      </c>
    </row>
    <row r="80" spans="1:12">
      <c r="B80" t="s">
        <v>601</v>
      </c>
      <c r="C80" t="s">
        <v>206</v>
      </c>
      <c r="D80" t="s">
        <v>98</v>
      </c>
      <c r="E80" t="s">
        <v>406</v>
      </c>
      <c r="F80" t="s">
        <v>867</v>
      </c>
      <c r="G80" s="106">
        <v>44258</v>
      </c>
      <c r="H80" s="106">
        <v>44302</v>
      </c>
    </row>
    <row r="81" spans="2:8">
      <c r="B81" t="s">
        <v>603</v>
      </c>
      <c r="C81" t="s">
        <v>208</v>
      </c>
      <c r="D81" t="s">
        <v>98</v>
      </c>
      <c r="E81" t="s">
        <v>838</v>
      </c>
      <c r="F81" t="s">
        <v>897</v>
      </c>
      <c r="H81" s="106">
        <v>44362</v>
      </c>
    </row>
    <row r="82" spans="2:8">
      <c r="B82" t="s">
        <v>606</v>
      </c>
      <c r="C82" t="s">
        <v>211</v>
      </c>
      <c r="D82" t="s">
        <v>98</v>
      </c>
      <c r="E82" t="s">
        <v>838</v>
      </c>
      <c r="F82" t="s">
        <v>902</v>
      </c>
    </row>
    <row r="83" spans="2:8">
      <c r="B83" t="s">
        <v>607</v>
      </c>
      <c r="C83" t="s">
        <v>903</v>
      </c>
      <c r="D83" t="s">
        <v>98</v>
      </c>
      <c r="E83" t="s">
        <v>853</v>
      </c>
      <c r="F83" t="s">
        <v>876</v>
      </c>
      <c r="G83" s="106">
        <v>44306</v>
      </c>
    </row>
    <row r="84" spans="2:8">
      <c r="B84" t="s">
        <v>626</v>
      </c>
      <c r="C84" t="s">
        <v>230</v>
      </c>
      <c r="D84" t="s">
        <v>98</v>
      </c>
      <c r="E84" t="s">
        <v>838</v>
      </c>
      <c r="F84" t="s">
        <v>844</v>
      </c>
      <c r="H84" s="106">
        <v>44286</v>
      </c>
    </row>
    <row r="85" spans="2:8">
      <c r="B85" t="s">
        <v>632</v>
      </c>
      <c r="C85" t="s">
        <v>236</v>
      </c>
      <c r="D85" t="s">
        <v>98</v>
      </c>
      <c r="E85" t="s">
        <v>838</v>
      </c>
      <c r="F85" t="s">
        <v>857</v>
      </c>
      <c r="H85" s="106">
        <v>44347</v>
      </c>
    </row>
    <row r="86" spans="2:8">
      <c r="B86" t="s">
        <v>634</v>
      </c>
      <c r="C86" t="s">
        <v>238</v>
      </c>
      <c r="D86" t="s">
        <v>98</v>
      </c>
      <c r="E86" t="s">
        <v>853</v>
      </c>
      <c r="F86" t="s">
        <v>861</v>
      </c>
      <c r="G86" s="106">
        <v>44306</v>
      </c>
      <c r="H86" s="106">
        <v>44280</v>
      </c>
    </row>
    <row r="87" spans="2:8">
      <c r="B87" t="s">
        <v>648</v>
      </c>
      <c r="C87" t="s">
        <v>252</v>
      </c>
      <c r="D87" t="s">
        <v>98</v>
      </c>
      <c r="E87" t="s">
        <v>853</v>
      </c>
      <c r="F87" t="s">
        <v>904</v>
      </c>
      <c r="G87" s="106">
        <v>44306</v>
      </c>
      <c r="H87" s="106">
        <v>44344</v>
      </c>
    </row>
    <row r="88" spans="2:8">
      <c r="B88" t="s">
        <v>582</v>
      </c>
      <c r="C88" t="s">
        <v>905</v>
      </c>
      <c r="D88" t="s">
        <v>98</v>
      </c>
      <c r="E88" t="s">
        <v>848</v>
      </c>
      <c r="F88" t="s">
        <v>906</v>
      </c>
      <c r="G88" s="106">
        <v>44258</v>
      </c>
      <c r="H88" s="106">
        <v>44302</v>
      </c>
    </row>
    <row r="89" spans="2:8">
      <c r="B89" t="s">
        <v>663</v>
      </c>
      <c r="C89" t="s">
        <v>907</v>
      </c>
      <c r="D89" t="s">
        <v>98</v>
      </c>
      <c r="E89" t="s">
        <v>848</v>
      </c>
      <c r="F89" t="s">
        <v>908</v>
      </c>
      <c r="G89" s="106">
        <v>44258</v>
      </c>
      <c r="H89" s="106">
        <v>44302</v>
      </c>
    </row>
    <row r="90" spans="2:8">
      <c r="B90" t="s">
        <v>664</v>
      </c>
      <c r="C90" t="s">
        <v>267</v>
      </c>
      <c r="D90" t="s">
        <v>98</v>
      </c>
      <c r="E90" t="s">
        <v>848</v>
      </c>
      <c r="F90" t="s">
        <v>909</v>
      </c>
      <c r="G90" s="106">
        <v>44285</v>
      </c>
      <c r="H90" s="106">
        <v>44308</v>
      </c>
    </row>
    <row r="91" spans="2:8">
      <c r="B91" t="s">
        <v>667</v>
      </c>
      <c r="C91" t="s">
        <v>269</v>
      </c>
      <c r="D91" t="s">
        <v>98</v>
      </c>
      <c r="E91" t="s">
        <v>853</v>
      </c>
      <c r="F91" t="s">
        <v>910</v>
      </c>
      <c r="G91" s="106">
        <v>44306</v>
      </c>
      <c r="H91" s="106">
        <v>44362</v>
      </c>
    </row>
    <row r="92" spans="2:8">
      <c r="B92" t="s">
        <v>684</v>
      </c>
      <c r="C92" t="s">
        <v>282</v>
      </c>
      <c r="D92" t="s">
        <v>98</v>
      </c>
      <c r="E92" t="s">
        <v>853</v>
      </c>
      <c r="F92">
        <v>24</v>
      </c>
      <c r="G92" s="106">
        <v>44306</v>
      </c>
      <c r="H92" s="106">
        <v>44285</v>
      </c>
    </row>
  </sheetData>
  <autoFilter ref="A1:N14" xr:uid="{46F9E6EB-9D8F-2A42-9308-17A26885DE55}"/>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911</v>
      </c>
    </row>
    <row r="3" spans="1:23">
      <c r="R3" s="1265" t="s">
        <v>912</v>
      </c>
      <c r="S3" s="1265"/>
      <c r="T3" s="1265"/>
      <c r="U3" s="1265"/>
      <c r="V3" s="246"/>
    </row>
    <row r="4" spans="1:23" s="112" customFormat="1" ht="114" customHeight="1">
      <c r="A4" s="111" t="s">
        <v>825</v>
      </c>
      <c r="B4" s="111" t="s">
        <v>358</v>
      </c>
      <c r="C4" s="111" t="s">
        <v>827</v>
      </c>
      <c r="D4" s="111" t="s">
        <v>828</v>
      </c>
      <c r="E4" s="111" t="s">
        <v>96</v>
      </c>
      <c r="F4" s="111" t="s">
        <v>744</v>
      </c>
      <c r="G4" s="111" t="s">
        <v>379</v>
      </c>
      <c r="H4" s="111" t="s">
        <v>746</v>
      </c>
      <c r="I4" s="111" t="s">
        <v>834</v>
      </c>
      <c r="J4" s="111" t="s">
        <v>835</v>
      </c>
      <c r="K4" s="111" t="s">
        <v>836</v>
      </c>
      <c r="L4" s="111" t="s">
        <v>913</v>
      </c>
      <c r="M4" s="111" t="s">
        <v>914</v>
      </c>
      <c r="N4" s="111" t="s">
        <v>915</v>
      </c>
      <c r="O4" s="111" t="s">
        <v>916</v>
      </c>
      <c r="P4" s="111" t="s">
        <v>917</v>
      </c>
      <c r="Q4" s="111" t="s">
        <v>918</v>
      </c>
      <c r="R4" s="111">
        <v>2021</v>
      </c>
      <c r="S4" s="111">
        <v>2022</v>
      </c>
      <c r="T4" s="111">
        <v>2023</v>
      </c>
      <c r="U4" s="111">
        <v>2024</v>
      </c>
      <c r="V4" s="111">
        <v>2025</v>
      </c>
      <c r="W4" s="111" t="s">
        <v>919</v>
      </c>
    </row>
    <row r="5" spans="1:23">
      <c r="A5" s="2" t="s">
        <v>572</v>
      </c>
      <c r="B5" s="2" t="s">
        <v>180</v>
      </c>
      <c r="C5" s="2" t="s">
        <v>838</v>
      </c>
      <c r="D5" s="2">
        <v>95</v>
      </c>
      <c r="E5" s="2"/>
      <c r="F5" s="2"/>
      <c r="G5" s="2"/>
      <c r="H5" s="2"/>
      <c r="I5" s="697"/>
      <c r="J5" s="697"/>
      <c r="K5" s="697"/>
      <c r="L5" s="697"/>
      <c r="M5" s="697"/>
      <c r="N5" s="697"/>
      <c r="O5" s="697"/>
      <c r="P5" s="697"/>
      <c r="Q5" s="697"/>
      <c r="R5" s="2"/>
      <c r="S5" s="2"/>
      <c r="T5" s="2"/>
      <c r="U5" s="2"/>
      <c r="V5" s="2"/>
      <c r="W5" s="2"/>
    </row>
    <row r="6" spans="1:23">
      <c r="A6" s="2" t="s">
        <v>612</v>
      </c>
      <c r="B6" s="2" t="s">
        <v>217</v>
      </c>
      <c r="C6" s="137" t="str">
        <f>HYPERLINK("https://www.adb.org/projects/54425-001/main#project-overview", "Approved")</f>
        <v>Approved</v>
      </c>
      <c r="D6" s="11">
        <v>450</v>
      </c>
      <c r="E6" s="11" t="s">
        <v>552</v>
      </c>
      <c r="F6" s="583">
        <v>445.27</v>
      </c>
      <c r="G6" s="11">
        <v>0</v>
      </c>
      <c r="H6" s="11">
        <f>D6-F6</f>
        <v>4.7300000000000182</v>
      </c>
      <c r="I6" s="697"/>
      <c r="J6" s="697"/>
      <c r="L6" s="697">
        <v>2021</v>
      </c>
      <c r="M6" s="697">
        <v>2023</v>
      </c>
      <c r="N6" s="697"/>
      <c r="O6" s="697"/>
      <c r="P6" s="697">
        <v>0</v>
      </c>
      <c r="Q6" s="743">
        <f>P6/D6</f>
        <v>0</v>
      </c>
      <c r="R6" s="2">
        <v>426.8</v>
      </c>
      <c r="S6" s="2">
        <v>23.2</v>
      </c>
      <c r="T6" s="2"/>
      <c r="U6" s="2"/>
      <c r="V6" s="2"/>
      <c r="W6" s="2" t="s">
        <v>552</v>
      </c>
    </row>
    <row r="7" spans="1:23" ht="139.5">
      <c r="A7" s="2" t="s">
        <v>657</v>
      </c>
      <c r="B7" s="2" t="s">
        <v>261</v>
      </c>
      <c r="C7" s="137" t="str">
        <f>HYPERLINK("https://www.adb.org/projects/54171-003/main", "Approved")</f>
        <v>Approved</v>
      </c>
      <c r="D7" s="2">
        <v>700</v>
      </c>
      <c r="E7" s="2" t="s">
        <v>552</v>
      </c>
      <c r="F7" s="2">
        <v>662.5</v>
      </c>
      <c r="G7" s="2">
        <v>0</v>
      </c>
      <c r="H7" s="2">
        <f>D7-F7</f>
        <v>37.5</v>
      </c>
      <c r="I7" s="697"/>
      <c r="J7" s="697"/>
      <c r="K7" s="697"/>
      <c r="L7" s="697">
        <v>2021</v>
      </c>
      <c r="M7" s="697">
        <v>2024</v>
      </c>
      <c r="N7" s="582">
        <v>44280</v>
      </c>
      <c r="O7" s="582">
        <v>44301</v>
      </c>
      <c r="P7" s="697">
        <f>300.44+221.71</f>
        <v>522.15</v>
      </c>
      <c r="Q7" s="743">
        <f t="shared" ref="Q7:Q22" si="0">P7/D7</f>
        <v>0.74592857142857139</v>
      </c>
      <c r="R7" s="2">
        <f>36.95+27.72</f>
        <v>64.67</v>
      </c>
      <c r="S7" s="2">
        <f>126.03+94.52</f>
        <v>220.55</v>
      </c>
      <c r="T7" s="2">
        <f>237.02+177.76</f>
        <v>414.78</v>
      </c>
      <c r="U7" s="2">
        <v>0</v>
      </c>
      <c r="V7" s="2"/>
      <c r="W7" s="159" t="s">
        <v>920</v>
      </c>
    </row>
    <row r="8" spans="1:23" customFormat="1">
      <c r="A8" s="338" t="s">
        <v>662</v>
      </c>
      <c r="B8" s="338" t="s">
        <v>265</v>
      </c>
      <c r="C8" s="611" t="str">
        <f>HYPERLINK("https://www.adb.org/projects/50282-003/main#project-overview", "Approved")</f>
        <v>Approved</v>
      </c>
      <c r="D8" s="338">
        <v>8</v>
      </c>
      <c r="E8" s="338" t="s">
        <v>436</v>
      </c>
      <c r="F8" s="612">
        <f>0.46+1.83</f>
        <v>2.29</v>
      </c>
      <c r="G8" s="612">
        <f>0.01+0.01+1.64+1.5</f>
        <v>3.16</v>
      </c>
      <c r="H8" s="612">
        <f>D8-SUM(F8:G8)</f>
        <v>2.5499999999999998</v>
      </c>
      <c r="I8" s="613" t="s">
        <v>846</v>
      </c>
      <c r="J8" s="613"/>
      <c r="K8" s="613"/>
      <c r="L8" s="613">
        <v>2021</v>
      </c>
      <c r="M8" s="613">
        <v>2025</v>
      </c>
      <c r="N8" s="614">
        <v>44309</v>
      </c>
      <c r="O8" s="614">
        <v>44365</v>
      </c>
      <c r="P8" s="697">
        <v>0</v>
      </c>
      <c r="Q8" s="743">
        <f t="shared" si="0"/>
        <v>0</v>
      </c>
      <c r="R8" s="612">
        <f>(1.24/8.4)*D8</f>
        <v>1.180952380952381</v>
      </c>
      <c r="S8" s="612">
        <f>(1.68/8.4)*D8</f>
        <v>1.5999999999999999</v>
      </c>
      <c r="T8" s="612">
        <f>(3.18/8.4)*D8</f>
        <v>3.0285714285714285</v>
      </c>
      <c r="U8" s="612">
        <f>(1.35/8.4)*D8</f>
        <v>1.2857142857142858</v>
      </c>
      <c r="V8" s="612">
        <f>(1.35/8.4)*D8</f>
        <v>1.2857142857142858</v>
      </c>
      <c r="W8" s="338" t="s">
        <v>436</v>
      </c>
    </row>
    <row r="9" spans="1:23" customFormat="1">
      <c r="A9" s="338" t="s">
        <v>685</v>
      </c>
      <c r="B9" s="338" t="s">
        <v>283</v>
      </c>
      <c r="C9" s="611" t="str">
        <f t="shared" ref="C9:C11" si="1">HYPERLINK("https://www.adb.org/projects/50282-003/main#project-overview", "Approved")</f>
        <v>Approved</v>
      </c>
      <c r="D9" s="338">
        <v>5.5</v>
      </c>
      <c r="E9" s="338" t="s">
        <v>436</v>
      </c>
      <c r="F9" s="612">
        <f>0.25+0.98</f>
        <v>1.23</v>
      </c>
      <c r="G9" s="612">
        <f>0.03+0.01+1.55+1.18</f>
        <v>2.77</v>
      </c>
      <c r="H9" s="612">
        <f>D9-SUM(F9:G9)</f>
        <v>1.5</v>
      </c>
      <c r="I9" s="613" t="s">
        <v>846</v>
      </c>
      <c r="J9" s="613"/>
      <c r="K9" s="613"/>
      <c r="L9" s="613">
        <v>2021</v>
      </c>
      <c r="M9" s="613">
        <v>2025</v>
      </c>
      <c r="N9" s="614">
        <v>44309</v>
      </c>
      <c r="O9" s="614">
        <v>44357</v>
      </c>
      <c r="P9" s="697">
        <v>0</v>
      </c>
      <c r="Q9" s="743">
        <f t="shared" si="0"/>
        <v>0</v>
      </c>
      <c r="R9" s="612">
        <f>(0.94/5.78)*D9</f>
        <v>0.89446366782006914</v>
      </c>
      <c r="S9" s="612">
        <f>(1.15/5.78)*D9</f>
        <v>1.0942906574394462</v>
      </c>
      <c r="T9" s="612">
        <f>(1.95/5.78)*D9</f>
        <v>1.8555363321799305</v>
      </c>
      <c r="U9" s="612">
        <f>(0.97/5.78)*D9</f>
        <v>0.92301038062283736</v>
      </c>
      <c r="V9" s="612">
        <f>(0.97/5.78)*D9</f>
        <v>0.92301038062283736</v>
      </c>
      <c r="W9" s="338" t="s">
        <v>436</v>
      </c>
    </row>
    <row r="10" spans="1:23" customFormat="1">
      <c r="A10" s="338" t="s">
        <v>690</v>
      </c>
      <c r="B10" s="338" t="s">
        <v>288</v>
      </c>
      <c r="C10" s="611" t="str">
        <f t="shared" si="1"/>
        <v>Approved</v>
      </c>
      <c r="D10" s="338">
        <v>1.5</v>
      </c>
      <c r="E10" s="338" t="s">
        <v>436</v>
      </c>
      <c r="F10" s="612">
        <f>0.03+0.12</f>
        <v>0.15</v>
      </c>
      <c r="G10" s="612">
        <f>0.01+0.02+0.62+0.19</f>
        <v>0.84000000000000008</v>
      </c>
      <c r="H10" s="612">
        <f>D10-SUM(F10:G10)</f>
        <v>0.5099999999999999</v>
      </c>
      <c r="I10" s="613" t="s">
        <v>846</v>
      </c>
      <c r="J10" s="613"/>
      <c r="K10" s="613"/>
      <c r="L10" s="613">
        <v>2021</v>
      </c>
      <c r="M10" s="613">
        <v>2025</v>
      </c>
      <c r="N10" s="614">
        <v>44309</v>
      </c>
      <c r="O10" s="614">
        <v>44356</v>
      </c>
      <c r="P10" s="697">
        <v>0</v>
      </c>
      <c r="Q10" s="743">
        <f t="shared" si="0"/>
        <v>0</v>
      </c>
      <c r="R10" s="612">
        <f>(0.31/1.58)*D10</f>
        <v>0.29430379746835444</v>
      </c>
      <c r="S10" s="612">
        <f>(0.31/1.58)*D10</f>
        <v>0.29430379746835444</v>
      </c>
      <c r="T10" s="612">
        <f>(0.4/1.58)*D10</f>
        <v>0.379746835443038</v>
      </c>
      <c r="U10" s="612">
        <f>(0.29/1.58)*D10</f>
        <v>0.2753164556962025</v>
      </c>
      <c r="V10" s="612">
        <f>(0.29/1.58)*D10</f>
        <v>0.2753164556962025</v>
      </c>
      <c r="W10" s="338" t="s">
        <v>436</v>
      </c>
    </row>
    <row r="11" spans="1:23" customFormat="1">
      <c r="A11" s="338" t="s">
        <v>695</v>
      </c>
      <c r="B11" s="338" t="s">
        <v>293</v>
      </c>
      <c r="C11" s="611" t="str">
        <f t="shared" si="1"/>
        <v>Approved</v>
      </c>
      <c r="D11" s="612">
        <v>3.88</v>
      </c>
      <c r="E11" s="338" t="s">
        <v>436</v>
      </c>
      <c r="F11" s="612">
        <v>0.72</v>
      </c>
      <c r="G11" s="612">
        <f>0.05+0.02+0.75+0.79</f>
        <v>1.61</v>
      </c>
      <c r="H11" s="612">
        <f>D11-SUM(F11:G11)</f>
        <v>1.5499999999999998</v>
      </c>
      <c r="I11" s="613" t="s">
        <v>846</v>
      </c>
      <c r="J11" s="613"/>
      <c r="K11" s="613"/>
      <c r="L11" s="613">
        <v>2021</v>
      </c>
      <c r="M11" s="613">
        <v>2025</v>
      </c>
      <c r="N11" s="614">
        <v>44309</v>
      </c>
      <c r="O11" s="614">
        <v>44365</v>
      </c>
      <c r="P11" s="697">
        <v>0</v>
      </c>
      <c r="Q11" s="743">
        <f t="shared" si="0"/>
        <v>0</v>
      </c>
      <c r="R11" s="612">
        <f>(0.72/4.07)*D11</f>
        <v>0.6863882063882063</v>
      </c>
      <c r="S11" s="612">
        <f>(1.38/4.07)*D11</f>
        <v>1.3155773955773955</v>
      </c>
      <c r="T11" s="612">
        <f>(0.66/4.07)*D11</f>
        <v>0.6291891891891892</v>
      </c>
      <c r="U11" s="612">
        <f>(0.66/4.07)*D11</f>
        <v>0.6291891891891892</v>
      </c>
      <c r="V11" s="612">
        <f>(0.66/4.07)*D11</f>
        <v>0.6291891891891892</v>
      </c>
      <c r="W11" s="338" t="s">
        <v>436</v>
      </c>
    </row>
    <row r="12" spans="1:23" customFormat="1" ht="108.5">
      <c r="A12" s="338" t="s">
        <v>639</v>
      </c>
      <c r="B12" s="338" t="s">
        <v>243</v>
      </c>
      <c r="C12" s="611" t="str">
        <f>HYPERLINK("https://www.adb.org/projects/55007-001/main#project-overview","Approved")</f>
        <v>Approved</v>
      </c>
      <c r="D12" s="338">
        <v>40</v>
      </c>
      <c r="E12" s="338" t="s">
        <v>552</v>
      </c>
      <c r="F12" s="338">
        <f>D12-H12</f>
        <v>38.299999999999997</v>
      </c>
      <c r="G12" s="338"/>
      <c r="H12" s="338">
        <v>1.7</v>
      </c>
      <c r="I12" s="613"/>
      <c r="J12" s="613"/>
      <c r="K12" s="613"/>
      <c r="L12" s="613"/>
      <c r="M12" s="613"/>
      <c r="N12" s="614">
        <v>44344</v>
      </c>
      <c r="O12" s="613"/>
      <c r="P12" s="697">
        <f>3.37+3.36</f>
        <v>6.73</v>
      </c>
      <c r="Q12" s="743">
        <f t="shared" si="0"/>
        <v>0.16825000000000001</v>
      </c>
      <c r="R12" s="338">
        <f>9.1+9+16.4</f>
        <v>34.5</v>
      </c>
      <c r="S12" s="338">
        <f>0.2+0.2+4.4</f>
        <v>4.8000000000000007</v>
      </c>
      <c r="T12" s="338">
        <f>0.2+0.2+0.3</f>
        <v>0.7</v>
      </c>
      <c r="U12" s="338"/>
      <c r="V12" s="338"/>
      <c r="W12" s="615" t="s">
        <v>921</v>
      </c>
    </row>
    <row r="13" spans="1:23">
      <c r="A13" s="2" t="s">
        <v>680</v>
      </c>
      <c r="B13" s="2" t="s">
        <v>280</v>
      </c>
      <c r="C13" s="137" t="str">
        <f>HYPERLINK("https://www.adb.org/projects/55078-001/main","Approved")</f>
        <v>Approved</v>
      </c>
      <c r="D13" s="2">
        <v>25</v>
      </c>
      <c r="E13" s="2" t="s">
        <v>552</v>
      </c>
      <c r="F13" s="2">
        <v>21.8</v>
      </c>
      <c r="G13" s="2">
        <v>0.77</v>
      </c>
      <c r="H13" s="2">
        <f>D13-SUM(F13:G13)</f>
        <v>2.4299999999999997</v>
      </c>
      <c r="I13" s="697"/>
      <c r="J13" s="697"/>
      <c r="K13" s="697"/>
      <c r="L13" s="697">
        <v>2021</v>
      </c>
      <c r="M13" s="697">
        <v>2023</v>
      </c>
      <c r="N13" s="582">
        <v>44363</v>
      </c>
      <c r="O13" s="697"/>
      <c r="P13" s="697">
        <v>23.6</v>
      </c>
      <c r="Q13" s="743">
        <f t="shared" si="0"/>
        <v>0.94400000000000006</v>
      </c>
      <c r="R13" s="2">
        <v>22.4</v>
      </c>
      <c r="S13" s="2">
        <v>2.6</v>
      </c>
      <c r="T13" s="2">
        <v>0.5</v>
      </c>
      <c r="U13" s="2">
        <v>0</v>
      </c>
      <c r="V13" s="2"/>
      <c r="W13" s="2"/>
    </row>
    <row r="14" spans="1:23" customFormat="1">
      <c r="A14" s="338" t="s">
        <v>540</v>
      </c>
      <c r="B14" s="338" t="s">
        <v>160</v>
      </c>
      <c r="C14" s="611" t="str">
        <f>HYPERLINK("https://www.adb.org/projects/55012-001/main#project-overview","Approved")</f>
        <v>Approved</v>
      </c>
      <c r="D14" s="338">
        <v>50</v>
      </c>
      <c r="E14" s="338" t="s">
        <v>436</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43">
        <f t="shared" si="0"/>
        <v>0</v>
      </c>
      <c r="R14" s="338">
        <v>22</v>
      </c>
      <c r="S14" s="338">
        <v>16</v>
      </c>
      <c r="T14" s="338">
        <v>12</v>
      </c>
      <c r="U14" s="338"/>
      <c r="V14" s="338"/>
      <c r="W14" s="338" t="s">
        <v>436</v>
      </c>
    </row>
    <row r="15" spans="1:23">
      <c r="A15" s="2" t="s">
        <v>557</v>
      </c>
      <c r="B15" s="2" t="s">
        <v>167</v>
      </c>
      <c r="C15" s="137" t="str">
        <f>HYPERLINK("https://www.adb.org/projects/55077-001/main#project-overview", "Approved")</f>
        <v>Approved</v>
      </c>
      <c r="D15" s="2">
        <v>940</v>
      </c>
      <c r="E15" s="2" t="s">
        <v>552</v>
      </c>
      <c r="F15" s="2">
        <v>893.08</v>
      </c>
      <c r="G15" s="2">
        <v>0</v>
      </c>
      <c r="H15" s="2">
        <f>D15-F15</f>
        <v>46.919999999999959</v>
      </c>
      <c r="I15" s="697"/>
      <c r="J15" s="697"/>
      <c r="K15" s="697"/>
      <c r="L15" s="697">
        <v>2021</v>
      </c>
      <c r="M15" s="697">
        <v>2024</v>
      </c>
      <c r="N15" s="582">
        <v>44369</v>
      </c>
      <c r="O15" s="582">
        <v>44382</v>
      </c>
      <c r="P15" s="697">
        <v>891.3</v>
      </c>
      <c r="Q15" s="743">
        <f t="shared" si="0"/>
        <v>0.94819148936170206</v>
      </c>
      <c r="R15" s="2">
        <v>455.78</v>
      </c>
      <c r="S15" s="2">
        <v>378.13</v>
      </c>
      <c r="T15" s="2">
        <v>106.09</v>
      </c>
      <c r="U15" s="2"/>
      <c r="V15" s="2"/>
      <c r="W15" s="2"/>
    </row>
    <row r="16" spans="1:23">
      <c r="A16" s="2" t="s">
        <v>563</v>
      </c>
      <c r="B16" s="2" t="s">
        <v>171</v>
      </c>
      <c r="C16" s="2" t="s">
        <v>838</v>
      </c>
      <c r="D16" s="2">
        <v>10</v>
      </c>
      <c r="E16" s="2"/>
      <c r="F16" s="2"/>
      <c r="G16" s="2"/>
      <c r="H16" s="2"/>
      <c r="I16" s="697"/>
      <c r="J16" s="697"/>
      <c r="K16" s="697"/>
      <c r="L16" s="697"/>
      <c r="M16" s="697"/>
      <c r="N16" s="697"/>
      <c r="O16" s="697"/>
      <c r="P16" s="697"/>
      <c r="Q16" s="743">
        <f t="shared" si="0"/>
        <v>0</v>
      </c>
      <c r="R16" s="2"/>
      <c r="S16" s="2"/>
      <c r="T16" s="2"/>
      <c r="U16" s="2"/>
      <c r="V16" s="2"/>
      <c r="W16" s="2"/>
    </row>
    <row r="17" spans="1:23">
      <c r="A17" s="2" t="s">
        <v>611</v>
      </c>
      <c r="B17" s="2" t="s">
        <v>216</v>
      </c>
      <c r="C17" s="137" t="str">
        <f>HYPERLINK("https://www.adb.org/projects/55082-002/main", "Approved")</f>
        <v>Approved</v>
      </c>
      <c r="D17" s="2">
        <v>7</v>
      </c>
      <c r="E17" s="2" t="s">
        <v>436</v>
      </c>
      <c r="F17" s="2"/>
      <c r="G17" s="2">
        <v>7</v>
      </c>
      <c r="H17" s="2"/>
      <c r="I17" s="697"/>
      <c r="J17" s="697"/>
      <c r="K17" s="697"/>
      <c r="L17" s="697">
        <v>2021</v>
      </c>
      <c r="M17" s="697">
        <v>2023</v>
      </c>
      <c r="N17" s="582">
        <v>44354</v>
      </c>
      <c r="O17" s="697"/>
      <c r="P17" s="697">
        <v>0</v>
      </c>
      <c r="Q17" s="743">
        <f t="shared" si="0"/>
        <v>0</v>
      </c>
      <c r="R17" s="2"/>
      <c r="S17" s="2"/>
      <c r="T17" s="2"/>
      <c r="U17" s="2"/>
      <c r="V17" s="2"/>
      <c r="W17" s="2"/>
    </row>
    <row r="18" spans="1:23">
      <c r="A18" s="2" t="s">
        <v>631</v>
      </c>
      <c r="B18" s="2" t="s">
        <v>235</v>
      </c>
      <c r="C18" s="2" t="s">
        <v>838</v>
      </c>
      <c r="D18" s="2">
        <v>10</v>
      </c>
      <c r="E18" s="2"/>
      <c r="F18" s="2"/>
      <c r="G18" s="2"/>
      <c r="H18" s="2"/>
      <c r="I18" s="697" t="s">
        <v>846</v>
      </c>
      <c r="J18" s="697"/>
      <c r="K18" s="697"/>
      <c r="L18" s="697"/>
      <c r="M18" s="697"/>
      <c r="N18" s="697"/>
      <c r="O18" s="697"/>
      <c r="P18" s="697"/>
      <c r="Q18" s="743">
        <f t="shared" si="0"/>
        <v>0</v>
      </c>
      <c r="R18" s="2"/>
      <c r="S18" s="2"/>
      <c r="T18" s="2"/>
      <c r="U18" s="2"/>
      <c r="V18" s="2"/>
      <c r="W18" s="2"/>
    </row>
    <row r="19" spans="1:23">
      <c r="A19" s="2" t="s">
        <v>646</v>
      </c>
      <c r="B19" s="2" t="s">
        <v>250</v>
      </c>
      <c r="C19" s="137" t="str">
        <f>HYPERLINK("https://www.adb.org/projects/55084-001/main#project-documents", "Approved")</f>
        <v>Approved</v>
      </c>
      <c r="D19" s="2">
        <v>165</v>
      </c>
      <c r="E19" s="2" t="s">
        <v>552</v>
      </c>
      <c r="F19" s="2">
        <v>159</v>
      </c>
      <c r="G19" s="2">
        <v>0</v>
      </c>
      <c r="H19" s="2">
        <f>D19-F19</f>
        <v>6</v>
      </c>
      <c r="I19" s="697"/>
      <c r="J19" s="697"/>
      <c r="K19" s="697"/>
      <c r="L19" s="697">
        <v>2021</v>
      </c>
      <c r="M19" s="697">
        <v>2024</v>
      </c>
      <c r="N19" s="582">
        <v>44399</v>
      </c>
      <c r="O19" s="582"/>
      <c r="P19" s="697">
        <v>41.53</v>
      </c>
      <c r="Q19" s="743">
        <f t="shared" si="0"/>
        <v>0.2516969696969697</v>
      </c>
      <c r="R19" s="2">
        <v>81.09</v>
      </c>
      <c r="S19" s="2">
        <v>66.099999999999994</v>
      </c>
      <c r="T19" s="2">
        <v>17.82</v>
      </c>
      <c r="U19" s="2">
        <v>0</v>
      </c>
      <c r="V19" s="2"/>
      <c r="W19" s="2"/>
    </row>
    <row r="20" spans="1:23">
      <c r="A20" s="2" t="s">
        <v>651</v>
      </c>
      <c r="B20" s="2" t="s">
        <v>255</v>
      </c>
      <c r="C20" s="137" t="s">
        <v>406</v>
      </c>
      <c r="D20" s="2">
        <v>500</v>
      </c>
      <c r="E20" s="2" t="s">
        <v>552</v>
      </c>
      <c r="F20" s="2">
        <v>491.7</v>
      </c>
      <c r="G20" s="2"/>
      <c r="H20" s="2">
        <v>8.3000000000000007</v>
      </c>
      <c r="I20" s="697"/>
      <c r="J20" s="697"/>
      <c r="K20" s="697"/>
      <c r="L20" s="697">
        <v>2021</v>
      </c>
      <c r="M20" s="697">
        <v>2023</v>
      </c>
      <c r="N20" s="582">
        <v>44414</v>
      </c>
      <c r="O20" s="582">
        <v>44414</v>
      </c>
      <c r="P20" s="697">
        <v>314.39999999999998</v>
      </c>
      <c r="Q20" s="743">
        <f t="shared" si="0"/>
        <v>0.62879999999999991</v>
      </c>
      <c r="R20" s="2"/>
      <c r="S20" s="2"/>
      <c r="T20" s="2"/>
      <c r="U20" s="2"/>
      <c r="V20" s="2"/>
      <c r="W20" s="2"/>
    </row>
    <row r="21" spans="1:23">
      <c r="A21" s="2" t="s">
        <v>672</v>
      </c>
      <c r="B21" s="2" t="s">
        <v>274</v>
      </c>
      <c r="C21" s="137" t="str">
        <f>HYPERLINK("https://www.adb.org/projects/55085-001/main#project-documents","Approved")</f>
        <v>Approved</v>
      </c>
      <c r="D21" s="2">
        <v>150</v>
      </c>
      <c r="E21" s="2" t="s">
        <v>552</v>
      </c>
      <c r="F21" s="2">
        <v>84</v>
      </c>
      <c r="G21" s="2">
        <v>48.97</v>
      </c>
      <c r="H21" s="2">
        <f>D21-SUM(F21:G21)</f>
        <v>17.03</v>
      </c>
      <c r="I21" s="697"/>
      <c r="J21" s="697"/>
      <c r="K21" s="697"/>
      <c r="L21" s="697">
        <v>2021</v>
      </c>
      <c r="M21" s="697">
        <v>2024</v>
      </c>
      <c r="N21" s="582">
        <v>44385</v>
      </c>
      <c r="O21" s="582"/>
      <c r="P21" s="697">
        <v>0</v>
      </c>
      <c r="Q21" s="743">
        <f t="shared" si="0"/>
        <v>0</v>
      </c>
      <c r="R21" s="2">
        <f>16.8+5</f>
        <v>21.8</v>
      </c>
      <c r="S21" s="2">
        <f>67.2+38.2</f>
        <v>105.4</v>
      </c>
      <c r="T21" s="2">
        <v>18</v>
      </c>
      <c r="U21" s="2">
        <v>4.8</v>
      </c>
      <c r="V21" s="2"/>
      <c r="W21" s="2"/>
    </row>
    <row r="22" spans="1:23">
      <c r="A22" s="2" t="s">
        <v>602</v>
      </c>
      <c r="B22" s="2" t="s">
        <v>207</v>
      </c>
      <c r="C22" s="137" t="s">
        <v>406</v>
      </c>
      <c r="D22" s="2">
        <v>16</v>
      </c>
      <c r="E22" s="2" t="s">
        <v>552</v>
      </c>
      <c r="F22" s="2">
        <v>13.63</v>
      </c>
      <c r="G22" s="2"/>
      <c r="H22" s="2">
        <v>2.37</v>
      </c>
      <c r="I22" s="697"/>
      <c r="J22" s="697"/>
      <c r="K22" s="697"/>
      <c r="L22" s="697">
        <v>2021</v>
      </c>
      <c r="M22" s="697">
        <v>2023</v>
      </c>
      <c r="N22" s="582">
        <v>44473</v>
      </c>
      <c r="O22" s="582">
        <v>44498</v>
      </c>
      <c r="P22" s="697">
        <v>0</v>
      </c>
      <c r="Q22" s="743">
        <f t="shared" si="0"/>
        <v>0</v>
      </c>
      <c r="R22" s="2"/>
      <c r="S22" s="2"/>
      <c r="T22" s="2"/>
      <c r="U22" s="2"/>
      <c r="V22" s="2"/>
      <c r="W22" s="2"/>
    </row>
    <row r="24" spans="1:23">
      <c r="C24" s="1">
        <f>COUNTIF(C5:C22,"Approved")</f>
        <v>15</v>
      </c>
    </row>
    <row r="25" spans="1:23" ht="16" thickBot="1"/>
    <row r="26" spans="1:23" ht="16" thickBot="1">
      <c r="B26" s="113" t="s">
        <v>432</v>
      </c>
      <c r="C26" s="114" t="s">
        <v>922</v>
      </c>
      <c r="G26" s="1">
        <v>2.6019999999999999</v>
      </c>
      <c r="H26" s="1">
        <v>2.5640000000000001</v>
      </c>
      <c r="I26" s="1">
        <f>G26-H26</f>
        <v>3.7999999999999812E-2</v>
      </c>
      <c r="J26" s="805">
        <f>I26*1000000000</f>
        <v>37999999.999999814</v>
      </c>
    </row>
    <row r="27" spans="1:23">
      <c r="B27" s="115" t="s">
        <v>540</v>
      </c>
      <c r="C27" s="116">
        <v>50</v>
      </c>
      <c r="G27" s="1">
        <v>1.47</v>
      </c>
      <c r="H27" s="1">
        <v>1.68</v>
      </c>
      <c r="I27" s="1">
        <f>H27-G27</f>
        <v>0.20999999999999996</v>
      </c>
    </row>
    <row r="28" spans="1:23">
      <c r="B28" s="117" t="s">
        <v>557</v>
      </c>
      <c r="C28" s="118">
        <v>940</v>
      </c>
    </row>
    <row r="29" spans="1:23">
      <c r="B29" s="117" t="s">
        <v>563</v>
      </c>
      <c r="C29" s="118">
        <v>10</v>
      </c>
    </row>
    <row r="30" spans="1:23">
      <c r="B30" s="117" t="s">
        <v>612</v>
      </c>
      <c r="C30" s="119">
        <v>1040</v>
      </c>
    </row>
    <row r="31" spans="1:23">
      <c r="B31" s="117" t="s">
        <v>611</v>
      </c>
      <c r="C31" s="119">
        <v>1500</v>
      </c>
    </row>
    <row r="32" spans="1:23">
      <c r="B32" s="117" t="s">
        <v>572</v>
      </c>
      <c r="C32" s="118">
        <v>95</v>
      </c>
    </row>
    <row r="33" spans="2:3">
      <c r="B33" s="117" t="s">
        <v>672</v>
      </c>
      <c r="C33" s="118">
        <v>200</v>
      </c>
    </row>
    <row r="34" spans="2:3">
      <c r="B34" s="117" t="s">
        <v>631</v>
      </c>
      <c r="C34" s="118">
        <v>10</v>
      </c>
    </row>
    <row r="35" spans="2:3">
      <c r="B35" s="117" t="s">
        <v>639</v>
      </c>
      <c r="C35" s="118">
        <v>40</v>
      </c>
    </row>
    <row r="36" spans="2:3">
      <c r="B36" s="117" t="s">
        <v>646</v>
      </c>
      <c r="C36" s="118">
        <v>165</v>
      </c>
    </row>
    <row r="37" spans="2:3">
      <c r="B37" s="117" t="s">
        <v>651</v>
      </c>
      <c r="C37" s="118">
        <v>199</v>
      </c>
    </row>
    <row r="38" spans="2:3">
      <c r="B38" s="117" t="s">
        <v>657</v>
      </c>
      <c r="C38" s="118">
        <v>425</v>
      </c>
    </row>
    <row r="39" spans="2:3">
      <c r="B39" s="117" t="s">
        <v>685</v>
      </c>
      <c r="C39" s="1263">
        <v>19</v>
      </c>
    </row>
    <row r="40" spans="2:3">
      <c r="B40" s="117" t="s">
        <v>690</v>
      </c>
      <c r="C40" s="1263"/>
    </row>
    <row r="41" spans="2:3">
      <c r="B41" s="117" t="s">
        <v>695</v>
      </c>
      <c r="C41" s="1263"/>
    </row>
    <row r="42" spans="2:3" ht="16" thickBot="1">
      <c r="B42" s="120" t="s">
        <v>662</v>
      </c>
      <c r="C42" s="1264"/>
    </row>
    <row r="43" spans="2:3" ht="16" thickBot="1">
      <c r="B43" s="146" t="s">
        <v>424</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dimension ref="A1:B2"/>
  <sheetViews>
    <sheetView workbookViewId="0">
      <selection activeCell="B2" sqref="B2"/>
    </sheetView>
  </sheetViews>
  <sheetFormatPr defaultRowHeight="15.5"/>
  <sheetData>
    <row r="1" spans="1:2">
      <c r="A1" s="744" t="s">
        <v>923</v>
      </c>
      <c r="B1" s="744" t="s">
        <v>924</v>
      </c>
    </row>
    <row r="2" spans="1:2">
      <c r="A2" s="745">
        <f>1-B2</f>
        <v>7.4073819453336243E-2</v>
      </c>
      <c r="B2" s="745">
        <v>0.92592618054666376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925</v>
      </c>
    </row>
    <row r="3" spans="1:4" ht="16" thickBot="1"/>
    <row r="4" spans="1:4" ht="16" thickBot="1">
      <c r="A4" s="50" t="s">
        <v>432</v>
      </c>
      <c r="B4" s="50" t="s">
        <v>433</v>
      </c>
      <c r="C4" s="51" t="s">
        <v>926</v>
      </c>
      <c r="D4" s="52" t="s">
        <v>410</v>
      </c>
    </row>
    <row r="5" spans="1:4">
      <c r="A5" s="125" t="s">
        <v>561</v>
      </c>
      <c r="B5" s="125" t="s">
        <v>170</v>
      </c>
      <c r="C5" s="126" t="s">
        <v>927</v>
      </c>
      <c r="D5" s="127">
        <v>19300000</v>
      </c>
    </row>
    <row r="6" spans="1:4">
      <c r="A6" s="128" t="s">
        <v>557</v>
      </c>
      <c r="B6" s="128" t="s">
        <v>167</v>
      </c>
      <c r="C6" s="91" t="s">
        <v>928</v>
      </c>
      <c r="D6" s="129">
        <v>33299999.999999996</v>
      </c>
    </row>
    <row r="7" spans="1:4">
      <c r="A7" s="128" t="s">
        <v>573</v>
      </c>
      <c r="B7" s="128" t="s">
        <v>181</v>
      </c>
      <c r="C7" s="91" t="s">
        <v>928</v>
      </c>
      <c r="D7" s="129">
        <v>30000000</v>
      </c>
    </row>
    <row r="8" spans="1:4">
      <c r="A8" s="128" t="s">
        <v>612</v>
      </c>
      <c r="B8" s="128" t="s">
        <v>217</v>
      </c>
      <c r="C8" s="91" t="s">
        <v>928</v>
      </c>
      <c r="D8" s="129">
        <v>100000000</v>
      </c>
    </row>
    <row r="9" spans="1:4">
      <c r="A9" s="128" t="s">
        <v>622</v>
      </c>
      <c r="B9" s="128" t="s">
        <v>226</v>
      </c>
      <c r="C9" s="91" t="s">
        <v>928</v>
      </c>
      <c r="D9" s="129">
        <v>23000000</v>
      </c>
    </row>
    <row r="10" spans="1:4">
      <c r="A10" s="128" t="s">
        <v>631</v>
      </c>
      <c r="B10" s="128" t="s">
        <v>235</v>
      </c>
      <c r="C10" s="91" t="s">
        <v>928</v>
      </c>
      <c r="D10" s="129">
        <v>8000000</v>
      </c>
    </row>
    <row r="11" spans="1:4">
      <c r="A11" s="128" t="s">
        <v>651</v>
      </c>
      <c r="B11" s="128" t="s">
        <v>255</v>
      </c>
      <c r="C11" s="91" t="s">
        <v>928</v>
      </c>
      <c r="D11" s="129">
        <v>70000000</v>
      </c>
    </row>
    <row r="12" spans="1:4">
      <c r="A12" s="128" t="s">
        <v>576</v>
      </c>
      <c r="B12" s="128" t="s">
        <v>183</v>
      </c>
      <c r="C12" s="91" t="s">
        <v>928</v>
      </c>
      <c r="D12" s="129">
        <v>20000000</v>
      </c>
    </row>
    <row r="13" spans="1:4" ht="16" thickBot="1">
      <c r="A13" s="130" t="s">
        <v>687</v>
      </c>
      <c r="B13" s="130" t="s">
        <v>285</v>
      </c>
      <c r="C13" s="101" t="s">
        <v>928</v>
      </c>
      <c r="D13" s="131">
        <v>2200000</v>
      </c>
    </row>
    <row r="14" spans="1:4" ht="16" thickBot="1">
      <c r="A14" s="1266" t="s">
        <v>424</v>
      </c>
      <c r="B14" s="1266"/>
      <c r="C14" s="1267"/>
      <c r="D14" s="145">
        <f>SUM(D5:D13)</f>
        <v>305800000</v>
      </c>
    </row>
  </sheetData>
  <mergeCells count="1">
    <mergeCell ref="A14:C1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dimension ref="A2:E158"/>
  <sheetViews>
    <sheetView zoomScale="115" zoomScaleNormal="115" workbookViewId="0">
      <pane xSplit="2" ySplit="2" topLeftCell="C42" activePane="bottomRight" state="frozen"/>
      <selection pane="topRight" activeCell="C1" sqref="C1"/>
      <selection pane="bottomLeft" activeCell="A3" sqref="A3"/>
      <selection pane="bottomRight" activeCell="D50" sqref="D50"/>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60" t="s">
        <v>432</v>
      </c>
      <c r="B2" s="760" t="s">
        <v>433</v>
      </c>
      <c r="C2" s="761" t="s">
        <v>424</v>
      </c>
      <c r="D2" s="761" t="s">
        <v>929</v>
      </c>
      <c r="E2" s="777" t="s">
        <v>930</v>
      </c>
    </row>
    <row r="3" spans="1:5">
      <c r="A3" s="55" t="s">
        <v>540</v>
      </c>
      <c r="B3" s="55" t="s">
        <v>160</v>
      </c>
      <c r="C3" s="88">
        <v>4050000</v>
      </c>
      <c r="D3" s="88"/>
      <c r="E3" s="765"/>
    </row>
    <row r="4" spans="1:5">
      <c r="A4" s="147" t="s">
        <v>543</v>
      </c>
      <c r="B4" s="147" t="s">
        <v>161</v>
      </c>
      <c r="C4" s="88">
        <v>500000</v>
      </c>
      <c r="D4" s="88"/>
      <c r="E4" s="765"/>
    </row>
    <row r="5" spans="1:5">
      <c r="A5" s="55" t="s">
        <v>545</v>
      </c>
      <c r="B5" s="55" t="s">
        <v>143</v>
      </c>
      <c r="C5" s="88">
        <v>541945</v>
      </c>
      <c r="D5" s="88">
        <v>541945</v>
      </c>
      <c r="E5" s="765"/>
    </row>
    <row r="6" spans="1:5">
      <c r="A6" s="55" t="s">
        <v>547</v>
      </c>
      <c r="B6" s="55" t="s">
        <v>162</v>
      </c>
      <c r="C6" s="88">
        <v>2218200</v>
      </c>
      <c r="D6" s="88"/>
      <c r="E6" s="765"/>
    </row>
    <row r="7" spans="1:5">
      <c r="A7" s="147" t="s">
        <v>549</v>
      </c>
      <c r="B7" s="147" t="s">
        <v>163</v>
      </c>
      <c r="C7" s="88" t="s">
        <v>575</v>
      </c>
      <c r="D7" s="88"/>
      <c r="E7" s="765"/>
    </row>
    <row r="8" spans="1:5">
      <c r="A8" s="147" t="s">
        <v>551</v>
      </c>
      <c r="B8" s="147" t="s">
        <v>164</v>
      </c>
      <c r="C8" s="88" t="s">
        <v>575</v>
      </c>
      <c r="D8" s="88"/>
      <c r="E8" s="765"/>
    </row>
    <row r="9" spans="1:5">
      <c r="A9" s="147" t="s">
        <v>553</v>
      </c>
      <c r="B9" s="147" t="s">
        <v>165</v>
      </c>
      <c r="C9" s="88">
        <v>2700000</v>
      </c>
      <c r="D9" s="88">
        <v>1700000</v>
      </c>
      <c r="E9" s="765">
        <v>1000000</v>
      </c>
    </row>
    <row r="10" spans="1:5">
      <c r="A10" s="55" t="s">
        <v>554</v>
      </c>
      <c r="B10" s="55" t="s">
        <v>166</v>
      </c>
      <c r="C10" s="88">
        <v>1000000</v>
      </c>
      <c r="D10" s="88"/>
      <c r="E10" s="765"/>
    </row>
    <row r="11" spans="1:5">
      <c r="A11" s="55" t="s">
        <v>555</v>
      </c>
      <c r="B11" s="55" t="s">
        <v>556</v>
      </c>
      <c r="C11" s="88"/>
      <c r="D11" s="88">
        <f>394200+500000</f>
        <v>894200</v>
      </c>
      <c r="E11" s="765"/>
    </row>
    <row r="12" spans="1:5">
      <c r="A12" s="55" t="s">
        <v>557</v>
      </c>
      <c r="B12" s="55" t="s">
        <v>167</v>
      </c>
      <c r="C12" s="88">
        <v>3992811</v>
      </c>
      <c r="D12" s="88"/>
      <c r="E12" s="765"/>
    </row>
    <row r="13" spans="1:5">
      <c r="A13" s="147" t="s">
        <v>559</v>
      </c>
      <c r="B13" s="147" t="s">
        <v>168</v>
      </c>
      <c r="C13" s="88">
        <v>500000</v>
      </c>
      <c r="D13" s="88"/>
      <c r="E13" s="765"/>
    </row>
    <row r="14" spans="1:5">
      <c r="A14" s="55" t="s">
        <v>560</v>
      </c>
      <c r="B14" s="55" t="s">
        <v>169</v>
      </c>
      <c r="C14" s="88" t="s">
        <v>575</v>
      </c>
      <c r="D14" s="88"/>
      <c r="E14" s="765"/>
    </row>
    <row r="15" spans="1:5">
      <c r="A15" s="55" t="s">
        <v>561</v>
      </c>
      <c r="B15" s="55" t="s">
        <v>170</v>
      </c>
      <c r="C15" s="88">
        <v>1810000</v>
      </c>
      <c r="D15" s="88"/>
      <c r="E15" s="765"/>
    </row>
    <row r="16" spans="1:5">
      <c r="A16" s="55" t="s">
        <v>563</v>
      </c>
      <c r="B16" s="55" t="s">
        <v>171</v>
      </c>
      <c r="C16" s="88" t="s">
        <v>575</v>
      </c>
      <c r="D16" s="88"/>
      <c r="E16" s="765"/>
    </row>
    <row r="17" spans="1:5">
      <c r="A17" s="55" t="s">
        <v>564</v>
      </c>
      <c r="B17" s="55" t="s">
        <v>172</v>
      </c>
      <c r="C17" s="88">
        <v>2700000</v>
      </c>
      <c r="D17" s="88"/>
      <c r="E17" s="765"/>
    </row>
    <row r="18" spans="1:5">
      <c r="A18" s="55" t="s">
        <v>565</v>
      </c>
      <c r="B18" s="55" t="s">
        <v>174</v>
      </c>
      <c r="C18" s="88">
        <v>2050000</v>
      </c>
      <c r="D18" s="88">
        <v>1800000</v>
      </c>
      <c r="E18" s="765"/>
    </row>
    <row r="19" spans="1:5">
      <c r="A19" s="147" t="s">
        <v>566</v>
      </c>
      <c r="B19" s="147" t="s">
        <v>175</v>
      </c>
      <c r="C19" s="88">
        <v>3555000</v>
      </c>
      <c r="D19" s="88"/>
      <c r="E19" s="765"/>
    </row>
    <row r="20" spans="1:5">
      <c r="A20" s="55" t="s">
        <v>567</v>
      </c>
      <c r="B20" s="55" t="s">
        <v>144</v>
      </c>
      <c r="C20" s="88">
        <v>3750000</v>
      </c>
      <c r="D20" s="88"/>
      <c r="E20" s="765"/>
    </row>
    <row r="21" spans="1:5">
      <c r="A21" s="147" t="s">
        <v>568</v>
      </c>
      <c r="B21" s="147" t="s">
        <v>176</v>
      </c>
      <c r="C21" s="88">
        <v>1300000</v>
      </c>
      <c r="D21" s="88"/>
      <c r="E21" s="765"/>
    </row>
    <row r="22" spans="1:5">
      <c r="A22" s="55" t="s">
        <v>569</v>
      </c>
      <c r="B22" s="55" t="s">
        <v>177</v>
      </c>
      <c r="C22" s="88">
        <v>2000000</v>
      </c>
      <c r="D22" s="88">
        <v>350000</v>
      </c>
      <c r="E22" s="765">
        <v>350000</v>
      </c>
    </row>
    <row r="23" spans="1:5">
      <c r="A23" s="55" t="s">
        <v>570</v>
      </c>
      <c r="B23" s="55" t="s">
        <v>178</v>
      </c>
      <c r="C23" s="88">
        <v>1000000</v>
      </c>
      <c r="D23" s="88">
        <v>500000</v>
      </c>
      <c r="E23" s="765">
        <v>500000</v>
      </c>
    </row>
    <row r="24" spans="1:5">
      <c r="A24" s="55" t="s">
        <v>571</v>
      </c>
      <c r="B24" s="55" t="s">
        <v>179</v>
      </c>
      <c r="C24" s="88">
        <v>500000</v>
      </c>
      <c r="D24" s="88">
        <v>500000</v>
      </c>
      <c r="E24" s="765"/>
    </row>
    <row r="25" spans="1:5">
      <c r="A25" s="55" t="s">
        <v>572</v>
      </c>
      <c r="B25" s="55" t="s">
        <v>180</v>
      </c>
      <c r="C25" s="88">
        <v>662222</v>
      </c>
      <c r="D25" s="88"/>
      <c r="E25" s="765"/>
    </row>
    <row r="26" spans="1:5">
      <c r="A26" s="55" t="s">
        <v>573</v>
      </c>
      <c r="B26" s="55" t="s">
        <v>181</v>
      </c>
      <c r="C26" s="88">
        <v>1600000</v>
      </c>
      <c r="D26" s="948">
        <v>500000</v>
      </c>
      <c r="E26" s="765"/>
    </row>
    <row r="27" spans="1:5">
      <c r="A27" s="55" t="s">
        <v>574</v>
      </c>
      <c r="B27" s="55" t="s">
        <v>182</v>
      </c>
      <c r="C27" s="88">
        <v>1150000</v>
      </c>
      <c r="D27" s="88">
        <v>1150000</v>
      </c>
      <c r="E27" s="765"/>
    </row>
    <row r="28" spans="1:5">
      <c r="A28" s="55" t="s">
        <v>576</v>
      </c>
      <c r="B28" s="55" t="s">
        <v>183</v>
      </c>
      <c r="C28" s="88" t="s">
        <v>575</v>
      </c>
      <c r="D28" s="88"/>
      <c r="E28" s="765"/>
    </row>
    <row r="29" spans="1:5">
      <c r="A29" s="147" t="s">
        <v>577</v>
      </c>
      <c r="B29" s="147" t="s">
        <v>184</v>
      </c>
      <c r="C29" s="88" t="s">
        <v>575</v>
      </c>
      <c r="D29" s="88"/>
      <c r="E29" s="765"/>
    </row>
    <row r="30" spans="1:5">
      <c r="A30" s="147" t="s">
        <v>578</v>
      </c>
      <c r="B30" s="147" t="s">
        <v>185</v>
      </c>
      <c r="C30" s="88" t="s">
        <v>575</v>
      </c>
      <c r="D30" s="88"/>
      <c r="E30" s="765"/>
    </row>
    <row r="31" spans="1:5">
      <c r="A31" s="147" t="s">
        <v>579</v>
      </c>
      <c r="B31" s="147" t="s">
        <v>186</v>
      </c>
      <c r="C31" s="88">
        <v>11000000</v>
      </c>
      <c r="D31" s="88"/>
      <c r="E31" s="765"/>
    </row>
    <row r="32" spans="1:5">
      <c r="A32" s="55" t="s">
        <v>580</v>
      </c>
      <c r="B32" s="55" t="s">
        <v>187</v>
      </c>
      <c r="C32" s="88">
        <v>100000</v>
      </c>
      <c r="D32" s="88"/>
      <c r="E32" s="765"/>
    </row>
    <row r="33" spans="1:5">
      <c r="A33" s="55" t="s">
        <v>581</v>
      </c>
      <c r="B33" s="55" t="s">
        <v>188</v>
      </c>
      <c r="C33" s="88">
        <v>5350000</v>
      </c>
      <c r="D33" s="88">
        <v>250899</v>
      </c>
      <c r="E33" s="765">
        <v>232314</v>
      </c>
    </row>
    <row r="34" spans="1:5">
      <c r="A34" s="55" t="s">
        <v>582</v>
      </c>
      <c r="B34" s="55" t="s">
        <v>189</v>
      </c>
      <c r="C34" s="88">
        <v>1500000</v>
      </c>
      <c r="D34" s="88">
        <v>1500000</v>
      </c>
      <c r="E34" s="765"/>
    </row>
    <row r="35" spans="1:5">
      <c r="A35" s="55" t="s">
        <v>584</v>
      </c>
      <c r="B35" s="55" t="s">
        <v>190</v>
      </c>
      <c r="C35" s="88" t="s">
        <v>575</v>
      </c>
      <c r="D35" s="88"/>
      <c r="E35" s="765"/>
    </row>
    <row r="36" spans="1:5">
      <c r="A36" s="55" t="s">
        <v>585</v>
      </c>
      <c r="B36" s="55" t="s">
        <v>191</v>
      </c>
      <c r="C36" s="88">
        <v>550000</v>
      </c>
      <c r="D36" s="88"/>
      <c r="E36" s="765"/>
    </row>
    <row r="37" spans="1:5">
      <c r="A37" s="55" t="s">
        <v>586</v>
      </c>
      <c r="B37" s="55" t="s">
        <v>192</v>
      </c>
      <c r="C37" s="88">
        <v>4476000</v>
      </c>
      <c r="D37" s="88">
        <v>600000</v>
      </c>
      <c r="E37" s="765"/>
    </row>
    <row r="38" spans="1:5">
      <c r="A38" s="147" t="s">
        <v>587</v>
      </c>
      <c r="B38" s="147" t="s">
        <v>193</v>
      </c>
      <c r="C38" s="88" t="s">
        <v>575</v>
      </c>
      <c r="D38" s="88"/>
      <c r="E38" s="765"/>
    </row>
    <row r="39" spans="1:5">
      <c r="A39" s="55" t="s">
        <v>588</v>
      </c>
      <c r="B39" s="55" t="s">
        <v>147</v>
      </c>
      <c r="C39" s="88" t="s">
        <v>575</v>
      </c>
      <c r="D39" s="88"/>
      <c r="E39" s="765"/>
    </row>
    <row r="40" spans="1:5">
      <c r="A40" s="55" t="s">
        <v>589</v>
      </c>
      <c r="B40" s="55" t="s">
        <v>194</v>
      </c>
      <c r="C40" s="88">
        <v>1100000</v>
      </c>
      <c r="D40" s="88"/>
      <c r="E40" s="765"/>
    </row>
    <row r="41" spans="1:5">
      <c r="A41" s="55" t="s">
        <v>590</v>
      </c>
      <c r="B41" s="55" t="s">
        <v>195</v>
      </c>
      <c r="C41" s="88" t="s">
        <v>575</v>
      </c>
      <c r="D41" s="88"/>
      <c r="E41" s="765"/>
    </row>
    <row r="42" spans="1:5">
      <c r="A42" s="147" t="s">
        <v>591</v>
      </c>
      <c r="B42" s="147" t="s">
        <v>196</v>
      </c>
      <c r="C42" s="88">
        <v>241451</v>
      </c>
      <c r="D42" s="88"/>
      <c r="E42" s="765"/>
    </row>
    <row r="43" spans="1:5">
      <c r="A43" s="55" t="s">
        <v>592</v>
      </c>
      <c r="B43" s="55" t="s">
        <v>197</v>
      </c>
      <c r="C43" s="88">
        <v>3320000</v>
      </c>
      <c r="D43" s="88"/>
      <c r="E43" s="765"/>
    </row>
    <row r="44" spans="1:5">
      <c r="A44" s="55" t="s">
        <v>593</v>
      </c>
      <c r="B44" s="55" t="s">
        <v>198</v>
      </c>
      <c r="C44" s="88">
        <v>5400000</v>
      </c>
      <c r="D44" s="88"/>
      <c r="E44" s="765"/>
    </row>
    <row r="45" spans="1:5">
      <c r="A45" s="55" t="s">
        <v>594</v>
      </c>
      <c r="B45" s="55" t="s">
        <v>199</v>
      </c>
      <c r="C45" s="88">
        <v>2800000</v>
      </c>
      <c r="D45" s="88"/>
      <c r="E45" s="765"/>
    </row>
    <row r="46" spans="1:5">
      <c r="A46" s="147" t="s">
        <v>595</v>
      </c>
      <c r="B46" s="147" t="s">
        <v>200</v>
      </c>
      <c r="C46" s="88" t="s">
        <v>575</v>
      </c>
      <c r="D46" s="88"/>
      <c r="E46" s="765"/>
    </row>
    <row r="47" spans="1:5">
      <c r="A47" s="55" t="s">
        <v>596</v>
      </c>
      <c r="B47" s="55" t="s">
        <v>201</v>
      </c>
      <c r="C47" s="88" t="s">
        <v>575</v>
      </c>
      <c r="D47" s="88"/>
      <c r="E47" s="765"/>
    </row>
    <row r="48" spans="1:5">
      <c r="A48" s="55" t="s">
        <v>597</v>
      </c>
      <c r="B48" s="55" t="s">
        <v>202</v>
      </c>
      <c r="C48" s="88">
        <v>2650000</v>
      </c>
      <c r="D48" s="88"/>
      <c r="E48" s="765"/>
    </row>
    <row r="49" spans="1:5">
      <c r="A49" s="55" t="s">
        <v>598</v>
      </c>
      <c r="B49" s="55" t="s">
        <v>203</v>
      </c>
      <c r="C49" s="88">
        <v>6900000</v>
      </c>
      <c r="D49" s="88"/>
      <c r="E49" s="765"/>
    </row>
    <row r="50" spans="1:5">
      <c r="A50" s="55" t="s">
        <v>599</v>
      </c>
      <c r="B50" s="55" t="s">
        <v>204</v>
      </c>
      <c r="C50" s="88">
        <f>D50</f>
        <v>1500000</v>
      </c>
      <c r="D50" s="88">
        <v>1500000</v>
      </c>
      <c r="E50" s="765">
        <v>1500000</v>
      </c>
    </row>
    <row r="51" spans="1:5">
      <c r="A51" s="55" t="s">
        <v>600</v>
      </c>
      <c r="B51" s="55" t="s">
        <v>205</v>
      </c>
      <c r="C51" s="88">
        <v>300000</v>
      </c>
      <c r="D51" s="88"/>
      <c r="E51" s="765"/>
    </row>
    <row r="52" spans="1:5">
      <c r="A52" s="55" t="s">
        <v>601</v>
      </c>
      <c r="B52" s="55" t="s">
        <v>206</v>
      </c>
      <c r="C52" s="88">
        <v>1085000</v>
      </c>
      <c r="D52" s="88">
        <v>1085000</v>
      </c>
      <c r="E52" s="765"/>
    </row>
    <row r="53" spans="1:5">
      <c r="A53" s="55" t="s">
        <v>602</v>
      </c>
      <c r="B53" s="55" t="s">
        <v>207</v>
      </c>
      <c r="C53" s="88">
        <v>4400000</v>
      </c>
      <c r="D53" s="88">
        <v>1000000</v>
      </c>
      <c r="E53" s="765"/>
    </row>
    <row r="54" spans="1:5">
      <c r="A54" s="55" t="s">
        <v>603</v>
      </c>
      <c r="B54" s="55" t="s">
        <v>208</v>
      </c>
      <c r="C54" s="88">
        <v>2950000</v>
      </c>
      <c r="D54" s="88"/>
      <c r="E54" s="765"/>
    </row>
    <row r="55" spans="1:5">
      <c r="A55" s="55" t="s">
        <v>604</v>
      </c>
      <c r="B55" s="55" t="s">
        <v>209</v>
      </c>
      <c r="C55" s="88" t="s">
        <v>575</v>
      </c>
      <c r="D55" s="88"/>
      <c r="E55" s="765"/>
    </row>
    <row r="56" spans="1:5">
      <c r="A56" s="147" t="s">
        <v>605</v>
      </c>
      <c r="B56" s="147" t="s">
        <v>210</v>
      </c>
      <c r="C56" s="88">
        <v>5395000</v>
      </c>
      <c r="D56" s="88"/>
      <c r="E56" s="765"/>
    </row>
    <row r="57" spans="1:5">
      <c r="A57" s="55" t="s">
        <v>606</v>
      </c>
      <c r="B57" s="55" t="s">
        <v>211</v>
      </c>
      <c r="C57" s="88">
        <v>2900000</v>
      </c>
      <c r="D57" s="88"/>
      <c r="E57" s="765"/>
    </row>
    <row r="58" spans="1:5">
      <c r="A58" s="55" t="s">
        <v>607</v>
      </c>
      <c r="B58" s="55" t="s">
        <v>212</v>
      </c>
      <c r="C58" s="88">
        <v>200000</v>
      </c>
      <c r="D58" s="88">
        <v>200000</v>
      </c>
      <c r="E58" s="765"/>
    </row>
    <row r="59" spans="1:5">
      <c r="A59" s="55" t="s">
        <v>608</v>
      </c>
      <c r="B59" s="55" t="s">
        <v>213</v>
      </c>
      <c r="C59" s="88">
        <f>D59</f>
        <v>705800</v>
      </c>
      <c r="D59" s="88">
        <v>705800</v>
      </c>
      <c r="E59" s="765">
        <v>283148</v>
      </c>
    </row>
    <row r="60" spans="1:5">
      <c r="A60" s="55" t="s">
        <v>609</v>
      </c>
      <c r="B60" s="55" t="s">
        <v>214</v>
      </c>
      <c r="C60" s="88">
        <v>2650000</v>
      </c>
      <c r="D60" s="88"/>
      <c r="E60" s="765"/>
    </row>
    <row r="61" spans="1:5">
      <c r="A61" s="55" t="s">
        <v>610</v>
      </c>
      <c r="B61" s="55" t="s">
        <v>215</v>
      </c>
      <c r="C61" s="88">
        <v>4652400</v>
      </c>
      <c r="D61" s="88"/>
      <c r="E61" s="765"/>
    </row>
    <row r="62" spans="1:5">
      <c r="A62" s="55" t="s">
        <v>611</v>
      </c>
      <c r="B62" s="55" t="s">
        <v>216</v>
      </c>
      <c r="C62" s="88">
        <v>36840139</v>
      </c>
      <c r="D62" s="88">
        <v>2000000</v>
      </c>
      <c r="E62" s="765">
        <v>500000</v>
      </c>
    </row>
    <row r="63" spans="1:5">
      <c r="A63" s="55" t="s">
        <v>612</v>
      </c>
      <c r="B63" s="55" t="s">
        <v>217</v>
      </c>
      <c r="C63" s="88">
        <v>13950000</v>
      </c>
      <c r="D63" s="88">
        <v>4700000</v>
      </c>
      <c r="E63" s="765">
        <v>1400000</v>
      </c>
    </row>
    <row r="64" spans="1:5">
      <c r="A64" s="55" t="s">
        <v>613</v>
      </c>
      <c r="B64" s="55" t="s">
        <v>149</v>
      </c>
      <c r="C64" s="88" t="s">
        <v>575</v>
      </c>
      <c r="D64" s="88"/>
      <c r="E64" s="765"/>
    </row>
    <row r="65" spans="1:5">
      <c r="A65" s="55" t="s">
        <v>614</v>
      </c>
      <c r="B65" s="55" t="s">
        <v>218</v>
      </c>
      <c r="C65" s="88">
        <v>1534768</v>
      </c>
      <c r="D65" s="88">
        <v>1290000</v>
      </c>
      <c r="E65" s="765"/>
    </row>
    <row r="66" spans="1:5">
      <c r="A66" s="147" t="s">
        <v>615</v>
      </c>
      <c r="B66" s="147" t="s">
        <v>219</v>
      </c>
      <c r="C66" s="88">
        <v>3450000</v>
      </c>
      <c r="D66" s="88"/>
      <c r="E66" s="765"/>
    </row>
    <row r="67" spans="1:5">
      <c r="A67" s="55" t="s">
        <v>616</v>
      </c>
      <c r="B67" s="55" t="s">
        <v>220</v>
      </c>
      <c r="C67" s="88">
        <v>2979126</v>
      </c>
      <c r="D67" s="88"/>
      <c r="E67" s="765"/>
    </row>
    <row r="68" spans="1:5">
      <c r="A68" s="147" t="s">
        <v>617</v>
      </c>
      <c r="B68" s="147" t="s">
        <v>221</v>
      </c>
      <c r="C68" s="88">
        <v>2450000</v>
      </c>
      <c r="D68" s="88">
        <v>700000</v>
      </c>
      <c r="E68" s="765">
        <v>200000</v>
      </c>
    </row>
    <row r="69" spans="1:5">
      <c r="A69" s="55" t="s">
        <v>618</v>
      </c>
      <c r="B69" s="55" t="s">
        <v>222</v>
      </c>
      <c r="C69" s="88">
        <v>3850000</v>
      </c>
      <c r="D69" s="88"/>
      <c r="E69" s="765"/>
    </row>
    <row r="70" spans="1:5">
      <c r="A70" s="55" t="s">
        <v>619</v>
      </c>
      <c r="B70" s="55" t="s">
        <v>223</v>
      </c>
      <c r="C70" s="88" t="s">
        <v>575</v>
      </c>
      <c r="D70" s="88"/>
      <c r="E70" s="765"/>
    </row>
    <row r="71" spans="1:5">
      <c r="A71" s="55" t="s">
        <v>620</v>
      </c>
      <c r="B71" s="55" t="s">
        <v>224</v>
      </c>
      <c r="C71" s="88" t="s">
        <v>575</v>
      </c>
      <c r="D71" s="88"/>
      <c r="E71" s="765"/>
    </row>
    <row r="72" spans="1:5">
      <c r="A72" s="55" t="s">
        <v>621</v>
      </c>
      <c r="B72" s="55" t="s">
        <v>225</v>
      </c>
      <c r="C72" s="88">
        <v>2500000</v>
      </c>
      <c r="D72" s="88"/>
      <c r="E72" s="765"/>
    </row>
    <row r="73" spans="1:5">
      <c r="A73" s="55" t="s">
        <v>622</v>
      </c>
      <c r="B73" s="55" t="s">
        <v>226</v>
      </c>
      <c r="C73" s="88">
        <v>3000000</v>
      </c>
      <c r="D73" s="88"/>
      <c r="E73" s="765"/>
    </row>
    <row r="74" spans="1:5">
      <c r="A74" s="55" t="s">
        <v>623</v>
      </c>
      <c r="B74" s="55" t="s">
        <v>227</v>
      </c>
      <c r="C74" s="88">
        <v>2900000</v>
      </c>
      <c r="D74" s="88">
        <v>1900000</v>
      </c>
      <c r="E74" s="765">
        <v>462963</v>
      </c>
    </row>
    <row r="75" spans="1:5">
      <c r="A75" s="55" t="s">
        <v>624</v>
      </c>
      <c r="B75" s="55" t="s">
        <v>228</v>
      </c>
      <c r="C75" s="88">
        <v>3150000</v>
      </c>
      <c r="D75" s="88"/>
      <c r="E75" s="765"/>
    </row>
    <row r="76" spans="1:5">
      <c r="A76" s="55" t="s">
        <v>625</v>
      </c>
      <c r="B76" s="55" t="s">
        <v>229</v>
      </c>
      <c r="C76" s="88">
        <v>1860000</v>
      </c>
      <c r="D76" s="88"/>
      <c r="E76" s="765"/>
    </row>
    <row r="77" spans="1:5">
      <c r="A77" s="55" t="s">
        <v>626</v>
      </c>
      <c r="B77" s="55" t="s">
        <v>230</v>
      </c>
      <c r="C77" s="88">
        <v>1900000</v>
      </c>
      <c r="D77" s="88">
        <v>500000</v>
      </c>
      <c r="E77" s="765">
        <v>535566</v>
      </c>
    </row>
    <row r="78" spans="1:5">
      <c r="A78" s="55" t="s">
        <v>627</v>
      </c>
      <c r="B78" s="55" t="s">
        <v>231</v>
      </c>
      <c r="C78" s="88">
        <v>1716264</v>
      </c>
      <c r="D78" s="88">
        <v>1716264</v>
      </c>
      <c r="E78" s="765"/>
    </row>
    <row r="79" spans="1:5">
      <c r="A79" s="55" t="s">
        <v>628</v>
      </c>
      <c r="B79" s="55" t="s">
        <v>232</v>
      </c>
      <c r="C79" s="88">
        <v>2650000</v>
      </c>
      <c r="D79" s="88"/>
      <c r="E79" s="765"/>
    </row>
    <row r="80" spans="1:5">
      <c r="A80" s="55" t="s">
        <v>629</v>
      </c>
      <c r="B80" s="55" t="s">
        <v>233</v>
      </c>
      <c r="C80" s="88" t="s">
        <v>575</v>
      </c>
      <c r="D80" s="88"/>
      <c r="E80" s="765"/>
    </row>
    <row r="81" spans="1:5">
      <c r="A81" s="147" t="s">
        <v>630</v>
      </c>
      <c r="B81" s="147" t="s">
        <v>234</v>
      </c>
      <c r="C81" s="88">
        <v>218600</v>
      </c>
      <c r="D81" s="88"/>
      <c r="E81" s="765"/>
    </row>
    <row r="82" spans="1:5">
      <c r="A82" s="55" t="s">
        <v>631</v>
      </c>
      <c r="B82" s="55" t="s">
        <v>235</v>
      </c>
      <c r="C82" s="88">
        <v>1000000</v>
      </c>
      <c r="D82" s="88"/>
      <c r="E82" s="765"/>
    </row>
    <row r="83" spans="1:5">
      <c r="A83" s="55" t="s">
        <v>632</v>
      </c>
      <c r="B83" s="55" t="s">
        <v>236</v>
      </c>
      <c r="C83" s="88">
        <v>3100000</v>
      </c>
      <c r="D83" s="88"/>
      <c r="E83" s="765"/>
    </row>
    <row r="84" spans="1:5">
      <c r="A84" s="147" t="s">
        <v>633</v>
      </c>
      <c r="B84" s="147" t="s">
        <v>237</v>
      </c>
      <c r="C84" s="88" t="s">
        <v>575</v>
      </c>
      <c r="D84" s="88"/>
      <c r="E84" s="765"/>
    </row>
    <row r="85" spans="1:5">
      <c r="A85" s="55" t="s">
        <v>634</v>
      </c>
      <c r="B85" s="55" t="s">
        <v>238</v>
      </c>
      <c r="C85" s="88">
        <v>862839</v>
      </c>
      <c r="D85" s="88">
        <v>862839</v>
      </c>
      <c r="E85" s="765"/>
    </row>
    <row r="86" spans="1:5">
      <c r="A86" s="55" t="s">
        <v>635</v>
      </c>
      <c r="B86" s="55" t="s">
        <v>239</v>
      </c>
      <c r="C86" s="88">
        <v>250000</v>
      </c>
      <c r="D86" s="88"/>
      <c r="E86" s="765"/>
    </row>
    <row r="87" spans="1:5">
      <c r="A87" s="147" t="s">
        <v>636</v>
      </c>
      <c r="B87" s="147" t="s">
        <v>240</v>
      </c>
      <c r="C87" s="88" t="s">
        <v>575</v>
      </c>
      <c r="D87" s="88"/>
      <c r="E87" s="765"/>
    </row>
    <row r="88" spans="1:5">
      <c r="A88" s="55" t="s">
        <v>637</v>
      </c>
      <c r="B88" s="55" t="s">
        <v>241</v>
      </c>
      <c r="C88" s="88" t="s">
        <v>575</v>
      </c>
      <c r="D88" s="88"/>
      <c r="E88" s="765"/>
    </row>
    <row r="89" spans="1:5">
      <c r="A89" s="55" t="s">
        <v>638</v>
      </c>
      <c r="B89" s="55" t="s">
        <v>242</v>
      </c>
      <c r="C89" s="88">
        <v>1900000</v>
      </c>
      <c r="D89" s="88">
        <v>726000</v>
      </c>
      <c r="E89" s="765">
        <v>200000</v>
      </c>
    </row>
    <row r="90" spans="1:5">
      <c r="A90" s="55" t="s">
        <v>639</v>
      </c>
      <c r="B90" s="55" t="s">
        <v>243</v>
      </c>
      <c r="C90" s="88">
        <v>500000</v>
      </c>
      <c r="D90" s="88">
        <v>250000</v>
      </c>
      <c r="E90" s="765">
        <v>250000</v>
      </c>
    </row>
    <row r="91" spans="1:5">
      <c r="A91" s="55" t="s">
        <v>640</v>
      </c>
      <c r="B91" s="55" t="s">
        <v>244</v>
      </c>
      <c r="C91" s="88">
        <v>800000</v>
      </c>
      <c r="D91" s="88"/>
      <c r="E91" s="765"/>
    </row>
    <row r="92" spans="1:5">
      <c r="A92" s="55" t="s">
        <v>641</v>
      </c>
      <c r="B92" s="55" t="s">
        <v>245</v>
      </c>
      <c r="C92" s="88">
        <v>3750000</v>
      </c>
      <c r="D92" s="88">
        <v>2500000</v>
      </c>
      <c r="E92" s="765">
        <v>1250000</v>
      </c>
    </row>
    <row r="93" spans="1:5">
      <c r="A93" s="55" t="s">
        <v>642</v>
      </c>
      <c r="B93" s="55" t="s">
        <v>246</v>
      </c>
      <c r="C93" s="88">
        <v>3450000</v>
      </c>
      <c r="D93" s="88"/>
      <c r="E93" s="765"/>
    </row>
    <row r="94" spans="1:5">
      <c r="A94" s="55" t="s">
        <v>643</v>
      </c>
      <c r="B94" s="55" t="s">
        <v>247</v>
      </c>
      <c r="C94" s="88">
        <v>2550000</v>
      </c>
      <c r="D94" s="88">
        <v>783056</v>
      </c>
      <c r="E94" s="765"/>
    </row>
    <row r="95" spans="1:5">
      <c r="A95" s="147" t="s">
        <v>644</v>
      </c>
      <c r="B95" s="147" t="s">
        <v>248</v>
      </c>
      <c r="C95" s="88">
        <v>3000000</v>
      </c>
      <c r="D95" s="88"/>
      <c r="E95" s="765"/>
    </row>
    <row r="96" spans="1:5">
      <c r="A96" s="147" t="s">
        <v>645</v>
      </c>
      <c r="B96" s="147" t="s">
        <v>249</v>
      </c>
      <c r="C96" s="88" t="s">
        <v>575</v>
      </c>
      <c r="D96" s="88"/>
      <c r="E96" s="765"/>
    </row>
    <row r="97" spans="1:5">
      <c r="A97" s="55" t="s">
        <v>646</v>
      </c>
      <c r="B97" s="55" t="s">
        <v>250</v>
      </c>
      <c r="C97" s="88">
        <v>4100000</v>
      </c>
      <c r="D97" s="88"/>
      <c r="E97" s="765"/>
    </row>
    <row r="98" spans="1:5">
      <c r="A98" s="55" t="s">
        <v>647</v>
      </c>
      <c r="B98" s="55" t="s">
        <v>251</v>
      </c>
      <c r="C98" s="88">
        <v>150000</v>
      </c>
      <c r="D98" s="88"/>
      <c r="E98" s="765"/>
    </row>
    <row r="99" spans="1:5">
      <c r="A99" s="55" t="s">
        <v>648</v>
      </c>
      <c r="B99" s="55" t="s">
        <v>252</v>
      </c>
      <c r="C99" s="88">
        <v>4750000</v>
      </c>
      <c r="D99" s="88">
        <v>500000</v>
      </c>
      <c r="E99" s="765">
        <v>500000</v>
      </c>
    </row>
    <row r="100" spans="1:5">
      <c r="A100" s="55" t="s">
        <v>649</v>
      </c>
      <c r="B100" s="55" t="s">
        <v>253</v>
      </c>
      <c r="C100" s="88">
        <v>1600863.3</v>
      </c>
      <c r="D100" s="88"/>
      <c r="E100" s="765"/>
    </row>
    <row r="101" spans="1:5">
      <c r="A101" s="147" t="s">
        <v>650</v>
      </c>
      <c r="B101" s="147" t="s">
        <v>254</v>
      </c>
      <c r="C101" s="88">
        <v>1000000</v>
      </c>
      <c r="D101" s="88"/>
      <c r="E101" s="765"/>
    </row>
    <row r="102" spans="1:5">
      <c r="A102" s="55" t="s">
        <v>651</v>
      </c>
      <c r="B102" s="55" t="s">
        <v>255</v>
      </c>
      <c r="C102" s="88">
        <v>2500000</v>
      </c>
      <c r="D102" s="88">
        <v>950000</v>
      </c>
      <c r="E102" s="765">
        <v>368889</v>
      </c>
    </row>
    <row r="103" spans="1:5">
      <c r="A103" s="147" t="s">
        <v>652</v>
      </c>
      <c r="B103" s="147" t="s">
        <v>256</v>
      </c>
      <c r="C103" s="88" t="s">
        <v>575</v>
      </c>
      <c r="D103" s="88"/>
      <c r="E103" s="765"/>
    </row>
    <row r="104" spans="1:5">
      <c r="A104" s="55" t="s">
        <v>653</v>
      </c>
      <c r="B104" s="55" t="s">
        <v>257</v>
      </c>
      <c r="C104" s="88">
        <v>200000</v>
      </c>
      <c r="D104" s="88"/>
      <c r="E104" s="765"/>
    </row>
    <row r="105" spans="1:5">
      <c r="A105" s="55" t="s">
        <v>654</v>
      </c>
      <c r="B105" s="55" t="s">
        <v>258</v>
      </c>
      <c r="C105" s="88">
        <v>4500000</v>
      </c>
      <c r="D105" s="88">
        <v>500000</v>
      </c>
      <c r="E105" s="765">
        <v>500000</v>
      </c>
    </row>
    <row r="106" spans="1:5">
      <c r="A106" s="147" t="s">
        <v>655</v>
      </c>
      <c r="B106" s="147" t="s">
        <v>259</v>
      </c>
      <c r="C106" s="88">
        <v>2500000</v>
      </c>
      <c r="D106" s="88"/>
      <c r="E106" s="765"/>
    </row>
    <row r="107" spans="1:5">
      <c r="A107" s="147" t="s">
        <v>656</v>
      </c>
      <c r="B107" s="147" t="s">
        <v>260</v>
      </c>
      <c r="C107" s="88">
        <v>6713840</v>
      </c>
      <c r="D107" s="88"/>
      <c r="E107" s="765"/>
    </row>
    <row r="108" spans="1:5">
      <c r="A108" s="55" t="s">
        <v>657</v>
      </c>
      <c r="B108" s="55" t="s">
        <v>261</v>
      </c>
      <c r="C108" s="88">
        <v>5300000</v>
      </c>
      <c r="D108" s="88">
        <v>1600000</v>
      </c>
      <c r="E108" s="765">
        <v>535556</v>
      </c>
    </row>
    <row r="109" spans="1:5">
      <c r="A109" s="147" t="s">
        <v>658</v>
      </c>
      <c r="B109" s="147" t="s">
        <v>262</v>
      </c>
      <c r="C109" s="88" t="s">
        <v>575</v>
      </c>
      <c r="D109" s="88"/>
      <c r="E109" s="765"/>
    </row>
    <row r="110" spans="1:5">
      <c r="A110" s="147" t="s">
        <v>659</v>
      </c>
      <c r="B110" s="147" t="s">
        <v>151</v>
      </c>
      <c r="C110" s="88">
        <v>2400000</v>
      </c>
      <c r="D110" s="88">
        <v>1200000</v>
      </c>
      <c r="E110" s="765"/>
    </row>
    <row r="111" spans="1:5">
      <c r="A111" s="147" t="s">
        <v>660</v>
      </c>
      <c r="B111" s="147" t="s">
        <v>263</v>
      </c>
      <c r="C111" s="88" t="s">
        <v>575</v>
      </c>
      <c r="D111" s="88"/>
      <c r="E111" s="765"/>
    </row>
    <row r="112" spans="1:5">
      <c r="A112" s="55" t="s">
        <v>661</v>
      </c>
      <c r="B112" s="55" t="s">
        <v>264</v>
      </c>
      <c r="C112" s="88">
        <v>1830000</v>
      </c>
      <c r="D112" s="88"/>
      <c r="E112" s="765"/>
    </row>
    <row r="113" spans="1:5">
      <c r="A113" s="55" t="s">
        <v>662</v>
      </c>
      <c r="B113" s="55" t="s">
        <v>265</v>
      </c>
      <c r="C113" s="88" t="s">
        <v>575</v>
      </c>
      <c r="D113" s="88"/>
      <c r="E113" s="765"/>
    </row>
    <row r="114" spans="1:5">
      <c r="A114" s="55" t="s">
        <v>663</v>
      </c>
      <c r="B114" s="55" t="s">
        <v>266</v>
      </c>
      <c r="C114" s="88">
        <v>200000</v>
      </c>
      <c r="D114" s="88">
        <v>200000</v>
      </c>
      <c r="E114" s="765"/>
    </row>
    <row r="115" spans="1:5">
      <c r="A115" s="58" t="s">
        <v>664</v>
      </c>
      <c r="B115" s="58" t="s">
        <v>267</v>
      </c>
      <c r="C115" s="88">
        <v>2200000</v>
      </c>
      <c r="D115" s="88">
        <v>900000</v>
      </c>
      <c r="E115" s="765">
        <v>700000</v>
      </c>
    </row>
    <row r="116" spans="1:5">
      <c r="A116" s="149" t="s">
        <v>665</v>
      </c>
      <c r="B116" s="149" t="s">
        <v>153</v>
      </c>
      <c r="C116" s="88">
        <v>2500000</v>
      </c>
      <c r="D116" s="88"/>
      <c r="E116" s="765"/>
    </row>
    <row r="117" spans="1:5">
      <c r="A117" s="57" t="s">
        <v>666</v>
      </c>
      <c r="B117" s="57" t="s">
        <v>268</v>
      </c>
      <c r="C117" s="88">
        <v>330000</v>
      </c>
      <c r="D117" s="88"/>
      <c r="E117" s="765"/>
    </row>
    <row r="118" spans="1:5">
      <c r="A118" s="57" t="s">
        <v>667</v>
      </c>
      <c r="B118" s="57" t="s">
        <v>269</v>
      </c>
      <c r="C118" s="88">
        <v>2000000</v>
      </c>
      <c r="D118" s="88">
        <v>1450000</v>
      </c>
      <c r="E118" s="765">
        <v>750000</v>
      </c>
    </row>
    <row r="119" spans="1:5">
      <c r="A119" s="57" t="s">
        <v>668</v>
      </c>
      <c r="B119" s="57" t="s">
        <v>270</v>
      </c>
      <c r="C119" s="88" t="s">
        <v>575</v>
      </c>
      <c r="D119" s="88"/>
      <c r="E119" s="765"/>
    </row>
    <row r="120" spans="1:5">
      <c r="A120" s="57" t="s">
        <v>669</v>
      </c>
      <c r="B120" s="57" t="s">
        <v>271</v>
      </c>
      <c r="C120" s="88">
        <v>1500000</v>
      </c>
      <c r="D120" s="88">
        <v>1500000</v>
      </c>
      <c r="E120" s="765"/>
    </row>
    <row r="121" spans="1:5">
      <c r="A121" s="57" t="s">
        <v>670</v>
      </c>
      <c r="B121" s="57" t="s">
        <v>272</v>
      </c>
      <c r="C121" s="88">
        <v>10000000</v>
      </c>
      <c r="D121" s="88"/>
      <c r="E121" s="765"/>
    </row>
    <row r="122" spans="1:5">
      <c r="A122" s="57" t="s">
        <v>671</v>
      </c>
      <c r="B122" s="57" t="s">
        <v>273</v>
      </c>
      <c r="C122" s="88">
        <v>2934755</v>
      </c>
      <c r="D122" s="88"/>
      <c r="E122" s="765"/>
    </row>
    <row r="123" spans="1:5">
      <c r="A123" s="57" t="s">
        <v>672</v>
      </c>
      <c r="B123" s="57" t="s">
        <v>274</v>
      </c>
      <c r="C123" s="88">
        <v>1000000</v>
      </c>
      <c r="D123" s="88"/>
      <c r="E123" s="765"/>
    </row>
    <row r="124" spans="1:5">
      <c r="A124" s="149" t="s">
        <v>673</v>
      </c>
      <c r="B124" s="149" t="s">
        <v>275</v>
      </c>
      <c r="C124" s="88" t="s">
        <v>575</v>
      </c>
      <c r="D124" s="88"/>
      <c r="E124" s="765"/>
    </row>
    <row r="125" spans="1:5">
      <c r="A125" s="57" t="s">
        <v>674</v>
      </c>
      <c r="B125" s="57" t="s">
        <v>154</v>
      </c>
      <c r="C125" s="88" t="s">
        <v>575</v>
      </c>
      <c r="D125" s="88"/>
      <c r="E125" s="765"/>
    </row>
    <row r="126" spans="1:5">
      <c r="A126" s="57" t="s">
        <v>675</v>
      </c>
      <c r="B126" s="57" t="s">
        <v>155</v>
      </c>
      <c r="C126" s="88" t="s">
        <v>575</v>
      </c>
      <c r="D126" s="88"/>
      <c r="E126" s="765"/>
    </row>
    <row r="127" spans="1:5">
      <c r="A127" s="57" t="s">
        <v>676</v>
      </c>
      <c r="B127" s="57" t="s">
        <v>276</v>
      </c>
      <c r="C127" s="88">
        <v>900000</v>
      </c>
      <c r="D127" s="88"/>
      <c r="E127" s="765"/>
    </row>
    <row r="128" spans="1:5">
      <c r="A128" s="57" t="s">
        <v>677</v>
      </c>
      <c r="B128" s="57" t="s">
        <v>277</v>
      </c>
      <c r="C128" s="88">
        <v>710000</v>
      </c>
      <c r="D128" s="88"/>
      <c r="E128" s="765"/>
    </row>
    <row r="129" spans="1:5">
      <c r="A129" s="149" t="s">
        <v>678</v>
      </c>
      <c r="B129" s="149" t="s">
        <v>278</v>
      </c>
      <c r="C129" s="88" t="s">
        <v>575</v>
      </c>
      <c r="D129" s="88"/>
      <c r="E129" s="765"/>
    </row>
    <row r="130" spans="1:5">
      <c r="A130" s="57" t="s">
        <v>679</v>
      </c>
      <c r="B130" s="57" t="s">
        <v>279</v>
      </c>
      <c r="C130" s="88">
        <v>300000</v>
      </c>
      <c r="D130" s="88"/>
      <c r="E130" s="765"/>
    </row>
    <row r="131" spans="1:5">
      <c r="A131" s="57" t="s">
        <v>680</v>
      </c>
      <c r="B131" s="57" t="s">
        <v>280</v>
      </c>
      <c r="C131" s="88">
        <v>1952000</v>
      </c>
      <c r="D131" s="88"/>
      <c r="E131" s="765"/>
    </row>
    <row r="132" spans="1:5">
      <c r="A132" s="57" t="s">
        <v>681</v>
      </c>
      <c r="B132" s="57" t="s">
        <v>156</v>
      </c>
      <c r="C132" s="88">
        <v>2500000</v>
      </c>
      <c r="D132" s="88">
        <v>750000</v>
      </c>
      <c r="E132" s="765"/>
    </row>
    <row r="133" spans="1:5">
      <c r="A133" s="149" t="s">
        <v>682</v>
      </c>
      <c r="B133" s="149" t="s">
        <v>157</v>
      </c>
      <c r="C133" s="88">
        <v>1200000</v>
      </c>
      <c r="D133" s="88"/>
      <c r="E133" s="765"/>
    </row>
    <row r="134" spans="1:5">
      <c r="A134" s="57" t="s">
        <v>683</v>
      </c>
      <c r="B134" s="57" t="s">
        <v>281</v>
      </c>
      <c r="C134" s="88">
        <v>725723</v>
      </c>
      <c r="D134" s="88"/>
      <c r="E134" s="765"/>
    </row>
    <row r="135" spans="1:5">
      <c r="A135" s="57" t="s">
        <v>684</v>
      </c>
      <c r="B135" s="57" t="s">
        <v>282</v>
      </c>
      <c r="C135" s="88">
        <v>500000</v>
      </c>
      <c r="D135" s="88"/>
      <c r="E135" s="765"/>
    </row>
    <row r="136" spans="1:5">
      <c r="A136" s="57" t="s">
        <v>685</v>
      </c>
      <c r="B136" s="57" t="s">
        <v>283</v>
      </c>
      <c r="C136" s="88" t="s">
        <v>575</v>
      </c>
      <c r="D136" s="88"/>
      <c r="E136" s="765"/>
    </row>
    <row r="137" spans="1:5">
      <c r="A137" s="57" t="s">
        <v>686</v>
      </c>
      <c r="B137" s="57" t="s">
        <v>284</v>
      </c>
      <c r="C137" s="88" t="s">
        <v>575</v>
      </c>
      <c r="D137" s="88"/>
      <c r="E137" s="765"/>
    </row>
    <row r="138" spans="1:5">
      <c r="A138" s="57" t="s">
        <v>687</v>
      </c>
      <c r="B138" s="57" t="s">
        <v>285</v>
      </c>
      <c r="C138" s="88">
        <v>3000000</v>
      </c>
      <c r="D138" s="88">
        <v>3000000</v>
      </c>
      <c r="E138" s="765">
        <v>3000000</v>
      </c>
    </row>
    <row r="139" spans="1:5">
      <c r="A139" s="149" t="s">
        <v>688</v>
      </c>
      <c r="B139" s="149" t="s">
        <v>286</v>
      </c>
      <c r="C139" s="88" t="s">
        <v>575</v>
      </c>
      <c r="D139" s="88"/>
      <c r="E139" s="765"/>
    </row>
    <row r="140" spans="1:5">
      <c r="A140" s="57" t="s">
        <v>689</v>
      </c>
      <c r="B140" s="57" t="s">
        <v>287</v>
      </c>
      <c r="C140" s="88" t="s">
        <v>575</v>
      </c>
      <c r="D140" s="88"/>
      <c r="E140" s="765"/>
    </row>
    <row r="141" spans="1:5">
      <c r="A141" s="57" t="s">
        <v>690</v>
      </c>
      <c r="B141" s="57" t="s">
        <v>288</v>
      </c>
      <c r="C141" s="88" t="s">
        <v>575</v>
      </c>
      <c r="D141" s="88"/>
      <c r="E141" s="765"/>
    </row>
    <row r="142" spans="1:5">
      <c r="A142" s="57" t="s">
        <v>691</v>
      </c>
      <c r="B142" s="57" t="s">
        <v>289</v>
      </c>
      <c r="C142" s="88">
        <v>4863335</v>
      </c>
      <c r="D142" s="88"/>
      <c r="E142" s="765"/>
    </row>
    <row r="143" spans="1:5">
      <c r="A143" s="57" t="s">
        <v>692</v>
      </c>
      <c r="B143" s="57" t="s">
        <v>290</v>
      </c>
      <c r="C143" s="88">
        <v>4950000</v>
      </c>
      <c r="D143" s="88"/>
      <c r="E143" s="765"/>
    </row>
    <row r="144" spans="1:5">
      <c r="A144" s="149" t="s">
        <v>693</v>
      </c>
      <c r="B144" s="149" t="s">
        <v>291</v>
      </c>
      <c r="C144" s="88" t="s">
        <v>575</v>
      </c>
      <c r="D144" s="88"/>
      <c r="E144" s="765"/>
    </row>
    <row r="145" spans="1:5">
      <c r="A145" s="57" t="s">
        <v>694</v>
      </c>
      <c r="B145" s="57" t="s">
        <v>292</v>
      </c>
      <c r="C145" s="88">
        <v>3100000</v>
      </c>
      <c r="D145" s="88">
        <v>2600000</v>
      </c>
      <c r="E145" s="765">
        <v>900000</v>
      </c>
    </row>
    <row r="146" spans="1:5">
      <c r="A146" s="57" t="s">
        <v>695</v>
      </c>
      <c r="B146" s="57" t="s">
        <v>293</v>
      </c>
      <c r="C146" s="88" t="s">
        <v>575</v>
      </c>
      <c r="D146" s="88"/>
      <c r="E146" s="765"/>
    </row>
    <row r="147" spans="1:5">
      <c r="A147" s="57" t="s">
        <v>696</v>
      </c>
      <c r="B147" s="57" t="s">
        <v>294</v>
      </c>
      <c r="C147" s="88" t="s">
        <v>575</v>
      </c>
      <c r="D147" s="88"/>
      <c r="E147" s="765"/>
    </row>
    <row r="148" spans="1:5">
      <c r="A148" s="57" t="s">
        <v>697</v>
      </c>
      <c r="B148" s="57" t="s">
        <v>295</v>
      </c>
      <c r="C148" s="88">
        <v>2037000</v>
      </c>
      <c r="D148" s="88"/>
      <c r="E148" s="765"/>
    </row>
    <row r="149" spans="1:5">
      <c r="A149" s="57" t="s">
        <v>698</v>
      </c>
      <c r="B149" s="57" t="s">
        <v>296</v>
      </c>
      <c r="C149" s="88">
        <v>2878000</v>
      </c>
      <c r="D149" s="88">
        <v>1400000</v>
      </c>
      <c r="E149" s="765"/>
    </row>
    <row r="150" spans="1:5">
      <c r="A150" s="61" t="s">
        <v>699</v>
      </c>
      <c r="B150" s="61" t="s">
        <v>297</v>
      </c>
      <c r="C150" s="88">
        <v>3200000</v>
      </c>
      <c r="D150" s="88">
        <v>1250000</v>
      </c>
      <c r="E150" s="765">
        <v>1250000</v>
      </c>
    </row>
    <row r="151" spans="1:5">
      <c r="A151" s="55" t="s">
        <v>700</v>
      </c>
      <c r="B151" s="55" t="s">
        <v>298</v>
      </c>
      <c r="C151" s="88">
        <v>2500000</v>
      </c>
      <c r="D151" s="88"/>
      <c r="E151" s="765"/>
    </row>
    <row r="152" spans="1:5">
      <c r="C152" s="803">
        <f>SUM(C3:C151)</f>
        <v>311343081.30000001</v>
      </c>
      <c r="D152" s="803">
        <f t="shared" ref="D152:E152" si="0">SUM(D3:D151)</f>
        <v>50506003</v>
      </c>
      <c r="E152" s="803">
        <f t="shared" si="0"/>
        <v>17168436</v>
      </c>
    </row>
    <row r="158" spans="1:5">
      <c r="A158" s="53">
        <v>1</v>
      </c>
      <c r="B158" s="53">
        <v>2</v>
      </c>
    </row>
  </sheetData>
  <autoFilter ref="A2:E151" xr:uid="{75CCED74-7850-4511-BBDC-3882E789459C}"/>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dimension ref="C2:D17"/>
  <sheetViews>
    <sheetView topLeftCell="B3"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96</v>
      </c>
      <c r="D3" s="394" t="s">
        <v>931</v>
      </c>
    </row>
    <row r="4" spans="3:4">
      <c r="C4" s="389" t="s">
        <v>98</v>
      </c>
      <c r="D4" s="392" t="s">
        <v>99</v>
      </c>
    </row>
    <row r="5" spans="3:4">
      <c r="C5" s="142" t="s">
        <v>100</v>
      </c>
      <c r="D5" s="143" t="s">
        <v>99</v>
      </c>
    </row>
    <row r="6" spans="3:4">
      <c r="C6" s="142" t="s">
        <v>101</v>
      </c>
      <c r="D6" s="143" t="s">
        <v>102</v>
      </c>
    </row>
    <row r="7" spans="3:4">
      <c r="C7" s="142" t="s">
        <v>103</v>
      </c>
      <c r="D7" s="143" t="s">
        <v>102</v>
      </c>
    </row>
    <row r="8" spans="3:4">
      <c r="C8" s="142" t="s">
        <v>39</v>
      </c>
      <c r="D8" s="143" t="s">
        <v>932</v>
      </c>
    </row>
    <row r="9" spans="3:4">
      <c r="C9" s="142" t="s">
        <v>933</v>
      </c>
      <c r="D9" s="143" t="s">
        <v>932</v>
      </c>
    </row>
    <row r="10" spans="3:4">
      <c r="C10" s="142" t="s">
        <v>54</v>
      </c>
      <c r="D10" s="143" t="s">
        <v>104</v>
      </c>
    </row>
    <row r="11" spans="3:4">
      <c r="C11" s="142" t="s">
        <v>105</v>
      </c>
      <c r="D11" s="143" t="s">
        <v>104</v>
      </c>
    </row>
    <row r="12" spans="3:4">
      <c r="C12" s="142" t="s">
        <v>58</v>
      </c>
      <c r="D12" s="143" t="s">
        <v>106</v>
      </c>
    </row>
    <row r="13" spans="3:4">
      <c r="C13" s="142" t="s">
        <v>107</v>
      </c>
      <c r="D13" s="143" t="s">
        <v>104</v>
      </c>
    </row>
    <row r="14" spans="3:4">
      <c r="C14" s="142" t="s">
        <v>108</v>
      </c>
      <c r="D14" s="143" t="s">
        <v>104</v>
      </c>
    </row>
    <row r="15" spans="3:4">
      <c r="C15" s="142" t="s">
        <v>109</v>
      </c>
      <c r="D15" s="143" t="s">
        <v>104</v>
      </c>
    </row>
    <row r="16" spans="3:4">
      <c r="C16" s="142" t="s">
        <v>110</v>
      </c>
      <c r="D16" s="143" t="s">
        <v>111</v>
      </c>
    </row>
    <row r="17" spans="3:4" ht="16" thickBot="1">
      <c r="C17" s="144" t="s">
        <v>48</v>
      </c>
      <c r="D17" s="252" t="s">
        <v>104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dimension ref="A2:W84"/>
  <sheetViews>
    <sheetView zoomScale="50" zoomScaleNormal="50" workbookViewId="0">
      <pane xSplit="2" ySplit="4" topLeftCell="C55" activePane="bottomRight" state="frozen"/>
      <selection pane="topRight" activeCell="C1" sqref="C1"/>
      <selection pane="bottomLeft" activeCell="A5" sqref="A5"/>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934</v>
      </c>
      <c r="C2" s="140">
        <f>COUNTIF(C4:C83,"approved")</f>
        <v>67</v>
      </c>
      <c r="N2" s="247"/>
      <c r="O2" s="247"/>
      <c r="Q2" s="247"/>
      <c r="U2" s="671"/>
    </row>
    <row r="3" spans="1:23" ht="16" thickBot="1">
      <c r="R3" s="1265" t="s">
        <v>935</v>
      </c>
      <c r="S3" s="1265"/>
      <c r="T3" s="1265"/>
      <c r="U3" s="1265"/>
      <c r="V3" s="1265"/>
      <c r="W3" s="1265"/>
    </row>
    <row r="4" spans="1:23" s="250" customFormat="1" ht="78" thickBot="1">
      <c r="A4" s="248" t="s">
        <v>825</v>
      </c>
      <c r="B4" s="245" t="s">
        <v>358</v>
      </c>
      <c r="C4" s="245" t="s">
        <v>827</v>
      </c>
      <c r="D4" s="245" t="s">
        <v>828</v>
      </c>
      <c r="E4" s="245" t="s">
        <v>96</v>
      </c>
      <c r="F4" s="245" t="s">
        <v>936</v>
      </c>
      <c r="G4" s="245" t="s">
        <v>937</v>
      </c>
      <c r="H4" s="245" t="s">
        <v>938</v>
      </c>
      <c r="I4" s="245" t="s">
        <v>939</v>
      </c>
      <c r="J4" s="245" t="s">
        <v>940</v>
      </c>
      <c r="K4" s="245" t="s">
        <v>829</v>
      </c>
      <c r="L4" s="245" t="s">
        <v>941</v>
      </c>
      <c r="M4" s="245" t="s">
        <v>942</v>
      </c>
      <c r="N4" s="249" t="s">
        <v>831</v>
      </c>
      <c r="O4" s="249" t="s">
        <v>832</v>
      </c>
      <c r="P4" s="245" t="s">
        <v>833</v>
      </c>
      <c r="Q4" s="249" t="s">
        <v>834</v>
      </c>
      <c r="R4" s="672" t="s">
        <v>943</v>
      </c>
      <c r="S4" s="673" t="s">
        <v>944</v>
      </c>
      <c r="T4" s="674" t="s">
        <v>945</v>
      </c>
      <c r="U4" s="674" t="s">
        <v>946</v>
      </c>
      <c r="V4" s="674" t="s">
        <v>947</v>
      </c>
      <c r="W4" s="663" t="s">
        <v>827</v>
      </c>
    </row>
    <row r="5" spans="1:23" ht="46.5">
      <c r="A5" s="389" t="s">
        <v>540</v>
      </c>
      <c r="B5" s="13" t="s">
        <v>160</v>
      </c>
      <c r="C5" s="13" t="s">
        <v>406</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890</v>
      </c>
      <c r="P5" s="13"/>
      <c r="Q5" s="391"/>
      <c r="R5" s="27" t="s">
        <v>948</v>
      </c>
      <c r="S5" s="667" t="s">
        <v>949</v>
      </c>
      <c r="T5" s="666"/>
      <c r="U5" s="23" t="s">
        <v>950</v>
      </c>
      <c r="V5" s="23">
        <v>3450000</v>
      </c>
      <c r="W5" s="2" t="s">
        <v>951</v>
      </c>
    </row>
    <row r="6" spans="1:23" ht="31">
      <c r="A6" s="142" t="s">
        <v>547</v>
      </c>
      <c r="B6" s="2" t="s">
        <v>162</v>
      </c>
      <c r="C6" s="2" t="s">
        <v>406</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97"/>
      <c r="O6" s="697"/>
      <c r="P6" s="2"/>
      <c r="Q6" s="697"/>
      <c r="R6" s="23" t="s">
        <v>952</v>
      </c>
      <c r="S6" s="664" t="s">
        <v>953</v>
      </c>
      <c r="T6" s="666">
        <v>44075</v>
      </c>
      <c r="U6" s="23" t="s">
        <v>954</v>
      </c>
      <c r="V6" s="665">
        <v>49958458</v>
      </c>
      <c r="W6" s="2" t="s">
        <v>955</v>
      </c>
    </row>
    <row r="7" spans="1:23">
      <c r="A7" s="142" t="s">
        <v>551</v>
      </c>
      <c r="B7" s="2" t="s">
        <v>164</v>
      </c>
      <c r="C7" s="2" t="s">
        <v>406</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97"/>
      <c r="O7" s="697"/>
      <c r="P7" s="2"/>
      <c r="Q7" s="697"/>
      <c r="R7" s="23"/>
      <c r="S7" s="664"/>
      <c r="T7" s="666"/>
      <c r="U7" s="23"/>
      <c r="V7" s="665"/>
      <c r="W7" s="2"/>
    </row>
    <row r="8" spans="1:23">
      <c r="A8" s="142" t="s">
        <v>554</v>
      </c>
      <c r="B8" s="2" t="s">
        <v>166</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97"/>
      <c r="O8" s="697"/>
      <c r="P8" s="2"/>
      <c r="Q8" s="697"/>
      <c r="R8" s="23"/>
      <c r="S8" s="664"/>
      <c r="T8" s="666"/>
      <c r="U8" s="23"/>
      <c r="V8" s="665"/>
      <c r="W8" s="2"/>
    </row>
    <row r="9" spans="1:23">
      <c r="A9" s="142" t="s">
        <v>563</v>
      </c>
      <c r="B9" s="338" t="s">
        <v>171</v>
      </c>
      <c r="C9" s="2" t="s">
        <v>406</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97"/>
      <c r="O9" s="697"/>
      <c r="P9" s="2"/>
      <c r="Q9" s="697"/>
      <c r="R9" s="23"/>
      <c r="S9" s="664"/>
      <c r="T9" s="666"/>
      <c r="U9" s="23"/>
      <c r="V9" s="665"/>
      <c r="W9" s="2"/>
    </row>
    <row r="10" spans="1:23" ht="77.5">
      <c r="A10" s="142" t="s">
        <v>561</v>
      </c>
      <c r="B10" s="2" t="s">
        <v>170</v>
      </c>
      <c r="C10" s="2" t="s">
        <v>406</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97"/>
      <c r="O10" s="697" t="s">
        <v>890</v>
      </c>
      <c r="P10" s="2"/>
      <c r="Q10" s="697"/>
      <c r="R10" s="23" t="s">
        <v>956</v>
      </c>
      <c r="S10" s="664" t="s">
        <v>957</v>
      </c>
      <c r="T10" s="666" t="s">
        <v>958</v>
      </c>
      <c r="U10" s="23" t="s">
        <v>959</v>
      </c>
      <c r="V10" s="665" t="s">
        <v>960</v>
      </c>
      <c r="W10" s="23" t="s">
        <v>961</v>
      </c>
    </row>
    <row r="11" spans="1:23" ht="31">
      <c r="A11" s="142" t="s">
        <v>557</v>
      </c>
      <c r="B11" s="2" t="s">
        <v>167</v>
      </c>
      <c r="C11" s="2" t="s">
        <v>406</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97"/>
      <c r="O11" s="697"/>
      <c r="P11" s="2"/>
      <c r="Q11" s="697"/>
      <c r="R11" s="23" t="s">
        <v>962</v>
      </c>
      <c r="S11" s="664" t="s">
        <v>963</v>
      </c>
      <c r="T11" s="666"/>
      <c r="U11" s="23" t="s">
        <v>964</v>
      </c>
      <c r="V11" s="665">
        <v>5241332</v>
      </c>
      <c r="W11" s="2" t="s">
        <v>951</v>
      </c>
    </row>
    <row r="12" spans="1:23">
      <c r="A12" s="142" t="s">
        <v>564</v>
      </c>
      <c r="B12" s="2" t="s">
        <v>715</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97"/>
      <c r="O12" s="697"/>
      <c r="P12" s="2"/>
      <c r="Q12" s="697"/>
      <c r="R12" s="23"/>
      <c r="S12" s="664"/>
      <c r="T12" s="666"/>
      <c r="U12" s="23"/>
      <c r="V12" s="665"/>
      <c r="W12" s="2"/>
    </row>
    <row r="13" spans="1:23">
      <c r="A13" s="142" t="s">
        <v>570</v>
      </c>
      <c r="B13" s="2" t="s">
        <v>178</v>
      </c>
      <c r="C13" s="2" t="s">
        <v>406</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97"/>
      <c r="O13" s="697"/>
      <c r="P13" s="2"/>
      <c r="Q13" s="697"/>
      <c r="R13" s="23"/>
      <c r="S13" s="664"/>
      <c r="T13" s="666"/>
      <c r="U13" s="23"/>
      <c r="V13" s="665"/>
      <c r="W13" s="2"/>
    </row>
    <row r="14" spans="1:23">
      <c r="A14" s="142" t="s">
        <v>573</v>
      </c>
      <c r="B14" s="2" t="s">
        <v>181</v>
      </c>
      <c r="C14" s="2" t="s">
        <v>406</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97"/>
      <c r="O14" s="697"/>
      <c r="P14" s="2"/>
      <c r="Q14" s="697"/>
      <c r="R14" s="23"/>
      <c r="S14" s="664"/>
      <c r="T14" s="666"/>
      <c r="U14" s="23"/>
      <c r="V14" s="665"/>
      <c r="W14" s="2"/>
    </row>
    <row r="15" spans="1:23" ht="124">
      <c r="A15" s="142" t="s">
        <v>586</v>
      </c>
      <c r="B15" s="2" t="s">
        <v>900</v>
      </c>
      <c r="C15" s="2" t="s">
        <v>406</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97"/>
      <c r="O15" s="697"/>
      <c r="P15" s="2"/>
      <c r="Q15" s="697"/>
      <c r="R15" s="23" t="s">
        <v>965</v>
      </c>
      <c r="S15" s="664" t="s">
        <v>966</v>
      </c>
      <c r="T15" s="666" t="s">
        <v>967</v>
      </c>
      <c r="U15" s="23" t="s">
        <v>968</v>
      </c>
      <c r="V15" s="665" t="s">
        <v>969</v>
      </c>
      <c r="W15" s="23" t="s">
        <v>970</v>
      </c>
    </row>
    <row r="16" spans="1:23" ht="93">
      <c r="A16" s="142" t="s">
        <v>581</v>
      </c>
      <c r="B16" s="581" t="s">
        <v>971</v>
      </c>
      <c r="C16" s="2" t="s">
        <v>406</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97"/>
      <c r="O16" s="697"/>
      <c r="P16" s="2"/>
      <c r="Q16" s="697"/>
      <c r="R16" s="23" t="s">
        <v>972</v>
      </c>
      <c r="S16" s="664" t="s">
        <v>973</v>
      </c>
      <c r="T16" s="666"/>
      <c r="U16" s="23" t="s">
        <v>974</v>
      </c>
      <c r="V16" s="665" t="s">
        <v>975</v>
      </c>
      <c r="W16" s="23" t="s">
        <v>976</v>
      </c>
    </row>
    <row r="17" spans="1:23" ht="46.5">
      <c r="A17" s="142" t="s">
        <v>582</v>
      </c>
      <c r="B17" s="581" t="s">
        <v>977</v>
      </c>
      <c r="C17" s="2" t="s">
        <v>406</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97"/>
      <c r="O17" s="697"/>
      <c r="P17" s="2"/>
      <c r="Q17" s="697"/>
      <c r="R17" s="23" t="s">
        <v>978</v>
      </c>
      <c r="S17" s="664" t="s">
        <v>953</v>
      </c>
      <c r="T17" s="666"/>
      <c r="U17" s="23" t="s">
        <v>954</v>
      </c>
      <c r="V17" s="665">
        <v>8358445.1799999997</v>
      </c>
      <c r="W17" s="2" t="s">
        <v>951</v>
      </c>
    </row>
    <row r="18" spans="1:23">
      <c r="A18" s="142" t="s">
        <v>580</v>
      </c>
      <c r="B18" s="2" t="s">
        <v>187</v>
      </c>
      <c r="C18" s="2" t="s">
        <v>406</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97"/>
      <c r="O18" s="697"/>
      <c r="P18" s="2"/>
      <c r="Q18" s="697"/>
      <c r="R18" s="23"/>
      <c r="S18" s="664"/>
      <c r="T18" s="666"/>
      <c r="U18" s="23"/>
      <c r="V18" s="665"/>
      <c r="W18" s="2"/>
    </row>
    <row r="19" spans="1:23">
      <c r="A19" s="142" t="s">
        <v>571</v>
      </c>
      <c r="B19" s="581" t="s">
        <v>179</v>
      </c>
      <c r="C19" s="2" t="s">
        <v>406</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97" t="s">
        <v>846</v>
      </c>
      <c r="O19" s="697"/>
      <c r="P19" s="2"/>
      <c r="Q19" s="697" t="s">
        <v>846</v>
      </c>
      <c r="R19" s="23"/>
      <c r="S19" s="664"/>
      <c r="T19" s="666"/>
      <c r="U19" s="23"/>
      <c r="V19" s="665"/>
      <c r="W19" s="2"/>
    </row>
    <row r="20" spans="1:23">
      <c r="A20" s="142" t="s">
        <v>592</v>
      </c>
      <c r="B20" s="2" t="s">
        <v>197</v>
      </c>
      <c r="C20" s="2" t="s">
        <v>406</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97"/>
      <c r="O20" s="697"/>
      <c r="P20" s="2"/>
      <c r="Q20" s="697"/>
      <c r="R20" s="23"/>
      <c r="S20" s="664"/>
      <c r="T20" s="666"/>
      <c r="U20" s="23"/>
      <c r="V20" s="665"/>
      <c r="W20" s="2"/>
    </row>
    <row r="21" spans="1:23" ht="170.5">
      <c r="A21" s="142" t="s">
        <v>598</v>
      </c>
      <c r="B21" s="2" t="s">
        <v>203</v>
      </c>
      <c r="C21" s="2" t="s">
        <v>406</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97"/>
      <c r="O21" s="697"/>
      <c r="P21" s="2"/>
      <c r="Q21" s="697"/>
      <c r="R21" s="23" t="s">
        <v>979</v>
      </c>
      <c r="S21" s="664" t="s">
        <v>980</v>
      </c>
      <c r="T21" s="666" t="s">
        <v>981</v>
      </c>
      <c r="U21" s="23" t="s">
        <v>982</v>
      </c>
      <c r="V21" s="665" t="s">
        <v>983</v>
      </c>
      <c r="W21" s="23" t="s">
        <v>984</v>
      </c>
    </row>
    <row r="22" spans="1:23" ht="46.5">
      <c r="A22" s="142" t="s">
        <v>600</v>
      </c>
      <c r="B22" s="2" t="s">
        <v>205</v>
      </c>
      <c r="C22" s="2" t="s">
        <v>406</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97"/>
      <c r="O22" s="697"/>
      <c r="P22" s="2"/>
      <c r="Q22" s="697"/>
      <c r="R22" s="23" t="s">
        <v>985</v>
      </c>
      <c r="S22" s="23" t="s">
        <v>986</v>
      </c>
      <c r="T22" s="2"/>
      <c r="U22" s="666" t="s">
        <v>987</v>
      </c>
      <c r="V22" s="23"/>
      <c r="W22" s="2" t="s">
        <v>955</v>
      </c>
    </row>
    <row r="23" spans="1:23">
      <c r="A23" s="142" t="s">
        <v>602</v>
      </c>
      <c r="B23" s="2" t="s">
        <v>207</v>
      </c>
      <c r="C23" s="2" t="s">
        <v>406</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97"/>
      <c r="O23" s="697"/>
      <c r="P23" s="2"/>
      <c r="Q23" s="697"/>
      <c r="R23" s="23"/>
      <c r="S23" s="664"/>
      <c r="T23" s="666"/>
      <c r="U23" s="23"/>
      <c r="V23" s="665"/>
      <c r="W23" s="2"/>
    </row>
    <row r="24" spans="1:23">
      <c r="A24" s="142" t="s">
        <v>603</v>
      </c>
      <c r="B24" s="2" t="s">
        <v>208</v>
      </c>
      <c r="C24" s="2" t="s">
        <v>406</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97"/>
      <c r="O24" s="697"/>
      <c r="P24" s="2"/>
      <c r="Q24" s="697"/>
      <c r="R24" s="23" t="s">
        <v>988</v>
      </c>
      <c r="S24" s="664" t="s">
        <v>953</v>
      </c>
      <c r="T24" s="666">
        <v>44435</v>
      </c>
      <c r="U24" s="23" t="s">
        <v>954</v>
      </c>
      <c r="V24" s="665">
        <v>147483170.16</v>
      </c>
      <c r="W24" s="2" t="s">
        <v>955</v>
      </c>
    </row>
    <row r="25" spans="1:23" ht="46.5">
      <c r="A25" s="142" t="s">
        <v>606</v>
      </c>
      <c r="B25" s="2" t="s">
        <v>211</v>
      </c>
      <c r="C25" s="2" t="s">
        <v>406</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97"/>
      <c r="O25" s="697"/>
      <c r="P25" s="2"/>
      <c r="Q25" s="697"/>
      <c r="R25" s="23" t="s">
        <v>989</v>
      </c>
      <c r="S25" s="23" t="s">
        <v>953</v>
      </c>
      <c r="T25" s="2"/>
      <c r="U25" s="666" t="s">
        <v>954</v>
      </c>
      <c r="V25" s="23">
        <v>10284086.220000001</v>
      </c>
      <c r="W25" s="2" t="s">
        <v>951</v>
      </c>
    </row>
    <row r="26" spans="1:23" ht="93">
      <c r="A26" s="142" t="s">
        <v>601</v>
      </c>
      <c r="B26" s="581" t="s">
        <v>990</v>
      </c>
      <c r="C26" s="2" t="s">
        <v>406</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97"/>
      <c r="O26" s="697"/>
      <c r="P26" s="2"/>
      <c r="Q26" s="697"/>
      <c r="R26" s="23" t="s">
        <v>991</v>
      </c>
      <c r="S26" s="664" t="s">
        <v>957</v>
      </c>
      <c r="T26" s="666" t="s">
        <v>992</v>
      </c>
      <c r="U26" s="23" t="s">
        <v>993</v>
      </c>
      <c r="V26" s="665" t="s">
        <v>994</v>
      </c>
      <c r="W26" s="23" t="s">
        <v>995</v>
      </c>
    </row>
    <row r="27" spans="1:23">
      <c r="A27" s="142" t="s">
        <v>607</v>
      </c>
      <c r="B27" s="2" t="s">
        <v>903</v>
      </c>
      <c r="C27" s="2" t="s">
        <v>406</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97"/>
      <c r="O27" s="697"/>
      <c r="P27" s="2"/>
      <c r="Q27" s="697"/>
      <c r="R27" s="23"/>
      <c r="S27" s="664"/>
      <c r="T27" s="666"/>
      <c r="U27" s="23"/>
      <c r="V27" s="665"/>
      <c r="W27" s="2"/>
    </row>
    <row r="28" spans="1:23">
      <c r="A28" s="142" t="s">
        <v>608</v>
      </c>
      <c r="B28" s="2" t="s">
        <v>213</v>
      </c>
      <c r="C28" s="2" t="s">
        <v>406</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97"/>
      <c r="O28" s="697"/>
      <c r="P28" s="2"/>
      <c r="Q28" s="697"/>
      <c r="R28" s="23"/>
      <c r="S28" s="664"/>
      <c r="T28" s="666"/>
      <c r="U28" s="23"/>
      <c r="V28" s="665"/>
      <c r="W28" s="2"/>
    </row>
    <row r="29" spans="1:23">
      <c r="A29" s="142" t="s">
        <v>610</v>
      </c>
      <c r="B29" s="2" t="s">
        <v>215</v>
      </c>
      <c r="C29" s="2" t="s">
        <v>406</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97"/>
      <c r="O29" s="697"/>
      <c r="P29" s="2"/>
      <c r="Q29" s="697"/>
      <c r="R29" s="23"/>
      <c r="S29" s="664"/>
      <c r="T29" s="666"/>
      <c r="U29" s="23"/>
      <c r="V29" s="665"/>
      <c r="W29" s="2"/>
    </row>
    <row r="30" spans="1:23">
      <c r="A30" s="142" t="s">
        <v>612</v>
      </c>
      <c r="B30" s="2" t="s">
        <v>217</v>
      </c>
      <c r="C30" s="2" t="s">
        <v>406</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97"/>
      <c r="O30" s="697"/>
      <c r="P30" s="2"/>
      <c r="Q30" s="697"/>
      <c r="R30" s="23"/>
      <c r="S30" s="664"/>
      <c r="T30" s="666"/>
      <c r="U30" s="23"/>
      <c r="V30" s="665"/>
      <c r="W30" s="2"/>
    </row>
    <row r="31" spans="1:23">
      <c r="A31" s="142" t="s">
        <v>614</v>
      </c>
      <c r="B31" s="2" t="s">
        <v>218</v>
      </c>
      <c r="C31" s="2" t="s">
        <v>406</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97"/>
      <c r="O31" s="697"/>
      <c r="P31" s="2"/>
      <c r="Q31" s="697"/>
      <c r="R31" s="23"/>
      <c r="S31" s="664"/>
      <c r="T31" s="666"/>
      <c r="U31" s="23"/>
      <c r="V31" s="665"/>
      <c r="W31" s="2"/>
    </row>
    <row r="32" spans="1:23">
      <c r="A32" s="142" t="s">
        <v>616</v>
      </c>
      <c r="B32" s="2" t="s">
        <v>220</v>
      </c>
      <c r="C32" s="2" t="s">
        <v>406</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97"/>
      <c r="O32" s="697"/>
      <c r="P32" s="2"/>
      <c r="Q32" s="697"/>
      <c r="R32" s="23"/>
      <c r="S32" s="664"/>
      <c r="T32" s="666"/>
      <c r="U32" s="23"/>
      <c r="V32" s="665"/>
      <c r="W32" s="2"/>
    </row>
    <row r="33" spans="1:23" ht="46.5">
      <c r="A33" s="142" t="s">
        <v>618</v>
      </c>
      <c r="B33" s="2" t="s">
        <v>222</v>
      </c>
      <c r="C33" s="2" t="s">
        <v>406</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97"/>
      <c r="O33" s="697"/>
      <c r="P33" s="2"/>
      <c r="Q33" s="697"/>
      <c r="R33" s="23" t="s">
        <v>996</v>
      </c>
      <c r="S33" s="664" t="s">
        <v>953</v>
      </c>
      <c r="T33" s="666">
        <v>44428</v>
      </c>
      <c r="U33" s="23" t="s">
        <v>954</v>
      </c>
      <c r="V33" s="665">
        <v>116253234.41</v>
      </c>
      <c r="W33" s="2" t="s">
        <v>955</v>
      </c>
    </row>
    <row r="34" spans="1:23">
      <c r="A34" s="142" t="s">
        <v>622</v>
      </c>
      <c r="B34" s="2" t="s">
        <v>722</v>
      </c>
      <c r="C34" s="2" t="s">
        <v>406</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97"/>
      <c r="O34" s="697"/>
      <c r="P34" s="2"/>
      <c r="Q34" s="697"/>
      <c r="R34" s="23"/>
      <c r="S34" s="664"/>
      <c r="T34" s="666"/>
      <c r="U34" s="23"/>
      <c r="V34" s="665"/>
      <c r="W34" s="2"/>
    </row>
    <row r="35" spans="1:23" ht="46.5">
      <c r="A35" s="142" t="s">
        <v>572</v>
      </c>
      <c r="B35" s="2" t="s">
        <v>180</v>
      </c>
      <c r="C35" s="2" t="s">
        <v>406</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97"/>
      <c r="O35" s="697"/>
      <c r="P35" s="2"/>
      <c r="Q35" s="697"/>
      <c r="R35" s="23" t="s">
        <v>997</v>
      </c>
      <c r="S35" s="664" t="s">
        <v>953</v>
      </c>
      <c r="T35" s="666"/>
      <c r="U35" s="23" t="s">
        <v>998</v>
      </c>
      <c r="V35" s="665">
        <v>1526497.23</v>
      </c>
      <c r="W35" s="2" t="s">
        <v>951</v>
      </c>
    </row>
    <row r="36" spans="1:23">
      <c r="A36" s="142" t="s">
        <v>623</v>
      </c>
      <c r="B36" s="2" t="s">
        <v>227</v>
      </c>
      <c r="C36" s="2" t="s">
        <v>406</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97"/>
      <c r="O36" s="697"/>
      <c r="P36" s="2"/>
      <c r="Q36" s="697"/>
      <c r="R36" s="23"/>
      <c r="S36" s="664"/>
      <c r="T36" s="666"/>
      <c r="U36" s="23"/>
      <c r="V36" s="665"/>
      <c r="W36" s="2"/>
    </row>
    <row r="37" spans="1:23">
      <c r="A37" s="142" t="s">
        <v>624</v>
      </c>
      <c r="B37" s="581" t="s">
        <v>999</v>
      </c>
      <c r="C37" s="2" t="s">
        <v>406</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97"/>
      <c r="O37" s="697" t="s">
        <v>883</v>
      </c>
      <c r="P37" s="2"/>
      <c r="Q37" s="697"/>
      <c r="R37" s="23"/>
      <c r="S37" s="664"/>
      <c r="T37" s="666"/>
      <c r="U37" s="23"/>
      <c r="V37" s="665"/>
      <c r="W37" s="2"/>
    </row>
    <row r="38" spans="1:23" ht="31">
      <c r="A38" s="142" t="s">
        <v>626</v>
      </c>
      <c r="B38" s="2" t="s">
        <v>230</v>
      </c>
      <c r="C38" s="2" t="s">
        <v>406</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97"/>
      <c r="O38" s="697"/>
      <c r="P38" s="2"/>
      <c r="Q38" s="697"/>
      <c r="R38" s="23" t="s">
        <v>1000</v>
      </c>
      <c r="S38" s="23" t="s">
        <v>953</v>
      </c>
      <c r="T38" s="2"/>
      <c r="U38" s="666" t="s">
        <v>987</v>
      </c>
      <c r="V38" s="675">
        <v>3405434.46</v>
      </c>
      <c r="W38" s="2" t="s">
        <v>951</v>
      </c>
    </row>
    <row r="39" spans="1:23" ht="46.5">
      <c r="A39" s="142" t="s">
        <v>672</v>
      </c>
      <c r="B39" s="581" t="s">
        <v>274</v>
      </c>
      <c r="C39" s="2" t="s">
        <v>406</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97"/>
      <c r="O39" s="697"/>
      <c r="P39" s="2"/>
      <c r="Q39" s="697"/>
      <c r="R39" s="23" t="s">
        <v>1001</v>
      </c>
      <c r="S39" s="664" t="s">
        <v>963</v>
      </c>
      <c r="T39" s="666">
        <v>44250</v>
      </c>
      <c r="U39" s="23" t="s">
        <v>1002</v>
      </c>
      <c r="V39" s="665">
        <v>2500000</v>
      </c>
      <c r="W39" s="2" t="s">
        <v>955</v>
      </c>
    </row>
    <row r="40" spans="1:23" ht="46.5">
      <c r="A40" s="142" t="s">
        <v>625</v>
      </c>
      <c r="B40" s="2" t="s">
        <v>723</v>
      </c>
      <c r="C40" s="2" t="s">
        <v>406</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97"/>
      <c r="O40" s="697"/>
      <c r="P40" s="2"/>
      <c r="Q40" s="697"/>
      <c r="R40" s="23" t="s">
        <v>1003</v>
      </c>
      <c r="S40" s="664" t="s">
        <v>953</v>
      </c>
      <c r="T40" s="666">
        <v>44413</v>
      </c>
      <c r="U40" s="23" t="s">
        <v>1004</v>
      </c>
      <c r="V40" s="665">
        <v>12060158.74</v>
      </c>
      <c r="W40" s="2" t="s">
        <v>955</v>
      </c>
    </row>
    <row r="41" spans="1:23" ht="46.5">
      <c r="A41" s="142" t="s">
        <v>638</v>
      </c>
      <c r="B41" s="2" t="s">
        <v>242</v>
      </c>
      <c r="C41" s="2" t="s">
        <v>406</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97"/>
      <c r="O41" s="697"/>
      <c r="P41" s="2"/>
      <c r="Q41" s="697"/>
      <c r="R41" s="23" t="s">
        <v>1005</v>
      </c>
      <c r="S41" s="23" t="s">
        <v>953</v>
      </c>
      <c r="T41" s="2"/>
      <c r="U41" s="666" t="s">
        <v>987</v>
      </c>
      <c r="V41" s="23">
        <v>1635000</v>
      </c>
      <c r="W41" s="2" t="s">
        <v>951</v>
      </c>
    </row>
    <row r="42" spans="1:23" ht="46.5">
      <c r="A42" s="142" t="s">
        <v>628</v>
      </c>
      <c r="B42" s="2" t="s">
        <v>232</v>
      </c>
      <c r="C42" s="2" t="s">
        <v>406</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97" t="s">
        <v>846</v>
      </c>
      <c r="O42" s="697"/>
      <c r="P42" s="2"/>
      <c r="Q42" s="697"/>
      <c r="R42" s="23" t="s">
        <v>1006</v>
      </c>
      <c r="S42" s="23" t="s">
        <v>953</v>
      </c>
      <c r="T42" s="2"/>
      <c r="U42" s="666" t="s">
        <v>987</v>
      </c>
      <c r="V42" s="23">
        <v>35846874.560000002</v>
      </c>
      <c r="W42" s="2" t="s">
        <v>951</v>
      </c>
    </row>
    <row r="43" spans="1:23" ht="46.5">
      <c r="A43" s="147" t="s">
        <v>650</v>
      </c>
      <c r="B43" s="652" t="s">
        <v>1007</v>
      </c>
      <c r="C43" s="2" t="s">
        <v>406</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97"/>
      <c r="O43" s="697"/>
      <c r="P43" s="2"/>
      <c r="Q43" s="697"/>
      <c r="R43" s="23"/>
      <c r="S43" s="664"/>
      <c r="T43" s="666"/>
      <c r="U43" s="23"/>
      <c r="V43" s="665"/>
      <c r="W43" s="2"/>
    </row>
    <row r="44" spans="1:23">
      <c r="A44" s="142" t="s">
        <v>632</v>
      </c>
      <c r="B44" s="2" t="s">
        <v>236</v>
      </c>
      <c r="C44" s="2" t="s">
        <v>406</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97"/>
      <c r="O44" s="697"/>
      <c r="P44" s="2"/>
      <c r="Q44" s="697"/>
      <c r="R44" s="23"/>
      <c r="S44" s="664"/>
      <c r="T44" s="666"/>
      <c r="U44" s="23"/>
      <c r="V44" s="665"/>
      <c r="W44" s="2"/>
    </row>
    <row r="45" spans="1:23">
      <c r="A45" s="142" t="s">
        <v>643</v>
      </c>
      <c r="B45" s="2" t="s">
        <v>247</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97"/>
      <c r="O45" s="697"/>
      <c r="P45" s="2"/>
      <c r="Q45" s="697"/>
      <c r="R45" s="23"/>
      <c r="S45" s="664"/>
      <c r="T45" s="666"/>
      <c r="U45" s="23"/>
      <c r="V45" s="665"/>
      <c r="W45" s="2"/>
    </row>
    <row r="46" spans="1:23">
      <c r="A46" s="142" t="s">
        <v>640</v>
      </c>
      <c r="B46" s="2" t="s">
        <v>244</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97"/>
      <c r="O46" s="697"/>
      <c r="P46" s="2"/>
      <c r="Q46" s="697"/>
      <c r="R46" s="23"/>
      <c r="S46" s="664"/>
      <c r="T46" s="666"/>
      <c r="U46" s="23"/>
      <c r="V46" s="665"/>
      <c r="W46" s="2"/>
    </row>
    <row r="47" spans="1:23" ht="93">
      <c r="A47" s="142" t="s">
        <v>639</v>
      </c>
      <c r="B47" s="2" t="s">
        <v>243</v>
      </c>
      <c r="C47" s="2" t="s">
        <v>406</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97"/>
      <c r="O47" s="697"/>
      <c r="P47" s="2"/>
      <c r="Q47" s="697"/>
      <c r="R47" s="23" t="s">
        <v>1008</v>
      </c>
      <c r="S47" s="664" t="s">
        <v>1009</v>
      </c>
      <c r="T47" s="666" t="s">
        <v>1010</v>
      </c>
      <c r="U47" s="23" t="s">
        <v>1011</v>
      </c>
      <c r="V47" s="665" t="s">
        <v>1012</v>
      </c>
      <c r="W47" s="23" t="s">
        <v>1013</v>
      </c>
    </row>
    <row r="48" spans="1:23" ht="62">
      <c r="A48" s="142" t="s">
        <v>642</v>
      </c>
      <c r="B48" s="2" t="s">
        <v>246</v>
      </c>
      <c r="C48" s="2" t="s">
        <v>406</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97" t="s">
        <v>846</v>
      </c>
      <c r="O48" s="697"/>
      <c r="P48" s="2"/>
      <c r="Q48" s="697"/>
      <c r="R48" s="23" t="s">
        <v>1014</v>
      </c>
      <c r="S48" s="664" t="s">
        <v>1015</v>
      </c>
      <c r="T48" s="666" t="s">
        <v>1016</v>
      </c>
      <c r="U48" s="23" t="s">
        <v>1017</v>
      </c>
      <c r="V48" s="665" t="s">
        <v>1018</v>
      </c>
      <c r="W48" s="23" t="s">
        <v>1019</v>
      </c>
    </row>
    <row r="49" spans="1:23" ht="77.5">
      <c r="A49" s="142" t="s">
        <v>634</v>
      </c>
      <c r="B49" s="2" t="s">
        <v>238</v>
      </c>
      <c r="C49" s="2" t="s">
        <v>406</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97"/>
      <c r="O49" s="697"/>
      <c r="P49" s="2"/>
      <c r="Q49" s="697"/>
      <c r="R49" s="23" t="s">
        <v>1020</v>
      </c>
      <c r="S49" s="664" t="s">
        <v>1015</v>
      </c>
      <c r="T49" s="666" t="s">
        <v>1021</v>
      </c>
      <c r="U49" s="23" t="s">
        <v>1022</v>
      </c>
      <c r="V49" s="665" t="s">
        <v>1023</v>
      </c>
      <c r="W49" s="23" t="s">
        <v>1019</v>
      </c>
    </row>
    <row r="50" spans="1:23">
      <c r="A50" s="142" t="s">
        <v>635</v>
      </c>
      <c r="B50" s="2" t="s">
        <v>239</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97"/>
      <c r="O50" s="697"/>
      <c r="P50" s="2"/>
      <c r="Q50" s="697"/>
      <c r="R50" s="23"/>
      <c r="S50" s="664"/>
      <c r="T50" s="666"/>
      <c r="U50" s="23"/>
      <c r="V50" s="665"/>
      <c r="W50" s="2"/>
    </row>
    <row r="51" spans="1:23">
      <c r="A51" s="142" t="s">
        <v>629</v>
      </c>
      <c r="B51" s="2" t="s">
        <v>233</v>
      </c>
      <c r="C51" s="2" t="s">
        <v>406</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97" t="s">
        <v>846</v>
      </c>
      <c r="O51" s="697"/>
      <c r="P51" s="2"/>
      <c r="Q51" s="697"/>
      <c r="R51" s="23" t="s">
        <v>1024</v>
      </c>
      <c r="S51" s="23" t="s">
        <v>953</v>
      </c>
      <c r="T51" s="2"/>
      <c r="U51" s="666" t="s">
        <v>987</v>
      </c>
      <c r="V51" s="23">
        <v>16625322.91</v>
      </c>
      <c r="W51" s="2" t="s">
        <v>951</v>
      </c>
    </row>
    <row r="52" spans="1:23">
      <c r="A52" s="142" t="s">
        <v>648</v>
      </c>
      <c r="B52" s="2" t="s">
        <v>252</v>
      </c>
      <c r="C52" s="2" t="s">
        <v>406</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97"/>
      <c r="O52" s="697"/>
      <c r="P52" s="2"/>
      <c r="Q52" s="697"/>
      <c r="R52" s="23"/>
      <c r="S52" s="664"/>
      <c r="T52" s="666"/>
      <c r="U52" s="23"/>
      <c r="V52" s="665"/>
      <c r="W52" s="2"/>
    </row>
    <row r="53" spans="1:23">
      <c r="A53" s="142" t="s">
        <v>649</v>
      </c>
      <c r="B53" s="2" t="s">
        <v>253</v>
      </c>
      <c r="C53" s="2" t="s">
        <v>406</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97"/>
      <c r="O53" s="697"/>
      <c r="P53" s="2"/>
      <c r="Q53" s="697"/>
      <c r="R53" s="23"/>
      <c r="S53" s="664"/>
      <c r="T53" s="666"/>
      <c r="U53" s="23"/>
      <c r="V53" s="665"/>
      <c r="W53" s="2"/>
    </row>
    <row r="54" spans="1:23" ht="31">
      <c r="A54" s="142" t="s">
        <v>646</v>
      </c>
      <c r="B54" s="2" t="s">
        <v>250</v>
      </c>
      <c r="C54" s="2" t="s">
        <v>406</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97"/>
      <c r="O54" s="697"/>
      <c r="P54" s="2"/>
      <c r="Q54" s="697"/>
      <c r="R54" s="23" t="s">
        <v>1025</v>
      </c>
      <c r="S54" s="664" t="s">
        <v>953</v>
      </c>
      <c r="T54" s="666">
        <v>44406</v>
      </c>
      <c r="U54" s="23" t="s">
        <v>1026</v>
      </c>
      <c r="V54" s="665">
        <v>43608720</v>
      </c>
      <c r="W54" s="2" t="s">
        <v>955</v>
      </c>
    </row>
    <row r="55" spans="1:23">
      <c r="A55" s="142" t="s">
        <v>651</v>
      </c>
      <c r="B55" s="581" t="s">
        <v>1027</v>
      </c>
      <c r="C55" s="2" t="s">
        <v>406</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97"/>
      <c r="O55" s="697"/>
      <c r="P55" s="2"/>
      <c r="Q55" s="697"/>
      <c r="R55" s="23"/>
      <c r="S55" s="664"/>
      <c r="T55" s="666"/>
      <c r="U55" s="23"/>
      <c r="V55" s="665"/>
      <c r="W55" s="2"/>
    </row>
    <row r="56" spans="1:23">
      <c r="A56" s="142" t="s">
        <v>653</v>
      </c>
      <c r="B56" s="2" t="s">
        <v>257</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97"/>
      <c r="O56" s="697"/>
      <c r="P56" s="2"/>
      <c r="Q56" s="697"/>
      <c r="R56" s="23"/>
      <c r="S56" s="664"/>
      <c r="T56" s="666"/>
      <c r="U56" s="23"/>
      <c r="V56" s="665"/>
      <c r="W56" s="2"/>
    </row>
    <row r="57" spans="1:23">
      <c r="A57" s="142" t="s">
        <v>656</v>
      </c>
      <c r="B57" s="2" t="s">
        <v>260</v>
      </c>
      <c r="C57" s="2" t="s">
        <v>406</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97"/>
      <c r="O57" s="697"/>
      <c r="P57" s="2"/>
      <c r="Q57" s="697"/>
      <c r="R57" s="23"/>
      <c r="S57" s="664"/>
      <c r="T57" s="666"/>
      <c r="U57" s="23"/>
      <c r="V57" s="665"/>
      <c r="W57" s="2"/>
    </row>
    <row r="58" spans="1:23">
      <c r="A58" s="142" t="s">
        <v>657</v>
      </c>
      <c r="B58" s="581" t="s">
        <v>261</v>
      </c>
      <c r="C58" s="2" t="s">
        <v>406</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97" t="s">
        <v>846</v>
      </c>
      <c r="O58" s="697"/>
      <c r="P58" s="2"/>
      <c r="Q58" s="697" t="s">
        <v>846</v>
      </c>
      <c r="R58" s="23"/>
      <c r="S58" s="664"/>
      <c r="T58" s="666"/>
      <c r="U58" s="23"/>
      <c r="V58" s="665"/>
      <c r="W58" s="2"/>
    </row>
    <row r="59" spans="1:23">
      <c r="A59" s="142" t="s">
        <v>654</v>
      </c>
      <c r="B59" s="2" t="s">
        <v>258</v>
      </c>
      <c r="C59" s="2" t="s">
        <v>406</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97"/>
      <c r="O59" s="697"/>
      <c r="P59" s="2"/>
      <c r="Q59" s="697"/>
      <c r="R59" s="23"/>
      <c r="S59" s="664"/>
      <c r="T59" s="666"/>
      <c r="U59" s="23"/>
      <c r="V59" s="665"/>
      <c r="W59" s="2"/>
    </row>
    <row r="60" spans="1:23">
      <c r="A60" s="142" t="s">
        <v>676</v>
      </c>
      <c r="B60" s="2" t="s">
        <v>885</v>
      </c>
      <c r="C60" s="2" t="s">
        <v>838</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97" t="s">
        <v>846</v>
      </c>
      <c r="O60" s="697"/>
      <c r="P60" s="2"/>
      <c r="Q60" s="697" t="s">
        <v>846</v>
      </c>
      <c r="R60" s="23"/>
      <c r="S60" s="664"/>
      <c r="T60" s="666"/>
      <c r="U60" s="23"/>
      <c r="V60" s="665"/>
      <c r="W60" s="2"/>
    </row>
    <row r="61" spans="1:23" ht="77.5">
      <c r="A61" s="142" t="s">
        <v>661</v>
      </c>
      <c r="B61" s="2" t="s">
        <v>264</v>
      </c>
      <c r="C61" s="2" t="s">
        <v>406</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97"/>
      <c r="O61" s="697"/>
      <c r="P61" s="2"/>
      <c r="Q61" s="697"/>
      <c r="R61" s="23" t="s">
        <v>1028</v>
      </c>
      <c r="S61" s="664" t="s">
        <v>1015</v>
      </c>
      <c r="T61" s="666">
        <v>44407</v>
      </c>
      <c r="U61" s="23" t="s">
        <v>1029</v>
      </c>
      <c r="V61" s="665" t="s">
        <v>1030</v>
      </c>
      <c r="W61" s="23" t="s">
        <v>1019</v>
      </c>
    </row>
    <row r="62" spans="1:23">
      <c r="A62" s="142" t="s">
        <v>677</v>
      </c>
      <c r="B62" s="2" t="s">
        <v>277</v>
      </c>
      <c r="C62" s="2" t="s">
        <v>406</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97"/>
      <c r="O62" s="697"/>
      <c r="P62" s="2"/>
      <c r="Q62" s="697"/>
      <c r="R62" s="23" t="s">
        <v>1031</v>
      </c>
      <c r="S62" s="664" t="s">
        <v>953</v>
      </c>
      <c r="T62" s="666"/>
      <c r="U62" s="23" t="s">
        <v>987</v>
      </c>
      <c r="V62" s="665">
        <v>47744035.359999999</v>
      </c>
      <c r="W62" s="2" t="s">
        <v>955</v>
      </c>
    </row>
    <row r="63" spans="1:23" ht="77.5">
      <c r="A63" s="142" t="s">
        <v>664</v>
      </c>
      <c r="B63" s="2" t="s">
        <v>267</v>
      </c>
      <c r="C63" s="2" t="s">
        <v>406</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97"/>
      <c r="O63" s="697"/>
      <c r="P63" s="2"/>
      <c r="Q63" s="697"/>
      <c r="R63" s="23" t="s">
        <v>1032</v>
      </c>
      <c r="S63" s="664" t="s">
        <v>1033</v>
      </c>
      <c r="T63" s="666" t="s">
        <v>1034</v>
      </c>
      <c r="U63" s="23" t="s">
        <v>1035</v>
      </c>
      <c r="V63" s="665" t="s">
        <v>1036</v>
      </c>
      <c r="W63" s="23" t="s">
        <v>1013</v>
      </c>
    </row>
    <row r="64" spans="1:23">
      <c r="A64" s="142" t="s">
        <v>667</v>
      </c>
      <c r="B64" s="2" t="s">
        <v>269</v>
      </c>
      <c r="C64" s="2" t="s">
        <v>406</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97"/>
      <c r="O64" s="697"/>
      <c r="P64" s="2"/>
      <c r="Q64" s="697"/>
      <c r="R64" s="23" t="s">
        <v>1037</v>
      </c>
      <c r="S64" s="664" t="s">
        <v>953</v>
      </c>
      <c r="T64" s="666">
        <v>44440</v>
      </c>
      <c r="U64" s="23" t="s">
        <v>987</v>
      </c>
      <c r="V64" s="665">
        <v>3993187.5</v>
      </c>
      <c r="W64" s="2" t="s">
        <v>955</v>
      </c>
    </row>
    <row r="65" spans="1:23">
      <c r="A65" s="142" t="s">
        <v>594</v>
      </c>
      <c r="B65" s="2" t="s">
        <v>199</v>
      </c>
      <c r="C65" s="2" t="s">
        <v>406</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97" t="s">
        <v>846</v>
      </c>
      <c r="O65" s="697"/>
      <c r="P65" s="2"/>
      <c r="Q65" s="697" t="s">
        <v>846</v>
      </c>
      <c r="R65" s="23"/>
      <c r="S65" s="664"/>
      <c r="T65" s="666"/>
      <c r="U65" s="23"/>
      <c r="V65" s="665"/>
      <c r="W65" s="2"/>
    </row>
    <row r="66" spans="1:23" ht="46.5">
      <c r="A66" s="142" t="s">
        <v>669</v>
      </c>
      <c r="B66" s="2" t="s">
        <v>271</v>
      </c>
      <c r="C66" s="2" t="s">
        <v>406</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97"/>
      <c r="O66" s="697"/>
      <c r="P66" s="2"/>
      <c r="Q66" s="697"/>
      <c r="R66" s="23" t="s">
        <v>1038</v>
      </c>
      <c r="S66" s="664" t="s">
        <v>1039</v>
      </c>
      <c r="T66" s="666">
        <v>44377</v>
      </c>
      <c r="U66" s="23" t="s">
        <v>1040</v>
      </c>
      <c r="V66" s="665">
        <v>3006544</v>
      </c>
      <c r="W66" s="2" t="s">
        <v>955</v>
      </c>
    </row>
    <row r="67" spans="1:23" ht="62">
      <c r="A67" s="142" t="s">
        <v>671</v>
      </c>
      <c r="B67" s="2" t="s">
        <v>273</v>
      </c>
      <c r="C67" s="2" t="s">
        <v>406</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97" t="s">
        <v>846</v>
      </c>
      <c r="O67" s="697"/>
      <c r="P67" s="2"/>
      <c r="Q67" s="697"/>
      <c r="R67" s="23" t="s">
        <v>1041</v>
      </c>
      <c r="S67" s="664" t="s">
        <v>1042</v>
      </c>
      <c r="T67" s="666">
        <v>44375</v>
      </c>
      <c r="U67" s="23" t="s">
        <v>1043</v>
      </c>
      <c r="V67" s="665">
        <v>53500000</v>
      </c>
      <c r="W67" s="2" t="s">
        <v>955</v>
      </c>
    </row>
    <row r="68" spans="1:23" ht="124">
      <c r="A68" s="142" t="s">
        <v>663</v>
      </c>
      <c r="B68" s="581" t="s">
        <v>1044</v>
      </c>
      <c r="C68" s="2" t="s">
        <v>406</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97"/>
      <c r="O68" s="697"/>
      <c r="P68" s="2"/>
      <c r="Q68" s="697"/>
      <c r="R68" s="23" t="s">
        <v>1045</v>
      </c>
      <c r="S68" s="664" t="s">
        <v>1046</v>
      </c>
      <c r="T68" s="666" t="s">
        <v>1047</v>
      </c>
      <c r="U68" s="23" t="s">
        <v>1048</v>
      </c>
      <c r="V68" s="665" t="s">
        <v>1049</v>
      </c>
      <c r="W68" s="23" t="s">
        <v>1013</v>
      </c>
    </row>
    <row r="69" spans="1:23" ht="31">
      <c r="A69" s="142" t="s">
        <v>597</v>
      </c>
      <c r="B69" s="2" t="s">
        <v>202</v>
      </c>
      <c r="C69" s="2" t="s">
        <v>406</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97" t="s">
        <v>846</v>
      </c>
      <c r="O69" s="697"/>
      <c r="P69" s="2"/>
      <c r="Q69" s="697" t="s">
        <v>846</v>
      </c>
      <c r="R69" s="23" t="s">
        <v>1050</v>
      </c>
      <c r="S69" s="664" t="s">
        <v>953</v>
      </c>
      <c r="T69" s="666"/>
      <c r="U69" s="23" t="s">
        <v>954</v>
      </c>
      <c r="V69" s="665">
        <v>1193613.5</v>
      </c>
      <c r="W69" s="2" t="s">
        <v>951</v>
      </c>
    </row>
    <row r="70" spans="1:23">
      <c r="A70" s="142" t="s">
        <v>666</v>
      </c>
      <c r="B70" s="2" t="s">
        <v>268</v>
      </c>
      <c r="C70" s="2" t="s">
        <v>838</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97"/>
      <c r="O70" s="697"/>
      <c r="P70" s="2"/>
      <c r="Q70" s="697"/>
      <c r="R70" s="23"/>
      <c r="S70" s="664"/>
      <c r="T70" s="666"/>
      <c r="U70" s="23"/>
      <c r="V70" s="665"/>
      <c r="W70" s="2"/>
    </row>
    <row r="71" spans="1:23">
      <c r="A71" s="142" t="s">
        <v>576</v>
      </c>
      <c r="B71" s="2" t="s">
        <v>183</v>
      </c>
      <c r="C71" s="2" t="s">
        <v>406</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97"/>
      <c r="O71" s="697"/>
      <c r="P71" s="2"/>
      <c r="Q71" s="697"/>
      <c r="R71" s="23"/>
      <c r="S71" s="664"/>
      <c r="T71" s="666"/>
      <c r="U71" s="23"/>
      <c r="V71" s="665"/>
      <c r="W71" s="2"/>
    </row>
    <row r="72" spans="1:23">
      <c r="A72" s="142" t="s">
        <v>684</v>
      </c>
      <c r="B72" s="2" t="s">
        <v>282</v>
      </c>
      <c r="C72" s="2" t="s">
        <v>406</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97"/>
      <c r="O72" s="697"/>
      <c r="P72" s="2"/>
      <c r="Q72" s="697"/>
      <c r="R72" s="23" t="s">
        <v>1051</v>
      </c>
      <c r="S72" s="664" t="s">
        <v>953</v>
      </c>
      <c r="T72" s="666">
        <v>44453</v>
      </c>
      <c r="U72" s="23" t="s">
        <v>954</v>
      </c>
      <c r="V72" s="665">
        <v>17795040.48</v>
      </c>
      <c r="W72" s="2" t="s">
        <v>955</v>
      </c>
    </row>
    <row r="73" spans="1:23" ht="46.5">
      <c r="A73" s="142" t="s">
        <v>680</v>
      </c>
      <c r="B73" s="2" t="s">
        <v>280</v>
      </c>
      <c r="C73" s="2" t="s">
        <v>406</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97"/>
      <c r="O73" s="697"/>
      <c r="P73" s="2"/>
      <c r="Q73" s="697"/>
      <c r="R73" s="23" t="s">
        <v>1052</v>
      </c>
      <c r="S73" s="664" t="s">
        <v>953</v>
      </c>
      <c r="T73" s="666">
        <v>44407</v>
      </c>
      <c r="U73" s="23" t="s">
        <v>954</v>
      </c>
      <c r="V73" s="665">
        <v>6628422.7000000002</v>
      </c>
      <c r="W73" s="2" t="s">
        <v>955</v>
      </c>
    </row>
    <row r="74" spans="1:23">
      <c r="A74" s="142" t="s">
        <v>689</v>
      </c>
      <c r="B74" s="2" t="s">
        <v>287</v>
      </c>
      <c r="C74" s="2" t="s">
        <v>864</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97"/>
      <c r="O74" s="697"/>
      <c r="P74" s="2"/>
      <c r="Q74" s="697"/>
      <c r="R74" s="23"/>
      <c r="S74" s="664"/>
      <c r="T74" s="666"/>
      <c r="U74" s="23"/>
      <c r="V74" s="665"/>
      <c r="W74" s="2"/>
    </row>
    <row r="75" spans="1:23">
      <c r="A75" s="142" t="s">
        <v>687</v>
      </c>
      <c r="B75" s="2" t="s">
        <v>285</v>
      </c>
      <c r="C75" s="2" t="s">
        <v>406</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97"/>
      <c r="O75" s="697"/>
      <c r="P75" s="2"/>
      <c r="Q75" s="697" t="s">
        <v>846</v>
      </c>
      <c r="R75" s="23" t="s">
        <v>1053</v>
      </c>
      <c r="S75" s="23" t="s">
        <v>953</v>
      </c>
      <c r="T75" s="2"/>
      <c r="U75" s="666" t="s">
        <v>954</v>
      </c>
      <c r="V75" s="675">
        <v>31503555.670000002</v>
      </c>
      <c r="W75" s="2" t="s">
        <v>951</v>
      </c>
    </row>
    <row r="76" spans="1:23">
      <c r="A76" s="142" t="s">
        <v>692</v>
      </c>
      <c r="B76" s="2" t="s">
        <v>290</v>
      </c>
      <c r="C76" s="2" t="s">
        <v>406</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97"/>
      <c r="O76" s="697"/>
      <c r="P76" s="2"/>
      <c r="Q76" s="697"/>
      <c r="R76" s="23"/>
      <c r="S76" s="664"/>
      <c r="T76" s="666"/>
      <c r="U76" s="23"/>
      <c r="V76" s="665"/>
      <c r="W76" s="2"/>
    </row>
    <row r="77" spans="1:23">
      <c r="A77" s="142" t="s">
        <v>691</v>
      </c>
      <c r="B77" s="2" t="s">
        <v>289</v>
      </c>
      <c r="C77" s="2" t="s">
        <v>406</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97"/>
      <c r="O77" s="697"/>
      <c r="P77" s="2"/>
      <c r="Q77" s="697"/>
      <c r="R77" s="23"/>
      <c r="S77" s="664"/>
      <c r="T77" s="666"/>
      <c r="U77" s="23"/>
      <c r="V77" s="665"/>
      <c r="W77" s="2"/>
    </row>
    <row r="78" spans="1:23">
      <c r="A78" s="142" t="s">
        <v>621</v>
      </c>
      <c r="B78" s="2" t="s">
        <v>225</v>
      </c>
      <c r="C78" s="2" t="s">
        <v>406</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97" t="s">
        <v>846</v>
      </c>
      <c r="O78" s="697"/>
      <c r="P78" s="2"/>
      <c r="Q78" s="697" t="s">
        <v>846</v>
      </c>
      <c r="R78" s="23"/>
      <c r="S78" s="664"/>
      <c r="T78" s="666"/>
      <c r="U78" s="23"/>
      <c r="V78" s="665"/>
      <c r="W78" s="2"/>
    </row>
    <row r="79" spans="1:23">
      <c r="A79" s="142" t="s">
        <v>698</v>
      </c>
      <c r="B79" s="2" t="s">
        <v>296</v>
      </c>
      <c r="C79" s="2" t="s">
        <v>406</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97"/>
      <c r="O79" s="697"/>
      <c r="P79" s="2"/>
      <c r="Q79" s="697"/>
      <c r="R79" s="23"/>
      <c r="S79" s="664"/>
      <c r="T79" s="666"/>
      <c r="U79" s="23"/>
      <c r="V79" s="665"/>
      <c r="W79" s="2"/>
    </row>
    <row r="80" spans="1:23">
      <c r="A80" s="142" t="s">
        <v>670</v>
      </c>
      <c r="B80" s="2" t="s">
        <v>272</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97"/>
      <c r="O80" s="697"/>
      <c r="P80" s="2"/>
      <c r="Q80" s="697"/>
      <c r="R80" s="23"/>
      <c r="S80" s="664"/>
      <c r="T80" s="666"/>
      <c r="U80" s="23"/>
      <c r="V80" s="665"/>
      <c r="W80" s="2"/>
    </row>
    <row r="81" spans="1:23" ht="46.5">
      <c r="A81" s="142" t="s">
        <v>699</v>
      </c>
      <c r="B81" s="2" t="s">
        <v>297</v>
      </c>
      <c r="C81" s="2" t="s">
        <v>406</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97"/>
      <c r="O81" s="697"/>
      <c r="P81" s="2"/>
      <c r="Q81" s="697"/>
      <c r="R81" s="23" t="s">
        <v>1054</v>
      </c>
      <c r="S81" s="23" t="s">
        <v>953</v>
      </c>
      <c r="T81" s="2"/>
      <c r="U81" s="666" t="s">
        <v>954</v>
      </c>
      <c r="V81" s="23">
        <v>9199165.9000000004</v>
      </c>
      <c r="W81" s="2" t="s">
        <v>951</v>
      </c>
    </row>
    <row r="82" spans="1:23">
      <c r="A82" s="142" t="s">
        <v>700</v>
      </c>
      <c r="B82" s="2" t="s">
        <v>298</v>
      </c>
      <c r="C82" s="2" t="s">
        <v>838</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97" t="s">
        <v>846</v>
      </c>
      <c r="O82" s="697"/>
      <c r="P82" s="2"/>
      <c r="Q82" s="697"/>
      <c r="R82" s="23"/>
      <c r="S82" s="664"/>
      <c r="T82" s="666"/>
      <c r="U82" s="23"/>
      <c r="V82" s="665"/>
      <c r="W82" s="2"/>
    </row>
    <row r="83" spans="1:23" ht="16" thickBot="1">
      <c r="A83" s="144" t="s">
        <v>593</v>
      </c>
      <c r="B83" s="17" t="s">
        <v>198</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68"/>
      <c r="T83" s="669"/>
      <c r="U83" s="317"/>
      <c r="V83" s="670"/>
      <c r="W83" s="17"/>
    </row>
    <row r="84" spans="1:23">
      <c r="C84" s="1" t="s">
        <v>406</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1055</v>
      </c>
    </row>
    <row r="3" spans="2:3">
      <c r="B3" s="256" t="s">
        <v>1056</v>
      </c>
      <c r="C3" s="259">
        <f>SUMIF('WB Approved projects'!$M$7:$M$143,B3,'WB Approved projects'!$N$7:$N$143)</f>
        <v>1531226866</v>
      </c>
    </row>
    <row r="4" spans="2:3">
      <c r="B4" s="255" t="s">
        <v>1057</v>
      </c>
      <c r="C4" s="259">
        <f>SUMIF('WB Approved projects'!$M$7:$M$143,B4,'WB Approved projects'!$N$7:$N$143)</f>
        <v>247780000</v>
      </c>
    </row>
    <row r="5" spans="2:3">
      <c r="B5" s="255" t="s">
        <v>746</v>
      </c>
      <c r="C5" s="259">
        <f>SUMIF('WB Approved projects'!$M$7:$M$143,B5,'WB Approved projects'!$N$7:$N$143)</f>
        <v>1003187832.07796</v>
      </c>
    </row>
    <row r="6" spans="2:3">
      <c r="B6" s="258" t="s">
        <v>1058</v>
      </c>
      <c r="C6" s="259">
        <f>SUMIF('WB Approved projects'!$M$7:$M$143,B6,'WB Approved projects'!$N$7:$N$143)</f>
        <v>985015270.07599998</v>
      </c>
    </row>
    <row r="7" spans="2:3">
      <c r="C7" s="259"/>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934</v>
      </c>
      <c r="D2" s="477"/>
      <c r="F2" s="486"/>
      <c r="G2" s="551"/>
      <c r="V2" s="5" t="s">
        <v>1059</v>
      </c>
    </row>
    <row r="3" spans="1:22" s="49" customFormat="1">
      <c r="A3" s="49" t="s">
        <v>1060</v>
      </c>
      <c r="D3" s="478"/>
      <c r="F3" s="487"/>
      <c r="G3" s="552"/>
      <c r="V3" s="22" t="s">
        <v>412</v>
      </c>
    </row>
    <row r="4" spans="1:22" ht="16" thickBot="1">
      <c r="A4" s="3"/>
      <c r="V4" s="22" t="s">
        <v>413</v>
      </c>
    </row>
    <row r="5" spans="1:22" s="5" customFormat="1" ht="16" thickBot="1">
      <c r="A5" s="4"/>
      <c r="B5" s="1465" t="s">
        <v>358</v>
      </c>
      <c r="C5" s="1467" t="s">
        <v>1061</v>
      </c>
      <c r="D5" s="1480" t="s">
        <v>1062</v>
      </c>
      <c r="E5" s="1481"/>
      <c r="F5" s="1481"/>
      <c r="G5" s="1481"/>
      <c r="H5" s="1481"/>
      <c r="I5" s="1482"/>
      <c r="J5" s="1467" t="s">
        <v>1059</v>
      </c>
      <c r="K5" s="1467" t="s">
        <v>410</v>
      </c>
      <c r="L5" s="1463" t="s">
        <v>1063</v>
      </c>
      <c r="M5" s="1463"/>
      <c r="N5" s="1463"/>
      <c r="O5" s="1464"/>
      <c r="V5" s="395" t="s">
        <v>414</v>
      </c>
    </row>
    <row r="6" spans="1:22" s="7" customFormat="1" ht="47" thickBot="1">
      <c r="A6" s="6"/>
      <c r="B6" s="1466"/>
      <c r="C6" s="1468"/>
      <c r="D6" s="139" t="s">
        <v>835</v>
      </c>
      <c r="E6" s="139" t="s">
        <v>1064</v>
      </c>
      <c r="F6" s="489" t="s">
        <v>945</v>
      </c>
      <c r="G6" s="554" t="s">
        <v>836</v>
      </c>
      <c r="H6" s="474" t="s">
        <v>1065</v>
      </c>
      <c r="I6" s="474" t="s">
        <v>1066</v>
      </c>
      <c r="J6" s="1468"/>
      <c r="K6" s="1468"/>
      <c r="L6" s="8" t="s">
        <v>1067</v>
      </c>
      <c r="M6" s="8" t="s">
        <v>1055</v>
      </c>
      <c r="N6" s="8" t="s">
        <v>1068</v>
      </c>
      <c r="O6" s="9" t="s">
        <v>1069</v>
      </c>
      <c r="Q6" s="197"/>
      <c r="R6" s="70" t="s">
        <v>1070</v>
      </c>
      <c r="V6" s="396" t="s">
        <v>415</v>
      </c>
    </row>
    <row r="7" spans="1:22" s="22" customFormat="1">
      <c r="B7" s="1469" t="s">
        <v>160</v>
      </c>
      <c r="C7" s="1319" t="s">
        <v>1071</v>
      </c>
      <c r="D7" s="1471" t="s">
        <v>1072</v>
      </c>
      <c r="E7" s="705"/>
      <c r="F7" s="490"/>
      <c r="G7" s="1473" t="s">
        <v>1073</v>
      </c>
      <c r="H7" s="437"/>
      <c r="I7" s="437"/>
      <c r="J7" s="33" t="s">
        <v>412</v>
      </c>
      <c r="K7" s="150">
        <v>60000000</v>
      </c>
      <c r="L7" s="151" t="s">
        <v>1074</v>
      </c>
      <c r="M7" s="151" t="s">
        <v>1056</v>
      </c>
      <c r="N7" s="150">
        <v>67300000</v>
      </c>
      <c r="O7" s="152">
        <f>N7/SUM($K$7:$K$9)</f>
        <v>0.59557522123893802</v>
      </c>
      <c r="P7" s="220">
        <f>SUM(N7:N9)</f>
        <v>113000000</v>
      </c>
      <c r="V7" s="33" t="s">
        <v>416</v>
      </c>
    </row>
    <row r="8" spans="1:22" s="22" customFormat="1">
      <c r="A8" s="153"/>
      <c r="B8" s="1470"/>
      <c r="C8" s="1475"/>
      <c r="D8" s="1472"/>
      <c r="E8" s="436"/>
      <c r="F8" s="485"/>
      <c r="G8" s="1474"/>
      <c r="H8" s="438"/>
      <c r="I8" s="438"/>
      <c r="J8" s="29" t="s">
        <v>413</v>
      </c>
      <c r="K8" s="28">
        <v>3000000</v>
      </c>
      <c r="L8" s="702" t="s">
        <v>1075</v>
      </c>
      <c r="M8" s="702" t="s">
        <v>1057</v>
      </c>
      <c r="N8" s="28">
        <v>45300000</v>
      </c>
      <c r="O8" s="154">
        <f>N8/SUM($K$7:$K$9)</f>
        <v>0.40088495575221239</v>
      </c>
      <c r="V8" s="29" t="s">
        <v>395</v>
      </c>
    </row>
    <row r="9" spans="1:22" s="22" customFormat="1" ht="16" thickBot="1">
      <c r="A9" s="153"/>
      <c r="B9" s="1470"/>
      <c r="C9" s="1475"/>
      <c r="D9" s="1472"/>
      <c r="E9" s="436"/>
      <c r="F9" s="485"/>
      <c r="G9" s="1474"/>
      <c r="H9" s="438"/>
      <c r="I9" s="438"/>
      <c r="J9" s="155" t="s">
        <v>414</v>
      </c>
      <c r="K9" s="104">
        <v>50000000</v>
      </c>
      <c r="L9" s="704" t="s">
        <v>746</v>
      </c>
      <c r="M9" s="704" t="s">
        <v>746</v>
      </c>
      <c r="N9" s="260">
        <f>113000000-N7-N8</f>
        <v>400000</v>
      </c>
      <c r="O9" s="156">
        <f>N9/SUM($K$7:$K$9)</f>
        <v>3.5398230088495575E-3</v>
      </c>
      <c r="V9" s="155" t="s">
        <v>417</v>
      </c>
    </row>
    <row r="10" spans="1:22" s="22" customFormat="1">
      <c r="B10" s="1293" t="s">
        <v>167</v>
      </c>
      <c r="C10" s="1296" t="s">
        <v>1076</v>
      </c>
      <c r="D10" s="1453"/>
      <c r="E10" s="439"/>
      <c r="F10" s="491"/>
      <c r="G10" s="1302"/>
      <c r="H10" s="434"/>
      <c r="I10" s="434"/>
      <c r="J10" s="1305" t="s">
        <v>415</v>
      </c>
      <c r="K10" s="1307">
        <v>500000000</v>
      </c>
      <c r="L10" s="158" t="s">
        <v>1077</v>
      </c>
      <c r="M10" s="158" t="s">
        <v>1058</v>
      </c>
      <c r="N10" s="34">
        <v>597300000</v>
      </c>
      <c r="O10" s="152">
        <f>N10/700000000</f>
        <v>0.85328571428571431</v>
      </c>
      <c r="P10" s="221">
        <f>SUM(N10:N13)</f>
        <v>600000000</v>
      </c>
      <c r="V10" s="371" t="s">
        <v>418</v>
      </c>
    </row>
    <row r="11" spans="1:22" s="22" customFormat="1">
      <c r="B11" s="1294"/>
      <c r="C11" s="1476"/>
      <c r="D11" s="1454"/>
      <c r="E11" s="440"/>
      <c r="F11" s="492"/>
      <c r="G11" s="1303"/>
      <c r="H11" s="442"/>
      <c r="I11" s="442"/>
      <c r="J11" s="1306"/>
      <c r="K11" s="1308"/>
      <c r="L11" s="159" t="s">
        <v>1078</v>
      </c>
      <c r="M11" s="159" t="s">
        <v>746</v>
      </c>
      <c r="N11" s="28">
        <v>2000000</v>
      </c>
      <c r="O11" s="154">
        <f>N11/700000000</f>
        <v>2.8571428571428571E-3</v>
      </c>
      <c r="V11" s="373" t="s">
        <v>419</v>
      </c>
    </row>
    <row r="12" spans="1:22" s="22" customFormat="1">
      <c r="B12" s="1294"/>
      <c r="C12" s="1476"/>
      <c r="D12" s="1454"/>
      <c r="E12" s="440"/>
      <c r="F12" s="492"/>
      <c r="G12" s="1303"/>
      <c r="H12" s="442"/>
      <c r="I12" s="442"/>
      <c r="J12" s="1306" t="s">
        <v>416</v>
      </c>
      <c r="K12" s="1308">
        <v>100000000</v>
      </c>
      <c r="L12" s="159" t="s">
        <v>1079</v>
      </c>
      <c r="M12" s="159" t="s">
        <v>746</v>
      </c>
      <c r="N12" s="28">
        <v>700000</v>
      </c>
      <c r="O12" s="154">
        <f>N12/700000000</f>
        <v>1E-3</v>
      </c>
      <c r="V12" s="373" t="s">
        <v>420</v>
      </c>
    </row>
    <row r="13" spans="1:22" s="22" customFormat="1" ht="16" thickBot="1">
      <c r="B13" s="1295"/>
      <c r="C13" s="1477"/>
      <c r="D13" s="1455"/>
      <c r="E13" s="441"/>
      <c r="F13" s="493"/>
      <c r="G13" s="1304"/>
      <c r="H13" s="443"/>
      <c r="I13" s="443"/>
      <c r="J13" s="1309"/>
      <c r="K13" s="1310"/>
      <c r="L13" s="160" t="s">
        <v>1080</v>
      </c>
      <c r="M13" s="160" t="s">
        <v>746</v>
      </c>
      <c r="N13" s="160">
        <v>0</v>
      </c>
      <c r="O13" s="161">
        <f>N13/700000000</f>
        <v>0</v>
      </c>
      <c r="V13" s="397" t="s">
        <v>421</v>
      </c>
    </row>
    <row r="14" spans="1:22" ht="31">
      <c r="B14" s="1478" t="s">
        <v>179</v>
      </c>
      <c r="C14" s="1315" t="s">
        <v>1081</v>
      </c>
      <c r="D14" s="1286"/>
      <c r="E14" s="448"/>
      <c r="F14" s="494"/>
      <c r="G14" s="1288"/>
      <c r="H14" s="446"/>
      <c r="I14" s="446"/>
      <c r="J14" s="1431" t="s">
        <v>415</v>
      </c>
      <c r="K14" s="1428">
        <v>5000000</v>
      </c>
      <c r="L14" s="32" t="s">
        <v>1082</v>
      </c>
      <c r="M14" s="32" t="s">
        <v>746</v>
      </c>
      <c r="N14" s="25">
        <v>1200000</v>
      </c>
      <c r="O14" s="26">
        <f>N14/K$14</f>
        <v>0.24</v>
      </c>
      <c r="P14" s="222">
        <f>K14</f>
        <v>5000000</v>
      </c>
      <c r="V14" s="387" t="s">
        <v>422</v>
      </c>
    </row>
    <row r="15" spans="1:22">
      <c r="B15" s="1294"/>
      <c r="C15" s="1315"/>
      <c r="D15" s="1286"/>
      <c r="E15" s="448"/>
      <c r="F15" s="494"/>
      <c r="G15" s="1288"/>
      <c r="H15" s="446"/>
      <c r="I15" s="446"/>
      <c r="J15" s="1306"/>
      <c r="K15" s="1308"/>
      <c r="L15" s="2" t="s">
        <v>1083</v>
      </c>
      <c r="M15" s="2" t="s">
        <v>1058</v>
      </c>
      <c r="N15" s="11">
        <v>3500000</v>
      </c>
      <c r="O15" s="16">
        <f>N15/K$14</f>
        <v>0.7</v>
      </c>
      <c r="V15" s="228" t="s">
        <v>423</v>
      </c>
    </row>
    <row r="16" spans="1:22" ht="17.25" customHeight="1">
      <c r="B16" s="1294"/>
      <c r="C16" s="1315"/>
      <c r="D16" s="1286"/>
      <c r="E16" s="448"/>
      <c r="F16" s="494"/>
      <c r="G16" s="1288"/>
      <c r="H16" s="446"/>
      <c r="I16" s="446"/>
      <c r="J16" s="1306"/>
      <c r="K16" s="1308"/>
      <c r="L16" s="23" t="s">
        <v>1084</v>
      </c>
      <c r="M16" s="23" t="s">
        <v>746</v>
      </c>
      <c r="N16" s="2"/>
      <c r="O16" s="16">
        <f>N16/K$14</f>
        <v>0</v>
      </c>
      <c r="V16"/>
    </row>
    <row r="17" spans="2:22" s="22" customFormat="1" ht="16" thickBot="1">
      <c r="B17" s="1404"/>
      <c r="C17" s="1479"/>
      <c r="D17" s="1438"/>
      <c r="E17" s="449"/>
      <c r="F17" s="495"/>
      <c r="G17" s="1430"/>
      <c r="H17" s="446"/>
      <c r="I17" s="446"/>
      <c r="J17" s="1432"/>
      <c r="K17" s="1429"/>
      <c r="L17" s="18" t="s">
        <v>1085</v>
      </c>
      <c r="M17" s="18" t="s">
        <v>746</v>
      </c>
      <c r="N17" s="19">
        <v>300000</v>
      </c>
      <c r="O17" s="20">
        <f>N17/K$14</f>
        <v>0.06</v>
      </c>
      <c r="V17"/>
    </row>
    <row r="18" spans="2:22" s="22" customFormat="1">
      <c r="B18" s="1445" t="s">
        <v>192</v>
      </c>
      <c r="C18" s="1457" t="s">
        <v>1086</v>
      </c>
      <c r="D18" s="1484"/>
      <c r="E18" s="426"/>
      <c r="F18" s="496"/>
      <c r="G18" s="1439"/>
      <c r="H18" s="450"/>
      <c r="I18" s="450"/>
      <c r="J18" s="1435" t="s">
        <v>415</v>
      </c>
      <c r="K18" s="1444">
        <v>100000000</v>
      </c>
      <c r="L18" s="268" t="s">
        <v>1087</v>
      </c>
      <c r="M18" s="268" t="s">
        <v>1058</v>
      </c>
      <c r="N18" s="269">
        <v>93600000</v>
      </c>
      <c r="O18" s="270">
        <f>N18/SUM($N$18:$N$20)</f>
        <v>0.93693693693693691</v>
      </c>
      <c r="P18" s="221">
        <f>K18</f>
        <v>100000000</v>
      </c>
      <c r="V18"/>
    </row>
    <row r="19" spans="2:22" s="22" customFormat="1">
      <c r="B19" s="1280"/>
      <c r="C19" s="1458"/>
      <c r="D19" s="1436"/>
      <c r="E19" s="427"/>
      <c r="F19" s="497"/>
      <c r="G19" s="1440"/>
      <c r="H19" s="431"/>
      <c r="I19" s="431"/>
      <c r="J19" s="1281"/>
      <c r="K19" s="1282"/>
      <c r="L19" s="271" t="s">
        <v>1088</v>
      </c>
      <c r="M19" s="271" t="s">
        <v>746</v>
      </c>
      <c r="N19" s="272">
        <v>1900000</v>
      </c>
      <c r="O19" s="273">
        <f>N19/SUM($N$18:$N$20)</f>
        <v>1.9019019019019021E-2</v>
      </c>
      <c r="V19"/>
    </row>
    <row r="20" spans="2:22" s="22" customFormat="1" ht="16" thickBot="1">
      <c r="B20" s="1280"/>
      <c r="C20" s="1458"/>
      <c r="D20" s="1436"/>
      <c r="E20" s="427"/>
      <c r="F20" s="497"/>
      <c r="G20" s="1440"/>
      <c r="H20" s="431"/>
      <c r="I20" s="431"/>
      <c r="J20" s="1281"/>
      <c r="K20" s="1282"/>
      <c r="L20" s="274" t="s">
        <v>1089</v>
      </c>
      <c r="M20" s="274" t="s">
        <v>746</v>
      </c>
      <c r="N20" s="275">
        <v>4400000</v>
      </c>
      <c r="O20" s="276">
        <f>N20/SUM($N$18:$N$20)</f>
        <v>4.4044044044044044E-2</v>
      </c>
      <c r="V20"/>
    </row>
    <row r="21" spans="2:22" s="22" customFormat="1">
      <c r="B21" s="1293" t="s">
        <v>977</v>
      </c>
      <c r="C21" s="1296" t="s">
        <v>1090</v>
      </c>
      <c r="D21" s="1453"/>
      <c r="E21" s="439"/>
      <c r="F21" s="491"/>
      <c r="G21" s="1302"/>
      <c r="H21" s="434"/>
      <c r="I21" s="434"/>
      <c r="J21" s="1305" t="s">
        <v>415</v>
      </c>
      <c r="K21" s="1307">
        <v>12000000</v>
      </c>
      <c r="L21" s="158" t="s">
        <v>1091</v>
      </c>
      <c r="M21" s="158" t="s">
        <v>746</v>
      </c>
      <c r="N21" s="214">
        <v>600000</v>
      </c>
      <c r="O21" s="215">
        <f t="shared" ref="O21:O29" si="0">N21/SUM($N$21:$N$29)</f>
        <v>0.05</v>
      </c>
      <c r="P21" s="221">
        <f>K21</f>
        <v>12000000</v>
      </c>
      <c r="V21"/>
    </row>
    <row r="22" spans="2:22" s="22" customFormat="1">
      <c r="B22" s="1294"/>
      <c r="C22" s="1297"/>
      <c r="D22" s="1454"/>
      <c r="E22" s="440"/>
      <c r="F22" s="492"/>
      <c r="G22" s="1303"/>
      <c r="H22" s="442"/>
      <c r="I22" s="442"/>
      <c r="J22" s="1306"/>
      <c r="K22" s="1308"/>
      <c r="L22" s="159" t="s">
        <v>1092</v>
      </c>
      <c r="M22" s="159" t="s">
        <v>746</v>
      </c>
      <c r="N22" s="213">
        <v>300000</v>
      </c>
      <c r="O22" s="216">
        <f t="shared" si="0"/>
        <v>2.5000000000000001E-2</v>
      </c>
      <c r="V22"/>
    </row>
    <row r="23" spans="2:22" s="22" customFormat="1">
      <c r="B23" s="1294"/>
      <c r="C23" s="1297"/>
      <c r="D23" s="1454"/>
      <c r="E23" s="440"/>
      <c r="F23" s="492"/>
      <c r="G23" s="1303"/>
      <c r="H23" s="442"/>
      <c r="I23" s="442"/>
      <c r="J23" s="1306"/>
      <c r="K23" s="1308"/>
      <c r="L23" s="159" t="s">
        <v>1093</v>
      </c>
      <c r="M23" s="159" t="s">
        <v>746</v>
      </c>
      <c r="N23" s="213">
        <v>100000</v>
      </c>
      <c r="O23" s="216">
        <f t="shared" si="0"/>
        <v>8.3333333333333332E-3</v>
      </c>
      <c r="V23"/>
    </row>
    <row r="24" spans="2:22" s="22" customFormat="1">
      <c r="B24" s="1294"/>
      <c r="C24" s="1297"/>
      <c r="D24" s="1454"/>
      <c r="E24" s="440"/>
      <c r="F24" s="492"/>
      <c r="G24" s="1303"/>
      <c r="H24" s="442"/>
      <c r="I24" s="442"/>
      <c r="J24" s="1306"/>
      <c r="K24" s="1308"/>
      <c r="L24" s="159" t="s">
        <v>1094</v>
      </c>
      <c r="M24" s="159" t="s">
        <v>746</v>
      </c>
      <c r="N24" s="213">
        <v>110000</v>
      </c>
      <c r="O24" s="216">
        <f t="shared" si="0"/>
        <v>9.1666666666666667E-3</v>
      </c>
      <c r="V24"/>
    </row>
    <row r="25" spans="2:22" s="22" customFormat="1">
      <c r="B25" s="1294"/>
      <c r="C25" s="1297"/>
      <c r="D25" s="1454"/>
      <c r="E25" s="440"/>
      <c r="F25" s="492"/>
      <c r="G25" s="1303"/>
      <c r="H25" s="442"/>
      <c r="I25" s="442"/>
      <c r="J25" s="1306"/>
      <c r="K25" s="1308"/>
      <c r="L25" s="159" t="s">
        <v>1095</v>
      </c>
      <c r="M25" s="159" t="s">
        <v>1056</v>
      </c>
      <c r="N25" s="213">
        <v>8060000</v>
      </c>
      <c r="O25" s="216">
        <f t="shared" si="0"/>
        <v>0.67166666666666663</v>
      </c>
      <c r="V25"/>
    </row>
    <row r="26" spans="2:22" s="22" customFormat="1">
      <c r="B26" s="1294"/>
      <c r="C26" s="1297"/>
      <c r="D26" s="1454"/>
      <c r="E26" s="440"/>
      <c r="F26" s="492"/>
      <c r="G26" s="1303"/>
      <c r="H26" s="442"/>
      <c r="I26" s="442"/>
      <c r="J26" s="1306"/>
      <c r="K26" s="1308"/>
      <c r="L26" s="159" t="s">
        <v>1096</v>
      </c>
      <c r="M26" s="159" t="s">
        <v>1057</v>
      </c>
      <c r="N26" s="213">
        <v>2020000</v>
      </c>
      <c r="O26" s="216">
        <f t="shared" si="0"/>
        <v>0.16833333333333333</v>
      </c>
      <c r="V26"/>
    </row>
    <row r="27" spans="2:22" s="22" customFormat="1">
      <c r="B27" s="1294"/>
      <c r="C27" s="1297"/>
      <c r="D27" s="1454"/>
      <c r="E27" s="440"/>
      <c r="F27" s="492"/>
      <c r="G27" s="1303"/>
      <c r="H27" s="442"/>
      <c r="I27" s="442"/>
      <c r="J27" s="1306"/>
      <c r="K27" s="1308"/>
      <c r="L27" s="159" t="s">
        <v>1097</v>
      </c>
      <c r="M27" s="159" t="s">
        <v>746</v>
      </c>
      <c r="N27" s="213">
        <v>10000</v>
      </c>
      <c r="O27" s="216">
        <f t="shared" si="0"/>
        <v>8.3333333333333339E-4</v>
      </c>
      <c r="V27"/>
    </row>
    <row r="28" spans="2:22" s="22" customFormat="1">
      <c r="B28" s="1294"/>
      <c r="C28" s="1297"/>
      <c r="D28" s="1454"/>
      <c r="E28" s="440"/>
      <c r="F28" s="492"/>
      <c r="G28" s="1303"/>
      <c r="H28" s="442"/>
      <c r="I28" s="442"/>
      <c r="J28" s="1306"/>
      <c r="K28" s="1308"/>
      <c r="L28" s="159" t="s">
        <v>1098</v>
      </c>
      <c r="M28" s="159" t="s">
        <v>746</v>
      </c>
      <c r="N28" s="213">
        <v>300000</v>
      </c>
      <c r="O28" s="216">
        <f t="shared" si="0"/>
        <v>2.5000000000000001E-2</v>
      </c>
      <c r="V28"/>
    </row>
    <row r="29" spans="2:22" s="22" customFormat="1" ht="16" thickBot="1">
      <c r="B29" s="1295"/>
      <c r="C29" s="1298"/>
      <c r="D29" s="1455"/>
      <c r="E29" s="441"/>
      <c r="F29" s="493"/>
      <c r="G29" s="1304"/>
      <c r="H29" s="443"/>
      <c r="I29" s="443"/>
      <c r="J29" s="1309"/>
      <c r="K29" s="1310"/>
      <c r="L29" s="217" t="s">
        <v>1099</v>
      </c>
      <c r="M29" s="217" t="s">
        <v>746</v>
      </c>
      <c r="N29" s="218">
        <v>500000</v>
      </c>
      <c r="O29" s="219">
        <f t="shared" si="0"/>
        <v>4.1666666666666664E-2</v>
      </c>
      <c r="V29"/>
    </row>
    <row r="30" spans="2:22" s="22" customFormat="1" ht="31">
      <c r="B30" s="1447" t="s">
        <v>197</v>
      </c>
      <c r="C30" s="1458" t="s">
        <v>1100</v>
      </c>
      <c r="D30" s="1436"/>
      <c r="E30" s="427"/>
      <c r="F30" s="497"/>
      <c r="G30" s="1440"/>
      <c r="H30" s="431"/>
      <c r="I30" s="431"/>
      <c r="J30" s="1485" t="s">
        <v>395</v>
      </c>
      <c r="K30" s="1489">
        <v>150000000</v>
      </c>
      <c r="L30" s="46" t="s">
        <v>1101</v>
      </c>
      <c r="M30" s="46" t="s">
        <v>1058</v>
      </c>
      <c r="N30" s="47">
        <v>4700000</v>
      </c>
      <c r="O30" s="48">
        <f>N30/SUM($N$30:$N$32)</f>
        <v>3.1333333333333331E-2</v>
      </c>
      <c r="P30" s="220">
        <f>K30</f>
        <v>150000000</v>
      </c>
      <c r="V30"/>
    </row>
    <row r="31" spans="2:22" s="22" customFormat="1" ht="31">
      <c r="B31" s="1448"/>
      <c r="C31" s="1458"/>
      <c r="D31" s="1436"/>
      <c r="E31" s="427"/>
      <c r="F31" s="497"/>
      <c r="G31" s="1440"/>
      <c r="H31" s="431"/>
      <c r="I31" s="431"/>
      <c r="J31" s="1486"/>
      <c r="K31" s="1490"/>
      <c r="L31" s="39" t="s">
        <v>1102</v>
      </c>
      <c r="M31" s="39" t="s">
        <v>746</v>
      </c>
      <c r="N31" s="40">
        <v>143800000</v>
      </c>
      <c r="O31" s="41">
        <f>N31/SUM($N$30:$N$32)</f>
        <v>0.95866666666666667</v>
      </c>
      <c r="V31"/>
    </row>
    <row r="32" spans="2:22" s="22" customFormat="1" ht="16" thickBot="1">
      <c r="B32" s="1449"/>
      <c r="C32" s="1483"/>
      <c r="D32" s="1437"/>
      <c r="E32" s="447"/>
      <c r="F32" s="498"/>
      <c r="G32" s="1441"/>
      <c r="H32" s="433"/>
      <c r="I32" s="433"/>
      <c r="J32" s="1487"/>
      <c r="K32" s="1491"/>
      <c r="L32" s="85" t="s">
        <v>1103</v>
      </c>
      <c r="M32" s="85" t="s">
        <v>746</v>
      </c>
      <c r="N32" s="86">
        <v>1500000</v>
      </c>
      <c r="O32" s="42">
        <f>N32/SUM($N$30:$N$32)</f>
        <v>0.01</v>
      </c>
      <c r="V32"/>
    </row>
    <row r="33" spans="2:22" s="22" customFormat="1">
      <c r="B33" s="1446" t="s">
        <v>199</v>
      </c>
      <c r="C33" s="1494" t="s">
        <v>1104</v>
      </c>
      <c r="D33" s="1456"/>
      <c r="E33" s="444"/>
      <c r="F33" s="499"/>
      <c r="G33" s="1496"/>
      <c r="H33" s="430"/>
      <c r="I33" s="430"/>
      <c r="J33" s="1402" t="s">
        <v>395</v>
      </c>
      <c r="K33" s="1492">
        <v>50000000</v>
      </c>
      <c r="L33" s="76" t="s">
        <v>1105</v>
      </c>
      <c r="M33" s="76" t="s">
        <v>746</v>
      </c>
      <c r="N33" s="77">
        <v>48000000</v>
      </c>
      <c r="O33" s="78">
        <f>N33/SUM($N$33:$N$34)</f>
        <v>0.96</v>
      </c>
      <c r="P33" s="220">
        <f>SUM(N33:N38)</f>
        <v>58000000</v>
      </c>
      <c r="V33"/>
    </row>
    <row r="34" spans="2:22" s="22" customFormat="1" ht="16" thickBot="1">
      <c r="B34" s="1446"/>
      <c r="C34" s="1398"/>
      <c r="D34" s="1400"/>
      <c r="E34" s="445"/>
      <c r="F34" s="500"/>
      <c r="G34" s="1396"/>
      <c r="H34" s="430"/>
      <c r="I34" s="430"/>
      <c r="J34" s="1402"/>
      <c r="K34" s="1493"/>
      <c r="L34" s="82" t="s">
        <v>1106</v>
      </c>
      <c r="M34" s="82" t="s">
        <v>746</v>
      </c>
      <c r="N34" s="83">
        <v>2000000</v>
      </c>
      <c r="O34" s="84">
        <f>N34/SUM($N$33:$N$34)</f>
        <v>0.04</v>
      </c>
      <c r="V34"/>
    </row>
    <row r="35" spans="2:22" s="22" customFormat="1">
      <c r="B35" s="1450" t="s">
        <v>202</v>
      </c>
      <c r="C35" s="1500" t="s">
        <v>1107</v>
      </c>
      <c r="D35" s="1442"/>
      <c r="E35" s="451"/>
      <c r="F35" s="501"/>
      <c r="G35" s="1502"/>
      <c r="H35" s="475"/>
      <c r="I35" s="475"/>
      <c r="J35" s="1497" t="s">
        <v>417</v>
      </c>
      <c r="K35" s="1307">
        <v>3000000</v>
      </c>
      <c r="L35" s="262" t="s">
        <v>1108</v>
      </c>
      <c r="M35" s="701" t="s">
        <v>746</v>
      </c>
      <c r="N35" s="263">
        <v>3000000</v>
      </c>
      <c r="O35" s="264">
        <f>N35/SUM($N$35:$N$38)</f>
        <v>0.375</v>
      </c>
      <c r="P35" s="221"/>
      <c r="V35"/>
    </row>
    <row r="36" spans="2:22" s="22" customFormat="1" ht="31">
      <c r="B36" s="1451"/>
      <c r="C36" s="1458"/>
      <c r="D36" s="1436"/>
      <c r="E36" s="427"/>
      <c r="F36" s="497"/>
      <c r="G36" s="1440"/>
      <c r="H36" s="476"/>
      <c r="I36" s="476"/>
      <c r="J36" s="1498"/>
      <c r="K36" s="1308"/>
      <c r="L36" s="261" t="s">
        <v>1109</v>
      </c>
      <c r="M36" s="257" t="s">
        <v>1056</v>
      </c>
      <c r="N36" s="253">
        <v>2250000</v>
      </c>
      <c r="O36" s="265">
        <f>N36/SUM($N$35:$N$38)</f>
        <v>0.28125</v>
      </c>
      <c r="V36"/>
    </row>
    <row r="37" spans="2:22" s="22" customFormat="1" ht="31">
      <c r="B37" s="1451"/>
      <c r="C37" s="1458"/>
      <c r="D37" s="1436"/>
      <c r="E37" s="427"/>
      <c r="F37" s="497"/>
      <c r="G37" s="1440"/>
      <c r="H37" s="431"/>
      <c r="I37" s="431"/>
      <c r="J37" s="1486" t="s">
        <v>395</v>
      </c>
      <c r="K37" s="1433">
        <v>5000000</v>
      </c>
      <c r="L37" s="67" t="s">
        <v>1110</v>
      </c>
      <c r="M37" s="67" t="s">
        <v>746</v>
      </c>
      <c r="N37" s="253">
        <v>2250000</v>
      </c>
      <c r="O37" s="265">
        <f>N37/SUM($N$35:$N$38)</f>
        <v>0.28125</v>
      </c>
      <c r="V37"/>
    </row>
    <row r="38" spans="2:22" s="22" customFormat="1" ht="31.5" thickBot="1">
      <c r="B38" s="1452"/>
      <c r="C38" s="1501"/>
      <c r="D38" s="1443"/>
      <c r="E38" s="452"/>
      <c r="F38" s="502"/>
      <c r="G38" s="1503"/>
      <c r="H38" s="432"/>
      <c r="I38" s="432"/>
      <c r="J38" s="1499"/>
      <c r="K38" s="1434"/>
      <c r="L38" s="266" t="s">
        <v>1111</v>
      </c>
      <c r="M38" s="266" t="s">
        <v>746</v>
      </c>
      <c r="N38" s="711">
        <v>500000</v>
      </c>
      <c r="O38" s="267">
        <f>N38/SUM($N$35:$N$38)</f>
        <v>6.25E-2</v>
      </c>
      <c r="V38"/>
    </row>
    <row r="39" spans="2:22" ht="23.25" customHeight="1">
      <c r="B39" s="164" t="s">
        <v>203</v>
      </c>
      <c r="C39" s="1458" t="s">
        <v>1112</v>
      </c>
      <c r="D39" s="1458" t="s">
        <v>1113</v>
      </c>
      <c r="E39" s="698"/>
      <c r="F39" s="503"/>
      <c r="G39" s="1440">
        <v>5308847</v>
      </c>
      <c r="H39" s="431"/>
      <c r="I39" s="431"/>
      <c r="J39" s="1281" t="s">
        <v>412</v>
      </c>
      <c r="K39" s="1488">
        <v>207000000</v>
      </c>
      <c r="L39" s="46" t="s">
        <v>1114</v>
      </c>
      <c r="M39" s="46" t="s">
        <v>1056</v>
      </c>
      <c r="N39" s="47">
        <v>129200000</v>
      </c>
      <c r="O39" s="48">
        <f>N39/$K$39</f>
        <v>0.62415458937198065</v>
      </c>
      <c r="P39" s="223">
        <f>K39</f>
        <v>207000000</v>
      </c>
      <c r="V39"/>
    </row>
    <row r="40" spans="2:22" ht="16" customHeight="1">
      <c r="B40" s="164"/>
      <c r="C40" s="1458"/>
      <c r="D40" s="1458"/>
      <c r="E40" s="698"/>
      <c r="F40" s="503"/>
      <c r="G40" s="1440"/>
      <c r="H40" s="431"/>
      <c r="I40" s="431"/>
      <c r="J40" s="1281"/>
      <c r="K40" s="1488"/>
      <c r="L40" s="38" t="s">
        <v>1115</v>
      </c>
      <c r="M40" s="38" t="s">
        <v>746</v>
      </c>
      <c r="N40" s="40">
        <v>28000000</v>
      </c>
      <c r="O40" s="48">
        <f>N40/$K$39</f>
        <v>0.13526570048309178</v>
      </c>
      <c r="V40"/>
    </row>
    <row r="41" spans="2:22">
      <c r="B41" s="164"/>
      <c r="C41" s="1458"/>
      <c r="D41" s="1458"/>
      <c r="E41" s="698"/>
      <c r="F41" s="503"/>
      <c r="G41" s="1440"/>
      <c r="H41" s="431"/>
      <c r="I41" s="431"/>
      <c r="J41" s="1281"/>
      <c r="K41" s="162"/>
      <c r="L41" s="39" t="s">
        <v>1116</v>
      </c>
      <c r="M41" s="39" t="s">
        <v>746</v>
      </c>
      <c r="N41" s="40">
        <v>6200000</v>
      </c>
      <c r="O41" s="48">
        <f>N41/$K$39</f>
        <v>2.9951690821256038E-2</v>
      </c>
      <c r="V41"/>
    </row>
    <row r="42" spans="2:22">
      <c r="B42" s="164"/>
      <c r="C42" s="1458"/>
      <c r="D42" s="1458"/>
      <c r="E42" s="698"/>
      <c r="F42" s="503"/>
      <c r="G42" s="1440"/>
      <c r="H42" s="431"/>
      <c r="I42" s="431"/>
      <c r="J42" s="1281"/>
      <c r="K42" s="162"/>
      <c r="L42" s="39" t="s">
        <v>1117</v>
      </c>
      <c r="M42" s="39" t="s">
        <v>746</v>
      </c>
      <c r="N42" s="40">
        <v>41600000</v>
      </c>
      <c r="O42" s="48">
        <f>N42/$K$39</f>
        <v>0.20096618357487922</v>
      </c>
      <c r="V42"/>
    </row>
    <row r="43" spans="2:22" ht="16" thickBot="1">
      <c r="B43" s="165"/>
      <c r="C43" s="1483"/>
      <c r="D43" s="1483"/>
      <c r="E43" s="699"/>
      <c r="F43" s="504"/>
      <c r="G43" s="1441"/>
      <c r="H43" s="433"/>
      <c r="I43" s="433"/>
      <c r="J43" s="1495"/>
      <c r="K43" s="163"/>
      <c r="L43" s="68" t="s">
        <v>1118</v>
      </c>
      <c r="M43" s="68" t="s">
        <v>746</v>
      </c>
      <c r="N43" s="69">
        <v>2000000</v>
      </c>
      <c r="O43" s="48">
        <f>N43/$K$39</f>
        <v>9.6618357487922701E-3</v>
      </c>
      <c r="V43"/>
    </row>
    <row r="44" spans="2:22" ht="16" thickBot="1">
      <c r="B44" s="284" t="s">
        <v>990</v>
      </c>
      <c r="C44" s="285" t="s">
        <v>1119</v>
      </c>
      <c r="D44" s="480"/>
      <c r="E44" s="286"/>
      <c r="F44" s="505"/>
      <c r="G44" s="555"/>
      <c r="H44" s="287"/>
      <c r="I44" s="287"/>
      <c r="J44" s="288" t="s">
        <v>412</v>
      </c>
      <c r="K44" s="289">
        <v>8000000</v>
      </c>
      <c r="L44" s="290" t="s">
        <v>1077</v>
      </c>
      <c r="M44" s="290" t="s">
        <v>746</v>
      </c>
      <c r="N44" s="291">
        <v>8000000</v>
      </c>
      <c r="O44" s="292">
        <f>N44/K44</f>
        <v>1</v>
      </c>
      <c r="P44" s="223">
        <f>K44</f>
        <v>8000000</v>
      </c>
      <c r="V44"/>
    </row>
    <row r="45" spans="2:22">
      <c r="B45" s="1293" t="s">
        <v>207</v>
      </c>
      <c r="C45" s="1459" t="s">
        <v>1120</v>
      </c>
      <c r="D45" s="1299"/>
      <c r="E45" s="434"/>
      <c r="F45" s="506"/>
      <c r="G45" s="1302"/>
      <c r="H45" s="434"/>
      <c r="I45" s="434"/>
      <c r="J45" s="1305" t="s">
        <v>395</v>
      </c>
      <c r="K45" s="1411">
        <v>34500000</v>
      </c>
      <c r="L45" s="158" t="s">
        <v>1121</v>
      </c>
      <c r="M45" s="158" t="s">
        <v>1058</v>
      </c>
      <c r="N45" s="214">
        <f>28000000*1.112688217</f>
        <v>31155270.076000001</v>
      </c>
      <c r="O45" s="215"/>
      <c r="P45" s="223"/>
      <c r="V45"/>
    </row>
    <row r="46" spans="2:22" ht="16" thickBot="1">
      <c r="B46" s="1404"/>
      <c r="C46" s="1460"/>
      <c r="D46" s="1426"/>
      <c r="E46" s="435"/>
      <c r="F46" s="507"/>
      <c r="G46" s="1462"/>
      <c r="H46" s="435"/>
      <c r="I46" s="435"/>
      <c r="J46" s="1432"/>
      <c r="K46" s="1461"/>
      <c r="L46" s="351" t="s">
        <v>1099</v>
      </c>
      <c r="M46" s="351" t="s">
        <v>746</v>
      </c>
      <c r="N46" s="260">
        <f>385143*1.112688217</f>
        <v>428544.07796003105</v>
      </c>
      <c r="O46" s="352"/>
      <c r="P46" s="223"/>
      <c r="V46"/>
    </row>
    <row r="47" spans="2:22">
      <c r="B47" s="1293" t="s">
        <v>208</v>
      </c>
      <c r="C47" s="1296" t="s">
        <v>1122</v>
      </c>
      <c r="D47" s="1405"/>
      <c r="E47" s="712"/>
      <c r="F47" s="508"/>
      <c r="G47" s="1408"/>
      <c r="H47" s="712"/>
      <c r="I47" s="712"/>
      <c r="J47" s="1405"/>
      <c r="K47" s="1411">
        <v>200000000</v>
      </c>
      <c r="L47" s="158" t="s">
        <v>1123</v>
      </c>
      <c r="M47" s="158" t="s">
        <v>746</v>
      </c>
      <c r="N47" s="214">
        <v>14960000</v>
      </c>
      <c r="O47" s="215">
        <f>N47/$K$47</f>
        <v>7.4800000000000005E-2</v>
      </c>
      <c r="P47" s="223"/>
      <c r="V47"/>
    </row>
    <row r="48" spans="2:22">
      <c r="B48" s="1294"/>
      <c r="C48" s="1297"/>
      <c r="D48" s="1406"/>
      <c r="E48" s="713"/>
      <c r="F48" s="509"/>
      <c r="G48" s="1409"/>
      <c r="H48" s="713"/>
      <c r="I48" s="713"/>
      <c r="J48" s="1406"/>
      <c r="K48" s="1412"/>
      <c r="L48" s="159" t="s">
        <v>1124</v>
      </c>
      <c r="M48" s="159" t="s">
        <v>746</v>
      </c>
      <c r="N48" s="213">
        <v>40880000</v>
      </c>
      <c r="O48" s="216">
        <f>N48/$K$47</f>
        <v>0.2044</v>
      </c>
      <c r="P48" s="223"/>
      <c r="V48"/>
    </row>
    <row r="49" spans="2:22">
      <c r="B49" s="1294"/>
      <c r="C49" s="1297"/>
      <c r="D49" s="1406"/>
      <c r="E49" s="713"/>
      <c r="F49" s="509"/>
      <c r="G49" s="1409"/>
      <c r="H49" s="713"/>
      <c r="I49" s="713"/>
      <c r="J49" s="1406"/>
      <c r="K49" s="1412"/>
      <c r="L49" s="159" t="s">
        <v>1125</v>
      </c>
      <c r="M49" s="159" t="s">
        <v>1057</v>
      </c>
      <c r="N49" s="213">
        <v>7010000</v>
      </c>
      <c r="O49" s="216">
        <f>N49/$K$47</f>
        <v>3.5049999999999998E-2</v>
      </c>
      <c r="P49" s="223"/>
      <c r="V49"/>
    </row>
    <row r="50" spans="2:22" ht="16" thickBot="1">
      <c r="B50" s="1295"/>
      <c r="C50" s="1298"/>
      <c r="D50" s="1407"/>
      <c r="E50" s="714"/>
      <c r="F50" s="510"/>
      <c r="G50" s="1410"/>
      <c r="H50" s="714"/>
      <c r="I50" s="714"/>
      <c r="J50" s="1407"/>
      <c r="K50" s="1413"/>
      <c r="L50" s="217" t="s">
        <v>1126</v>
      </c>
      <c r="M50" s="217" t="s">
        <v>1056</v>
      </c>
      <c r="N50" s="218">
        <v>137150000</v>
      </c>
      <c r="O50" s="219">
        <f>N50/$K$47</f>
        <v>0.68574999999999997</v>
      </c>
      <c r="P50" s="223"/>
      <c r="V50"/>
    </row>
    <row r="51" spans="2:22">
      <c r="B51" s="1390" t="s">
        <v>215</v>
      </c>
      <c r="C51" s="1398" t="s">
        <v>1127</v>
      </c>
      <c r="D51" s="1400"/>
      <c r="E51" s="445"/>
      <c r="F51" s="500"/>
      <c r="G51" s="1396"/>
      <c r="H51" s="430"/>
      <c r="I51" s="430"/>
      <c r="J51" s="1402" t="s">
        <v>415</v>
      </c>
      <c r="K51" s="1388">
        <v>20000000</v>
      </c>
      <c r="L51" s="328" t="s">
        <v>1077</v>
      </c>
      <c r="M51" s="328" t="s">
        <v>746</v>
      </c>
      <c r="N51" s="77">
        <v>19500000</v>
      </c>
      <c r="O51" s="329">
        <f>N51/SUM($N$51:$N$52)</f>
        <v>0.97499999999999998</v>
      </c>
      <c r="P51" s="224">
        <f>SUM(N51:N68)</f>
        <v>589000000</v>
      </c>
      <c r="V51"/>
    </row>
    <row r="52" spans="2:22" ht="31.5" thickBot="1">
      <c r="B52" s="1391"/>
      <c r="C52" s="1399"/>
      <c r="D52" s="1401"/>
      <c r="E52" s="459"/>
      <c r="F52" s="511"/>
      <c r="G52" s="1397"/>
      <c r="H52" s="458"/>
      <c r="I52" s="458"/>
      <c r="J52" s="1403"/>
      <c r="K52" s="1389"/>
      <c r="L52" s="293" t="s">
        <v>1128</v>
      </c>
      <c r="M52" s="293" t="s">
        <v>746</v>
      </c>
      <c r="N52" s="254">
        <v>500000</v>
      </c>
      <c r="O52" s="294">
        <f>N52/SUM($N$51:$N$52)</f>
        <v>2.5000000000000001E-2</v>
      </c>
      <c r="V52"/>
    </row>
    <row r="53" spans="2:22" ht="17.25" customHeight="1">
      <c r="B53" s="1340" t="s">
        <v>722</v>
      </c>
      <c r="C53" s="1325" t="s">
        <v>1129</v>
      </c>
      <c r="D53" s="1274"/>
      <c r="E53" s="725"/>
      <c r="F53" s="512"/>
      <c r="G53" s="1369"/>
      <c r="H53" s="428"/>
      <c r="I53" s="428"/>
      <c r="J53" s="295" t="s">
        <v>415</v>
      </c>
      <c r="K53" s="296">
        <v>10000000</v>
      </c>
      <c r="L53" s="199" t="s">
        <v>1130</v>
      </c>
      <c r="M53" s="13" t="s">
        <v>1056</v>
      </c>
      <c r="N53" s="297">
        <v>19500000</v>
      </c>
      <c r="O53" s="298">
        <f>N53/P53</f>
        <v>0.97499999999999998</v>
      </c>
      <c r="P53" s="223">
        <f>SUM(N53:N54)</f>
        <v>20000000</v>
      </c>
      <c r="V53"/>
    </row>
    <row r="54" spans="2:22" ht="16" thickBot="1">
      <c r="B54" s="1365"/>
      <c r="C54" s="1327"/>
      <c r="D54" s="1275"/>
      <c r="E54" s="726"/>
      <c r="F54" s="513"/>
      <c r="G54" s="1370"/>
      <c r="H54" s="429"/>
      <c r="I54" s="429"/>
      <c r="J54" s="302" t="s">
        <v>1131</v>
      </c>
      <c r="K54" s="303">
        <v>10000000</v>
      </c>
      <c r="L54" s="293" t="s">
        <v>1132</v>
      </c>
      <c r="M54" s="18" t="s">
        <v>746</v>
      </c>
      <c r="N54" s="304">
        <v>500000</v>
      </c>
      <c r="O54" s="305">
        <f>N54/P53</f>
        <v>2.5000000000000001E-2</v>
      </c>
      <c r="V54"/>
    </row>
    <row r="55" spans="2:22" ht="31">
      <c r="B55" s="1268" t="s">
        <v>217</v>
      </c>
      <c r="C55" s="1392"/>
      <c r="D55" s="1274"/>
      <c r="E55" s="725"/>
      <c r="F55" s="512"/>
      <c r="G55" s="1394"/>
      <c r="H55" s="725"/>
      <c r="I55" s="725"/>
      <c r="J55" s="371" t="s">
        <v>418</v>
      </c>
      <c r="K55" s="465">
        <v>9900000</v>
      </c>
      <c r="L55" s="700" t="s">
        <v>1133</v>
      </c>
      <c r="M55" s="13" t="s">
        <v>746</v>
      </c>
      <c r="N55" s="297">
        <v>245000000</v>
      </c>
      <c r="O55" s="372">
        <f>N55/500000000</f>
        <v>0.49</v>
      </c>
      <c r="V55"/>
    </row>
    <row r="56" spans="2:22" ht="31">
      <c r="B56" s="1269"/>
      <c r="C56" s="1393"/>
      <c r="D56" s="1275"/>
      <c r="E56" s="726"/>
      <c r="F56" s="513"/>
      <c r="G56" s="1395"/>
      <c r="H56" s="726"/>
      <c r="I56" s="726"/>
      <c r="J56" s="373" t="s">
        <v>419</v>
      </c>
      <c r="K56" s="466">
        <v>500000000</v>
      </c>
      <c r="L56" s="374" t="s">
        <v>1134</v>
      </c>
      <c r="M56" s="2" t="s">
        <v>746</v>
      </c>
      <c r="N56" s="375">
        <v>136000000</v>
      </c>
      <c r="O56" s="376">
        <f>N56/500000000</f>
        <v>0.27200000000000002</v>
      </c>
      <c r="V56"/>
    </row>
    <row r="57" spans="2:22" ht="31.5" thickBot="1">
      <c r="B57" s="1269"/>
      <c r="C57" s="1393"/>
      <c r="D57" s="1275"/>
      <c r="E57" s="726"/>
      <c r="F57" s="513"/>
      <c r="G57" s="1395"/>
      <c r="H57" s="726"/>
      <c r="I57" s="726"/>
      <c r="J57" s="377" t="s">
        <v>420</v>
      </c>
      <c r="K57" s="378">
        <v>235000000</v>
      </c>
      <c r="L57" s="293" t="s">
        <v>1135</v>
      </c>
      <c r="M57" s="18" t="s">
        <v>746</v>
      </c>
      <c r="N57" s="304">
        <v>119000000</v>
      </c>
      <c r="O57" s="305">
        <f>N57/500000000</f>
        <v>0.23799999999999999</v>
      </c>
      <c r="V57"/>
    </row>
    <row r="58" spans="2:22">
      <c r="B58" s="1293" t="s">
        <v>227</v>
      </c>
      <c r="C58" s="1296" t="s">
        <v>1136</v>
      </c>
      <c r="D58" s="1274"/>
      <c r="E58" s="725"/>
      <c r="F58" s="512"/>
      <c r="G58" s="1287"/>
      <c r="H58" s="456"/>
      <c r="I58" s="456"/>
      <c r="J58" s="379" t="s">
        <v>415</v>
      </c>
      <c r="K58" s="703">
        <v>10000000</v>
      </c>
      <c r="L58" s="27" t="s">
        <v>1137</v>
      </c>
      <c r="M58" s="13" t="s">
        <v>746</v>
      </c>
      <c r="N58" s="380">
        <v>245000</v>
      </c>
      <c r="O58" s="381"/>
      <c r="V58"/>
    </row>
    <row r="59" spans="2:22">
      <c r="B59" s="1294"/>
      <c r="C59" s="1297"/>
      <c r="D59" s="1275"/>
      <c r="E59" s="726"/>
      <c r="F59" s="513"/>
      <c r="G59" s="1288"/>
      <c r="H59" s="446"/>
      <c r="I59" s="446"/>
      <c r="J59" s="707" t="s">
        <v>417</v>
      </c>
      <c r="K59" s="715">
        <v>5000000</v>
      </c>
      <c r="L59" s="23" t="s">
        <v>744</v>
      </c>
      <c r="M59" s="2" t="s">
        <v>1056</v>
      </c>
      <c r="N59" s="382">
        <v>6812000</v>
      </c>
      <c r="O59" s="203"/>
      <c r="V59"/>
    </row>
    <row r="60" spans="2:22">
      <c r="B60" s="1294"/>
      <c r="C60" s="1297"/>
      <c r="D60" s="1275"/>
      <c r="E60" s="726"/>
      <c r="F60" s="513"/>
      <c r="G60" s="1288"/>
      <c r="H60" s="446"/>
      <c r="I60" s="446"/>
      <c r="J60" s="707"/>
      <c r="K60" s="715"/>
      <c r="L60" s="23" t="s">
        <v>939</v>
      </c>
      <c r="M60" s="2" t="s">
        <v>1057</v>
      </c>
      <c r="N60" s="382">
        <v>5450000</v>
      </c>
      <c r="O60" s="203"/>
      <c r="V60"/>
    </row>
    <row r="61" spans="2:22">
      <c r="B61" s="1294"/>
      <c r="C61" s="1297"/>
      <c r="D61" s="1275"/>
      <c r="E61" s="726"/>
      <c r="F61" s="513"/>
      <c r="G61" s="1288"/>
      <c r="H61" s="446"/>
      <c r="I61" s="446"/>
      <c r="J61" s="707"/>
      <c r="K61" s="715"/>
      <c r="L61" s="23" t="s">
        <v>1138</v>
      </c>
      <c r="M61" s="2" t="s">
        <v>746</v>
      </c>
      <c r="N61" s="382">
        <v>30000</v>
      </c>
      <c r="O61" s="203"/>
      <c r="V61"/>
    </row>
    <row r="62" spans="2:22">
      <c r="B62" s="1294"/>
      <c r="C62" s="1297"/>
      <c r="D62" s="1275"/>
      <c r="E62" s="726"/>
      <c r="F62" s="513"/>
      <c r="G62" s="1288"/>
      <c r="H62" s="446"/>
      <c r="I62" s="446"/>
      <c r="J62" s="707" t="s">
        <v>417</v>
      </c>
      <c r="K62" s="715">
        <v>5000000</v>
      </c>
      <c r="L62" s="23" t="s">
        <v>1139</v>
      </c>
      <c r="M62" s="2" t="s">
        <v>746</v>
      </c>
      <c r="N62" s="382">
        <v>198000</v>
      </c>
      <c r="O62" s="203"/>
      <c r="V62"/>
    </row>
    <row r="63" spans="2:22">
      <c r="B63" s="1294"/>
      <c r="C63" s="1297"/>
      <c r="D63" s="1275"/>
      <c r="E63" s="726"/>
      <c r="F63" s="513"/>
      <c r="G63" s="1288"/>
      <c r="H63" s="446"/>
      <c r="I63" s="446"/>
      <c r="J63" s="707"/>
      <c r="K63" s="715"/>
      <c r="L63" s="23" t="s">
        <v>1140</v>
      </c>
      <c r="M63" s="2" t="s">
        <v>746</v>
      </c>
      <c r="N63" s="382">
        <v>265000</v>
      </c>
      <c r="O63" s="203"/>
      <c r="V63"/>
    </row>
    <row r="64" spans="2:22">
      <c r="B64" s="1294"/>
      <c r="C64" s="1297"/>
      <c r="D64" s="1275"/>
      <c r="E64" s="726"/>
      <c r="F64" s="513"/>
      <c r="G64" s="1288"/>
      <c r="H64" s="446"/>
      <c r="I64" s="446"/>
      <c r="J64" s="707"/>
      <c r="K64" s="715"/>
      <c r="L64" s="23" t="s">
        <v>1141</v>
      </c>
      <c r="M64" s="2" t="s">
        <v>746</v>
      </c>
      <c r="N64" s="382">
        <v>1700000</v>
      </c>
      <c r="O64" s="203"/>
      <c r="V64"/>
    </row>
    <row r="65" spans="2:22" ht="31">
      <c r="B65" s="1294"/>
      <c r="C65" s="1297"/>
      <c r="D65" s="1275"/>
      <c r="E65" s="726"/>
      <c r="F65" s="513"/>
      <c r="G65" s="1288"/>
      <c r="H65" s="446"/>
      <c r="I65" s="446"/>
      <c r="J65" s="707"/>
      <c r="K65" s="715"/>
      <c r="L65" s="23" t="s">
        <v>1142</v>
      </c>
      <c r="M65" s="2" t="s">
        <v>746</v>
      </c>
      <c r="N65" s="382">
        <v>240000</v>
      </c>
      <c r="O65" s="203"/>
      <c r="V65"/>
    </row>
    <row r="66" spans="2:22" ht="16" thickBot="1">
      <c r="B66" s="1295"/>
      <c r="C66" s="1298"/>
      <c r="D66" s="1276"/>
      <c r="E66" s="455"/>
      <c r="F66" s="514"/>
      <c r="G66" s="1362"/>
      <c r="H66" s="457"/>
      <c r="I66" s="457"/>
      <c r="J66" s="708"/>
      <c r="K66" s="716"/>
      <c r="L66" s="317" t="s">
        <v>1143</v>
      </c>
      <c r="M66" s="17" t="s">
        <v>746</v>
      </c>
      <c r="N66" s="383">
        <v>60000</v>
      </c>
      <c r="O66" s="205"/>
      <c r="V66"/>
    </row>
    <row r="67" spans="2:22">
      <c r="B67" s="1414" t="s">
        <v>228</v>
      </c>
      <c r="C67" s="1416" t="s">
        <v>1144</v>
      </c>
      <c r="D67" s="1418"/>
      <c r="E67" s="717"/>
      <c r="F67" s="515"/>
      <c r="G67" s="1420"/>
      <c r="H67" s="453"/>
      <c r="I67" s="453"/>
      <c r="J67" s="1422" t="s">
        <v>421</v>
      </c>
      <c r="K67" s="1424">
        <f>34*1000000</f>
        <v>34000000</v>
      </c>
      <c r="L67" s="12" t="s">
        <v>1145</v>
      </c>
      <c r="M67" s="12" t="s">
        <v>1056</v>
      </c>
      <c r="N67" s="25">
        <v>25000000</v>
      </c>
      <c r="O67" s="26">
        <f>N67/K67</f>
        <v>0.73529411764705888</v>
      </c>
      <c r="P67" s="222"/>
      <c r="V67"/>
    </row>
    <row r="68" spans="2:22" ht="16" thickBot="1">
      <c r="B68" s="1415"/>
      <c r="C68" s="1417"/>
      <c r="D68" s="1419"/>
      <c r="E68" s="718"/>
      <c r="F68" s="516"/>
      <c r="G68" s="1421"/>
      <c r="H68" s="454"/>
      <c r="I68" s="454"/>
      <c r="J68" s="1423"/>
      <c r="K68" s="1425"/>
      <c r="L68" s="18" t="s">
        <v>1146</v>
      </c>
      <c r="M68" s="18" t="s">
        <v>1057</v>
      </c>
      <c r="N68" s="19">
        <v>9000000</v>
      </c>
      <c r="O68" s="20">
        <f>N68/K67</f>
        <v>0.26470588235294118</v>
      </c>
      <c r="V68"/>
    </row>
    <row r="69" spans="2:22" ht="17.25" customHeight="1">
      <c r="B69" s="1427" t="s">
        <v>723</v>
      </c>
      <c r="C69" s="1319" t="s">
        <v>1147</v>
      </c>
      <c r="D69" s="1384"/>
      <c r="E69" s="722"/>
      <c r="F69" s="517"/>
      <c r="G69" s="1386"/>
      <c r="H69" s="738"/>
      <c r="I69" s="738"/>
      <c r="J69" s="369" t="s">
        <v>415</v>
      </c>
      <c r="K69" s="368">
        <v>22000000</v>
      </c>
      <c r="L69" s="384"/>
      <c r="M69" s="13"/>
      <c r="N69" s="21"/>
      <c r="O69" s="15"/>
      <c r="P69" s="222">
        <f>SUM(K69:K70)</f>
        <v>25500000</v>
      </c>
      <c r="V69"/>
    </row>
    <row r="70" spans="2:22">
      <c r="B70" s="1377"/>
      <c r="C70" s="1315"/>
      <c r="D70" s="1385"/>
      <c r="E70" s="723"/>
      <c r="F70" s="518"/>
      <c r="G70" s="1387"/>
      <c r="H70" s="739"/>
      <c r="I70" s="739"/>
      <c r="J70" s="719" t="s">
        <v>417</v>
      </c>
      <c r="K70" s="720">
        <v>3500000</v>
      </c>
      <c r="L70" s="299"/>
      <c r="M70" s="18"/>
      <c r="N70" s="19"/>
      <c r="O70" s="20"/>
      <c r="V70"/>
    </row>
    <row r="71" spans="2:22">
      <c r="B71" s="721"/>
      <c r="C71" s="709"/>
      <c r="D71" s="723"/>
      <c r="E71" s="723"/>
      <c r="F71" s="518"/>
      <c r="G71" s="724"/>
      <c r="H71" s="739"/>
      <c r="I71" s="739"/>
      <c r="J71" s="741"/>
      <c r="K71" s="283"/>
      <c r="L71" s="299"/>
      <c r="M71" s="299"/>
      <c r="N71" s="300"/>
      <c r="O71" s="301"/>
      <c r="V71"/>
    </row>
    <row r="72" spans="2:22" ht="16" thickBot="1">
      <c r="B72" s="721"/>
      <c r="C72" s="709"/>
      <c r="D72" s="723"/>
      <c r="E72" s="723"/>
      <c r="F72" s="518"/>
      <c r="G72" s="724"/>
      <c r="H72" s="739"/>
      <c r="I72" s="739"/>
      <c r="J72" s="741"/>
      <c r="K72" s="283"/>
      <c r="L72" s="299"/>
      <c r="M72" s="299"/>
      <c r="N72" s="300"/>
      <c r="O72" s="301"/>
      <c r="V72"/>
    </row>
    <row r="73" spans="2:22">
      <c r="B73" s="1268" t="s">
        <v>220</v>
      </c>
      <c r="C73" s="1319" t="s">
        <v>1148</v>
      </c>
      <c r="D73" s="370" t="s">
        <v>395</v>
      </c>
      <c r="E73" s="370"/>
      <c r="F73" s="519"/>
      <c r="G73" s="556">
        <v>49350000</v>
      </c>
      <c r="H73" s="738"/>
      <c r="I73" s="738"/>
      <c r="J73" s="1371"/>
      <c r="K73" s="1371"/>
      <c r="L73" s="1371"/>
      <c r="M73" s="1371"/>
      <c r="N73" s="1371"/>
      <c r="O73" s="1374"/>
      <c r="V73"/>
    </row>
    <row r="74" spans="2:22">
      <c r="B74" s="1269"/>
      <c r="C74" s="1315"/>
      <c r="D74" s="385" t="s">
        <v>1149</v>
      </c>
      <c r="E74" s="385"/>
      <c r="F74" s="520"/>
      <c r="G74" s="557">
        <v>9400000</v>
      </c>
      <c r="H74" s="739"/>
      <c r="I74" s="739"/>
      <c r="J74" s="1372"/>
      <c r="K74" s="1372"/>
      <c r="L74" s="1372"/>
      <c r="M74" s="1372"/>
      <c r="N74" s="1372"/>
      <c r="O74" s="1375"/>
      <c r="V74"/>
    </row>
    <row r="75" spans="2:22" ht="31.5" thickBot="1">
      <c r="B75" s="1270"/>
      <c r="C75" s="1316"/>
      <c r="D75" s="386" t="s">
        <v>417</v>
      </c>
      <c r="E75" s="386"/>
      <c r="F75" s="521"/>
      <c r="G75" s="558">
        <v>1250000</v>
      </c>
      <c r="H75" s="740"/>
      <c r="I75" s="740"/>
      <c r="J75" s="1373"/>
      <c r="K75" s="1373"/>
      <c r="L75" s="1373"/>
      <c r="M75" s="1373"/>
      <c r="N75" s="1373"/>
      <c r="O75" s="1376"/>
      <c r="V75"/>
    </row>
    <row r="76" spans="2:22">
      <c r="B76" s="1377" t="s">
        <v>233</v>
      </c>
      <c r="C76" s="1315" t="s">
        <v>1150</v>
      </c>
      <c r="D76" s="1379"/>
      <c r="E76" s="727"/>
      <c r="F76" s="522"/>
      <c r="G76" s="1381"/>
      <c r="H76" s="727"/>
      <c r="I76" s="727"/>
      <c r="J76" s="1290" t="s">
        <v>415</v>
      </c>
      <c r="K76" s="1321">
        <v>30000000</v>
      </c>
      <c r="L76" s="12" t="s">
        <v>1121</v>
      </c>
      <c r="M76" s="12" t="s">
        <v>1058</v>
      </c>
      <c r="N76" s="25">
        <v>26000000</v>
      </c>
      <c r="O76" s="26">
        <f>N76/SUM($N$76:$N$79)</f>
        <v>0.8666666666666667</v>
      </c>
      <c r="V76"/>
    </row>
    <row r="77" spans="2:22">
      <c r="B77" s="1377"/>
      <c r="C77" s="1315"/>
      <c r="D77" s="1379"/>
      <c r="E77" s="727"/>
      <c r="F77" s="522"/>
      <c r="G77" s="1381"/>
      <c r="H77" s="727"/>
      <c r="I77" s="727"/>
      <c r="J77" s="1290"/>
      <c r="K77" s="1321"/>
      <c r="L77" s="2" t="s">
        <v>1151</v>
      </c>
      <c r="M77" s="2" t="s">
        <v>746</v>
      </c>
      <c r="N77" s="11">
        <v>1000000</v>
      </c>
      <c r="O77" s="16">
        <f>N77/K76</f>
        <v>3.3333333333333333E-2</v>
      </c>
      <c r="V77"/>
    </row>
    <row r="78" spans="2:22">
      <c r="B78" s="1377"/>
      <c r="C78" s="1315"/>
      <c r="D78" s="1379"/>
      <c r="E78" s="727"/>
      <c r="F78" s="522"/>
      <c r="G78" s="1381"/>
      <c r="H78" s="727"/>
      <c r="I78" s="727"/>
      <c r="J78" s="1290"/>
      <c r="K78" s="1321"/>
      <c r="L78" s="2" t="s">
        <v>1152</v>
      </c>
      <c r="M78" s="2" t="s">
        <v>746</v>
      </c>
      <c r="N78" s="11">
        <v>1800000</v>
      </c>
      <c r="O78" s="16">
        <f>N78/K76</f>
        <v>0.06</v>
      </c>
      <c r="V78"/>
    </row>
    <row r="79" spans="2:22" ht="16" thickBot="1">
      <c r="B79" s="1378"/>
      <c r="C79" s="1316"/>
      <c r="D79" s="1380"/>
      <c r="E79" s="728"/>
      <c r="F79" s="523"/>
      <c r="G79" s="1382"/>
      <c r="H79" s="728"/>
      <c r="I79" s="728"/>
      <c r="J79" s="1363"/>
      <c r="K79" s="1383"/>
      <c r="L79" s="17" t="s">
        <v>1153</v>
      </c>
      <c r="M79" s="17" t="s">
        <v>746</v>
      </c>
      <c r="N79" s="204">
        <v>1200000</v>
      </c>
      <c r="O79" s="211">
        <f>N79/K76</f>
        <v>0.04</v>
      </c>
      <c r="V79"/>
    </row>
    <row r="80" spans="2:22" ht="16" customHeight="1">
      <c r="B80" s="1269" t="s">
        <v>242</v>
      </c>
      <c r="C80" s="1315" t="s">
        <v>1154</v>
      </c>
      <c r="D80" s="727"/>
      <c r="E80" s="727"/>
      <c r="F80" s="522"/>
      <c r="G80" s="729"/>
      <c r="H80" s="727"/>
      <c r="I80" s="727"/>
      <c r="J80" s="1315" t="s">
        <v>415</v>
      </c>
      <c r="K80" s="1321">
        <v>30000000</v>
      </c>
      <c r="L80" s="387" t="s">
        <v>1155</v>
      </c>
      <c r="M80" s="387" t="s">
        <v>746</v>
      </c>
      <c r="N80" s="25"/>
      <c r="O80" s="26"/>
      <c r="P80" s="222">
        <f>K80</f>
        <v>30000000</v>
      </c>
      <c r="V80"/>
    </row>
    <row r="81" spans="1:22">
      <c r="B81" s="1269"/>
      <c r="C81" s="1315"/>
      <c r="D81" s="727"/>
      <c r="E81" s="727"/>
      <c r="F81" s="522"/>
      <c r="G81" s="729"/>
      <c r="H81" s="727"/>
      <c r="I81" s="727"/>
      <c r="J81" s="1315"/>
      <c r="K81" s="1321"/>
      <c r="L81" s="2" t="s">
        <v>1156</v>
      </c>
      <c r="M81" s="2" t="s">
        <v>746</v>
      </c>
      <c r="N81" s="11"/>
      <c r="O81" s="16"/>
      <c r="V81"/>
    </row>
    <row r="82" spans="1:22">
      <c r="B82" s="1269"/>
      <c r="C82" s="1315"/>
      <c r="D82" s="727"/>
      <c r="E82" s="727"/>
      <c r="F82" s="522"/>
      <c r="G82" s="729"/>
      <c r="H82" s="727"/>
      <c r="I82" s="727"/>
      <c r="J82" s="1315"/>
      <c r="K82" s="1321"/>
      <c r="L82" s="2" t="s">
        <v>1157</v>
      </c>
      <c r="M82" s="2" t="s">
        <v>746</v>
      </c>
      <c r="N82" s="11"/>
      <c r="O82" s="16"/>
      <c r="V82"/>
    </row>
    <row r="83" spans="1:22">
      <c r="B83" s="1269"/>
      <c r="C83" s="1315"/>
      <c r="D83" s="727"/>
      <c r="E83" s="727"/>
      <c r="F83" s="522"/>
      <c r="G83" s="729"/>
      <c r="H83" s="727"/>
      <c r="I83" s="727"/>
      <c r="J83" s="1315"/>
      <c r="K83" s="1321"/>
      <c r="L83" s="2" t="s">
        <v>1158</v>
      </c>
      <c r="M83" s="2" t="s">
        <v>746</v>
      </c>
      <c r="N83" s="11"/>
      <c r="O83" s="16"/>
      <c r="V83"/>
    </row>
    <row r="84" spans="1:22" ht="16" thickBot="1">
      <c r="B84" s="1270"/>
      <c r="C84" s="1316"/>
      <c r="D84" s="728"/>
      <c r="E84" s="728"/>
      <c r="F84" s="523"/>
      <c r="G84" s="730"/>
      <c r="H84" s="728"/>
      <c r="I84" s="728"/>
      <c r="J84" s="1316"/>
      <c r="K84" s="1383"/>
      <c r="L84" s="17" t="s">
        <v>1153</v>
      </c>
      <c r="M84" s="17" t="s">
        <v>746</v>
      </c>
      <c r="N84" s="204"/>
      <c r="O84" s="211"/>
      <c r="V84"/>
    </row>
    <row r="85" spans="1:22" ht="31">
      <c r="B85" s="1269" t="s">
        <v>243</v>
      </c>
      <c r="C85" s="1315" t="s">
        <v>1159</v>
      </c>
      <c r="D85" s="706" t="s">
        <v>1160</v>
      </c>
      <c r="E85" s="436" t="s">
        <v>963</v>
      </c>
      <c r="F85" s="485">
        <v>44214</v>
      </c>
      <c r="G85" s="710">
        <v>2057664</v>
      </c>
      <c r="H85" s="731" t="s">
        <v>1161</v>
      </c>
      <c r="I85" s="731" t="s">
        <v>1162</v>
      </c>
      <c r="J85" s="1290" t="s">
        <v>415</v>
      </c>
      <c r="K85" s="1321">
        <v>50700000</v>
      </c>
      <c r="L85" s="212" t="s">
        <v>1163</v>
      </c>
      <c r="M85" s="212" t="s">
        <v>1056</v>
      </c>
      <c r="N85" s="25">
        <v>18745154</v>
      </c>
      <c r="O85" s="26">
        <f t="shared" ref="O85:O94" si="1">N85/K$85</f>
        <v>0.36972690335305719</v>
      </c>
      <c r="P85" s="222">
        <f>K85</f>
        <v>50700000</v>
      </c>
      <c r="V85"/>
    </row>
    <row r="86" spans="1:22" ht="108.5">
      <c r="B86" s="1269"/>
      <c r="C86" s="1315"/>
      <c r="D86" s="706" t="s">
        <v>1164</v>
      </c>
      <c r="E86" s="436" t="s">
        <v>953</v>
      </c>
      <c r="F86" s="485">
        <v>44235</v>
      </c>
      <c r="G86" s="710">
        <v>2864667</v>
      </c>
      <c r="H86" s="731" t="s">
        <v>1165</v>
      </c>
      <c r="I86" s="731" t="s">
        <v>1166</v>
      </c>
      <c r="J86" s="1290"/>
      <c r="K86" s="1321"/>
      <c r="L86" s="23" t="s">
        <v>1167</v>
      </c>
      <c r="M86" s="23" t="s">
        <v>746</v>
      </c>
      <c r="N86" s="11">
        <v>6759584</v>
      </c>
      <c r="O86" s="16">
        <f t="shared" si="1"/>
        <v>0.13332512820512821</v>
      </c>
      <c r="V86"/>
    </row>
    <row r="87" spans="1:22">
      <c r="B87" s="1269"/>
      <c r="C87" s="1315"/>
      <c r="D87" s="706"/>
      <c r="E87" s="436"/>
      <c r="F87" s="485"/>
      <c r="G87" s="710"/>
      <c r="H87" s="446"/>
      <c r="I87" s="446"/>
      <c r="J87" s="1290"/>
      <c r="K87" s="1321"/>
      <c r="L87" s="23" t="s">
        <v>1168</v>
      </c>
      <c r="M87" s="23" t="s">
        <v>746</v>
      </c>
      <c r="N87" s="11">
        <v>2217500</v>
      </c>
      <c r="O87" s="16">
        <f t="shared" si="1"/>
        <v>4.373767258382643E-2</v>
      </c>
      <c r="V87"/>
    </row>
    <row r="88" spans="1:22">
      <c r="B88" s="1269"/>
      <c r="C88" s="1315"/>
      <c r="E88" s="436"/>
      <c r="F88" s="485"/>
      <c r="G88" s="710"/>
      <c r="H88" s="446"/>
      <c r="I88" s="446"/>
      <c r="J88" s="1290"/>
      <c r="K88" s="1321"/>
      <c r="L88" s="2" t="s">
        <v>1169</v>
      </c>
      <c r="M88" s="2" t="s">
        <v>1056</v>
      </c>
      <c r="N88" s="11">
        <v>13259712</v>
      </c>
      <c r="O88" s="16">
        <f t="shared" si="1"/>
        <v>0.26153278106508876</v>
      </c>
      <c r="V88"/>
    </row>
    <row r="89" spans="1:22">
      <c r="B89" s="1269"/>
      <c r="C89" s="1315"/>
      <c r="D89" s="706"/>
      <c r="E89" s="436"/>
      <c r="F89" s="485"/>
      <c r="G89" s="710"/>
      <c r="H89" s="446"/>
      <c r="I89" s="446"/>
      <c r="J89" s="1290"/>
      <c r="K89" s="1321"/>
      <c r="L89" s="2" t="s">
        <v>1170</v>
      </c>
      <c r="M89" s="2" t="s">
        <v>746</v>
      </c>
      <c r="N89" s="11">
        <v>2054123</v>
      </c>
      <c r="O89" s="16">
        <f t="shared" si="1"/>
        <v>4.0515246548323475E-2</v>
      </c>
      <c r="V89"/>
    </row>
    <row r="90" spans="1:22">
      <c r="B90" s="1269"/>
      <c r="C90" s="1315"/>
      <c r="D90" s="706"/>
      <c r="E90" s="436"/>
      <c r="F90" s="485"/>
      <c r="G90" s="710"/>
      <c r="H90" s="446"/>
      <c r="I90" s="446"/>
      <c r="J90" s="1290"/>
      <c r="K90" s="1321"/>
      <c r="L90" s="2" t="s">
        <v>1171</v>
      </c>
      <c r="M90" s="2" t="s">
        <v>746</v>
      </c>
      <c r="N90" s="11">
        <v>1254930</v>
      </c>
      <c r="O90" s="16">
        <f t="shared" si="1"/>
        <v>2.475207100591716E-2</v>
      </c>
      <c r="V90"/>
    </row>
    <row r="91" spans="1:22">
      <c r="B91" s="1269"/>
      <c r="C91" s="1315"/>
      <c r="D91" s="706"/>
      <c r="E91" s="436"/>
      <c r="F91" s="485"/>
      <c r="G91" s="710"/>
      <c r="H91" s="446"/>
      <c r="I91" s="446"/>
      <c r="J91" s="1290"/>
      <c r="K91" s="1321"/>
      <c r="L91" s="2" t="s">
        <v>1172</v>
      </c>
      <c r="M91" s="2" t="s">
        <v>746</v>
      </c>
      <c r="N91" s="11">
        <v>1550000</v>
      </c>
      <c r="O91" s="16">
        <f t="shared" si="1"/>
        <v>3.0571992110453649E-2</v>
      </c>
      <c r="V91"/>
    </row>
    <row r="92" spans="1:22">
      <c r="B92" s="1269"/>
      <c r="C92" s="1315"/>
      <c r="D92" s="706"/>
      <c r="E92" s="436"/>
      <c r="F92" s="485"/>
      <c r="G92" s="710"/>
      <c r="H92" s="446"/>
      <c r="I92" s="446"/>
      <c r="J92" s="1290"/>
      <c r="K92" s="1321"/>
      <c r="L92" s="2" t="s">
        <v>1173</v>
      </c>
      <c r="M92" s="2" t="s">
        <v>746</v>
      </c>
      <c r="N92" s="11">
        <v>1215500</v>
      </c>
      <c r="O92" s="16">
        <f t="shared" si="1"/>
        <v>2.3974358974358973E-2</v>
      </c>
      <c r="V92"/>
    </row>
    <row r="93" spans="1:22">
      <c r="B93" s="1269"/>
      <c r="C93" s="1315"/>
      <c r="D93" s="706"/>
      <c r="E93" s="436"/>
      <c r="F93" s="485"/>
      <c r="G93" s="710"/>
      <c r="H93" s="446"/>
      <c r="I93" s="446"/>
      <c r="J93" s="1290"/>
      <c r="K93" s="1321"/>
      <c r="L93" s="2" t="s">
        <v>1174</v>
      </c>
      <c r="M93" s="2" t="s">
        <v>746</v>
      </c>
      <c r="N93" s="11">
        <v>2900000</v>
      </c>
      <c r="O93" s="16">
        <f t="shared" si="1"/>
        <v>5.7199211045364892E-2</v>
      </c>
      <c r="V93"/>
    </row>
    <row r="94" spans="1:22" ht="16" thickBot="1">
      <c r="B94" s="1269"/>
      <c r="C94" s="1315"/>
      <c r="D94" s="706"/>
      <c r="E94" s="436"/>
      <c r="F94" s="485"/>
      <c r="G94" s="710"/>
      <c r="H94" s="446"/>
      <c r="I94" s="446"/>
      <c r="J94" s="1290"/>
      <c r="K94" s="1321"/>
      <c r="L94" s="18" t="s">
        <v>1175</v>
      </c>
      <c r="M94" s="18" t="s">
        <v>746</v>
      </c>
      <c r="N94" s="19">
        <v>759651</v>
      </c>
      <c r="O94" s="20">
        <f t="shared" si="1"/>
        <v>1.4983254437869822E-2</v>
      </c>
      <c r="V94"/>
    </row>
    <row r="95" spans="1:22" ht="34" customHeight="1">
      <c r="A95" s="22"/>
      <c r="B95" s="1293" t="s">
        <v>246</v>
      </c>
      <c r="C95" s="1296" t="s">
        <v>1176</v>
      </c>
      <c r="D95" s="1299"/>
      <c r="E95" s="434"/>
      <c r="F95" s="506"/>
      <c r="G95" s="1302"/>
      <c r="H95" s="434"/>
      <c r="I95" s="434"/>
      <c r="J95" s="1305" t="s">
        <v>1131</v>
      </c>
      <c r="K95" s="1307">
        <v>100000000</v>
      </c>
      <c r="L95" s="158" t="s">
        <v>1177</v>
      </c>
      <c r="M95" s="21" t="s">
        <v>1056</v>
      </c>
      <c r="N95" s="14">
        <v>75000000</v>
      </c>
      <c r="O95" s="312">
        <f>N95/115000000</f>
        <v>0.65217391304347827</v>
      </c>
      <c r="V95"/>
    </row>
    <row r="96" spans="1:22">
      <c r="B96" s="1294"/>
      <c r="C96" s="1297"/>
      <c r="D96" s="1300"/>
      <c r="E96" s="442"/>
      <c r="F96" s="524"/>
      <c r="G96" s="1303"/>
      <c r="H96" s="442"/>
      <c r="I96" s="442"/>
      <c r="J96" s="1306"/>
      <c r="K96" s="1308"/>
      <c r="L96" s="2" t="s">
        <v>1178</v>
      </c>
      <c r="M96" s="11" t="s">
        <v>1057</v>
      </c>
      <c r="N96" s="10">
        <v>20000000</v>
      </c>
      <c r="O96" s="313">
        <f t="shared" ref="O96:O98" si="2">N96/115000000</f>
        <v>0.17391304347826086</v>
      </c>
      <c r="V96"/>
    </row>
    <row r="97" spans="2:22">
      <c r="B97" s="1294"/>
      <c r="C97" s="1297"/>
      <c r="D97" s="1300"/>
      <c r="E97" s="442"/>
      <c r="F97" s="524"/>
      <c r="G97" s="1303"/>
      <c r="H97" s="442"/>
      <c r="I97" s="442"/>
      <c r="J97" s="1306" t="s">
        <v>422</v>
      </c>
      <c r="K97" s="1308">
        <v>15000000</v>
      </c>
      <c r="L97" s="23" t="s">
        <v>1179</v>
      </c>
      <c r="M97" s="11" t="s">
        <v>746</v>
      </c>
      <c r="N97" s="10">
        <v>15000000</v>
      </c>
      <c r="O97" s="313">
        <f t="shared" si="2"/>
        <v>0.13043478260869565</v>
      </c>
      <c r="V97"/>
    </row>
    <row r="98" spans="2:22" ht="16" thickBot="1">
      <c r="B98" s="1295"/>
      <c r="C98" s="1298"/>
      <c r="D98" s="1301"/>
      <c r="E98" s="443"/>
      <c r="F98" s="525"/>
      <c r="G98" s="1304"/>
      <c r="H98" s="443"/>
      <c r="I98" s="443"/>
      <c r="J98" s="1309"/>
      <c r="K98" s="1310"/>
      <c r="L98" s="17" t="s">
        <v>1180</v>
      </c>
      <c r="M98" s="204" t="s">
        <v>746</v>
      </c>
      <c r="N98" s="308">
        <v>5000000</v>
      </c>
      <c r="O98" s="314">
        <f t="shared" si="2"/>
        <v>4.3478260869565216E-2</v>
      </c>
      <c r="V98"/>
    </row>
    <row r="99" spans="2:22">
      <c r="B99" s="1269" t="s">
        <v>250</v>
      </c>
      <c r="C99" s="1315" t="s">
        <v>1181</v>
      </c>
      <c r="D99" s="1286"/>
      <c r="E99" s="448"/>
      <c r="F99" s="494"/>
      <c r="G99" s="1288"/>
      <c r="H99" s="446"/>
      <c r="I99" s="446"/>
      <c r="J99" s="1290" t="s">
        <v>415</v>
      </c>
      <c r="K99" s="1321">
        <v>75000000</v>
      </c>
      <c r="L99" s="32" t="s">
        <v>1182</v>
      </c>
      <c r="M99" s="12" t="s">
        <v>746</v>
      </c>
      <c r="N99" s="278">
        <v>1500000</v>
      </c>
      <c r="O99" s="26">
        <f t="shared" ref="O99:O103" si="3">N99/(K$99+K$102)</f>
        <v>0.02</v>
      </c>
      <c r="P99" s="222">
        <f>K99</f>
        <v>75000000</v>
      </c>
      <c r="V99"/>
    </row>
    <row r="100" spans="2:22">
      <c r="B100" s="1269"/>
      <c r="C100" s="1315"/>
      <c r="D100" s="1286"/>
      <c r="E100" s="448"/>
      <c r="F100" s="494"/>
      <c r="G100" s="1288"/>
      <c r="H100" s="446"/>
      <c r="I100" s="446"/>
      <c r="J100" s="1290"/>
      <c r="K100" s="1321"/>
      <c r="L100" s="2" t="s">
        <v>1183</v>
      </c>
      <c r="M100" s="2" t="s">
        <v>746</v>
      </c>
      <c r="N100" s="10">
        <v>4500000</v>
      </c>
      <c r="O100" s="16">
        <f t="shared" si="3"/>
        <v>0.06</v>
      </c>
      <c r="V100"/>
    </row>
    <row r="101" spans="2:22">
      <c r="B101" s="1269"/>
      <c r="C101" s="1315"/>
      <c r="D101" s="1286"/>
      <c r="E101" s="448"/>
      <c r="F101" s="494"/>
      <c r="G101" s="1288"/>
      <c r="H101" s="446"/>
      <c r="I101" s="446"/>
      <c r="J101" s="1290"/>
      <c r="K101" s="1321"/>
      <c r="L101" s="2" t="s">
        <v>1184</v>
      </c>
      <c r="M101" s="2" t="s">
        <v>1056</v>
      </c>
      <c r="N101" s="10">
        <v>67500000</v>
      </c>
      <c r="O101" s="16">
        <f t="shared" si="3"/>
        <v>0.9</v>
      </c>
      <c r="V101"/>
    </row>
    <row r="102" spans="2:22" ht="31">
      <c r="B102" s="1269"/>
      <c r="C102" s="1315"/>
      <c r="D102" s="1286"/>
      <c r="E102" s="448"/>
      <c r="F102" s="494"/>
      <c r="G102" s="1288"/>
      <c r="H102" s="446"/>
      <c r="I102" s="446"/>
      <c r="J102" s="1290"/>
      <c r="K102" s="1321"/>
      <c r="L102" s="23" t="s">
        <v>1185</v>
      </c>
      <c r="M102" s="2" t="s">
        <v>746</v>
      </c>
      <c r="N102" s="10">
        <v>1000000</v>
      </c>
      <c r="O102" s="16">
        <f t="shared" si="3"/>
        <v>1.3333333333333334E-2</v>
      </c>
      <c r="V102"/>
    </row>
    <row r="103" spans="2:22" ht="31">
      <c r="B103" s="1269"/>
      <c r="C103" s="1315"/>
      <c r="D103" s="1286"/>
      <c r="E103" s="448"/>
      <c r="F103" s="494"/>
      <c r="G103" s="1288"/>
      <c r="H103" s="446"/>
      <c r="I103" s="446"/>
      <c r="J103" s="1290"/>
      <c r="K103" s="1321"/>
      <c r="L103" s="23" t="s">
        <v>1128</v>
      </c>
      <c r="M103" s="2" t="s">
        <v>746</v>
      </c>
      <c r="N103" s="10">
        <v>500000</v>
      </c>
      <c r="O103" s="16">
        <f t="shared" si="3"/>
        <v>6.6666666666666671E-3</v>
      </c>
      <c r="V103"/>
    </row>
    <row r="104" spans="2:22" ht="31.5" thickBot="1">
      <c r="B104" s="1269"/>
      <c r="C104" s="1315"/>
      <c r="D104" s="1286"/>
      <c r="E104" s="448"/>
      <c r="F104" s="494"/>
      <c r="G104" s="1288"/>
      <c r="H104" s="446"/>
      <c r="I104" s="446"/>
      <c r="J104" s="1290"/>
      <c r="K104" s="1321"/>
      <c r="L104" s="30" t="s">
        <v>1186</v>
      </c>
      <c r="M104" s="30" t="s">
        <v>746</v>
      </c>
      <c r="N104" s="31"/>
      <c r="O104" s="20">
        <f>N104/(K$99+K$102)</f>
        <v>0</v>
      </c>
      <c r="V104"/>
    </row>
    <row r="105" spans="2:22" ht="16" thickBot="1">
      <c r="B105" s="357" t="s">
        <v>255</v>
      </c>
      <c r="C105" s="358"/>
      <c r="D105" s="481"/>
      <c r="E105" s="359"/>
      <c r="F105" s="526"/>
      <c r="G105" s="559"/>
      <c r="H105" s="360"/>
      <c r="I105" s="360"/>
      <c r="J105" s="361"/>
      <c r="K105" s="362"/>
      <c r="L105" s="363"/>
      <c r="M105" s="363"/>
      <c r="N105" s="364"/>
      <c r="O105" s="365"/>
      <c r="V105"/>
    </row>
    <row r="106" spans="2:22" ht="17.25" customHeight="1">
      <c r="B106" s="1269" t="s">
        <v>261</v>
      </c>
      <c r="C106" s="1315" t="s">
        <v>1187</v>
      </c>
      <c r="D106" s="1360"/>
      <c r="E106" s="446"/>
      <c r="F106" s="527"/>
      <c r="G106" s="1288"/>
      <c r="H106" s="446"/>
      <c r="I106" s="446"/>
      <c r="J106" s="1290" t="s">
        <v>395</v>
      </c>
      <c r="K106" s="1292">
        <v>500000000</v>
      </c>
      <c r="L106" s="12" t="s">
        <v>1188</v>
      </c>
      <c r="M106" s="25" t="s">
        <v>746</v>
      </c>
      <c r="N106" s="278">
        <v>1200000</v>
      </c>
      <c r="O106" s="356">
        <f>N106/500000000</f>
        <v>2.3999999999999998E-3</v>
      </c>
      <c r="V106"/>
    </row>
    <row r="107" spans="2:22" ht="31">
      <c r="B107" s="1269"/>
      <c r="C107" s="1315"/>
      <c r="D107" s="1360"/>
      <c r="E107" s="446"/>
      <c r="F107" s="527"/>
      <c r="G107" s="1288"/>
      <c r="H107" s="446"/>
      <c r="I107" s="446"/>
      <c r="J107" s="1290"/>
      <c r="K107" s="1292"/>
      <c r="L107" s="23" t="s">
        <v>1189</v>
      </c>
      <c r="M107" s="11" t="s">
        <v>1056</v>
      </c>
      <c r="N107" s="10">
        <v>474700000</v>
      </c>
      <c r="O107" s="313">
        <f t="shared" ref="O107:O109" si="4">N107/500000000</f>
        <v>0.94940000000000002</v>
      </c>
      <c r="V107"/>
    </row>
    <row r="108" spans="2:22">
      <c r="B108" s="1269"/>
      <c r="C108" s="1315"/>
      <c r="D108" s="1360"/>
      <c r="E108" s="446"/>
      <c r="F108" s="527"/>
      <c r="G108" s="1288"/>
      <c r="H108" s="446"/>
      <c r="I108" s="446"/>
      <c r="J108" s="1290"/>
      <c r="K108" s="1292"/>
      <c r="L108" s="2" t="s">
        <v>1190</v>
      </c>
      <c r="M108" s="11" t="s">
        <v>746</v>
      </c>
      <c r="N108" s="10">
        <v>9700000</v>
      </c>
      <c r="O108" s="313">
        <f t="shared" si="4"/>
        <v>1.9400000000000001E-2</v>
      </c>
      <c r="V108"/>
    </row>
    <row r="109" spans="2:22">
      <c r="B109" s="1269"/>
      <c r="C109" s="1315"/>
      <c r="D109" s="1360"/>
      <c r="E109" s="446"/>
      <c r="F109" s="527"/>
      <c r="G109" s="1288"/>
      <c r="H109" s="446"/>
      <c r="I109" s="446"/>
      <c r="J109" s="1290"/>
      <c r="K109" s="1292"/>
      <c r="L109" s="2" t="s">
        <v>1191</v>
      </c>
      <c r="M109" s="11" t="s">
        <v>746</v>
      </c>
      <c r="N109" s="10">
        <v>8300000</v>
      </c>
      <c r="O109" s="313">
        <f t="shared" si="4"/>
        <v>1.66E-2</v>
      </c>
      <c r="V109"/>
    </row>
    <row r="110" spans="2:22" ht="31.5" thickBot="1">
      <c r="B110" s="1270"/>
      <c r="C110" s="1316"/>
      <c r="D110" s="1361"/>
      <c r="E110" s="457"/>
      <c r="F110" s="528"/>
      <c r="G110" s="1362"/>
      <c r="H110" s="457"/>
      <c r="I110" s="457"/>
      <c r="J110" s="1363"/>
      <c r="K110" s="1364"/>
      <c r="L110" s="317" t="s">
        <v>1128</v>
      </c>
      <c r="M110" s="204" t="s">
        <v>746</v>
      </c>
      <c r="N110" s="308">
        <v>6100000</v>
      </c>
      <c r="O110" s="314">
        <f>N110/500000000</f>
        <v>1.2200000000000001E-2</v>
      </c>
      <c r="V110"/>
    </row>
    <row r="111" spans="2:22">
      <c r="B111" s="1340" t="s">
        <v>264</v>
      </c>
      <c r="C111" s="1342" t="s">
        <v>1192</v>
      </c>
      <c r="D111" s="1367"/>
      <c r="E111" s="460"/>
      <c r="F111" s="529"/>
      <c r="G111" s="1369"/>
      <c r="H111" s="429"/>
      <c r="I111" s="429"/>
      <c r="J111" s="315" t="s">
        <v>415</v>
      </c>
      <c r="K111" s="316">
        <v>15000000</v>
      </c>
      <c r="L111" s="225" t="s">
        <v>1182</v>
      </c>
      <c r="M111" s="225" t="s">
        <v>746</v>
      </c>
      <c r="N111" s="226">
        <v>0</v>
      </c>
      <c r="O111" s="227">
        <f>N111/45000000</f>
        <v>0</v>
      </c>
      <c r="P111" s="222">
        <f>SUM(K111:K114)</f>
        <v>45000000</v>
      </c>
      <c r="V111"/>
    </row>
    <row r="112" spans="2:22">
      <c r="B112" s="1365"/>
      <c r="C112" s="1366"/>
      <c r="D112" s="1368"/>
      <c r="E112" s="461"/>
      <c r="F112" s="530"/>
      <c r="G112" s="1370"/>
      <c r="H112" s="429"/>
      <c r="I112" s="429"/>
      <c r="J112" s="228" t="s">
        <v>423</v>
      </c>
      <c r="K112" s="229">
        <v>15000000</v>
      </c>
      <c r="L112" s="198" t="s">
        <v>1193</v>
      </c>
      <c r="M112" s="198" t="s">
        <v>1058</v>
      </c>
      <c r="N112" s="92">
        <v>29250000</v>
      </c>
      <c r="O112" s="206">
        <f t="shared" ref="O112:O115" si="5">N112/45000000</f>
        <v>0.65</v>
      </c>
      <c r="V112"/>
    </row>
    <row r="113" spans="2:22">
      <c r="B113" s="1365"/>
      <c r="C113" s="1366"/>
      <c r="D113" s="1368"/>
      <c r="E113" s="461"/>
      <c r="F113" s="530"/>
      <c r="G113" s="1370"/>
      <c r="H113" s="429"/>
      <c r="I113" s="429"/>
      <c r="J113" s="1335" t="s">
        <v>1131</v>
      </c>
      <c r="K113" s="1337">
        <v>15000000</v>
      </c>
      <c r="L113" s="198" t="s">
        <v>1194</v>
      </c>
      <c r="M113" s="198" t="s">
        <v>746</v>
      </c>
      <c r="N113" s="92">
        <v>750000</v>
      </c>
      <c r="O113" s="206">
        <f t="shared" si="5"/>
        <v>1.6666666666666666E-2</v>
      </c>
      <c r="V113"/>
    </row>
    <row r="114" spans="2:22">
      <c r="B114" s="1365"/>
      <c r="C114" s="1366"/>
      <c r="D114" s="1368"/>
      <c r="E114" s="461"/>
      <c r="F114" s="530"/>
      <c r="G114" s="1370"/>
      <c r="H114" s="429"/>
      <c r="I114" s="429"/>
      <c r="J114" s="1335"/>
      <c r="K114" s="1337"/>
      <c r="L114" s="198" t="s">
        <v>1080</v>
      </c>
      <c r="M114" s="198" t="s">
        <v>746</v>
      </c>
      <c r="N114" s="92">
        <v>0</v>
      </c>
      <c r="O114" s="206">
        <f t="shared" si="5"/>
        <v>0</v>
      </c>
      <c r="V114"/>
    </row>
    <row r="115" spans="2:22" ht="16" thickBot="1">
      <c r="B115" s="1365"/>
      <c r="C115" s="1366"/>
      <c r="D115" s="1368"/>
      <c r="E115" s="461"/>
      <c r="F115" s="530"/>
      <c r="G115" s="1370"/>
      <c r="H115" s="429"/>
      <c r="I115" s="429"/>
      <c r="J115" s="736"/>
      <c r="K115" s="737"/>
      <c r="L115" s="293" t="s">
        <v>1195</v>
      </c>
      <c r="M115" s="293" t="s">
        <v>746</v>
      </c>
      <c r="N115" s="318">
        <v>15000000</v>
      </c>
      <c r="O115" s="319">
        <f t="shared" si="5"/>
        <v>0.33333333333333331</v>
      </c>
      <c r="V115"/>
    </row>
    <row r="116" spans="2:22">
      <c r="B116" s="1344" t="s">
        <v>266</v>
      </c>
      <c r="C116" s="1325" t="s">
        <v>1196</v>
      </c>
      <c r="D116" s="1328"/>
      <c r="E116" s="462"/>
      <c r="F116" s="531"/>
      <c r="G116" s="1349"/>
      <c r="H116" s="465"/>
      <c r="I116" s="465"/>
      <c r="J116" s="1334" t="s">
        <v>1131</v>
      </c>
      <c r="K116" s="1336">
        <v>3000000</v>
      </c>
      <c r="L116" s="199" t="s">
        <v>1182</v>
      </c>
      <c r="M116" s="199" t="s">
        <v>746</v>
      </c>
      <c r="N116" s="169">
        <v>500000</v>
      </c>
      <c r="O116" s="336">
        <f t="shared" ref="O116:O122" si="6">N116/SUM($N$111:$N$114)</f>
        <v>1.6666666666666666E-2</v>
      </c>
      <c r="P116" s="222">
        <f>SUM(K116:K122)</f>
        <v>6500000</v>
      </c>
      <c r="V116"/>
    </row>
    <row r="117" spans="2:22">
      <c r="B117" s="1345"/>
      <c r="C117" s="1326"/>
      <c r="D117" s="1329"/>
      <c r="E117" s="463"/>
      <c r="F117" s="532"/>
      <c r="G117" s="1350"/>
      <c r="H117" s="466"/>
      <c r="I117" s="466"/>
      <c r="J117" s="1335"/>
      <c r="K117" s="1337"/>
      <c r="L117" s="198" t="s">
        <v>1197</v>
      </c>
      <c r="M117" s="198" t="s">
        <v>746</v>
      </c>
      <c r="N117" s="92">
        <v>250000</v>
      </c>
      <c r="O117" s="206">
        <f t="shared" si="6"/>
        <v>8.3333333333333332E-3</v>
      </c>
      <c r="V117"/>
    </row>
    <row r="118" spans="2:22">
      <c r="B118" s="1345"/>
      <c r="C118" s="1326"/>
      <c r="D118" s="1329"/>
      <c r="E118" s="463"/>
      <c r="F118" s="532"/>
      <c r="G118" s="1350"/>
      <c r="H118" s="466"/>
      <c r="I118" s="466"/>
      <c r="J118" s="1335"/>
      <c r="K118" s="1337"/>
      <c r="L118" s="198" t="s">
        <v>1198</v>
      </c>
      <c r="M118" s="198" t="s">
        <v>746</v>
      </c>
      <c r="N118" s="92">
        <v>1500000</v>
      </c>
      <c r="O118" s="206">
        <f t="shared" si="6"/>
        <v>0.05</v>
      </c>
      <c r="V118"/>
    </row>
    <row r="119" spans="2:22" ht="31">
      <c r="B119" s="1345"/>
      <c r="C119" s="1326"/>
      <c r="D119" s="1329"/>
      <c r="E119" s="463"/>
      <c r="F119" s="532"/>
      <c r="G119" s="1350"/>
      <c r="H119" s="466"/>
      <c r="I119" s="466"/>
      <c r="J119" s="1335"/>
      <c r="K119" s="1337"/>
      <c r="L119" s="198" t="s">
        <v>1199</v>
      </c>
      <c r="M119" s="198" t="s">
        <v>1057</v>
      </c>
      <c r="N119" s="92">
        <v>1500000</v>
      </c>
      <c r="O119" s="206">
        <f t="shared" si="6"/>
        <v>0.05</v>
      </c>
      <c r="V119"/>
    </row>
    <row r="120" spans="2:22">
      <c r="B120" s="1345"/>
      <c r="C120" s="1326"/>
      <c r="D120" s="1329"/>
      <c r="E120" s="463"/>
      <c r="F120" s="532"/>
      <c r="G120" s="1350"/>
      <c r="H120" s="466"/>
      <c r="I120" s="466"/>
      <c r="J120" s="1335" t="s">
        <v>417</v>
      </c>
      <c r="K120" s="1337">
        <v>3500000</v>
      </c>
      <c r="L120" s="198" t="s">
        <v>1200</v>
      </c>
      <c r="M120" s="198" t="s">
        <v>1056</v>
      </c>
      <c r="N120" s="92">
        <v>1750000</v>
      </c>
      <c r="O120" s="206">
        <f t="shared" si="6"/>
        <v>5.8333333333333334E-2</v>
      </c>
      <c r="V120"/>
    </row>
    <row r="121" spans="2:22" ht="46.5">
      <c r="B121" s="1345"/>
      <c r="C121" s="1326"/>
      <c r="D121" s="1329"/>
      <c r="E121" s="463"/>
      <c r="F121" s="532"/>
      <c r="G121" s="1350"/>
      <c r="H121" s="466"/>
      <c r="I121" s="466"/>
      <c r="J121" s="1335"/>
      <c r="K121" s="1337"/>
      <c r="L121" s="198" t="s">
        <v>1201</v>
      </c>
      <c r="M121" s="198" t="s">
        <v>746</v>
      </c>
      <c r="N121" s="92">
        <v>500000</v>
      </c>
      <c r="O121" s="206">
        <f t="shared" si="6"/>
        <v>1.6666666666666666E-2</v>
      </c>
      <c r="V121"/>
    </row>
    <row r="122" spans="2:22" ht="16" thickBot="1">
      <c r="B122" s="1346"/>
      <c r="C122" s="1347"/>
      <c r="D122" s="1348"/>
      <c r="E122" s="464"/>
      <c r="F122" s="533"/>
      <c r="G122" s="1351"/>
      <c r="H122" s="467"/>
      <c r="I122" s="467"/>
      <c r="J122" s="1352"/>
      <c r="K122" s="1353"/>
      <c r="L122" s="200" t="s">
        <v>1085</v>
      </c>
      <c r="M122" s="200" t="s">
        <v>746</v>
      </c>
      <c r="N122" s="93">
        <v>500000</v>
      </c>
      <c r="O122" s="201">
        <f t="shared" si="6"/>
        <v>1.6666666666666666E-2</v>
      </c>
      <c r="V122"/>
    </row>
    <row r="123" spans="2:22">
      <c r="B123" s="1354" t="s">
        <v>267</v>
      </c>
      <c r="C123" s="1355" t="s">
        <v>1202</v>
      </c>
      <c r="D123" s="1356"/>
      <c r="E123" s="468"/>
      <c r="F123" s="534"/>
      <c r="G123" s="1357"/>
      <c r="H123" s="468"/>
      <c r="I123" s="468"/>
      <c r="J123" s="1358" t="s">
        <v>415</v>
      </c>
      <c r="K123" s="1359">
        <v>67000000</v>
      </c>
      <c r="L123" s="333" t="s">
        <v>1182</v>
      </c>
      <c r="M123" s="12" t="s">
        <v>746</v>
      </c>
      <c r="N123" s="334">
        <v>3000000</v>
      </c>
      <c r="O123" s="335">
        <f t="shared" ref="O123:O128" si="7">N123/SUM(K$123:K$128)</f>
        <v>2.2388059701492536E-2</v>
      </c>
      <c r="V123"/>
    </row>
    <row r="124" spans="2:22">
      <c r="B124" s="1323"/>
      <c r="C124" s="1326"/>
      <c r="D124" s="1329"/>
      <c r="E124" s="463"/>
      <c r="F124" s="532"/>
      <c r="G124" s="1332"/>
      <c r="H124" s="463"/>
      <c r="I124" s="463"/>
      <c r="J124" s="1335"/>
      <c r="K124" s="1337"/>
      <c r="L124" s="209" t="s">
        <v>1203</v>
      </c>
      <c r="M124" s="2" t="s">
        <v>746</v>
      </c>
      <c r="N124" s="207">
        <v>5000000</v>
      </c>
      <c r="O124" s="208">
        <f t="shared" si="7"/>
        <v>3.7313432835820892E-2</v>
      </c>
      <c r="V124"/>
    </row>
    <row r="125" spans="2:22">
      <c r="B125" s="1323"/>
      <c r="C125" s="1326"/>
      <c r="D125" s="1329"/>
      <c r="E125" s="463"/>
      <c r="F125" s="532"/>
      <c r="G125" s="1332"/>
      <c r="H125" s="463"/>
      <c r="I125" s="463"/>
      <c r="J125" s="1335"/>
      <c r="K125" s="1337"/>
      <c r="L125" s="209" t="s">
        <v>1204</v>
      </c>
      <c r="M125" s="2" t="s">
        <v>1058</v>
      </c>
      <c r="N125" s="207">
        <v>119000000</v>
      </c>
      <c r="O125" s="208">
        <f t="shared" si="7"/>
        <v>0.88805970149253732</v>
      </c>
      <c r="V125"/>
    </row>
    <row r="126" spans="2:22">
      <c r="B126" s="1323"/>
      <c r="C126" s="1326"/>
      <c r="D126" s="1329"/>
      <c r="E126" s="463"/>
      <c r="F126" s="532"/>
      <c r="G126" s="1332"/>
      <c r="H126" s="463"/>
      <c r="I126" s="463"/>
      <c r="J126" s="1335" t="s">
        <v>1131</v>
      </c>
      <c r="K126" s="1337">
        <v>67000000</v>
      </c>
      <c r="L126" s="209" t="s">
        <v>1205</v>
      </c>
      <c r="M126" s="2" t="s">
        <v>746</v>
      </c>
      <c r="N126" s="207">
        <v>2000000</v>
      </c>
      <c r="O126" s="208">
        <f t="shared" si="7"/>
        <v>1.4925373134328358E-2</v>
      </c>
      <c r="V126"/>
    </row>
    <row r="127" spans="2:22">
      <c r="B127" s="1323"/>
      <c r="C127" s="1326"/>
      <c r="D127" s="1329"/>
      <c r="E127" s="463"/>
      <c r="F127" s="532"/>
      <c r="G127" s="1332"/>
      <c r="H127" s="463"/>
      <c r="I127" s="463"/>
      <c r="J127" s="1335"/>
      <c r="K127" s="1337"/>
      <c r="L127" s="209" t="s">
        <v>1206</v>
      </c>
      <c r="M127" s="2" t="s">
        <v>746</v>
      </c>
      <c r="N127" s="207">
        <v>3000000</v>
      </c>
      <c r="O127" s="208">
        <f t="shared" si="7"/>
        <v>2.2388059701492536E-2</v>
      </c>
      <c r="V127"/>
    </row>
    <row r="128" spans="2:22" ht="16" thickBot="1">
      <c r="B128" s="1324"/>
      <c r="C128" s="1327"/>
      <c r="D128" s="1330"/>
      <c r="E128" s="469"/>
      <c r="F128" s="535"/>
      <c r="G128" s="1333"/>
      <c r="H128" s="469"/>
      <c r="I128" s="469"/>
      <c r="J128" s="1338"/>
      <c r="K128" s="1339"/>
      <c r="L128" s="322" t="s">
        <v>1085</v>
      </c>
      <c r="M128" s="18" t="s">
        <v>746</v>
      </c>
      <c r="N128" s="323">
        <v>2000000</v>
      </c>
      <c r="O128" s="324">
        <f t="shared" si="7"/>
        <v>1.4925373134328358E-2</v>
      </c>
      <c r="V128"/>
    </row>
    <row r="129" spans="2:22" ht="31">
      <c r="B129" s="1322" t="s">
        <v>269</v>
      </c>
      <c r="C129" s="1325" t="s">
        <v>1207</v>
      </c>
      <c r="D129" s="1328"/>
      <c r="E129" s="462"/>
      <c r="F129" s="531"/>
      <c r="G129" s="1331"/>
      <c r="H129" s="462"/>
      <c r="I129" s="462"/>
      <c r="J129" s="1334" t="s">
        <v>1131</v>
      </c>
      <c r="K129" s="1336">
        <v>5000000</v>
      </c>
      <c r="L129" s="325" t="s">
        <v>1185</v>
      </c>
      <c r="M129" s="13" t="s">
        <v>746</v>
      </c>
      <c r="N129" s="320">
        <v>80000</v>
      </c>
      <c r="O129" s="321">
        <f>N129/8500000</f>
        <v>9.4117647058823521E-3</v>
      </c>
      <c r="V129"/>
    </row>
    <row r="130" spans="2:22" ht="46.5">
      <c r="B130" s="1323"/>
      <c r="C130" s="1326"/>
      <c r="D130" s="1329"/>
      <c r="E130" s="463"/>
      <c r="F130" s="532"/>
      <c r="G130" s="1332"/>
      <c r="H130" s="463"/>
      <c r="I130" s="463"/>
      <c r="J130" s="1335"/>
      <c r="K130" s="1337"/>
      <c r="L130" s="209" t="s">
        <v>1201</v>
      </c>
      <c r="M130" s="2" t="s">
        <v>746</v>
      </c>
      <c r="N130" s="207">
        <v>20000</v>
      </c>
      <c r="O130" s="208">
        <f t="shared" ref="O130:O132" si="8">N130/8500000</f>
        <v>2.352941176470588E-3</v>
      </c>
      <c r="V130"/>
    </row>
    <row r="131" spans="2:22">
      <c r="B131" s="1323"/>
      <c r="C131" s="1326"/>
      <c r="D131" s="1329"/>
      <c r="E131" s="463"/>
      <c r="F131" s="532"/>
      <c r="G131" s="1332"/>
      <c r="H131" s="463"/>
      <c r="I131" s="463"/>
      <c r="J131" s="1335" t="s">
        <v>417</v>
      </c>
      <c r="K131" s="1337">
        <v>3500000</v>
      </c>
      <c r="L131" s="209" t="s">
        <v>1208</v>
      </c>
      <c r="M131" s="2" t="s">
        <v>746</v>
      </c>
      <c r="N131" s="207">
        <v>3500000</v>
      </c>
      <c r="O131" s="208">
        <f t="shared" si="8"/>
        <v>0.41176470588235292</v>
      </c>
      <c r="V131"/>
    </row>
    <row r="132" spans="2:22" ht="16" thickBot="1">
      <c r="B132" s="1324"/>
      <c r="C132" s="1327"/>
      <c r="D132" s="1330"/>
      <c r="E132" s="469"/>
      <c r="F132" s="535"/>
      <c r="G132" s="1333"/>
      <c r="H132" s="469"/>
      <c r="I132" s="469"/>
      <c r="J132" s="1338"/>
      <c r="K132" s="1339"/>
      <c r="L132" s="322" t="s">
        <v>1209</v>
      </c>
      <c r="M132" s="18" t="s">
        <v>1056</v>
      </c>
      <c r="N132" s="323">
        <v>4000000</v>
      </c>
      <c r="O132" s="324">
        <f t="shared" si="8"/>
        <v>0.47058823529411764</v>
      </c>
      <c r="V132"/>
    </row>
    <row r="133" spans="2:22" ht="62.5" thickBot="1">
      <c r="B133" s="540" t="s">
        <v>273</v>
      </c>
      <c r="C133" s="541" t="s">
        <v>1001</v>
      </c>
      <c r="D133" s="541" t="s">
        <v>1043</v>
      </c>
      <c r="E133" s="544" t="s">
        <v>1042</v>
      </c>
      <c r="F133" s="543">
        <v>44375</v>
      </c>
      <c r="G133" s="560">
        <v>53500000</v>
      </c>
      <c r="H133" s="542"/>
      <c r="I133" s="542"/>
      <c r="J133" s="545"/>
      <c r="K133" s="546"/>
      <c r="L133" s="547"/>
      <c r="M133" s="548"/>
      <c r="N133" s="549"/>
      <c r="O133" s="550"/>
      <c r="V133"/>
    </row>
    <row r="134" spans="2:22" ht="51" customHeight="1">
      <c r="B134" s="1340" t="s">
        <v>274</v>
      </c>
      <c r="C134" s="1342" t="s">
        <v>1210</v>
      </c>
      <c r="D134" s="565" t="s">
        <v>1002</v>
      </c>
      <c r="E134" s="566" t="s">
        <v>963</v>
      </c>
      <c r="F134" s="567">
        <v>44250</v>
      </c>
      <c r="G134" s="568">
        <v>2500000</v>
      </c>
      <c r="H134" s="566" t="s">
        <v>1211</v>
      </c>
      <c r="I134" s="566" t="s">
        <v>1162</v>
      </c>
      <c r="J134" s="732" t="s">
        <v>395</v>
      </c>
      <c r="K134" s="733">
        <v>54000000</v>
      </c>
      <c r="L134" s="325" t="s">
        <v>1212</v>
      </c>
      <c r="M134" s="13" t="s">
        <v>1058</v>
      </c>
      <c r="N134" s="1311">
        <v>80510000</v>
      </c>
      <c r="O134" s="1313">
        <f>N134/80510000</f>
        <v>1</v>
      </c>
      <c r="V134"/>
    </row>
    <row r="135" spans="2:22" ht="16" thickBot="1">
      <c r="B135" s="1341"/>
      <c r="C135" s="1343"/>
      <c r="D135" s="569"/>
      <c r="E135" s="570"/>
      <c r="F135" s="571"/>
      <c r="G135" s="572"/>
      <c r="H135" s="570"/>
      <c r="I135" s="570"/>
      <c r="J135" s="734" t="s">
        <v>415</v>
      </c>
      <c r="K135" s="735">
        <v>26510000</v>
      </c>
      <c r="L135" s="210"/>
      <c r="M135" s="17"/>
      <c r="N135" s="1312"/>
      <c r="O135" s="1314"/>
      <c r="V135"/>
    </row>
    <row r="136" spans="2:22">
      <c r="B136" s="1269" t="s">
        <v>280</v>
      </c>
      <c r="C136" s="1315" t="s">
        <v>1213</v>
      </c>
      <c r="D136" s="1286"/>
      <c r="E136" s="281"/>
      <c r="F136" s="536"/>
      <c r="G136" s="561"/>
      <c r="H136" s="277"/>
      <c r="I136" s="277"/>
      <c r="J136" s="1290" t="s">
        <v>1131</v>
      </c>
      <c r="K136" s="1318">
        <v>8630000</v>
      </c>
      <c r="L136" s="12" t="s">
        <v>1214</v>
      </c>
      <c r="M136" s="12" t="s">
        <v>1056</v>
      </c>
      <c r="N136" s="278">
        <v>5800000</v>
      </c>
      <c r="O136" s="26">
        <f>N136/K$136</f>
        <v>0.67207415990730013</v>
      </c>
      <c r="P136" s="223">
        <f>K136</f>
        <v>8630000</v>
      </c>
      <c r="V136"/>
    </row>
    <row r="137" spans="2:22">
      <c r="B137" s="1269"/>
      <c r="C137" s="1315"/>
      <c r="D137" s="1286"/>
      <c r="E137" s="281"/>
      <c r="F137" s="536"/>
      <c r="G137" s="561"/>
      <c r="H137" s="277"/>
      <c r="I137" s="277"/>
      <c r="J137" s="1290"/>
      <c r="K137" s="1318"/>
      <c r="L137" s="23" t="s">
        <v>1215</v>
      </c>
      <c r="M137" s="23" t="s">
        <v>1056</v>
      </c>
      <c r="N137" s="10">
        <v>500000</v>
      </c>
      <c r="O137" s="16">
        <f>N137/K$136</f>
        <v>5.7937427578215531E-2</v>
      </c>
      <c r="V137"/>
    </row>
    <row r="138" spans="2:22">
      <c r="B138" s="1269"/>
      <c r="C138" s="1315"/>
      <c r="D138" s="1286"/>
      <c r="E138" s="281"/>
      <c r="F138" s="536"/>
      <c r="G138" s="561"/>
      <c r="H138" s="277"/>
      <c r="I138" s="277"/>
      <c r="J138" s="1290"/>
      <c r="K138" s="1318"/>
      <c r="L138" s="2" t="s">
        <v>1216</v>
      </c>
      <c r="M138" s="2" t="s">
        <v>1057</v>
      </c>
      <c r="N138" s="10">
        <v>1700000</v>
      </c>
      <c r="O138" s="16">
        <f>N138/K$136</f>
        <v>0.19698725376593279</v>
      </c>
      <c r="V138"/>
    </row>
    <row r="139" spans="2:22" ht="16" thickBot="1">
      <c r="B139" s="1269"/>
      <c r="C139" s="1316"/>
      <c r="D139" s="1317"/>
      <c r="E139" s="281"/>
      <c r="F139" s="536"/>
      <c r="G139" s="561"/>
      <c r="H139" s="277"/>
      <c r="I139" s="277"/>
      <c r="J139" s="1290"/>
      <c r="K139" s="1318"/>
      <c r="L139" s="30" t="s">
        <v>1217</v>
      </c>
      <c r="M139" s="30" t="s">
        <v>1057</v>
      </c>
      <c r="N139" s="31">
        <v>300000</v>
      </c>
      <c r="O139" s="20">
        <f>N139/K$136</f>
        <v>3.4762456546929318E-2</v>
      </c>
      <c r="V139"/>
    </row>
    <row r="140" spans="2:22">
      <c r="B140" s="1268" t="s">
        <v>1218</v>
      </c>
      <c r="C140" s="1319" t="s">
        <v>1219</v>
      </c>
      <c r="D140" s="482"/>
      <c r="E140" s="279"/>
      <c r="F140" s="537"/>
      <c r="G140" s="562"/>
      <c r="H140" s="280"/>
      <c r="I140" s="280"/>
      <c r="J140" s="1289" t="s">
        <v>395</v>
      </c>
      <c r="K140" s="1320">
        <v>500000000</v>
      </c>
      <c r="L140" s="27" t="s">
        <v>1220</v>
      </c>
      <c r="M140" s="27" t="s">
        <v>746</v>
      </c>
      <c r="N140" s="14">
        <v>200000</v>
      </c>
      <c r="O140" s="15">
        <f t="shared" ref="O140:O146" si="9">N140/(K$140+K$144)</f>
        <v>4.0000000000000002E-4</v>
      </c>
      <c r="P140" s="222">
        <f>K140</f>
        <v>500000000</v>
      </c>
      <c r="V140"/>
    </row>
    <row r="141" spans="2:22" ht="31">
      <c r="B141" s="1269"/>
      <c r="C141" s="1315"/>
      <c r="D141" s="483"/>
      <c r="E141" s="281"/>
      <c r="F141" s="536"/>
      <c r="G141" s="563"/>
      <c r="H141" s="282"/>
      <c r="I141" s="282"/>
      <c r="J141" s="1290"/>
      <c r="K141" s="1321"/>
      <c r="L141" s="23" t="s">
        <v>1221</v>
      </c>
      <c r="M141" s="23" t="s">
        <v>1056</v>
      </c>
      <c r="N141" s="10">
        <v>474700000</v>
      </c>
      <c r="O141" s="16">
        <f t="shared" si="9"/>
        <v>0.94940000000000002</v>
      </c>
      <c r="V141"/>
    </row>
    <row r="142" spans="2:22">
      <c r="B142" s="1269"/>
      <c r="C142" s="1315"/>
      <c r="D142" s="483"/>
      <c r="E142" s="281"/>
      <c r="F142" s="536"/>
      <c r="G142" s="563"/>
      <c r="H142" s="282"/>
      <c r="I142" s="282"/>
      <c r="J142" s="1290"/>
      <c r="K142" s="1321"/>
      <c r="L142" s="23" t="s">
        <v>1222</v>
      </c>
      <c r="M142" s="23" t="s">
        <v>746</v>
      </c>
      <c r="N142" s="10">
        <v>10700000</v>
      </c>
      <c r="O142" s="16">
        <f t="shared" si="9"/>
        <v>2.1399999999999999E-2</v>
      </c>
      <c r="V142"/>
    </row>
    <row r="143" spans="2:22">
      <c r="B143" s="1269"/>
      <c r="C143" s="1315"/>
      <c r="D143" s="483"/>
      <c r="E143" s="281"/>
      <c r="F143" s="536"/>
      <c r="G143" s="563"/>
      <c r="H143" s="282"/>
      <c r="I143" s="282"/>
      <c r="J143" s="1290"/>
      <c r="K143" s="1321"/>
      <c r="L143" s="2" t="s">
        <v>1223</v>
      </c>
      <c r="M143" s="2" t="s">
        <v>1057</v>
      </c>
      <c r="N143" s="10">
        <v>155500000</v>
      </c>
      <c r="O143" s="16">
        <f t="shared" si="9"/>
        <v>0.311</v>
      </c>
      <c r="V143"/>
    </row>
    <row r="144" spans="2:22" ht="46.5">
      <c r="B144" s="1269"/>
      <c r="C144" s="1315"/>
      <c r="D144" s="483"/>
      <c r="E144" s="281"/>
      <c r="F144" s="536"/>
      <c r="G144" s="563"/>
      <c r="H144" s="282"/>
      <c r="I144" s="282"/>
      <c r="J144" s="1290"/>
      <c r="K144" s="1321"/>
      <c r="L144" s="23" t="s">
        <v>1224</v>
      </c>
      <c r="M144" s="23" t="s">
        <v>746</v>
      </c>
      <c r="N144" s="10">
        <v>8300000</v>
      </c>
      <c r="O144" s="16">
        <f t="shared" si="9"/>
        <v>1.66E-2</v>
      </c>
      <c r="V144"/>
    </row>
    <row r="145" spans="2:22">
      <c r="B145" s="1269"/>
      <c r="C145" s="1315"/>
      <c r="D145" s="483"/>
      <c r="E145" s="281"/>
      <c r="F145" s="536"/>
      <c r="G145" s="563"/>
      <c r="H145" s="282"/>
      <c r="I145" s="282"/>
      <c r="J145" s="1290"/>
      <c r="K145" s="1321"/>
      <c r="L145" s="23" t="s">
        <v>1153</v>
      </c>
      <c r="M145" s="23" t="s">
        <v>746</v>
      </c>
      <c r="N145" s="10">
        <v>6100000</v>
      </c>
      <c r="O145" s="16">
        <f t="shared" si="9"/>
        <v>1.2200000000000001E-2</v>
      </c>
      <c r="V145"/>
    </row>
    <row r="146" spans="2:22" ht="16" thickBot="1">
      <c r="B146" s="1269"/>
      <c r="C146" s="1315"/>
      <c r="D146" s="483"/>
      <c r="E146" s="281"/>
      <c r="F146" s="536"/>
      <c r="G146" s="563"/>
      <c r="H146" s="282"/>
      <c r="I146" s="282"/>
      <c r="J146" s="1290"/>
      <c r="K146" s="1321"/>
      <c r="L146" s="30" t="s">
        <v>1225</v>
      </c>
      <c r="M146" s="30" t="s">
        <v>746</v>
      </c>
      <c r="N146" s="31">
        <v>0</v>
      </c>
      <c r="O146" s="20">
        <f t="shared" si="9"/>
        <v>0</v>
      </c>
      <c r="V146"/>
    </row>
    <row r="147" spans="2:22" ht="31">
      <c r="B147" s="1293" t="s">
        <v>282</v>
      </c>
      <c r="C147" s="1296" t="s">
        <v>1226</v>
      </c>
      <c r="D147" s="1299"/>
      <c r="E147" s="434"/>
      <c r="F147" s="506"/>
      <c r="G147" s="1302"/>
      <c r="H147" s="434"/>
      <c r="I147" s="434"/>
      <c r="J147" s="1305" t="s">
        <v>415</v>
      </c>
      <c r="K147" s="1307">
        <v>12500000</v>
      </c>
      <c r="L147" s="158" t="s">
        <v>1227</v>
      </c>
      <c r="M147" s="27"/>
      <c r="N147" s="150">
        <v>3200000</v>
      </c>
      <c r="O147" s="15">
        <f t="shared" ref="O147:O153" si="10">N147/($K$147+$K$149+$K$152)</f>
        <v>0.10847457627118644</v>
      </c>
      <c r="V147"/>
    </row>
    <row r="148" spans="2:22" ht="31">
      <c r="B148" s="1294"/>
      <c r="C148" s="1297"/>
      <c r="D148" s="1300"/>
      <c r="E148" s="442"/>
      <c r="F148" s="524"/>
      <c r="G148" s="1303"/>
      <c r="H148" s="442"/>
      <c r="I148" s="442"/>
      <c r="J148" s="1306"/>
      <c r="K148" s="1308"/>
      <c r="L148" s="159" t="s">
        <v>1199</v>
      </c>
      <c r="M148" s="23"/>
      <c r="N148" s="353">
        <v>19300000</v>
      </c>
      <c r="O148" s="16">
        <f t="shared" si="10"/>
        <v>0.65423728813559323</v>
      </c>
      <c r="V148"/>
    </row>
    <row r="149" spans="2:22">
      <c r="B149" s="1294"/>
      <c r="C149" s="1297"/>
      <c r="D149" s="1300"/>
      <c r="E149" s="442"/>
      <c r="F149" s="524"/>
      <c r="G149" s="1303"/>
      <c r="H149" s="442"/>
      <c r="I149" s="442"/>
      <c r="J149" s="1306" t="s">
        <v>1131</v>
      </c>
      <c r="K149" s="1308">
        <v>12500000</v>
      </c>
      <c r="L149" s="159" t="s">
        <v>1228</v>
      </c>
      <c r="M149" s="23"/>
      <c r="N149" s="353">
        <v>4500000</v>
      </c>
      <c r="O149" s="16">
        <f t="shared" si="10"/>
        <v>0.15254237288135594</v>
      </c>
      <c r="V149"/>
    </row>
    <row r="150" spans="2:22">
      <c r="B150" s="1294"/>
      <c r="C150" s="1297"/>
      <c r="D150" s="1300"/>
      <c r="E150" s="442"/>
      <c r="F150" s="524"/>
      <c r="G150" s="1303"/>
      <c r="H150" s="442"/>
      <c r="I150" s="442"/>
      <c r="J150" s="1306"/>
      <c r="K150" s="1308"/>
      <c r="L150" s="159" t="s">
        <v>1229</v>
      </c>
      <c r="M150" s="23"/>
      <c r="N150" s="354">
        <v>1900000</v>
      </c>
      <c r="O150" s="16">
        <f t="shared" si="10"/>
        <v>6.4406779661016947E-2</v>
      </c>
      <c r="V150"/>
    </row>
    <row r="151" spans="2:22" ht="31">
      <c r="B151" s="1294"/>
      <c r="C151" s="1297"/>
      <c r="D151" s="1300"/>
      <c r="E151" s="442"/>
      <c r="F151" s="524"/>
      <c r="G151" s="1303"/>
      <c r="H151" s="442"/>
      <c r="I151" s="442"/>
      <c r="J151" s="1306"/>
      <c r="K151" s="1308"/>
      <c r="L151" s="159" t="s">
        <v>1227</v>
      </c>
      <c r="M151" s="23"/>
      <c r="N151" s="353">
        <v>1100000</v>
      </c>
      <c r="O151" s="16">
        <f t="shared" si="10"/>
        <v>3.7288135593220341E-2</v>
      </c>
      <c r="V151"/>
    </row>
    <row r="152" spans="2:22" ht="31">
      <c r="B152" s="1294"/>
      <c r="C152" s="1297"/>
      <c r="D152" s="1300"/>
      <c r="E152" s="442"/>
      <c r="F152" s="524"/>
      <c r="G152" s="1303"/>
      <c r="H152" s="442"/>
      <c r="I152" s="442"/>
      <c r="J152" s="1306" t="s">
        <v>417</v>
      </c>
      <c r="K152" s="1308">
        <v>4500000</v>
      </c>
      <c r="L152" s="159" t="s">
        <v>1230</v>
      </c>
      <c r="M152" s="23"/>
      <c r="N152" s="353">
        <v>800000</v>
      </c>
      <c r="O152" s="16">
        <f t="shared" si="10"/>
        <v>2.7118644067796609E-2</v>
      </c>
      <c r="V152"/>
    </row>
    <row r="153" spans="2:22" ht="16" thickBot="1">
      <c r="B153" s="1295"/>
      <c r="C153" s="1298"/>
      <c r="D153" s="1301"/>
      <c r="E153" s="443"/>
      <c r="F153" s="525"/>
      <c r="G153" s="1304"/>
      <c r="H153" s="443"/>
      <c r="I153" s="443"/>
      <c r="J153" s="1309"/>
      <c r="K153" s="1310"/>
      <c r="L153" s="217" t="s">
        <v>1085</v>
      </c>
      <c r="M153" s="317"/>
      <c r="N153" s="355">
        <v>600000</v>
      </c>
      <c r="O153" s="211">
        <f t="shared" si="10"/>
        <v>2.0338983050847456E-2</v>
      </c>
      <c r="V153"/>
    </row>
    <row r="154" spans="2:22">
      <c r="B154" s="1280" t="s">
        <v>285</v>
      </c>
      <c r="C154" s="330" t="s">
        <v>1231</v>
      </c>
      <c r="D154" s="484"/>
      <c r="E154" s="157"/>
      <c r="F154" s="538"/>
      <c r="G154" s="564"/>
      <c r="H154" s="108"/>
      <c r="I154" s="108"/>
      <c r="J154" s="1281" t="s">
        <v>395</v>
      </c>
      <c r="K154" s="1282">
        <v>100000000</v>
      </c>
      <c r="L154" s="331" t="s">
        <v>1087</v>
      </c>
      <c r="M154" s="331" t="s">
        <v>1056</v>
      </c>
      <c r="N154" s="332">
        <v>83000000</v>
      </c>
      <c r="O154" s="48">
        <f>N154/$K$154</f>
        <v>0.83</v>
      </c>
      <c r="P154" s="222">
        <f>K154</f>
        <v>100000000</v>
      </c>
      <c r="V154"/>
    </row>
    <row r="155" spans="2:22">
      <c r="B155" s="1280"/>
      <c r="C155" s="105"/>
      <c r="D155" s="484"/>
      <c r="E155" s="157"/>
      <c r="F155" s="538"/>
      <c r="G155" s="564"/>
      <c r="H155" s="108"/>
      <c r="I155" s="108"/>
      <c r="J155" s="1281"/>
      <c r="K155" s="1282"/>
      <c r="L155" s="39" t="s">
        <v>1232</v>
      </c>
      <c r="M155" s="39" t="s">
        <v>1057</v>
      </c>
      <c r="N155" s="43">
        <v>14750000</v>
      </c>
      <c r="O155" s="41">
        <f>N155/$K$154</f>
        <v>0.14749999999999999</v>
      </c>
      <c r="V155"/>
    </row>
    <row r="156" spans="2:22">
      <c r="B156" s="1280"/>
      <c r="C156" s="105"/>
      <c r="D156" s="484"/>
      <c r="E156" s="157"/>
      <c r="F156" s="538"/>
      <c r="G156" s="564"/>
      <c r="H156" s="108"/>
      <c r="I156" s="108"/>
      <c r="J156" s="1281"/>
      <c r="K156" s="1282"/>
      <c r="L156" s="39" t="s">
        <v>1233</v>
      </c>
      <c r="M156" s="39" t="s">
        <v>746</v>
      </c>
      <c r="N156" s="43">
        <v>2000000</v>
      </c>
      <c r="O156" s="41">
        <f>N156/$K$154</f>
        <v>0.02</v>
      </c>
      <c r="V156"/>
    </row>
    <row r="157" spans="2:22" ht="16" customHeight="1">
      <c r="B157" s="1280"/>
      <c r="C157" s="105"/>
      <c r="D157" s="484"/>
      <c r="E157" s="157"/>
      <c r="F157" s="538"/>
      <c r="G157" s="564"/>
      <c r="H157" s="108"/>
      <c r="I157" s="108"/>
      <c r="J157" s="1281"/>
      <c r="K157" s="1282"/>
      <c r="L157" s="44" t="s">
        <v>1080</v>
      </c>
      <c r="M157" s="44" t="s">
        <v>746</v>
      </c>
      <c r="N157" s="44"/>
      <c r="O157" s="45">
        <f>N157/$K$154</f>
        <v>0</v>
      </c>
      <c r="V157"/>
    </row>
    <row r="158" spans="2:22" ht="16" thickBot="1">
      <c r="B158" s="1280"/>
      <c r="C158" s="105"/>
      <c r="D158" s="484"/>
      <c r="E158" s="157"/>
      <c r="F158" s="538"/>
      <c r="G158" s="564"/>
      <c r="H158" s="108"/>
      <c r="I158" s="108"/>
      <c r="J158" s="1281"/>
      <c r="K158" s="1282"/>
      <c r="L158" s="44" t="s">
        <v>1234</v>
      </c>
      <c r="M158" s="44" t="s">
        <v>746</v>
      </c>
      <c r="N158" s="202">
        <v>250000</v>
      </c>
      <c r="O158" s="45">
        <f>N158/$K$154</f>
        <v>2.5000000000000001E-3</v>
      </c>
      <c r="V158"/>
    </row>
    <row r="159" spans="2:22" s="22" customFormat="1" ht="34" customHeight="1">
      <c r="B159" s="1268" t="s">
        <v>290</v>
      </c>
      <c r="C159" s="1283" t="s">
        <v>1235</v>
      </c>
      <c r="D159" s="1285"/>
      <c r="E159" s="473"/>
      <c r="F159" s="539"/>
      <c r="G159" s="1287"/>
      <c r="H159" s="456"/>
      <c r="I159" s="456"/>
      <c r="J159" s="1289" t="s">
        <v>395</v>
      </c>
      <c r="K159" s="1291">
        <v>90000000</v>
      </c>
      <c r="L159" s="33" t="s">
        <v>1236</v>
      </c>
      <c r="M159" s="33" t="s">
        <v>1058</v>
      </c>
      <c r="N159" s="34">
        <v>40000000</v>
      </c>
      <c r="O159" s="215">
        <f>N159/$K$159</f>
        <v>0.44444444444444442</v>
      </c>
      <c r="P159" s="221">
        <f>K159</f>
        <v>90000000</v>
      </c>
      <c r="V159"/>
    </row>
    <row r="160" spans="2:22">
      <c r="B160" s="1269"/>
      <c r="C160" s="1284"/>
      <c r="D160" s="1286"/>
      <c r="E160" s="448"/>
      <c r="F160" s="494"/>
      <c r="G160" s="1288"/>
      <c r="H160" s="446"/>
      <c r="I160" s="446"/>
      <c r="J160" s="1290"/>
      <c r="K160" s="1292"/>
      <c r="L160" s="2" t="s">
        <v>1237</v>
      </c>
      <c r="M160" s="2" t="s">
        <v>746</v>
      </c>
      <c r="N160" s="11">
        <v>20000000</v>
      </c>
      <c r="O160" s="203">
        <f t="shared" ref="O160:O161" si="11">N160/$K$159</f>
        <v>0.22222222222222221</v>
      </c>
      <c r="V160"/>
    </row>
    <row r="161" spans="2:22" ht="16" thickBot="1">
      <c r="B161" s="1269"/>
      <c r="C161" s="1284"/>
      <c r="D161" s="1286"/>
      <c r="E161" s="448"/>
      <c r="F161" s="494"/>
      <c r="G161" s="1288"/>
      <c r="H161" s="446"/>
      <c r="I161" s="446"/>
      <c r="J161" s="1290"/>
      <c r="K161" s="1292"/>
      <c r="L161" s="18" t="s">
        <v>1238</v>
      </c>
      <c r="M161" s="18" t="s">
        <v>1057</v>
      </c>
      <c r="N161" s="19">
        <v>30000000</v>
      </c>
      <c r="O161" s="388">
        <f t="shared" si="11"/>
        <v>0.33333333333333331</v>
      </c>
      <c r="V161"/>
    </row>
    <row r="162" spans="2:22">
      <c r="B162" s="1268" t="s">
        <v>296</v>
      </c>
      <c r="C162" s="1271" t="s">
        <v>1239</v>
      </c>
      <c r="D162" s="1274"/>
      <c r="E162" s="725"/>
      <c r="F162" s="512"/>
      <c r="G162" s="1277"/>
      <c r="H162" s="470"/>
      <c r="I162" s="470"/>
      <c r="J162" s="13" t="s">
        <v>1131</v>
      </c>
      <c r="K162" s="14">
        <v>9000000</v>
      </c>
      <c r="L162" s="13" t="s">
        <v>1077</v>
      </c>
      <c r="M162" s="13" t="s">
        <v>746</v>
      </c>
      <c r="N162" s="14">
        <f>7850000+6985440+292500</f>
        <v>15127940</v>
      </c>
      <c r="O162" s="312">
        <f>N162/SUM(K162:K164)</f>
        <v>0.75601899050474763</v>
      </c>
      <c r="V162"/>
    </row>
    <row r="163" spans="2:22" ht="31">
      <c r="B163" s="1269"/>
      <c r="C163" s="1272"/>
      <c r="D163" s="1275"/>
      <c r="E163" s="726"/>
      <c r="F163" s="513"/>
      <c r="G163" s="1278"/>
      <c r="H163" s="471"/>
      <c r="I163" s="471"/>
      <c r="J163" s="2" t="s">
        <v>423</v>
      </c>
      <c r="K163" s="10">
        <v>7760000</v>
      </c>
      <c r="L163" s="23" t="s">
        <v>1128</v>
      </c>
      <c r="M163" s="2" t="s">
        <v>746</v>
      </c>
      <c r="N163" s="10">
        <f>1150000+776160+325000</f>
        <v>2251160</v>
      </c>
      <c r="O163" s="313">
        <f>N163/SUM(K162:K164)</f>
        <v>0.11250174912543728</v>
      </c>
      <c r="P163" s="223">
        <f>SUM(P7:P159)</f>
        <v>2793330000</v>
      </c>
      <c r="V163"/>
    </row>
    <row r="164" spans="2:22" ht="16" thickBot="1">
      <c r="B164" s="1270"/>
      <c r="C164" s="1273"/>
      <c r="D164" s="1276"/>
      <c r="E164" s="455"/>
      <c r="F164" s="514"/>
      <c r="G164" s="1279"/>
      <c r="H164" s="472"/>
      <c r="I164" s="472"/>
      <c r="J164" s="17" t="s">
        <v>417</v>
      </c>
      <c r="K164" s="383">
        <v>3250000</v>
      </c>
      <c r="L164" s="17"/>
      <c r="M164" s="17" t="s">
        <v>746</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C21:C29"/>
    <mergeCell ref="K18:K20"/>
    <mergeCell ref="B18:B20"/>
    <mergeCell ref="B33:B34"/>
    <mergeCell ref="B30:B32"/>
    <mergeCell ref="B21:B29"/>
    <mergeCell ref="B35:B38"/>
    <mergeCell ref="D21:D29"/>
    <mergeCell ref="D33:D34"/>
    <mergeCell ref="C18:C20"/>
    <mergeCell ref="K14:K17"/>
    <mergeCell ref="G14:G17"/>
    <mergeCell ref="J14:J17"/>
    <mergeCell ref="K37:K38"/>
    <mergeCell ref="J18:J20"/>
    <mergeCell ref="D30:D32"/>
    <mergeCell ref="D14:D17"/>
    <mergeCell ref="G18:G20"/>
    <mergeCell ref="G30:G32"/>
    <mergeCell ref="G21:G29"/>
    <mergeCell ref="D35:D38"/>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B106:B110"/>
    <mergeCell ref="C106:C110"/>
    <mergeCell ref="D106:D110"/>
    <mergeCell ref="G106:G110"/>
    <mergeCell ref="J106:J110"/>
    <mergeCell ref="K106:K110"/>
    <mergeCell ref="B111:B115"/>
    <mergeCell ref="C111:C115"/>
    <mergeCell ref="D111:D115"/>
    <mergeCell ref="G111:G115"/>
    <mergeCell ref="K113:K114"/>
    <mergeCell ref="J113:J114"/>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29:B132"/>
    <mergeCell ref="C129:C132"/>
    <mergeCell ref="D129:D132"/>
    <mergeCell ref="G129:G132"/>
    <mergeCell ref="J129:J130"/>
    <mergeCell ref="K129:K130"/>
    <mergeCell ref="J131:J132"/>
    <mergeCell ref="K131:K132"/>
    <mergeCell ref="B134:B135"/>
    <mergeCell ref="C134:C135"/>
    <mergeCell ref="N134:N135"/>
    <mergeCell ref="O134:O135"/>
    <mergeCell ref="B136:B139"/>
    <mergeCell ref="C136:C139"/>
    <mergeCell ref="D136:D139"/>
    <mergeCell ref="J136:J139"/>
    <mergeCell ref="K136:K139"/>
    <mergeCell ref="B140:B146"/>
    <mergeCell ref="C140:C146"/>
    <mergeCell ref="J140:J146"/>
    <mergeCell ref="K140:K146"/>
    <mergeCell ref="B147:B153"/>
    <mergeCell ref="C147:C153"/>
    <mergeCell ref="D147:D153"/>
    <mergeCell ref="G147:G153"/>
    <mergeCell ref="J147:J148"/>
    <mergeCell ref="K147:K148"/>
    <mergeCell ref="J149:J151"/>
    <mergeCell ref="K149:K151"/>
    <mergeCell ref="J152:J153"/>
    <mergeCell ref="K152:K153"/>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dimension ref="B15:L20"/>
  <sheetViews>
    <sheetView topLeftCell="A3" workbookViewId="0">
      <selection activeCell="A5" sqref="A5:XFD10"/>
    </sheetView>
  </sheetViews>
  <sheetFormatPr defaultColWidth="11" defaultRowHeight="15.5"/>
  <sheetData>
    <row r="15" spans="2:12" ht="16" thickBot="1"/>
    <row r="16" spans="2:12" s="1" customFormat="1">
      <c r="B16" s="1427" t="s">
        <v>232</v>
      </c>
      <c r="C16" s="1506"/>
      <c r="D16" s="1506"/>
      <c r="E16" s="1506"/>
      <c r="F16" s="1509" t="s">
        <v>415</v>
      </c>
      <c r="G16" s="1504">
        <v>100000000</v>
      </c>
      <c r="H16" s="13" t="s">
        <v>1240</v>
      </c>
      <c r="I16" s="13" t="s">
        <v>1056</v>
      </c>
      <c r="J16" s="21">
        <v>71000000</v>
      </c>
      <c r="K16" s="15">
        <f>J16/$L$16</f>
        <v>0.71</v>
      </c>
      <c r="L16" s="173">
        <v>100000000</v>
      </c>
    </row>
    <row r="17" spans="2:12" s="1" customFormat="1" ht="16" thickBot="1">
      <c r="B17" s="1377"/>
      <c r="C17" s="1507"/>
      <c r="D17" s="1507"/>
      <c r="E17" s="1507"/>
      <c r="F17" s="1510"/>
      <c r="G17" s="1505"/>
      <c r="H17" s="18" t="s">
        <v>1241</v>
      </c>
      <c r="I17" s="18" t="s">
        <v>746</v>
      </c>
      <c r="J17" s="31">
        <v>29000000</v>
      </c>
      <c r="K17" s="20">
        <f>J17/$L$16</f>
        <v>0.28999999999999998</v>
      </c>
    </row>
    <row r="18" spans="2:12" s="1" customFormat="1">
      <c r="B18" s="1268" t="s">
        <v>233</v>
      </c>
      <c r="C18" s="1506"/>
      <c r="D18" s="1506"/>
      <c r="E18" s="1506"/>
      <c r="F18" s="369" t="s">
        <v>412</v>
      </c>
      <c r="G18" s="309">
        <v>30000000</v>
      </c>
      <c r="H18" s="13" t="s">
        <v>1242</v>
      </c>
      <c r="I18" s="13" t="s">
        <v>1058</v>
      </c>
      <c r="J18" s="14">
        <v>26000000</v>
      </c>
      <c r="K18" s="312">
        <f>J18/L$18</f>
        <v>0.90277777777777779</v>
      </c>
      <c r="L18" s="223">
        <f>SUM(J18:J20)</f>
        <v>28800000</v>
      </c>
    </row>
    <row r="19" spans="2:12" s="1" customFormat="1">
      <c r="B19" s="1269"/>
      <c r="C19" s="1507"/>
      <c r="D19" s="1507"/>
      <c r="E19" s="1507"/>
      <c r="F19" s="306"/>
      <c r="G19" s="311"/>
      <c r="H19" s="2"/>
      <c r="I19" s="2" t="s">
        <v>1123</v>
      </c>
      <c r="J19" s="10">
        <v>1000000</v>
      </c>
      <c r="K19" s="313">
        <f>J19/L$18</f>
        <v>3.4722222222222224E-2</v>
      </c>
    </row>
    <row r="20" spans="2:12" s="1" customFormat="1" ht="16" thickBot="1">
      <c r="B20" s="1270"/>
      <c r="C20" s="1508"/>
      <c r="D20" s="1508"/>
      <c r="E20" s="1508"/>
      <c r="F20" s="307"/>
      <c r="G20" s="310"/>
      <c r="H20" s="17"/>
      <c r="I20" s="17" t="s">
        <v>1243</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dimension ref="A1:FD169"/>
  <sheetViews>
    <sheetView topLeftCell="A36" zoomScale="60" zoomScaleNormal="60" workbookViewId="0">
      <selection activeCell="K65" activeCellId="2" sqref="K4:K61 K63 K65:K84"/>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57" t="s">
        <v>1244</v>
      </c>
      <c r="C1" s="957"/>
      <c r="D1" s="957"/>
      <c r="E1" s="811"/>
      <c r="F1" s="811"/>
      <c r="G1" s="811"/>
      <c r="H1" s="958" t="s">
        <v>1245</v>
      </c>
      <c r="I1" s="958"/>
      <c r="J1" s="958"/>
      <c r="K1" s="958"/>
      <c r="L1" s="811"/>
      <c r="M1" s="811"/>
      <c r="N1" s="811"/>
      <c r="O1" s="811"/>
      <c r="P1" s="957"/>
    </row>
    <row r="2" spans="1:16" customFormat="1" ht="16" thickBot="1">
      <c r="B2" s="957" t="s">
        <v>1246</v>
      </c>
      <c r="C2" s="811"/>
      <c r="D2" s="811"/>
      <c r="E2" s="811"/>
      <c r="F2" s="811"/>
      <c r="G2" s="811"/>
      <c r="H2" s="811"/>
      <c r="I2" s="811"/>
      <c r="J2" s="811"/>
      <c r="K2" s="811"/>
      <c r="L2" s="811"/>
      <c r="M2" s="811"/>
      <c r="N2" s="811"/>
      <c r="O2" s="811"/>
      <c r="P2" s="957"/>
    </row>
    <row r="3" spans="1:16" customFormat="1" ht="90.65" customHeight="1">
      <c r="A3" s="995" t="s">
        <v>432</v>
      </c>
      <c r="B3" s="959" t="s">
        <v>358</v>
      </c>
      <c r="C3" s="960" t="s">
        <v>1247</v>
      </c>
      <c r="D3" s="960" t="s">
        <v>1248</v>
      </c>
      <c r="E3" s="960" t="s">
        <v>1249</v>
      </c>
      <c r="F3" s="960" t="s">
        <v>1250</v>
      </c>
      <c r="G3" s="960" t="s">
        <v>1251</v>
      </c>
      <c r="H3" s="960" t="s">
        <v>1252</v>
      </c>
      <c r="I3" s="960" t="s">
        <v>1253</v>
      </c>
      <c r="J3" s="960" t="s">
        <v>1254</v>
      </c>
      <c r="K3" s="960" t="s">
        <v>1255</v>
      </c>
      <c r="L3" s="960" t="s">
        <v>1256</v>
      </c>
      <c r="M3" s="960" t="s">
        <v>1257</v>
      </c>
      <c r="N3" s="960" t="s">
        <v>1258</v>
      </c>
      <c r="O3" s="961" t="s">
        <v>1259</v>
      </c>
      <c r="P3" s="960" t="s">
        <v>1260</v>
      </c>
    </row>
    <row r="4" spans="1:16" customFormat="1" ht="14.5" customHeight="1">
      <c r="A4" t="str">
        <f>INDEX([5]Country_name_ref!$A$4:$A$227,MATCH('[5]Financing (cleaned)'!C4,[5]Country_name_ref!$B$4:$B$227,0))</f>
        <v>AFG</v>
      </c>
      <c r="B4" s="962" t="s">
        <v>160</v>
      </c>
      <c r="C4" s="963">
        <v>113</v>
      </c>
      <c r="D4" s="963" t="s">
        <v>890</v>
      </c>
      <c r="E4" s="964" t="s">
        <v>394</v>
      </c>
      <c r="F4" s="963">
        <v>53.1</v>
      </c>
      <c r="G4" s="965">
        <v>0.47</v>
      </c>
      <c r="H4" s="964">
        <v>59.9</v>
      </c>
      <c r="I4" s="966">
        <v>0.53</v>
      </c>
      <c r="J4" s="967">
        <v>70.8</v>
      </c>
      <c r="K4" s="968">
        <v>33.6</v>
      </c>
      <c r="L4" s="968">
        <v>8.6</v>
      </c>
      <c r="M4" s="969">
        <v>0.63</v>
      </c>
      <c r="N4" s="970">
        <v>0.3</v>
      </c>
      <c r="O4" s="971" t="s">
        <v>541</v>
      </c>
      <c r="P4" s="972" t="s">
        <v>1261</v>
      </c>
    </row>
    <row r="5" spans="1:16" customFormat="1" ht="14.5" customHeight="1">
      <c r="A5" t="str">
        <f>INDEX([5]Country_name_ref!$A$4:$A$227,MATCH('[5]Financing (cleaned)'!C5,[5]Country_name_ref!$B$4:$B$227,0))</f>
        <v>AGO</v>
      </c>
      <c r="B5" s="973" t="s">
        <v>162</v>
      </c>
      <c r="C5" s="974">
        <v>150</v>
      </c>
      <c r="D5" s="974" t="s">
        <v>890</v>
      </c>
      <c r="E5" s="963" t="s">
        <v>395</v>
      </c>
      <c r="F5" s="974">
        <v>150</v>
      </c>
      <c r="G5" s="970">
        <v>1</v>
      </c>
      <c r="H5" s="963">
        <v>0</v>
      </c>
      <c r="I5" s="970">
        <v>0</v>
      </c>
      <c r="J5" s="975">
        <v>90</v>
      </c>
      <c r="K5" s="975">
        <v>43</v>
      </c>
      <c r="L5" s="975">
        <v>17</v>
      </c>
      <c r="M5" s="970">
        <v>0.6</v>
      </c>
      <c r="N5" s="976">
        <v>0.28999999999999998</v>
      </c>
      <c r="O5" s="977" t="s">
        <v>544</v>
      </c>
      <c r="P5" s="978" t="s">
        <v>1262</v>
      </c>
    </row>
    <row r="6" spans="1:16" customFormat="1" ht="14.5" customHeight="1">
      <c r="A6" t="str">
        <f>INDEX([5]Country_name_ref!$A$4:$A$227,MATCH('[5]Financing (cleaned)'!C6,[5]Country_name_ref!$B$4:$B$227,0))</f>
        <v>ARG</v>
      </c>
      <c r="B6" s="973" t="s">
        <v>164</v>
      </c>
      <c r="C6" s="974">
        <v>500</v>
      </c>
      <c r="D6" s="974" t="s">
        <v>890</v>
      </c>
      <c r="E6" s="974" t="s">
        <v>395</v>
      </c>
      <c r="F6" s="974">
        <v>500</v>
      </c>
      <c r="G6" s="976">
        <v>1</v>
      </c>
      <c r="H6" s="974">
        <v>0</v>
      </c>
      <c r="I6" s="976">
        <v>0</v>
      </c>
      <c r="J6" s="974">
        <v>498</v>
      </c>
      <c r="K6" s="974">
        <v>1</v>
      </c>
      <c r="L6" s="974">
        <v>1</v>
      </c>
      <c r="M6" s="976">
        <v>1</v>
      </c>
      <c r="N6" s="976">
        <v>0</v>
      </c>
      <c r="O6" s="977" t="s">
        <v>541</v>
      </c>
      <c r="P6" s="978" t="s">
        <v>1263</v>
      </c>
    </row>
    <row r="7" spans="1:16" customFormat="1">
      <c r="A7" t="str">
        <f>INDEX([5]Country_name_ref!$A$4:$A$227,MATCH('[5]Financing (cleaned)'!C7,[5]Country_name_ref!$B$4:$B$227,0))</f>
        <v>BGD</v>
      </c>
      <c r="B7" s="973" t="s">
        <v>167</v>
      </c>
      <c r="C7" s="974">
        <v>500</v>
      </c>
      <c r="D7" s="974" t="s">
        <v>890</v>
      </c>
      <c r="E7" s="974" t="s">
        <v>394</v>
      </c>
      <c r="F7" s="974">
        <v>500</v>
      </c>
      <c r="G7" s="976">
        <v>1</v>
      </c>
      <c r="H7" s="974">
        <v>0</v>
      </c>
      <c r="I7" s="976">
        <v>0</v>
      </c>
      <c r="J7" s="974">
        <v>412.3</v>
      </c>
      <c r="K7" s="974">
        <v>87.7</v>
      </c>
      <c r="L7" s="974">
        <v>0</v>
      </c>
      <c r="M7" s="976">
        <v>0.82</v>
      </c>
      <c r="N7" s="976">
        <v>0.18</v>
      </c>
      <c r="O7" s="977" t="s">
        <v>541</v>
      </c>
      <c r="P7" s="978" t="s">
        <v>1264</v>
      </c>
    </row>
    <row r="8" spans="1:16" customFormat="1">
      <c r="A8" t="str">
        <f>INDEX([5]Country_name_ref!$A$4:$A$227,MATCH('[5]Financing (cleaned)'!C8,[5]Country_name_ref!$B$4:$B$227,0))</f>
        <v>BEN</v>
      </c>
      <c r="B8" s="973" t="s">
        <v>170</v>
      </c>
      <c r="C8" s="974">
        <v>30</v>
      </c>
      <c r="D8" s="974" t="s">
        <v>890</v>
      </c>
      <c r="E8" s="974" t="s">
        <v>394</v>
      </c>
      <c r="F8" s="974">
        <v>15</v>
      </c>
      <c r="G8" s="976">
        <v>0.5</v>
      </c>
      <c r="H8" s="974">
        <v>15</v>
      </c>
      <c r="I8" s="976">
        <v>0.5</v>
      </c>
      <c r="J8" s="974">
        <v>25</v>
      </c>
      <c r="K8" s="974">
        <v>5</v>
      </c>
      <c r="L8" s="974">
        <v>0</v>
      </c>
      <c r="M8" s="976">
        <v>0.83</v>
      </c>
      <c r="N8" s="976">
        <v>0.17</v>
      </c>
      <c r="O8" s="977" t="s">
        <v>541</v>
      </c>
      <c r="P8" s="978" t="s">
        <v>1265</v>
      </c>
    </row>
    <row r="9" spans="1:16" customFormat="1">
      <c r="A9" t="s">
        <v>563</v>
      </c>
      <c r="B9" s="979" t="s">
        <v>1266</v>
      </c>
      <c r="C9" s="974">
        <v>2</v>
      </c>
      <c r="D9" s="974" t="s">
        <v>883</v>
      </c>
      <c r="E9" s="974" t="s">
        <v>394</v>
      </c>
      <c r="F9" s="974">
        <v>0</v>
      </c>
      <c r="G9" s="976">
        <v>0</v>
      </c>
      <c r="H9" s="974">
        <v>2</v>
      </c>
      <c r="I9" s="976">
        <v>1</v>
      </c>
      <c r="J9" s="974" t="s">
        <v>1267</v>
      </c>
      <c r="K9" s="974" t="s">
        <v>1267</v>
      </c>
      <c r="L9" s="974" t="s">
        <v>1267</v>
      </c>
      <c r="M9" s="976" t="s">
        <v>1268</v>
      </c>
      <c r="N9" s="976" t="s">
        <v>1268</v>
      </c>
      <c r="O9" s="977" t="s">
        <v>541</v>
      </c>
      <c r="P9" s="978" t="s">
        <v>1269</v>
      </c>
    </row>
    <row r="10" spans="1:16" customFormat="1">
      <c r="A10" t="str">
        <f>INDEX([5]Country_name_ref!$A$4:$A$227,MATCH('[5]Financing (cleaned)'!C10,[5]Country_name_ref!$B$4:$B$227,0))</f>
        <v>BDI</v>
      </c>
      <c r="B10" s="979" t="s">
        <v>178</v>
      </c>
      <c r="C10" s="974">
        <v>60</v>
      </c>
      <c r="D10" s="974" t="s">
        <v>890</v>
      </c>
      <c r="E10" s="974" t="s">
        <v>394</v>
      </c>
      <c r="F10" s="974">
        <v>0</v>
      </c>
      <c r="G10" s="976">
        <v>0</v>
      </c>
      <c r="H10" s="974">
        <v>60</v>
      </c>
      <c r="I10" s="976">
        <v>1</v>
      </c>
      <c r="J10" s="974">
        <v>21.3</v>
      </c>
      <c r="K10" s="974">
        <v>17.8</v>
      </c>
      <c r="L10" s="974">
        <v>20.9</v>
      </c>
      <c r="M10" s="976">
        <v>0.36</v>
      </c>
      <c r="N10" s="976">
        <v>0.3</v>
      </c>
      <c r="O10" s="977" t="s">
        <v>544</v>
      </c>
      <c r="P10" s="978" t="s">
        <v>1270</v>
      </c>
    </row>
    <row r="11" spans="1:16" customFormat="1">
      <c r="A11" t="str">
        <f>INDEX([5]Country_name_ref!$A$4:$A$227,MATCH('[5]Financing (cleaned)'!C11,[5]Country_name_ref!$B$4:$B$227,0))</f>
        <v>CPV</v>
      </c>
      <c r="B11" s="973" t="s">
        <v>179</v>
      </c>
      <c r="C11" s="974">
        <v>5</v>
      </c>
      <c r="D11" s="974" t="s">
        <v>890</v>
      </c>
      <c r="E11" s="974" t="s">
        <v>394</v>
      </c>
      <c r="F11" s="974">
        <v>5</v>
      </c>
      <c r="G11" s="976">
        <v>1</v>
      </c>
      <c r="H11" s="974">
        <v>0</v>
      </c>
      <c r="I11" s="976">
        <v>0</v>
      </c>
      <c r="J11" s="980">
        <v>1.5</v>
      </c>
      <c r="K11" s="974">
        <v>2</v>
      </c>
      <c r="L11" s="980">
        <v>1.5</v>
      </c>
      <c r="M11" s="976">
        <v>0.3</v>
      </c>
      <c r="N11" s="976">
        <v>0.4</v>
      </c>
      <c r="O11" s="977" t="s">
        <v>541</v>
      </c>
      <c r="P11" s="978" t="s">
        <v>1271</v>
      </c>
    </row>
    <row r="12" spans="1:16" customFormat="1">
      <c r="A12" t="s">
        <v>571</v>
      </c>
      <c r="B12" s="973" t="s">
        <v>1272</v>
      </c>
      <c r="C12" s="974">
        <v>10</v>
      </c>
      <c r="D12" s="974" t="s">
        <v>890</v>
      </c>
      <c r="E12" s="974" t="s">
        <v>394</v>
      </c>
      <c r="F12" s="974">
        <v>10</v>
      </c>
      <c r="G12" s="976">
        <v>1</v>
      </c>
      <c r="H12" s="974">
        <v>0</v>
      </c>
      <c r="I12" s="976">
        <v>0</v>
      </c>
      <c r="J12" s="980">
        <v>7.1</v>
      </c>
      <c r="K12" s="974">
        <v>2.7</v>
      </c>
      <c r="L12" s="980">
        <v>0.2</v>
      </c>
      <c r="M12" s="976">
        <v>0.71</v>
      </c>
      <c r="N12" s="976">
        <v>0.27</v>
      </c>
      <c r="O12" s="977" t="s">
        <v>541</v>
      </c>
      <c r="P12" s="978" t="s">
        <v>1273</v>
      </c>
    </row>
    <row r="13" spans="1:16" customFormat="1" ht="28">
      <c r="A13" t="str">
        <f>INDEX([5]Country_name_ref!$A$4:$A$227,MATCH('[5]Financing (cleaned)'!C13,[5]Country_name_ref!$B$4:$B$227,0))</f>
        <v>KHM</v>
      </c>
      <c r="B13" s="973" t="s">
        <v>180</v>
      </c>
      <c r="C13" s="974">
        <v>3.5</v>
      </c>
      <c r="D13" s="974" t="s">
        <v>890</v>
      </c>
      <c r="E13" s="974" t="s">
        <v>1274</v>
      </c>
      <c r="F13" s="974">
        <v>0</v>
      </c>
      <c r="G13" s="976">
        <v>0</v>
      </c>
      <c r="H13" s="974">
        <v>3.5</v>
      </c>
      <c r="I13" s="976">
        <v>1</v>
      </c>
      <c r="J13" s="974">
        <v>0</v>
      </c>
      <c r="K13" s="974">
        <v>3.5</v>
      </c>
      <c r="L13" s="974">
        <v>0</v>
      </c>
      <c r="M13" s="976">
        <v>0</v>
      </c>
      <c r="N13" s="976">
        <v>1</v>
      </c>
      <c r="O13" s="977" t="s">
        <v>541</v>
      </c>
      <c r="P13" s="978" t="s">
        <v>1275</v>
      </c>
    </row>
    <row r="14" spans="1:16" customFormat="1">
      <c r="A14" t="str">
        <f>INDEX([5]Country_name_ref!$A$4:$A$227,MATCH('[5]Financing (cleaned)'!C14,[5]Country_name_ref!$B$4:$B$227,0))</f>
        <v>CMR</v>
      </c>
      <c r="B14" s="979" t="s">
        <v>181</v>
      </c>
      <c r="C14" s="974">
        <v>44.6</v>
      </c>
      <c r="D14" s="974" t="s">
        <v>890</v>
      </c>
      <c r="E14" s="974" t="s">
        <v>394</v>
      </c>
      <c r="F14" s="974">
        <v>0</v>
      </c>
      <c r="G14" s="976">
        <v>0</v>
      </c>
      <c r="H14" s="974">
        <v>44.6</v>
      </c>
      <c r="I14" s="976">
        <v>1</v>
      </c>
      <c r="J14" s="974">
        <v>29.6</v>
      </c>
      <c r="K14" s="974">
        <v>18</v>
      </c>
      <c r="L14" s="974">
        <v>11</v>
      </c>
      <c r="M14" s="976">
        <v>0.66</v>
      </c>
      <c r="N14" s="976">
        <v>0.4</v>
      </c>
      <c r="O14" s="977" t="s">
        <v>544</v>
      </c>
      <c r="P14" s="978" t="s">
        <v>1276</v>
      </c>
    </row>
    <row r="15" spans="1:16" customFormat="1">
      <c r="A15" t="str">
        <f>INDEX([5]Country_name_ref!$A$4:$A$227,MATCH('[5]Financing (cleaned)'!C15,[5]Country_name_ref!$B$4:$B$227,0))</f>
        <v>TCD</v>
      </c>
      <c r="B15" s="973" t="s">
        <v>183</v>
      </c>
      <c r="C15" s="974">
        <v>38.200000000000003</v>
      </c>
      <c r="D15" s="974" t="s">
        <v>890</v>
      </c>
      <c r="E15" s="974" t="s">
        <v>394</v>
      </c>
      <c r="F15" s="974">
        <v>0</v>
      </c>
      <c r="G15" s="976">
        <v>0</v>
      </c>
      <c r="H15" s="974">
        <v>38.200000000000003</v>
      </c>
      <c r="I15" s="976">
        <v>1</v>
      </c>
      <c r="J15" s="974">
        <v>26.2</v>
      </c>
      <c r="K15" s="974">
        <v>9</v>
      </c>
      <c r="L15" s="974">
        <v>3</v>
      </c>
      <c r="M15" s="976">
        <v>0.69</v>
      </c>
      <c r="N15" s="976">
        <v>0.24</v>
      </c>
      <c r="O15" s="977" t="s">
        <v>541</v>
      </c>
      <c r="P15" s="978" t="s">
        <v>1277</v>
      </c>
    </row>
    <row r="16" spans="1:16" customFormat="1">
      <c r="A16" t="str">
        <f>INDEX([5]Country_name_ref!$A$4:$A$227,MATCH('[5]Financing (cleaned)'!C16,[5]Country_name_ref!$B$4:$B$227,0))</f>
        <v>COM</v>
      </c>
      <c r="B16" s="973" t="s">
        <v>187</v>
      </c>
      <c r="C16" s="974">
        <v>21</v>
      </c>
      <c r="D16" s="974" t="s">
        <v>890</v>
      </c>
      <c r="E16" s="974" t="s">
        <v>394</v>
      </c>
      <c r="F16" s="974">
        <v>10</v>
      </c>
      <c r="G16" s="976">
        <v>0.48</v>
      </c>
      <c r="H16" s="974">
        <v>11</v>
      </c>
      <c r="I16" s="976">
        <v>0.52</v>
      </c>
      <c r="J16" s="974">
        <v>5.6</v>
      </c>
      <c r="K16" s="974">
        <v>12.8</v>
      </c>
      <c r="L16" s="974">
        <v>2.7</v>
      </c>
      <c r="M16" s="976">
        <v>0.27</v>
      </c>
      <c r="N16" s="976">
        <v>0.61</v>
      </c>
      <c r="O16" s="977" t="s">
        <v>541</v>
      </c>
      <c r="P16" s="978" t="s">
        <v>1278</v>
      </c>
    </row>
    <row r="17" spans="1:16" customFormat="1">
      <c r="A17" t="s">
        <v>581</v>
      </c>
      <c r="B17" s="973" t="s">
        <v>971</v>
      </c>
      <c r="C17" s="974">
        <v>200</v>
      </c>
      <c r="D17" s="974" t="s">
        <v>890</v>
      </c>
      <c r="E17" s="974" t="s">
        <v>394</v>
      </c>
      <c r="F17" s="974">
        <v>100</v>
      </c>
      <c r="G17" s="976">
        <v>0.5</v>
      </c>
      <c r="H17" s="974">
        <v>100</v>
      </c>
      <c r="I17" s="976">
        <v>0.5</v>
      </c>
      <c r="J17" s="974">
        <v>85</v>
      </c>
      <c r="K17" s="974">
        <v>50</v>
      </c>
      <c r="L17" s="974">
        <v>65</v>
      </c>
      <c r="M17" s="976">
        <v>0.43</v>
      </c>
      <c r="N17" s="976">
        <v>0.25</v>
      </c>
      <c r="O17" s="977" t="s">
        <v>544</v>
      </c>
      <c r="P17" s="978" t="s">
        <v>1279</v>
      </c>
    </row>
    <row r="18" spans="1:16" customFormat="1">
      <c r="A18" t="s">
        <v>582</v>
      </c>
      <c r="B18" s="973" t="s">
        <v>977</v>
      </c>
      <c r="C18" s="974">
        <v>12</v>
      </c>
      <c r="D18" s="974" t="s">
        <v>890</v>
      </c>
      <c r="E18" s="974" t="s">
        <v>394</v>
      </c>
      <c r="F18" s="974">
        <v>12</v>
      </c>
      <c r="G18" s="976">
        <v>1</v>
      </c>
      <c r="H18" s="974">
        <v>0</v>
      </c>
      <c r="I18" s="976">
        <v>0</v>
      </c>
      <c r="J18" s="974">
        <v>7.1</v>
      </c>
      <c r="K18" s="974">
        <v>3</v>
      </c>
      <c r="L18" s="974">
        <v>1.9</v>
      </c>
      <c r="M18" s="976">
        <v>0.59</v>
      </c>
      <c r="N18" s="976">
        <v>0.25</v>
      </c>
      <c r="O18" s="977" t="s">
        <v>541</v>
      </c>
      <c r="P18" s="978" t="s">
        <v>1280</v>
      </c>
    </row>
    <row r="19" spans="1:16" customFormat="1">
      <c r="A19" t="str">
        <f>INDEX([5]Country_name_ref!$A$4:$A$227,MATCH('[5]Financing (cleaned)'!C19,[5]Country_name_ref!$B$4:$B$227,0))</f>
        <v>CIV</v>
      </c>
      <c r="B19" s="973" t="s">
        <v>900</v>
      </c>
      <c r="C19" s="974">
        <v>100</v>
      </c>
      <c r="D19" s="974" t="s">
        <v>890</v>
      </c>
      <c r="E19" s="974" t="s">
        <v>394</v>
      </c>
      <c r="F19" s="974">
        <v>100</v>
      </c>
      <c r="G19" s="976">
        <v>1</v>
      </c>
      <c r="H19" s="974">
        <v>0</v>
      </c>
      <c r="I19" s="976">
        <v>0</v>
      </c>
      <c r="J19" s="974">
        <v>63</v>
      </c>
      <c r="K19" s="974">
        <v>31.9</v>
      </c>
      <c r="L19" s="974">
        <v>5.0999999999999996</v>
      </c>
      <c r="M19" s="976">
        <v>0.63</v>
      </c>
      <c r="N19" s="976">
        <v>0.32</v>
      </c>
      <c r="O19" s="977" t="s">
        <v>541</v>
      </c>
      <c r="P19" s="978" t="s">
        <v>1281</v>
      </c>
    </row>
    <row r="20" spans="1:16" customFormat="1">
      <c r="A20" t="str">
        <f>INDEX([5]Country_name_ref!$A$4:$A$227,MATCH('[5]Financing (cleaned)'!C20,[5]Country_name_ref!$B$4:$B$227,0))</f>
        <v>ECU</v>
      </c>
      <c r="B20" s="973" t="s">
        <v>197</v>
      </c>
      <c r="C20" s="974">
        <v>150</v>
      </c>
      <c r="D20" s="974" t="s">
        <v>890</v>
      </c>
      <c r="E20" s="974" t="s">
        <v>395</v>
      </c>
      <c r="F20" s="974">
        <v>150</v>
      </c>
      <c r="G20" s="976">
        <v>1</v>
      </c>
      <c r="H20" s="974">
        <v>0</v>
      </c>
      <c r="I20" s="976">
        <v>0</v>
      </c>
      <c r="J20" s="980">
        <v>92.2</v>
      </c>
      <c r="K20" s="980">
        <v>30.1</v>
      </c>
      <c r="L20" s="980">
        <v>27.7</v>
      </c>
      <c r="M20" s="976">
        <v>0.61</v>
      </c>
      <c r="N20" s="976">
        <v>0.2</v>
      </c>
      <c r="O20" s="977" t="s">
        <v>541</v>
      </c>
      <c r="P20" s="978" t="s">
        <v>1282</v>
      </c>
    </row>
    <row r="21" spans="1:16" customFormat="1">
      <c r="A21" t="str">
        <f>INDEX([5]Country_name_ref!$A$4:$A$227,MATCH('[5]Financing (cleaned)'!C21,[5]Country_name_ref!$B$4:$B$227,0))</f>
        <v>SLV</v>
      </c>
      <c r="B21" s="973" t="s">
        <v>199</v>
      </c>
      <c r="C21" s="974">
        <v>50</v>
      </c>
      <c r="D21" s="974" t="s">
        <v>890</v>
      </c>
      <c r="E21" s="974" t="s">
        <v>395</v>
      </c>
      <c r="F21" s="974">
        <v>50</v>
      </c>
      <c r="G21" s="976">
        <v>1</v>
      </c>
      <c r="H21" s="974">
        <v>0</v>
      </c>
      <c r="I21" s="976">
        <v>0</v>
      </c>
      <c r="J21" s="974">
        <v>10</v>
      </c>
      <c r="K21" s="974">
        <v>26</v>
      </c>
      <c r="L21" s="974">
        <v>14</v>
      </c>
      <c r="M21" s="976">
        <v>0.2</v>
      </c>
      <c r="N21" s="976">
        <v>0.52</v>
      </c>
      <c r="O21" s="977" t="s">
        <v>541</v>
      </c>
      <c r="P21" s="978" t="s">
        <v>1283</v>
      </c>
    </row>
    <row r="22" spans="1:16" customFormat="1">
      <c r="A22" t="str">
        <f>INDEX([5]Country_name_ref!$A$4:$A$227,MATCH('[5]Financing (cleaned)'!C22,[5]Country_name_ref!$B$4:$B$227,0))</f>
        <v>SWZ</v>
      </c>
      <c r="B22" s="973" t="s">
        <v>202</v>
      </c>
      <c r="C22" s="974">
        <v>8</v>
      </c>
      <c r="D22" s="974" t="s">
        <v>890</v>
      </c>
      <c r="E22" s="974" t="s">
        <v>395</v>
      </c>
      <c r="F22" s="974">
        <v>5</v>
      </c>
      <c r="G22" s="976">
        <v>0.63</v>
      </c>
      <c r="H22" s="974">
        <v>3</v>
      </c>
      <c r="I22" s="976">
        <v>0.38</v>
      </c>
      <c r="J22" s="980">
        <v>0.8</v>
      </c>
      <c r="K22" s="980">
        <v>3.7</v>
      </c>
      <c r="L22" s="980">
        <v>3.5</v>
      </c>
      <c r="M22" s="976">
        <v>0.1</v>
      </c>
      <c r="N22" s="976">
        <v>0.46</v>
      </c>
      <c r="O22" s="977" t="s">
        <v>541</v>
      </c>
      <c r="P22" s="978" t="s">
        <v>1284</v>
      </c>
    </row>
    <row r="23" spans="1:16" customFormat="1">
      <c r="A23" t="str">
        <f>INDEX([5]Country_name_ref!$A$4:$A$227,MATCH('[5]Financing (cleaned)'!C23,[5]Country_name_ref!$B$4:$B$227,0))</f>
        <v>ETH</v>
      </c>
      <c r="B23" s="973" t="s">
        <v>203</v>
      </c>
      <c r="C23" s="974">
        <v>207</v>
      </c>
      <c r="D23" s="974" t="s">
        <v>890</v>
      </c>
      <c r="E23" s="974" t="s">
        <v>394</v>
      </c>
      <c r="F23" s="974">
        <v>0</v>
      </c>
      <c r="G23" s="976">
        <v>0</v>
      </c>
      <c r="H23" s="974">
        <v>207</v>
      </c>
      <c r="I23" s="976">
        <v>1</v>
      </c>
      <c r="J23" s="981">
        <v>71.7</v>
      </c>
      <c r="K23" s="981">
        <v>91.7</v>
      </c>
      <c r="L23" s="981">
        <v>43.6</v>
      </c>
      <c r="M23" s="976">
        <v>0.35</v>
      </c>
      <c r="N23" s="976">
        <v>0.44</v>
      </c>
      <c r="O23" s="977" t="s">
        <v>541</v>
      </c>
      <c r="P23" s="978" t="s">
        <v>1285</v>
      </c>
    </row>
    <row r="24" spans="1:16" customFormat="1">
      <c r="A24" t="s">
        <v>598</v>
      </c>
      <c r="B24" s="979" t="s">
        <v>1286</v>
      </c>
      <c r="C24" s="974">
        <v>206</v>
      </c>
      <c r="D24" s="974" t="s">
        <v>890</v>
      </c>
      <c r="E24" s="974" t="s">
        <v>394</v>
      </c>
      <c r="F24" s="974">
        <v>0</v>
      </c>
      <c r="G24" s="976">
        <v>0</v>
      </c>
      <c r="H24" s="974">
        <v>206</v>
      </c>
      <c r="I24" s="976">
        <v>1</v>
      </c>
      <c r="J24" s="981">
        <v>125.5</v>
      </c>
      <c r="K24" s="981">
        <v>75.5</v>
      </c>
      <c r="L24" s="981">
        <v>5</v>
      </c>
      <c r="M24" s="976">
        <v>0.61</v>
      </c>
      <c r="N24" s="976">
        <v>0.37</v>
      </c>
      <c r="O24" s="977" t="s">
        <v>544</v>
      </c>
      <c r="P24" s="978" t="s">
        <v>1287</v>
      </c>
    </row>
    <row r="25" spans="1:16" customFormat="1">
      <c r="A25" t="str">
        <f>INDEX([5]Country_name_ref!$A$4:$A$227,MATCH('[5]Financing (cleaned)'!C25,[5]Country_name_ref!$B$4:$B$227,0))</f>
        <v>GAB</v>
      </c>
      <c r="B25" s="973" t="s">
        <v>205</v>
      </c>
      <c r="C25" s="974">
        <v>12</v>
      </c>
      <c r="D25" s="974" t="s">
        <v>890</v>
      </c>
      <c r="E25" s="974" t="s">
        <v>395</v>
      </c>
      <c r="F25" s="974">
        <v>12</v>
      </c>
      <c r="G25" s="976">
        <v>1</v>
      </c>
      <c r="H25" s="974">
        <v>0</v>
      </c>
      <c r="I25" s="976">
        <v>0</v>
      </c>
      <c r="J25" s="981">
        <v>8.1</v>
      </c>
      <c r="K25" s="981">
        <v>2.9</v>
      </c>
      <c r="L25" s="974">
        <v>1</v>
      </c>
      <c r="M25" s="976">
        <v>0.68</v>
      </c>
      <c r="N25" s="976">
        <v>0.24</v>
      </c>
      <c r="O25" s="977" t="s">
        <v>544</v>
      </c>
      <c r="P25" s="978" t="s">
        <v>1288</v>
      </c>
    </row>
    <row r="26" spans="1:16" customFormat="1">
      <c r="A26" t="s">
        <v>601</v>
      </c>
      <c r="B26" s="973" t="s">
        <v>990</v>
      </c>
      <c r="C26" s="974">
        <v>8</v>
      </c>
      <c r="D26" s="974" t="s">
        <v>890</v>
      </c>
      <c r="E26" s="974" t="s">
        <v>394</v>
      </c>
      <c r="F26" s="974">
        <v>0</v>
      </c>
      <c r="G26" s="976">
        <v>0</v>
      </c>
      <c r="H26" s="974">
        <v>8</v>
      </c>
      <c r="I26" s="976">
        <v>1</v>
      </c>
      <c r="J26" s="980">
        <v>6.4</v>
      </c>
      <c r="K26" s="980">
        <v>1.6</v>
      </c>
      <c r="L26" s="974">
        <v>0</v>
      </c>
      <c r="M26" s="976">
        <v>0.8</v>
      </c>
      <c r="N26" s="976">
        <v>0.2</v>
      </c>
      <c r="O26" s="977" t="s">
        <v>541</v>
      </c>
      <c r="P26" s="978" t="s">
        <v>1289</v>
      </c>
    </row>
    <row r="27" spans="1:16" customFormat="1">
      <c r="A27" t="str">
        <f>INDEX([5]Country_name_ref!$A$4:$A$227,MATCH('[5]Financing (cleaned)'!C27,[5]Country_name_ref!$B$4:$B$227,0))</f>
        <v>GEO</v>
      </c>
      <c r="B27" s="973" t="s">
        <v>207</v>
      </c>
      <c r="C27" s="974">
        <v>34.5</v>
      </c>
      <c r="D27" s="974" t="s">
        <v>890</v>
      </c>
      <c r="E27" s="974" t="s">
        <v>395</v>
      </c>
      <c r="F27" s="974">
        <v>34.5</v>
      </c>
      <c r="G27" s="976">
        <v>1</v>
      </c>
      <c r="H27" s="974">
        <v>0</v>
      </c>
      <c r="I27" s="976">
        <v>0</v>
      </c>
      <c r="J27" s="980">
        <v>32.9</v>
      </c>
      <c r="K27" s="980">
        <v>1.1000000000000001</v>
      </c>
      <c r="L27" s="974">
        <v>0.5</v>
      </c>
      <c r="M27" s="976">
        <v>0.95</v>
      </c>
      <c r="N27" s="976">
        <v>0.03</v>
      </c>
      <c r="O27" s="977" t="s">
        <v>541</v>
      </c>
      <c r="P27" s="978" t="s">
        <v>1290</v>
      </c>
    </row>
    <row r="28" spans="1:16" customFormat="1">
      <c r="A28" t="str">
        <f>INDEX([5]Country_name_ref!$A$4:$A$227,MATCH('[5]Financing (cleaned)'!C28,[5]Country_name_ref!$B$4:$B$227,0))</f>
        <v>GHA</v>
      </c>
      <c r="B28" s="973" t="s">
        <v>208</v>
      </c>
      <c r="C28" s="974">
        <v>200</v>
      </c>
      <c r="D28" s="974" t="s">
        <v>890</v>
      </c>
      <c r="E28" s="974" t="s">
        <v>394</v>
      </c>
      <c r="F28" s="974">
        <v>200</v>
      </c>
      <c r="G28" s="976">
        <v>1</v>
      </c>
      <c r="H28" s="974">
        <v>0</v>
      </c>
      <c r="I28" s="976">
        <v>0</v>
      </c>
      <c r="J28" s="974">
        <v>137.19999999999999</v>
      </c>
      <c r="K28" s="974">
        <v>7</v>
      </c>
      <c r="L28" s="974">
        <v>55.8</v>
      </c>
      <c r="M28" s="976">
        <v>0.69</v>
      </c>
      <c r="N28" s="976">
        <v>0.04</v>
      </c>
      <c r="O28" s="977" t="s">
        <v>541</v>
      </c>
      <c r="P28" s="978" t="s">
        <v>1291</v>
      </c>
    </row>
    <row r="29" spans="1:16" customFormat="1">
      <c r="A29" t="str">
        <f>INDEX([5]Country_name_ref!$A$4:$A$227,MATCH('[5]Financing (cleaned)'!C29,[5]Country_name_ref!$B$4:$B$227,0))</f>
        <v>GIN</v>
      </c>
      <c r="B29" s="973" t="s">
        <v>211</v>
      </c>
      <c r="C29" s="974">
        <v>28.2</v>
      </c>
      <c r="D29" s="974" t="s">
        <v>890</v>
      </c>
      <c r="E29" s="974" t="s">
        <v>394</v>
      </c>
      <c r="F29" s="974">
        <v>14.1</v>
      </c>
      <c r="G29" s="976">
        <v>0.5</v>
      </c>
      <c r="H29" s="974">
        <v>14.1</v>
      </c>
      <c r="I29" s="976">
        <v>0.5</v>
      </c>
      <c r="J29" s="974">
        <v>17.600000000000001</v>
      </c>
      <c r="K29" s="974">
        <v>10.6</v>
      </c>
      <c r="L29" s="974">
        <v>0</v>
      </c>
      <c r="M29" s="976">
        <v>0.62</v>
      </c>
      <c r="N29" s="976">
        <v>0.38</v>
      </c>
      <c r="O29" s="977" t="s">
        <v>541</v>
      </c>
      <c r="P29" s="978" t="s">
        <v>1292</v>
      </c>
    </row>
    <row r="30" spans="1:16" customFormat="1">
      <c r="A30" t="str">
        <f>INDEX([5]Country_name_ref!$A$4:$A$227,MATCH('[5]Financing (cleaned)'!C30,[5]Country_name_ref!$B$4:$B$227,0))</f>
        <v>GNB</v>
      </c>
      <c r="B30" s="973" t="s">
        <v>212</v>
      </c>
      <c r="C30" s="974">
        <v>5</v>
      </c>
      <c r="D30" s="974" t="s">
        <v>890</v>
      </c>
      <c r="E30" s="974" t="s">
        <v>394</v>
      </c>
      <c r="F30" s="974">
        <v>0</v>
      </c>
      <c r="G30" s="976">
        <v>0</v>
      </c>
      <c r="H30" s="974">
        <v>5</v>
      </c>
      <c r="I30" s="976">
        <v>1</v>
      </c>
      <c r="J30" s="974">
        <v>2.6</v>
      </c>
      <c r="K30" s="974">
        <v>2.1</v>
      </c>
      <c r="L30" s="974">
        <v>0.3</v>
      </c>
      <c r="M30" s="976">
        <v>0.52</v>
      </c>
      <c r="N30" s="976">
        <v>0.42</v>
      </c>
      <c r="O30" s="977" t="s">
        <v>541</v>
      </c>
      <c r="P30" s="978" t="s">
        <v>1293</v>
      </c>
    </row>
    <row r="31" spans="1:16" customFormat="1">
      <c r="A31" t="s">
        <v>607</v>
      </c>
      <c r="B31" s="979" t="s">
        <v>1294</v>
      </c>
      <c r="C31" s="974">
        <v>2.2000000000000002</v>
      </c>
      <c r="D31" s="974" t="s">
        <v>890</v>
      </c>
      <c r="E31" s="974" t="s">
        <v>394</v>
      </c>
      <c r="F31" s="974">
        <v>0</v>
      </c>
      <c r="G31" s="976">
        <v>0</v>
      </c>
      <c r="H31" s="974">
        <v>2.2000000000000002</v>
      </c>
      <c r="I31" s="976">
        <v>1</v>
      </c>
      <c r="J31" s="974">
        <v>2.2000000000000002</v>
      </c>
      <c r="K31" s="974">
        <v>0</v>
      </c>
      <c r="L31" s="974">
        <v>0</v>
      </c>
      <c r="M31" s="976">
        <v>1</v>
      </c>
      <c r="N31" s="976">
        <v>0</v>
      </c>
      <c r="O31" s="977" t="s">
        <v>544</v>
      </c>
      <c r="P31" s="978" t="s">
        <v>1295</v>
      </c>
    </row>
    <row r="32" spans="1:16" customFormat="1">
      <c r="A32" t="str">
        <f>INDEX([5]Country_name_ref!$A$4:$A$227,MATCH('[5]Financing (cleaned)'!C32,[5]Country_name_ref!$B$4:$B$227,0))</f>
        <v>GUY</v>
      </c>
      <c r="B32" s="973" t="s">
        <v>213</v>
      </c>
      <c r="C32" s="974">
        <v>5</v>
      </c>
      <c r="D32" s="974" t="s">
        <v>890</v>
      </c>
      <c r="E32" s="974" t="s">
        <v>394</v>
      </c>
      <c r="F32" s="974">
        <v>5</v>
      </c>
      <c r="G32" s="976">
        <v>1</v>
      </c>
      <c r="H32" s="974">
        <v>0</v>
      </c>
      <c r="I32" s="976">
        <v>0</v>
      </c>
      <c r="J32" s="974">
        <v>3.3</v>
      </c>
      <c r="K32" s="974">
        <v>0.2</v>
      </c>
      <c r="L32" s="974">
        <v>1.5</v>
      </c>
      <c r="M32" s="976">
        <v>0.66</v>
      </c>
      <c r="N32" s="976">
        <v>0.05</v>
      </c>
      <c r="O32" s="977" t="s">
        <v>541</v>
      </c>
      <c r="P32" s="978" t="s">
        <v>1296</v>
      </c>
    </row>
    <row r="33" spans="1:16" customFormat="1">
      <c r="A33" t="str">
        <f>INDEX([5]Country_name_ref!$A$4:$A$227,MATCH('[5]Financing (cleaned)'!C33,[5]Country_name_ref!$B$4:$B$227,0))</f>
        <v>HND</v>
      </c>
      <c r="B33" s="973" t="s">
        <v>215</v>
      </c>
      <c r="C33" s="974">
        <v>20</v>
      </c>
      <c r="D33" s="974" t="s">
        <v>890</v>
      </c>
      <c r="E33" s="974" t="s">
        <v>394</v>
      </c>
      <c r="F33" s="974">
        <v>20</v>
      </c>
      <c r="G33" s="976">
        <v>1</v>
      </c>
      <c r="H33" s="974">
        <v>0</v>
      </c>
      <c r="I33" s="976">
        <v>0</v>
      </c>
      <c r="J33" s="980">
        <v>5.75</v>
      </c>
      <c r="K33" s="974">
        <v>13.8</v>
      </c>
      <c r="L33" s="980">
        <v>0.5</v>
      </c>
      <c r="M33" s="976">
        <v>0.28999999999999998</v>
      </c>
      <c r="N33" s="976">
        <v>0.69</v>
      </c>
      <c r="O33" s="977" t="s">
        <v>541</v>
      </c>
      <c r="P33" s="978" t="s">
        <v>1297</v>
      </c>
    </row>
    <row r="34" spans="1:16" customFormat="1">
      <c r="A34" t="str">
        <f>INDEX([5]Country_name_ref!$A$4:$A$227,MATCH('[5]Financing (cleaned)'!C34,[5]Country_name_ref!$B$4:$B$227,0))</f>
        <v>IDN</v>
      </c>
      <c r="B34" s="973" t="s">
        <v>217</v>
      </c>
      <c r="C34" s="974">
        <v>509.9</v>
      </c>
      <c r="D34" s="974" t="s">
        <v>890</v>
      </c>
      <c r="E34" s="974" t="s">
        <v>395</v>
      </c>
      <c r="F34" s="974">
        <v>509.9</v>
      </c>
      <c r="G34" s="976">
        <v>1</v>
      </c>
      <c r="H34" s="974">
        <v>0</v>
      </c>
      <c r="I34" s="976">
        <v>0</v>
      </c>
      <c r="J34" s="974">
        <v>0</v>
      </c>
      <c r="K34" s="974">
        <v>258.3</v>
      </c>
      <c r="L34" s="974">
        <v>251.6</v>
      </c>
      <c r="M34" s="976">
        <v>0</v>
      </c>
      <c r="N34" s="976">
        <v>0.51</v>
      </c>
      <c r="O34" s="977" t="s">
        <v>541</v>
      </c>
      <c r="P34" s="978" t="s">
        <v>1298</v>
      </c>
    </row>
    <row r="35" spans="1:16" customFormat="1">
      <c r="A35" t="str">
        <f>INDEX([5]Country_name_ref!$A$4:$A$227,MATCH('[5]Financing (cleaned)'!C35,[5]Country_name_ref!$B$4:$B$227,0))</f>
        <v>IRQ</v>
      </c>
      <c r="B35" s="973" t="s">
        <v>218</v>
      </c>
      <c r="C35" s="974">
        <v>100</v>
      </c>
      <c r="D35" s="974" t="s">
        <v>890</v>
      </c>
      <c r="E35" s="974" t="s">
        <v>395</v>
      </c>
      <c r="F35" s="974">
        <v>98</v>
      </c>
      <c r="G35" s="976">
        <v>0.98</v>
      </c>
      <c r="H35" s="974">
        <v>2</v>
      </c>
      <c r="I35" s="976">
        <v>0.02</v>
      </c>
      <c r="J35" s="974">
        <v>72</v>
      </c>
      <c r="K35" s="974">
        <v>25</v>
      </c>
      <c r="L35" s="974">
        <v>3</v>
      </c>
      <c r="M35" s="976">
        <v>0.72</v>
      </c>
      <c r="N35" s="976">
        <v>0.25</v>
      </c>
      <c r="O35" s="977" t="s">
        <v>544</v>
      </c>
      <c r="P35" s="978" t="s">
        <v>1299</v>
      </c>
    </row>
    <row r="36" spans="1:16" customFormat="1">
      <c r="A36" t="str">
        <f>INDEX([5]Country_name_ref!$A$4:$A$227,MATCH('[5]Financing (cleaned)'!C36,[5]Country_name_ref!$B$4:$B$227,0))</f>
        <v>JOR</v>
      </c>
      <c r="B36" s="973" t="s">
        <v>220</v>
      </c>
      <c r="C36" s="974">
        <v>63.8</v>
      </c>
      <c r="D36" s="974" t="s">
        <v>890</v>
      </c>
      <c r="E36" s="974" t="s">
        <v>395</v>
      </c>
      <c r="F36" s="974">
        <v>50</v>
      </c>
      <c r="G36" s="976">
        <v>0.78</v>
      </c>
      <c r="H36" s="974">
        <v>13.8</v>
      </c>
      <c r="I36" s="976">
        <v>0.22</v>
      </c>
      <c r="J36" s="982">
        <v>60.3</v>
      </c>
      <c r="K36" s="982">
        <v>1.3</v>
      </c>
      <c r="L36" s="982">
        <v>2.2999999999999998</v>
      </c>
      <c r="M36" s="976">
        <v>0.95</v>
      </c>
      <c r="N36" s="976">
        <v>0.02</v>
      </c>
      <c r="O36" s="977" t="s">
        <v>541</v>
      </c>
      <c r="P36" s="978" t="s">
        <v>1300</v>
      </c>
    </row>
    <row r="37" spans="1:16" customFormat="1">
      <c r="A37" t="str">
        <f>INDEX([5]Country_name_ref!$A$4:$A$227,MATCH('[5]Financing (cleaned)'!C37,[5]Country_name_ref!$B$4:$B$227,0))</f>
        <v>KEN</v>
      </c>
      <c r="B37" s="973" t="s">
        <v>222</v>
      </c>
      <c r="C37" s="974">
        <v>130</v>
      </c>
      <c r="D37" s="974" t="s">
        <v>890</v>
      </c>
      <c r="E37" s="974" t="s">
        <v>394</v>
      </c>
      <c r="F37" s="974">
        <v>130</v>
      </c>
      <c r="G37" s="976">
        <v>1</v>
      </c>
      <c r="H37" s="974">
        <v>0</v>
      </c>
      <c r="I37" s="976">
        <v>0</v>
      </c>
      <c r="J37" s="982">
        <v>108.4</v>
      </c>
      <c r="K37" s="982">
        <v>18.7</v>
      </c>
      <c r="L37" s="982">
        <v>3</v>
      </c>
      <c r="M37" s="976">
        <v>0.83</v>
      </c>
      <c r="N37" s="976">
        <v>0.14000000000000001</v>
      </c>
      <c r="O37" s="977" t="s">
        <v>541</v>
      </c>
      <c r="P37" s="978" t="s">
        <v>1301</v>
      </c>
    </row>
    <row r="38" spans="1:16" customFormat="1">
      <c r="A38" t="str">
        <f>INDEX([5]Country_name_ref!$A$4:$A$227,MATCH('[5]Financing (cleaned)'!C38,[5]Country_name_ref!$B$4:$B$227,0))</f>
        <v>XKX</v>
      </c>
      <c r="B38" s="973" t="s">
        <v>225</v>
      </c>
      <c r="C38" s="974">
        <v>18.2</v>
      </c>
      <c r="D38" s="974" t="s">
        <v>890</v>
      </c>
      <c r="E38" s="974" t="s">
        <v>394</v>
      </c>
      <c r="F38" s="974">
        <v>18.2</v>
      </c>
      <c r="G38" s="976">
        <v>1</v>
      </c>
      <c r="H38" s="974">
        <v>0</v>
      </c>
      <c r="I38" s="976">
        <v>0</v>
      </c>
      <c r="J38" s="982">
        <v>2.5</v>
      </c>
      <c r="K38" s="982">
        <v>2</v>
      </c>
      <c r="L38" s="982">
        <v>13.7</v>
      </c>
      <c r="M38" s="976">
        <v>0.14000000000000001</v>
      </c>
      <c r="N38" s="976">
        <v>0.11</v>
      </c>
      <c r="O38" s="977" t="s">
        <v>541</v>
      </c>
      <c r="P38" s="978" t="s">
        <v>1302</v>
      </c>
    </row>
    <row r="39" spans="1:16" customFormat="1">
      <c r="A39" t="str">
        <f>INDEX([5]Country_name_ref!$A$4:$A$227,MATCH('[5]Financing (cleaned)'!C39,[5]Country_name_ref!$B$4:$B$227,0))</f>
        <v>KGZ</v>
      </c>
      <c r="B39" s="973" t="s">
        <v>722</v>
      </c>
      <c r="C39" s="974">
        <v>20</v>
      </c>
      <c r="D39" s="974" t="s">
        <v>890</v>
      </c>
      <c r="E39" s="974" t="s">
        <v>394</v>
      </c>
      <c r="F39" s="974">
        <v>10</v>
      </c>
      <c r="G39" s="976">
        <v>0.5</v>
      </c>
      <c r="H39" s="974">
        <v>10</v>
      </c>
      <c r="I39" s="976">
        <v>0.5</v>
      </c>
      <c r="J39" s="980">
        <v>16.5</v>
      </c>
      <c r="K39" s="974">
        <v>3</v>
      </c>
      <c r="L39" s="981">
        <v>0.5</v>
      </c>
      <c r="M39" s="976">
        <v>0.83</v>
      </c>
      <c r="N39" s="976">
        <v>0.15</v>
      </c>
      <c r="O39" s="977" t="s">
        <v>541</v>
      </c>
      <c r="P39" s="978" t="s">
        <v>1303</v>
      </c>
    </row>
    <row r="40" spans="1:16" customFormat="1">
      <c r="A40" t="str">
        <f>INDEX([5]Country_name_ref!$A$4:$A$227,MATCH('[5]Financing (cleaned)'!C40,[5]Country_name_ref!$B$4:$B$227,0))</f>
        <v>LAO</v>
      </c>
      <c r="B40" s="973" t="s">
        <v>227</v>
      </c>
      <c r="C40" s="974">
        <v>15</v>
      </c>
      <c r="D40" s="974" t="s">
        <v>890</v>
      </c>
      <c r="E40" s="974" t="s">
        <v>394</v>
      </c>
      <c r="F40" s="974">
        <v>10</v>
      </c>
      <c r="G40" s="976">
        <v>0.67</v>
      </c>
      <c r="H40" s="974">
        <v>5</v>
      </c>
      <c r="I40" s="976">
        <v>0.33</v>
      </c>
      <c r="J40" s="974">
        <v>9</v>
      </c>
      <c r="K40" s="974">
        <v>5.6</v>
      </c>
      <c r="L40" s="974">
        <v>0.4</v>
      </c>
      <c r="M40" s="976">
        <v>0.6</v>
      </c>
      <c r="N40" s="976">
        <v>0.37</v>
      </c>
      <c r="O40" s="977" t="s">
        <v>541</v>
      </c>
      <c r="P40" s="978" t="s">
        <v>1304</v>
      </c>
    </row>
    <row r="41" spans="1:16" customFormat="1" ht="28">
      <c r="A41" t="str">
        <f>INDEX([5]Country_name_ref!$A$4:$A$227,MATCH('[5]Financing (cleaned)'!C41,[5]Country_name_ref!$B$4:$B$227,0))</f>
        <v>LBN</v>
      </c>
      <c r="B41" s="973" t="s">
        <v>228</v>
      </c>
      <c r="C41" s="974">
        <v>3</v>
      </c>
      <c r="D41" s="974" t="s">
        <v>883</v>
      </c>
      <c r="E41" s="974" t="s">
        <v>1274</v>
      </c>
      <c r="F41" s="974">
        <v>0</v>
      </c>
      <c r="G41" s="976">
        <v>0</v>
      </c>
      <c r="H41" s="974">
        <v>3</v>
      </c>
      <c r="I41" s="976">
        <v>1</v>
      </c>
      <c r="J41" s="974" t="s">
        <v>1267</v>
      </c>
      <c r="K41" s="974" t="s">
        <v>1267</v>
      </c>
      <c r="L41" s="974" t="s">
        <v>1267</v>
      </c>
      <c r="M41" s="976" t="s">
        <v>1268</v>
      </c>
      <c r="N41" s="976" t="s">
        <v>1268</v>
      </c>
      <c r="O41" s="977" t="s">
        <v>544</v>
      </c>
      <c r="P41" s="978" t="s">
        <v>1305</v>
      </c>
    </row>
    <row r="42" spans="1:16" customFormat="1">
      <c r="A42" t="s">
        <v>624</v>
      </c>
      <c r="B42" s="973" t="s">
        <v>999</v>
      </c>
      <c r="C42" s="974">
        <v>34</v>
      </c>
      <c r="D42" s="974" t="s">
        <v>890</v>
      </c>
      <c r="E42" s="974" t="s">
        <v>395</v>
      </c>
      <c r="F42" s="974">
        <v>34</v>
      </c>
      <c r="G42" s="976">
        <v>1</v>
      </c>
      <c r="H42" s="974">
        <v>0</v>
      </c>
      <c r="I42" s="976">
        <v>0</v>
      </c>
      <c r="J42" s="974">
        <v>25</v>
      </c>
      <c r="K42" s="974">
        <v>9</v>
      </c>
      <c r="L42" s="974">
        <v>0</v>
      </c>
      <c r="M42" s="976">
        <v>0.74</v>
      </c>
      <c r="N42" s="976">
        <v>0.26</v>
      </c>
      <c r="O42" s="977" t="s">
        <v>541</v>
      </c>
      <c r="P42" s="978" t="s">
        <v>1306</v>
      </c>
    </row>
    <row r="43" spans="1:16" customFormat="1">
      <c r="A43" t="str">
        <f>INDEX([5]Country_name_ref!$A$4:$A$227,MATCH('[5]Financing (cleaned)'!C43,[5]Country_name_ref!$B$4:$B$227,0))</f>
        <v>LSO</v>
      </c>
      <c r="B43" s="973" t="s">
        <v>723</v>
      </c>
      <c r="C43" s="974">
        <v>25.5</v>
      </c>
      <c r="D43" s="974" t="s">
        <v>890</v>
      </c>
      <c r="E43" s="974" t="s">
        <v>394</v>
      </c>
      <c r="F43" s="974">
        <v>25.5</v>
      </c>
      <c r="G43" s="976">
        <v>1</v>
      </c>
      <c r="H43" s="974">
        <v>0</v>
      </c>
      <c r="I43" s="976">
        <v>0</v>
      </c>
      <c r="J43" s="974">
        <v>14</v>
      </c>
      <c r="K43" s="974">
        <v>5.5</v>
      </c>
      <c r="L43" s="974">
        <v>6</v>
      </c>
      <c r="M43" s="976">
        <v>0.55000000000000004</v>
      </c>
      <c r="N43" s="976">
        <v>0.22</v>
      </c>
      <c r="O43" s="977" t="s">
        <v>541</v>
      </c>
      <c r="P43" s="978" t="s">
        <v>1307</v>
      </c>
    </row>
    <row r="44" spans="1:16" customFormat="1">
      <c r="A44" t="str">
        <f>INDEX([5]Country_name_ref!$A$4:$A$227,MATCH('[5]Financing (cleaned)'!C44,[5]Country_name_ref!$B$4:$B$227,0))</f>
        <v>LBR</v>
      </c>
      <c r="B44" s="973" t="s">
        <v>230</v>
      </c>
      <c r="C44" s="974">
        <v>8</v>
      </c>
      <c r="D44" s="974" t="s">
        <v>890</v>
      </c>
      <c r="E44" s="974" t="s">
        <v>394</v>
      </c>
      <c r="F44" s="974">
        <v>0</v>
      </c>
      <c r="G44" s="976">
        <v>0</v>
      </c>
      <c r="H44" s="974">
        <v>8</v>
      </c>
      <c r="I44" s="976">
        <v>1</v>
      </c>
      <c r="J44" s="974">
        <v>4.5</v>
      </c>
      <c r="K44" s="974">
        <v>1.7</v>
      </c>
      <c r="L44" s="974">
        <v>1.8</v>
      </c>
      <c r="M44" s="976">
        <v>0.56999999999999995</v>
      </c>
      <c r="N44" s="976">
        <v>0.21</v>
      </c>
      <c r="O44" s="977" t="s">
        <v>541</v>
      </c>
      <c r="P44" s="978" t="s">
        <v>1308</v>
      </c>
    </row>
    <row r="45" spans="1:16" customFormat="1">
      <c r="A45" t="str">
        <f>INDEX([5]Country_name_ref!$A$4:$A$227,MATCH('[5]Financing (cleaned)'!C45,[5]Country_name_ref!$B$4:$B$227,0))</f>
        <v>MDG</v>
      </c>
      <c r="B45" s="973" t="s">
        <v>232</v>
      </c>
      <c r="C45" s="974">
        <v>100</v>
      </c>
      <c r="D45" s="974" t="s">
        <v>890</v>
      </c>
      <c r="E45" s="974" t="s">
        <v>394</v>
      </c>
      <c r="F45" s="974">
        <v>0</v>
      </c>
      <c r="G45" s="976">
        <v>0</v>
      </c>
      <c r="H45" s="974">
        <v>100</v>
      </c>
      <c r="I45" s="976">
        <v>1</v>
      </c>
      <c r="J45" s="974">
        <v>71</v>
      </c>
      <c r="K45" s="974">
        <v>26.5</v>
      </c>
      <c r="L45" s="974">
        <v>2.5</v>
      </c>
      <c r="M45" s="976">
        <v>0.71</v>
      </c>
      <c r="N45" s="976">
        <v>0.27</v>
      </c>
      <c r="O45" s="977" t="s">
        <v>541</v>
      </c>
      <c r="P45" s="978" t="s">
        <v>1309</v>
      </c>
    </row>
    <row r="46" spans="1:16" customFormat="1">
      <c r="A46" t="s">
        <v>628</v>
      </c>
      <c r="B46" s="979" t="s">
        <v>1310</v>
      </c>
      <c r="C46" s="974">
        <v>41</v>
      </c>
      <c r="D46" s="974" t="s">
        <v>890</v>
      </c>
      <c r="E46" s="974" t="s">
        <v>394</v>
      </c>
      <c r="F46" s="974">
        <v>0</v>
      </c>
      <c r="G46" s="976">
        <v>0</v>
      </c>
      <c r="H46" s="974">
        <v>41</v>
      </c>
      <c r="I46" s="976">
        <v>1</v>
      </c>
      <c r="J46" s="974">
        <v>9</v>
      </c>
      <c r="K46" s="974">
        <v>32</v>
      </c>
      <c r="L46" s="974">
        <v>0</v>
      </c>
      <c r="M46" s="976">
        <v>0.22</v>
      </c>
      <c r="N46" s="976">
        <v>0.78</v>
      </c>
      <c r="O46" s="977" t="s">
        <v>544</v>
      </c>
      <c r="P46" s="978" t="s">
        <v>1311</v>
      </c>
    </row>
    <row r="47" spans="1:16" customFormat="1">
      <c r="A47" t="str">
        <f>INDEX([5]Country_name_ref!$A$4:$A$227,MATCH('[5]Financing (cleaned)'!C47,[5]Country_name_ref!$B$4:$B$227,0))</f>
        <v>MWI</v>
      </c>
      <c r="B47" s="973" t="s">
        <v>233</v>
      </c>
      <c r="C47" s="974">
        <v>30</v>
      </c>
      <c r="D47" s="974" t="s">
        <v>890</v>
      </c>
      <c r="E47" s="974" t="s">
        <v>394</v>
      </c>
      <c r="F47" s="974">
        <v>30</v>
      </c>
      <c r="G47" s="976">
        <v>1</v>
      </c>
      <c r="H47" s="974">
        <v>0</v>
      </c>
      <c r="I47" s="976">
        <v>0</v>
      </c>
      <c r="J47" s="980">
        <v>21.3</v>
      </c>
      <c r="K47" s="980">
        <v>4.7</v>
      </c>
      <c r="L47" s="974">
        <v>4</v>
      </c>
      <c r="M47" s="976">
        <v>0.71</v>
      </c>
      <c r="N47" s="976">
        <v>0.16</v>
      </c>
      <c r="O47" s="977" t="s">
        <v>541</v>
      </c>
      <c r="P47" s="978" t="s">
        <v>1312</v>
      </c>
    </row>
    <row r="48" spans="1:16" customFormat="1">
      <c r="A48" t="str">
        <f>INDEX([5]Country_name_ref!$A$4:$A$227,MATCH('[5]Financing (cleaned)'!C48,[5]Country_name_ref!$B$4:$B$227,0))</f>
        <v>MLI</v>
      </c>
      <c r="B48" s="973" t="s">
        <v>236</v>
      </c>
      <c r="C48" s="974">
        <v>52.5</v>
      </c>
      <c r="D48" s="974" t="s">
        <v>890</v>
      </c>
      <c r="E48" s="974" t="s">
        <v>394</v>
      </c>
      <c r="F48" s="974">
        <v>26.3</v>
      </c>
      <c r="G48" s="976">
        <v>0.5</v>
      </c>
      <c r="H48" s="974">
        <v>26.3</v>
      </c>
      <c r="I48" s="976">
        <v>0.5</v>
      </c>
      <c r="J48" s="980">
        <v>44.5</v>
      </c>
      <c r="K48" s="974">
        <v>8</v>
      </c>
      <c r="L48" s="974">
        <v>0</v>
      </c>
      <c r="M48" s="976">
        <v>0.85</v>
      </c>
      <c r="N48" s="976">
        <v>0.15</v>
      </c>
      <c r="O48" s="977" t="s">
        <v>544</v>
      </c>
      <c r="P48" s="978" t="s">
        <v>1313</v>
      </c>
    </row>
    <row r="49" spans="1:16" customFormat="1" ht="42.65" customHeight="1">
      <c r="A49" t="str">
        <f>INDEX([5]Country_name_ref!$A$4:$A$227,MATCH('[5]Financing (cleaned)'!C49,[5]Country_name_ref!$B$4:$B$227,0))</f>
        <v>MRT</v>
      </c>
      <c r="B49" s="973" t="s">
        <v>238</v>
      </c>
      <c r="C49" s="974">
        <v>15</v>
      </c>
      <c r="D49" s="974" t="s">
        <v>890</v>
      </c>
      <c r="E49" s="974" t="s">
        <v>394</v>
      </c>
      <c r="F49" s="974">
        <v>0</v>
      </c>
      <c r="G49" s="976">
        <v>0</v>
      </c>
      <c r="H49" s="974">
        <v>15</v>
      </c>
      <c r="I49" s="976">
        <v>1</v>
      </c>
      <c r="J49" s="974">
        <v>6</v>
      </c>
      <c r="K49" s="980">
        <v>4.3</v>
      </c>
      <c r="L49" s="980">
        <v>4.7</v>
      </c>
      <c r="M49" s="976">
        <v>0.4</v>
      </c>
      <c r="N49" s="976">
        <v>0.28999999999999998</v>
      </c>
      <c r="O49" s="977" t="s">
        <v>541</v>
      </c>
      <c r="P49" s="978" t="s">
        <v>1314</v>
      </c>
    </row>
    <row r="50" spans="1:16" customFormat="1">
      <c r="A50" t="s">
        <v>634</v>
      </c>
      <c r="B50" s="979" t="s">
        <v>1315</v>
      </c>
      <c r="C50" s="974">
        <v>20</v>
      </c>
      <c r="D50" s="974" t="s">
        <v>890</v>
      </c>
      <c r="E50" s="974" t="s">
        <v>394</v>
      </c>
      <c r="F50" s="974">
        <v>0</v>
      </c>
      <c r="G50" s="976">
        <v>0</v>
      </c>
      <c r="H50" s="974">
        <v>20</v>
      </c>
      <c r="I50" s="976">
        <v>1</v>
      </c>
      <c r="J50" s="974">
        <v>5.2</v>
      </c>
      <c r="K50" s="980">
        <v>12.1</v>
      </c>
      <c r="L50" s="980">
        <v>2.2000000000000002</v>
      </c>
      <c r="M50" s="976">
        <f>J50/C50</f>
        <v>0.26</v>
      </c>
      <c r="N50" s="976">
        <f>K50/C50</f>
        <v>0.60499999999999998</v>
      </c>
      <c r="O50" s="977" t="s">
        <v>544</v>
      </c>
      <c r="P50" s="978" t="s">
        <v>1316</v>
      </c>
    </row>
    <row r="51" spans="1:16" customFormat="1">
      <c r="A51" t="str">
        <f>INDEX([5]Country_name_ref!$A$4:$A$227,MATCH('[5]Financing (cleaned)'!C51,[5]Country_name_ref!$B$4:$B$227,0))</f>
        <v>MDA</v>
      </c>
      <c r="B51" s="973" t="s">
        <v>242</v>
      </c>
      <c r="C51" s="974">
        <v>30</v>
      </c>
      <c r="D51" s="974" t="s">
        <v>890</v>
      </c>
      <c r="E51" s="974" t="s">
        <v>394</v>
      </c>
      <c r="F51" s="974">
        <v>30</v>
      </c>
      <c r="G51" s="976">
        <v>1</v>
      </c>
      <c r="H51" s="974">
        <v>0</v>
      </c>
      <c r="I51" s="976">
        <v>0</v>
      </c>
      <c r="J51" s="980">
        <v>20.100000000000001</v>
      </c>
      <c r="K51" s="980">
        <v>9.8000000000000007</v>
      </c>
      <c r="L51" s="974">
        <v>0</v>
      </c>
      <c r="M51" s="976">
        <v>0.67</v>
      </c>
      <c r="N51" s="976">
        <v>0.33</v>
      </c>
      <c r="O51" s="977" t="s">
        <v>544</v>
      </c>
      <c r="P51" s="978" t="s">
        <v>1317</v>
      </c>
    </row>
    <row r="52" spans="1:16" customFormat="1">
      <c r="A52" t="str">
        <f>INDEX([5]Country_name_ref!$A$4:$A$227,MATCH('[5]Financing (cleaned)'!C52,[5]Country_name_ref!$B$4:$B$227,0))</f>
        <v>MNG</v>
      </c>
      <c r="B52" s="973" t="s">
        <v>243</v>
      </c>
      <c r="C52" s="974">
        <v>50.7</v>
      </c>
      <c r="D52" s="974" t="s">
        <v>890</v>
      </c>
      <c r="E52" s="974" t="s">
        <v>394</v>
      </c>
      <c r="F52" s="974">
        <v>50.7</v>
      </c>
      <c r="G52" s="976">
        <v>1</v>
      </c>
      <c r="H52" s="974">
        <v>0</v>
      </c>
      <c r="I52" s="976">
        <v>0</v>
      </c>
      <c r="J52" s="980">
        <v>18.7</v>
      </c>
      <c r="K52" s="980">
        <v>25.5</v>
      </c>
      <c r="L52" s="981">
        <v>6.5</v>
      </c>
      <c r="M52" s="976">
        <v>0.37</v>
      </c>
      <c r="N52" s="976">
        <v>0.5</v>
      </c>
      <c r="O52" s="977" t="s">
        <v>541</v>
      </c>
      <c r="P52" s="978" t="s">
        <v>1318</v>
      </c>
    </row>
    <row r="53" spans="1:16" customFormat="1">
      <c r="A53" t="str">
        <f>INDEX([5]Country_name_ref!$A$4:$A$227,MATCH('[5]Financing (cleaned)'!C53,[5]Country_name_ref!$B$4:$B$227,0))</f>
        <v>MOZ</v>
      </c>
      <c r="B53" s="973" t="s">
        <v>246</v>
      </c>
      <c r="C53" s="974">
        <v>115</v>
      </c>
      <c r="D53" s="974" t="s">
        <v>890</v>
      </c>
      <c r="E53" s="974" t="s">
        <v>394</v>
      </c>
      <c r="F53" s="974">
        <v>0</v>
      </c>
      <c r="G53" s="976">
        <v>0</v>
      </c>
      <c r="H53" s="974">
        <v>115</v>
      </c>
      <c r="I53" s="976">
        <v>1</v>
      </c>
      <c r="J53" s="974">
        <v>70</v>
      </c>
      <c r="K53" s="982">
        <v>25</v>
      </c>
      <c r="L53" s="974">
        <v>20</v>
      </c>
      <c r="M53" s="976">
        <v>0.61</v>
      </c>
      <c r="N53" s="976">
        <v>0.22</v>
      </c>
      <c r="O53" s="977" t="s">
        <v>541</v>
      </c>
      <c r="P53" s="978" t="s">
        <v>1319</v>
      </c>
    </row>
    <row r="54" spans="1:16" customFormat="1">
      <c r="A54" t="s">
        <v>642</v>
      </c>
      <c r="B54" s="973" t="s">
        <v>1320</v>
      </c>
      <c r="C54" s="974">
        <v>100</v>
      </c>
      <c r="D54" s="974" t="s">
        <v>883</v>
      </c>
      <c r="E54" s="974" t="s">
        <v>394</v>
      </c>
      <c r="F54" s="974">
        <v>0</v>
      </c>
      <c r="G54" s="976">
        <v>0</v>
      </c>
      <c r="H54" s="974">
        <v>100</v>
      </c>
      <c r="I54" s="976">
        <v>1</v>
      </c>
      <c r="J54" s="980" t="s">
        <v>1267</v>
      </c>
      <c r="K54" s="980" t="s">
        <v>1267</v>
      </c>
      <c r="L54" s="974" t="s">
        <v>1267</v>
      </c>
      <c r="M54" s="976" t="s">
        <v>1268</v>
      </c>
      <c r="N54" s="976" t="s">
        <v>1268</v>
      </c>
      <c r="O54" s="977" t="s">
        <v>544</v>
      </c>
      <c r="P54" s="978" t="s">
        <v>1321</v>
      </c>
    </row>
    <row r="55" spans="1:16" customFormat="1">
      <c r="A55" t="str">
        <f>INDEX([5]Country_name_ref!$A$4:$A$227,MATCH('[5]Financing (cleaned)'!C55,[5]Country_name_ref!$B$4:$B$227,0))</f>
        <v>NPL</v>
      </c>
      <c r="B55" s="973" t="s">
        <v>250</v>
      </c>
      <c r="C55" s="974">
        <v>75</v>
      </c>
      <c r="D55" s="974" t="s">
        <v>890</v>
      </c>
      <c r="E55" s="974" t="s">
        <v>394</v>
      </c>
      <c r="F55" s="974">
        <v>75</v>
      </c>
      <c r="G55" s="976">
        <v>1</v>
      </c>
      <c r="H55" s="974">
        <v>0</v>
      </c>
      <c r="I55" s="976">
        <v>0</v>
      </c>
      <c r="J55" s="980">
        <v>62.6</v>
      </c>
      <c r="K55" s="980">
        <v>10.9</v>
      </c>
      <c r="L55" s="980">
        <v>1.5</v>
      </c>
      <c r="M55" s="976">
        <v>0.83</v>
      </c>
      <c r="N55" s="976">
        <v>0.15</v>
      </c>
      <c r="O55" s="977" t="s">
        <v>541</v>
      </c>
      <c r="P55" s="978" t="s">
        <v>1322</v>
      </c>
    </row>
    <row r="56" spans="1:16" customFormat="1">
      <c r="A56" t="str">
        <f>INDEX([5]Country_name_ref!$A$4:$A$227,MATCH('[5]Financing (cleaned)'!C56,[5]Country_name_ref!$B$4:$B$227,0))</f>
        <v>NER</v>
      </c>
      <c r="B56" s="973" t="s">
        <v>252</v>
      </c>
      <c r="C56" s="974">
        <v>29.2</v>
      </c>
      <c r="D56" s="974" t="s">
        <v>890</v>
      </c>
      <c r="E56" s="974" t="s">
        <v>394</v>
      </c>
      <c r="F56" s="974">
        <v>14</v>
      </c>
      <c r="G56" s="976">
        <v>0.48</v>
      </c>
      <c r="H56" s="974">
        <v>15.2</v>
      </c>
      <c r="I56" s="976">
        <v>0.52</v>
      </c>
      <c r="J56" s="980">
        <v>19.8</v>
      </c>
      <c r="K56" s="980">
        <v>9.4</v>
      </c>
      <c r="L56" s="974">
        <v>0</v>
      </c>
      <c r="M56" s="976">
        <v>0.68</v>
      </c>
      <c r="N56" s="976">
        <v>0.32</v>
      </c>
      <c r="O56" s="977" t="s">
        <v>544</v>
      </c>
      <c r="P56" s="978" t="s">
        <v>1323</v>
      </c>
    </row>
    <row r="57" spans="1:16" customFormat="1">
      <c r="A57" t="str">
        <f>INDEX([5]Country_name_ref!$A$4:$A$227,MATCH('[5]Financing (cleaned)'!C57,[5]Country_name_ref!$B$4:$B$227,0))</f>
        <v>NGA</v>
      </c>
      <c r="B57" s="973" t="s">
        <v>253</v>
      </c>
      <c r="C57" s="974">
        <v>400</v>
      </c>
      <c r="D57" s="974" t="s">
        <v>890</v>
      </c>
      <c r="E57" s="974" t="s">
        <v>394</v>
      </c>
      <c r="F57" s="974">
        <v>400</v>
      </c>
      <c r="G57" s="976">
        <v>1</v>
      </c>
      <c r="H57" s="974">
        <v>0</v>
      </c>
      <c r="I57" s="976">
        <v>0</v>
      </c>
      <c r="J57" s="980">
        <v>357.5</v>
      </c>
      <c r="K57" s="974">
        <v>76</v>
      </c>
      <c r="L57" s="974">
        <v>80.8</v>
      </c>
      <c r="M57" s="976">
        <v>0.89</v>
      </c>
      <c r="N57" s="976">
        <v>0.19</v>
      </c>
      <c r="O57" s="977" t="s">
        <v>544</v>
      </c>
      <c r="P57" s="978" t="s">
        <v>1324</v>
      </c>
    </row>
    <row r="58" spans="1:16" customFormat="1">
      <c r="A58" t="s">
        <v>650</v>
      </c>
      <c r="B58" s="973" t="s">
        <v>1007</v>
      </c>
      <c r="C58" s="974">
        <v>11</v>
      </c>
      <c r="D58" s="974" t="s">
        <v>890</v>
      </c>
      <c r="E58" s="974" t="s">
        <v>395</v>
      </c>
      <c r="F58" s="974">
        <v>11</v>
      </c>
      <c r="G58" s="976">
        <v>1</v>
      </c>
      <c r="H58" s="974">
        <v>0</v>
      </c>
      <c r="I58" s="976">
        <v>0</v>
      </c>
      <c r="J58" s="974">
        <v>9</v>
      </c>
      <c r="K58" s="980">
        <v>0.5</v>
      </c>
      <c r="L58" s="974">
        <v>1.5</v>
      </c>
      <c r="M58" s="976">
        <v>0.82</v>
      </c>
      <c r="N58" s="976">
        <v>0.05</v>
      </c>
      <c r="O58" s="977" t="s">
        <v>541</v>
      </c>
      <c r="P58" s="978" t="s">
        <v>1325</v>
      </c>
    </row>
    <row r="59" spans="1:16" customFormat="1">
      <c r="A59" t="s">
        <v>651</v>
      </c>
      <c r="B59" s="973" t="s">
        <v>1027</v>
      </c>
      <c r="C59" s="974">
        <v>153</v>
      </c>
      <c r="D59" s="974" t="s">
        <v>883</v>
      </c>
      <c r="E59" s="974" t="s">
        <v>394</v>
      </c>
      <c r="F59" s="974">
        <v>0</v>
      </c>
      <c r="G59" s="976">
        <v>0</v>
      </c>
      <c r="H59" s="974">
        <v>153</v>
      </c>
      <c r="I59" s="976">
        <v>1</v>
      </c>
      <c r="J59" s="980" t="s">
        <v>1267</v>
      </c>
      <c r="K59" s="980" t="s">
        <v>1267</v>
      </c>
      <c r="L59" s="974" t="s">
        <v>1267</v>
      </c>
      <c r="M59" s="976" t="s">
        <v>1268</v>
      </c>
      <c r="N59" s="976" t="s">
        <v>1268</v>
      </c>
      <c r="O59" s="977" t="s">
        <v>541</v>
      </c>
      <c r="P59" s="978" t="s">
        <v>1326</v>
      </c>
    </row>
    <row r="60" spans="1:16" customFormat="1">
      <c r="A60" t="str">
        <f>INDEX([5]Country_name_ref!$A$4:$A$227,MATCH('[5]Financing (cleaned)'!C60,[5]Country_name_ref!$B$4:$B$227,0))</f>
        <v>PNG</v>
      </c>
      <c r="B60" s="973" t="s">
        <v>258</v>
      </c>
      <c r="C60" s="974">
        <v>30</v>
      </c>
      <c r="D60" s="974" t="s">
        <v>890</v>
      </c>
      <c r="E60" s="974" t="s">
        <v>394</v>
      </c>
      <c r="F60" s="974">
        <v>30</v>
      </c>
      <c r="G60" s="976">
        <v>1</v>
      </c>
      <c r="H60" s="974">
        <v>0</v>
      </c>
      <c r="I60" s="976">
        <v>0</v>
      </c>
      <c r="J60" s="974">
        <v>0</v>
      </c>
      <c r="K60" s="974">
        <v>10</v>
      </c>
      <c r="L60" s="974">
        <v>20</v>
      </c>
      <c r="M60" s="976">
        <v>0</v>
      </c>
      <c r="N60" s="976">
        <v>0.33</v>
      </c>
      <c r="O60" s="977" t="s">
        <v>544</v>
      </c>
      <c r="P60" s="978" t="s">
        <v>1327</v>
      </c>
    </row>
    <row r="61" spans="1:16" customFormat="1">
      <c r="A61" t="str">
        <f>INDEX([5]Country_name_ref!$A$4:$A$227,MATCH('[5]Financing (cleaned)'!C61,[5]Country_name_ref!$B$4:$B$227,0))</f>
        <v>PER</v>
      </c>
      <c r="B61" s="979" t="s">
        <v>260</v>
      </c>
      <c r="C61" s="974">
        <v>500</v>
      </c>
      <c r="D61" s="974" t="s">
        <v>890</v>
      </c>
      <c r="E61" s="974" t="s">
        <v>395</v>
      </c>
      <c r="F61" s="974">
        <v>500</v>
      </c>
      <c r="G61" s="976">
        <v>1</v>
      </c>
      <c r="H61" s="974">
        <v>0</v>
      </c>
      <c r="I61" s="976">
        <v>0</v>
      </c>
      <c r="J61" s="983">
        <v>0</v>
      </c>
      <c r="K61" s="983">
        <v>500</v>
      </c>
      <c r="L61" s="974">
        <v>0</v>
      </c>
      <c r="M61" s="976">
        <v>0</v>
      </c>
      <c r="N61" s="976">
        <v>1</v>
      </c>
      <c r="O61" s="977" t="s">
        <v>544</v>
      </c>
      <c r="P61" s="978" t="s">
        <v>1328</v>
      </c>
    </row>
    <row r="62" spans="1:16" customFormat="1">
      <c r="A62" t="str">
        <f>INDEX([5]Country_name_ref!$A$4:$A$227,MATCH('[5]Financing (cleaned)'!C62,[5]Country_name_ref!$B$4:$B$227,0))</f>
        <v>PHL</v>
      </c>
      <c r="B62" s="973" t="s">
        <v>261</v>
      </c>
      <c r="C62" s="974">
        <v>500</v>
      </c>
      <c r="D62" s="974" t="s">
        <v>883</v>
      </c>
      <c r="E62" s="974" t="s">
        <v>395</v>
      </c>
      <c r="F62" s="974">
        <v>500</v>
      </c>
      <c r="G62" s="976">
        <v>1</v>
      </c>
      <c r="H62" s="974">
        <v>0</v>
      </c>
      <c r="I62" s="976">
        <v>0</v>
      </c>
      <c r="J62" s="1511">
        <v>475</v>
      </c>
      <c r="K62" s="1512"/>
      <c r="L62" s="974">
        <v>25</v>
      </c>
      <c r="M62" s="976" t="s">
        <v>1268</v>
      </c>
      <c r="N62" s="976" t="s">
        <v>1268</v>
      </c>
      <c r="O62" s="977" t="s">
        <v>541</v>
      </c>
      <c r="P62" s="978" t="s">
        <v>1329</v>
      </c>
    </row>
    <row r="63" spans="1:16" customFormat="1">
      <c r="A63" t="s">
        <v>657</v>
      </c>
      <c r="B63" s="979" t="s">
        <v>1330</v>
      </c>
      <c r="C63" s="974">
        <v>300</v>
      </c>
      <c r="D63" s="974" t="s">
        <v>890</v>
      </c>
      <c r="E63" s="974" t="s">
        <v>395</v>
      </c>
      <c r="F63" s="974">
        <v>300</v>
      </c>
      <c r="G63" s="976">
        <v>1</v>
      </c>
      <c r="H63" s="974">
        <v>0</v>
      </c>
      <c r="I63" s="976">
        <v>0</v>
      </c>
      <c r="J63" s="983">
        <v>273</v>
      </c>
      <c r="K63" s="983">
        <v>27</v>
      </c>
      <c r="L63" s="974">
        <v>0</v>
      </c>
      <c r="M63" s="976">
        <f>J63/C63</f>
        <v>0.91</v>
      </c>
      <c r="N63" s="976">
        <v>0.09</v>
      </c>
      <c r="O63" s="977" t="s">
        <v>544</v>
      </c>
      <c r="P63" s="978" t="s">
        <v>1331</v>
      </c>
    </row>
    <row r="64" spans="1:16" customFormat="1">
      <c r="A64" t="s">
        <v>657</v>
      </c>
      <c r="B64" s="973" t="s">
        <v>1332</v>
      </c>
      <c r="C64" s="974">
        <v>25</v>
      </c>
      <c r="D64" s="974" t="s">
        <v>883</v>
      </c>
      <c r="E64" s="974" t="s">
        <v>395</v>
      </c>
      <c r="F64" s="974">
        <v>25</v>
      </c>
      <c r="G64" s="976">
        <v>1</v>
      </c>
      <c r="H64" s="974">
        <v>0</v>
      </c>
      <c r="I64" s="976">
        <v>0</v>
      </c>
      <c r="J64" s="1511" t="s">
        <v>1267</v>
      </c>
      <c r="K64" s="1512"/>
      <c r="L64" s="974">
        <v>0</v>
      </c>
      <c r="M64" s="976" t="s">
        <v>1268</v>
      </c>
      <c r="N64" s="976" t="s">
        <v>1268</v>
      </c>
      <c r="O64" s="977" t="s">
        <v>541</v>
      </c>
      <c r="P64" s="978" t="s">
        <v>1333</v>
      </c>
    </row>
    <row r="65" spans="1:160" customFormat="1">
      <c r="A65" t="str">
        <f>INDEX([5]Country_name_ref!$A$4:$A$227,MATCH('[5]Financing (cleaned)'!C65,[5]Country_name_ref!$B$4:$B$227,0))</f>
        <v>RWA</v>
      </c>
      <c r="B65" s="973" t="s">
        <v>264</v>
      </c>
      <c r="C65" s="974">
        <v>45</v>
      </c>
      <c r="D65" s="974" t="s">
        <v>890</v>
      </c>
      <c r="E65" s="974" t="s">
        <v>394</v>
      </c>
      <c r="F65" s="974">
        <v>14.9</v>
      </c>
      <c r="G65" s="976">
        <v>0.33</v>
      </c>
      <c r="H65" s="974">
        <v>30.2</v>
      </c>
      <c r="I65" s="976">
        <v>0.67</v>
      </c>
      <c r="J65" s="974">
        <v>18.7</v>
      </c>
      <c r="K65" s="974">
        <v>7.4</v>
      </c>
      <c r="L65" s="974">
        <v>19</v>
      </c>
      <c r="M65" s="976">
        <f t="shared" ref="M65:M84" si="0">J65/C65</f>
        <v>0.41555555555555557</v>
      </c>
      <c r="N65" s="976">
        <v>0.16</v>
      </c>
      <c r="O65" s="977" t="s">
        <v>541</v>
      </c>
      <c r="P65" s="978" t="s">
        <v>1334</v>
      </c>
    </row>
    <row r="66" spans="1:160" customFormat="1">
      <c r="A66" t="s">
        <v>663</v>
      </c>
      <c r="B66" s="973" t="s">
        <v>1044</v>
      </c>
      <c r="C66" s="974">
        <v>6.5</v>
      </c>
      <c r="D66" s="974" t="s">
        <v>890</v>
      </c>
      <c r="E66" s="974" t="s">
        <v>394</v>
      </c>
      <c r="F66" s="974">
        <v>0</v>
      </c>
      <c r="G66" s="976">
        <v>0</v>
      </c>
      <c r="H66" s="980">
        <v>6.5</v>
      </c>
      <c r="I66" s="976">
        <v>1</v>
      </c>
      <c r="J66" s="974">
        <v>1.8</v>
      </c>
      <c r="K66" s="974">
        <v>1.8</v>
      </c>
      <c r="L66" s="974">
        <v>3</v>
      </c>
      <c r="M66" s="976">
        <f t="shared" si="0"/>
        <v>0.27692307692307694</v>
      </c>
      <c r="N66" s="976">
        <v>0.27</v>
      </c>
      <c r="O66" s="977" t="s">
        <v>541</v>
      </c>
      <c r="P66" s="978" t="s">
        <v>1335</v>
      </c>
    </row>
    <row r="67" spans="1:160" customFormat="1">
      <c r="A67" t="str">
        <f>INDEX([5]Country_name_ref!$A$4:$A$227,MATCH('[5]Financing (cleaned)'!C67,[5]Country_name_ref!$B$4:$B$227,0))</f>
        <v>SEN</v>
      </c>
      <c r="B67" s="973" t="s">
        <v>267</v>
      </c>
      <c r="C67" s="974">
        <v>134</v>
      </c>
      <c r="D67" s="974" t="s">
        <v>890</v>
      </c>
      <c r="E67" s="974" t="s">
        <v>394</v>
      </c>
      <c r="F67" s="974">
        <v>67</v>
      </c>
      <c r="G67" s="976">
        <v>0.5</v>
      </c>
      <c r="H67" s="974">
        <v>67</v>
      </c>
      <c r="I67" s="976">
        <v>0.5</v>
      </c>
      <c r="J67" s="974">
        <v>76.099999999999994</v>
      </c>
      <c r="K67" s="974">
        <v>54.9</v>
      </c>
      <c r="L67" s="974">
        <v>3</v>
      </c>
      <c r="M67" s="976">
        <f t="shared" si="0"/>
        <v>0.56791044776119404</v>
      </c>
      <c r="N67" s="976">
        <v>0.41</v>
      </c>
      <c r="O67" s="977" t="s">
        <v>541</v>
      </c>
      <c r="P67" s="978" t="s">
        <v>1336</v>
      </c>
    </row>
    <row r="68" spans="1:160" customFormat="1">
      <c r="A68" t="str">
        <f>INDEX([5]Country_name_ref!$A$4:$A$227,MATCH('[5]Financing (cleaned)'!C68,[5]Country_name_ref!$B$4:$B$227,0))</f>
        <v>SLE</v>
      </c>
      <c r="B68" s="973" t="s">
        <v>269</v>
      </c>
      <c r="C68" s="974">
        <v>8.5</v>
      </c>
      <c r="D68" s="974" t="s">
        <v>890</v>
      </c>
      <c r="E68" s="974" t="s">
        <v>394</v>
      </c>
      <c r="F68" s="974">
        <v>0</v>
      </c>
      <c r="G68" s="976">
        <v>0</v>
      </c>
      <c r="H68" s="980">
        <v>8.5</v>
      </c>
      <c r="I68" s="976">
        <v>1</v>
      </c>
      <c r="J68" s="974">
        <v>4</v>
      </c>
      <c r="K68" s="974">
        <v>4.5</v>
      </c>
      <c r="L68" s="974">
        <v>0</v>
      </c>
      <c r="M68" s="976">
        <f t="shared" si="0"/>
        <v>0.47058823529411764</v>
      </c>
      <c r="N68" s="976">
        <v>0.53</v>
      </c>
      <c r="O68" s="977" t="s">
        <v>541</v>
      </c>
      <c r="P68" s="978" t="s">
        <v>1337</v>
      </c>
    </row>
    <row r="69" spans="1:160" s="604" customFormat="1">
      <c r="A69" t="s">
        <v>667</v>
      </c>
      <c r="B69" s="979" t="s">
        <v>1338</v>
      </c>
      <c r="C69" s="974">
        <v>18.100000000000001</v>
      </c>
      <c r="D69" s="974" t="s">
        <v>890</v>
      </c>
      <c r="E69" s="974" t="s">
        <v>394</v>
      </c>
      <c r="F69" s="974">
        <v>0</v>
      </c>
      <c r="G69" s="976">
        <v>0</v>
      </c>
      <c r="H69" s="980">
        <v>18.100000000000001</v>
      </c>
      <c r="I69" s="976">
        <v>1</v>
      </c>
      <c r="J69" s="974">
        <v>12.4</v>
      </c>
      <c r="K69" s="974">
        <v>4</v>
      </c>
      <c r="L69" s="974">
        <v>1.7</v>
      </c>
      <c r="M69" s="976">
        <f t="shared" si="0"/>
        <v>0.68508287292817671</v>
      </c>
      <c r="N69" s="976">
        <f>K69/C69</f>
        <v>0.22099447513812154</v>
      </c>
      <c r="O69" s="977" t="s">
        <v>544</v>
      </c>
      <c r="P69" s="978" t="s">
        <v>1339</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INDEX([5]Country_name_ref!$A$4:$A$227,MATCH('[5]Financing (cleaned)'!C70,[5]Country_name_ref!$B$4:$B$227,0))</f>
        <v>SOM</v>
      </c>
      <c r="B70" s="973" t="s">
        <v>271</v>
      </c>
      <c r="C70" s="974">
        <v>45</v>
      </c>
      <c r="D70" s="974" t="s">
        <v>890</v>
      </c>
      <c r="E70" s="974" t="s">
        <v>394</v>
      </c>
      <c r="F70" s="974">
        <v>0</v>
      </c>
      <c r="G70" s="976">
        <v>0</v>
      </c>
      <c r="H70" s="974">
        <v>45</v>
      </c>
      <c r="I70" s="976">
        <v>1</v>
      </c>
      <c r="J70" s="974">
        <v>13</v>
      </c>
      <c r="K70" s="974">
        <v>18</v>
      </c>
      <c r="L70" s="974">
        <v>14</v>
      </c>
      <c r="M70" s="976">
        <f t="shared" si="0"/>
        <v>0.28888888888888886</v>
      </c>
      <c r="N70" s="976">
        <v>0.4</v>
      </c>
      <c r="O70" s="977" t="s">
        <v>544</v>
      </c>
      <c r="P70" s="978" t="s">
        <v>1340</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INDEX([5]Country_name_ref!$A$4:$A$227,MATCH('[5]Financing (cleaned)'!C71,[5]Country_name_ref!$B$4:$B$227,0))</f>
        <v>SSD</v>
      </c>
      <c r="B71" s="973" t="s">
        <v>273</v>
      </c>
      <c r="C71" s="974">
        <v>63.9</v>
      </c>
      <c r="D71" s="974" t="s">
        <v>890</v>
      </c>
      <c r="E71" s="974" t="s">
        <v>394</v>
      </c>
      <c r="F71" s="974">
        <v>0</v>
      </c>
      <c r="G71" s="976">
        <v>0</v>
      </c>
      <c r="H71" s="974">
        <v>63.9</v>
      </c>
      <c r="I71" s="976">
        <v>1</v>
      </c>
      <c r="J71" s="974">
        <v>0</v>
      </c>
      <c r="K71" s="980">
        <v>7.5</v>
      </c>
      <c r="L71" s="974">
        <v>56.4</v>
      </c>
      <c r="M71" s="976">
        <f t="shared" si="0"/>
        <v>0</v>
      </c>
      <c r="N71" s="976">
        <v>0.15</v>
      </c>
      <c r="O71" s="977" t="s">
        <v>541</v>
      </c>
      <c r="P71" s="978" t="s">
        <v>1341</v>
      </c>
    </row>
    <row r="72" spans="1:160" customFormat="1" ht="28">
      <c r="A72" t="str">
        <f>INDEX([5]Country_name_ref!$A$4:$A$227,MATCH('[5]Financing (cleaned)'!C72,[5]Country_name_ref!$B$4:$B$227,0))</f>
        <v>LKA</v>
      </c>
      <c r="B72" s="973" t="s">
        <v>274</v>
      </c>
      <c r="C72" s="974">
        <v>80.5</v>
      </c>
      <c r="D72" s="974" t="s">
        <v>890</v>
      </c>
      <c r="E72" s="974" t="s">
        <v>1342</v>
      </c>
      <c r="F72" s="974">
        <v>80.5</v>
      </c>
      <c r="G72" s="976">
        <v>1</v>
      </c>
      <c r="H72" s="974">
        <v>0</v>
      </c>
      <c r="I72" s="976">
        <v>0</v>
      </c>
      <c r="J72" s="980">
        <v>41.4</v>
      </c>
      <c r="K72" s="980">
        <v>39.1</v>
      </c>
      <c r="L72" s="974">
        <v>0</v>
      </c>
      <c r="M72" s="976">
        <f t="shared" si="0"/>
        <v>0.51428571428571423</v>
      </c>
      <c r="N72" s="976">
        <v>0.49</v>
      </c>
      <c r="O72" s="977" t="s">
        <v>541</v>
      </c>
      <c r="P72" s="978" t="s">
        <v>1343</v>
      </c>
    </row>
    <row r="73" spans="1:160">
      <c r="A73" t="s">
        <v>672</v>
      </c>
      <c r="B73" s="973" t="s">
        <v>1344</v>
      </c>
      <c r="C73" s="974">
        <v>100</v>
      </c>
      <c r="D73" s="974" t="s">
        <v>883</v>
      </c>
      <c r="E73" s="974" t="s">
        <v>395</v>
      </c>
      <c r="F73" s="974">
        <v>100</v>
      </c>
      <c r="G73" s="976">
        <v>1</v>
      </c>
      <c r="H73" s="974">
        <v>0</v>
      </c>
      <c r="I73" s="976">
        <v>0</v>
      </c>
      <c r="J73" s="980" t="s">
        <v>1267</v>
      </c>
      <c r="K73" s="980" t="s">
        <v>1267</v>
      </c>
      <c r="L73" s="974" t="s">
        <v>1267</v>
      </c>
      <c r="M73" s="976" t="s">
        <v>1268</v>
      </c>
      <c r="N73" s="976" t="s">
        <v>1268</v>
      </c>
      <c r="O73" s="977" t="s">
        <v>541</v>
      </c>
      <c r="P73" s="978" t="s">
        <v>1345</v>
      </c>
      <c r="Q73"/>
    </row>
    <row r="74" spans="1:160">
      <c r="A74" t="str">
        <f>INDEX([5]Country_name_ref!$A$4:$A$227,MATCH('[5]Financing (cleaned)'!C74,[5]Country_name_ref!$B$4:$B$227,0))</f>
        <v>SDN</v>
      </c>
      <c r="B74" s="973" t="s">
        <v>277</v>
      </c>
      <c r="C74" s="974">
        <v>100.9</v>
      </c>
      <c r="D74" s="974" t="s">
        <v>890</v>
      </c>
      <c r="E74" s="974" t="s">
        <v>394</v>
      </c>
      <c r="F74" s="974">
        <v>0</v>
      </c>
      <c r="G74" s="976">
        <v>0</v>
      </c>
      <c r="H74" s="974">
        <v>100</v>
      </c>
      <c r="I74" s="976">
        <v>1</v>
      </c>
      <c r="J74" s="980">
        <v>30.4</v>
      </c>
      <c r="K74" s="980">
        <v>49.6</v>
      </c>
      <c r="L74" s="974">
        <v>20.9</v>
      </c>
      <c r="M74" s="976">
        <f t="shared" si="0"/>
        <v>0.30128840436075321</v>
      </c>
      <c r="N74" s="976">
        <v>0.49</v>
      </c>
      <c r="O74" s="977" t="s">
        <v>541</v>
      </c>
      <c r="P74" s="978" t="s">
        <v>1346</v>
      </c>
      <c r="Q74"/>
    </row>
    <row r="75" spans="1:160">
      <c r="A75" t="str">
        <f>INDEX([5]Country_name_ref!$A$4:$A$227,MATCH('[5]Financing (cleaned)'!C75,[5]Country_name_ref!$B$4:$B$227,0))</f>
        <v>TJK</v>
      </c>
      <c r="B75" s="973" t="s">
        <v>280</v>
      </c>
      <c r="C75" s="974">
        <v>8.6</v>
      </c>
      <c r="D75" s="974" t="s">
        <v>890</v>
      </c>
      <c r="E75" s="974" t="s">
        <v>394</v>
      </c>
      <c r="F75" s="974">
        <v>0</v>
      </c>
      <c r="G75" s="976">
        <v>0</v>
      </c>
      <c r="H75" s="980">
        <v>8.6</v>
      </c>
      <c r="I75" s="976">
        <v>1</v>
      </c>
      <c r="J75" s="980">
        <v>5.8</v>
      </c>
      <c r="K75" s="974">
        <v>2.4</v>
      </c>
      <c r="L75" s="974">
        <v>0.5</v>
      </c>
      <c r="M75" s="976">
        <f t="shared" si="0"/>
        <v>0.67441860465116277</v>
      </c>
      <c r="N75" s="976">
        <v>0.28000000000000003</v>
      </c>
      <c r="O75" s="977" t="s">
        <v>541</v>
      </c>
      <c r="P75" s="978" t="s">
        <v>1347</v>
      </c>
      <c r="Q75"/>
    </row>
    <row r="76" spans="1:160">
      <c r="A76" t="s">
        <v>680</v>
      </c>
      <c r="B76" s="973" t="s">
        <v>1348</v>
      </c>
      <c r="C76" s="974">
        <v>25</v>
      </c>
      <c r="D76" s="974" t="s">
        <v>883</v>
      </c>
      <c r="E76" s="974" t="s">
        <v>394</v>
      </c>
      <c r="F76" s="974">
        <v>0</v>
      </c>
      <c r="G76" s="976">
        <v>0</v>
      </c>
      <c r="H76" s="980">
        <v>25</v>
      </c>
      <c r="I76" s="976">
        <v>1</v>
      </c>
      <c r="J76" s="980" t="s">
        <v>1267</v>
      </c>
      <c r="K76" s="980" t="s">
        <v>1267</v>
      </c>
      <c r="L76" s="974" t="s">
        <v>1267</v>
      </c>
      <c r="M76" s="976" t="s">
        <v>1268</v>
      </c>
      <c r="N76" s="976" t="s">
        <v>1268</v>
      </c>
      <c r="O76" s="977" t="s">
        <v>544</v>
      </c>
      <c r="P76" s="978" t="s">
        <v>1349</v>
      </c>
      <c r="Q76"/>
    </row>
    <row r="77" spans="1:160" customFormat="1">
      <c r="A77" t="str">
        <f>INDEX([5]Country_name_ref!$A$4:$A$227,MATCH('[5]Financing (cleaned)'!C77,[5]Country_name_ref!$B$4:$B$227,0))</f>
        <v>TGO</v>
      </c>
      <c r="B77" s="973" t="s">
        <v>282</v>
      </c>
      <c r="C77" s="974">
        <v>29.5</v>
      </c>
      <c r="D77" s="974" t="s">
        <v>890</v>
      </c>
      <c r="E77" s="974" t="s">
        <v>394</v>
      </c>
      <c r="F77" s="974">
        <v>12.4</v>
      </c>
      <c r="G77" s="976">
        <v>0.42</v>
      </c>
      <c r="H77" s="974">
        <v>17.100000000000001</v>
      </c>
      <c r="I77" s="976">
        <v>0.57999999999999996</v>
      </c>
      <c r="J77" s="974">
        <v>14</v>
      </c>
      <c r="K77" s="980">
        <v>15.5</v>
      </c>
      <c r="L77" s="974">
        <v>0</v>
      </c>
      <c r="M77" s="976">
        <f t="shared" si="0"/>
        <v>0.47457627118644069</v>
      </c>
      <c r="N77" s="976">
        <v>0.37</v>
      </c>
      <c r="O77" s="977" t="s">
        <v>541</v>
      </c>
      <c r="P77" s="978" t="s">
        <v>1350</v>
      </c>
    </row>
    <row r="78" spans="1:160" customFormat="1">
      <c r="A78" t="s">
        <v>684</v>
      </c>
      <c r="B78" s="979" t="s">
        <v>1351</v>
      </c>
      <c r="C78" s="974">
        <v>25</v>
      </c>
      <c r="D78" s="974" t="s">
        <v>890</v>
      </c>
      <c r="E78" s="974" t="s">
        <v>394</v>
      </c>
      <c r="F78" s="974">
        <v>0</v>
      </c>
      <c r="G78" s="976">
        <v>0</v>
      </c>
      <c r="H78" s="974">
        <v>25</v>
      </c>
      <c r="I78" s="976">
        <v>1</v>
      </c>
      <c r="J78" s="974">
        <v>18.5</v>
      </c>
      <c r="K78" s="980">
        <v>6.1</v>
      </c>
      <c r="L78" s="974">
        <v>0.4</v>
      </c>
      <c r="M78" s="976">
        <f t="shared" si="0"/>
        <v>0.74</v>
      </c>
      <c r="N78" s="976">
        <f>K78/C78</f>
        <v>0.24399999999999999</v>
      </c>
      <c r="O78" s="977" t="s">
        <v>544</v>
      </c>
      <c r="P78" s="978" t="s">
        <v>1352</v>
      </c>
    </row>
    <row r="79" spans="1:160" customFormat="1">
      <c r="A79" t="str">
        <f>INDEX([5]Country_name_ref!$A$4:$A$227,MATCH('[5]Financing (cleaned)'!C79,[5]Country_name_ref!$B$4:$B$227,0))</f>
        <v>TUN</v>
      </c>
      <c r="B79" s="973" t="s">
        <v>285</v>
      </c>
      <c r="C79" s="974">
        <v>100</v>
      </c>
      <c r="D79" s="974" t="s">
        <v>890</v>
      </c>
      <c r="E79" s="974" t="s">
        <v>395</v>
      </c>
      <c r="F79" s="974">
        <v>100</v>
      </c>
      <c r="G79" s="976">
        <v>1</v>
      </c>
      <c r="H79" s="974">
        <v>0</v>
      </c>
      <c r="I79" s="976">
        <v>0</v>
      </c>
      <c r="J79" s="974">
        <v>83</v>
      </c>
      <c r="K79" s="974">
        <v>9.3000000000000007</v>
      </c>
      <c r="L79" s="974">
        <v>7.8</v>
      </c>
      <c r="M79" s="976">
        <f t="shared" si="0"/>
        <v>0.83</v>
      </c>
      <c r="N79" s="976">
        <v>0.09</v>
      </c>
      <c r="O79" s="977" t="s">
        <v>541</v>
      </c>
      <c r="P79" s="978" t="s">
        <v>1353</v>
      </c>
    </row>
    <row r="80" spans="1:160" customFormat="1">
      <c r="A80" t="s">
        <v>691</v>
      </c>
      <c r="B80" s="979" t="s">
        <v>1354</v>
      </c>
      <c r="C80" s="974">
        <v>180.3</v>
      </c>
      <c r="D80" s="974" t="s">
        <v>890</v>
      </c>
      <c r="E80" s="974" t="s">
        <v>394</v>
      </c>
      <c r="F80" s="974">
        <v>0</v>
      </c>
      <c r="G80" s="976">
        <v>0</v>
      </c>
      <c r="H80" s="974">
        <v>180.3</v>
      </c>
      <c r="I80" s="976">
        <v>1</v>
      </c>
      <c r="J80" s="974">
        <v>117</v>
      </c>
      <c r="K80" s="974">
        <v>20.149999999999999</v>
      </c>
      <c r="L80" s="974">
        <v>43.15</v>
      </c>
      <c r="M80" s="976">
        <f t="shared" si="0"/>
        <v>0.64891846921797003</v>
      </c>
      <c r="N80" s="976">
        <f>K80/C80</f>
        <v>0.11175818080976149</v>
      </c>
      <c r="O80" s="977" t="s">
        <v>544</v>
      </c>
      <c r="P80" s="978" t="s">
        <v>1355</v>
      </c>
    </row>
    <row r="81" spans="1:16" customFormat="1">
      <c r="A81" t="str">
        <f>INDEX([5]Country_name_ref!$A$4:$A$227,MATCH('[5]Financing (cleaned)'!C81,[5]Country_name_ref!$B$4:$B$227,0))</f>
        <v>UKR</v>
      </c>
      <c r="B81" s="973" t="s">
        <v>290</v>
      </c>
      <c r="C81" s="974">
        <v>90</v>
      </c>
      <c r="D81" s="974" t="s">
        <v>890</v>
      </c>
      <c r="E81" s="974" t="s">
        <v>395</v>
      </c>
      <c r="F81" s="974">
        <v>90</v>
      </c>
      <c r="G81" s="976">
        <v>1</v>
      </c>
      <c r="H81" s="974">
        <v>0</v>
      </c>
      <c r="I81" s="976">
        <v>0</v>
      </c>
      <c r="J81" s="974">
        <v>30</v>
      </c>
      <c r="K81" s="974">
        <v>40</v>
      </c>
      <c r="L81" s="974">
        <v>20</v>
      </c>
      <c r="M81" s="976">
        <f t="shared" si="0"/>
        <v>0.33333333333333331</v>
      </c>
      <c r="N81" s="984">
        <v>0.44</v>
      </c>
      <c r="O81" s="977" t="s">
        <v>541</v>
      </c>
      <c r="P81" s="978" t="s">
        <v>1356</v>
      </c>
    </row>
    <row r="82" spans="1:16" customFormat="1">
      <c r="A82" t="s">
        <v>692</v>
      </c>
      <c r="B82" s="973" t="s">
        <v>1357</v>
      </c>
      <c r="C82" s="974">
        <v>150</v>
      </c>
      <c r="D82" s="974" t="s">
        <v>890</v>
      </c>
      <c r="E82" s="974" t="s">
        <v>395</v>
      </c>
      <c r="F82" s="974">
        <v>150</v>
      </c>
      <c r="G82" s="976">
        <v>1</v>
      </c>
      <c r="H82" s="974">
        <v>0</v>
      </c>
      <c r="I82" s="976">
        <v>0</v>
      </c>
      <c r="J82" s="974">
        <v>120</v>
      </c>
      <c r="K82" s="974">
        <v>30</v>
      </c>
      <c r="L82" s="974">
        <v>0</v>
      </c>
      <c r="M82" s="976">
        <f t="shared" si="0"/>
        <v>0.8</v>
      </c>
      <c r="N82" s="984">
        <f>K82/C82</f>
        <v>0.2</v>
      </c>
      <c r="O82" s="977" t="s">
        <v>541</v>
      </c>
      <c r="P82" s="978" t="s">
        <v>1358</v>
      </c>
    </row>
    <row r="83" spans="1:16" customFormat="1">
      <c r="A83" t="s">
        <v>698</v>
      </c>
      <c r="B83" s="973" t="s">
        <v>296</v>
      </c>
      <c r="C83" s="974">
        <v>20</v>
      </c>
      <c r="D83" s="974" t="s">
        <v>890</v>
      </c>
      <c r="E83" s="974" t="s">
        <v>394</v>
      </c>
      <c r="F83" s="974">
        <v>0</v>
      </c>
      <c r="G83" s="976">
        <v>0</v>
      </c>
      <c r="H83" s="974">
        <v>20</v>
      </c>
      <c r="I83" s="976">
        <v>1</v>
      </c>
      <c r="J83" s="974">
        <v>0</v>
      </c>
      <c r="K83" s="974">
        <v>17.8</v>
      </c>
      <c r="L83" s="974">
        <v>2.2999999999999998</v>
      </c>
      <c r="M83" s="976">
        <f t="shared" si="0"/>
        <v>0</v>
      </c>
      <c r="N83" s="984">
        <v>0.89</v>
      </c>
      <c r="O83" s="977" t="s">
        <v>541</v>
      </c>
      <c r="P83" s="978" t="s">
        <v>1359</v>
      </c>
    </row>
    <row r="84" spans="1:16" customFormat="1">
      <c r="A84" t="str">
        <f>INDEX([5]Country_name_ref!$A$4:$A$227,MATCH('[5]Financing (cleaned)'!C84,[5]Country_name_ref!$B$4:$B$227,0))</f>
        <v>ZMB</v>
      </c>
      <c r="B84" s="973" t="s">
        <v>297</v>
      </c>
      <c r="C84" s="974">
        <v>24</v>
      </c>
      <c r="D84" s="974" t="s">
        <v>890</v>
      </c>
      <c r="E84" s="974" t="s">
        <v>394</v>
      </c>
      <c r="F84" s="974">
        <v>10</v>
      </c>
      <c r="G84" s="976">
        <v>0.42</v>
      </c>
      <c r="H84" s="974">
        <v>14</v>
      </c>
      <c r="I84" s="976">
        <v>0.57999999999999996</v>
      </c>
      <c r="J84" s="974">
        <v>9.1999999999999993</v>
      </c>
      <c r="K84" s="974">
        <v>11.8</v>
      </c>
      <c r="L84" s="974">
        <v>3</v>
      </c>
      <c r="M84" s="976">
        <f t="shared" si="0"/>
        <v>0.3833333333333333</v>
      </c>
      <c r="N84" s="984">
        <v>0.49</v>
      </c>
      <c r="O84" s="977" t="s">
        <v>544</v>
      </c>
      <c r="P84" s="978" t="s">
        <v>1360</v>
      </c>
    </row>
    <row r="85" spans="1:16" customFormat="1">
      <c r="B85" s="985" t="s">
        <v>1361</v>
      </c>
      <c r="C85" s="986">
        <f>SUM(C4:C84)</f>
        <v>7484.7999999999993</v>
      </c>
      <c r="D85" s="987">
        <f>COUNTIF(B4:B84,"*")</f>
        <v>81</v>
      </c>
      <c r="E85" s="986"/>
      <c r="F85" s="988"/>
      <c r="G85" s="989"/>
      <c r="H85" s="986"/>
      <c r="I85" s="989"/>
      <c r="J85" s="990"/>
      <c r="K85" s="990"/>
      <c r="L85" s="990"/>
      <c r="M85" s="991"/>
      <c r="N85" s="991"/>
      <c r="O85" s="992">
        <f>COUNTIF(O4:O84,"Yes")</f>
        <v>56</v>
      </c>
      <c r="P85" s="985"/>
    </row>
    <row r="86" spans="1:16" customFormat="1">
      <c r="B86" s="985" t="s">
        <v>1362</v>
      </c>
      <c r="C86" s="986">
        <f>SUMIF(D4:D84,D83,C4:C84)</f>
        <v>6576.7999999999993</v>
      </c>
      <c r="D86" s="987">
        <f>COUNTIF(D4:D84,"Y")</f>
        <v>73</v>
      </c>
      <c r="E86" s="986"/>
      <c r="F86" s="988">
        <f>SUM(F4:F84)</f>
        <v>5448.0999999999985</v>
      </c>
      <c r="G86" s="989"/>
      <c r="H86" s="986">
        <f>SUM(H4:H84)</f>
        <v>2035.9999999999998</v>
      </c>
      <c r="I86" s="993"/>
      <c r="J86" s="990">
        <f>SUMIF(D4:D84,D4,J4:J84)</f>
        <v>3753.9499999999994</v>
      </c>
      <c r="K86" s="986">
        <f>SUMIF(D4:D84,D4,K4:K84)</f>
        <v>2038.9500000000003</v>
      </c>
      <c r="L86" s="986">
        <f>SUMIF(D4:D84,D4,L4:L84)</f>
        <v>912.44999999999982</v>
      </c>
      <c r="M86" s="991">
        <f>J86/C86</f>
        <v>0.57078670478044036</v>
      </c>
      <c r="N86" s="991">
        <f>K86/C86</f>
        <v>0.31002159104731791</v>
      </c>
      <c r="O86" s="985"/>
      <c r="P86" s="985"/>
    </row>
    <row r="87" spans="1:16" customFormat="1">
      <c r="B87" s="578" t="s">
        <v>1363</v>
      </c>
      <c r="C87" s="578"/>
      <c r="D87" s="578"/>
      <c r="E87" s="578"/>
      <c r="F87" s="578"/>
      <c r="G87" s="578"/>
      <c r="H87" s="579"/>
      <c r="I87" s="605"/>
      <c r="J87" s="580"/>
      <c r="K87" s="580"/>
      <c r="L87" s="580"/>
      <c r="M87" s="994"/>
      <c r="N87" s="994"/>
      <c r="O87" s="605"/>
      <c r="P87" s="578"/>
    </row>
    <row r="88" spans="1:16" customFormat="1">
      <c r="B88" s="811" t="s">
        <v>1364</v>
      </c>
      <c r="C88" s="811"/>
      <c r="D88" s="811"/>
      <c r="E88" s="811"/>
      <c r="F88" s="811"/>
      <c r="G88" s="811"/>
      <c r="H88" s="811"/>
      <c r="I88" s="811"/>
      <c r="J88" s="811"/>
      <c r="K88" s="811"/>
      <c r="L88" s="811"/>
      <c r="M88" s="811"/>
      <c r="N88" s="811"/>
      <c r="O88" s="811"/>
      <c r="P88" s="811"/>
    </row>
    <row r="89" spans="1:16" customFormat="1">
      <c r="B89" s="811"/>
      <c r="C89" s="811"/>
      <c r="D89" s="811"/>
      <c r="E89" s="811"/>
      <c r="F89" s="811"/>
      <c r="G89" s="811"/>
      <c r="H89" s="811"/>
      <c r="I89" s="811"/>
      <c r="J89" s="811"/>
      <c r="K89" s="811"/>
      <c r="L89" s="811"/>
      <c r="M89" s="811"/>
      <c r="N89" s="811"/>
      <c r="O89" s="811"/>
      <c r="P89" s="811"/>
    </row>
    <row r="90" spans="1:16" customFormat="1">
      <c r="B90" s="811"/>
      <c r="C90" s="811"/>
      <c r="D90" s="811"/>
      <c r="E90" s="811"/>
      <c r="F90" s="811"/>
      <c r="G90" s="811"/>
      <c r="H90" s="811"/>
      <c r="I90" s="811"/>
      <c r="J90" s="811"/>
      <c r="K90" s="811"/>
      <c r="L90" s="811"/>
      <c r="M90" s="811"/>
      <c r="N90" s="811"/>
      <c r="O90" s="811"/>
      <c r="P90" s="811"/>
    </row>
    <row r="91" spans="1:16" customFormat="1">
      <c r="B91" s="811" t="s">
        <v>1365</v>
      </c>
      <c r="C91" s="811"/>
      <c r="D91" s="811"/>
      <c r="E91" s="811"/>
      <c r="F91" s="811"/>
      <c r="G91" s="811"/>
      <c r="H91" s="811"/>
      <c r="I91" s="811"/>
      <c r="J91" s="811"/>
      <c r="K91" s="811"/>
      <c r="L91" s="811"/>
      <c r="M91" s="811"/>
      <c r="N91" s="811"/>
      <c r="O91" s="811"/>
      <c r="P91" s="811"/>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51" priority="1" operator="equal">
      <formula>"No"</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432</v>
      </c>
      <c r="B1" s="589" t="s">
        <v>1366</v>
      </c>
      <c r="C1" s="589" t="s">
        <v>1367</v>
      </c>
      <c r="D1" s="589" t="s">
        <v>1368</v>
      </c>
      <c r="E1" s="589" t="s">
        <v>1369</v>
      </c>
      <c r="F1" s="589" t="s">
        <v>1370</v>
      </c>
      <c r="G1" s="589" t="s">
        <v>1371</v>
      </c>
      <c r="H1" s="589" t="s">
        <v>915</v>
      </c>
      <c r="I1" s="589" t="s">
        <v>1372</v>
      </c>
      <c r="J1" s="589" t="s">
        <v>1373</v>
      </c>
      <c r="K1" s="589" t="s">
        <v>1374</v>
      </c>
      <c r="L1" s="997"/>
    </row>
    <row r="2" spans="1:17" ht="72.5">
      <c r="A2" s="998" t="s">
        <v>551</v>
      </c>
      <c r="B2" s="576" t="s">
        <v>1375</v>
      </c>
      <c r="C2" s="589" t="s">
        <v>1376</v>
      </c>
      <c r="D2" s="589" t="s">
        <v>1377</v>
      </c>
      <c r="E2" s="589" t="s">
        <v>1378</v>
      </c>
      <c r="F2" s="589" t="s">
        <v>164</v>
      </c>
      <c r="G2" s="589" t="s">
        <v>1379</v>
      </c>
      <c r="H2" s="595">
        <v>42662</v>
      </c>
      <c r="I2" s="778">
        <v>1446233</v>
      </c>
      <c r="J2" s="778">
        <v>28117000</v>
      </c>
      <c r="K2" s="589" t="s">
        <v>1380</v>
      </c>
    </row>
    <row r="3" spans="1:17" ht="87">
      <c r="A3" s="999" t="s">
        <v>551</v>
      </c>
      <c r="B3" s="576" t="s">
        <v>1381</v>
      </c>
      <c r="C3" s="589" t="s">
        <v>1382</v>
      </c>
      <c r="D3" s="589" t="s">
        <v>1377</v>
      </c>
      <c r="E3" s="589" t="s">
        <v>1378</v>
      </c>
      <c r="F3" s="589" t="s">
        <v>164</v>
      </c>
      <c r="G3" s="589" t="s">
        <v>1379</v>
      </c>
      <c r="H3" s="595">
        <v>43969</v>
      </c>
      <c r="I3" s="778">
        <v>21306670</v>
      </c>
      <c r="J3" s="778">
        <v>65000000</v>
      </c>
      <c r="K3" s="589" t="s">
        <v>1383</v>
      </c>
      <c r="O3" s="599" t="s">
        <v>141</v>
      </c>
      <c r="P3" t="s">
        <v>1384</v>
      </c>
      <c r="Q3" t="s">
        <v>1385</v>
      </c>
    </row>
    <row r="4" spans="1:17" ht="72.5">
      <c r="A4" s="998" t="s">
        <v>1386</v>
      </c>
      <c r="B4" s="576" t="s">
        <v>1387</v>
      </c>
      <c r="C4" s="589" t="s">
        <v>1388</v>
      </c>
      <c r="D4" s="589" t="s">
        <v>1377</v>
      </c>
      <c r="E4" s="589" t="s">
        <v>1389</v>
      </c>
      <c r="F4" s="589" t="s">
        <v>1390</v>
      </c>
      <c r="G4" s="589" t="s">
        <v>1379</v>
      </c>
      <c r="H4" s="595">
        <v>44174</v>
      </c>
      <c r="I4" s="778">
        <v>5130000</v>
      </c>
      <c r="J4" s="778">
        <v>4400000</v>
      </c>
      <c r="K4" s="589" t="s">
        <v>1391</v>
      </c>
      <c r="O4" s="600" t="s">
        <v>551</v>
      </c>
      <c r="P4" s="601">
        <v>93117000</v>
      </c>
      <c r="Q4" s="601">
        <v>22752903</v>
      </c>
    </row>
    <row r="5" spans="1:17" ht="29">
      <c r="A5" s="999" t="s">
        <v>560</v>
      </c>
      <c r="B5" s="576" t="s">
        <v>1392</v>
      </c>
      <c r="C5" s="589" t="s">
        <v>1393</v>
      </c>
      <c r="D5" s="589" t="s">
        <v>1377</v>
      </c>
      <c r="E5" s="589" t="s">
        <v>1394</v>
      </c>
      <c r="F5" s="589" t="s">
        <v>169</v>
      </c>
      <c r="G5" s="589" t="s">
        <v>1395</v>
      </c>
      <c r="H5" s="595">
        <v>43986</v>
      </c>
      <c r="I5" s="778">
        <v>59765</v>
      </c>
      <c r="J5" s="778">
        <v>826605</v>
      </c>
      <c r="K5" s="589" t="s">
        <v>1396</v>
      </c>
      <c r="O5" s="600" t="s">
        <v>1386</v>
      </c>
      <c r="P5" s="601">
        <v>4400000</v>
      </c>
      <c r="Q5" s="601">
        <v>5130000</v>
      </c>
    </row>
    <row r="6" spans="1:17" ht="72.5">
      <c r="A6" s="998" t="s">
        <v>560</v>
      </c>
      <c r="B6" s="576" t="s">
        <v>1397</v>
      </c>
      <c r="C6" s="589" t="s">
        <v>1398</v>
      </c>
      <c r="D6" s="589" t="s">
        <v>1377</v>
      </c>
      <c r="E6" s="589" t="s">
        <v>1389</v>
      </c>
      <c r="F6" s="589" t="s">
        <v>169</v>
      </c>
      <c r="G6" s="589" t="s">
        <v>1379</v>
      </c>
      <c r="H6" s="595">
        <v>44265</v>
      </c>
      <c r="I6" s="778">
        <v>2862740</v>
      </c>
      <c r="J6" s="778">
        <v>149000</v>
      </c>
      <c r="K6" s="589" t="s">
        <v>1399</v>
      </c>
      <c r="L6" s="997"/>
      <c r="O6" s="600" t="s">
        <v>560</v>
      </c>
      <c r="P6" s="601">
        <v>2210705</v>
      </c>
      <c r="Q6" s="601">
        <v>2922505</v>
      </c>
    </row>
    <row r="7" spans="1:17" ht="43.5">
      <c r="A7" s="999" t="s">
        <v>560</v>
      </c>
      <c r="B7" s="576" t="s">
        <v>1400</v>
      </c>
      <c r="C7" s="589" t="s">
        <v>1401</v>
      </c>
      <c r="D7" s="589" t="s">
        <v>1402</v>
      </c>
      <c r="E7" s="589" t="s">
        <v>1403</v>
      </c>
      <c r="F7" s="589" t="s">
        <v>169</v>
      </c>
      <c r="G7" s="589" t="s">
        <v>1379</v>
      </c>
      <c r="H7" s="595">
        <v>44265</v>
      </c>
      <c r="I7" s="778"/>
      <c r="J7" s="778">
        <v>1235100</v>
      </c>
      <c r="K7" s="589" t="s">
        <v>1404</v>
      </c>
      <c r="L7" s="997" t="s">
        <v>1405</v>
      </c>
      <c r="O7" s="600" t="s">
        <v>591</v>
      </c>
      <c r="P7" s="601">
        <v>22889280</v>
      </c>
      <c r="Q7" s="601">
        <v>360305</v>
      </c>
    </row>
    <row r="8" spans="1:17" ht="29">
      <c r="A8" s="998" t="s">
        <v>591</v>
      </c>
      <c r="B8" s="576" t="s">
        <v>1406</v>
      </c>
      <c r="C8" s="589" t="s">
        <v>1407</v>
      </c>
      <c r="D8" s="589" t="s">
        <v>1408</v>
      </c>
      <c r="E8" s="589" t="s">
        <v>1409</v>
      </c>
      <c r="F8" s="589" t="s">
        <v>196</v>
      </c>
      <c r="G8" s="589" t="s">
        <v>1410</v>
      </c>
      <c r="H8" s="595">
        <v>44281</v>
      </c>
      <c r="I8" s="778">
        <v>360305</v>
      </c>
      <c r="J8" s="778">
        <v>22889280</v>
      </c>
      <c r="K8" s="589" t="s">
        <v>1411</v>
      </c>
      <c r="O8" s="600" t="s">
        <v>592</v>
      </c>
      <c r="P8" s="601">
        <v>142567587</v>
      </c>
      <c r="Q8" s="601">
        <v>673947</v>
      </c>
    </row>
    <row r="9" spans="1:17" ht="58">
      <c r="A9" s="999" t="s">
        <v>592</v>
      </c>
      <c r="B9" s="576" t="s">
        <v>1412</v>
      </c>
      <c r="C9" s="589" t="s">
        <v>1413</v>
      </c>
      <c r="D9" s="589" t="s">
        <v>1377</v>
      </c>
      <c r="E9" s="589" t="s">
        <v>1389</v>
      </c>
      <c r="F9" s="589" t="s">
        <v>197</v>
      </c>
      <c r="G9" s="589" t="s">
        <v>1379</v>
      </c>
      <c r="H9" s="595">
        <v>43969</v>
      </c>
      <c r="I9" s="778">
        <v>673947</v>
      </c>
      <c r="J9" s="778">
        <v>79405647</v>
      </c>
      <c r="K9" s="589" t="s">
        <v>1414</v>
      </c>
      <c r="O9" s="600" t="s">
        <v>610</v>
      </c>
      <c r="P9" s="601">
        <v>13500000</v>
      </c>
      <c r="Q9" s="601">
        <v>15800000</v>
      </c>
    </row>
    <row r="10" spans="1:17" ht="43.5">
      <c r="A10" s="998" t="s">
        <v>592</v>
      </c>
      <c r="B10" s="576" t="s">
        <v>1415</v>
      </c>
      <c r="C10" s="589" t="s">
        <v>1416</v>
      </c>
      <c r="D10" s="589" t="s">
        <v>1402</v>
      </c>
      <c r="E10" s="589" t="s">
        <v>1417</v>
      </c>
      <c r="F10" s="589" t="s">
        <v>197</v>
      </c>
      <c r="G10" s="589" t="s">
        <v>1379</v>
      </c>
      <c r="H10" s="595">
        <v>44265</v>
      </c>
      <c r="I10" s="778"/>
      <c r="J10" s="778">
        <v>63161940</v>
      </c>
      <c r="K10" s="589" t="s">
        <v>1418</v>
      </c>
      <c r="L10" s="997" t="s">
        <v>1405</v>
      </c>
      <c r="O10" s="600" t="s">
        <v>653</v>
      </c>
      <c r="P10" s="601">
        <v>20700000</v>
      </c>
      <c r="Q10" s="601">
        <v>1700000</v>
      </c>
    </row>
    <row r="11" spans="1:17" ht="72.5">
      <c r="A11" s="999" t="s">
        <v>594</v>
      </c>
      <c r="B11" s="576" t="s">
        <v>1419</v>
      </c>
      <c r="C11" s="589" t="s">
        <v>1420</v>
      </c>
      <c r="D11" s="589" t="s">
        <v>1377</v>
      </c>
      <c r="E11" s="589" t="s">
        <v>1389</v>
      </c>
      <c r="F11" s="589" t="s">
        <v>199</v>
      </c>
      <c r="G11" s="589" t="s">
        <v>1379</v>
      </c>
      <c r="H11" s="595">
        <v>43985</v>
      </c>
      <c r="I11" s="778">
        <v>20000000</v>
      </c>
      <c r="J11" s="778">
        <v>20000000</v>
      </c>
      <c r="K11" s="589" t="s">
        <v>1421</v>
      </c>
      <c r="O11" s="600" t="s">
        <v>594</v>
      </c>
      <c r="P11" s="601">
        <v>20000000</v>
      </c>
      <c r="Q11" s="601">
        <v>20000000</v>
      </c>
    </row>
    <row r="12" spans="1:17" ht="29">
      <c r="A12" s="998" t="s">
        <v>610</v>
      </c>
      <c r="B12" s="576" t="s">
        <v>1422</v>
      </c>
      <c r="C12" s="589" t="s">
        <v>1423</v>
      </c>
      <c r="D12" s="589" t="s">
        <v>1377</v>
      </c>
      <c r="E12" s="589" t="s">
        <v>1424</v>
      </c>
      <c r="F12" s="589" t="s">
        <v>215</v>
      </c>
      <c r="G12" s="589" t="s">
        <v>1379</v>
      </c>
      <c r="H12" s="595">
        <v>44006</v>
      </c>
      <c r="I12" s="778">
        <v>1000000</v>
      </c>
      <c r="J12" s="778"/>
      <c r="K12" s="589" t="s">
        <v>1391</v>
      </c>
      <c r="O12" s="600" t="s">
        <v>686</v>
      </c>
      <c r="P12" s="601">
        <v>3027000</v>
      </c>
      <c r="Q12" s="601">
        <v>2735057</v>
      </c>
    </row>
    <row r="13" spans="1:17" ht="72.5">
      <c r="A13" s="999" t="s">
        <v>653</v>
      </c>
      <c r="B13" s="576" t="s">
        <v>1425</v>
      </c>
      <c r="C13" s="589" t="s">
        <v>1426</v>
      </c>
      <c r="D13" s="589" t="s">
        <v>1377</v>
      </c>
      <c r="E13" s="589" t="s">
        <v>1389</v>
      </c>
      <c r="F13" s="589" t="s">
        <v>257</v>
      </c>
      <c r="G13" s="589" t="s">
        <v>1379</v>
      </c>
      <c r="H13" s="595">
        <v>44391</v>
      </c>
      <c r="I13" s="778">
        <v>1700000</v>
      </c>
      <c r="J13" s="778">
        <v>20700000</v>
      </c>
      <c r="K13" s="589" t="s">
        <v>1411</v>
      </c>
      <c r="O13" s="600" t="s">
        <v>299</v>
      </c>
      <c r="P13" s="601">
        <v>322411572</v>
      </c>
      <c r="Q13" s="601">
        <v>72074717</v>
      </c>
    </row>
    <row r="14" spans="1:17" ht="29">
      <c r="A14" s="999" t="s">
        <v>686</v>
      </c>
      <c r="B14" s="576" t="s">
        <v>1427</v>
      </c>
      <c r="C14" s="589" t="s">
        <v>1428</v>
      </c>
      <c r="D14" s="589" t="s">
        <v>1377</v>
      </c>
      <c r="E14" s="589" t="s">
        <v>1429</v>
      </c>
      <c r="F14" s="589" t="s">
        <v>284</v>
      </c>
      <c r="G14" s="589" t="s">
        <v>1379</v>
      </c>
      <c r="H14" s="595">
        <v>41990</v>
      </c>
      <c r="I14" s="778">
        <v>2735057</v>
      </c>
      <c r="J14" s="778">
        <v>3027000</v>
      </c>
      <c r="K14" s="589" t="s">
        <v>1430</v>
      </c>
      <c r="O14"/>
      <c r="P14"/>
      <c r="Q14"/>
    </row>
    <row r="15" spans="1:17" ht="43.5">
      <c r="A15" s="998" t="s">
        <v>610</v>
      </c>
      <c r="B15" s="997" t="s">
        <v>1431</v>
      </c>
      <c r="C15" s="1000" t="s">
        <v>1432</v>
      </c>
      <c r="D15" s="589" t="s">
        <v>1377</v>
      </c>
      <c r="E15" s="1000" t="s">
        <v>1424</v>
      </c>
      <c r="F15" s="1000" t="s">
        <v>215</v>
      </c>
      <c r="G15" s="1000" t="s">
        <v>1379</v>
      </c>
      <c r="H15" s="1001">
        <v>44462</v>
      </c>
      <c r="I15" s="778">
        <v>14800000</v>
      </c>
      <c r="J15" s="778">
        <v>13500000</v>
      </c>
      <c r="K15" s="778">
        <v>53820000</v>
      </c>
      <c r="O15"/>
      <c r="P15"/>
      <c r="Q15"/>
    </row>
    <row r="16" spans="1:17" ht="15.5">
      <c r="A16" s="1002"/>
      <c r="B16" s="576" t="s">
        <v>299</v>
      </c>
      <c r="H16" s="596"/>
      <c r="I16" s="779">
        <v>54690763</v>
      </c>
      <c r="J16" s="779">
        <v>315327198</v>
      </c>
      <c r="K16" s="576" t="s">
        <v>1433</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dimension ref="A1:I150"/>
  <sheetViews>
    <sheetView zoomScale="80" zoomScaleNormal="80" workbookViewId="0">
      <selection activeCell="F3" sqref="F3:F95"/>
    </sheetView>
  </sheetViews>
  <sheetFormatPr defaultColWidth="10" defaultRowHeight="15.5"/>
  <cols>
    <col min="2" max="2" width="17.5" hidden="1"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811"/>
      <c r="D1" s="811"/>
      <c r="E1" t="s">
        <v>1434</v>
      </c>
      <c r="F1" s="811"/>
    </row>
    <row r="2" spans="1:9" ht="29">
      <c r="A2" s="744" t="s">
        <v>432</v>
      </c>
      <c r="B2" s="744" t="s">
        <v>1435</v>
      </c>
      <c r="C2" s="812" t="s">
        <v>710</v>
      </c>
      <c r="D2" s="813" t="s">
        <v>712</v>
      </c>
      <c r="E2" s="813" t="s">
        <v>713</v>
      </c>
      <c r="F2" s="813" t="s">
        <v>1436</v>
      </c>
    </row>
    <row r="3" spans="1:9">
      <c r="A3" t="str">
        <f>INDEX([6]Country_name_ref!$A$4:$A$227,MATCH('[6]Overview +ISO'!C3,[6]Country_name_ref!$B$4:$B$227,1))</f>
        <v>AFG</v>
      </c>
      <c r="B3" t="str">
        <f>INDEX([6]Country_name_ref!$B$4:$B$227,MATCH(A3,[6]Country_name_ref!$A$4:$A$227,0))</f>
        <v>Afghanistan</v>
      </c>
      <c r="C3" s="814" t="s">
        <v>160</v>
      </c>
      <c r="D3" s="815">
        <v>920000</v>
      </c>
      <c r="E3" s="816" t="s">
        <v>541</v>
      </c>
      <c r="F3" s="817">
        <v>922566</v>
      </c>
      <c r="G3"/>
      <c r="H3"/>
      <c r="I3"/>
    </row>
    <row r="4" spans="1:9">
      <c r="A4" t="str">
        <f>INDEX([6]Country_name_ref!$A$4:$A$227,MATCH('[6]Overview +ISO'!C4,[6]Country_name_ref!$B$4:$B$227,1))</f>
        <v>DZA</v>
      </c>
      <c r="B4" t="str">
        <f>INDEX([6]Country_name_ref!$B$4:$B$227,MATCH(A4,[6]Country_name_ref!$A$4:$A$227,0))</f>
        <v>Algeria</v>
      </c>
      <c r="C4" s="818" t="s">
        <v>143</v>
      </c>
      <c r="D4" s="819">
        <v>670000</v>
      </c>
      <c r="E4" s="820" t="s">
        <v>541</v>
      </c>
      <c r="F4" s="821">
        <v>682071</v>
      </c>
      <c r="G4"/>
      <c r="H4"/>
      <c r="I4"/>
    </row>
    <row r="5" spans="1:9">
      <c r="A5" t="str">
        <f>INDEX([6]Country_name_ref!$A$4:$A$227,MATCH('[6]Overview +ISO'!C5,[6]Country_name_ref!$B$4:$B$227,1))</f>
        <v>AGO</v>
      </c>
      <c r="B5" t="str">
        <f>INDEX([6]Country_name_ref!$B$4:$B$227,MATCH(A5,[6]Country_name_ref!$A$4:$A$227,0))</f>
        <v>Angola</v>
      </c>
      <c r="C5" s="814" t="s">
        <v>162</v>
      </c>
      <c r="D5" s="815">
        <v>530000</v>
      </c>
      <c r="E5" s="816" t="s">
        <v>541</v>
      </c>
      <c r="F5" s="817">
        <v>539335</v>
      </c>
      <c r="G5"/>
      <c r="H5"/>
      <c r="I5"/>
    </row>
    <row r="6" spans="1:9">
      <c r="A6" t="str">
        <f>INDEX([6]Country_name_ref!$A$4:$A$227,MATCH('[6]Overview +ISO'!C6,[6]Country_name_ref!$B$4:$B$227,1))</f>
        <v>BGD</v>
      </c>
      <c r="B6" t="str">
        <f>INDEX([6]Country_name_ref!$B$4:$B$227,MATCH(A6,[6]Country_name_ref!$A$4:$A$227,0))</f>
        <v>Bangladesh</v>
      </c>
      <c r="C6" s="822" t="s">
        <v>167</v>
      </c>
      <c r="D6" s="819">
        <v>2500000</v>
      </c>
      <c r="E6" s="820" t="s">
        <v>541</v>
      </c>
      <c r="F6" s="821">
        <v>2482278</v>
      </c>
      <c r="G6"/>
      <c r="H6"/>
      <c r="I6"/>
    </row>
    <row r="7" spans="1:9">
      <c r="A7" t="str">
        <f>INDEX([6]Country_name_ref!$A$4:$A$227,MATCH('[6]Overview +ISO'!C7,[6]Country_name_ref!$B$4:$B$227,1))</f>
        <v>BEN</v>
      </c>
      <c r="B7" t="str">
        <f>INDEX([6]Country_name_ref!$B$4:$B$227,MATCH(A7,[6]Country_name_ref!$A$4:$A$227,0))</f>
        <v>Benin</v>
      </c>
      <c r="C7" s="814" t="s">
        <v>170</v>
      </c>
      <c r="D7" s="815">
        <v>360000</v>
      </c>
      <c r="E7" s="816" t="s">
        <v>541</v>
      </c>
      <c r="F7" s="817">
        <v>386989</v>
      </c>
      <c r="G7"/>
      <c r="H7"/>
      <c r="I7"/>
    </row>
    <row r="8" spans="1:9">
      <c r="A8" t="str">
        <f>INDEX([6]Country_name_ref!$A$4:$A$227,MATCH('[6]Overview +ISO'!C8,[6]Country_name_ref!$B$4:$B$227,1))</f>
        <v>BTN</v>
      </c>
      <c r="B8" t="str">
        <f>INDEX([6]Country_name_ref!$B$4:$B$227,MATCH(A8,[6]Country_name_ref!$A$4:$A$227,0))</f>
        <v>Bhutan</v>
      </c>
      <c r="C8" s="818" t="s">
        <v>171</v>
      </c>
      <c r="D8" s="819">
        <v>50000</v>
      </c>
      <c r="E8" s="820" t="s">
        <v>541</v>
      </c>
      <c r="F8" s="821">
        <v>69721</v>
      </c>
      <c r="G8"/>
      <c r="H8"/>
      <c r="I8"/>
    </row>
    <row r="9" spans="1:9">
      <c r="A9" t="str">
        <f>INDEX([6]Country_name_ref!$A$4:$A$227,MATCH('[6]Overview +ISO'!C9,[6]Country_name_ref!$B$4:$B$227,1))</f>
        <v>BOL</v>
      </c>
      <c r="B9" t="str">
        <f>INDEX([6]Country_name_ref!$B$4:$B$227,MATCH(A9,[6]Country_name_ref!$A$4:$A$227,0))</f>
        <v>Bolivia</v>
      </c>
      <c r="C9" s="814" t="s">
        <v>715</v>
      </c>
      <c r="D9" s="815">
        <v>240000</v>
      </c>
      <c r="E9" s="816" t="s">
        <v>541</v>
      </c>
      <c r="F9" s="817">
        <v>283036</v>
      </c>
      <c r="G9"/>
      <c r="H9"/>
      <c r="I9"/>
    </row>
    <row r="10" spans="1:9">
      <c r="A10" t="str">
        <f>INDEX([6]Country_name_ref!$A$4:$A$227,MATCH('[6]Overview +ISO'!C10,[6]Country_name_ref!$B$4:$B$227,1))</f>
        <v>BFA</v>
      </c>
      <c r="B10" t="str">
        <f>INDEX([6]Country_name_ref!$B$4:$B$227,MATCH(A10,[6]Country_name_ref!$A$4:$A$227,0))</f>
        <v>Burkina Faso</v>
      </c>
      <c r="C10" s="822" t="s">
        <v>177</v>
      </c>
      <c r="D10" s="819">
        <v>550000</v>
      </c>
      <c r="E10" s="820" t="s">
        <v>541</v>
      </c>
      <c r="F10" s="821">
        <v>555832</v>
      </c>
      <c r="G10"/>
      <c r="H10"/>
      <c r="I10"/>
    </row>
    <row r="11" spans="1:9">
      <c r="A11" t="str">
        <f>INDEX([6]Country_name_ref!$A$4:$A$227,MATCH('[6]Overview +ISO'!C11,[6]Country_name_ref!$B$4:$B$227,1))</f>
        <v>BDI</v>
      </c>
      <c r="B11" t="str">
        <f>INDEX([6]Country_name_ref!$B$4:$B$227,MATCH(A11,[6]Country_name_ref!$A$4:$A$227,0))</f>
        <v>Burundi</v>
      </c>
      <c r="C11" s="814" t="s">
        <v>178</v>
      </c>
      <c r="D11" s="815">
        <v>360000</v>
      </c>
      <c r="E11" s="816" t="s">
        <v>546</v>
      </c>
      <c r="F11" s="823" t="s">
        <v>1437</v>
      </c>
      <c r="G11"/>
      <c r="H11"/>
      <c r="I11"/>
    </row>
    <row r="12" spans="1:9">
      <c r="A12" t="str">
        <f>INDEX([6]Country_name_ref!$A$4:$A$227,MATCH('[6]Overview +ISO'!C12,[6]Country_name_ref!$B$4:$B$227,1))</f>
        <v>CPV</v>
      </c>
      <c r="B12" t="str">
        <f>INDEX([6]Country_name_ref!$B$4:$B$227,MATCH(A12,[6]Country_name_ref!$A$4:$A$227,0))</f>
        <v>Cabo Verde</v>
      </c>
      <c r="C12" s="818" t="s">
        <v>179</v>
      </c>
      <c r="D12" s="819">
        <v>50000</v>
      </c>
      <c r="E12" s="820"/>
      <c r="F12" s="811" t="s">
        <v>1437</v>
      </c>
      <c r="G12"/>
      <c r="H12"/>
      <c r="I12"/>
    </row>
    <row r="13" spans="1:9">
      <c r="A13" t="str">
        <f>INDEX([6]Country_name_ref!$A$4:$A$227,MATCH('[6]Overview +ISO'!C13,[6]Country_name_ref!$B$4:$B$227,1))</f>
        <v>KHM</v>
      </c>
      <c r="B13" t="str">
        <f>INDEX([6]Country_name_ref!$B$4:$B$227,MATCH(A13,[6]Country_name_ref!$A$4:$A$227,0))</f>
        <v>Cambodia</v>
      </c>
      <c r="C13" s="814" t="s">
        <v>180</v>
      </c>
      <c r="D13" s="815">
        <v>460000</v>
      </c>
      <c r="E13" s="816" t="s">
        <v>541</v>
      </c>
      <c r="F13" s="817">
        <v>459999</v>
      </c>
      <c r="G13"/>
      <c r="H13"/>
      <c r="I13"/>
    </row>
    <row r="14" spans="1:9">
      <c r="A14" t="str">
        <f>INDEX([6]Country_name_ref!$A$4:$A$227,MATCH('[6]Overview +ISO'!C14,[6]Country_name_ref!$B$4:$B$227,1))</f>
        <v>CMR</v>
      </c>
      <c r="B14" t="str">
        <f>INDEX([6]Country_name_ref!$B$4:$B$227,MATCH(A14,[6]Country_name_ref!$A$4:$A$227,0))</f>
        <v>Cameroon</v>
      </c>
      <c r="C14" s="818" t="s">
        <v>181</v>
      </c>
      <c r="D14" s="819">
        <v>660000</v>
      </c>
      <c r="E14" s="820" t="s">
        <v>541</v>
      </c>
      <c r="F14" s="821">
        <v>690768</v>
      </c>
      <c r="G14"/>
      <c r="H14"/>
      <c r="I14"/>
    </row>
    <row r="15" spans="1:9">
      <c r="A15" t="str">
        <f>INDEX([6]Country_name_ref!$A$4:$A$227,MATCH('[6]Overview +ISO'!C15,[6]Country_name_ref!$B$4:$B$227,1))</f>
        <v>CAF</v>
      </c>
      <c r="B15" t="str">
        <f>INDEX([6]Country_name_ref!$B$4:$B$227,MATCH(A15,[6]Country_name_ref!$A$4:$A$227,0))</f>
        <v>Central African Republic</v>
      </c>
      <c r="C15" s="814" t="s">
        <v>716</v>
      </c>
      <c r="D15" s="815">
        <v>160000</v>
      </c>
      <c r="E15" s="816" t="s">
        <v>541</v>
      </c>
      <c r="F15" s="817">
        <v>201700</v>
      </c>
      <c r="G15"/>
      <c r="H15"/>
      <c r="I15"/>
    </row>
    <row r="16" spans="1:9">
      <c r="A16" t="str">
        <f>INDEX([6]Country_name_ref!$A$4:$A$227,MATCH('[6]Overview +ISO'!C16,[6]Country_name_ref!$B$4:$B$227,1))</f>
        <v>TCD</v>
      </c>
      <c r="B16" t="str">
        <f>INDEX([6]Country_name_ref!$B$4:$B$227,MATCH(A16,[6]Country_name_ref!$A$4:$A$227,0))</f>
        <v>Chad</v>
      </c>
      <c r="C16" s="822" t="s">
        <v>183</v>
      </c>
      <c r="D16" s="819">
        <v>450000</v>
      </c>
      <c r="E16" s="820" t="s">
        <v>541</v>
      </c>
      <c r="F16" s="811" t="s">
        <v>1437</v>
      </c>
      <c r="G16"/>
      <c r="H16"/>
      <c r="I16"/>
    </row>
    <row r="17" spans="1:9">
      <c r="A17" t="str">
        <f>INDEX([6]Country_name_ref!$A$4:$A$227,MATCH('[6]Overview +ISO'!C17,[6]Country_name_ref!$B$4:$B$227,1))</f>
        <v>COM</v>
      </c>
      <c r="B17" t="str">
        <f>INDEX([6]Country_name_ref!$B$4:$B$227,MATCH(A17,[6]Country_name_ref!$A$4:$A$227,0))</f>
        <v>Comoros</v>
      </c>
      <c r="C17" s="824" t="s">
        <v>187</v>
      </c>
      <c r="D17" s="815">
        <v>80000</v>
      </c>
      <c r="E17" s="816" t="s">
        <v>541</v>
      </c>
      <c r="F17" s="817">
        <v>80000</v>
      </c>
      <c r="G17"/>
      <c r="H17"/>
      <c r="I17"/>
    </row>
    <row r="18" spans="1:9">
      <c r="A18" t="s">
        <v>581</v>
      </c>
      <c r="B18" t="str">
        <f>INDEX([6]Country_name_ref!$B$4:$B$227,MATCH(A18,[6]Country_name_ref!$A$4:$A$227,0))</f>
        <v>Congo, Dem. Rep.</v>
      </c>
      <c r="C18" s="822" t="s">
        <v>717</v>
      </c>
      <c r="D18" s="819">
        <v>1710000</v>
      </c>
      <c r="E18" s="820" t="s">
        <v>541</v>
      </c>
      <c r="F18" s="821">
        <v>1737208</v>
      </c>
      <c r="G18"/>
      <c r="H18"/>
      <c r="I18"/>
    </row>
    <row r="19" spans="1:9">
      <c r="A19" t="s">
        <v>582</v>
      </c>
      <c r="B19" t="str">
        <f>INDEX([6]Country_name_ref!$B$4:$B$227,MATCH(A19,[6]Country_name_ref!$A$4:$A$227,0))</f>
        <v>Congo, Rep.</v>
      </c>
      <c r="C19" s="814" t="s">
        <v>718</v>
      </c>
      <c r="D19" s="815">
        <v>180000</v>
      </c>
      <c r="E19" s="816" t="s">
        <v>541</v>
      </c>
      <c r="F19" s="817">
        <v>180490</v>
      </c>
      <c r="G19"/>
      <c r="H19"/>
      <c r="I19"/>
    </row>
    <row r="20" spans="1:9">
      <c r="A20" t="str">
        <f>INDEX([6]Country_name_ref!$A$4:$A$227,MATCH('[6]Overview +ISO'!C20,[6]Country_name_ref!$B$4:$B$227,1))</f>
        <v>CIV</v>
      </c>
      <c r="B20" t="str">
        <f>INDEX([6]Country_name_ref!$B$4:$B$227,MATCH(A20,[6]Country_name_ref!$A$4:$A$227,0))</f>
        <v>Cote d'Ivoire</v>
      </c>
      <c r="C20" s="818" t="s">
        <v>192</v>
      </c>
      <c r="D20" s="819">
        <v>660000</v>
      </c>
      <c r="E20" s="820" t="s">
        <v>541</v>
      </c>
      <c r="F20" s="821">
        <v>664320</v>
      </c>
      <c r="G20"/>
      <c r="H20"/>
      <c r="I20"/>
    </row>
    <row r="21" spans="1:9">
      <c r="A21" t="str">
        <f>INDEX([6]Country_name_ref!$A$4:$A$227,MATCH('[6]Overview +ISO'!C21,[6]Country_name_ref!$B$4:$B$227,1))</f>
        <v>DJI</v>
      </c>
      <c r="B21" t="str">
        <f>INDEX([6]Country_name_ref!$B$4:$B$227,MATCH(A21,[6]Country_name_ref!$A$4:$A$227,0))</f>
        <v>Djibouti</v>
      </c>
      <c r="C21" s="814" t="s">
        <v>194</v>
      </c>
      <c r="D21" s="815">
        <v>80000</v>
      </c>
      <c r="E21" s="816"/>
      <c r="F21" s="823" t="s">
        <v>1437</v>
      </c>
      <c r="G21"/>
      <c r="H21"/>
      <c r="I21"/>
    </row>
    <row r="22" spans="1:9">
      <c r="A22" t="str">
        <f>INDEX([6]Country_name_ref!$A$4:$A$227,MATCH('[6]Overview +ISO'!C22,[6]Country_name_ref!$B$4:$B$227,1))</f>
        <v>DMA</v>
      </c>
      <c r="B22" t="str">
        <f>INDEX([6]Country_name_ref!$B$4:$B$227,MATCH(A22,[6]Country_name_ref!$A$4:$A$227,0))</f>
        <v>Dominica</v>
      </c>
      <c r="C22" s="818" t="s">
        <v>195</v>
      </c>
      <c r="D22" s="819">
        <v>50000</v>
      </c>
      <c r="E22" s="820" t="s">
        <v>546</v>
      </c>
      <c r="F22" s="811" t="s">
        <v>1437</v>
      </c>
      <c r="G22"/>
      <c r="H22"/>
      <c r="I22"/>
    </row>
    <row r="23" spans="1:9">
      <c r="A23" t="s">
        <v>593</v>
      </c>
      <c r="B23" t="str">
        <f>INDEX([6]Country_name_ref!$B$4:$B$227,MATCH(A23,[6]Country_name_ref!$A$4:$A$227,0))</f>
        <v>Egypt, Arab Rep.</v>
      </c>
      <c r="C23" s="824" t="s">
        <v>719</v>
      </c>
      <c r="D23" s="815">
        <v>1280000</v>
      </c>
      <c r="E23" s="816" t="s">
        <v>541</v>
      </c>
      <c r="F23" s="817">
        <v>1466837</v>
      </c>
      <c r="G23"/>
      <c r="H23"/>
      <c r="I23"/>
    </row>
    <row r="24" spans="1:9">
      <c r="A24" t="str">
        <f>INDEX([6]Country_name_ref!$A$4:$A$227,MATCH('[6]Overview +ISO'!C24,[6]Country_name_ref!$B$4:$B$227,1))</f>
        <v>SLV</v>
      </c>
      <c r="B24" t="str">
        <f>INDEX([6]Country_name_ref!$B$4:$B$227,MATCH(A24,[6]Country_name_ref!$A$4:$A$227,0))</f>
        <v>El Salvador</v>
      </c>
      <c r="C24" s="818" t="s">
        <v>199</v>
      </c>
      <c r="D24" s="819">
        <v>140000</v>
      </c>
      <c r="E24" s="820" t="s">
        <v>541</v>
      </c>
      <c r="F24" s="821">
        <v>158796</v>
      </c>
      <c r="G24"/>
      <c r="H24"/>
      <c r="I24"/>
    </row>
    <row r="25" spans="1:9">
      <c r="A25" t="str">
        <f>INDEX([6]Country_name_ref!$A$4:$A$227,MATCH('[6]Overview +ISO'!C25,[6]Country_name_ref!$B$4:$B$227,1))</f>
        <v>ERI</v>
      </c>
      <c r="B25" t="str">
        <f>INDEX([6]Country_name_ref!$B$4:$B$227,MATCH(A25,[6]Country_name_ref!$A$4:$A$227,0))</f>
        <v>Eritrea</v>
      </c>
      <c r="C25" s="814" t="s">
        <v>201</v>
      </c>
      <c r="D25" s="815">
        <v>120000</v>
      </c>
      <c r="E25" s="816" t="s">
        <v>546</v>
      </c>
      <c r="F25" s="823" t="s">
        <v>1437</v>
      </c>
      <c r="G25"/>
      <c r="H25"/>
      <c r="I25"/>
    </row>
    <row r="26" spans="1:9">
      <c r="A26" t="s">
        <v>597</v>
      </c>
      <c r="B26" t="str">
        <f>INDEX([6]Country_name_ref!$B$4:$B$227,MATCH(A26,[6]Country_name_ref!$A$4:$A$227,0))</f>
        <v>Eswatini</v>
      </c>
      <c r="C26" s="818" t="s">
        <v>202</v>
      </c>
      <c r="D26" s="819">
        <v>50000</v>
      </c>
      <c r="E26" s="820" t="s">
        <v>541</v>
      </c>
      <c r="F26" s="821">
        <v>50213</v>
      </c>
      <c r="G26"/>
      <c r="H26"/>
      <c r="I26"/>
    </row>
    <row r="27" spans="1:9">
      <c r="A27" t="str">
        <f>INDEX([6]Country_name_ref!$A$4:$A$227,MATCH('[6]Overview +ISO'!C27,[6]Country_name_ref!$B$4:$B$227,1))</f>
        <v>ETH</v>
      </c>
      <c r="B27" t="str">
        <f>INDEX([6]Country_name_ref!$B$4:$B$227,MATCH(A27,[6]Country_name_ref!$A$4:$A$227,0))</f>
        <v>Ethiopia</v>
      </c>
      <c r="C27" s="824" t="s">
        <v>203</v>
      </c>
      <c r="D27" s="815">
        <v>2090000</v>
      </c>
      <c r="E27" s="816" t="s">
        <v>541</v>
      </c>
      <c r="F27" s="817">
        <v>2119570</v>
      </c>
      <c r="G27"/>
      <c r="H27"/>
      <c r="I27"/>
    </row>
    <row r="28" spans="1:9">
      <c r="A28" t="str">
        <f>INDEX([6]Country_name_ref!$A$4:$A$227,MATCH('[6]Overview +ISO'!C28,[6]Country_name_ref!$B$4:$B$227,1))</f>
        <v>FJI</v>
      </c>
      <c r="B28" t="str">
        <f>INDEX([6]Country_name_ref!$B$4:$B$227,MATCH(A28,[6]Country_name_ref!$A$4:$A$227,0))</f>
        <v>Fiji</v>
      </c>
      <c r="C28" s="818" t="s">
        <v>204</v>
      </c>
      <c r="D28" s="819">
        <v>50000</v>
      </c>
      <c r="E28" s="820" t="s">
        <v>546</v>
      </c>
      <c r="F28" s="811" t="s">
        <v>1437</v>
      </c>
      <c r="G28"/>
      <c r="H28"/>
      <c r="I28"/>
    </row>
    <row r="29" spans="1:9">
      <c r="A29" t="s">
        <v>601</v>
      </c>
      <c r="B29" t="str">
        <f>INDEX([6]Country_name_ref!$B$4:$B$227,MATCH(A29,[6]Country_name_ref!$A$4:$A$227,0))</f>
        <v>Gambia, The</v>
      </c>
      <c r="C29" s="814" t="s">
        <v>720</v>
      </c>
      <c r="D29" s="815">
        <v>80000</v>
      </c>
      <c r="E29" s="816" t="s">
        <v>541</v>
      </c>
      <c r="F29" s="817">
        <v>98207</v>
      </c>
      <c r="G29"/>
      <c r="H29"/>
      <c r="I29"/>
    </row>
    <row r="30" spans="1:9">
      <c r="A30" t="str">
        <f>INDEX([6]Country_name_ref!$A$4:$A$227,MATCH('[6]Overview +ISO'!C30,[6]Country_name_ref!$B$4:$B$227,1))</f>
        <v>GHA</v>
      </c>
      <c r="B30" t="str">
        <f>INDEX([6]Country_name_ref!$B$4:$B$227,MATCH(A30,[6]Country_name_ref!$A$4:$A$227,0))</f>
        <v>Ghana</v>
      </c>
      <c r="C30" s="818" t="s">
        <v>208</v>
      </c>
      <c r="D30" s="819">
        <v>760000</v>
      </c>
      <c r="E30" s="820" t="s">
        <v>541</v>
      </c>
      <c r="F30" s="821">
        <v>793746</v>
      </c>
      <c r="G30"/>
      <c r="H30"/>
      <c r="I30"/>
    </row>
    <row r="31" spans="1:9">
      <c r="A31" t="str">
        <f>INDEX([6]Country_name_ref!$A$4:$A$227,MATCH('[6]Overview +ISO'!C31,[6]Country_name_ref!$B$4:$B$227,1))</f>
        <v>GRD</v>
      </c>
      <c r="B31" t="str">
        <f>INDEX([6]Country_name_ref!$B$4:$B$227,MATCH(A31,[6]Country_name_ref!$A$4:$A$227,0))</f>
        <v>Grenada</v>
      </c>
      <c r="C31" s="814" t="s">
        <v>209</v>
      </c>
      <c r="D31" s="815">
        <v>50000</v>
      </c>
      <c r="E31" s="816" t="s">
        <v>546</v>
      </c>
      <c r="F31" s="823" t="s">
        <v>1437</v>
      </c>
      <c r="G31"/>
      <c r="H31"/>
      <c r="I31"/>
    </row>
    <row r="32" spans="1:9">
      <c r="A32" t="str">
        <f>INDEX([6]Country_name_ref!$A$4:$A$227,MATCH('[6]Overview +ISO'!C32,[6]Country_name_ref!$B$4:$B$227,1))</f>
        <v>GIN</v>
      </c>
      <c r="B32" t="str">
        <f>INDEX([6]Country_name_ref!$B$4:$B$227,MATCH(A32,[6]Country_name_ref!$A$4:$A$227,0))</f>
        <v>Guinea</v>
      </c>
      <c r="C32" s="822" t="s">
        <v>211</v>
      </c>
      <c r="D32" s="819">
        <v>380000</v>
      </c>
      <c r="E32" s="820" t="s">
        <v>541</v>
      </c>
      <c r="F32" s="821">
        <v>390259</v>
      </c>
      <c r="G32"/>
      <c r="H32"/>
      <c r="I32"/>
    </row>
    <row r="33" spans="1:9">
      <c r="A33" t="str">
        <f>INDEX([6]Country_name_ref!$A$4:$A$227,MATCH('[6]Overview +ISO'!C33,[6]Country_name_ref!$B$4:$B$227,1))</f>
        <v>GNB</v>
      </c>
      <c r="B33" t="str">
        <f>INDEX([6]Country_name_ref!$B$4:$B$227,MATCH(A33,[6]Country_name_ref!$A$4:$A$227,0))</f>
        <v>Guinea-Bissau</v>
      </c>
      <c r="C33" s="814" t="s">
        <v>212</v>
      </c>
      <c r="D33" s="815">
        <v>80000</v>
      </c>
      <c r="E33" s="816" t="s">
        <v>541</v>
      </c>
      <c r="F33" s="817">
        <v>105973</v>
      </c>
      <c r="G33"/>
      <c r="H33"/>
      <c r="I33"/>
    </row>
    <row r="34" spans="1:9">
      <c r="A34" t="str">
        <f>INDEX([6]Country_name_ref!$A$4:$A$227,MATCH('[6]Overview +ISO'!C34,[6]Country_name_ref!$B$4:$B$227,1))</f>
        <v>GUY</v>
      </c>
      <c r="B34" t="str">
        <f>INDEX([6]Country_name_ref!$B$4:$B$227,MATCH(A34,[6]Country_name_ref!$A$4:$A$227,0))</f>
        <v>Guyana</v>
      </c>
      <c r="C34" s="822" t="s">
        <v>213</v>
      </c>
      <c r="D34" s="819">
        <v>50000</v>
      </c>
      <c r="E34" s="820" t="s">
        <v>541</v>
      </c>
      <c r="F34" s="821">
        <v>62549</v>
      </c>
      <c r="G34"/>
      <c r="H34"/>
      <c r="I34"/>
    </row>
    <row r="35" spans="1:9">
      <c r="A35" t="str">
        <f>INDEX([6]Country_name_ref!$A$4:$A$227,MATCH('[6]Overview +ISO'!C35,[6]Country_name_ref!$B$4:$B$227,1))</f>
        <v>HTI</v>
      </c>
      <c r="B35" t="str">
        <f>INDEX([6]Country_name_ref!$B$4:$B$227,MATCH(A35,[6]Country_name_ref!$A$4:$A$227,0))</f>
        <v>Haiti</v>
      </c>
      <c r="C35" s="814" t="s">
        <v>214</v>
      </c>
      <c r="D35" s="815">
        <v>350000</v>
      </c>
      <c r="E35" s="816" t="s">
        <v>541</v>
      </c>
      <c r="F35" s="817">
        <v>365688</v>
      </c>
      <c r="G35"/>
      <c r="H35"/>
      <c r="I35"/>
    </row>
    <row r="36" spans="1:9">
      <c r="A36" t="str">
        <f>INDEX([6]Country_name_ref!$A$4:$A$227,MATCH('[6]Overview +ISO'!C36,[6]Country_name_ref!$B$4:$B$227,1))</f>
        <v>HND</v>
      </c>
      <c r="B36" t="str">
        <f>INDEX([6]Country_name_ref!$B$4:$B$227,MATCH(A36,[6]Country_name_ref!$A$4:$A$227,0))</f>
        <v>Honduras</v>
      </c>
      <c r="C36" s="818" t="s">
        <v>215</v>
      </c>
      <c r="D36" s="819">
        <v>210000</v>
      </c>
      <c r="E36" s="820" t="s">
        <v>541</v>
      </c>
      <c r="F36" s="821">
        <v>219032</v>
      </c>
      <c r="G36"/>
      <c r="H36"/>
      <c r="I36"/>
    </row>
    <row r="37" spans="1:9">
      <c r="A37" t="str">
        <f>INDEX([6]Country_name_ref!$A$4:$A$227,MATCH('[6]Overview +ISO'!C37,[6]Country_name_ref!$B$4:$B$227,1))</f>
        <v>IND</v>
      </c>
      <c r="B37" t="str">
        <f>INDEX([6]Country_name_ref!$B$4:$B$227,MATCH(A37,[6]Country_name_ref!$A$4:$A$227,0))</f>
        <v>India</v>
      </c>
      <c r="C37" s="824" t="s">
        <v>216</v>
      </c>
      <c r="D37" s="815">
        <v>8716494</v>
      </c>
      <c r="E37" s="816" t="s">
        <v>541</v>
      </c>
      <c r="F37" s="817">
        <v>8716494</v>
      </c>
      <c r="G37"/>
      <c r="H37"/>
      <c r="I37"/>
    </row>
    <row r="38" spans="1:9">
      <c r="A38" t="str">
        <f>INDEX([6]Country_name_ref!$A$4:$A$227,MATCH('[6]Overview +ISO'!C38,[6]Country_name_ref!$B$4:$B$227,1))</f>
        <v>IDN</v>
      </c>
      <c r="B38" t="str">
        <f>INDEX([6]Country_name_ref!$B$4:$B$227,MATCH(A38,[6]Country_name_ref!$A$4:$A$227,0))</f>
        <v>Indonesia</v>
      </c>
      <c r="C38" s="822" t="s">
        <v>217</v>
      </c>
      <c r="D38" s="819">
        <v>1700000</v>
      </c>
      <c r="E38" s="820" t="s">
        <v>541</v>
      </c>
      <c r="F38" s="821">
        <v>1734565</v>
      </c>
      <c r="G38"/>
      <c r="H38"/>
      <c r="I38"/>
    </row>
    <row r="39" spans="1:9">
      <c r="A39" t="str">
        <f>INDEX([6]Country_name_ref!$A$4:$A$227,MATCH('[6]Overview +ISO'!C39,[6]Country_name_ref!$B$4:$B$227,1))</f>
        <v>KEN</v>
      </c>
      <c r="B39" t="str">
        <f>INDEX([6]Country_name_ref!$B$4:$B$227,MATCH(A39,[6]Country_name_ref!$A$4:$A$227,0))</f>
        <v>Kenya</v>
      </c>
      <c r="C39" s="814" t="s">
        <v>222</v>
      </c>
      <c r="D39" s="815">
        <v>1160000</v>
      </c>
      <c r="E39" s="816" t="s">
        <v>541</v>
      </c>
      <c r="F39" s="817">
        <v>1181227</v>
      </c>
      <c r="G39"/>
      <c r="H39"/>
      <c r="I39"/>
    </row>
    <row r="40" spans="1:9">
      <c r="A40" t="str">
        <f>INDEX([6]Country_name_ref!$A$4:$A$227,MATCH('[6]Overview +ISO'!C40,[6]Country_name_ref!$B$4:$B$227,1))</f>
        <v>KIR</v>
      </c>
      <c r="B40" t="str">
        <f>INDEX([6]Country_name_ref!$B$4:$B$227,MATCH(A40,[6]Country_name_ref!$A$4:$A$227,0))</f>
        <v>Kiribati</v>
      </c>
      <c r="C40" s="818" t="s">
        <v>223</v>
      </c>
      <c r="D40" s="819">
        <v>50000</v>
      </c>
      <c r="E40" s="820" t="s">
        <v>546</v>
      </c>
      <c r="F40" s="811" t="s">
        <v>1437</v>
      </c>
      <c r="G40"/>
      <c r="H40"/>
      <c r="I40"/>
    </row>
    <row r="41" spans="1:9">
      <c r="A41" t="s">
        <v>620</v>
      </c>
      <c r="B41" t="str">
        <f>INDEX([6]Country_name_ref!$B$4:$B$227,MATCH(A41,[6]Country_name_ref!$A$4:$A$227,0))</f>
        <v>Korea, Dem. People's Rep.</v>
      </c>
      <c r="C41" s="814" t="s">
        <v>721</v>
      </c>
      <c r="D41" s="815">
        <v>650000</v>
      </c>
      <c r="E41" s="816" t="s">
        <v>541</v>
      </c>
      <c r="F41" s="823" t="s">
        <v>1437</v>
      </c>
      <c r="G41"/>
      <c r="H41"/>
      <c r="I41"/>
    </row>
    <row r="42" spans="1:9">
      <c r="A42" t="str">
        <f>INDEX([6]Country_name_ref!$A$4:$A$227,MATCH('[6]Overview +ISO'!C42,[6]Country_name_ref!$B$4:$B$227,1))</f>
        <v>XKX</v>
      </c>
      <c r="B42" t="str">
        <f>INDEX([6]Country_name_ref!$B$4:$B$227,MATCH(A42,[6]Country_name_ref!$A$4:$A$227,0))</f>
        <v>Kosovo</v>
      </c>
      <c r="C42" s="818" t="s">
        <v>225</v>
      </c>
      <c r="D42" s="819">
        <v>50000</v>
      </c>
      <c r="E42" s="820" t="s">
        <v>541</v>
      </c>
      <c r="F42" s="821">
        <v>60336</v>
      </c>
      <c r="G42"/>
      <c r="H42"/>
      <c r="I42"/>
    </row>
    <row r="43" spans="1:9">
      <c r="A43" t="str">
        <f>INDEX([6]Country_name_ref!$A$4:$A$227,MATCH('[6]Overview +ISO'!C43,[6]Country_name_ref!$B$4:$B$227,1))</f>
        <v>KGZ</v>
      </c>
      <c r="B43" t="str">
        <f>INDEX([6]Country_name_ref!$B$4:$B$227,MATCH(A43,[6]Country_name_ref!$A$4:$A$227,0))</f>
        <v>Kyrgyz Republic</v>
      </c>
      <c r="C43" s="814" t="s">
        <v>722</v>
      </c>
      <c r="D43" s="815">
        <v>210000</v>
      </c>
      <c r="E43" s="816" t="s">
        <v>541</v>
      </c>
      <c r="F43" s="817">
        <v>211426</v>
      </c>
      <c r="G43"/>
      <c r="H43"/>
      <c r="I43"/>
    </row>
    <row r="44" spans="1:9">
      <c r="A44" t="str">
        <f>INDEX([6]Country_name_ref!$A$4:$A$227,MATCH('[6]Overview +ISO'!C44,[6]Country_name_ref!$B$4:$B$227,1))</f>
        <v>LAO</v>
      </c>
      <c r="B44" t="str">
        <f>INDEX([6]Country_name_ref!$B$4:$B$227,MATCH(A44,[6]Country_name_ref!$A$4:$A$227,0))</f>
        <v>Lao PDR</v>
      </c>
      <c r="C44" s="818" t="s">
        <v>227</v>
      </c>
      <c r="D44" s="819">
        <v>230000</v>
      </c>
      <c r="E44" s="820" t="s">
        <v>541</v>
      </c>
      <c r="F44" s="821">
        <v>134999</v>
      </c>
      <c r="G44"/>
      <c r="H44"/>
      <c r="I44"/>
    </row>
    <row r="45" spans="1:9">
      <c r="A45" t="str">
        <f>INDEX([6]Country_name_ref!$A$4:$A$227,MATCH('[6]Overview +ISO'!C45,[6]Country_name_ref!$B$4:$B$227,1))</f>
        <v>LSO</v>
      </c>
      <c r="B45" t="str">
        <f>INDEX([6]Country_name_ref!$B$4:$B$227,MATCH(A45,[6]Country_name_ref!$A$4:$A$227,0))</f>
        <v>Lesotho</v>
      </c>
      <c r="C45" s="814" t="s">
        <v>723</v>
      </c>
      <c r="D45" s="815">
        <v>80000</v>
      </c>
      <c r="E45" s="816" t="s">
        <v>541</v>
      </c>
      <c r="F45" s="817">
        <v>86879</v>
      </c>
      <c r="G45"/>
      <c r="H45"/>
      <c r="I45"/>
    </row>
    <row r="46" spans="1:9">
      <c r="A46" t="str">
        <f>INDEX([6]Country_name_ref!$A$4:$A$227,MATCH('[6]Overview +ISO'!C46,[6]Country_name_ref!$B$4:$B$227,1))</f>
        <v>LBR</v>
      </c>
      <c r="B46" t="str">
        <f>INDEX([6]Country_name_ref!$B$4:$B$227,MATCH(A46,[6]Country_name_ref!$A$4:$A$227,0))</f>
        <v>Liberia</v>
      </c>
      <c r="C46" s="822" t="s">
        <v>230</v>
      </c>
      <c r="D46" s="819">
        <v>160000</v>
      </c>
      <c r="E46" s="820" t="s">
        <v>541</v>
      </c>
      <c r="F46" s="821">
        <v>162026</v>
      </c>
      <c r="G46"/>
      <c r="H46"/>
      <c r="I46"/>
    </row>
    <row r="47" spans="1:9">
      <c r="A47" t="str">
        <f>INDEX([6]Country_name_ref!$A$4:$A$227,MATCH('[6]Overview +ISO'!C47,[6]Country_name_ref!$B$4:$B$227,1))</f>
        <v>MDG</v>
      </c>
      <c r="B47" t="str">
        <f>INDEX([6]Country_name_ref!$B$4:$B$227,MATCH(A47,[6]Country_name_ref!$A$4:$A$227,0))</f>
        <v>Madagascar</v>
      </c>
      <c r="C47" s="814" t="s">
        <v>232</v>
      </c>
      <c r="D47" s="815">
        <v>690000</v>
      </c>
      <c r="E47" s="816" t="s">
        <v>541</v>
      </c>
      <c r="F47" s="817">
        <v>694958</v>
      </c>
      <c r="G47"/>
      <c r="H47"/>
      <c r="I47"/>
    </row>
    <row r="48" spans="1:9">
      <c r="A48" t="str">
        <f>INDEX([6]Country_name_ref!$A$4:$A$227,MATCH('[6]Overview +ISO'!C48,[6]Country_name_ref!$B$4:$B$227,1))</f>
        <v>MWI</v>
      </c>
      <c r="B48" t="str">
        <f>INDEX([6]Country_name_ref!$B$4:$B$227,MATCH(A48,[6]Country_name_ref!$A$4:$A$227,0))</f>
        <v>Malawi</v>
      </c>
      <c r="C48" s="818" t="s">
        <v>233</v>
      </c>
      <c r="D48" s="819">
        <v>510000</v>
      </c>
      <c r="E48" s="820" t="s">
        <v>541</v>
      </c>
      <c r="F48" s="821">
        <v>386999</v>
      </c>
      <c r="G48"/>
      <c r="H48"/>
      <c r="I48"/>
    </row>
    <row r="49" spans="1:9">
      <c r="A49" t="str">
        <f>INDEX([6]Country_name_ref!$A$4:$A$227,MATCH('[6]Overview +ISO'!C49,[6]Country_name_ref!$B$4:$B$227,1))</f>
        <v>MDV</v>
      </c>
      <c r="B49" t="str">
        <f>INDEX([6]Country_name_ref!$B$4:$B$227,MATCH(A49,[6]Country_name_ref!$A$4:$A$227,0))</f>
        <v>Maldives</v>
      </c>
      <c r="C49" s="814" t="s">
        <v>235</v>
      </c>
      <c r="D49" s="815">
        <v>50000</v>
      </c>
      <c r="E49" s="816" t="s">
        <v>541</v>
      </c>
      <c r="F49" s="817">
        <v>60026</v>
      </c>
      <c r="G49"/>
      <c r="H49"/>
      <c r="I49"/>
    </row>
    <row r="50" spans="1:9">
      <c r="A50" t="str">
        <f>INDEX([6]Country_name_ref!$A$4:$A$227,MATCH('[6]Overview +ISO'!C50,[6]Country_name_ref!$B$4:$B$227,1))</f>
        <v>MLI</v>
      </c>
      <c r="B50" t="str">
        <f>INDEX([6]Country_name_ref!$B$4:$B$227,MATCH(A50,[6]Country_name_ref!$A$4:$A$227,0))</f>
        <v>Mali</v>
      </c>
      <c r="C50" s="818" t="s">
        <v>236</v>
      </c>
      <c r="D50" s="819">
        <v>530000</v>
      </c>
      <c r="E50" s="820" t="s">
        <v>541</v>
      </c>
      <c r="F50" s="821">
        <v>530000</v>
      </c>
      <c r="G50"/>
      <c r="H50"/>
      <c r="I50"/>
    </row>
    <row r="51" spans="1:9">
      <c r="A51" t="str">
        <f>INDEX([6]Country_name_ref!$A$4:$A$227,MATCH('[6]Overview +ISO'!C51,[6]Country_name_ref!$B$4:$B$227,1))</f>
        <v>MHL</v>
      </c>
      <c r="B51" t="str">
        <f>INDEX([6]Country_name_ref!$B$4:$B$227,MATCH(A51,[6]Country_name_ref!$A$4:$A$227,0))</f>
        <v>Marshall Islands</v>
      </c>
      <c r="C51" s="814" t="s">
        <v>237</v>
      </c>
      <c r="D51" s="815">
        <v>50000</v>
      </c>
      <c r="E51" s="816" t="s">
        <v>546</v>
      </c>
      <c r="F51" s="823" t="s">
        <v>1437</v>
      </c>
      <c r="G51"/>
      <c r="H51"/>
      <c r="I51"/>
    </row>
    <row r="52" spans="1:9">
      <c r="A52" t="str">
        <f>INDEX([6]Country_name_ref!$A$4:$A$227,MATCH('[6]Overview +ISO'!C52,[6]Country_name_ref!$B$4:$B$227,1))</f>
        <v>MRT</v>
      </c>
      <c r="B52" t="str">
        <f>INDEX([6]Country_name_ref!$B$4:$B$227,MATCH(A52,[6]Country_name_ref!$A$4:$A$227,0))</f>
        <v>Mauritania</v>
      </c>
      <c r="C52" s="822" t="s">
        <v>238</v>
      </c>
      <c r="D52" s="819">
        <v>150000</v>
      </c>
      <c r="E52" s="820" t="s">
        <v>541</v>
      </c>
      <c r="F52" s="821">
        <v>180361</v>
      </c>
      <c r="G52"/>
      <c r="H52"/>
      <c r="I52"/>
    </row>
    <row r="53" spans="1:9">
      <c r="A53" t="s">
        <v>637</v>
      </c>
      <c r="B53" t="str">
        <f>INDEX([6]Country_name_ref!$B$4:$B$227,MATCH(A53,[6]Country_name_ref!$A$4:$A$227,0))</f>
        <v>Micronesia, Fed. Sts.</v>
      </c>
      <c r="C53" s="814" t="s">
        <v>724</v>
      </c>
      <c r="D53" s="815">
        <v>50000</v>
      </c>
      <c r="E53" s="816" t="s">
        <v>546</v>
      </c>
      <c r="F53" s="823" t="s">
        <v>1437</v>
      </c>
      <c r="G53"/>
      <c r="H53"/>
      <c r="I53"/>
    </row>
    <row r="54" spans="1:9">
      <c r="A54" t="str">
        <f>INDEX([6]Country_name_ref!$A$4:$A$227,MATCH('[6]Overview +ISO'!C54,[6]Country_name_ref!$B$4:$B$227,1))</f>
        <v>MDA</v>
      </c>
      <c r="B54" t="str">
        <f>INDEX([6]Country_name_ref!$B$4:$B$227,MATCH(A54,[6]Country_name_ref!$A$4:$A$227,0))</f>
        <v>Moldova</v>
      </c>
      <c r="C54" s="818" t="s">
        <v>242</v>
      </c>
      <c r="D54" s="819">
        <v>90000</v>
      </c>
      <c r="E54" s="820" t="s">
        <v>541</v>
      </c>
      <c r="F54" s="821">
        <v>90649</v>
      </c>
      <c r="G54"/>
      <c r="H54"/>
      <c r="I54"/>
    </row>
    <row r="55" spans="1:9">
      <c r="A55" t="str">
        <f>INDEX([6]Country_name_ref!$A$4:$A$227,MATCH('[6]Overview +ISO'!C55,[6]Country_name_ref!$B$4:$B$227,1))</f>
        <v>MNG</v>
      </c>
      <c r="B55" t="str">
        <f>INDEX([6]Country_name_ref!$B$4:$B$227,MATCH(A55,[6]Country_name_ref!$A$4:$A$227,0))</f>
        <v>Mongolia</v>
      </c>
      <c r="C55" s="824" t="s">
        <v>243</v>
      </c>
      <c r="D55" s="815">
        <v>70000</v>
      </c>
      <c r="E55" s="816" t="s">
        <v>541</v>
      </c>
      <c r="F55" s="817">
        <v>71067</v>
      </c>
      <c r="G55"/>
      <c r="H55"/>
      <c r="I55"/>
    </row>
    <row r="56" spans="1:9">
      <c r="A56" t="str">
        <f>INDEX([6]Country_name_ref!$A$4:$A$227,MATCH('[6]Overview +ISO'!C56,[6]Country_name_ref!$B$4:$B$227,1))</f>
        <v>MAR</v>
      </c>
      <c r="B56" t="str">
        <f>INDEX([6]Country_name_ref!$B$4:$B$227,MATCH(A56,[6]Country_name_ref!$A$4:$A$227,0))</f>
        <v>Morocco</v>
      </c>
      <c r="C56" s="818" t="s">
        <v>725</v>
      </c>
      <c r="D56" s="819">
        <v>590000</v>
      </c>
      <c r="E56" s="820" t="s">
        <v>541</v>
      </c>
      <c r="F56" s="811" t="s">
        <v>1437</v>
      </c>
      <c r="G56"/>
      <c r="H56"/>
      <c r="I56"/>
    </row>
    <row r="57" spans="1:9">
      <c r="A57" t="str">
        <f>INDEX([6]Country_name_ref!$A$4:$A$227,MATCH('[6]Overview +ISO'!C57,[6]Country_name_ref!$B$4:$B$227,1))</f>
        <v>MOZ</v>
      </c>
      <c r="B57" t="str">
        <f>INDEX([6]Country_name_ref!$B$4:$B$227,MATCH(A57,[6]Country_name_ref!$A$4:$A$227,0))</f>
        <v>Mozambique</v>
      </c>
      <c r="C57" s="814" t="s">
        <v>246</v>
      </c>
      <c r="D57" s="815">
        <v>760000</v>
      </c>
      <c r="E57" s="816" t="s">
        <v>541</v>
      </c>
      <c r="F57" s="817">
        <v>322906</v>
      </c>
      <c r="G57"/>
      <c r="H57"/>
      <c r="I57"/>
    </row>
    <row r="58" spans="1:9">
      <c r="A58" t="str">
        <f>INDEX([6]Country_name_ref!$A$4:$A$227,MATCH('[6]Overview +ISO'!C58,[6]Country_name_ref!$B$4:$B$227,1))</f>
        <v>MMR</v>
      </c>
      <c r="B58" t="str">
        <f>INDEX([6]Country_name_ref!$B$4:$B$227,MATCH(A58,[6]Country_name_ref!$A$4:$A$227,0))</f>
        <v>Myanmar</v>
      </c>
      <c r="C58" s="818" t="s">
        <v>247</v>
      </c>
      <c r="D58" s="819">
        <v>1170000</v>
      </c>
      <c r="E58" s="820" t="s">
        <v>546</v>
      </c>
      <c r="F58" s="811" t="s">
        <v>1437</v>
      </c>
      <c r="G58"/>
      <c r="H58"/>
      <c r="I58"/>
    </row>
    <row r="59" spans="1:9">
      <c r="A59" t="str">
        <f>INDEX([6]Country_name_ref!$A$4:$A$227,MATCH('[6]Overview +ISO'!C59,[6]Country_name_ref!$B$4:$B$227,1))</f>
        <v>NPL</v>
      </c>
      <c r="B59" t="str">
        <f>INDEX([6]Country_name_ref!$B$4:$B$227,MATCH(A59,[6]Country_name_ref!$A$4:$A$227,0))</f>
        <v>Nepal</v>
      </c>
      <c r="C59" s="824" t="s">
        <v>250</v>
      </c>
      <c r="D59" s="815">
        <v>720000</v>
      </c>
      <c r="E59" s="816" t="s">
        <v>541</v>
      </c>
      <c r="F59" s="817">
        <v>737464</v>
      </c>
      <c r="G59"/>
      <c r="H59"/>
      <c r="I59"/>
    </row>
    <row r="60" spans="1:9">
      <c r="A60" t="str">
        <f>INDEX([6]Country_name_ref!$A$4:$A$227,MATCH('[6]Overview +ISO'!C60,[6]Country_name_ref!$B$4:$B$227,1))</f>
        <v>NIC</v>
      </c>
      <c r="B60" t="str">
        <f>INDEX([6]Country_name_ref!$B$4:$B$227,MATCH(A60,[6]Country_name_ref!$A$4:$A$227,0))</f>
        <v>Nicaragua</v>
      </c>
      <c r="C60" s="818" t="s">
        <v>251</v>
      </c>
      <c r="D60" s="819">
        <v>210000</v>
      </c>
      <c r="E60" s="820" t="s">
        <v>541</v>
      </c>
      <c r="F60" s="821">
        <v>218802</v>
      </c>
      <c r="G60"/>
      <c r="H60"/>
      <c r="I60"/>
    </row>
    <row r="61" spans="1:9">
      <c r="A61" t="str">
        <f>INDEX([6]Country_name_ref!$A$4:$A$227,MATCH('[6]Overview +ISO'!C61,[6]Country_name_ref!$B$4:$B$227,1))</f>
        <v>NER</v>
      </c>
      <c r="B61" t="str">
        <f>INDEX([6]Country_name_ref!$B$4:$B$227,MATCH(A61,[6]Country_name_ref!$A$4:$A$227,0))</f>
        <v>Niger</v>
      </c>
      <c r="C61" s="814" t="s">
        <v>252</v>
      </c>
      <c r="D61" s="815">
        <v>620000</v>
      </c>
      <c r="E61" s="816" t="s">
        <v>541</v>
      </c>
      <c r="F61" s="817">
        <v>639701</v>
      </c>
      <c r="G61"/>
      <c r="H61"/>
      <c r="I61"/>
    </row>
    <row r="62" spans="1:9">
      <c r="A62" t="str">
        <f>INDEX([6]Country_name_ref!$A$4:$A$227,MATCH('[6]Overview +ISO'!C62,[6]Country_name_ref!$B$4:$B$227,1))</f>
        <v>NGA</v>
      </c>
      <c r="B62" t="str">
        <f>INDEX([6]Country_name_ref!$B$4:$B$227,MATCH(A62,[6]Country_name_ref!$A$4:$A$227,0))</f>
        <v>Nigeria</v>
      </c>
      <c r="C62" s="822" t="s">
        <v>253</v>
      </c>
      <c r="D62" s="819">
        <v>2500000</v>
      </c>
      <c r="E62" s="820" t="s">
        <v>541</v>
      </c>
      <c r="F62" s="821">
        <v>2554787</v>
      </c>
      <c r="G62"/>
      <c r="H62"/>
      <c r="I62"/>
    </row>
    <row r="63" spans="1:9">
      <c r="A63" t="str">
        <f>INDEX([6]Country_name_ref!$A$4:$A$227,MATCH('[6]Overview +ISO'!C63,[6]Country_name_ref!$B$4:$B$227,1))</f>
        <v>PAK</v>
      </c>
      <c r="B63" t="str">
        <f>INDEX([6]Country_name_ref!$B$4:$B$227,MATCH(A63,[6]Country_name_ref!$A$4:$A$227,0))</f>
        <v>Pakistan</v>
      </c>
      <c r="C63" s="824" t="s">
        <v>255</v>
      </c>
      <c r="D63" s="815">
        <v>2500000</v>
      </c>
      <c r="E63" s="816" t="s">
        <v>541</v>
      </c>
      <c r="F63" s="817">
        <v>2538909</v>
      </c>
      <c r="G63"/>
      <c r="H63"/>
      <c r="I63"/>
    </row>
    <row r="64" spans="1:9">
      <c r="A64" t="str">
        <f>INDEX([6]Country_name_ref!$A$4:$A$227,MATCH('[6]Overview +ISO'!C64,[6]Country_name_ref!$B$4:$B$227,1))</f>
        <v>PNG</v>
      </c>
      <c r="B64" t="str">
        <f>INDEX([6]Country_name_ref!$B$4:$B$227,MATCH(A64,[6]Country_name_ref!$A$4:$A$227,0))</f>
        <v>Papua New Guinea</v>
      </c>
      <c r="C64" s="822" t="s">
        <v>258</v>
      </c>
      <c r="D64" s="819">
        <v>290000</v>
      </c>
      <c r="E64" s="820" t="s">
        <v>541</v>
      </c>
      <c r="F64" s="821">
        <v>199349</v>
      </c>
      <c r="G64"/>
      <c r="H64"/>
      <c r="I64"/>
    </row>
    <row r="65" spans="1:9">
      <c r="A65" t="str">
        <f>INDEX([6]Country_name_ref!$A$4:$A$227,MATCH('[6]Overview +ISO'!C65,[6]Country_name_ref!$B$4:$B$227,1))</f>
        <v>PHL</v>
      </c>
      <c r="B65" t="str">
        <f>INDEX([6]Country_name_ref!$B$4:$B$227,MATCH(A65,[6]Country_name_ref!$A$4:$A$227,0))</f>
        <v>Philippines</v>
      </c>
      <c r="C65" s="814" t="s">
        <v>261</v>
      </c>
      <c r="D65" s="815">
        <v>1360000</v>
      </c>
      <c r="E65" s="816" t="s">
        <v>541</v>
      </c>
      <c r="F65" s="817">
        <v>1428676</v>
      </c>
      <c r="G65"/>
      <c r="H65"/>
      <c r="I65"/>
    </row>
    <row r="66" spans="1:9">
      <c r="A66" t="str">
        <f>INDEX([6]Country_name_ref!$A$4:$A$227,MATCH('[6]Overview +ISO'!C66,[6]Country_name_ref!$B$4:$B$227,1))</f>
        <v>RWA</v>
      </c>
      <c r="B66" t="str">
        <f>INDEX([6]Country_name_ref!$B$4:$B$227,MATCH(A66,[6]Country_name_ref!$A$4:$A$227,0))</f>
        <v>Rwanda</v>
      </c>
      <c r="C66" s="818" t="s">
        <v>264</v>
      </c>
      <c r="D66" s="819">
        <v>380000</v>
      </c>
      <c r="E66" s="820" t="s">
        <v>541</v>
      </c>
      <c r="F66" s="821">
        <v>381994</v>
      </c>
      <c r="G66"/>
      <c r="H66"/>
      <c r="I66"/>
    </row>
    <row r="67" spans="1:9">
      <c r="A67" t="str">
        <f>INDEX([6]Country_name_ref!$A$4:$A$227,MATCH('[6]Overview +ISO'!C67,[6]Country_name_ref!$B$4:$B$227,1))</f>
        <v>WSM</v>
      </c>
      <c r="B67" t="str">
        <f>INDEX([6]Country_name_ref!$B$4:$B$227,MATCH(A67,[6]Country_name_ref!$A$4:$A$227,0))</f>
        <v>Samoa</v>
      </c>
      <c r="C67" s="814" t="s">
        <v>265</v>
      </c>
      <c r="D67" s="815">
        <v>50000</v>
      </c>
      <c r="E67" s="816" t="s">
        <v>546</v>
      </c>
      <c r="F67" s="823" t="s">
        <v>1437</v>
      </c>
      <c r="G67"/>
      <c r="H67"/>
      <c r="I67"/>
    </row>
    <row r="68" spans="1:9">
      <c r="A68" t="str">
        <f>INDEX([6]Country_name_ref!$A$4:$A$227,MATCH('[6]Overview +ISO'!C68,[6]Country_name_ref!$B$4:$B$227,1))</f>
        <v>STP</v>
      </c>
      <c r="B68" t="str">
        <f>INDEX([6]Country_name_ref!$B$4:$B$227,MATCH(A68,[6]Country_name_ref!$A$4:$A$227,0))</f>
        <v>Sao Tome and Principe</v>
      </c>
      <c r="C68" s="822" t="s">
        <v>726</v>
      </c>
      <c r="D68" s="819">
        <v>80000</v>
      </c>
      <c r="E68" s="820" t="s">
        <v>541</v>
      </c>
      <c r="F68" s="821">
        <v>91602</v>
      </c>
      <c r="G68"/>
      <c r="H68"/>
      <c r="I68"/>
    </row>
    <row r="69" spans="1:9">
      <c r="A69" t="str">
        <f>INDEX([6]Country_name_ref!$A$4:$A$227,MATCH('[6]Overview +ISO'!C69,[6]Country_name_ref!$B$4:$B$227,1))</f>
        <v>SEN</v>
      </c>
      <c r="B69" t="str">
        <f>INDEX([6]Country_name_ref!$B$4:$B$227,MATCH(A69,[6]Country_name_ref!$A$4:$A$227,0))</f>
        <v>Senegal</v>
      </c>
      <c r="C69" s="814" t="s">
        <v>267</v>
      </c>
      <c r="D69" s="815">
        <v>460000</v>
      </c>
      <c r="E69" s="816" t="s">
        <v>541</v>
      </c>
      <c r="F69" s="817">
        <v>463070</v>
      </c>
      <c r="G69"/>
      <c r="H69"/>
      <c r="I69"/>
    </row>
    <row r="70" spans="1:9">
      <c r="A70" t="str">
        <f>INDEX([6]Country_name_ref!$A$4:$A$227,MATCH('[6]Overview +ISO'!C70,[6]Country_name_ref!$B$4:$B$227,1))</f>
        <v>SLE</v>
      </c>
      <c r="B70" t="str">
        <f>INDEX([6]Country_name_ref!$B$4:$B$227,MATCH(A70,[6]Country_name_ref!$A$4:$A$227,0))</f>
        <v>Sierra Leone</v>
      </c>
      <c r="C70" s="818" t="s">
        <v>269</v>
      </c>
      <c r="D70" s="819">
        <v>260000</v>
      </c>
      <c r="E70" s="820" t="s">
        <v>541</v>
      </c>
      <c r="F70" s="821">
        <v>279827</v>
      </c>
      <c r="G70"/>
      <c r="H70"/>
      <c r="I70"/>
    </row>
    <row r="71" spans="1:9">
      <c r="A71" t="str">
        <f>INDEX([6]Country_name_ref!$A$4:$A$227,MATCH('[6]Overview +ISO'!C71,[6]Country_name_ref!$B$4:$B$227,1))</f>
        <v>SLB</v>
      </c>
      <c r="B71" t="str">
        <f>INDEX([6]Country_name_ref!$B$4:$B$227,MATCH(A71,[6]Country_name_ref!$A$4:$A$227,0))</f>
        <v>Solomon Islands</v>
      </c>
      <c r="C71" s="814" t="s">
        <v>270</v>
      </c>
      <c r="D71" s="815">
        <v>80000</v>
      </c>
      <c r="E71" s="816" t="s">
        <v>546</v>
      </c>
      <c r="F71" s="823" t="s">
        <v>1437</v>
      </c>
      <c r="G71"/>
      <c r="H71"/>
      <c r="I71"/>
    </row>
    <row r="72" spans="1:9">
      <c r="A72" t="str">
        <f>INDEX([6]Country_name_ref!$A$4:$A$227,MATCH('[6]Overview +ISO'!C72,[6]Country_name_ref!$B$4:$B$227,1))</f>
        <v>SOM</v>
      </c>
      <c r="B72" t="str">
        <f>INDEX([6]Country_name_ref!$B$4:$B$227,MATCH(A72,[6]Country_name_ref!$A$4:$A$227,0))</f>
        <v>Somalia</v>
      </c>
      <c r="C72" s="818" t="s">
        <v>271</v>
      </c>
      <c r="D72" s="819">
        <v>440000</v>
      </c>
      <c r="E72" s="820" t="s">
        <v>541</v>
      </c>
      <c r="F72" s="821">
        <v>455449</v>
      </c>
      <c r="G72"/>
      <c r="H72"/>
      <c r="I72"/>
    </row>
    <row r="73" spans="1:9">
      <c r="A73" t="str">
        <f>INDEX([6]Country_name_ref!$A$4:$A$227,MATCH('[6]Overview +ISO'!C73,[6]Country_name_ref!$B$4:$B$227,1))</f>
        <v>SSD</v>
      </c>
      <c r="B73" t="str">
        <f>INDEX([6]Country_name_ref!$B$4:$B$227,MATCH(A73,[6]Country_name_ref!$A$4:$A$227,0))</f>
        <v>South Sudan</v>
      </c>
      <c r="C73" s="824" t="s">
        <v>273</v>
      </c>
      <c r="D73" s="815">
        <v>340000</v>
      </c>
      <c r="E73" s="816" t="s">
        <v>541</v>
      </c>
      <c r="F73" s="817">
        <v>344160</v>
      </c>
      <c r="G73"/>
      <c r="H73"/>
      <c r="I73"/>
    </row>
    <row r="74" spans="1:9">
      <c r="A74" t="str">
        <f>INDEX([6]Country_name_ref!$A$4:$A$227,MATCH('[6]Overview +ISO'!C74,[6]Country_name_ref!$B$4:$B$227,1))</f>
        <v>LKA</v>
      </c>
      <c r="B74" t="str">
        <f>INDEX([6]Country_name_ref!$B$4:$B$227,MATCH(A74,[6]Country_name_ref!$A$4:$A$227,0))</f>
        <v>Sri Lanka</v>
      </c>
      <c r="C74" s="818" t="s">
        <v>274</v>
      </c>
      <c r="D74" s="819">
        <v>370000</v>
      </c>
      <c r="E74" s="820" t="s">
        <v>541</v>
      </c>
      <c r="F74" s="821">
        <v>374093</v>
      </c>
      <c r="G74"/>
      <c r="H74"/>
      <c r="I74"/>
    </row>
    <row r="75" spans="1:9">
      <c r="A75" t="str">
        <f>INDEX([6]Country_name_ref!$A$4:$A$227,MATCH('[6]Overview +ISO'!C75,[6]Country_name_ref!$B$4:$B$227,1))</f>
        <v>LCA</v>
      </c>
      <c r="B75" t="str">
        <f>INDEX([6]Country_name_ref!$B$4:$B$227,MATCH(A75,[6]Country_name_ref!$A$4:$A$227,0))</f>
        <v>St. Lucia</v>
      </c>
      <c r="C75" s="814" t="s">
        <v>154</v>
      </c>
      <c r="D75" s="815">
        <v>50000</v>
      </c>
      <c r="E75" s="816" t="s">
        <v>546</v>
      </c>
      <c r="F75" s="823" t="s">
        <v>1437</v>
      </c>
      <c r="G75"/>
      <c r="H75"/>
      <c r="I75"/>
    </row>
    <row r="76" spans="1:9">
      <c r="A76" t="str">
        <f>INDEX([6]Country_name_ref!$A$4:$A$227,MATCH('[6]Overview +ISO'!C76,[6]Country_name_ref!$B$4:$B$227,1))</f>
        <v>VCT</v>
      </c>
      <c r="B76" t="str">
        <f>INDEX([6]Country_name_ref!$B$4:$B$227,MATCH(A76,[6]Country_name_ref!$A$4:$A$227,0))</f>
        <v>St. Vincent and the Grenadines</v>
      </c>
      <c r="C76" s="818" t="s">
        <v>155</v>
      </c>
      <c r="D76" s="819">
        <v>50000</v>
      </c>
      <c r="E76" s="820" t="s">
        <v>546</v>
      </c>
      <c r="F76" s="811" t="s">
        <v>1437</v>
      </c>
      <c r="G76"/>
      <c r="H76"/>
      <c r="I76"/>
    </row>
    <row r="77" spans="1:9">
      <c r="A77" t="str">
        <f>INDEX([6]Country_name_ref!$A$4:$A$227,MATCH('[6]Overview +ISO'!C77,[6]Country_name_ref!$B$4:$B$227,1))</f>
        <v>SDN</v>
      </c>
      <c r="B77" t="str">
        <f>INDEX([6]Country_name_ref!$B$4:$B$227,MATCH(A77,[6]Country_name_ref!$A$4:$A$227,0))</f>
        <v>Sudan</v>
      </c>
      <c r="C77" s="814" t="s">
        <v>277</v>
      </c>
      <c r="D77" s="815">
        <v>1000000</v>
      </c>
      <c r="E77" s="816" t="s">
        <v>541</v>
      </c>
      <c r="F77" s="817">
        <v>936629</v>
      </c>
      <c r="G77"/>
      <c r="H77"/>
      <c r="I77"/>
    </row>
    <row r="78" spans="1:9">
      <c r="A78" t="str">
        <f>INDEX([6]Country_name_ref!$A$4:$A$227,MATCH('[6]Overview +ISO'!C78,[6]Country_name_ref!$B$4:$B$227,1))</f>
        <v>SYR</v>
      </c>
      <c r="B78" t="str">
        <f>INDEX([6]Country_name_ref!$B$4:$B$227,MATCH(A78,[6]Country_name_ref!$A$4:$A$227,0))</f>
        <v>Syrian Arab Republic</v>
      </c>
      <c r="C78" s="818" t="s">
        <v>727</v>
      </c>
      <c r="D78" s="819">
        <v>336000</v>
      </c>
      <c r="E78" s="820" t="s">
        <v>541</v>
      </c>
      <c r="F78" s="821">
        <v>340991</v>
      </c>
      <c r="G78"/>
      <c r="H78"/>
      <c r="I78"/>
    </row>
    <row r="79" spans="1:9">
      <c r="A79" t="str">
        <f>INDEX([6]Country_name_ref!$A$4:$A$227,MATCH('[6]Overview +ISO'!C79,[6]Country_name_ref!$B$4:$B$227,1))</f>
        <v>SYR</v>
      </c>
      <c r="B79" t="str">
        <f>INDEX([6]Country_name_ref!$B$4:$B$227,MATCH(A79,[6]Country_name_ref!$A$4:$A$227,0))</f>
        <v>Syrian Arab Republic</v>
      </c>
      <c r="C79" s="814" t="s">
        <v>728</v>
      </c>
      <c r="D79" s="815">
        <v>144000</v>
      </c>
      <c r="E79" s="816" t="s">
        <v>541</v>
      </c>
      <c r="F79" s="817">
        <v>100000</v>
      </c>
      <c r="G79"/>
      <c r="H79"/>
      <c r="I79"/>
    </row>
    <row r="80" spans="1:9">
      <c r="A80" t="str">
        <f>INDEX([6]Country_name_ref!$A$4:$A$227,MATCH('[6]Overview +ISO'!C80,[6]Country_name_ref!$B$4:$B$227,1))</f>
        <v>TJK</v>
      </c>
      <c r="B80" t="str">
        <f>INDEX([6]Country_name_ref!$B$4:$B$227,MATCH(A80,[6]Country_name_ref!$A$4:$A$227,0))</f>
        <v>Tajikistan</v>
      </c>
      <c r="C80" s="818" t="s">
        <v>280</v>
      </c>
      <c r="D80" s="819">
        <v>300000</v>
      </c>
      <c r="E80" s="820" t="s">
        <v>541</v>
      </c>
      <c r="F80" s="821">
        <v>365913</v>
      </c>
      <c r="G80"/>
      <c r="H80"/>
      <c r="I80"/>
    </row>
    <row r="81" spans="1:9">
      <c r="A81" t="str">
        <f>INDEX([6]Country_name_ref!$A$4:$A$227,MATCH('[6]Overview +ISO'!C81,[6]Country_name_ref!$B$4:$B$227,1))</f>
        <v>TZA</v>
      </c>
      <c r="B81" t="str">
        <f>INDEX([6]Country_name_ref!$B$4:$B$227,MATCH(A81,[6]Country_name_ref!$A$4:$A$227,0))</f>
        <v>Tanzania</v>
      </c>
      <c r="C81" s="814" t="s">
        <v>156</v>
      </c>
      <c r="D81" s="815">
        <v>1250000</v>
      </c>
      <c r="E81" s="816" t="s">
        <v>541</v>
      </c>
      <c r="F81" s="817">
        <v>1266103</v>
      </c>
      <c r="G81"/>
      <c r="H81"/>
      <c r="I81"/>
    </row>
    <row r="82" spans="1:9">
      <c r="A82" t="str">
        <f>INDEX([6]Country_name_ref!$A$4:$A$227,MATCH('[6]Overview +ISO'!C82,[6]Country_name_ref!$B$4:$B$227,1))</f>
        <v>TLS</v>
      </c>
      <c r="B82" t="str">
        <f>INDEX([6]Country_name_ref!$B$4:$B$227,MATCH(A82,[6]Country_name_ref!$A$4:$A$227,0))</f>
        <v>Timor-Leste</v>
      </c>
      <c r="C82" s="818" t="s">
        <v>281</v>
      </c>
      <c r="D82" s="819">
        <v>50000</v>
      </c>
      <c r="E82" s="820" t="s">
        <v>541</v>
      </c>
      <c r="F82" s="821">
        <v>50361</v>
      </c>
      <c r="G82"/>
      <c r="H82"/>
      <c r="I82"/>
    </row>
    <row r="83" spans="1:9">
      <c r="A83" t="str">
        <f>INDEX([6]Country_name_ref!$A$4:$A$227,MATCH('[6]Overview +ISO'!C83,[6]Country_name_ref!$B$4:$B$227,1))</f>
        <v>TGO</v>
      </c>
      <c r="B83" t="str">
        <f>INDEX([6]Country_name_ref!$B$4:$B$227,MATCH(A83,[6]Country_name_ref!$A$4:$A$227,0))</f>
        <v>Togo</v>
      </c>
      <c r="C83" s="814" t="s">
        <v>282</v>
      </c>
      <c r="D83" s="815">
        <v>260000</v>
      </c>
      <c r="E83" s="816" t="s">
        <v>541</v>
      </c>
      <c r="F83" s="817">
        <v>283310</v>
      </c>
      <c r="G83"/>
      <c r="H83"/>
      <c r="I83"/>
    </row>
    <row r="84" spans="1:9">
      <c r="A84" t="str">
        <f>INDEX([6]Country_name_ref!$A$4:$A$227,MATCH('[6]Overview +ISO'!C84,[6]Country_name_ref!$B$4:$B$227,1))</f>
        <v>TON</v>
      </c>
      <c r="B84" t="str">
        <f>INDEX([6]Country_name_ref!$B$4:$B$227,MATCH(A84,[6]Country_name_ref!$A$4:$A$227,0))</f>
        <v>Tonga</v>
      </c>
      <c r="C84" s="818" t="s">
        <v>283</v>
      </c>
      <c r="D84" s="819">
        <v>50000</v>
      </c>
      <c r="E84" s="820" t="s">
        <v>546</v>
      </c>
      <c r="F84" s="811" t="s">
        <v>1437</v>
      </c>
      <c r="G84"/>
      <c r="H84"/>
      <c r="I84"/>
    </row>
    <row r="85" spans="1:9">
      <c r="A85" t="str">
        <f>INDEX([6]Country_name_ref!$A$4:$A$227,MATCH('[6]Overview +ISO'!C85,[6]Country_name_ref!$B$4:$B$227,1))</f>
        <v>TUN</v>
      </c>
      <c r="B85" t="str">
        <f>INDEX([6]Country_name_ref!$B$4:$B$227,MATCH(A85,[6]Country_name_ref!$A$4:$A$227,0))</f>
        <v>Tunisia</v>
      </c>
      <c r="C85" s="814" t="s">
        <v>285</v>
      </c>
      <c r="D85" s="815">
        <v>240000</v>
      </c>
      <c r="E85" s="816" t="s">
        <v>541</v>
      </c>
      <c r="F85" s="817">
        <v>275648</v>
      </c>
      <c r="G85"/>
      <c r="H85"/>
      <c r="I85"/>
    </row>
    <row r="86" spans="1:9">
      <c r="A86" t="str">
        <f>INDEX([6]Country_name_ref!$A$4:$A$227,MATCH('[6]Overview +ISO'!C86,[6]Country_name_ref!$B$4:$B$227,1))</f>
        <v>TUV</v>
      </c>
      <c r="B86" t="str">
        <f>INDEX([6]Country_name_ref!$B$4:$B$227,MATCH(A86,[6]Country_name_ref!$A$4:$A$227,0))</f>
        <v>Tuvalu</v>
      </c>
      <c r="C86" s="818" t="s">
        <v>288</v>
      </c>
      <c r="D86" s="819">
        <v>50000</v>
      </c>
      <c r="E86" s="820" t="s">
        <v>546</v>
      </c>
      <c r="F86" s="811" t="s">
        <v>1437</v>
      </c>
      <c r="G86"/>
      <c r="H86"/>
      <c r="I86"/>
    </row>
    <row r="87" spans="1:9">
      <c r="A87" t="str">
        <f>INDEX([6]Country_name_ref!$A$4:$A$227,MATCH('[6]Overview +ISO'!C87,[6]Country_name_ref!$B$4:$B$227,1))</f>
        <v>UGA</v>
      </c>
      <c r="B87" t="str">
        <f>INDEX([6]Country_name_ref!$B$4:$B$227,MATCH(A87,[6]Country_name_ref!$A$4:$A$227,0))</f>
        <v>Uganda</v>
      </c>
      <c r="C87" s="824" t="s">
        <v>289</v>
      </c>
      <c r="D87" s="815">
        <v>1030000</v>
      </c>
      <c r="E87" s="816" t="s">
        <v>541</v>
      </c>
      <c r="F87" s="817">
        <v>1044909</v>
      </c>
      <c r="G87"/>
      <c r="H87"/>
      <c r="I87"/>
    </row>
    <row r="88" spans="1:9">
      <c r="A88" t="str">
        <f>INDEX([6]Country_name_ref!$A$4:$A$227,MATCH('[6]Overview +ISO'!C88,[6]Country_name_ref!$B$4:$B$227,1))</f>
        <v>UKR</v>
      </c>
      <c r="B88" t="str">
        <f>INDEX([6]Country_name_ref!$B$4:$B$227,MATCH(A88,[6]Country_name_ref!$A$4:$A$227,0))</f>
        <v>Ukraine</v>
      </c>
      <c r="C88" s="818" t="s">
        <v>290</v>
      </c>
      <c r="D88" s="819">
        <v>670000</v>
      </c>
      <c r="E88" s="820" t="s">
        <v>541</v>
      </c>
      <c r="F88" s="821">
        <v>681003</v>
      </c>
      <c r="G88"/>
      <c r="H88"/>
      <c r="I88"/>
    </row>
    <row r="89" spans="1:9">
      <c r="A89" t="str">
        <f>INDEX([6]Country_name_ref!$A$4:$A$227,MATCH('[6]Overview +ISO'!C89,[6]Country_name_ref!$B$4:$B$227,1))</f>
        <v>UZB</v>
      </c>
      <c r="B89" t="str">
        <f>INDEX([6]Country_name_ref!$B$4:$B$227,MATCH(A89,[6]Country_name_ref!$A$4:$A$227,0))</f>
        <v>Uzbekistan</v>
      </c>
      <c r="C89" s="814" t="s">
        <v>292</v>
      </c>
      <c r="D89" s="815">
        <v>810000</v>
      </c>
      <c r="E89" s="816" t="s">
        <v>541</v>
      </c>
      <c r="F89" s="817">
        <v>949999</v>
      </c>
      <c r="G89"/>
      <c r="H89"/>
      <c r="I89"/>
    </row>
    <row r="90" spans="1:9">
      <c r="A90" t="str">
        <f>INDEX([6]Country_name_ref!$A$4:$A$227,MATCH('[6]Overview +ISO'!C90,[6]Country_name_ref!$B$4:$B$227,1))</f>
        <v>VUT</v>
      </c>
      <c r="B90" t="str">
        <f>INDEX([6]Country_name_ref!$B$4:$B$227,MATCH(A90,[6]Country_name_ref!$A$4:$A$227,0))</f>
        <v>Vanuatu</v>
      </c>
      <c r="C90" s="818" t="s">
        <v>293</v>
      </c>
      <c r="D90" s="819">
        <v>50000</v>
      </c>
      <c r="E90" s="820" t="s">
        <v>546</v>
      </c>
      <c r="F90" s="811" t="s">
        <v>1437</v>
      </c>
      <c r="G90"/>
      <c r="H90"/>
      <c r="I90"/>
    </row>
    <row r="91" spans="1:9">
      <c r="A91" t="str">
        <f>INDEX([6]Country_name_ref!$A$4:$A$227,MATCH('[6]Overview +ISO'!C91,[6]Country_name_ref!$B$4:$B$227,1))</f>
        <v>VNM</v>
      </c>
      <c r="B91" t="str">
        <f>INDEX([6]Country_name_ref!$B$4:$B$227,MATCH(A91,[6]Country_name_ref!$A$4:$A$227,0))</f>
        <v>Vietnam</v>
      </c>
      <c r="C91" s="814" t="s">
        <v>295</v>
      </c>
      <c r="D91" s="815">
        <v>1230000</v>
      </c>
      <c r="E91" s="816" t="s">
        <v>541</v>
      </c>
      <c r="F91" s="817">
        <v>1230395</v>
      </c>
      <c r="G91"/>
      <c r="H91"/>
      <c r="I91"/>
    </row>
    <row r="92" spans="1:9">
      <c r="A92" t="str">
        <f>INDEX([6]Country_name_ref!$A$4:$A$227,MATCH('[6]Overview +ISO'!C92,[6]Country_name_ref!$B$4:$B$227,1))</f>
        <v>PSE</v>
      </c>
      <c r="B92" t="str">
        <f>INDEX([6]Country_name_ref!$B$4:$B$227,MATCH(A92,[6]Country_name_ref!$A$4:$A$227,0))</f>
        <v>West Bank and Gaza</v>
      </c>
      <c r="C92" s="818" t="s">
        <v>729</v>
      </c>
      <c r="D92" s="819">
        <v>110000</v>
      </c>
      <c r="E92" s="820" t="s">
        <v>546</v>
      </c>
      <c r="F92" s="811" t="s">
        <v>1437</v>
      </c>
      <c r="G92"/>
      <c r="H92"/>
      <c r="I92"/>
    </row>
    <row r="93" spans="1:9">
      <c r="A93" t="s">
        <v>698</v>
      </c>
      <c r="B93" t="str">
        <f>INDEX([6]Country_name_ref!$B$4:$B$227,MATCH(A93,[6]Country_name_ref!$A$4:$A$227,0))</f>
        <v>Yemen, Rep.</v>
      </c>
      <c r="C93" s="814" t="s">
        <v>730</v>
      </c>
      <c r="D93" s="815">
        <v>730000</v>
      </c>
      <c r="E93" s="816" t="s">
        <v>541</v>
      </c>
      <c r="F93" s="817">
        <v>738190</v>
      </c>
      <c r="G93"/>
      <c r="H93"/>
      <c r="I93"/>
    </row>
    <row r="94" spans="1:9">
      <c r="A94" t="str">
        <f>INDEX([6]Country_name_ref!$A$4:$A$227,MATCH('[6]Overview +ISO'!C94,[6]Country_name_ref!$B$4:$B$227,1))</f>
        <v>ZMB</v>
      </c>
      <c r="B94" t="str">
        <f>INDEX([6]Country_name_ref!$B$4:$B$227,MATCH(A94,[6]Country_name_ref!$A$4:$A$227,0))</f>
        <v>Zambia</v>
      </c>
      <c r="C94" s="818" t="s">
        <v>297</v>
      </c>
      <c r="D94" s="819">
        <v>490000</v>
      </c>
      <c r="E94" s="820" t="s">
        <v>541</v>
      </c>
      <c r="F94" s="821">
        <v>520291</v>
      </c>
      <c r="G94"/>
      <c r="H94"/>
      <c r="I94"/>
    </row>
    <row r="95" spans="1:9">
      <c r="A95" t="str">
        <f>INDEX([6]Country_name_ref!$A$4:$A$227,MATCH('[6]Overview +ISO'!C95,[6]Country_name_ref!$B$4:$B$227,1))</f>
        <v>ZWE</v>
      </c>
      <c r="B95" t="str">
        <f>INDEX([6]Country_name_ref!$B$4:$B$227,MATCH(A95,[6]Country_name_ref!$A$4:$A$227,0))</f>
        <v>Zimbabwe</v>
      </c>
      <c r="C95" s="814" t="s">
        <v>298</v>
      </c>
      <c r="D95" s="815">
        <v>420000</v>
      </c>
      <c r="E95" s="816" t="s">
        <v>541</v>
      </c>
      <c r="F95" s="823" t="s">
        <v>1437</v>
      </c>
      <c r="G95"/>
      <c r="H95"/>
      <c r="I95"/>
    </row>
    <row r="96" spans="1:9">
      <c r="C96" s="811"/>
      <c r="D96" s="811"/>
      <c r="E96" s="811"/>
      <c r="F96" s="811"/>
      <c r="G96"/>
      <c r="H96"/>
      <c r="I96"/>
    </row>
    <row r="97" spans="3:9">
      <c r="C97" s="825"/>
      <c r="D97" s="819"/>
      <c r="E97" s="819"/>
      <c r="F97" s="819"/>
      <c r="G97"/>
      <c r="H97"/>
      <c r="I97"/>
    </row>
    <row r="98" spans="3:9">
      <c r="C98" s="811"/>
      <c r="D98" s="811"/>
      <c r="E98" s="811"/>
      <c r="F98" s="811"/>
      <c r="G98"/>
      <c r="H98"/>
      <c r="I98"/>
    </row>
    <row r="99" spans="3:9">
      <c r="C99" s="811"/>
      <c r="D99" s="811"/>
      <c r="E99" s="811"/>
      <c r="F99" s="811"/>
      <c r="G99"/>
      <c r="H99"/>
      <c r="I99"/>
    </row>
    <row r="100" spans="3:9">
      <c r="C100" s="811"/>
      <c r="D100" s="811"/>
      <c r="E100" s="811"/>
      <c r="F100" s="811"/>
      <c r="G100"/>
      <c r="H100"/>
      <c r="I100"/>
    </row>
    <row r="101" spans="3:9">
      <c r="C101" s="811"/>
      <c r="D101" s="811"/>
      <c r="E101" s="811"/>
      <c r="F101" s="811"/>
      <c r="G101"/>
      <c r="H101"/>
      <c r="I101"/>
    </row>
    <row r="102" spans="3:9">
      <c r="C102" s="811"/>
      <c r="D102" s="811"/>
      <c r="E102" s="811"/>
      <c r="F102" s="811"/>
      <c r="G102"/>
      <c r="H102"/>
      <c r="I102"/>
    </row>
    <row r="103" spans="3:9">
      <c r="C103" s="811"/>
      <c r="D103" s="811"/>
      <c r="E103" s="811"/>
      <c r="F103" s="811"/>
      <c r="G103"/>
      <c r="H103"/>
      <c r="I103"/>
    </row>
    <row r="104" spans="3:9">
      <c r="C104" s="811"/>
      <c r="D104" s="811"/>
      <c r="E104" s="811"/>
      <c r="F104" s="821"/>
      <c r="G104"/>
      <c r="H104"/>
      <c r="I104"/>
    </row>
    <row r="105" spans="3:9">
      <c r="C105" s="811"/>
      <c r="D105" s="811"/>
      <c r="E105" s="811"/>
      <c r="F105" s="811"/>
      <c r="G105"/>
      <c r="H105"/>
      <c r="I105"/>
    </row>
    <row r="106" spans="3:9">
      <c r="C106" s="811"/>
      <c r="D106" s="811"/>
      <c r="E106" s="811"/>
      <c r="F106" s="811"/>
      <c r="G106"/>
      <c r="H106"/>
      <c r="I106"/>
    </row>
    <row r="107" spans="3:9">
      <c r="C107" s="811"/>
      <c r="D107" s="811"/>
      <c r="E107" s="811"/>
      <c r="F107" s="811"/>
      <c r="G107"/>
      <c r="H107"/>
      <c r="I107"/>
    </row>
    <row r="108" spans="3:9">
      <c r="C108" s="811"/>
      <c r="D108" s="811"/>
      <c r="E108" s="811"/>
      <c r="F108" s="811"/>
      <c r="G108"/>
      <c r="H108"/>
      <c r="I108"/>
    </row>
    <row r="109" spans="3:9">
      <c r="C109" s="811"/>
      <c r="D109" s="811"/>
      <c r="E109" s="811"/>
      <c r="F109" s="811"/>
      <c r="G109"/>
      <c r="H109"/>
      <c r="I109"/>
    </row>
    <row r="110" spans="3:9">
      <c r="C110" s="811"/>
      <c r="D110" s="811"/>
      <c r="E110" s="811"/>
      <c r="F110" s="821"/>
      <c r="G110"/>
      <c r="H110"/>
      <c r="I110"/>
    </row>
    <row r="111" spans="3:9">
      <c r="C111" s="811"/>
      <c r="D111" s="811"/>
      <c r="E111" s="811"/>
      <c r="F111" s="821"/>
      <c r="G111"/>
      <c r="H111"/>
      <c r="I111"/>
    </row>
    <row r="112" spans="3:9">
      <c r="C112" s="811"/>
      <c r="D112" s="811"/>
      <c r="E112" s="811"/>
      <c r="F112" s="811"/>
      <c r="G112"/>
      <c r="H112"/>
      <c r="I112"/>
    </row>
    <row r="113" spans="3:9">
      <c r="C113" s="811"/>
      <c r="D113" s="811"/>
      <c r="E113" s="811"/>
      <c r="F113" s="811"/>
      <c r="G113"/>
      <c r="H113"/>
      <c r="I113"/>
    </row>
    <row r="114" spans="3:9">
      <c r="C114" s="811"/>
      <c r="D114" s="811"/>
      <c r="E114" s="811"/>
      <c r="F114" s="811"/>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71B2-9C74-4651-BC68-5AC6E917310E}">
  <dimension ref="A1:R92"/>
  <sheetViews>
    <sheetView zoomScale="85" zoomScaleNormal="85" workbookViewId="0">
      <pane xSplit="3" ySplit="1" topLeftCell="M2" activePane="bottomRight" state="frozen"/>
      <selection pane="topRight" activeCell="D1" sqref="D1"/>
      <selection pane="bottomLeft" activeCell="A2" sqref="A2"/>
      <selection pane="bottomRight" activeCell="N81" sqref="N81"/>
    </sheetView>
  </sheetViews>
  <sheetFormatPr defaultColWidth="8.58203125" defaultRowHeight="15.5"/>
  <cols>
    <col min="1" max="1" width="16.33203125" style="645" customWidth="1"/>
    <col min="2" max="2" width="17.08203125" style="644" customWidth="1"/>
    <col min="3" max="3" width="19.83203125" style="644" bestFit="1" customWidth="1"/>
    <col min="4" max="4" width="13.75" style="644" bestFit="1" customWidth="1"/>
    <col min="5" max="5" width="20.58203125" style="644" bestFit="1" customWidth="1"/>
    <col min="6" max="6" width="20.58203125" style="644" customWidth="1"/>
    <col min="7" max="7" width="23.83203125" style="644" customWidth="1"/>
    <col min="8" max="8" width="17.58203125" style="644" customWidth="1"/>
    <col min="9" max="9" width="32.58203125" style="644" customWidth="1"/>
    <col min="10" max="10" width="17.58203125" style="644" customWidth="1"/>
    <col min="11" max="11" width="23.5" style="644" customWidth="1"/>
    <col min="12" max="12" width="27.5" style="644" customWidth="1"/>
    <col min="13" max="15" width="23.5" customWidth="1"/>
    <col min="16" max="16" width="18.75" style="645" customWidth="1"/>
    <col min="17" max="17" width="17.5" style="645" customWidth="1"/>
    <col min="18" max="18" width="15.33203125" style="645" customWidth="1"/>
    <col min="19" max="16384" width="8.58203125" style="645"/>
  </cols>
  <sheetData>
    <row r="1" spans="1:18">
      <c r="A1" t="s">
        <v>432</v>
      </c>
      <c r="B1" t="s">
        <v>1438</v>
      </c>
      <c r="C1" t="s">
        <v>358</v>
      </c>
      <c r="D1" t="s">
        <v>122</v>
      </c>
      <c r="E1" t="s">
        <v>1439</v>
      </c>
      <c r="F1" t="s">
        <v>1440</v>
      </c>
      <c r="G1" t="s">
        <v>1441</v>
      </c>
      <c r="H1" t="s">
        <v>1442</v>
      </c>
      <c r="I1" t="s">
        <v>1443</v>
      </c>
      <c r="J1" t="s">
        <v>1444</v>
      </c>
      <c r="K1" t="s">
        <v>1445</v>
      </c>
      <c r="L1" t="s">
        <v>1446</v>
      </c>
      <c r="M1" t="s">
        <v>1447</v>
      </c>
      <c r="N1" t="s">
        <v>1448</v>
      </c>
      <c r="O1" t="s">
        <v>1449</v>
      </c>
      <c r="P1"/>
      <c r="Q1"/>
    </row>
    <row r="2" spans="1:18">
      <c r="A2" s="784" t="s">
        <v>540</v>
      </c>
      <c r="B2" t="s">
        <v>1450</v>
      </c>
      <c r="C2" t="s">
        <v>160</v>
      </c>
      <c r="D2" t="s">
        <v>1451</v>
      </c>
      <c r="E2" t="s">
        <v>1452</v>
      </c>
      <c r="F2" t="str">
        <f>INDEX($Q$2:$Q$6,MATCH(Table14[[#This Row],[CDS status]],$P$2:$P$6,0))</f>
        <v>Disbursed</v>
      </c>
      <c r="G2" s="784">
        <v>7900000</v>
      </c>
      <c r="H2" s="784">
        <v>7900000</v>
      </c>
      <c r="I2" s="784">
        <f>Table14[[#This Row],[Amount requested (USD)]]-Table14[[#This Row],[Amount approved (USD)]]</f>
        <v>0</v>
      </c>
      <c r="J2" s="784">
        <v>7481878</v>
      </c>
      <c r="K2" s="784">
        <f>Table14[[#This Row],[Amount approved (USD)]]-Table14[[#This Row],[Amount disbursed (USD)]]</f>
        <v>418122</v>
      </c>
      <c r="L2" s="810">
        <f>Table14[[#This Row],[Amount disbursed (USD)]]/Table14[[#This Row],[Amount approved (USD)]]</f>
        <v>0.947073164556962</v>
      </c>
      <c r="M2" s="785" t="s">
        <v>1453</v>
      </c>
      <c r="N2" s="784">
        <v>6949908</v>
      </c>
      <c r="O2" s="784" t="str">
        <f>IF(Table14[[#This Row],[AMC classification]]="AMC - GAVI","Gavi","UNICEF")</f>
        <v>Gavi</v>
      </c>
      <c r="P2" t="s">
        <v>1454</v>
      </c>
      <c r="Q2" t="s">
        <v>1455</v>
      </c>
    </row>
    <row r="3" spans="1:18">
      <c r="A3" s="784" t="s">
        <v>545</v>
      </c>
      <c r="B3" t="s">
        <v>1456</v>
      </c>
      <c r="C3" t="s">
        <v>143</v>
      </c>
      <c r="D3" t="s">
        <v>1457</v>
      </c>
      <c r="E3" t="s">
        <v>1452</v>
      </c>
      <c r="F3" t="str">
        <f>INDEX($Q$2:$Q$6,MATCH(Table14[[#This Row],[CDS status]],$P$2:$P$6,0))</f>
        <v>Disbursed</v>
      </c>
      <c r="G3" s="784">
        <v>847780</v>
      </c>
      <c r="H3" s="784">
        <v>847780</v>
      </c>
      <c r="I3" s="784">
        <f>Table14[[#This Row],[Amount requested (USD)]]-Table14[[#This Row],[Amount approved (USD)]]</f>
        <v>0</v>
      </c>
      <c r="J3" s="784">
        <v>847780</v>
      </c>
      <c r="K3" s="784">
        <f>Table14[[#This Row],[Amount approved (USD)]]-Table14[[#This Row],[Amount disbursed (USD)]]</f>
        <v>0</v>
      </c>
      <c r="L3" s="810">
        <f>Table14[[#This Row],[Amount disbursed (USD)]]/Table14[[#This Row],[Amount approved (USD)]]</f>
        <v>1</v>
      </c>
      <c r="M3" s="785" t="s">
        <v>1458</v>
      </c>
      <c r="N3" s="784"/>
      <c r="O3" s="784" t="str">
        <f>IF(Table14[[#This Row],[AMC classification]]="AMC - GAVI","Gavi","UNICEF")</f>
        <v>UNICEF</v>
      </c>
      <c r="P3" t="s">
        <v>1459</v>
      </c>
      <c r="Q3" t="s">
        <v>406</v>
      </c>
    </row>
    <row r="4" spans="1:18">
      <c r="A4" s="784" t="s">
        <v>547</v>
      </c>
      <c r="B4" t="s">
        <v>1450</v>
      </c>
      <c r="C4" t="s">
        <v>162</v>
      </c>
      <c r="D4" t="s">
        <v>1457</v>
      </c>
      <c r="E4" t="s">
        <v>1452</v>
      </c>
      <c r="F4" t="str">
        <f>INDEX($Q$2:$Q$6,MATCH(Table14[[#This Row],[CDS status]],$P$2:$P$6,0))</f>
        <v>Disbursed</v>
      </c>
      <c r="G4" s="784">
        <v>3845583</v>
      </c>
      <c r="H4" s="784">
        <v>3845583</v>
      </c>
      <c r="I4" s="784">
        <f>Table14[[#This Row],[Amount requested (USD)]]-Table14[[#This Row],[Amount approved (USD)]]</f>
        <v>0</v>
      </c>
      <c r="J4" s="784">
        <v>3845583</v>
      </c>
      <c r="K4" s="784">
        <f>Table14[[#This Row],[Amount approved (USD)]]-Table14[[#This Row],[Amount disbursed (USD)]]</f>
        <v>0</v>
      </c>
      <c r="L4" s="810">
        <f>Table14[[#This Row],[Amount disbursed (USD)]]/Table14[[#This Row],[Amount approved (USD)]]</f>
        <v>1</v>
      </c>
      <c r="M4" s="785" t="s">
        <v>1460</v>
      </c>
      <c r="N4" s="784">
        <v>1000000</v>
      </c>
      <c r="O4" s="784" t="str">
        <f>IF(Table14[[#This Row],[AMC classification]]="AMC - GAVI","Gavi","UNICEF")</f>
        <v>Gavi</v>
      </c>
      <c r="P4" t="s">
        <v>1461</v>
      </c>
      <c r="Q4"/>
    </row>
    <row r="5" spans="1:18">
      <c r="A5" s="784" t="s">
        <v>557</v>
      </c>
      <c r="B5" t="s">
        <v>1450</v>
      </c>
      <c r="C5" t="s">
        <v>167</v>
      </c>
      <c r="D5" t="s">
        <v>1462</v>
      </c>
      <c r="E5" t="s">
        <v>1452</v>
      </c>
      <c r="F5" t="str">
        <f>INDEX($Q$2:$Q$6,MATCH(Table14[[#This Row],[CDS status]],$P$2:$P$6,0))</f>
        <v>Disbursed</v>
      </c>
      <c r="G5" s="784">
        <v>10151221</v>
      </c>
      <c r="H5" s="784">
        <v>10151221</v>
      </c>
      <c r="I5" s="784">
        <f>Table14[[#This Row],[Amount requested (USD)]]-Table14[[#This Row],[Amount approved (USD)]]</f>
        <v>0</v>
      </c>
      <c r="J5" s="784">
        <v>10151220</v>
      </c>
      <c r="K5" s="784">
        <f>Table14[[#This Row],[Amount approved (USD)]]-Table14[[#This Row],[Amount disbursed (USD)]]</f>
        <v>1</v>
      </c>
      <c r="L5" s="810">
        <f>Table14[[#This Row],[Amount disbursed (USD)]]/Table14[[#This Row],[Amount approved (USD)]]</f>
        <v>0.99999990148968287</v>
      </c>
      <c r="M5" s="785" t="s">
        <v>1463</v>
      </c>
      <c r="N5" s="784">
        <v>4927567</v>
      </c>
      <c r="O5" s="784" t="str">
        <f>IF(Table14[[#This Row],[AMC classification]]="AMC - GAVI","Gavi","UNICEF")</f>
        <v>Gavi</v>
      </c>
      <c r="P5" t="s">
        <v>1464</v>
      </c>
      <c r="Q5" t="s">
        <v>1465</v>
      </c>
    </row>
    <row r="6" spans="1:18">
      <c r="A6" s="784" t="s">
        <v>561</v>
      </c>
      <c r="B6" t="s">
        <v>1450</v>
      </c>
      <c r="C6" t="s">
        <v>170</v>
      </c>
      <c r="D6" t="s">
        <v>1457</v>
      </c>
      <c r="E6" t="s">
        <v>1452</v>
      </c>
      <c r="F6" t="str">
        <f>INDEX($Q$2:$Q$6,MATCH(Table14[[#This Row],[CDS status]],$P$2:$P$6,0))</f>
        <v>Disbursed</v>
      </c>
      <c r="G6" s="784">
        <v>1974300</v>
      </c>
      <c r="H6" s="784">
        <v>1974300</v>
      </c>
      <c r="I6" s="784">
        <f>Table14[[#This Row],[Amount requested (USD)]]-Table14[[#This Row],[Amount approved (USD)]]</f>
        <v>0</v>
      </c>
      <c r="J6" s="784">
        <v>1974291</v>
      </c>
      <c r="K6" s="784">
        <f>Table14[[#This Row],[Amount approved (USD)]]-Table14[[#This Row],[Amount disbursed (USD)]]</f>
        <v>9</v>
      </c>
      <c r="L6" s="810">
        <f>Table14[[#This Row],[Amount disbursed (USD)]]/Table14[[#This Row],[Amount approved (USD)]]</f>
        <v>0.99999544142227625</v>
      </c>
      <c r="M6" s="785" t="s">
        <v>1466</v>
      </c>
      <c r="N6" s="784">
        <v>1974291</v>
      </c>
      <c r="O6" s="784" t="str">
        <f>IF(Table14[[#This Row],[AMC classification]]="AMC - GAVI","Gavi","UNICEF")</f>
        <v>Gavi</v>
      </c>
      <c r="P6" t="s">
        <v>1467</v>
      </c>
      <c r="Q6" t="s">
        <v>1455</v>
      </c>
    </row>
    <row r="7" spans="1:18">
      <c r="A7" s="784" t="s">
        <v>563</v>
      </c>
      <c r="B7" t="s">
        <v>1456</v>
      </c>
      <c r="C7" t="s">
        <v>171</v>
      </c>
      <c r="D7" t="s">
        <v>1462</v>
      </c>
      <c r="E7" t="s">
        <v>1452</v>
      </c>
      <c r="F7" t="str">
        <f>INDEX($Q$2:$Q$6,MATCH(Table14[[#This Row],[CDS status]],$P$2:$P$6,0))</f>
        <v>Disbursed</v>
      </c>
      <c r="G7" s="784">
        <v>230000</v>
      </c>
      <c r="H7" s="784">
        <v>230000</v>
      </c>
      <c r="I7" s="784">
        <f>Table14[[#This Row],[Amount requested (USD)]]-Table14[[#This Row],[Amount approved (USD)]]</f>
        <v>0</v>
      </c>
      <c r="J7" s="784">
        <v>230000</v>
      </c>
      <c r="K7" s="784">
        <f>Table14[[#This Row],[Amount approved (USD)]]-Table14[[#This Row],[Amount disbursed (USD)]]</f>
        <v>0</v>
      </c>
      <c r="L7" s="810">
        <f>Table14[[#This Row],[Amount disbursed (USD)]]/Table14[[#This Row],[Amount approved (USD)]]</f>
        <v>1</v>
      </c>
      <c r="M7" s="785" t="s">
        <v>1458</v>
      </c>
      <c r="N7" s="784"/>
      <c r="O7" s="784" t="str">
        <f>IF(Table14[[#This Row],[AMC classification]]="AMC - GAVI","Gavi","UNICEF")</f>
        <v>UNICEF</v>
      </c>
      <c r="P7" t="s">
        <v>1468</v>
      </c>
      <c r="Q7"/>
    </row>
    <row r="8" spans="1:18">
      <c r="A8" s="784" t="s">
        <v>564</v>
      </c>
      <c r="B8" t="s">
        <v>1456</v>
      </c>
      <c r="C8" t="s">
        <v>1469</v>
      </c>
      <c r="D8" t="s">
        <v>1470</v>
      </c>
      <c r="E8" t="s">
        <v>1452</v>
      </c>
      <c r="F8" t="str">
        <f>INDEX($Q$2:$Q$6,MATCH(Table14[[#This Row],[CDS status]],$P$2:$P$6,0))</f>
        <v>Disbursed</v>
      </c>
      <c r="G8" s="784">
        <v>920000</v>
      </c>
      <c r="H8" s="784">
        <v>920000</v>
      </c>
      <c r="I8" s="784">
        <f>Table14[[#This Row],[Amount requested (USD)]]-Table14[[#This Row],[Amount approved (USD)]]</f>
        <v>0</v>
      </c>
      <c r="J8" s="784">
        <v>920000</v>
      </c>
      <c r="K8" s="784">
        <f>Table14[[#This Row],[Amount approved (USD)]]-Table14[[#This Row],[Amount disbursed (USD)]]</f>
        <v>0</v>
      </c>
      <c r="L8" s="810">
        <f>Table14[[#This Row],[Amount disbursed (USD)]]/Table14[[#This Row],[Amount approved (USD)]]</f>
        <v>1</v>
      </c>
      <c r="M8" s="785" t="s">
        <v>1458</v>
      </c>
      <c r="N8" s="784"/>
      <c r="O8" s="784" t="str">
        <f>IF(Table14[[#This Row],[AMC classification]]="AMC - GAVI","Gavi","UNICEF")</f>
        <v>UNICEF</v>
      </c>
      <c r="P8"/>
      <c r="Q8"/>
    </row>
    <row r="9" spans="1:18">
      <c r="A9" s="784" t="s">
        <v>569</v>
      </c>
      <c r="B9" t="s">
        <v>1450</v>
      </c>
      <c r="C9" t="s">
        <v>177</v>
      </c>
      <c r="D9" t="s">
        <v>1457</v>
      </c>
      <c r="E9" t="s">
        <v>1452</v>
      </c>
      <c r="F9" t="str">
        <f>INDEX($Q$2:$Q$6,MATCH(Table14[[#This Row],[CDS status]],$P$2:$P$6,0))</f>
        <v>Disbursed</v>
      </c>
      <c r="G9" s="784">
        <v>1144242</v>
      </c>
      <c r="H9" s="784">
        <v>1144242</v>
      </c>
      <c r="I9" s="784">
        <f>Table14[[#This Row],[Amount requested (USD)]]-Table14[[#This Row],[Amount approved (USD)]]</f>
        <v>0</v>
      </c>
      <c r="J9" s="784">
        <v>1144242</v>
      </c>
      <c r="K9" s="784">
        <f>Table14[[#This Row],[Amount approved (USD)]]-Table14[[#This Row],[Amount disbursed (USD)]]</f>
        <v>0</v>
      </c>
      <c r="L9" s="810">
        <f>Table14[[#This Row],[Amount disbursed (USD)]]/Table14[[#This Row],[Amount approved (USD)]]</f>
        <v>1</v>
      </c>
      <c r="M9" s="785" t="s">
        <v>1471</v>
      </c>
      <c r="N9" s="784"/>
      <c r="O9" s="784" t="str">
        <f>IF(Table14[[#This Row],[AMC classification]]="AMC - GAVI","Gavi","UNICEF")</f>
        <v>Gavi</v>
      </c>
      <c r="P9"/>
      <c r="Q9"/>
      <c r="R9" s="1003"/>
    </row>
    <row r="10" spans="1:18">
      <c r="A10" s="784" t="s">
        <v>571</v>
      </c>
      <c r="B10" t="s">
        <v>1456</v>
      </c>
      <c r="C10" t="s">
        <v>179</v>
      </c>
      <c r="D10" t="s">
        <v>1457</v>
      </c>
      <c r="E10" t="s">
        <v>1452</v>
      </c>
      <c r="F10" t="str">
        <f>INDEX($Q$2:$Q$6,MATCH(Table14[[#This Row],[CDS status]],$P$2:$P$6,0))</f>
        <v>Disbursed</v>
      </c>
      <c r="G10" s="784">
        <v>72358</v>
      </c>
      <c r="H10" s="784">
        <v>72358</v>
      </c>
      <c r="I10" s="784">
        <f>Table14[[#This Row],[Amount requested (USD)]]-Table14[[#This Row],[Amount approved (USD)]]</f>
        <v>0</v>
      </c>
      <c r="J10" s="784">
        <v>72358</v>
      </c>
      <c r="K10" s="784">
        <f>Table14[[#This Row],[Amount approved (USD)]]-Table14[[#This Row],[Amount disbursed (USD)]]</f>
        <v>0</v>
      </c>
      <c r="L10" s="810">
        <f>Table14[[#This Row],[Amount disbursed (USD)]]/Table14[[#This Row],[Amount approved (USD)]]</f>
        <v>1</v>
      </c>
      <c r="M10" s="785" t="s">
        <v>1472</v>
      </c>
      <c r="N10" s="784"/>
      <c r="O10" s="784" t="str">
        <f>IF(Table14[[#This Row],[AMC classification]]="AMC - GAVI","Gavi","UNICEF")</f>
        <v>UNICEF</v>
      </c>
      <c r="P10"/>
      <c r="Q10"/>
      <c r="R10" s="651"/>
    </row>
    <row r="11" spans="1:18">
      <c r="A11" s="784" t="s">
        <v>572</v>
      </c>
      <c r="B11" t="s">
        <v>1450</v>
      </c>
      <c r="C11" t="s">
        <v>180</v>
      </c>
      <c r="D11" t="s">
        <v>1473</v>
      </c>
      <c r="E11" t="s">
        <v>1452</v>
      </c>
      <c r="F11" t="str">
        <f>INDEX($Q$2:$Q$6,MATCH(Table14[[#This Row],[CDS status]],$P$2:$P$6,0))</f>
        <v>Disbursed</v>
      </c>
      <c r="G11" s="784">
        <v>1299795</v>
      </c>
      <c r="H11" s="784">
        <v>1299795</v>
      </c>
      <c r="I11" s="784">
        <f>Table14[[#This Row],[Amount requested (USD)]]-Table14[[#This Row],[Amount approved (USD)]]</f>
        <v>0</v>
      </c>
      <c r="J11" s="784">
        <v>1238955</v>
      </c>
      <c r="K11" s="784">
        <f>Table14[[#This Row],[Amount approved (USD)]]-Table14[[#This Row],[Amount disbursed (USD)]]</f>
        <v>60840</v>
      </c>
      <c r="L11" s="810">
        <f>Table14[[#This Row],[Amount disbursed (USD)]]/Table14[[#This Row],[Amount approved (USD)]]</f>
        <v>0.95319261883604722</v>
      </c>
      <c r="M11" s="785" t="s">
        <v>1453</v>
      </c>
      <c r="N11" s="784"/>
      <c r="O11" s="784" t="str">
        <f>IF(Table14[[#This Row],[AMC classification]]="AMC - GAVI","Gavi","UNICEF")</f>
        <v>Gavi</v>
      </c>
      <c r="P11"/>
      <c r="Q11"/>
    </row>
    <row r="12" spans="1:18">
      <c r="A12" s="784" t="s">
        <v>573</v>
      </c>
      <c r="B12" t="s">
        <v>1450</v>
      </c>
      <c r="C12" t="s">
        <v>181</v>
      </c>
      <c r="D12" t="s">
        <v>1457</v>
      </c>
      <c r="E12" t="s">
        <v>1452</v>
      </c>
      <c r="F12" t="str">
        <f>INDEX($Q$2:$Q$6,MATCH(Table14[[#This Row],[CDS status]],$P$2:$P$6,0))</f>
        <v>Disbursed</v>
      </c>
      <c r="G12" s="784">
        <v>5507618</v>
      </c>
      <c r="H12" s="784">
        <v>5507618</v>
      </c>
      <c r="I12" s="784">
        <f>Table14[[#This Row],[Amount requested (USD)]]-Table14[[#This Row],[Amount approved (USD)]]</f>
        <v>0</v>
      </c>
      <c r="J12" s="784">
        <v>5427618</v>
      </c>
      <c r="K12" s="784">
        <f>Table14[[#This Row],[Amount approved (USD)]]-Table14[[#This Row],[Amount disbursed (USD)]]</f>
        <v>80000</v>
      </c>
      <c r="L12" s="810">
        <f>Table14[[#This Row],[Amount disbursed (USD)]]/Table14[[#This Row],[Amount approved (USD)]]</f>
        <v>0.98547466436488518</v>
      </c>
      <c r="M12" s="785" t="s">
        <v>1453</v>
      </c>
      <c r="N12" s="784">
        <v>196992</v>
      </c>
      <c r="O12" s="784" t="str">
        <f>IF(Table14[[#This Row],[AMC classification]]="AMC - GAVI","Gavi","UNICEF")</f>
        <v>Gavi</v>
      </c>
      <c r="P12"/>
      <c r="Q12"/>
    </row>
    <row r="13" spans="1:18">
      <c r="A13" s="784" t="s">
        <v>574</v>
      </c>
      <c r="B13" t="s">
        <v>1450</v>
      </c>
      <c r="C13" t="s">
        <v>716</v>
      </c>
      <c r="D13" t="s">
        <v>1457</v>
      </c>
      <c r="E13" t="s">
        <v>1452</v>
      </c>
      <c r="F13" t="str">
        <f>INDEX($Q$2:$Q$6,MATCH(Table14[[#This Row],[CDS status]],$P$2:$P$6,0))</f>
        <v>Disbursed</v>
      </c>
      <c r="G13" s="784">
        <v>1303508</v>
      </c>
      <c r="H13" s="784">
        <v>1303508</v>
      </c>
      <c r="I13" s="784">
        <f>Table14[[#This Row],[Amount requested (USD)]]-Table14[[#This Row],[Amount approved (USD)]]</f>
        <v>0</v>
      </c>
      <c r="J13" s="784">
        <v>1303508</v>
      </c>
      <c r="K13" s="784">
        <f>Table14[[#This Row],[Amount approved (USD)]]-Table14[[#This Row],[Amount disbursed (USD)]]</f>
        <v>0</v>
      </c>
      <c r="L13" s="810">
        <f>Table14[[#This Row],[Amount disbursed (USD)]]/Table14[[#This Row],[Amount approved (USD)]]</f>
        <v>1</v>
      </c>
      <c r="M13" s="785" t="s">
        <v>1474</v>
      </c>
      <c r="N13" s="784">
        <v>1303508</v>
      </c>
      <c r="O13" s="784" t="str">
        <f>IF(Table14[[#This Row],[AMC classification]]="AMC - GAVI","Gavi","UNICEF")</f>
        <v>Gavi</v>
      </c>
      <c r="P13"/>
      <c r="Q13"/>
    </row>
    <row r="14" spans="1:18">
      <c r="A14" s="784" t="s">
        <v>576</v>
      </c>
      <c r="B14" t="s">
        <v>1450</v>
      </c>
      <c r="C14" t="s">
        <v>183</v>
      </c>
      <c r="D14" t="s">
        <v>1457</v>
      </c>
      <c r="E14" t="s">
        <v>1452</v>
      </c>
      <c r="F14" t="str">
        <f>INDEX($Q$2:$Q$6,MATCH(Table14[[#This Row],[CDS status]],$P$2:$P$6,0))</f>
        <v>Disbursed</v>
      </c>
      <c r="G14" s="784">
        <v>5000000</v>
      </c>
      <c r="H14" s="784">
        <v>5000000</v>
      </c>
      <c r="I14" s="784">
        <f>Table14[[#This Row],[Amount requested (USD)]]-Table14[[#This Row],[Amount approved (USD)]]</f>
        <v>0</v>
      </c>
      <c r="J14" s="784">
        <v>4700000</v>
      </c>
      <c r="K14" s="784">
        <f>Table14[[#This Row],[Amount approved (USD)]]-Table14[[#This Row],[Amount disbursed (USD)]]</f>
        <v>300000</v>
      </c>
      <c r="L14" s="810">
        <f>Table14[[#This Row],[Amount disbursed (USD)]]/Table14[[#This Row],[Amount approved (USD)]]</f>
        <v>0.94</v>
      </c>
      <c r="M14" s="785" t="s">
        <v>1474</v>
      </c>
      <c r="N14" s="784"/>
      <c r="O14" s="784" t="str">
        <f>IF(Table14[[#This Row],[AMC classification]]="AMC - GAVI","Gavi","UNICEF")</f>
        <v>Gavi</v>
      </c>
      <c r="P14"/>
      <c r="Q14"/>
    </row>
    <row r="15" spans="1:18">
      <c r="A15" s="784" t="s">
        <v>580</v>
      </c>
      <c r="B15" t="s">
        <v>1450</v>
      </c>
      <c r="C15" t="s">
        <v>187</v>
      </c>
      <c r="D15" t="s">
        <v>1457</v>
      </c>
      <c r="E15" t="s">
        <v>1452</v>
      </c>
      <c r="F15" t="str">
        <f>INDEX($Q$2:$Q$6,MATCH(Table14[[#This Row],[CDS status]],$P$2:$P$6,0))</f>
        <v>Disbursed</v>
      </c>
      <c r="G15" s="784">
        <v>978461</v>
      </c>
      <c r="H15" s="784">
        <v>146720</v>
      </c>
      <c r="I15" s="784">
        <f>Table14[[#This Row],[Amount requested (USD)]]-Table14[[#This Row],[Amount approved (USD)]]</f>
        <v>831741</v>
      </c>
      <c r="J15" s="784">
        <v>146720</v>
      </c>
      <c r="K15" s="784">
        <f>Table14[[#This Row],[Amount approved (USD)]]-Table14[[#This Row],[Amount disbursed (USD)]]</f>
        <v>0</v>
      </c>
      <c r="L15" s="810">
        <f>Table14[[#This Row],[Amount disbursed (USD)]]/Table14[[#This Row],[Amount approved (USD)]]</f>
        <v>1</v>
      </c>
      <c r="M15" s="785" t="s">
        <v>1460</v>
      </c>
      <c r="N15" s="784">
        <v>146720</v>
      </c>
      <c r="O15" s="784" t="str">
        <f>IF(Table14[[#This Row],[AMC classification]]="AMC - GAVI","Gavi","UNICEF")</f>
        <v>Gavi</v>
      </c>
      <c r="P15"/>
      <c r="Q15"/>
    </row>
    <row r="16" spans="1:18">
      <c r="A16" s="784" t="s">
        <v>582</v>
      </c>
      <c r="B16" t="s">
        <v>1450</v>
      </c>
      <c r="C16" t="s">
        <v>1475</v>
      </c>
      <c r="D16" t="s">
        <v>1457</v>
      </c>
      <c r="E16" t="s">
        <v>1452</v>
      </c>
      <c r="F16" t="str">
        <f>INDEX($Q$2:$Q$6,MATCH(Table14[[#This Row],[CDS status]],$P$2:$P$6,0))</f>
        <v>Disbursed</v>
      </c>
      <c r="G16" s="784">
        <v>978461</v>
      </c>
      <c r="H16" s="784">
        <v>978461</v>
      </c>
      <c r="I16" s="784">
        <f>Table14[[#This Row],[Amount requested (USD)]]-Table14[[#This Row],[Amount approved (USD)]]</f>
        <v>0</v>
      </c>
      <c r="J16" s="784">
        <v>978460</v>
      </c>
      <c r="K16" s="784">
        <f>Table14[[#This Row],[Amount approved (USD)]]-Table14[[#This Row],[Amount disbursed (USD)]]</f>
        <v>1</v>
      </c>
      <c r="L16" s="810">
        <f>Table14[[#This Row],[Amount disbursed (USD)]]/Table14[[#This Row],[Amount approved (USD)]]</f>
        <v>0.99999897798685899</v>
      </c>
      <c r="M16" s="785" t="s">
        <v>1476</v>
      </c>
      <c r="N16" s="784">
        <v>978460</v>
      </c>
      <c r="O16" s="784" t="str">
        <f>IF(Table14[[#This Row],[AMC classification]]="AMC - GAVI","Gavi","UNICEF")</f>
        <v>Gavi</v>
      </c>
      <c r="P16"/>
      <c r="Q16"/>
    </row>
    <row r="17" spans="1:17">
      <c r="A17" s="784" t="s">
        <v>586</v>
      </c>
      <c r="B17" t="s">
        <v>1450</v>
      </c>
      <c r="C17" t="s">
        <v>192</v>
      </c>
      <c r="D17" t="s">
        <v>1457</v>
      </c>
      <c r="E17" t="s">
        <v>1452</v>
      </c>
      <c r="F17" t="str">
        <f>INDEX($Q$2:$Q$6,MATCH(Table14[[#This Row],[CDS status]],$P$2:$P$6,0))</f>
        <v>Disbursed</v>
      </c>
      <c r="G17" s="784">
        <v>2628307</v>
      </c>
      <c r="H17" s="784">
        <v>2628307</v>
      </c>
      <c r="I17" s="784">
        <f>Table14[[#This Row],[Amount requested (USD)]]-Table14[[#This Row],[Amount approved (USD)]]</f>
        <v>0</v>
      </c>
      <c r="J17" s="784">
        <v>2628307</v>
      </c>
      <c r="K17" s="784">
        <f>Table14[[#This Row],[Amount approved (USD)]]-Table14[[#This Row],[Amount disbursed (USD)]]</f>
        <v>0</v>
      </c>
      <c r="L17" s="810">
        <f>Table14[[#This Row],[Amount disbursed (USD)]]/Table14[[#This Row],[Amount approved (USD)]]</f>
        <v>1</v>
      </c>
      <c r="M17" s="785" t="s">
        <v>1477</v>
      </c>
      <c r="N17" s="784"/>
      <c r="O17" s="784" t="str">
        <f>IF(Table14[[#This Row],[AMC classification]]="AMC - GAVI","Gavi","UNICEF")</f>
        <v>Gavi</v>
      </c>
      <c r="P17"/>
      <c r="Q17"/>
    </row>
    <row r="18" spans="1:17">
      <c r="A18" s="784" t="s">
        <v>581</v>
      </c>
      <c r="B18" t="s">
        <v>1450</v>
      </c>
      <c r="C18" t="s">
        <v>1478</v>
      </c>
      <c r="D18" t="s">
        <v>1457</v>
      </c>
      <c r="E18" t="s">
        <v>1452</v>
      </c>
      <c r="F18" t="str">
        <f>INDEX($Q$2:$Q$6,MATCH(Table14[[#This Row],[CDS status]],$P$2:$P$6,0))</f>
        <v>Disbursed</v>
      </c>
      <c r="G18" s="784">
        <v>13252291</v>
      </c>
      <c r="H18" s="784">
        <v>13252291</v>
      </c>
      <c r="I18" s="784">
        <f>Table14[[#This Row],[Amount requested (USD)]]-Table14[[#This Row],[Amount approved (USD)]]</f>
        <v>0</v>
      </c>
      <c r="J18" s="784">
        <v>13184599</v>
      </c>
      <c r="K18" s="784">
        <f>Table14[[#This Row],[Amount approved (USD)]]-Table14[[#This Row],[Amount disbursed (USD)]]</f>
        <v>67692</v>
      </c>
      <c r="L18" s="810">
        <f>Table14[[#This Row],[Amount disbursed (USD)]]/Table14[[#This Row],[Amount approved (USD)]]</f>
        <v>0.99489205300426919</v>
      </c>
      <c r="M18" s="785" t="s">
        <v>1479</v>
      </c>
      <c r="N18" s="784">
        <v>8507891</v>
      </c>
      <c r="O18" s="784" t="str">
        <f>IF(Table14[[#This Row],[AMC classification]]="AMC - GAVI","Gavi","UNICEF")</f>
        <v>Gavi</v>
      </c>
      <c r="P18"/>
      <c r="Q18"/>
    </row>
    <row r="19" spans="1:17">
      <c r="A19" s="784" t="s">
        <v>589</v>
      </c>
      <c r="B19" t="s">
        <v>1450</v>
      </c>
      <c r="C19" t="s">
        <v>194</v>
      </c>
      <c r="D19" t="s">
        <v>1451</v>
      </c>
      <c r="E19" t="s">
        <v>1452</v>
      </c>
      <c r="F19" t="str">
        <f>INDEX($Q$2:$Q$6,MATCH(Table14[[#This Row],[CDS status]],$P$2:$P$6,0))</f>
        <v>Disbursed</v>
      </c>
      <c r="G19" s="784">
        <v>978421</v>
      </c>
      <c r="H19" s="784">
        <v>978421</v>
      </c>
      <c r="I19" s="784">
        <f>Table14[[#This Row],[Amount requested (USD)]]-Table14[[#This Row],[Amount approved (USD)]]</f>
        <v>0</v>
      </c>
      <c r="J19" s="784">
        <v>978421</v>
      </c>
      <c r="K19" s="784">
        <f>Table14[[#This Row],[Amount approved (USD)]]-Table14[[#This Row],[Amount disbursed (USD)]]</f>
        <v>0</v>
      </c>
      <c r="L19" s="810">
        <f>Table14[[#This Row],[Amount disbursed (USD)]]/Table14[[#This Row],[Amount approved (USD)]]</f>
        <v>1</v>
      </c>
      <c r="M19" s="785" t="s">
        <v>1480</v>
      </c>
      <c r="N19" s="784">
        <v>292108</v>
      </c>
      <c r="O19" s="784" t="str">
        <f>IF(Table14[[#This Row],[AMC classification]]="AMC - GAVI","Gavi","UNICEF")</f>
        <v>Gavi</v>
      </c>
      <c r="P19"/>
      <c r="Q19"/>
    </row>
    <row r="20" spans="1:17">
      <c r="A20" s="784" t="s">
        <v>590</v>
      </c>
      <c r="B20" t="s">
        <v>1456</v>
      </c>
      <c r="C20" t="s">
        <v>195</v>
      </c>
      <c r="D20" t="s">
        <v>1470</v>
      </c>
      <c r="E20" t="s">
        <v>1452</v>
      </c>
      <c r="F20" t="str">
        <f>INDEX($Q$2:$Q$6,MATCH(Table14[[#This Row],[CDS status]],$P$2:$P$6,0))</f>
        <v>Disbursed</v>
      </c>
      <c r="G20" s="784">
        <v>230000</v>
      </c>
      <c r="H20" s="784">
        <v>230000</v>
      </c>
      <c r="I20" s="784">
        <f>Table14[[#This Row],[Amount requested (USD)]]-Table14[[#This Row],[Amount approved (USD)]]</f>
        <v>0</v>
      </c>
      <c r="J20" s="784">
        <v>230000</v>
      </c>
      <c r="K20" s="784">
        <f>Table14[[#This Row],[Amount approved (USD)]]-Table14[[#This Row],[Amount disbursed (USD)]]</f>
        <v>0</v>
      </c>
      <c r="L20" s="810">
        <f>Table14[[#This Row],[Amount disbursed (USD)]]/Table14[[#This Row],[Amount approved (USD)]]</f>
        <v>1</v>
      </c>
      <c r="M20" s="785" t="s">
        <v>1481</v>
      </c>
      <c r="N20" s="784"/>
      <c r="O20" s="784" t="str">
        <f>IF(Table14[[#This Row],[AMC classification]]="AMC - GAVI","Gavi","UNICEF")</f>
        <v>UNICEF</v>
      </c>
      <c r="P20"/>
      <c r="Q20"/>
    </row>
    <row r="21" spans="1:17">
      <c r="A21" s="784" t="s">
        <v>593</v>
      </c>
      <c r="B21" t="s">
        <v>1456</v>
      </c>
      <c r="C21" t="s">
        <v>198</v>
      </c>
      <c r="D21" t="s">
        <v>1451</v>
      </c>
      <c r="E21" t="s">
        <v>1452</v>
      </c>
      <c r="F21" t="str">
        <f>INDEX($Q$2:$Q$6,MATCH(Table14[[#This Row],[CDS status]],$P$2:$P$6,0))</f>
        <v>Disbursed</v>
      </c>
      <c r="G21" s="784">
        <v>4499931</v>
      </c>
      <c r="H21" s="784">
        <v>4499931</v>
      </c>
      <c r="I21" s="784">
        <f>Table14[[#This Row],[Amount requested (USD)]]-Table14[[#This Row],[Amount approved (USD)]]</f>
        <v>0</v>
      </c>
      <c r="J21" s="784">
        <v>4499931</v>
      </c>
      <c r="K21" s="784">
        <f>Table14[[#This Row],[Amount approved (USD)]]-Table14[[#This Row],[Amount disbursed (USD)]]</f>
        <v>0</v>
      </c>
      <c r="L21" s="810">
        <f>Table14[[#This Row],[Amount disbursed (USD)]]/Table14[[#This Row],[Amount approved (USD)]]</f>
        <v>1</v>
      </c>
      <c r="M21" s="785" t="s">
        <v>1481</v>
      </c>
      <c r="N21" s="784"/>
      <c r="O21" s="784" t="str">
        <f>IF(Table14[[#This Row],[AMC classification]]="AMC - GAVI","Gavi","UNICEF")</f>
        <v>UNICEF</v>
      </c>
      <c r="P21"/>
      <c r="Q21"/>
    </row>
    <row r="22" spans="1:17">
      <c r="A22" s="784" t="s">
        <v>594</v>
      </c>
      <c r="B22" t="s">
        <v>1456</v>
      </c>
      <c r="C22" t="s">
        <v>199</v>
      </c>
      <c r="D22" t="s">
        <v>1470</v>
      </c>
      <c r="E22" t="s">
        <v>1452</v>
      </c>
      <c r="F22" t="str">
        <f>INDEX($Q$2:$Q$6,MATCH(Table14[[#This Row],[CDS status]],$P$2:$P$6,0))</f>
        <v>Disbursed</v>
      </c>
      <c r="G22" s="784">
        <v>279812</v>
      </c>
      <c r="H22" s="784">
        <v>279812</v>
      </c>
      <c r="I22" s="784">
        <f>Table14[[#This Row],[Amount requested (USD)]]-Table14[[#This Row],[Amount approved (USD)]]</f>
        <v>0</v>
      </c>
      <c r="J22" s="784">
        <v>279812</v>
      </c>
      <c r="K22" s="784">
        <f>Table14[[#This Row],[Amount approved (USD)]]-Table14[[#This Row],[Amount disbursed (USD)]]</f>
        <v>0</v>
      </c>
      <c r="L22" s="810">
        <f>Table14[[#This Row],[Amount disbursed (USD)]]/Table14[[#This Row],[Amount approved (USD)]]</f>
        <v>1</v>
      </c>
      <c r="M22" s="785" t="s">
        <v>1458</v>
      </c>
      <c r="N22" s="784"/>
      <c r="O22" s="784" t="str">
        <f>IF(Table14[[#This Row],[AMC classification]]="AMC - GAVI","Gavi","UNICEF")</f>
        <v>UNICEF</v>
      </c>
      <c r="P22"/>
      <c r="Q22"/>
    </row>
    <row r="23" spans="1:17">
      <c r="A23" s="784" t="s">
        <v>597</v>
      </c>
      <c r="B23" t="s">
        <v>1456</v>
      </c>
      <c r="C23" t="s">
        <v>202</v>
      </c>
      <c r="D23" t="s">
        <v>1457</v>
      </c>
      <c r="E23" t="s">
        <v>1452</v>
      </c>
      <c r="F23" t="str">
        <f>INDEX($Q$2:$Q$6,MATCH(Table14[[#This Row],[CDS status]],$P$2:$P$6,0))</f>
        <v>Disbursed</v>
      </c>
      <c r="G23" s="784">
        <v>230000</v>
      </c>
      <c r="H23" s="784">
        <v>230000</v>
      </c>
      <c r="I23" s="784">
        <f>Table14[[#This Row],[Amount requested (USD)]]-Table14[[#This Row],[Amount approved (USD)]]</f>
        <v>0</v>
      </c>
      <c r="J23" s="784">
        <v>230000</v>
      </c>
      <c r="K23" s="784">
        <f>Table14[[#This Row],[Amount approved (USD)]]-Table14[[#This Row],[Amount disbursed (USD)]]</f>
        <v>0</v>
      </c>
      <c r="L23" s="810">
        <f>Table14[[#This Row],[Amount disbursed (USD)]]/Table14[[#This Row],[Amount approved (USD)]]</f>
        <v>1</v>
      </c>
      <c r="M23" s="785" t="s">
        <v>1481</v>
      </c>
      <c r="N23" s="784"/>
      <c r="O23" s="784" t="str">
        <f>IF(Table14[[#This Row],[AMC classification]]="AMC - GAVI","Gavi","UNICEF")</f>
        <v>UNICEF</v>
      </c>
      <c r="P23"/>
      <c r="Q23"/>
    </row>
    <row r="24" spans="1:17">
      <c r="A24" s="784" t="s">
        <v>598</v>
      </c>
      <c r="B24" t="s">
        <v>1450</v>
      </c>
      <c r="C24" t="s">
        <v>203</v>
      </c>
      <c r="D24" t="s">
        <v>1457</v>
      </c>
      <c r="E24" t="s">
        <v>1452</v>
      </c>
      <c r="F24" t="str">
        <f>INDEX($Q$2:$Q$6,MATCH(Table14[[#This Row],[CDS status]],$P$2:$P$6,0))</f>
        <v>Disbursed</v>
      </c>
      <c r="G24" s="784">
        <v>15000000</v>
      </c>
      <c r="H24" s="784">
        <v>15000000</v>
      </c>
      <c r="I24" s="784">
        <f>Table14[[#This Row],[Amount requested (USD)]]-Table14[[#This Row],[Amount approved (USD)]]</f>
        <v>0</v>
      </c>
      <c r="J24" s="784">
        <v>14685613</v>
      </c>
      <c r="K24" s="784">
        <f>Table14[[#This Row],[Amount approved (USD)]]-Table14[[#This Row],[Amount disbursed (USD)]]</f>
        <v>314387</v>
      </c>
      <c r="L24" s="810">
        <f>Table14[[#This Row],[Amount disbursed (USD)]]/Table14[[#This Row],[Amount approved (USD)]]</f>
        <v>0.97904086666666668</v>
      </c>
      <c r="M24" s="785" t="s">
        <v>1482</v>
      </c>
      <c r="N24" s="784"/>
      <c r="O24" s="784" t="str">
        <f>IF(Table14[[#This Row],[AMC classification]]="AMC - GAVI","Gavi","UNICEF")</f>
        <v>Gavi</v>
      </c>
      <c r="P24"/>
      <c r="Q24"/>
    </row>
    <row r="25" spans="1:17">
      <c r="A25" s="784" t="s">
        <v>599</v>
      </c>
      <c r="B25" t="s">
        <v>1456</v>
      </c>
      <c r="C25" t="s">
        <v>204</v>
      </c>
      <c r="D25" t="s">
        <v>1473</v>
      </c>
      <c r="E25" t="s">
        <v>1452</v>
      </c>
      <c r="F25" t="str">
        <f>INDEX($Q$2:$Q$6,MATCH(Table14[[#This Row],[CDS status]],$P$2:$P$6,0))</f>
        <v>Disbursed</v>
      </c>
      <c r="G25" s="784">
        <v>230000</v>
      </c>
      <c r="H25" s="784">
        <v>230000</v>
      </c>
      <c r="I25" s="784">
        <f>Table14[[#This Row],[Amount requested (USD)]]-Table14[[#This Row],[Amount approved (USD)]]</f>
        <v>0</v>
      </c>
      <c r="J25" s="784">
        <v>230000</v>
      </c>
      <c r="K25" s="784">
        <f>Table14[[#This Row],[Amount approved (USD)]]-Table14[[#This Row],[Amount disbursed (USD)]]</f>
        <v>0</v>
      </c>
      <c r="L25" s="810">
        <f>Table14[[#This Row],[Amount disbursed (USD)]]/Table14[[#This Row],[Amount approved (USD)]]</f>
        <v>1</v>
      </c>
      <c r="M25" s="785" t="s">
        <v>1481</v>
      </c>
      <c r="N25" s="784"/>
      <c r="O25" s="784" t="str">
        <f>IF(Table14[[#This Row],[AMC classification]]="AMC - GAVI","Gavi","UNICEF")</f>
        <v>UNICEF</v>
      </c>
      <c r="P25"/>
      <c r="Q25"/>
    </row>
    <row r="26" spans="1:17">
      <c r="A26" s="784" t="s">
        <v>601</v>
      </c>
      <c r="B26" t="s">
        <v>1450</v>
      </c>
      <c r="C26" t="s">
        <v>206</v>
      </c>
      <c r="D26" t="s">
        <v>1457</v>
      </c>
      <c r="E26" t="s">
        <v>1452</v>
      </c>
      <c r="F26" t="str">
        <f>INDEX($Q$2:$Q$6,MATCH(Table14[[#This Row],[CDS status]],$P$2:$P$6,0))</f>
        <v>Disbursed</v>
      </c>
      <c r="G26" s="784">
        <v>977007</v>
      </c>
      <c r="H26" s="784">
        <v>977007</v>
      </c>
      <c r="I26" s="784">
        <f>Table14[[#This Row],[Amount requested (USD)]]-Table14[[#This Row],[Amount approved (USD)]]</f>
        <v>0</v>
      </c>
      <c r="J26" s="784">
        <v>977007</v>
      </c>
      <c r="K26" s="784">
        <f>Table14[[#This Row],[Amount approved (USD)]]-Table14[[#This Row],[Amount disbursed (USD)]]</f>
        <v>0</v>
      </c>
      <c r="L26" s="810">
        <f>Table14[[#This Row],[Amount disbursed (USD)]]/Table14[[#This Row],[Amount approved (USD)]]</f>
        <v>1</v>
      </c>
      <c r="M26" s="785" t="s">
        <v>1483</v>
      </c>
      <c r="N26" s="784"/>
      <c r="O26" s="784" t="str">
        <f>IF(Table14[[#This Row],[AMC classification]]="AMC - GAVI","Gavi","UNICEF")</f>
        <v>Gavi</v>
      </c>
      <c r="P26"/>
      <c r="Q26"/>
    </row>
    <row r="27" spans="1:17">
      <c r="A27" s="784" t="s">
        <v>603</v>
      </c>
      <c r="B27" t="s">
        <v>1450</v>
      </c>
      <c r="C27" t="s">
        <v>208</v>
      </c>
      <c r="D27" t="s">
        <v>1457</v>
      </c>
      <c r="E27" t="s">
        <v>1452</v>
      </c>
      <c r="F27" t="str">
        <f>INDEX($Q$2:$Q$6,MATCH(Table14[[#This Row],[CDS status]],$P$2:$P$6,0))</f>
        <v>Disbursed</v>
      </c>
      <c r="G27" s="784">
        <v>2211196</v>
      </c>
      <c r="H27" s="784">
        <v>2211196</v>
      </c>
      <c r="I27" s="784">
        <f>Table14[[#This Row],[Amount requested (USD)]]-Table14[[#This Row],[Amount approved (USD)]]</f>
        <v>0</v>
      </c>
      <c r="J27" s="784">
        <v>2108935</v>
      </c>
      <c r="K27" s="784">
        <f>Table14[[#This Row],[Amount approved (USD)]]-Table14[[#This Row],[Amount disbursed (USD)]]</f>
        <v>102261</v>
      </c>
      <c r="L27" s="810">
        <f>Table14[[#This Row],[Amount disbursed (USD)]]/Table14[[#This Row],[Amount approved (USD)]]</f>
        <v>0.95375308204247833</v>
      </c>
      <c r="M27" s="785" t="s">
        <v>1484</v>
      </c>
      <c r="N27" s="784">
        <v>80488</v>
      </c>
      <c r="O27" s="784" t="str">
        <f>IF(Table14[[#This Row],[AMC classification]]="AMC - GAVI","Gavi","UNICEF")</f>
        <v>Gavi</v>
      </c>
      <c r="P27"/>
      <c r="Q27"/>
    </row>
    <row r="28" spans="1:17">
      <c r="A28" s="784" t="s">
        <v>604</v>
      </c>
      <c r="B28" t="s">
        <v>1456</v>
      </c>
      <c r="C28" t="s">
        <v>209</v>
      </c>
      <c r="D28" t="s">
        <v>1470</v>
      </c>
      <c r="E28" t="s">
        <v>1452</v>
      </c>
      <c r="F28" t="str">
        <f>INDEX($Q$2:$Q$6,MATCH(Table14[[#This Row],[CDS status]],$P$2:$P$6,0))</f>
        <v>Disbursed</v>
      </c>
      <c r="G28" s="784">
        <v>230000</v>
      </c>
      <c r="H28" s="784">
        <v>230000</v>
      </c>
      <c r="I28" s="784">
        <f>Table14[[#This Row],[Amount requested (USD)]]-Table14[[#This Row],[Amount approved (USD)]]</f>
        <v>0</v>
      </c>
      <c r="J28" s="784">
        <v>230000</v>
      </c>
      <c r="K28" s="784">
        <f>Table14[[#This Row],[Amount approved (USD)]]-Table14[[#This Row],[Amount disbursed (USD)]]</f>
        <v>0</v>
      </c>
      <c r="L28" s="810">
        <f>Table14[[#This Row],[Amount disbursed (USD)]]/Table14[[#This Row],[Amount approved (USD)]]</f>
        <v>1</v>
      </c>
      <c r="M28" s="785" t="s">
        <v>1472</v>
      </c>
      <c r="N28" s="784"/>
      <c r="O28" s="784" t="str">
        <f>IF(Table14[[#This Row],[AMC classification]]="AMC - GAVI","Gavi","UNICEF")</f>
        <v>UNICEF</v>
      </c>
      <c r="P28"/>
      <c r="Q28"/>
    </row>
    <row r="29" spans="1:17">
      <c r="A29" s="784" t="s">
        <v>606</v>
      </c>
      <c r="B29" t="s">
        <v>1450</v>
      </c>
      <c r="C29" t="s">
        <v>211</v>
      </c>
      <c r="D29" t="s">
        <v>1457</v>
      </c>
      <c r="E29" t="s">
        <v>1452</v>
      </c>
      <c r="F29" t="str">
        <f>INDEX($Q$2:$Q$6,MATCH(Table14[[#This Row],[CDS status]],$P$2:$P$6,0))</f>
        <v>Disbursed</v>
      </c>
      <c r="G29" s="784">
        <v>3959315</v>
      </c>
      <c r="H29" s="784">
        <v>3959315</v>
      </c>
      <c r="I29" s="784">
        <f>Table14[[#This Row],[Amount requested (USD)]]-Table14[[#This Row],[Amount approved (USD)]]</f>
        <v>0</v>
      </c>
      <c r="J29" s="784">
        <v>2304800</v>
      </c>
      <c r="K29" s="784">
        <f>Table14[[#This Row],[Amount approved (USD)]]-Table14[[#This Row],[Amount disbursed (USD)]]</f>
        <v>1654515</v>
      </c>
      <c r="L29" s="810">
        <f>Table14[[#This Row],[Amount disbursed (USD)]]/Table14[[#This Row],[Amount approved (USD)]]</f>
        <v>0.58212089717539528</v>
      </c>
      <c r="M29" s="785" t="s">
        <v>1485</v>
      </c>
      <c r="N29" s="784"/>
      <c r="O29" s="784" t="str">
        <f>IF(Table14[[#This Row],[AMC classification]]="AMC - GAVI","Gavi","UNICEF")</f>
        <v>Gavi</v>
      </c>
      <c r="P29"/>
      <c r="Q29"/>
    </row>
    <row r="30" spans="1:17">
      <c r="A30" s="784" t="s">
        <v>607</v>
      </c>
      <c r="B30" t="s">
        <v>1450</v>
      </c>
      <c r="C30" t="s">
        <v>212</v>
      </c>
      <c r="D30" t="s">
        <v>1457</v>
      </c>
      <c r="E30" t="s">
        <v>1452</v>
      </c>
      <c r="F30" t="str">
        <f>INDEX($Q$2:$Q$6,MATCH(Table14[[#This Row],[CDS status]],$P$2:$P$6,0))</f>
        <v>Disbursed</v>
      </c>
      <c r="G30" s="784">
        <v>978460</v>
      </c>
      <c r="H30" s="784">
        <v>978460</v>
      </c>
      <c r="I30" s="784">
        <f>Table14[[#This Row],[Amount requested (USD)]]-Table14[[#This Row],[Amount approved (USD)]]</f>
        <v>0</v>
      </c>
      <c r="J30" s="784">
        <v>978460</v>
      </c>
      <c r="K30" s="784">
        <f>Table14[[#This Row],[Amount approved (USD)]]-Table14[[#This Row],[Amount disbursed (USD)]]</f>
        <v>0</v>
      </c>
      <c r="L30" s="810">
        <f>Table14[[#This Row],[Amount disbursed (USD)]]/Table14[[#This Row],[Amount approved (USD)]]</f>
        <v>1</v>
      </c>
      <c r="M30" s="785" t="s">
        <v>1486</v>
      </c>
      <c r="N30" s="784">
        <v>978460</v>
      </c>
      <c r="O30" s="784" t="str">
        <f>IF(Table14[[#This Row],[AMC classification]]="AMC - GAVI","Gavi","UNICEF")</f>
        <v>Gavi</v>
      </c>
      <c r="P30"/>
      <c r="Q30"/>
    </row>
    <row r="31" spans="1:17">
      <c r="A31" s="784" t="s">
        <v>608</v>
      </c>
      <c r="B31" t="s">
        <v>1456</v>
      </c>
      <c r="C31" t="s">
        <v>213</v>
      </c>
      <c r="D31" t="s">
        <v>1470</v>
      </c>
      <c r="E31" t="s">
        <v>1452</v>
      </c>
      <c r="F31" t="str">
        <f>INDEX($Q$2:$Q$6,MATCH(Table14[[#This Row],[CDS status]],$P$2:$P$6,0))</f>
        <v>Disbursed</v>
      </c>
      <c r="G31" s="784">
        <v>230000</v>
      </c>
      <c r="H31" s="784">
        <v>230000</v>
      </c>
      <c r="I31" s="784">
        <f>Table14[[#This Row],[Amount requested (USD)]]-Table14[[#This Row],[Amount approved (USD)]]</f>
        <v>0</v>
      </c>
      <c r="J31" s="784">
        <v>230000</v>
      </c>
      <c r="K31" s="784">
        <f>Table14[[#This Row],[Amount approved (USD)]]-Table14[[#This Row],[Amount disbursed (USD)]]</f>
        <v>0</v>
      </c>
      <c r="L31" s="810">
        <f>Table14[[#This Row],[Amount disbursed (USD)]]/Table14[[#This Row],[Amount approved (USD)]]</f>
        <v>1</v>
      </c>
      <c r="M31" s="785" t="s">
        <v>1472</v>
      </c>
      <c r="N31" s="784"/>
      <c r="O31" s="784" t="str">
        <f>IF(Table14[[#This Row],[AMC classification]]="AMC - GAVI","Gavi","UNICEF")</f>
        <v>UNICEF</v>
      </c>
      <c r="P31"/>
      <c r="Q31"/>
    </row>
    <row r="32" spans="1:17">
      <c r="A32" s="784" t="s">
        <v>609</v>
      </c>
      <c r="B32" t="s">
        <v>1450</v>
      </c>
      <c r="C32" t="s">
        <v>214</v>
      </c>
      <c r="D32" t="s">
        <v>1470</v>
      </c>
      <c r="E32" t="s">
        <v>1452</v>
      </c>
      <c r="F32" t="str">
        <f>INDEX($Q$2:$Q$6,MATCH(Table14[[#This Row],[CDS status]],$P$2:$P$6,0))</f>
        <v>Disbursed</v>
      </c>
      <c r="G32" s="784">
        <v>2138482</v>
      </c>
      <c r="H32" s="784">
        <v>2138482</v>
      </c>
      <c r="I32" s="784">
        <f>Table14[[#This Row],[Amount requested (USD)]]-Table14[[#This Row],[Amount approved (USD)]]</f>
        <v>0</v>
      </c>
      <c r="J32" s="784">
        <v>2138482</v>
      </c>
      <c r="K32" s="784">
        <f>Table14[[#This Row],[Amount approved (USD)]]-Table14[[#This Row],[Amount disbursed (USD)]]</f>
        <v>0</v>
      </c>
      <c r="L32" s="810">
        <f>Table14[[#This Row],[Amount disbursed (USD)]]/Table14[[#This Row],[Amount approved (USD)]]</f>
        <v>1</v>
      </c>
      <c r="M32" s="785" t="s">
        <v>1487</v>
      </c>
      <c r="N32" s="784">
        <v>1686667</v>
      </c>
      <c r="O32" s="784" t="str">
        <f>IF(Table14[[#This Row],[AMC classification]]="AMC - GAVI","Gavi","UNICEF")</f>
        <v>Gavi</v>
      </c>
      <c r="P32"/>
      <c r="Q32"/>
    </row>
    <row r="33" spans="1:17">
      <c r="A33" s="784" t="s">
        <v>610</v>
      </c>
      <c r="B33" t="s">
        <v>1456</v>
      </c>
      <c r="C33" t="s">
        <v>215</v>
      </c>
      <c r="D33" t="s">
        <v>1470</v>
      </c>
      <c r="E33" t="s">
        <v>1452</v>
      </c>
      <c r="F33" t="str">
        <f>INDEX($Q$2:$Q$6,MATCH(Table14[[#This Row],[CDS status]],$P$2:$P$6,0))</f>
        <v>Disbursed</v>
      </c>
      <c r="G33" s="784">
        <v>369382</v>
      </c>
      <c r="H33" s="784">
        <v>369382</v>
      </c>
      <c r="I33" s="784">
        <f>Table14[[#This Row],[Amount requested (USD)]]-Table14[[#This Row],[Amount approved (USD)]]</f>
        <v>0</v>
      </c>
      <c r="J33" s="784">
        <v>369382</v>
      </c>
      <c r="K33" s="784">
        <f>Table14[[#This Row],[Amount approved (USD)]]-Table14[[#This Row],[Amount disbursed (USD)]]</f>
        <v>0</v>
      </c>
      <c r="L33" s="810">
        <f>Table14[[#This Row],[Amount disbursed (USD)]]/Table14[[#This Row],[Amount approved (USD)]]</f>
        <v>1</v>
      </c>
      <c r="M33" s="785" t="s">
        <v>1472</v>
      </c>
      <c r="N33" s="784"/>
      <c r="O33" s="784" t="str">
        <f>IF(Table14[[#This Row],[AMC classification]]="AMC - GAVI","Gavi","UNICEF")</f>
        <v>UNICEF</v>
      </c>
      <c r="P33"/>
      <c r="Q33"/>
    </row>
    <row r="34" spans="1:17">
      <c r="A34" s="784" t="s">
        <v>611</v>
      </c>
      <c r="B34" t="s">
        <v>1450</v>
      </c>
      <c r="C34" t="s">
        <v>216</v>
      </c>
      <c r="D34" t="s">
        <v>1462</v>
      </c>
      <c r="E34" t="s">
        <v>1452</v>
      </c>
      <c r="F34" t="str">
        <f>INDEX($Q$2:$Q$6,MATCH(Table14[[#This Row],[CDS status]],$P$2:$P$6,0))</f>
        <v>Disbursed</v>
      </c>
      <c r="G34" s="784">
        <v>15000000</v>
      </c>
      <c r="H34" s="784">
        <v>15000000</v>
      </c>
      <c r="I34" s="784">
        <f>Table14[[#This Row],[Amount requested (USD)]]-Table14[[#This Row],[Amount approved (USD)]]</f>
        <v>0</v>
      </c>
      <c r="J34" s="784">
        <v>10867000</v>
      </c>
      <c r="K34" s="784">
        <f>Table14[[#This Row],[Amount approved (USD)]]-Table14[[#This Row],[Amount disbursed (USD)]]</f>
        <v>4133000</v>
      </c>
      <c r="L34" s="810">
        <f>Table14[[#This Row],[Amount disbursed (USD)]]/Table14[[#This Row],[Amount approved (USD)]]</f>
        <v>0.7244666666666667</v>
      </c>
      <c r="M34" s="785" t="s">
        <v>1488</v>
      </c>
      <c r="N34" s="784">
        <v>3100000</v>
      </c>
      <c r="O34" s="784" t="str">
        <f>IF(Table14[[#This Row],[AMC classification]]="AMC - GAVI","Gavi","UNICEF")</f>
        <v>Gavi</v>
      </c>
      <c r="P34"/>
      <c r="Q34"/>
    </row>
    <row r="35" spans="1:17">
      <c r="A35" s="784" t="s">
        <v>612</v>
      </c>
      <c r="B35" t="s">
        <v>1450</v>
      </c>
      <c r="C35" t="s">
        <v>217</v>
      </c>
      <c r="D35" t="s">
        <v>1462</v>
      </c>
      <c r="E35" t="s">
        <v>1452</v>
      </c>
      <c r="F35" t="str">
        <f>INDEX($Q$2:$Q$6,MATCH(Table14[[#This Row],[CDS status]],$P$2:$P$6,0))</f>
        <v>Disbursed</v>
      </c>
      <c r="G35" s="784">
        <v>3466850</v>
      </c>
      <c r="H35" s="784">
        <v>3466850</v>
      </c>
      <c r="I35" s="784">
        <f>Table14[[#This Row],[Amount requested (USD)]]-Table14[[#This Row],[Amount approved (USD)]]</f>
        <v>0</v>
      </c>
      <c r="J35" s="784"/>
      <c r="K35" s="784">
        <f>Table14[[#This Row],[Amount approved (USD)]]-Table14[[#This Row],[Amount disbursed (USD)]]</f>
        <v>3466850</v>
      </c>
      <c r="L35" s="810">
        <f>Table14[[#This Row],[Amount disbursed (USD)]]/Table14[[#This Row],[Amount approved (USD)]]</f>
        <v>0</v>
      </c>
      <c r="M35" t="s">
        <v>575</v>
      </c>
      <c r="N35" s="784"/>
      <c r="O35" s="784" t="str">
        <f>IF(Table14[[#This Row],[AMC classification]]="AMC - GAVI","Gavi","UNICEF")</f>
        <v>Gavi</v>
      </c>
      <c r="P35"/>
      <c r="Q35"/>
    </row>
    <row r="36" spans="1:17">
      <c r="A36" s="784" t="s">
        <v>618</v>
      </c>
      <c r="B36" t="s">
        <v>1450</v>
      </c>
      <c r="C36" t="s">
        <v>222</v>
      </c>
      <c r="D36" t="s">
        <v>1457</v>
      </c>
      <c r="E36" t="s">
        <v>1452</v>
      </c>
      <c r="F36" t="str">
        <f>INDEX($Q$2:$Q$6,MATCH(Table14[[#This Row],[CDS status]],$P$2:$P$6,0))</f>
        <v>Disbursed</v>
      </c>
      <c r="G36" s="784">
        <v>4306517</v>
      </c>
      <c r="H36" s="784">
        <v>4306517</v>
      </c>
      <c r="I36" s="784">
        <f>Table14[[#This Row],[Amount requested (USD)]]-Table14[[#This Row],[Amount approved (USD)]]</f>
        <v>0</v>
      </c>
      <c r="J36" s="784">
        <v>3006517</v>
      </c>
      <c r="K36" s="784">
        <f>Table14[[#This Row],[Amount approved (USD)]]-Table14[[#This Row],[Amount disbursed (USD)]]</f>
        <v>1300000</v>
      </c>
      <c r="L36" s="810">
        <f>Table14[[#This Row],[Amount disbursed (USD)]]/Table14[[#This Row],[Amount approved (USD)]]</f>
        <v>0.69813192424411652</v>
      </c>
      <c r="M36" s="785" t="s">
        <v>1489</v>
      </c>
      <c r="N36" s="784">
        <v>2306517</v>
      </c>
      <c r="O36" s="784" t="str">
        <f>IF(Table14[[#This Row],[AMC classification]]="AMC - GAVI","Gavi","UNICEF")</f>
        <v>Gavi</v>
      </c>
      <c r="P36"/>
      <c r="Q36"/>
    </row>
    <row r="37" spans="1:17">
      <c r="A37" s="784" t="s">
        <v>621</v>
      </c>
      <c r="B37" t="s">
        <v>1456</v>
      </c>
      <c r="C37" t="s">
        <v>225</v>
      </c>
      <c r="D37" t="s">
        <v>1490</v>
      </c>
      <c r="E37" t="s">
        <v>1452</v>
      </c>
      <c r="F37" t="str">
        <f>INDEX($Q$2:$Q$6,MATCH(Table14[[#This Row],[CDS status]],$P$2:$P$6,0))</f>
        <v>Disbursed</v>
      </c>
      <c r="G37" s="784">
        <v>230000</v>
      </c>
      <c r="H37" s="784">
        <v>230000</v>
      </c>
      <c r="I37" s="784">
        <f>Table14[[#This Row],[Amount requested (USD)]]-Table14[[#This Row],[Amount approved (USD)]]</f>
        <v>0</v>
      </c>
      <c r="J37" s="784">
        <v>230000</v>
      </c>
      <c r="K37" s="784">
        <f>Table14[[#This Row],[Amount approved (USD)]]-Table14[[#This Row],[Amount disbursed (USD)]]</f>
        <v>0</v>
      </c>
      <c r="L37" s="810">
        <f>Table14[[#This Row],[Amount disbursed (USD)]]/Table14[[#This Row],[Amount approved (USD)]]</f>
        <v>1</v>
      </c>
      <c r="M37" s="785" t="s">
        <v>1472</v>
      </c>
      <c r="N37" s="784"/>
      <c r="O37" s="784" t="str">
        <f>IF(Table14[[#This Row],[AMC classification]]="AMC - GAVI","Gavi","UNICEF")</f>
        <v>UNICEF</v>
      </c>
      <c r="P37"/>
      <c r="Q37"/>
    </row>
    <row r="38" spans="1:17">
      <c r="A38" s="784" t="s">
        <v>622</v>
      </c>
      <c r="B38" t="s">
        <v>1450</v>
      </c>
      <c r="C38" t="s">
        <v>226</v>
      </c>
      <c r="D38" t="s">
        <v>1490</v>
      </c>
      <c r="E38" t="s">
        <v>1452</v>
      </c>
      <c r="F38" t="str">
        <f>INDEX($Q$2:$Q$6,MATCH(Table14[[#This Row],[CDS status]],$P$2:$P$6,0))</f>
        <v>Disbursed</v>
      </c>
      <c r="G38" s="784">
        <v>978461</v>
      </c>
      <c r="H38" s="784">
        <v>978461</v>
      </c>
      <c r="I38" s="784">
        <f>Table14[[#This Row],[Amount requested (USD)]]-Table14[[#This Row],[Amount approved (USD)]]</f>
        <v>0</v>
      </c>
      <c r="J38" s="784">
        <v>978461</v>
      </c>
      <c r="K38" s="784">
        <f>Table14[[#This Row],[Amount approved (USD)]]-Table14[[#This Row],[Amount disbursed (USD)]]</f>
        <v>0</v>
      </c>
      <c r="L38" s="810">
        <f>Table14[[#This Row],[Amount disbursed (USD)]]/Table14[[#This Row],[Amount approved (USD)]]</f>
        <v>1</v>
      </c>
      <c r="M38" s="785" t="s">
        <v>1491</v>
      </c>
      <c r="N38" s="784">
        <v>438418</v>
      </c>
      <c r="O38" s="784" t="str">
        <f>IF(Table14[[#This Row],[AMC classification]]="AMC - GAVI","Gavi","UNICEF")</f>
        <v>Gavi</v>
      </c>
      <c r="P38"/>
      <c r="Q38"/>
    </row>
    <row r="39" spans="1:17">
      <c r="A39" s="784" t="s">
        <v>623</v>
      </c>
      <c r="B39" t="s">
        <v>1450</v>
      </c>
      <c r="C39" t="s">
        <v>1492</v>
      </c>
      <c r="D39" t="s">
        <v>1473</v>
      </c>
      <c r="E39" t="s">
        <v>1452</v>
      </c>
      <c r="F39" t="str">
        <f>INDEX($Q$2:$Q$6,MATCH(Table14[[#This Row],[CDS status]],$P$2:$P$6,0))</f>
        <v>Disbursed</v>
      </c>
      <c r="G39" s="784">
        <v>1185375</v>
      </c>
      <c r="H39" s="784">
        <v>1185375</v>
      </c>
      <c r="I39" s="784">
        <f>Table14[[#This Row],[Amount requested (USD)]]-Table14[[#This Row],[Amount approved (USD)]]</f>
        <v>0</v>
      </c>
      <c r="J39" s="784">
        <v>1112744</v>
      </c>
      <c r="K39" s="784">
        <f>Table14[[#This Row],[Amount approved (USD)]]-Table14[[#This Row],[Amount disbursed (USD)]]</f>
        <v>72631</v>
      </c>
      <c r="L39" s="810">
        <f>Table14[[#This Row],[Amount disbursed (USD)]]/Table14[[#This Row],[Amount approved (USD)]]</f>
        <v>0.93872740693873247</v>
      </c>
      <c r="M39" s="785" t="s">
        <v>1486</v>
      </c>
      <c r="N39" s="784">
        <v>48600</v>
      </c>
      <c r="O39" s="784" t="str">
        <f>IF(Table14[[#This Row],[AMC classification]]="AMC - GAVI","Gavi","UNICEF")</f>
        <v>Gavi</v>
      </c>
      <c r="P39"/>
      <c r="Q39"/>
    </row>
    <row r="40" spans="1:17">
      <c r="A40" s="784" t="s">
        <v>625</v>
      </c>
      <c r="B40" t="s">
        <v>1450</v>
      </c>
      <c r="C40" t="s">
        <v>723</v>
      </c>
      <c r="D40" t="s">
        <v>1457</v>
      </c>
      <c r="E40" t="s">
        <v>1452</v>
      </c>
      <c r="F40" t="str">
        <f>INDEX($Q$2:$Q$6,MATCH(Table14[[#This Row],[CDS status]],$P$2:$P$6,0))</f>
        <v>Disbursed</v>
      </c>
      <c r="G40" s="784">
        <v>978454</v>
      </c>
      <c r="H40" s="784">
        <v>978454</v>
      </c>
      <c r="I40" s="784">
        <f>Table14[[#This Row],[Amount requested (USD)]]-Table14[[#This Row],[Amount approved (USD)]]</f>
        <v>0</v>
      </c>
      <c r="J40" s="784">
        <v>390226</v>
      </c>
      <c r="K40" s="784">
        <f>Table14[[#This Row],[Amount approved (USD)]]-Table14[[#This Row],[Amount disbursed (USD)]]</f>
        <v>588228</v>
      </c>
      <c r="L40" s="810">
        <f>Table14[[#This Row],[Amount disbursed (USD)]]/Table14[[#This Row],[Amount approved (USD)]]</f>
        <v>0.39881895316489074</v>
      </c>
      <c r="M40" s="785" t="s">
        <v>1493</v>
      </c>
      <c r="N40" s="784">
        <v>390226</v>
      </c>
      <c r="O40" s="784" t="str">
        <f>IF(Table14[[#This Row],[AMC classification]]="AMC - GAVI","Gavi","UNICEF")</f>
        <v>Gavi</v>
      </c>
      <c r="P40"/>
      <c r="Q40"/>
    </row>
    <row r="41" spans="1:17">
      <c r="A41" s="784" t="s">
        <v>626</v>
      </c>
      <c r="B41" t="s">
        <v>1450</v>
      </c>
      <c r="C41" t="s">
        <v>230</v>
      </c>
      <c r="D41" t="s">
        <v>1457</v>
      </c>
      <c r="E41" t="s">
        <v>1452</v>
      </c>
      <c r="F41" t="str">
        <f>INDEX($Q$2:$Q$6,MATCH(Table14[[#This Row],[CDS status]],$P$2:$P$6,0))</f>
        <v>Disbursed</v>
      </c>
      <c r="G41" s="784">
        <v>978461</v>
      </c>
      <c r="H41" s="784">
        <v>978461</v>
      </c>
      <c r="I41" s="784">
        <f>Table14[[#This Row],[Amount requested (USD)]]-Table14[[#This Row],[Amount approved (USD)]]</f>
        <v>0</v>
      </c>
      <c r="J41" s="784">
        <v>977644</v>
      </c>
      <c r="K41" s="784">
        <f>Table14[[#This Row],[Amount approved (USD)]]-Table14[[#This Row],[Amount disbursed (USD)]]</f>
        <v>817</v>
      </c>
      <c r="L41" s="810">
        <f>Table14[[#This Row],[Amount disbursed (USD)]]/Table14[[#This Row],[Amount approved (USD)]]</f>
        <v>0.99916501526376622</v>
      </c>
      <c r="M41" s="785" t="s">
        <v>1494</v>
      </c>
      <c r="N41" s="784"/>
      <c r="O41" s="784" t="str">
        <f>IF(Table14[[#This Row],[AMC classification]]="AMC - GAVI","Gavi","UNICEF")</f>
        <v>Gavi</v>
      </c>
      <c r="P41"/>
      <c r="Q41"/>
    </row>
    <row r="42" spans="1:17">
      <c r="A42" s="784" t="s">
        <v>628</v>
      </c>
      <c r="B42" t="s">
        <v>1450</v>
      </c>
      <c r="C42" t="s">
        <v>232</v>
      </c>
      <c r="D42" t="s">
        <v>1457</v>
      </c>
      <c r="E42" t="s">
        <v>1452</v>
      </c>
      <c r="F42" t="str">
        <f>INDEX($Q$2:$Q$6,MATCH(Table14[[#This Row],[CDS status]],$P$2:$P$6,0))</f>
        <v>Disbursed</v>
      </c>
      <c r="G42" s="784">
        <v>4070028</v>
      </c>
      <c r="H42" s="784">
        <v>4070028</v>
      </c>
      <c r="I42" s="784">
        <f>Table14[[#This Row],[Amount requested (USD)]]-Table14[[#This Row],[Amount approved (USD)]]</f>
        <v>0</v>
      </c>
      <c r="J42" s="784">
        <v>4064028</v>
      </c>
      <c r="K42" s="784">
        <f>Table14[[#This Row],[Amount approved (USD)]]-Table14[[#This Row],[Amount disbursed (USD)]]</f>
        <v>6000</v>
      </c>
      <c r="L42" s="810">
        <f>Table14[[#This Row],[Amount disbursed (USD)]]/Table14[[#This Row],[Amount approved (USD)]]</f>
        <v>0.99852580866765539</v>
      </c>
      <c r="M42" s="785" t="s">
        <v>1495</v>
      </c>
      <c r="N42" s="784"/>
      <c r="O42" s="784" t="str">
        <f>IF(Table14[[#This Row],[AMC classification]]="AMC - GAVI","Gavi","UNICEF")</f>
        <v>Gavi</v>
      </c>
      <c r="P42"/>
      <c r="Q42"/>
    </row>
    <row r="43" spans="1:17">
      <c r="A43" s="784" t="s">
        <v>629</v>
      </c>
      <c r="B43" t="s">
        <v>1450</v>
      </c>
      <c r="C43" t="s">
        <v>233</v>
      </c>
      <c r="D43" t="s">
        <v>1457</v>
      </c>
      <c r="E43" t="s">
        <v>1452</v>
      </c>
      <c r="F43" t="str">
        <f>INDEX($Q$2:$Q$6,MATCH(Table14[[#This Row],[CDS status]],$P$2:$P$6,0))</f>
        <v>Disbursed</v>
      </c>
      <c r="G43" s="784">
        <v>1493213</v>
      </c>
      <c r="H43" s="784">
        <v>1493213</v>
      </c>
      <c r="I43" s="784">
        <f>Table14[[#This Row],[Amount requested (USD)]]-Table14[[#This Row],[Amount approved (USD)]]</f>
        <v>0</v>
      </c>
      <c r="J43" s="784">
        <v>1451414</v>
      </c>
      <c r="K43" s="784">
        <f>Table14[[#This Row],[Amount approved (USD)]]-Table14[[#This Row],[Amount disbursed (USD)]]</f>
        <v>41799</v>
      </c>
      <c r="L43" s="810">
        <f>Table14[[#This Row],[Amount disbursed (USD)]]/Table14[[#This Row],[Amount approved (USD)]]</f>
        <v>0.97200734255595145</v>
      </c>
      <c r="M43" s="785" t="s">
        <v>1496</v>
      </c>
      <c r="N43" s="784">
        <v>1131560</v>
      </c>
      <c r="O43" s="784" t="str">
        <f>IF(Table14[[#This Row],[AMC classification]]="AMC - GAVI","Gavi","UNICEF")</f>
        <v>Gavi</v>
      </c>
      <c r="P43"/>
      <c r="Q43"/>
    </row>
    <row r="44" spans="1:17">
      <c r="A44" s="784" t="s">
        <v>631</v>
      </c>
      <c r="B44" t="s">
        <v>1456</v>
      </c>
      <c r="C44" t="s">
        <v>235</v>
      </c>
      <c r="D44" t="s">
        <v>1462</v>
      </c>
      <c r="E44" t="s">
        <v>1452</v>
      </c>
      <c r="F44" t="str">
        <f>INDEX($Q$2:$Q$6,MATCH(Table14[[#This Row],[CDS status]],$P$2:$P$6,0))</f>
        <v>Disbursed</v>
      </c>
      <c r="G44" s="784">
        <v>230000</v>
      </c>
      <c r="H44" s="784">
        <v>230000</v>
      </c>
      <c r="I44" s="784">
        <f>Table14[[#This Row],[Amount requested (USD)]]-Table14[[#This Row],[Amount approved (USD)]]</f>
        <v>0</v>
      </c>
      <c r="J44" s="784">
        <v>230000</v>
      </c>
      <c r="K44" s="784">
        <f>Table14[[#This Row],[Amount approved (USD)]]-Table14[[#This Row],[Amount disbursed (USD)]]</f>
        <v>0</v>
      </c>
      <c r="L44" s="810">
        <f>Table14[[#This Row],[Amount disbursed (USD)]]/Table14[[#This Row],[Amount approved (USD)]]</f>
        <v>1</v>
      </c>
      <c r="M44" s="785" t="s">
        <v>1458</v>
      </c>
      <c r="N44" s="784"/>
      <c r="O44" s="784" t="str">
        <f>IF(Table14[[#This Row],[AMC classification]]="AMC - GAVI","Gavi","UNICEF")</f>
        <v>UNICEF</v>
      </c>
      <c r="P44"/>
      <c r="Q44"/>
    </row>
    <row r="45" spans="1:17">
      <c r="A45" s="784" t="s">
        <v>632</v>
      </c>
      <c r="B45" t="s">
        <v>1450</v>
      </c>
      <c r="C45" t="s">
        <v>236</v>
      </c>
      <c r="D45" t="s">
        <v>1457</v>
      </c>
      <c r="E45" t="s">
        <v>1452</v>
      </c>
      <c r="F45" t="str">
        <f>INDEX($Q$2:$Q$6,MATCH(Table14[[#This Row],[CDS status]],$P$2:$P$6,0))</f>
        <v>Disbursed</v>
      </c>
      <c r="G45" s="784">
        <v>3105169</v>
      </c>
      <c r="H45" s="784">
        <v>3105169</v>
      </c>
      <c r="I45" s="784">
        <f>Table14[[#This Row],[Amount requested (USD)]]-Table14[[#This Row],[Amount approved (USD)]]</f>
        <v>0</v>
      </c>
      <c r="J45" s="784">
        <v>124207</v>
      </c>
      <c r="K45" s="784">
        <f>Table14[[#This Row],[Amount approved (USD)]]-Table14[[#This Row],[Amount disbursed (USD)]]</f>
        <v>2980962</v>
      </c>
      <c r="L45" s="810">
        <f>Table14[[#This Row],[Amount disbursed (USD)]]/Table14[[#This Row],[Amount approved (USD)]]</f>
        <v>4.0000077290479198E-2</v>
      </c>
      <c r="M45" s="785" t="s">
        <v>1485</v>
      </c>
      <c r="N45" s="784">
        <v>3501223</v>
      </c>
      <c r="O45" s="784" t="str">
        <f>IF(Table14[[#This Row],[AMC classification]]="AMC - GAVI","Gavi","UNICEF")</f>
        <v>Gavi</v>
      </c>
      <c r="P45"/>
      <c r="Q45"/>
    </row>
    <row r="46" spans="1:17">
      <c r="A46" s="784" t="s">
        <v>634</v>
      </c>
      <c r="B46" t="s">
        <v>1450</v>
      </c>
      <c r="C46" t="s">
        <v>238</v>
      </c>
      <c r="D46" t="s">
        <v>1457</v>
      </c>
      <c r="E46" t="s">
        <v>1452</v>
      </c>
      <c r="F46" t="str">
        <f>INDEX($Q$2:$Q$6,MATCH(Table14[[#This Row],[CDS status]],$P$2:$P$6,0))</f>
        <v>Disbursed</v>
      </c>
      <c r="G46" s="784">
        <v>978364</v>
      </c>
      <c r="H46" s="784">
        <v>978364</v>
      </c>
      <c r="I46" s="784">
        <f>Table14[[#This Row],[Amount requested (USD)]]-Table14[[#This Row],[Amount approved (USD)]]</f>
        <v>0</v>
      </c>
      <c r="J46" s="784">
        <v>978364</v>
      </c>
      <c r="K46" s="784">
        <f>Table14[[#This Row],[Amount approved (USD)]]-Table14[[#This Row],[Amount disbursed (USD)]]</f>
        <v>0</v>
      </c>
      <c r="L46" s="810">
        <f>Table14[[#This Row],[Amount disbursed (USD)]]/Table14[[#This Row],[Amount approved (USD)]]</f>
        <v>1</v>
      </c>
      <c r="M46" s="785" t="s">
        <v>1472</v>
      </c>
      <c r="N46" s="784"/>
      <c r="O46" s="784" t="str">
        <f>IF(Table14[[#This Row],[AMC classification]]="AMC - GAVI","Gavi","UNICEF")</f>
        <v>Gavi</v>
      </c>
      <c r="P46"/>
      <c r="Q46"/>
    </row>
    <row r="47" spans="1:17">
      <c r="A47" s="784" t="s">
        <v>639</v>
      </c>
      <c r="B47" t="s">
        <v>1456</v>
      </c>
      <c r="C47" t="s">
        <v>243</v>
      </c>
      <c r="D47" t="s">
        <v>1473</v>
      </c>
      <c r="E47" t="s">
        <v>1452</v>
      </c>
      <c r="F47" t="str">
        <f>INDEX($Q$2:$Q$6,MATCH(Table14[[#This Row],[CDS status]],$P$2:$P$6,0))</f>
        <v>Disbursed</v>
      </c>
      <c r="G47" s="784">
        <v>230000</v>
      </c>
      <c r="H47" s="784">
        <v>230000</v>
      </c>
      <c r="I47" s="784">
        <f>Table14[[#This Row],[Amount requested (USD)]]-Table14[[#This Row],[Amount approved (USD)]]</f>
        <v>0</v>
      </c>
      <c r="J47" s="784">
        <v>230000</v>
      </c>
      <c r="K47" s="784">
        <f>Table14[[#This Row],[Amount approved (USD)]]-Table14[[#This Row],[Amount disbursed (USD)]]</f>
        <v>0</v>
      </c>
      <c r="L47" s="810">
        <f>Table14[[#This Row],[Amount disbursed (USD)]]/Table14[[#This Row],[Amount approved (USD)]]</f>
        <v>1</v>
      </c>
      <c r="M47" s="785" t="s">
        <v>1458</v>
      </c>
      <c r="N47" s="784"/>
      <c r="O47" s="784" t="str">
        <f>IF(Table14[[#This Row],[AMC classification]]="AMC - GAVI","Gavi","UNICEF")</f>
        <v>UNICEF</v>
      </c>
      <c r="P47"/>
      <c r="Q47"/>
    </row>
    <row r="48" spans="1:17">
      <c r="A48" s="784" t="s">
        <v>642</v>
      </c>
      <c r="B48" t="s">
        <v>1450</v>
      </c>
      <c r="C48" t="s">
        <v>246</v>
      </c>
      <c r="D48" t="s">
        <v>1457</v>
      </c>
      <c r="E48" t="s">
        <v>1452</v>
      </c>
      <c r="F48" t="str">
        <f>INDEX($Q$2:$Q$6,MATCH(Table14[[#This Row],[CDS status]],$P$2:$P$6,0))</f>
        <v>Disbursed</v>
      </c>
      <c r="G48" s="784">
        <v>3422310</v>
      </c>
      <c r="H48" s="784">
        <v>3422310</v>
      </c>
      <c r="I48" s="784">
        <f>Table14[[#This Row],[Amount requested (USD)]]-Table14[[#This Row],[Amount approved (USD)]]</f>
        <v>0</v>
      </c>
      <c r="J48" s="784">
        <v>3299996</v>
      </c>
      <c r="K48" s="784">
        <f>Table14[[#This Row],[Amount approved (USD)]]-Table14[[#This Row],[Amount disbursed (USD)]]</f>
        <v>122314</v>
      </c>
      <c r="L48" s="810">
        <f>Table14[[#This Row],[Amount disbursed (USD)]]/Table14[[#This Row],[Amount approved (USD)]]</f>
        <v>0.96425981281648943</v>
      </c>
      <c r="M48" s="785" t="s">
        <v>1483</v>
      </c>
      <c r="N48" s="784">
        <v>1625597</v>
      </c>
      <c r="O48" s="784" t="str">
        <f>IF(Table14[[#This Row],[AMC classification]]="AMC - GAVI","Gavi","UNICEF")</f>
        <v>Gavi</v>
      </c>
      <c r="P48"/>
      <c r="Q48"/>
    </row>
    <row r="49" spans="1:17">
      <c r="A49" s="784" t="s">
        <v>643</v>
      </c>
      <c r="B49" t="s">
        <v>1450</v>
      </c>
      <c r="C49" t="s">
        <v>247</v>
      </c>
      <c r="D49" t="s">
        <v>1462</v>
      </c>
      <c r="E49" t="s">
        <v>1452</v>
      </c>
      <c r="F49" t="str">
        <f>INDEX($Q$2:$Q$6,MATCH(Table14[[#This Row],[CDS status]],$P$2:$P$6,0))</f>
        <v>Disbursed</v>
      </c>
      <c r="G49" s="784">
        <v>4336422</v>
      </c>
      <c r="H49" s="784"/>
      <c r="I49" s="784">
        <f>Table14[[#This Row],[Amount requested (USD)]]-Table14[[#This Row],[Amount approved (USD)]]</f>
        <v>4336422</v>
      </c>
      <c r="J49" s="784"/>
      <c r="K49" s="784">
        <f>Table14[[#This Row],[Amount approved (USD)]]-Table14[[#This Row],[Amount disbursed (USD)]]</f>
        <v>0</v>
      </c>
      <c r="L49" s="810" t="e">
        <f>Table14[[#This Row],[Amount disbursed (USD)]]/Table14[[#This Row],[Amount approved (USD)]]</f>
        <v>#DIV/0!</v>
      </c>
      <c r="M49" t="s">
        <v>575</v>
      </c>
      <c r="N49" s="784"/>
      <c r="O49" s="784" t="str">
        <f>IF(Table14[[#This Row],[AMC classification]]="AMC - GAVI","Gavi","UNICEF")</f>
        <v>Gavi</v>
      </c>
      <c r="P49"/>
      <c r="Q49"/>
    </row>
    <row r="50" spans="1:17">
      <c r="A50" s="784" t="s">
        <v>646</v>
      </c>
      <c r="B50" t="s">
        <v>1450</v>
      </c>
      <c r="C50" t="s">
        <v>250</v>
      </c>
      <c r="D50" t="s">
        <v>1462</v>
      </c>
      <c r="E50" t="s">
        <v>1452</v>
      </c>
      <c r="F50" t="str">
        <f>INDEX($Q$2:$Q$6,MATCH(Table14[[#This Row],[CDS status]],$P$2:$P$6,0))</f>
        <v>Disbursed</v>
      </c>
      <c r="G50" s="784">
        <v>2159910</v>
      </c>
      <c r="H50" s="784">
        <v>2159910</v>
      </c>
      <c r="I50" s="784">
        <f>Table14[[#This Row],[Amount requested (USD)]]-Table14[[#This Row],[Amount approved (USD)]]</f>
        <v>0</v>
      </c>
      <c r="J50" s="784">
        <v>2159909</v>
      </c>
      <c r="K50" s="784">
        <f>Table14[[#This Row],[Amount approved (USD)]]-Table14[[#This Row],[Amount disbursed (USD)]]</f>
        <v>1</v>
      </c>
      <c r="L50" s="810">
        <f>Table14[[#This Row],[Amount disbursed (USD)]]/Table14[[#This Row],[Amount approved (USD)]]</f>
        <v>0.99999953701774613</v>
      </c>
      <c r="M50" s="785" t="s">
        <v>1493</v>
      </c>
      <c r="N50" s="784">
        <v>1058356</v>
      </c>
      <c r="O50" s="784" t="str">
        <f>IF(Table14[[#This Row],[AMC classification]]="AMC - GAVI","Gavi","UNICEF")</f>
        <v>Gavi</v>
      </c>
      <c r="P50"/>
      <c r="Q50"/>
    </row>
    <row r="51" spans="1:17">
      <c r="A51" s="784" t="s">
        <v>647</v>
      </c>
      <c r="B51" t="s">
        <v>1450</v>
      </c>
      <c r="C51" t="s">
        <v>251</v>
      </c>
      <c r="D51" t="s">
        <v>1470</v>
      </c>
      <c r="E51" t="s">
        <v>1452</v>
      </c>
      <c r="F51" t="str">
        <f>INDEX($Q$2:$Q$6,MATCH(Table14[[#This Row],[CDS status]],$P$2:$P$6,0))</f>
        <v>Disbursed</v>
      </c>
      <c r="G51" s="784">
        <v>978461</v>
      </c>
      <c r="H51" s="784">
        <v>978461</v>
      </c>
      <c r="I51" s="784">
        <f>Table14[[#This Row],[Amount requested (USD)]]-Table14[[#This Row],[Amount approved (USD)]]</f>
        <v>0</v>
      </c>
      <c r="J51" s="784"/>
      <c r="K51" s="784">
        <f>Table14[[#This Row],[Amount approved (USD)]]-Table14[[#This Row],[Amount disbursed (USD)]]</f>
        <v>978461</v>
      </c>
      <c r="L51" s="810">
        <f>Table14[[#This Row],[Amount disbursed (USD)]]/Table14[[#This Row],[Amount approved (USD)]]</f>
        <v>0</v>
      </c>
      <c r="M51" t="s">
        <v>575</v>
      </c>
      <c r="N51" s="784"/>
      <c r="O51" s="784" t="str">
        <f>IF(Table14[[#This Row],[AMC classification]]="AMC - GAVI","Gavi","UNICEF")</f>
        <v>Gavi</v>
      </c>
      <c r="P51"/>
      <c r="Q51"/>
    </row>
    <row r="52" spans="1:17">
      <c r="A52" s="784" t="s">
        <v>648</v>
      </c>
      <c r="B52" t="s">
        <v>1450</v>
      </c>
      <c r="C52" t="s">
        <v>252</v>
      </c>
      <c r="D52" t="s">
        <v>1457</v>
      </c>
      <c r="E52" t="s">
        <v>1452</v>
      </c>
      <c r="F52" t="str">
        <f>INDEX($Q$2:$Q$6,MATCH(Table14[[#This Row],[CDS status]],$P$2:$P$6,0))</f>
        <v>Disbursed</v>
      </c>
      <c r="G52" s="784">
        <v>3500000</v>
      </c>
      <c r="H52" s="784">
        <v>3500000</v>
      </c>
      <c r="I52" s="784">
        <f>Table14[[#This Row],[Amount requested (USD)]]-Table14[[#This Row],[Amount approved (USD)]]</f>
        <v>0</v>
      </c>
      <c r="J52" s="784">
        <v>3500000</v>
      </c>
      <c r="K52" s="784">
        <f>Table14[[#This Row],[Amount approved (USD)]]-Table14[[#This Row],[Amount disbursed (USD)]]</f>
        <v>0</v>
      </c>
      <c r="L52" s="810">
        <f>Table14[[#This Row],[Amount disbursed (USD)]]/Table14[[#This Row],[Amount approved (USD)]]</f>
        <v>1</v>
      </c>
      <c r="M52" s="785" t="s">
        <v>1484</v>
      </c>
      <c r="N52" s="784"/>
      <c r="O52" s="784" t="str">
        <f>IF(Table14[[#This Row],[AMC classification]]="AMC - GAVI","Gavi","UNICEF")</f>
        <v>Gavi</v>
      </c>
      <c r="P52"/>
      <c r="Q52"/>
    </row>
    <row r="53" spans="1:17">
      <c r="A53" s="784" t="s">
        <v>649</v>
      </c>
      <c r="B53" t="s">
        <v>1450</v>
      </c>
      <c r="C53" t="s">
        <v>253</v>
      </c>
      <c r="D53" t="s">
        <v>1457</v>
      </c>
      <c r="E53" t="s">
        <v>1452</v>
      </c>
      <c r="F53" t="str">
        <f>INDEX($Q$2:$Q$6,MATCH(Table14[[#This Row],[CDS status]],$P$2:$P$6,0))</f>
        <v>Disbursed</v>
      </c>
      <c r="G53" s="784">
        <v>9995380</v>
      </c>
      <c r="H53" s="784">
        <v>9995380</v>
      </c>
      <c r="I53" s="784">
        <f>Table14[[#This Row],[Amount requested (USD)]]-Table14[[#This Row],[Amount approved (USD)]]</f>
        <v>0</v>
      </c>
      <c r="J53" s="784">
        <v>9995381</v>
      </c>
      <c r="K53" s="784">
        <f>Table14[[#This Row],[Amount approved (USD)]]-Table14[[#This Row],[Amount disbursed (USD)]]</f>
        <v>-1</v>
      </c>
      <c r="L53" s="810">
        <f>Table14[[#This Row],[Amount disbursed (USD)]]/Table14[[#This Row],[Amount approved (USD)]]</f>
        <v>1.0000001000462213</v>
      </c>
      <c r="M53" s="785" t="s">
        <v>1460</v>
      </c>
      <c r="N53" s="784">
        <v>5124130</v>
      </c>
      <c r="O53" s="784" t="str">
        <f>IF(Table14[[#This Row],[AMC classification]]="AMC - GAVI","Gavi","UNICEF")</f>
        <v>Gavi</v>
      </c>
      <c r="P53"/>
      <c r="Q53"/>
    </row>
    <row r="54" spans="1:17">
      <c r="A54" s="784" t="s">
        <v>676</v>
      </c>
      <c r="B54" t="s">
        <v>1456</v>
      </c>
      <c r="C54" t="s">
        <v>1497</v>
      </c>
      <c r="D54" t="s">
        <v>1451</v>
      </c>
      <c r="E54" t="s">
        <v>1452</v>
      </c>
      <c r="F54" t="str">
        <f>INDEX($Q$2:$Q$6,MATCH(Table14[[#This Row],[CDS status]],$P$2:$P$6,0))</f>
        <v>Disbursed</v>
      </c>
      <c r="G54" s="784">
        <v>230000</v>
      </c>
      <c r="H54" s="784">
        <v>230000</v>
      </c>
      <c r="I54" s="784">
        <f>Table14[[#This Row],[Amount requested (USD)]]-Table14[[#This Row],[Amount approved (USD)]]</f>
        <v>0</v>
      </c>
      <c r="J54" s="784">
        <v>230000</v>
      </c>
      <c r="K54" s="784">
        <f>Table14[[#This Row],[Amount approved (USD)]]-Table14[[#This Row],[Amount disbursed (USD)]]</f>
        <v>0</v>
      </c>
      <c r="L54" s="810">
        <f>Table14[[#This Row],[Amount disbursed (USD)]]/Table14[[#This Row],[Amount approved (USD)]]</f>
        <v>1</v>
      </c>
      <c r="M54" s="785" t="s">
        <v>1481</v>
      </c>
      <c r="N54" s="784"/>
      <c r="O54" s="784" t="str">
        <f>IF(Table14[[#This Row],[AMC classification]]="AMC - GAVI","Gavi","UNICEF")</f>
        <v>UNICEF</v>
      </c>
      <c r="P54"/>
      <c r="Q54"/>
    </row>
    <row r="55" spans="1:17">
      <c r="A55" s="784" t="s">
        <v>651</v>
      </c>
      <c r="B55" t="s">
        <v>1450</v>
      </c>
      <c r="C55" t="s">
        <v>255</v>
      </c>
      <c r="D55" t="s">
        <v>1451</v>
      </c>
      <c r="E55" t="s">
        <v>1452</v>
      </c>
      <c r="F55" t="str">
        <f>INDEX($Q$2:$Q$6,MATCH(Table14[[#This Row],[CDS status]],$P$2:$P$6,0))</f>
        <v>Disbursed</v>
      </c>
      <c r="G55" s="784">
        <v>14999987</v>
      </c>
      <c r="H55" s="784">
        <v>14999987</v>
      </c>
      <c r="I55" s="784">
        <f>Table14[[#This Row],[Amount requested (USD)]]-Table14[[#This Row],[Amount approved (USD)]]</f>
        <v>0</v>
      </c>
      <c r="J55" s="784">
        <v>14360986</v>
      </c>
      <c r="K55" s="784">
        <f>Table14[[#This Row],[Amount approved (USD)]]-Table14[[#This Row],[Amount disbursed (USD)]]</f>
        <v>639001</v>
      </c>
      <c r="L55" s="810">
        <f>Table14[[#This Row],[Amount disbursed (USD)]]/Table14[[#This Row],[Amount approved (USD)]]</f>
        <v>0.95739989641324352</v>
      </c>
      <c r="M55" s="785" t="s">
        <v>1484</v>
      </c>
      <c r="N55" s="784">
        <v>6705086</v>
      </c>
      <c r="O55" s="784" t="str">
        <f>IF(Table14[[#This Row],[AMC classification]]="AMC - GAVI","Gavi","UNICEF")</f>
        <v>Gavi</v>
      </c>
      <c r="P55"/>
      <c r="Q55"/>
    </row>
    <row r="56" spans="1:17">
      <c r="A56" s="784" t="s">
        <v>654</v>
      </c>
      <c r="B56" t="s">
        <v>1450</v>
      </c>
      <c r="C56" t="s">
        <v>258</v>
      </c>
      <c r="D56" t="s">
        <v>1473</v>
      </c>
      <c r="E56" t="s">
        <v>1452</v>
      </c>
      <c r="F56" t="str">
        <f>INDEX($Q$2:$Q$6,MATCH(Table14[[#This Row],[CDS status]],$P$2:$P$6,0))</f>
        <v>Disbursed</v>
      </c>
      <c r="G56" s="784">
        <v>2745604</v>
      </c>
      <c r="H56" s="784">
        <v>2745604</v>
      </c>
      <c r="I56" s="784">
        <f>Table14[[#This Row],[Amount requested (USD)]]-Table14[[#This Row],[Amount approved (USD)]]</f>
        <v>0</v>
      </c>
      <c r="J56" s="784">
        <v>31079</v>
      </c>
      <c r="K56" s="784">
        <f>Table14[[#This Row],[Amount approved (USD)]]-Table14[[#This Row],[Amount disbursed (USD)]]</f>
        <v>2714525</v>
      </c>
      <c r="L56" s="810">
        <f>Table14[[#This Row],[Amount disbursed (USD)]]/Table14[[#This Row],[Amount approved (USD)]]</f>
        <v>1.1319549359630886E-2</v>
      </c>
      <c r="M56" t="s">
        <v>1498</v>
      </c>
      <c r="N56" s="784"/>
      <c r="O56" s="784" t="str">
        <f>IF(Table14[[#This Row],[AMC classification]]="AMC - GAVI","Gavi","UNICEF")</f>
        <v>Gavi</v>
      </c>
      <c r="P56"/>
      <c r="Q56"/>
    </row>
    <row r="57" spans="1:17">
      <c r="A57" s="784" t="s">
        <v>657</v>
      </c>
      <c r="B57" t="s">
        <v>1456</v>
      </c>
      <c r="C57" t="s">
        <v>261</v>
      </c>
      <c r="D57" t="s">
        <v>1473</v>
      </c>
      <c r="E57" t="s">
        <v>1452</v>
      </c>
      <c r="F57" t="str">
        <f>INDEX($Q$2:$Q$6,MATCH(Table14[[#This Row],[CDS status]],$P$2:$P$6,0))</f>
        <v>Disbursed</v>
      </c>
      <c r="G57" s="784">
        <v>4914708</v>
      </c>
      <c r="H57" s="784">
        <v>4914708</v>
      </c>
      <c r="I57" s="784">
        <f>Table14[[#This Row],[Amount requested (USD)]]-Table14[[#This Row],[Amount approved (USD)]]</f>
        <v>0</v>
      </c>
      <c r="J57" s="784">
        <v>4914708</v>
      </c>
      <c r="K57" s="784">
        <f>Table14[[#This Row],[Amount approved (USD)]]-Table14[[#This Row],[Amount disbursed (USD)]]</f>
        <v>0</v>
      </c>
      <c r="L57" s="810">
        <f>Table14[[#This Row],[Amount disbursed (USD)]]/Table14[[#This Row],[Amount approved (USD)]]</f>
        <v>1</v>
      </c>
      <c r="M57" s="785" t="s">
        <v>1458</v>
      </c>
      <c r="N57" s="784"/>
      <c r="O57" s="784" t="str">
        <f>IF(Table14[[#This Row],[AMC classification]]="AMC - GAVI","Gavi","UNICEF")</f>
        <v>UNICEF</v>
      </c>
      <c r="P57"/>
      <c r="Q57"/>
    </row>
    <row r="58" spans="1:17">
      <c r="A58" s="784" t="s">
        <v>638</v>
      </c>
      <c r="B58" t="s">
        <v>1456</v>
      </c>
      <c r="C58" t="s">
        <v>1499</v>
      </c>
      <c r="D58" t="s">
        <v>1490</v>
      </c>
      <c r="E58" t="s">
        <v>1452</v>
      </c>
      <c r="F58" t="str">
        <f>INDEX($Q$2:$Q$6,MATCH(Table14[[#This Row],[CDS status]],$P$2:$P$6,0))</f>
        <v>Disbursed</v>
      </c>
      <c r="G58" s="784">
        <v>367944</v>
      </c>
      <c r="H58" s="784">
        <v>367944</v>
      </c>
      <c r="I58" s="784">
        <f>Table14[[#This Row],[Amount requested (USD)]]-Table14[[#This Row],[Amount approved (USD)]]</f>
        <v>0</v>
      </c>
      <c r="J58" s="784">
        <v>367944</v>
      </c>
      <c r="K58" s="784">
        <f>Table14[[#This Row],[Amount approved (USD)]]-Table14[[#This Row],[Amount disbursed (USD)]]</f>
        <v>0</v>
      </c>
      <c r="L58" s="810">
        <f>Table14[[#This Row],[Amount disbursed (USD)]]/Table14[[#This Row],[Amount approved (USD)]]</f>
        <v>1</v>
      </c>
      <c r="M58" s="785" t="s">
        <v>1472</v>
      </c>
      <c r="N58" s="784"/>
      <c r="O58" s="784" t="str">
        <f>IF(Table14[[#This Row],[AMC classification]]="AMC - GAVI","Gavi","UNICEF")</f>
        <v>UNICEF</v>
      </c>
      <c r="P58"/>
      <c r="Q58"/>
    </row>
    <row r="59" spans="1:17">
      <c r="A59" s="784" t="s">
        <v>661</v>
      </c>
      <c r="B59" t="s">
        <v>1450</v>
      </c>
      <c r="C59" t="s">
        <v>264</v>
      </c>
      <c r="D59" t="s">
        <v>1457</v>
      </c>
      <c r="E59" t="s">
        <v>1452</v>
      </c>
      <c r="F59" t="str">
        <f>INDEX($Q$2:$Q$6,MATCH(Table14[[#This Row],[CDS status]],$P$2:$P$6,0))</f>
        <v>Disbursed</v>
      </c>
      <c r="G59" s="784">
        <v>978461</v>
      </c>
      <c r="H59" s="784">
        <v>978461</v>
      </c>
      <c r="I59" s="784">
        <f>Table14[[#This Row],[Amount requested (USD)]]-Table14[[#This Row],[Amount approved (USD)]]</f>
        <v>0</v>
      </c>
      <c r="J59" s="784">
        <v>893334</v>
      </c>
      <c r="K59" s="784">
        <f>Table14[[#This Row],[Amount approved (USD)]]-Table14[[#This Row],[Amount disbursed (USD)]]</f>
        <v>85127</v>
      </c>
      <c r="L59" s="810">
        <f>Table14[[#This Row],[Amount disbursed (USD)]]/Table14[[#This Row],[Amount approved (USD)]]</f>
        <v>0.91299908734226509</v>
      </c>
      <c r="M59" s="785" t="s">
        <v>1485</v>
      </c>
      <c r="N59" s="784">
        <v>58776</v>
      </c>
      <c r="O59" s="784" t="str">
        <f>IF(Table14[[#This Row],[AMC classification]]="AMC - GAVI","Gavi","UNICEF")</f>
        <v>Gavi</v>
      </c>
      <c r="P59"/>
      <c r="Q59"/>
    </row>
    <row r="60" spans="1:17">
      <c r="A60" s="784" t="s">
        <v>674</v>
      </c>
      <c r="B60" t="s">
        <v>1456</v>
      </c>
      <c r="C60" t="s">
        <v>1500</v>
      </c>
      <c r="D60" t="s">
        <v>1470</v>
      </c>
      <c r="E60" t="s">
        <v>1452</v>
      </c>
      <c r="F60" t="str">
        <f>INDEX($Q$2:$Q$6,MATCH(Table14[[#This Row],[CDS status]],$P$2:$P$6,0))</f>
        <v>Disbursed</v>
      </c>
      <c r="G60" s="784">
        <v>230000</v>
      </c>
      <c r="H60" s="784">
        <v>230000</v>
      </c>
      <c r="I60" s="784">
        <f>Table14[[#This Row],[Amount requested (USD)]]-Table14[[#This Row],[Amount approved (USD)]]</f>
        <v>0</v>
      </c>
      <c r="J60" s="784">
        <v>230000</v>
      </c>
      <c r="K60" s="784">
        <f>Table14[[#This Row],[Amount approved (USD)]]-Table14[[#This Row],[Amount disbursed (USD)]]</f>
        <v>0</v>
      </c>
      <c r="L60" s="810">
        <f>Table14[[#This Row],[Amount disbursed (USD)]]/Table14[[#This Row],[Amount approved (USD)]]</f>
        <v>1</v>
      </c>
      <c r="M60" s="785" t="s">
        <v>1481</v>
      </c>
      <c r="N60" s="784"/>
      <c r="O60" s="784" t="str">
        <f>IF(Table14[[#This Row],[AMC classification]]="AMC - GAVI","Gavi","UNICEF")</f>
        <v>UNICEF</v>
      </c>
      <c r="P60"/>
      <c r="Q60"/>
    </row>
    <row r="61" spans="1:17">
      <c r="A61" s="784" t="s">
        <v>675</v>
      </c>
      <c r="B61" t="s">
        <v>1456</v>
      </c>
      <c r="C61" t="s">
        <v>1501</v>
      </c>
      <c r="D61" t="s">
        <v>1470</v>
      </c>
      <c r="E61" t="s">
        <v>1452</v>
      </c>
      <c r="F61" t="str">
        <f>INDEX($Q$2:$Q$6,MATCH(Table14[[#This Row],[CDS status]],$P$2:$P$6,0))</f>
        <v>Disbursed</v>
      </c>
      <c r="G61" s="784">
        <v>230000</v>
      </c>
      <c r="H61" s="784">
        <v>230000</v>
      </c>
      <c r="I61" s="784">
        <f>Table14[[#This Row],[Amount requested (USD)]]-Table14[[#This Row],[Amount approved (USD)]]</f>
        <v>0</v>
      </c>
      <c r="J61" s="784">
        <v>230000</v>
      </c>
      <c r="K61" s="784">
        <f>Table14[[#This Row],[Amount approved (USD)]]-Table14[[#This Row],[Amount disbursed (USD)]]</f>
        <v>0</v>
      </c>
      <c r="L61" s="810">
        <f>Table14[[#This Row],[Amount disbursed (USD)]]/Table14[[#This Row],[Amount approved (USD)]]</f>
        <v>1</v>
      </c>
      <c r="M61" s="785" t="s">
        <v>1472</v>
      </c>
      <c r="N61" s="784"/>
      <c r="O61" s="784" t="str">
        <f>IF(Table14[[#This Row],[AMC classification]]="AMC - GAVI","Gavi","UNICEF")</f>
        <v>UNICEF</v>
      </c>
      <c r="P61"/>
      <c r="Q61"/>
    </row>
    <row r="62" spans="1:17">
      <c r="A62" s="784" t="s">
        <v>663</v>
      </c>
      <c r="B62" t="s">
        <v>1450</v>
      </c>
      <c r="C62" t="s">
        <v>266</v>
      </c>
      <c r="D62" t="s">
        <v>1457</v>
      </c>
      <c r="E62" t="s">
        <v>1452</v>
      </c>
      <c r="F62" t="str">
        <f>INDEX($Q$2:$Q$6,MATCH(Table14[[#This Row],[CDS status]],$P$2:$P$6,0))</f>
        <v>Disbursed</v>
      </c>
      <c r="G62" s="784">
        <v>978461</v>
      </c>
      <c r="H62" s="784">
        <v>978461</v>
      </c>
      <c r="I62" s="784">
        <f>Table14[[#This Row],[Amount requested (USD)]]-Table14[[#This Row],[Amount approved (USD)]]</f>
        <v>0</v>
      </c>
      <c r="J62" s="784">
        <v>978461</v>
      </c>
      <c r="K62" s="784">
        <f>Table14[[#This Row],[Amount approved (USD)]]-Table14[[#This Row],[Amount disbursed (USD)]]</f>
        <v>0</v>
      </c>
      <c r="L62" s="810">
        <f>Table14[[#This Row],[Amount disbursed (USD)]]/Table14[[#This Row],[Amount approved (USD)]]</f>
        <v>1</v>
      </c>
      <c r="M62" s="785" t="s">
        <v>1502</v>
      </c>
      <c r="N62" s="784">
        <v>194440</v>
      </c>
      <c r="O62" s="784" t="str">
        <f>IF(Table14[[#This Row],[AMC classification]]="AMC - GAVI","Gavi","UNICEF")</f>
        <v>Gavi</v>
      </c>
      <c r="P62"/>
      <c r="Q62"/>
    </row>
    <row r="63" spans="1:17">
      <c r="A63" s="784" t="s">
        <v>664</v>
      </c>
      <c r="B63" t="s">
        <v>1450</v>
      </c>
      <c r="C63" t="s">
        <v>267</v>
      </c>
      <c r="D63" t="s">
        <v>1457</v>
      </c>
      <c r="E63" t="s">
        <v>1452</v>
      </c>
      <c r="F63" t="str">
        <f>INDEX($Q$2:$Q$6,MATCH(Table14[[#This Row],[CDS status]],$P$2:$P$6,0))</f>
        <v>Disbursed</v>
      </c>
      <c r="G63" s="784">
        <v>1380115</v>
      </c>
      <c r="H63" s="784">
        <v>1380115</v>
      </c>
      <c r="I63" s="784">
        <f>Table14[[#This Row],[Amount requested (USD)]]-Table14[[#This Row],[Amount approved (USD)]]</f>
        <v>0</v>
      </c>
      <c r="J63" s="784">
        <v>1380115</v>
      </c>
      <c r="K63" s="784">
        <f>Table14[[#This Row],[Amount approved (USD)]]-Table14[[#This Row],[Amount disbursed (USD)]]</f>
        <v>0</v>
      </c>
      <c r="L63" s="810">
        <f>Table14[[#This Row],[Amount disbursed (USD)]]/Table14[[#This Row],[Amount approved (USD)]]</f>
        <v>1</v>
      </c>
      <c r="M63" s="785" t="s">
        <v>1460</v>
      </c>
      <c r="N63" s="784"/>
      <c r="O63" s="784" t="str">
        <f>IF(Table14[[#This Row],[AMC classification]]="AMC - GAVI","Gavi","UNICEF")</f>
        <v>Gavi</v>
      </c>
      <c r="P63"/>
      <c r="Q63"/>
    </row>
    <row r="64" spans="1:17">
      <c r="A64" s="784" t="s">
        <v>667</v>
      </c>
      <c r="B64" t="s">
        <v>1450</v>
      </c>
      <c r="C64" t="s">
        <v>269</v>
      </c>
      <c r="D64" t="s">
        <v>1457</v>
      </c>
      <c r="E64" t="s">
        <v>1452</v>
      </c>
      <c r="F64" t="str">
        <f>INDEX($Q$2:$Q$6,MATCH(Table14[[#This Row],[CDS status]],$P$2:$P$6,0))</f>
        <v>Disbursed</v>
      </c>
      <c r="G64" s="784">
        <v>967690</v>
      </c>
      <c r="H64" s="784">
        <v>967690</v>
      </c>
      <c r="I64" s="784">
        <f>Table14[[#This Row],[Amount requested (USD)]]-Table14[[#This Row],[Amount approved (USD)]]</f>
        <v>0</v>
      </c>
      <c r="J64" s="784">
        <v>967687</v>
      </c>
      <c r="K64" s="784">
        <f>Table14[[#This Row],[Amount approved (USD)]]-Table14[[#This Row],[Amount disbursed (USD)]]</f>
        <v>3</v>
      </c>
      <c r="L64" s="810">
        <f>Table14[[#This Row],[Amount disbursed (USD)]]/Table14[[#This Row],[Amount approved (USD)]]</f>
        <v>0.99999689983362439</v>
      </c>
      <c r="M64" s="785" t="s">
        <v>1483</v>
      </c>
      <c r="N64" s="784">
        <v>715040</v>
      </c>
      <c r="O64" s="784" t="str">
        <f>IF(Table14[[#This Row],[AMC classification]]="AMC - GAVI","Gavi","UNICEF")</f>
        <v>Gavi</v>
      </c>
      <c r="P64"/>
      <c r="Q64"/>
    </row>
    <row r="65" spans="1:17">
      <c r="A65" s="784" t="s">
        <v>669</v>
      </c>
      <c r="B65" t="s">
        <v>1450</v>
      </c>
      <c r="C65" t="s">
        <v>271</v>
      </c>
      <c r="D65" t="s">
        <v>1451</v>
      </c>
      <c r="E65" t="s">
        <v>1452</v>
      </c>
      <c r="F65" t="str">
        <f>INDEX($Q$2:$Q$6,MATCH(Table14[[#This Row],[CDS status]],$P$2:$P$6,0))</f>
        <v>Disbursed</v>
      </c>
      <c r="G65" s="784">
        <v>5100000</v>
      </c>
      <c r="H65" s="784">
        <v>5100000</v>
      </c>
      <c r="I65" s="784">
        <f>Table14[[#This Row],[Amount requested (USD)]]-Table14[[#This Row],[Amount approved (USD)]]</f>
        <v>0</v>
      </c>
      <c r="J65" s="784">
        <v>5100000</v>
      </c>
      <c r="K65" s="784">
        <f>Table14[[#This Row],[Amount approved (USD)]]-Table14[[#This Row],[Amount disbursed (USD)]]</f>
        <v>0</v>
      </c>
      <c r="L65" s="810">
        <f>Table14[[#This Row],[Amount disbursed (USD)]]/Table14[[#This Row],[Amount approved (USD)]]</f>
        <v>1</v>
      </c>
      <c r="M65" s="785" t="s">
        <v>1474</v>
      </c>
      <c r="N65" s="784">
        <v>2620776</v>
      </c>
      <c r="O65" s="784" t="str">
        <f>IF(Table14[[#This Row],[AMC classification]]="AMC - GAVI","Gavi","UNICEF")</f>
        <v>Gavi</v>
      </c>
      <c r="P65"/>
      <c r="Q65"/>
    </row>
    <row r="66" spans="1:17">
      <c r="A66" s="784" t="s">
        <v>671</v>
      </c>
      <c r="B66" t="s">
        <v>1450</v>
      </c>
      <c r="C66" t="s">
        <v>273</v>
      </c>
      <c r="D66" t="s">
        <v>1457</v>
      </c>
      <c r="E66" t="s">
        <v>1452</v>
      </c>
      <c r="F66" t="str">
        <f>INDEX($Q$2:$Q$6,MATCH(Table14[[#This Row],[CDS status]],$P$2:$P$6,0))</f>
        <v>Disbursed</v>
      </c>
      <c r="G66" s="784">
        <v>2988882</v>
      </c>
      <c r="H66" s="784">
        <v>2988882</v>
      </c>
      <c r="I66" s="784">
        <f>Table14[[#This Row],[Amount requested (USD)]]-Table14[[#This Row],[Amount approved (USD)]]</f>
        <v>0</v>
      </c>
      <c r="J66" s="784">
        <v>2766766</v>
      </c>
      <c r="K66" s="784">
        <f>Table14[[#This Row],[Amount approved (USD)]]-Table14[[#This Row],[Amount disbursed (USD)]]</f>
        <v>222116</v>
      </c>
      <c r="L66" s="810">
        <f>Table14[[#This Row],[Amount disbursed (USD)]]/Table14[[#This Row],[Amount approved (USD)]]</f>
        <v>0.92568592537276484</v>
      </c>
      <c r="M66" s="785" t="s">
        <v>1480</v>
      </c>
      <c r="N66" s="784">
        <v>970391</v>
      </c>
      <c r="O66" s="784" t="str">
        <f>IF(Table14[[#This Row],[AMC classification]]="AMC - GAVI","Gavi","UNICEF")</f>
        <v>Gavi</v>
      </c>
      <c r="P66"/>
      <c r="Q66"/>
    </row>
    <row r="67" spans="1:17">
      <c r="A67" s="784" t="s">
        <v>672</v>
      </c>
      <c r="B67" t="s">
        <v>1456</v>
      </c>
      <c r="C67" t="s">
        <v>274</v>
      </c>
      <c r="D67" t="s">
        <v>1462</v>
      </c>
      <c r="E67" t="s">
        <v>1452</v>
      </c>
      <c r="F67" t="str">
        <f>INDEX($Q$2:$Q$6,MATCH(Table14[[#This Row],[CDS status]],$P$2:$P$6,0))</f>
        <v>Disbursed</v>
      </c>
      <c r="G67" s="784">
        <v>981803</v>
      </c>
      <c r="H67" s="784">
        <v>981803</v>
      </c>
      <c r="I67" s="784">
        <f>Table14[[#This Row],[Amount requested (USD)]]-Table14[[#This Row],[Amount approved (USD)]]</f>
        <v>0</v>
      </c>
      <c r="J67" s="784">
        <v>981803</v>
      </c>
      <c r="K67" s="784">
        <f>Table14[[#This Row],[Amount approved (USD)]]-Table14[[#This Row],[Amount disbursed (USD)]]</f>
        <v>0</v>
      </c>
      <c r="L67" s="810">
        <f>Table14[[#This Row],[Amount disbursed (USD)]]/Table14[[#This Row],[Amount approved (USD)]]</f>
        <v>1</v>
      </c>
      <c r="M67" s="785" t="s">
        <v>1472</v>
      </c>
      <c r="N67" s="784"/>
      <c r="O67" s="784" t="str">
        <f>IF(Table14[[#This Row],[AMC classification]]="AMC - GAVI","Gavi","UNICEF")</f>
        <v>UNICEF</v>
      </c>
      <c r="P67"/>
      <c r="Q67"/>
    </row>
    <row r="68" spans="1:17">
      <c r="A68" s="784" t="s">
        <v>677</v>
      </c>
      <c r="B68" t="s">
        <v>1450</v>
      </c>
      <c r="C68" t="s">
        <v>277</v>
      </c>
      <c r="D68" t="s">
        <v>1451</v>
      </c>
      <c r="E68" t="s">
        <v>1452</v>
      </c>
      <c r="F68" t="str">
        <f>INDEX($Q$2:$Q$6,MATCH(Table14[[#This Row],[CDS status]],$P$2:$P$6,0))</f>
        <v>Disbursed</v>
      </c>
      <c r="G68" s="784">
        <v>3536420</v>
      </c>
      <c r="H68" s="784">
        <v>3536420</v>
      </c>
      <c r="I68" s="784">
        <f>Table14[[#This Row],[Amount requested (USD)]]-Table14[[#This Row],[Amount approved (USD)]]</f>
        <v>0</v>
      </c>
      <c r="J68" s="784">
        <v>3536433</v>
      </c>
      <c r="K68" s="784">
        <f>Table14[[#This Row],[Amount approved (USD)]]-Table14[[#This Row],[Amount disbursed (USD)]]</f>
        <v>-13</v>
      </c>
      <c r="L68" s="810">
        <f>Table14[[#This Row],[Amount disbursed (USD)]]/Table14[[#This Row],[Amount approved (USD)]]</f>
        <v>1.0000036760339552</v>
      </c>
      <c r="M68" s="785" t="s">
        <v>1503</v>
      </c>
      <c r="N68" s="784">
        <v>1124355</v>
      </c>
      <c r="O68" s="784" t="str">
        <f>IF(Table14[[#This Row],[AMC classification]]="AMC - GAVI","Gavi","UNICEF")</f>
        <v>Gavi</v>
      </c>
      <c r="P68"/>
      <c r="Q68"/>
    </row>
    <row r="69" spans="1:17">
      <c r="A69" s="784" t="s">
        <v>679</v>
      </c>
      <c r="B69" t="s">
        <v>1450</v>
      </c>
      <c r="C69" t="s">
        <v>279</v>
      </c>
      <c r="D69" t="s">
        <v>1451</v>
      </c>
      <c r="E69" t="s">
        <v>1452</v>
      </c>
      <c r="F69" t="str">
        <f>INDEX($Q$2:$Q$6,MATCH(Table14[[#This Row],[CDS status]],$P$2:$P$6,0))</f>
        <v>Disbursed</v>
      </c>
      <c r="G69" s="784">
        <v>3451728</v>
      </c>
      <c r="H69" s="784">
        <v>3451738</v>
      </c>
      <c r="I69" s="784">
        <f>Table14[[#This Row],[Amount requested (USD)]]-Table14[[#This Row],[Amount approved (USD)]]</f>
        <v>-10</v>
      </c>
      <c r="J69" s="784">
        <v>2730325</v>
      </c>
      <c r="K69" s="784">
        <f>Table14[[#This Row],[Amount approved (USD)]]-Table14[[#This Row],[Amount disbursed (USD)]]</f>
        <v>721413</v>
      </c>
      <c r="L69" s="810">
        <f>Table14[[#This Row],[Amount disbursed (USD)]]/Table14[[#This Row],[Amount approved (USD)]]</f>
        <v>0.7910000701096086</v>
      </c>
      <c r="M69" s="785" t="s">
        <v>1491</v>
      </c>
      <c r="N69" s="784">
        <f>1365163+360706</f>
        <v>1725869</v>
      </c>
      <c r="O69" s="784" t="str">
        <f>IF(Table14[[#This Row],[AMC classification]]="AMC - GAVI","Gavi","UNICEF")</f>
        <v>Gavi</v>
      </c>
      <c r="P69"/>
      <c r="Q69"/>
    </row>
    <row r="70" spans="1:17">
      <c r="A70" s="784" t="s">
        <v>680</v>
      </c>
      <c r="B70" t="s">
        <v>1450</v>
      </c>
      <c r="C70" t="s">
        <v>280</v>
      </c>
      <c r="D70" t="s">
        <v>1490</v>
      </c>
      <c r="E70" t="s">
        <v>1452</v>
      </c>
      <c r="F70" t="str">
        <f>INDEX($Q$2:$Q$6,MATCH(Table14[[#This Row],[CDS status]],$P$2:$P$6,0))</f>
        <v>Disbursed</v>
      </c>
      <c r="G70" s="784">
        <v>978461</v>
      </c>
      <c r="H70" s="784">
        <v>978461</v>
      </c>
      <c r="I70" s="784">
        <f>Table14[[#This Row],[Amount requested (USD)]]-Table14[[#This Row],[Amount approved (USD)]]</f>
        <v>0</v>
      </c>
      <c r="J70" s="784">
        <v>978461</v>
      </c>
      <c r="K70" s="784">
        <f>Table14[[#This Row],[Amount approved (USD)]]-Table14[[#This Row],[Amount disbursed (USD)]]</f>
        <v>0</v>
      </c>
      <c r="L70" s="810">
        <f>Table14[[#This Row],[Amount disbursed (USD)]]/Table14[[#This Row],[Amount approved (USD)]]</f>
        <v>1</v>
      </c>
      <c r="M70" s="785" t="s">
        <v>1487</v>
      </c>
      <c r="N70" s="784">
        <v>276360</v>
      </c>
      <c r="O70" s="784" t="str">
        <f>IF(Table14[[#This Row],[AMC classification]]="AMC - GAVI","Gavi","UNICEF")</f>
        <v>Gavi</v>
      </c>
      <c r="P70"/>
      <c r="Q70"/>
    </row>
    <row r="71" spans="1:17">
      <c r="A71" s="784" t="s">
        <v>683</v>
      </c>
      <c r="B71" t="s">
        <v>1450</v>
      </c>
      <c r="C71" t="s">
        <v>281</v>
      </c>
      <c r="D71" t="s">
        <v>1462</v>
      </c>
      <c r="E71" t="s">
        <v>1452</v>
      </c>
      <c r="F71" t="str">
        <f>INDEX($Q$2:$Q$6,MATCH(Table14[[#This Row],[CDS status]],$P$2:$P$6,0))</f>
        <v>Disbursed</v>
      </c>
      <c r="G71" s="784">
        <v>244615</v>
      </c>
      <c r="H71" s="784">
        <v>244615</v>
      </c>
      <c r="I71" s="784">
        <f>Table14[[#This Row],[Amount requested (USD)]]-Table14[[#This Row],[Amount approved (USD)]]</f>
        <v>0</v>
      </c>
      <c r="J71" s="784">
        <v>244615</v>
      </c>
      <c r="K71" s="784">
        <f>Table14[[#This Row],[Amount approved (USD)]]-Table14[[#This Row],[Amount disbursed (USD)]]</f>
        <v>0</v>
      </c>
      <c r="L71" s="810">
        <f>Table14[[#This Row],[Amount disbursed (USD)]]/Table14[[#This Row],[Amount approved (USD)]]</f>
        <v>1</v>
      </c>
      <c r="M71" s="785" t="s">
        <v>1504</v>
      </c>
      <c r="N71" s="784"/>
      <c r="O71" s="784" t="str">
        <f>IF(Table14[[#This Row],[AMC classification]]="AMC - GAVI","Gavi","UNICEF")</f>
        <v>Gavi</v>
      </c>
      <c r="P71"/>
      <c r="Q71"/>
    </row>
    <row r="72" spans="1:17">
      <c r="A72" s="784" t="s">
        <v>684</v>
      </c>
      <c r="B72" t="s">
        <v>1450</v>
      </c>
      <c r="C72" t="s">
        <v>282</v>
      </c>
      <c r="D72" t="s">
        <v>1457</v>
      </c>
      <c r="E72" t="s">
        <v>1452</v>
      </c>
      <c r="F72" t="str">
        <f>INDEX($Q$2:$Q$6,MATCH(Table14[[#This Row],[CDS status]],$P$2:$P$6,0))</f>
        <v>Disbursed</v>
      </c>
      <c r="G72" s="784">
        <v>1000017</v>
      </c>
      <c r="H72" s="784">
        <v>1000017</v>
      </c>
      <c r="I72" s="784">
        <f>Table14[[#This Row],[Amount requested (USD)]]-Table14[[#This Row],[Amount approved (USD)]]</f>
        <v>0</v>
      </c>
      <c r="J72" s="784">
        <v>1000017</v>
      </c>
      <c r="K72" s="784">
        <f>Table14[[#This Row],[Amount approved (USD)]]-Table14[[#This Row],[Amount disbursed (USD)]]</f>
        <v>0</v>
      </c>
      <c r="L72" s="810">
        <f>Table14[[#This Row],[Amount disbursed (USD)]]/Table14[[#This Row],[Amount approved (USD)]]</f>
        <v>1</v>
      </c>
      <c r="M72" s="785" t="s">
        <v>1483</v>
      </c>
      <c r="N72" s="784"/>
      <c r="O72" s="784" t="str">
        <f>IF(Table14[[#This Row],[AMC classification]]="AMC - GAVI","Gavi","UNICEF")</f>
        <v>Gavi</v>
      </c>
      <c r="P72"/>
      <c r="Q72"/>
    </row>
    <row r="73" spans="1:17">
      <c r="A73" s="784" t="s">
        <v>685</v>
      </c>
      <c r="B73" t="s">
        <v>1456</v>
      </c>
      <c r="C73" t="s">
        <v>283</v>
      </c>
      <c r="D73" t="s">
        <v>1473</v>
      </c>
      <c r="E73" t="s">
        <v>1452</v>
      </c>
      <c r="F73" t="str">
        <f>INDEX($Q$2:$Q$6,MATCH(Table14[[#This Row],[CDS status]],$P$2:$P$6,0))</f>
        <v>Disbursed</v>
      </c>
      <c r="G73" s="784">
        <v>230000</v>
      </c>
      <c r="H73" s="784">
        <v>230000</v>
      </c>
      <c r="I73" s="784">
        <f>Table14[[#This Row],[Amount requested (USD)]]-Table14[[#This Row],[Amount approved (USD)]]</f>
        <v>0</v>
      </c>
      <c r="J73" s="784">
        <v>230000</v>
      </c>
      <c r="K73" s="784">
        <f>Table14[[#This Row],[Amount approved (USD)]]-Table14[[#This Row],[Amount disbursed (USD)]]</f>
        <v>0</v>
      </c>
      <c r="L73" s="810">
        <f>Table14[[#This Row],[Amount disbursed (USD)]]/Table14[[#This Row],[Amount approved (USD)]]</f>
        <v>1</v>
      </c>
      <c r="M73" s="785" t="s">
        <v>1458</v>
      </c>
      <c r="N73" s="784"/>
      <c r="O73" s="784" t="str">
        <f>IF(Table14[[#This Row],[AMC classification]]="AMC - GAVI","Gavi","UNICEF")</f>
        <v>UNICEF</v>
      </c>
      <c r="P73"/>
      <c r="Q73"/>
    </row>
    <row r="74" spans="1:17">
      <c r="A74" s="784" t="s">
        <v>687</v>
      </c>
      <c r="B74" t="s">
        <v>1456</v>
      </c>
      <c r="C74" t="s">
        <v>285</v>
      </c>
      <c r="D74" t="s">
        <v>1451</v>
      </c>
      <c r="E74" t="s">
        <v>1452</v>
      </c>
      <c r="F74" t="str">
        <f>INDEX($Q$2:$Q$6,MATCH(Table14[[#This Row],[CDS status]],$P$2:$P$6,0))</f>
        <v>Disbursed</v>
      </c>
      <c r="G74" s="784">
        <v>530082</v>
      </c>
      <c r="H74" s="784">
        <v>530082</v>
      </c>
      <c r="I74" s="784">
        <f>Table14[[#This Row],[Amount requested (USD)]]-Table14[[#This Row],[Amount approved (USD)]]</f>
        <v>0</v>
      </c>
      <c r="J74" s="784">
        <v>530082</v>
      </c>
      <c r="K74" s="784">
        <f>Table14[[#This Row],[Amount approved (USD)]]-Table14[[#This Row],[Amount disbursed (USD)]]</f>
        <v>0</v>
      </c>
      <c r="L74" s="810">
        <f>Table14[[#This Row],[Amount disbursed (USD)]]/Table14[[#This Row],[Amount approved (USD)]]</f>
        <v>1</v>
      </c>
      <c r="M74" s="785" t="s">
        <v>1458</v>
      </c>
      <c r="N74" s="784"/>
      <c r="O74" s="784" t="str">
        <f>IF(Table14[[#This Row],[AMC classification]]="AMC - GAVI","Gavi","UNICEF")</f>
        <v>UNICEF</v>
      </c>
      <c r="P74"/>
      <c r="Q74"/>
    </row>
    <row r="75" spans="1:17">
      <c r="A75" s="784" t="s">
        <v>690</v>
      </c>
      <c r="B75" t="s">
        <v>1456</v>
      </c>
      <c r="C75" t="s">
        <v>288</v>
      </c>
      <c r="D75" t="s">
        <v>1473</v>
      </c>
      <c r="E75" t="s">
        <v>1452</v>
      </c>
      <c r="F75" t="str">
        <f>INDEX($Q$2:$Q$6,MATCH(Table14[[#This Row],[CDS status]],$P$2:$P$6,0))</f>
        <v>Disbursed</v>
      </c>
      <c r="G75" s="784">
        <v>230000</v>
      </c>
      <c r="H75" s="784">
        <v>230000</v>
      </c>
      <c r="I75" s="784">
        <f>Table14[[#This Row],[Amount requested (USD)]]-Table14[[#This Row],[Amount approved (USD)]]</f>
        <v>0</v>
      </c>
      <c r="J75" s="784">
        <v>230000</v>
      </c>
      <c r="K75" s="784">
        <f>Table14[[#This Row],[Amount approved (USD)]]-Table14[[#This Row],[Amount disbursed (USD)]]</f>
        <v>0</v>
      </c>
      <c r="L75" s="810">
        <f>Table14[[#This Row],[Amount disbursed (USD)]]/Table14[[#This Row],[Amount approved (USD)]]</f>
        <v>1</v>
      </c>
      <c r="M75" s="785" t="s">
        <v>1458</v>
      </c>
      <c r="N75" s="784"/>
      <c r="O75" s="784" t="str">
        <f>IF(Table14[[#This Row],[AMC classification]]="AMC - GAVI","Gavi","UNICEF")</f>
        <v>UNICEF</v>
      </c>
      <c r="P75"/>
      <c r="Q75"/>
    </row>
    <row r="76" spans="1:17">
      <c r="A76" s="784" t="s">
        <v>691</v>
      </c>
      <c r="B76" t="s">
        <v>1450</v>
      </c>
      <c r="C76" t="s">
        <v>289</v>
      </c>
      <c r="D76" t="s">
        <v>1457</v>
      </c>
      <c r="E76" t="s">
        <v>1452</v>
      </c>
      <c r="F76" t="str">
        <f>INDEX($Q$2:$Q$6,MATCH(Table14[[#This Row],[CDS status]],$P$2:$P$6,0))</f>
        <v>Disbursed</v>
      </c>
      <c r="G76" s="784">
        <v>3554186</v>
      </c>
      <c r="H76" s="784">
        <v>3554186</v>
      </c>
      <c r="I76" s="784">
        <f>Table14[[#This Row],[Amount requested (USD)]]-Table14[[#This Row],[Amount approved (USD)]]</f>
        <v>0</v>
      </c>
      <c r="J76" s="784">
        <v>3554186</v>
      </c>
      <c r="K76" s="784">
        <f>Table14[[#This Row],[Amount approved (USD)]]-Table14[[#This Row],[Amount disbursed (USD)]]</f>
        <v>0</v>
      </c>
      <c r="L76" s="810">
        <f>Table14[[#This Row],[Amount disbursed (USD)]]/Table14[[#This Row],[Amount approved (USD)]]</f>
        <v>1</v>
      </c>
      <c r="M76" s="785" t="s">
        <v>1471</v>
      </c>
      <c r="N76" s="784"/>
      <c r="O76" s="784" t="str">
        <f>IF(Table14[[#This Row],[AMC classification]]="AMC - GAVI","Gavi","UNICEF")</f>
        <v>Gavi</v>
      </c>
      <c r="P76"/>
      <c r="Q76"/>
    </row>
    <row r="77" spans="1:17">
      <c r="A77" s="784" t="s">
        <v>692</v>
      </c>
      <c r="B77" t="s">
        <v>1456</v>
      </c>
      <c r="C77" t="s">
        <v>290</v>
      </c>
      <c r="D77" t="s">
        <v>1490</v>
      </c>
      <c r="E77" t="s">
        <v>1452</v>
      </c>
      <c r="F77" t="str">
        <f>INDEX($Q$2:$Q$6,MATCH(Table14[[#This Row],[CDS status]],$P$2:$P$6,0))</f>
        <v>Disbursed</v>
      </c>
      <c r="G77" s="784">
        <v>1977835</v>
      </c>
      <c r="H77" s="784">
        <v>1977835</v>
      </c>
      <c r="I77" s="784">
        <f>Table14[[#This Row],[Amount requested (USD)]]-Table14[[#This Row],[Amount approved (USD)]]</f>
        <v>0</v>
      </c>
      <c r="J77" s="784">
        <v>1977835</v>
      </c>
      <c r="K77" s="784">
        <f>Table14[[#This Row],[Amount approved (USD)]]-Table14[[#This Row],[Amount disbursed (USD)]]</f>
        <v>0</v>
      </c>
      <c r="L77" s="810">
        <f>Table14[[#This Row],[Amount disbursed (USD)]]/Table14[[#This Row],[Amount approved (USD)]]</f>
        <v>1</v>
      </c>
      <c r="M77" s="785" t="s">
        <v>1472</v>
      </c>
      <c r="N77" s="784"/>
      <c r="O77" s="784" t="str">
        <f>IF(Table14[[#This Row],[AMC classification]]="AMC - GAVI","Gavi","UNICEF")</f>
        <v>UNICEF</v>
      </c>
      <c r="P77"/>
      <c r="Q77"/>
    </row>
    <row r="78" spans="1:17">
      <c r="A78" s="784" t="s">
        <v>681</v>
      </c>
      <c r="B78" t="s">
        <v>1450</v>
      </c>
      <c r="C78" t="s">
        <v>1505</v>
      </c>
      <c r="D78" t="s">
        <v>1457</v>
      </c>
      <c r="E78" t="s">
        <v>1452</v>
      </c>
      <c r="F78" t="str">
        <f>INDEX($Q$2:$Q$6,MATCH(Table14[[#This Row],[CDS status]],$P$2:$P$6,0))</f>
        <v>Disbursed</v>
      </c>
      <c r="G78" s="784">
        <v>6752492</v>
      </c>
      <c r="H78" s="784">
        <v>6752492</v>
      </c>
      <c r="I78" s="784">
        <f>Table14[[#This Row],[Amount requested (USD)]]-Table14[[#This Row],[Amount approved (USD)]]</f>
        <v>0</v>
      </c>
      <c r="J78" s="784">
        <v>6752492</v>
      </c>
      <c r="K78" s="784">
        <f>Table14[[#This Row],[Amount approved (USD)]]-Table14[[#This Row],[Amount disbursed (USD)]]</f>
        <v>0</v>
      </c>
      <c r="L78" s="810">
        <f>Table14[[#This Row],[Amount disbursed (USD)]]/Table14[[#This Row],[Amount approved (USD)]]</f>
        <v>1</v>
      </c>
      <c r="M78" s="785" t="s">
        <v>1495</v>
      </c>
      <c r="N78" s="784"/>
      <c r="O78" s="784" t="str">
        <f>IF(Table14[[#This Row],[AMC classification]]="AMC - GAVI","Gavi","UNICEF")</f>
        <v>Gavi</v>
      </c>
      <c r="P78"/>
      <c r="Q78"/>
    </row>
    <row r="79" spans="1:17">
      <c r="A79" s="784" t="s">
        <v>694</v>
      </c>
      <c r="B79" t="s">
        <v>1450</v>
      </c>
      <c r="C79" t="s">
        <v>292</v>
      </c>
      <c r="D79" t="s">
        <v>1490</v>
      </c>
      <c r="E79" t="s">
        <v>1452</v>
      </c>
      <c r="F79" t="str">
        <f>INDEX($Q$2:$Q$6,MATCH(Table14[[#This Row],[CDS status]],$P$2:$P$6,0))</f>
        <v>Disbursed</v>
      </c>
      <c r="G79" s="784">
        <v>2404057</v>
      </c>
      <c r="H79" s="784">
        <v>2404057</v>
      </c>
      <c r="I79" s="784">
        <f>Table14[[#This Row],[Amount requested (USD)]]-Table14[[#This Row],[Amount approved (USD)]]</f>
        <v>0</v>
      </c>
      <c r="J79" s="784">
        <v>2404057</v>
      </c>
      <c r="K79" s="784">
        <f>Table14[[#This Row],[Amount approved (USD)]]-Table14[[#This Row],[Amount disbursed (USD)]]</f>
        <v>0</v>
      </c>
      <c r="L79" s="810">
        <f>Table14[[#This Row],[Amount disbursed (USD)]]/Table14[[#This Row],[Amount approved (USD)]]</f>
        <v>1</v>
      </c>
      <c r="M79" s="785" t="s">
        <v>1480</v>
      </c>
      <c r="N79" s="784">
        <v>1981860</v>
      </c>
      <c r="O79" s="784" t="str">
        <f>IF(Table14[[#This Row],[AMC classification]]="AMC - GAVI","Gavi","UNICEF")</f>
        <v>Gavi</v>
      </c>
      <c r="P79"/>
      <c r="Q79"/>
    </row>
    <row r="80" spans="1:17">
      <c r="A80" s="784" t="s">
        <v>695</v>
      </c>
      <c r="B80" t="s">
        <v>1456</v>
      </c>
      <c r="C80" t="s">
        <v>293</v>
      </c>
      <c r="D80" t="s">
        <v>1473</v>
      </c>
      <c r="E80" t="s">
        <v>1452</v>
      </c>
      <c r="F80" t="str">
        <f>INDEX($Q$2:$Q$6,MATCH(Table14[[#This Row],[CDS status]],$P$2:$P$6,0))</f>
        <v>Disbursed</v>
      </c>
      <c r="G80" s="784">
        <v>230000</v>
      </c>
      <c r="H80" s="784">
        <v>230000</v>
      </c>
      <c r="I80" s="784">
        <f>Table14[[#This Row],[Amount requested (USD)]]-Table14[[#This Row],[Amount approved (USD)]]</f>
        <v>0</v>
      </c>
      <c r="J80" s="784">
        <v>230000</v>
      </c>
      <c r="K80" s="784">
        <f>Table14[[#This Row],[Amount approved (USD)]]-Table14[[#This Row],[Amount disbursed (USD)]]</f>
        <v>0</v>
      </c>
      <c r="L80" s="810">
        <f>Table14[[#This Row],[Amount disbursed (USD)]]/Table14[[#This Row],[Amount approved (USD)]]</f>
        <v>1</v>
      </c>
      <c r="M80" s="785" t="s">
        <v>1458</v>
      </c>
      <c r="N80" s="784"/>
      <c r="O80" s="784" t="str">
        <f>IF(Table14[[#This Row],[AMC classification]]="AMC - GAVI","Gavi","UNICEF")</f>
        <v>UNICEF</v>
      </c>
      <c r="P80"/>
      <c r="Q80"/>
    </row>
    <row r="81" spans="1:17">
      <c r="A81" s="784" t="s">
        <v>697</v>
      </c>
      <c r="B81" t="s">
        <v>1450</v>
      </c>
      <c r="C81" t="s">
        <v>1506</v>
      </c>
      <c r="D81" t="s">
        <v>1473</v>
      </c>
      <c r="E81" t="s">
        <v>1452</v>
      </c>
      <c r="F81" t="str">
        <f>INDEX($Q$2:$Q$6,MATCH(Table14[[#This Row],[CDS status]],$P$2:$P$6,0))</f>
        <v>Disbursed</v>
      </c>
      <c r="G81" s="784">
        <v>3000000</v>
      </c>
      <c r="H81" s="784">
        <v>3000000</v>
      </c>
      <c r="I81" s="784">
        <f>Table14[[#This Row],[Amount requested (USD)]]-Table14[[#This Row],[Amount approved (USD)]]</f>
        <v>0</v>
      </c>
      <c r="J81" s="784">
        <v>1172197</v>
      </c>
      <c r="K81" s="784">
        <f>Table14[[#This Row],[Amount approved (USD)]]-Table14[[#This Row],[Amount disbursed (USD)]]</f>
        <v>1827803</v>
      </c>
      <c r="L81" s="810">
        <f>Table14[[#This Row],[Amount disbursed (USD)]]/Table14[[#This Row],[Amount approved (USD)]]</f>
        <v>0.39073233333333335</v>
      </c>
      <c r="M81" s="785" t="s">
        <v>1476</v>
      </c>
      <c r="N81" s="784">
        <v>822197</v>
      </c>
      <c r="O81" s="784" t="str">
        <f>IF(Table14[[#This Row],[AMC classification]]="AMC - GAVI","Gavi","UNICEF")</f>
        <v>Gavi</v>
      </c>
      <c r="P81"/>
      <c r="Q81"/>
    </row>
    <row r="82" spans="1:17">
      <c r="A82" s="784" t="s">
        <v>698</v>
      </c>
      <c r="B82" t="s">
        <v>1450</v>
      </c>
      <c r="C82" t="s">
        <v>296</v>
      </c>
      <c r="D82" t="s">
        <v>1451</v>
      </c>
      <c r="E82" t="s">
        <v>1452</v>
      </c>
      <c r="F82" t="str">
        <f>INDEX($Q$2:$Q$6,MATCH(Table14[[#This Row],[CDS status]],$P$2:$P$6,0))</f>
        <v>Disbursed</v>
      </c>
      <c r="G82" s="784">
        <v>4283509</v>
      </c>
      <c r="H82" s="784">
        <v>4283509</v>
      </c>
      <c r="I82" s="784">
        <f>Table14[[#This Row],[Amount requested (USD)]]-Table14[[#This Row],[Amount approved (USD)]]</f>
        <v>0</v>
      </c>
      <c r="J82" s="784">
        <v>4283508</v>
      </c>
      <c r="K82" s="784">
        <f>Table14[[#This Row],[Amount approved (USD)]]-Table14[[#This Row],[Amount disbursed (USD)]]</f>
        <v>1</v>
      </c>
      <c r="L82" s="810">
        <f>Table14[[#This Row],[Amount disbursed (USD)]]/Table14[[#This Row],[Amount approved (USD)]]</f>
        <v>0.99999976654653933</v>
      </c>
      <c r="M82" s="785" t="s">
        <v>1491</v>
      </c>
      <c r="N82" s="784">
        <v>1043077</v>
      </c>
      <c r="O82" s="784" t="str">
        <f>IF(Table14[[#This Row],[AMC classification]]="AMC - GAVI","Gavi","UNICEF")</f>
        <v>Gavi</v>
      </c>
      <c r="P82"/>
      <c r="Q82"/>
    </row>
    <row r="83" spans="1:17">
      <c r="A83" s="784" t="s">
        <v>699</v>
      </c>
      <c r="B83" t="s">
        <v>1450</v>
      </c>
      <c r="C83" t="s">
        <v>297</v>
      </c>
      <c r="D83" t="s">
        <v>1457</v>
      </c>
      <c r="E83" t="s">
        <v>1452</v>
      </c>
      <c r="F83" t="str">
        <f>INDEX($Q$2:$Q$6,MATCH(Table14[[#This Row],[CDS status]],$P$2:$P$6,0))</f>
        <v>Disbursed</v>
      </c>
      <c r="G83" s="784">
        <v>1920838</v>
      </c>
      <c r="H83" s="784">
        <v>1920838</v>
      </c>
      <c r="I83" s="784">
        <f>Table14[[#This Row],[Amount requested (USD)]]-Table14[[#This Row],[Amount approved (USD)]]</f>
        <v>0</v>
      </c>
      <c r="J83" s="784">
        <v>1920838</v>
      </c>
      <c r="K83" s="784">
        <f>Table14[[#This Row],[Amount approved (USD)]]-Table14[[#This Row],[Amount disbursed (USD)]]</f>
        <v>0</v>
      </c>
      <c r="L83" s="810">
        <f>Table14[[#This Row],[Amount disbursed (USD)]]/Table14[[#This Row],[Amount approved (USD)]]</f>
        <v>1</v>
      </c>
      <c r="M83" s="785" t="s">
        <v>1486</v>
      </c>
      <c r="N83" s="784">
        <v>637595</v>
      </c>
      <c r="O83" s="784" t="str">
        <f>IF(Table14[[#This Row],[AMC classification]]="AMC - GAVI","Gavi","UNICEF")</f>
        <v>Gavi</v>
      </c>
      <c r="P83"/>
      <c r="Q83"/>
    </row>
    <row r="84" spans="1:17">
      <c r="A84" s="784" t="s">
        <v>700</v>
      </c>
      <c r="B84" t="s">
        <v>1450</v>
      </c>
      <c r="C84" t="s">
        <v>298</v>
      </c>
      <c r="D84" t="s">
        <v>1457</v>
      </c>
      <c r="E84" t="s">
        <v>1452</v>
      </c>
      <c r="F84" t="str">
        <f>INDEX($Q$2:$Q$6,MATCH(Table14[[#This Row],[CDS status]],$P$2:$P$6,0))</f>
        <v>Disbursed</v>
      </c>
      <c r="G84" s="784">
        <v>1388818</v>
      </c>
      <c r="H84" s="784">
        <v>1388818</v>
      </c>
      <c r="I84" s="784">
        <f>Table14[[#This Row],[Amount requested (USD)]]-Table14[[#This Row],[Amount approved (USD)]]</f>
        <v>0</v>
      </c>
      <c r="J84" s="784">
        <v>1388818</v>
      </c>
      <c r="K84" s="784">
        <f>Table14[[#This Row],[Amount approved (USD)]]-Table14[[#This Row],[Amount disbursed (USD)]]</f>
        <v>0</v>
      </c>
      <c r="L84" s="810">
        <f>Table14[[#This Row],[Amount disbursed (USD)]]/Table14[[#This Row],[Amount approved (USD)]]</f>
        <v>1</v>
      </c>
      <c r="M84" s="785" t="s">
        <v>1466</v>
      </c>
      <c r="N84" s="784">
        <v>1157210</v>
      </c>
      <c r="O84" s="784" t="str">
        <f>IF(Table14[[#This Row],[AMC classification]]="AMC - GAVI","Gavi","UNICEF")</f>
        <v>Gavi</v>
      </c>
      <c r="P84"/>
      <c r="Q84"/>
    </row>
    <row r="85" spans="1:17">
      <c r="G85" s="646"/>
      <c r="H85" s="646"/>
      <c r="I85" s="646"/>
      <c r="J85" s="646"/>
      <c r="K85" s="646"/>
      <c r="L85" s="647"/>
    </row>
    <row r="86" spans="1:17">
      <c r="G86" s="646"/>
      <c r="H86" s="646"/>
      <c r="I86" s="646"/>
      <c r="J86" s="646"/>
      <c r="K86" s="646"/>
      <c r="L86" s="647"/>
    </row>
    <row r="87" spans="1:17">
      <c r="G87" s="646"/>
      <c r="H87" s="646"/>
      <c r="I87" s="646"/>
      <c r="J87" s="646"/>
      <c r="K87" s="646"/>
      <c r="L87" s="647"/>
    </row>
    <row r="88" spans="1:17">
      <c r="G88" s="646"/>
      <c r="H88" s="646"/>
      <c r="I88" s="646"/>
      <c r="J88" s="646"/>
      <c r="K88" s="646"/>
      <c r="L88" s="647"/>
    </row>
    <row r="89" spans="1:17">
      <c r="G89" s="646"/>
      <c r="H89" s="646"/>
      <c r="I89" s="646"/>
      <c r="J89" s="646"/>
      <c r="K89" s="646"/>
      <c r="L89" s="647"/>
    </row>
    <row r="90" spans="1:17">
      <c r="G90" s="646"/>
      <c r="H90" s="646"/>
      <c r="I90" s="646"/>
      <c r="J90" s="646"/>
      <c r="K90" s="646"/>
      <c r="L90" s="647"/>
    </row>
    <row r="91" spans="1:17">
      <c r="G91" s="646"/>
      <c r="H91" s="646"/>
      <c r="I91" s="646"/>
      <c r="J91" s="646"/>
      <c r="K91" s="646"/>
      <c r="L91" s="647"/>
    </row>
    <row r="92" spans="1:17">
      <c r="G92" s="646"/>
      <c r="H92" s="646"/>
      <c r="I92" s="646"/>
      <c r="J92" s="646"/>
      <c r="K92" s="646"/>
      <c r="L92" s="647"/>
    </row>
  </sheetData>
  <phoneticPr fontId="19" type="noConversion"/>
  <pageMargins left="0.7" right="0.7" top="0.75" bottom="0.75" header="0.3" footer="0.3"/>
  <pageSetup orientation="portrait"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1507</v>
      </c>
      <c r="B1" s="586" t="s">
        <v>358</v>
      </c>
      <c r="C1" s="586" t="s">
        <v>1508</v>
      </c>
      <c r="D1" s="591" t="s">
        <v>532</v>
      </c>
    </row>
    <row r="2" spans="1:4">
      <c r="A2" s="610" t="s">
        <v>599</v>
      </c>
      <c r="B2" s="587" t="s">
        <v>204</v>
      </c>
      <c r="C2" s="606">
        <v>230000</v>
      </c>
      <c r="D2" s="610" t="s">
        <v>104</v>
      </c>
    </row>
    <row r="3" spans="1:4">
      <c r="A3" s="610" t="s">
        <v>619</v>
      </c>
      <c r="B3" s="587" t="s">
        <v>223</v>
      </c>
      <c r="C3" s="606">
        <v>230000</v>
      </c>
      <c r="D3" s="610" t="s">
        <v>104</v>
      </c>
    </row>
    <row r="4" spans="1:4">
      <c r="A4" s="610" t="s">
        <v>637</v>
      </c>
      <c r="B4" s="587" t="s">
        <v>241</v>
      </c>
      <c r="C4" s="606">
        <v>230000</v>
      </c>
      <c r="D4" s="610" t="s">
        <v>104</v>
      </c>
    </row>
    <row r="5" spans="1:4">
      <c r="A5" s="610" t="s">
        <v>662</v>
      </c>
      <c r="B5" s="587" t="s">
        <v>265</v>
      </c>
      <c r="C5" s="606">
        <v>230000</v>
      </c>
      <c r="D5" s="610" t="s">
        <v>104</v>
      </c>
    </row>
    <row r="6" spans="1:4">
      <c r="A6" s="610" t="s">
        <v>685</v>
      </c>
      <c r="B6" s="587" t="s">
        <v>283</v>
      </c>
      <c r="C6" s="606">
        <v>230000</v>
      </c>
      <c r="D6" s="610" t="s">
        <v>104</v>
      </c>
    </row>
    <row r="7" spans="1:4">
      <c r="A7" s="610" t="s">
        <v>690</v>
      </c>
      <c r="B7" s="587" t="s">
        <v>288</v>
      </c>
      <c r="C7" s="606">
        <v>230000</v>
      </c>
      <c r="D7" s="610" t="s">
        <v>104</v>
      </c>
    </row>
    <row r="8" spans="1:4">
      <c r="A8" s="610" t="s">
        <v>695</v>
      </c>
      <c r="B8" s="587" t="s">
        <v>293</v>
      </c>
      <c r="C8" s="606">
        <v>230000</v>
      </c>
      <c r="D8" s="610" t="s">
        <v>104</v>
      </c>
    </row>
    <row r="9" spans="1:4">
      <c r="A9" s="610" t="s">
        <v>639</v>
      </c>
      <c r="B9" s="587" t="s">
        <v>243</v>
      </c>
      <c r="C9" s="606">
        <v>230000</v>
      </c>
      <c r="D9" s="610" t="s">
        <v>104</v>
      </c>
    </row>
    <row r="10" spans="1:4">
      <c r="A10" s="610" t="s">
        <v>657</v>
      </c>
      <c r="B10" s="587" t="s">
        <v>261</v>
      </c>
      <c r="C10" s="606">
        <v>4914707.8500000006</v>
      </c>
      <c r="D10" s="610" t="s">
        <v>104</v>
      </c>
    </row>
    <row r="11" spans="1:4">
      <c r="A11" s="610" t="s">
        <v>621</v>
      </c>
      <c r="B11" s="587" t="s">
        <v>225</v>
      </c>
      <c r="C11" s="606">
        <v>230000</v>
      </c>
      <c r="D11" s="610" t="s">
        <v>104</v>
      </c>
    </row>
    <row r="12" spans="1:4">
      <c r="A12" s="610" t="s">
        <v>638</v>
      </c>
      <c r="B12" s="587" t="s">
        <v>242</v>
      </c>
      <c r="C12" s="606">
        <v>368000</v>
      </c>
      <c r="D12" s="610" t="s">
        <v>104</v>
      </c>
    </row>
    <row r="13" spans="1:4">
      <c r="A13" s="610" t="s">
        <v>692</v>
      </c>
      <c r="B13" s="587" t="s">
        <v>290</v>
      </c>
      <c r="C13" s="606">
        <v>1978692.3</v>
      </c>
      <c r="D13" s="610" t="s">
        <v>104</v>
      </c>
    </row>
    <row r="14" spans="1:4">
      <c r="A14" s="610" t="s">
        <v>597</v>
      </c>
      <c r="B14" s="587" t="s">
        <v>202</v>
      </c>
      <c r="C14" s="606">
        <v>230000</v>
      </c>
      <c r="D14" s="610" t="s">
        <v>104</v>
      </c>
    </row>
    <row r="15" spans="1:4">
      <c r="A15" s="610" t="s">
        <v>590</v>
      </c>
      <c r="B15" s="587" t="s">
        <v>195</v>
      </c>
      <c r="C15" s="606">
        <v>230000</v>
      </c>
      <c r="D15" s="610" t="s">
        <v>104</v>
      </c>
    </row>
    <row r="16" spans="1:4">
      <c r="A16" s="610" t="s">
        <v>604</v>
      </c>
      <c r="B16" s="587" t="s">
        <v>209</v>
      </c>
      <c r="C16" s="606">
        <v>230000</v>
      </c>
      <c r="D16" s="610" t="s">
        <v>104</v>
      </c>
    </row>
    <row r="17" spans="1:4">
      <c r="A17" s="610" t="s">
        <v>674</v>
      </c>
      <c r="B17" s="587" t="s">
        <v>1500</v>
      </c>
      <c r="C17" s="606">
        <v>230000</v>
      </c>
      <c r="D17" s="610" t="s">
        <v>104</v>
      </c>
    </row>
    <row r="18" spans="1:4">
      <c r="A18" s="610" t="s">
        <v>675</v>
      </c>
      <c r="B18" s="588" t="s">
        <v>1509</v>
      </c>
      <c r="C18" s="606">
        <v>230000</v>
      </c>
      <c r="D18" s="610" t="s">
        <v>104</v>
      </c>
    </row>
    <row r="19" spans="1:4">
      <c r="A19" s="610" t="s">
        <v>564</v>
      </c>
      <c r="B19" s="587" t="s">
        <v>715</v>
      </c>
      <c r="C19" s="606">
        <v>920000</v>
      </c>
      <c r="D19" s="610" t="s">
        <v>104</v>
      </c>
    </row>
    <row r="20" spans="1:4">
      <c r="A20" s="610" t="s">
        <v>594</v>
      </c>
      <c r="B20" s="587" t="s">
        <v>199</v>
      </c>
      <c r="C20" s="606">
        <v>279812.39720000001</v>
      </c>
      <c r="D20" s="610" t="s">
        <v>104</v>
      </c>
    </row>
    <row r="21" spans="1:4">
      <c r="A21" s="610" t="s">
        <v>608</v>
      </c>
      <c r="B21" s="587" t="s">
        <v>213</v>
      </c>
      <c r="C21" s="606">
        <v>230000</v>
      </c>
      <c r="D21" s="610" t="s">
        <v>104</v>
      </c>
    </row>
    <row r="22" spans="1:4">
      <c r="A22" s="610" t="s">
        <v>610</v>
      </c>
      <c r="B22" s="587" t="s">
        <v>215</v>
      </c>
      <c r="C22" s="606">
        <v>369382.06540000002</v>
      </c>
      <c r="D22" s="610" t="s">
        <v>104</v>
      </c>
    </row>
    <row r="23" spans="1:4">
      <c r="A23" s="610" t="s">
        <v>545</v>
      </c>
      <c r="B23" s="587" t="s">
        <v>143</v>
      </c>
      <c r="C23" s="606">
        <v>847780</v>
      </c>
      <c r="D23" s="610" t="s">
        <v>104</v>
      </c>
    </row>
    <row r="24" spans="1:4">
      <c r="A24" s="610" t="s">
        <v>593</v>
      </c>
      <c r="B24" s="587" t="s">
        <v>1510</v>
      </c>
      <c r="C24" s="606">
        <v>4589679.9000000004</v>
      </c>
      <c r="D24" s="610" t="s">
        <v>104</v>
      </c>
    </row>
    <row r="25" spans="1:4">
      <c r="A25" s="610" t="s">
        <v>641</v>
      </c>
      <c r="B25" s="587" t="s">
        <v>725</v>
      </c>
      <c r="C25" s="606">
        <v>230000</v>
      </c>
      <c r="D25" s="610" t="s">
        <v>104</v>
      </c>
    </row>
    <row r="26" spans="1:4">
      <c r="A26" s="610" t="s">
        <v>687</v>
      </c>
      <c r="B26" s="587" t="s">
        <v>285</v>
      </c>
      <c r="C26" s="606">
        <v>530082.15</v>
      </c>
      <c r="D26" s="610" t="s">
        <v>104</v>
      </c>
    </row>
    <row r="27" spans="1:4">
      <c r="A27" s="610" t="s">
        <v>676</v>
      </c>
      <c r="B27" s="587" t="s">
        <v>729</v>
      </c>
      <c r="C27" s="606">
        <v>230000</v>
      </c>
      <c r="D27" s="610" t="s">
        <v>104</v>
      </c>
    </row>
    <row r="28" spans="1:4">
      <c r="A28" s="610" t="s">
        <v>563</v>
      </c>
      <c r="B28" s="587" t="s">
        <v>171</v>
      </c>
      <c r="C28" s="606">
        <v>230000</v>
      </c>
      <c r="D28" s="610" t="s">
        <v>104</v>
      </c>
    </row>
    <row r="29" spans="1:4">
      <c r="A29" s="610" t="s">
        <v>631</v>
      </c>
      <c r="B29" s="587" t="s">
        <v>235</v>
      </c>
      <c r="C29" s="606">
        <v>230000</v>
      </c>
      <c r="D29" s="610" t="s">
        <v>104</v>
      </c>
    </row>
    <row r="30" spans="1:4">
      <c r="A30" s="610" t="s">
        <v>672</v>
      </c>
      <c r="B30" s="587" t="s">
        <v>274</v>
      </c>
      <c r="C30" s="606">
        <v>982125.3</v>
      </c>
      <c r="D30" s="610" t="s">
        <v>104</v>
      </c>
    </row>
    <row r="31" spans="1:4">
      <c r="A31" s="610" t="s">
        <v>571</v>
      </c>
      <c r="B31" s="587" t="s">
        <v>179</v>
      </c>
      <c r="C31" s="606">
        <v>230000</v>
      </c>
      <c r="D31" s="610" t="s">
        <v>104</v>
      </c>
    </row>
    <row r="32" spans="1:4">
      <c r="A32" s="610" t="s">
        <v>581</v>
      </c>
      <c r="B32" s="610" t="s">
        <v>1511</v>
      </c>
      <c r="C32" s="606">
        <v>15000000</v>
      </c>
      <c r="D32" s="610" t="s">
        <v>1512</v>
      </c>
    </row>
    <row r="33" spans="1:4">
      <c r="A33" s="610" t="s">
        <v>598</v>
      </c>
      <c r="B33" s="610" t="s">
        <v>203</v>
      </c>
      <c r="C33" s="606">
        <v>15000000</v>
      </c>
      <c r="D33" s="610" t="s">
        <v>1512</v>
      </c>
    </row>
    <row r="34" spans="1:4">
      <c r="A34" s="610" t="s">
        <v>611</v>
      </c>
      <c r="B34" s="610" t="s">
        <v>216</v>
      </c>
      <c r="C34" s="606">
        <v>15000000</v>
      </c>
      <c r="D34" s="610" t="s">
        <v>1512</v>
      </c>
    </row>
    <row r="35" spans="1:4">
      <c r="A35" s="610" t="s">
        <v>649</v>
      </c>
      <c r="B35" s="610" t="s">
        <v>253</v>
      </c>
      <c r="C35" s="606">
        <v>15000000</v>
      </c>
      <c r="D35" s="610" t="s">
        <v>1512</v>
      </c>
    </row>
    <row r="36" spans="1:4">
      <c r="A36" s="610" t="s">
        <v>651</v>
      </c>
      <c r="B36" s="610" t="s">
        <v>255</v>
      </c>
      <c r="C36" s="606">
        <v>15000000</v>
      </c>
      <c r="D36" s="610" t="s">
        <v>1512</v>
      </c>
    </row>
    <row r="37" spans="1:4">
      <c r="A37" s="610" t="s">
        <v>612</v>
      </c>
      <c r="B37" s="610" t="s">
        <v>217</v>
      </c>
      <c r="C37" s="606">
        <v>10338533.580720333</v>
      </c>
      <c r="D37" s="610" t="s">
        <v>1512</v>
      </c>
    </row>
    <row r="38" spans="1:4">
      <c r="A38" s="610" t="s">
        <v>557</v>
      </c>
      <c r="B38" s="610" t="s">
        <v>167</v>
      </c>
      <c r="C38" s="606">
        <v>10151220.828956079</v>
      </c>
      <c r="D38" s="610" t="s">
        <v>1512</v>
      </c>
    </row>
    <row r="39" spans="1:4">
      <c r="A39" s="610" t="s">
        <v>540</v>
      </c>
      <c r="B39" s="610" t="s">
        <v>160</v>
      </c>
      <c r="C39" s="606">
        <v>7952788.0033546695</v>
      </c>
      <c r="D39" s="610" t="s">
        <v>1512</v>
      </c>
    </row>
    <row r="40" spans="1:4">
      <c r="A40" s="610" t="s">
        <v>681</v>
      </c>
      <c r="B40" s="610" t="s">
        <v>156</v>
      </c>
      <c r="C40" s="606">
        <v>6752492.3855054406</v>
      </c>
      <c r="D40" s="610" t="s">
        <v>1512</v>
      </c>
    </row>
    <row r="41" spans="1:4">
      <c r="A41" s="610" t="s">
        <v>573</v>
      </c>
      <c r="B41" s="610" t="s">
        <v>181</v>
      </c>
      <c r="C41" s="606">
        <v>5516745.6071374202</v>
      </c>
      <c r="D41" s="610" t="s">
        <v>1512</v>
      </c>
    </row>
    <row r="42" spans="1:4">
      <c r="A42" s="610" t="s">
        <v>576</v>
      </c>
      <c r="B42" s="610" t="s">
        <v>183</v>
      </c>
      <c r="C42" s="606">
        <v>5163639.8600300634</v>
      </c>
      <c r="D42" s="610" t="s">
        <v>1512</v>
      </c>
    </row>
    <row r="43" spans="1:4">
      <c r="A43" s="610" t="s">
        <v>669</v>
      </c>
      <c r="B43" s="610" t="s">
        <v>271</v>
      </c>
      <c r="C43" s="606">
        <v>5110596.6563912313</v>
      </c>
      <c r="D43" s="610" t="s">
        <v>1512</v>
      </c>
    </row>
    <row r="44" spans="1:4">
      <c r="A44" s="610" t="s">
        <v>698</v>
      </c>
      <c r="B44" s="610" t="s">
        <v>1513</v>
      </c>
      <c r="C44" s="606">
        <v>4805982.1389485933</v>
      </c>
      <c r="D44" s="610" t="s">
        <v>1512</v>
      </c>
    </row>
    <row r="45" spans="1:4">
      <c r="A45" s="610" t="s">
        <v>643</v>
      </c>
      <c r="B45" s="610" t="s">
        <v>247</v>
      </c>
      <c r="C45" s="606">
        <v>4377508.2255642219</v>
      </c>
      <c r="D45" s="610" t="s">
        <v>1512</v>
      </c>
    </row>
    <row r="46" spans="1:4">
      <c r="A46" s="610" t="s">
        <v>618</v>
      </c>
      <c r="B46" s="610" t="s">
        <v>222</v>
      </c>
      <c r="C46" s="606">
        <v>4306517.0701912735</v>
      </c>
      <c r="D46" s="610" t="s">
        <v>1512</v>
      </c>
    </row>
    <row r="47" spans="1:4">
      <c r="A47" s="610" t="s">
        <v>628</v>
      </c>
      <c r="B47" s="610" t="s">
        <v>232</v>
      </c>
      <c r="C47" s="606">
        <v>4070051.1978831571</v>
      </c>
      <c r="D47" s="610" t="s">
        <v>1512</v>
      </c>
    </row>
    <row r="48" spans="1:4">
      <c r="A48" s="610" t="s">
        <v>606</v>
      </c>
      <c r="B48" s="610" t="s">
        <v>211</v>
      </c>
      <c r="C48" s="606">
        <v>3959745.8612916204</v>
      </c>
      <c r="D48" s="610" t="s">
        <v>1512</v>
      </c>
    </row>
    <row r="49" spans="1:4">
      <c r="A49" s="610" t="s">
        <v>547</v>
      </c>
      <c r="B49" s="610" t="s">
        <v>162</v>
      </c>
      <c r="C49" s="606">
        <v>3845782.8681817106</v>
      </c>
      <c r="D49" s="610" t="s">
        <v>1512</v>
      </c>
    </row>
    <row r="50" spans="1:4">
      <c r="A50" s="610" t="s">
        <v>632</v>
      </c>
      <c r="B50" s="610" t="s">
        <v>236</v>
      </c>
      <c r="C50" s="606">
        <v>3687533.0893081715</v>
      </c>
      <c r="D50" s="610" t="s">
        <v>1512</v>
      </c>
    </row>
    <row r="51" spans="1:4">
      <c r="A51" s="610" t="s">
        <v>691</v>
      </c>
      <c r="B51" s="610" t="s">
        <v>289</v>
      </c>
      <c r="C51" s="606">
        <v>3556960.8572002724</v>
      </c>
      <c r="D51" s="610" t="s">
        <v>1512</v>
      </c>
    </row>
    <row r="52" spans="1:4">
      <c r="A52" s="610" t="s">
        <v>677</v>
      </c>
      <c r="B52" s="610" t="s">
        <v>277</v>
      </c>
      <c r="C52" s="606">
        <v>3536433.0192540656</v>
      </c>
      <c r="D52" s="610" t="s">
        <v>1512</v>
      </c>
    </row>
    <row r="53" spans="1:4">
      <c r="A53" s="610" t="s">
        <v>648</v>
      </c>
      <c r="B53" s="610" t="s">
        <v>252</v>
      </c>
      <c r="C53" s="606">
        <v>3522527.1146998424</v>
      </c>
      <c r="D53" s="610" t="s">
        <v>1512</v>
      </c>
    </row>
    <row r="54" spans="1:4">
      <c r="A54" s="610" t="s">
        <v>679</v>
      </c>
      <c r="B54" s="610" t="s">
        <v>279</v>
      </c>
      <c r="C54" s="606">
        <v>3451738.4276718865</v>
      </c>
      <c r="D54" s="610" t="s">
        <v>1512</v>
      </c>
    </row>
    <row r="55" spans="1:4">
      <c r="A55" s="610" t="s">
        <v>642</v>
      </c>
      <c r="B55" s="610" t="s">
        <v>246</v>
      </c>
      <c r="C55" s="606">
        <v>3422309.8974733194</v>
      </c>
      <c r="D55" s="610" t="s">
        <v>1512</v>
      </c>
    </row>
    <row r="56" spans="1:4">
      <c r="A56" s="610" t="s">
        <v>671</v>
      </c>
      <c r="B56" s="610" t="s">
        <v>273</v>
      </c>
      <c r="C56" s="606">
        <v>3348302.4957475783</v>
      </c>
      <c r="D56" s="610" t="s">
        <v>1512</v>
      </c>
    </row>
    <row r="57" spans="1:4">
      <c r="A57" s="610" t="s">
        <v>697</v>
      </c>
      <c r="B57" s="610" t="s">
        <v>295</v>
      </c>
      <c r="C57" s="606">
        <v>3045486.580034201</v>
      </c>
      <c r="D57" s="610" t="s">
        <v>1512</v>
      </c>
    </row>
    <row r="58" spans="1:4">
      <c r="A58" s="610" t="s">
        <v>654</v>
      </c>
      <c r="B58" s="610" t="s">
        <v>258</v>
      </c>
      <c r="C58" s="606">
        <v>2745604.3027359406</v>
      </c>
      <c r="D58" s="610" t="s">
        <v>1512</v>
      </c>
    </row>
    <row r="59" spans="1:4">
      <c r="A59" s="610" t="s">
        <v>586</v>
      </c>
      <c r="B59" s="610" t="s">
        <v>192</v>
      </c>
      <c r="C59" s="606">
        <v>2628358.3691214183</v>
      </c>
      <c r="D59" s="610" t="s">
        <v>1512</v>
      </c>
    </row>
    <row r="60" spans="1:4">
      <c r="A60" s="610" t="s">
        <v>694</v>
      </c>
      <c r="B60" s="610" t="s">
        <v>292</v>
      </c>
      <c r="C60" s="606">
        <v>2407200.5753885303</v>
      </c>
      <c r="D60" s="610" t="s">
        <v>1512</v>
      </c>
    </row>
    <row r="61" spans="1:4">
      <c r="A61" s="610" t="s">
        <v>603</v>
      </c>
      <c r="B61" s="610" t="s">
        <v>208</v>
      </c>
      <c r="C61" s="606">
        <v>2211196.1063876953</v>
      </c>
      <c r="D61" s="610" t="s">
        <v>1512</v>
      </c>
    </row>
    <row r="62" spans="1:4">
      <c r="A62" s="610" t="s">
        <v>646</v>
      </c>
      <c r="B62" s="610" t="s">
        <v>250</v>
      </c>
      <c r="C62" s="606">
        <v>2159909.6059908667</v>
      </c>
      <c r="D62" s="610" t="s">
        <v>1512</v>
      </c>
    </row>
    <row r="63" spans="1:4">
      <c r="A63" s="610" t="s">
        <v>609</v>
      </c>
      <c r="B63" s="610" t="s">
        <v>214</v>
      </c>
      <c r="C63" s="606">
        <v>2138482.3407823639</v>
      </c>
      <c r="D63" s="610" t="s">
        <v>1512</v>
      </c>
    </row>
    <row r="64" spans="1:4">
      <c r="A64" s="610" t="s">
        <v>569</v>
      </c>
      <c r="B64" s="610" t="s">
        <v>177</v>
      </c>
      <c r="C64" s="606">
        <v>2006752.5304460698</v>
      </c>
      <c r="D64" s="610" t="s">
        <v>1512</v>
      </c>
    </row>
    <row r="65" spans="1:4">
      <c r="A65" s="610" t="s">
        <v>561</v>
      </c>
      <c r="B65" s="610" t="s">
        <v>170</v>
      </c>
      <c r="C65" s="606">
        <v>1974299.8967938402</v>
      </c>
      <c r="D65" s="610" t="s">
        <v>1512</v>
      </c>
    </row>
    <row r="66" spans="1:4">
      <c r="A66" s="610" t="s">
        <v>699</v>
      </c>
      <c r="B66" s="610" t="s">
        <v>297</v>
      </c>
      <c r="C66" s="606">
        <v>1920837.6477729203</v>
      </c>
      <c r="D66" s="610" t="s">
        <v>1512</v>
      </c>
    </row>
    <row r="67" spans="1:4">
      <c r="A67" s="610" t="s">
        <v>620</v>
      </c>
      <c r="B67" s="610" t="s">
        <v>1514</v>
      </c>
      <c r="C67" s="606">
        <v>1633700.0634410304</v>
      </c>
      <c r="D67" s="610" t="s">
        <v>1512</v>
      </c>
    </row>
    <row r="68" spans="1:4">
      <c r="A68" s="610" t="s">
        <v>629</v>
      </c>
      <c r="B68" s="610" t="s">
        <v>233</v>
      </c>
      <c r="C68" s="606">
        <v>1493212.6520806295</v>
      </c>
      <c r="D68" s="610" t="s">
        <v>1512</v>
      </c>
    </row>
    <row r="69" spans="1:4">
      <c r="A69" s="610" t="s">
        <v>700</v>
      </c>
      <c r="B69" s="610" t="s">
        <v>298</v>
      </c>
      <c r="C69" s="606">
        <v>1389833.8802665407</v>
      </c>
      <c r="D69" s="610" t="s">
        <v>1512</v>
      </c>
    </row>
    <row r="70" spans="1:4">
      <c r="A70" s="610" t="s">
        <v>664</v>
      </c>
      <c r="B70" s="610" t="s">
        <v>267</v>
      </c>
      <c r="C70" s="606">
        <v>1380115.4155082493</v>
      </c>
      <c r="D70" s="610" t="s">
        <v>1512</v>
      </c>
    </row>
    <row r="71" spans="1:4">
      <c r="A71" s="610" t="s">
        <v>572</v>
      </c>
      <c r="B71" s="610" t="s">
        <v>180</v>
      </c>
      <c r="C71" s="606">
        <v>1365512.8445134489</v>
      </c>
      <c r="D71" s="610" t="s">
        <v>1512</v>
      </c>
    </row>
    <row r="72" spans="1:4">
      <c r="A72" s="610" t="s">
        <v>574</v>
      </c>
      <c r="B72" s="610" t="s">
        <v>716</v>
      </c>
      <c r="C72" s="606">
        <v>1303508.4237354894</v>
      </c>
      <c r="D72" s="610" t="s">
        <v>1512</v>
      </c>
    </row>
    <row r="73" spans="1:4">
      <c r="A73" s="610" t="s">
        <v>623</v>
      </c>
      <c r="B73" s="610" t="s">
        <v>1492</v>
      </c>
      <c r="C73" s="606">
        <v>1185374.9941791613</v>
      </c>
      <c r="D73" s="610" t="s">
        <v>1512</v>
      </c>
    </row>
    <row r="74" spans="1:4">
      <c r="A74" s="610" t="s">
        <v>570</v>
      </c>
      <c r="B74" s="610" t="s">
        <v>178</v>
      </c>
      <c r="C74" s="606">
        <v>1017296.8312273556</v>
      </c>
      <c r="D74" s="610" t="s">
        <v>1512</v>
      </c>
    </row>
    <row r="75" spans="1:4">
      <c r="A75" s="610" t="s">
        <v>684</v>
      </c>
      <c r="B75" s="610" t="s">
        <v>282</v>
      </c>
      <c r="C75" s="606">
        <v>1000073.5674127664</v>
      </c>
      <c r="D75" s="610" t="s">
        <v>1512</v>
      </c>
    </row>
    <row r="76" spans="1:4">
      <c r="A76" s="610" t="s">
        <v>582</v>
      </c>
      <c r="B76" s="610" t="s">
        <v>1475</v>
      </c>
      <c r="C76" s="606">
        <v>978460.50718498172</v>
      </c>
      <c r="D76" s="610" t="s">
        <v>1512</v>
      </c>
    </row>
    <row r="77" spans="1:4">
      <c r="A77" s="610" t="s">
        <v>580</v>
      </c>
      <c r="B77" s="610" t="s">
        <v>187</v>
      </c>
      <c r="C77" s="606">
        <v>978460.50718498172</v>
      </c>
      <c r="D77" s="610" t="s">
        <v>1512</v>
      </c>
    </row>
    <row r="78" spans="1:4">
      <c r="A78" s="610" t="s">
        <v>589</v>
      </c>
      <c r="B78" s="610" t="s">
        <v>194</v>
      </c>
      <c r="C78" s="606">
        <v>978460.50718498172</v>
      </c>
      <c r="D78" s="610" t="s">
        <v>1512</v>
      </c>
    </row>
    <row r="79" spans="1:4">
      <c r="A79" s="610" t="s">
        <v>596</v>
      </c>
      <c r="B79" s="610" t="s">
        <v>201</v>
      </c>
      <c r="C79" s="606">
        <v>978460.50718498172</v>
      </c>
      <c r="D79" s="610" t="s">
        <v>1512</v>
      </c>
    </row>
    <row r="80" spans="1:4">
      <c r="A80" s="610" t="s">
        <v>601</v>
      </c>
      <c r="B80" s="610" t="s">
        <v>206</v>
      </c>
      <c r="C80" s="606">
        <v>978460.50718498172</v>
      </c>
      <c r="D80" s="610" t="s">
        <v>1512</v>
      </c>
    </row>
    <row r="81" spans="1:4">
      <c r="A81" s="610" t="s">
        <v>607</v>
      </c>
      <c r="B81" s="610" t="s">
        <v>212</v>
      </c>
      <c r="C81" s="606">
        <v>978460.50718498172</v>
      </c>
      <c r="D81" s="610" t="s">
        <v>1512</v>
      </c>
    </row>
    <row r="82" spans="1:4">
      <c r="A82" s="610" t="s">
        <v>622</v>
      </c>
      <c r="B82" s="610" t="s">
        <v>1515</v>
      </c>
      <c r="C82" s="606">
        <v>978460.50718498172</v>
      </c>
      <c r="D82" s="610" t="s">
        <v>1512</v>
      </c>
    </row>
    <row r="83" spans="1:4">
      <c r="A83" s="610" t="s">
        <v>626</v>
      </c>
      <c r="B83" s="610" t="s">
        <v>230</v>
      </c>
      <c r="C83" s="606">
        <v>978460.50718498172</v>
      </c>
      <c r="D83" s="610" t="s">
        <v>1512</v>
      </c>
    </row>
    <row r="84" spans="1:4">
      <c r="A84" s="610" t="s">
        <v>625</v>
      </c>
      <c r="B84" s="610" t="s">
        <v>723</v>
      </c>
      <c r="C84" s="606">
        <v>978460.50718498172</v>
      </c>
      <c r="D84" s="610" t="s">
        <v>1512</v>
      </c>
    </row>
    <row r="85" spans="1:4">
      <c r="A85" s="610" t="s">
        <v>634</v>
      </c>
      <c r="B85" s="610" t="s">
        <v>238</v>
      </c>
      <c r="C85" s="606">
        <v>978460.50718498172</v>
      </c>
      <c r="D85" s="610" t="s">
        <v>1512</v>
      </c>
    </row>
    <row r="86" spans="1:4">
      <c r="A86" s="610" t="s">
        <v>647</v>
      </c>
      <c r="B86" s="610" t="s">
        <v>251</v>
      </c>
      <c r="C86" s="606">
        <v>978460.50718498172</v>
      </c>
      <c r="D86" s="610" t="s">
        <v>1512</v>
      </c>
    </row>
    <row r="87" spans="1:4">
      <c r="A87" s="610" t="s">
        <v>661</v>
      </c>
      <c r="B87" s="610" t="s">
        <v>264</v>
      </c>
      <c r="C87" s="606">
        <v>978460.50718498172</v>
      </c>
      <c r="D87" s="610" t="s">
        <v>1512</v>
      </c>
    </row>
    <row r="88" spans="1:4">
      <c r="A88" s="610" t="s">
        <v>668</v>
      </c>
      <c r="B88" s="610" t="s">
        <v>270</v>
      </c>
      <c r="C88" s="606">
        <v>978460.50718498172</v>
      </c>
      <c r="D88" s="610" t="s">
        <v>1512</v>
      </c>
    </row>
    <row r="89" spans="1:4">
      <c r="A89" s="610" t="s">
        <v>667</v>
      </c>
      <c r="B89" s="610" t="s">
        <v>269</v>
      </c>
      <c r="C89" s="606">
        <v>978460.50718498172</v>
      </c>
      <c r="D89" s="610" t="s">
        <v>1512</v>
      </c>
    </row>
    <row r="90" spans="1:4">
      <c r="A90" s="610" t="s">
        <v>663</v>
      </c>
      <c r="B90" s="610" t="s">
        <v>266</v>
      </c>
      <c r="C90" s="606">
        <v>978460.50718498172</v>
      </c>
      <c r="D90" s="610" t="s">
        <v>1512</v>
      </c>
    </row>
    <row r="91" spans="1:4">
      <c r="A91" s="610" t="s">
        <v>680</v>
      </c>
      <c r="B91" s="610" t="s">
        <v>280</v>
      </c>
      <c r="C91" s="606">
        <v>978460.50718498172</v>
      </c>
      <c r="D91" s="610" t="s">
        <v>1512</v>
      </c>
    </row>
    <row r="92" spans="1:4">
      <c r="A92" s="610" t="s">
        <v>683</v>
      </c>
      <c r="B92" s="610" t="s">
        <v>1516</v>
      </c>
      <c r="C92" s="606">
        <v>244615.12679624543</v>
      </c>
      <c r="D92" s="610" t="s">
        <v>1512</v>
      </c>
    </row>
    <row r="93" spans="1:4">
      <c r="A93" s="607"/>
      <c r="B93" s="607"/>
      <c r="C93" s="608">
        <f>SUM(C2:C92)</f>
        <v>247164411.01768538</v>
      </c>
      <c r="D93" s="607"/>
    </row>
    <row r="94" spans="1:4">
      <c r="A94" s="576" t="s">
        <v>145</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1517</v>
      </c>
      <c r="F2" s="176"/>
    </row>
    <row r="3" spans="1:20" s="140" customFormat="1" ht="19" thickBot="1">
      <c r="F3" s="176"/>
    </row>
    <row r="4" spans="1:20">
      <c r="A4" s="1515" t="s">
        <v>1518</v>
      </c>
      <c r="B4" s="1517" t="s">
        <v>386</v>
      </c>
      <c r="C4" s="1517" t="s">
        <v>1519</v>
      </c>
      <c r="D4" s="1517" t="s">
        <v>1520</v>
      </c>
      <c r="E4" s="1517" t="s">
        <v>1521</v>
      </c>
      <c r="F4" s="1513" t="s">
        <v>1522</v>
      </c>
      <c r="J4" s="183" t="s">
        <v>1523</v>
      </c>
      <c r="K4" s="196" t="s">
        <v>1524</v>
      </c>
      <c r="L4" s="24"/>
      <c r="M4" s="24"/>
      <c r="N4" s="24"/>
      <c r="O4" s="24"/>
      <c r="P4" s="24"/>
      <c r="Q4" s="24"/>
      <c r="R4" s="24"/>
      <c r="S4" s="24"/>
      <c r="T4" s="184"/>
    </row>
    <row r="5" spans="1:20" ht="16" thickBot="1">
      <c r="A5" s="1516"/>
      <c r="B5" s="1518"/>
      <c r="C5" s="1518"/>
      <c r="D5" s="1518"/>
      <c r="E5" s="1518"/>
      <c r="F5" s="1514"/>
      <c r="J5" s="195" t="s">
        <v>358</v>
      </c>
      <c r="K5" s="185" t="s">
        <v>1525</v>
      </c>
      <c r="L5" s="185" t="s">
        <v>1526</v>
      </c>
      <c r="M5" s="185" t="s">
        <v>1527</v>
      </c>
      <c r="N5" s="185" t="s">
        <v>1528</v>
      </c>
      <c r="O5" s="185" t="s">
        <v>1529</v>
      </c>
      <c r="P5" s="185" t="s">
        <v>1530</v>
      </c>
      <c r="Q5" s="185" t="s">
        <v>1531</v>
      </c>
      <c r="R5" s="185" t="s">
        <v>1532</v>
      </c>
      <c r="S5" s="185" t="s">
        <v>1533</v>
      </c>
      <c r="T5" s="186" t="s">
        <v>299</v>
      </c>
    </row>
    <row r="6" spans="1:20">
      <c r="A6" s="193" t="s">
        <v>1534</v>
      </c>
      <c r="B6" s="12" t="s">
        <v>219</v>
      </c>
      <c r="C6" s="12" t="s">
        <v>1530</v>
      </c>
      <c r="D6" s="12" t="s">
        <v>1535</v>
      </c>
      <c r="E6" s="12" t="s">
        <v>1536</v>
      </c>
      <c r="F6" s="194">
        <v>75000</v>
      </c>
      <c r="J6" s="178" t="s">
        <v>1537</v>
      </c>
      <c r="K6" s="179"/>
      <c r="L6" s="179">
        <v>400000</v>
      </c>
      <c r="M6" s="179"/>
      <c r="N6" s="179"/>
      <c r="O6" s="179"/>
      <c r="P6" s="179"/>
      <c r="Q6" s="179"/>
      <c r="R6" s="179"/>
      <c r="S6" s="179"/>
      <c r="T6" s="180">
        <v>400000</v>
      </c>
    </row>
    <row r="7" spans="1:20">
      <c r="A7" s="142" t="s">
        <v>48</v>
      </c>
      <c r="B7" s="2" t="s">
        <v>654</v>
      </c>
      <c r="C7" s="2" t="s">
        <v>1525</v>
      </c>
      <c r="D7" s="2" t="s">
        <v>1538</v>
      </c>
      <c r="E7" s="2" t="s">
        <v>1538</v>
      </c>
      <c r="F7" s="174">
        <v>8000</v>
      </c>
      <c r="J7" s="181" t="s">
        <v>160</v>
      </c>
      <c r="K7" s="177"/>
      <c r="L7" s="177"/>
      <c r="M7" s="177"/>
      <c r="N7" s="177"/>
      <c r="O7" s="177"/>
      <c r="P7" s="177">
        <v>500000</v>
      </c>
      <c r="Q7" s="177"/>
      <c r="R7" s="177"/>
      <c r="S7" s="177"/>
      <c r="T7" s="182">
        <v>500000</v>
      </c>
    </row>
    <row r="8" spans="1:20">
      <c r="A8" s="142" t="s">
        <v>184</v>
      </c>
      <c r="B8" s="2" t="s">
        <v>197</v>
      </c>
      <c r="C8" s="2" t="s">
        <v>1528</v>
      </c>
      <c r="D8" s="2" t="s">
        <v>1539</v>
      </c>
      <c r="E8" s="2" t="s">
        <v>1539</v>
      </c>
      <c r="F8" s="174">
        <v>20000</v>
      </c>
      <c r="J8" s="181" t="s">
        <v>161</v>
      </c>
      <c r="K8" s="177"/>
      <c r="L8" s="177"/>
      <c r="M8" s="177"/>
      <c r="N8" s="177"/>
      <c r="O8" s="177"/>
      <c r="P8" s="177">
        <v>50000</v>
      </c>
      <c r="Q8" s="177"/>
      <c r="R8" s="177">
        <v>10000</v>
      </c>
      <c r="S8" s="177"/>
      <c r="T8" s="182">
        <v>60000</v>
      </c>
    </row>
    <row r="9" spans="1:20">
      <c r="A9" s="142" t="s">
        <v>184</v>
      </c>
      <c r="B9" s="2" t="s">
        <v>259</v>
      </c>
      <c r="C9" s="2" t="s">
        <v>1528</v>
      </c>
      <c r="D9" s="2" t="s">
        <v>1539</v>
      </c>
      <c r="E9" s="2" t="s">
        <v>1539</v>
      </c>
      <c r="F9" s="174">
        <v>20000</v>
      </c>
      <c r="J9" s="181" t="s">
        <v>143</v>
      </c>
      <c r="K9" s="177"/>
      <c r="L9" s="177">
        <v>200000</v>
      </c>
      <c r="M9" s="177"/>
      <c r="N9" s="177"/>
      <c r="O9" s="177"/>
      <c r="P9" s="177"/>
      <c r="Q9" s="177"/>
      <c r="R9" s="177"/>
      <c r="S9" s="177"/>
      <c r="T9" s="182">
        <v>200000</v>
      </c>
    </row>
    <row r="10" spans="1:20">
      <c r="A10" s="142" t="s">
        <v>185</v>
      </c>
      <c r="B10" s="2" t="s">
        <v>1537</v>
      </c>
      <c r="C10" s="2" t="s">
        <v>1526</v>
      </c>
      <c r="D10" s="2" t="s">
        <v>1540</v>
      </c>
      <c r="E10" s="2" t="s">
        <v>1540</v>
      </c>
      <c r="F10" s="174">
        <v>400000</v>
      </c>
      <c r="J10" s="181" t="s">
        <v>162</v>
      </c>
      <c r="K10" s="177"/>
      <c r="L10" s="177">
        <v>200000</v>
      </c>
      <c r="M10" s="177"/>
      <c r="N10" s="177"/>
      <c r="O10" s="177"/>
      <c r="P10" s="177"/>
      <c r="Q10" s="177"/>
      <c r="R10" s="177"/>
      <c r="S10" s="177"/>
      <c r="T10" s="182">
        <v>200000</v>
      </c>
    </row>
    <row r="11" spans="1:20">
      <c r="A11" s="142" t="s">
        <v>185</v>
      </c>
      <c r="B11" s="2" t="s">
        <v>143</v>
      </c>
      <c r="C11" s="2" t="s">
        <v>1526</v>
      </c>
      <c r="D11" s="2" t="s">
        <v>1540</v>
      </c>
      <c r="E11" s="2" t="s">
        <v>1540</v>
      </c>
      <c r="F11" s="174">
        <v>200000</v>
      </c>
      <c r="J11" s="181" t="s">
        <v>1541</v>
      </c>
      <c r="K11" s="177"/>
      <c r="L11" s="177"/>
      <c r="M11" s="177"/>
      <c r="N11" s="177"/>
      <c r="O11" s="177"/>
      <c r="P11" s="177">
        <v>40000</v>
      </c>
      <c r="Q11" s="177"/>
      <c r="R11" s="177"/>
      <c r="S11" s="177"/>
      <c r="T11" s="182">
        <v>40000</v>
      </c>
    </row>
    <row r="12" spans="1:20">
      <c r="A12" s="142" t="s">
        <v>185</v>
      </c>
      <c r="B12" s="2" t="s">
        <v>162</v>
      </c>
      <c r="C12" s="2" t="s">
        <v>1526</v>
      </c>
      <c r="D12" s="2" t="s">
        <v>1540</v>
      </c>
      <c r="E12" s="2" t="s">
        <v>1540</v>
      </c>
      <c r="F12" s="174">
        <v>200000</v>
      </c>
      <c r="J12" s="181" t="s">
        <v>166</v>
      </c>
      <c r="K12" s="177"/>
      <c r="L12" s="177"/>
      <c r="M12" s="177"/>
      <c r="N12" s="177">
        <v>150000</v>
      </c>
      <c r="O12" s="177"/>
      <c r="P12" s="177"/>
      <c r="Q12" s="177"/>
      <c r="R12" s="177"/>
      <c r="S12" s="177"/>
      <c r="T12" s="182">
        <v>150000</v>
      </c>
    </row>
    <row r="13" spans="1:20">
      <c r="A13" s="142" t="s">
        <v>185</v>
      </c>
      <c r="B13" s="2" t="s">
        <v>166</v>
      </c>
      <c r="C13" s="2" t="s">
        <v>1528</v>
      </c>
      <c r="D13" s="2" t="s">
        <v>1539</v>
      </c>
      <c r="E13" s="2" t="s">
        <v>1539</v>
      </c>
      <c r="F13" s="174">
        <v>150000</v>
      </c>
      <c r="J13" s="181" t="s">
        <v>1542</v>
      </c>
      <c r="K13" s="177"/>
      <c r="L13" s="177"/>
      <c r="M13" s="177"/>
      <c r="N13" s="177"/>
      <c r="O13" s="177"/>
      <c r="P13" s="177">
        <v>20000</v>
      </c>
      <c r="Q13" s="177"/>
      <c r="R13" s="177"/>
      <c r="S13" s="177"/>
      <c r="T13" s="182">
        <v>20000</v>
      </c>
    </row>
    <row r="14" spans="1:20">
      <c r="A14" s="142" t="s">
        <v>185</v>
      </c>
      <c r="B14" s="2" t="s">
        <v>167</v>
      </c>
      <c r="C14" s="2" t="s">
        <v>1526</v>
      </c>
      <c r="D14" s="2" t="s">
        <v>1540</v>
      </c>
      <c r="E14" s="2" t="s">
        <v>1540</v>
      </c>
      <c r="F14" s="174">
        <v>600000</v>
      </c>
      <c r="J14" s="181" t="s">
        <v>1543</v>
      </c>
      <c r="K14" s="177"/>
      <c r="L14" s="177"/>
      <c r="M14" s="177"/>
      <c r="N14" s="177"/>
      <c r="O14" s="177"/>
      <c r="P14" s="177">
        <v>100000</v>
      </c>
      <c r="Q14" s="177"/>
      <c r="R14" s="177"/>
      <c r="S14" s="177"/>
      <c r="T14" s="182">
        <v>100000</v>
      </c>
    </row>
    <row r="15" spans="1:20">
      <c r="A15" s="142" t="s">
        <v>185</v>
      </c>
      <c r="B15" s="2" t="s">
        <v>556</v>
      </c>
      <c r="C15" s="2" t="s">
        <v>1526</v>
      </c>
      <c r="D15" s="2" t="s">
        <v>1540</v>
      </c>
      <c r="E15" s="2" t="s">
        <v>1540</v>
      </c>
      <c r="F15" s="174">
        <v>30000</v>
      </c>
      <c r="J15" s="181" t="s">
        <v>167</v>
      </c>
      <c r="K15" s="177"/>
      <c r="L15" s="177">
        <v>600000</v>
      </c>
      <c r="M15" s="177"/>
      <c r="N15" s="177"/>
      <c r="O15" s="177"/>
      <c r="P15" s="177">
        <v>2100000</v>
      </c>
      <c r="Q15" s="177"/>
      <c r="R15" s="177"/>
      <c r="S15" s="177"/>
      <c r="T15" s="182">
        <v>2700000</v>
      </c>
    </row>
    <row r="16" spans="1:20">
      <c r="A16" s="142" t="s">
        <v>185</v>
      </c>
      <c r="B16" s="2" t="s">
        <v>168</v>
      </c>
      <c r="C16" s="2" t="s">
        <v>1526</v>
      </c>
      <c r="D16" s="2" t="s">
        <v>1540</v>
      </c>
      <c r="E16" s="2" t="s">
        <v>1540</v>
      </c>
      <c r="F16" s="174">
        <v>100000</v>
      </c>
      <c r="J16" s="181" t="s">
        <v>556</v>
      </c>
      <c r="K16" s="177"/>
      <c r="L16" s="177">
        <v>30000</v>
      </c>
      <c r="M16" s="177"/>
      <c r="N16" s="177"/>
      <c r="O16" s="177"/>
      <c r="P16" s="177">
        <v>100000</v>
      </c>
      <c r="Q16" s="177"/>
      <c r="R16" s="177"/>
      <c r="S16" s="177"/>
      <c r="T16" s="182">
        <v>130000</v>
      </c>
    </row>
    <row r="17" spans="1:20">
      <c r="A17" s="142" t="s">
        <v>185</v>
      </c>
      <c r="B17" s="2" t="s">
        <v>170</v>
      </c>
      <c r="C17" s="2" t="s">
        <v>1528</v>
      </c>
      <c r="D17" s="2" t="s">
        <v>1539</v>
      </c>
      <c r="E17" s="2" t="s">
        <v>1539</v>
      </c>
      <c r="F17" s="174">
        <v>100000</v>
      </c>
      <c r="J17" s="181" t="s">
        <v>168</v>
      </c>
      <c r="K17" s="177"/>
      <c r="L17" s="177">
        <v>100000</v>
      </c>
      <c r="M17" s="177"/>
      <c r="N17" s="177"/>
      <c r="O17" s="177"/>
      <c r="P17" s="177"/>
      <c r="Q17" s="177"/>
      <c r="R17" s="177"/>
      <c r="S17" s="177"/>
      <c r="T17" s="182">
        <v>100000</v>
      </c>
    </row>
    <row r="18" spans="1:20">
      <c r="A18" s="142" t="s">
        <v>185</v>
      </c>
      <c r="B18" s="2" t="s">
        <v>715</v>
      </c>
      <c r="C18" s="2" t="s">
        <v>1526</v>
      </c>
      <c r="D18" s="2" t="s">
        <v>1540</v>
      </c>
      <c r="E18" s="2" t="s">
        <v>1540</v>
      </c>
      <c r="F18" s="174">
        <v>100000</v>
      </c>
      <c r="J18" s="181" t="s">
        <v>169</v>
      </c>
      <c r="K18" s="177"/>
      <c r="L18" s="177"/>
      <c r="M18" s="177"/>
      <c r="N18" s="177"/>
      <c r="O18" s="177">
        <v>25000</v>
      </c>
      <c r="P18" s="177"/>
      <c r="Q18" s="177"/>
      <c r="R18" s="177"/>
      <c r="S18" s="177"/>
      <c r="T18" s="182">
        <v>25000</v>
      </c>
    </row>
    <row r="19" spans="1:20">
      <c r="A19" s="142" t="s">
        <v>185</v>
      </c>
      <c r="B19" s="2" t="s">
        <v>1544</v>
      </c>
      <c r="C19" s="2" t="s">
        <v>1526</v>
      </c>
      <c r="D19" s="2" t="s">
        <v>1540</v>
      </c>
      <c r="E19" s="2" t="s">
        <v>1540</v>
      </c>
      <c r="F19" s="174">
        <v>52000</v>
      </c>
      <c r="J19" s="181" t="s">
        <v>170</v>
      </c>
      <c r="K19" s="177"/>
      <c r="L19" s="177"/>
      <c r="M19" s="177"/>
      <c r="N19" s="177">
        <v>100000</v>
      </c>
      <c r="O19" s="177"/>
      <c r="P19" s="177"/>
      <c r="Q19" s="177"/>
      <c r="R19" s="177"/>
      <c r="S19" s="177"/>
      <c r="T19" s="182">
        <v>100000</v>
      </c>
    </row>
    <row r="20" spans="1:20">
      <c r="A20" s="142" t="s">
        <v>185</v>
      </c>
      <c r="B20" s="2" t="s">
        <v>180</v>
      </c>
      <c r="C20" s="2" t="s">
        <v>1526</v>
      </c>
      <c r="D20" s="2" t="s">
        <v>1540</v>
      </c>
      <c r="E20" s="2" t="s">
        <v>1540</v>
      </c>
      <c r="F20" s="174">
        <v>3000</v>
      </c>
      <c r="J20" s="181" t="s">
        <v>171</v>
      </c>
      <c r="K20" s="177"/>
      <c r="L20" s="177"/>
      <c r="M20" s="177"/>
      <c r="N20" s="177"/>
      <c r="O20" s="177"/>
      <c r="P20" s="177">
        <v>550000</v>
      </c>
      <c r="Q20" s="177"/>
      <c r="R20" s="177"/>
      <c r="S20" s="177"/>
      <c r="T20" s="182">
        <v>550000</v>
      </c>
    </row>
    <row r="21" spans="1:20">
      <c r="A21" s="142" t="s">
        <v>185</v>
      </c>
      <c r="B21" s="2" t="s">
        <v>180</v>
      </c>
      <c r="C21" s="2" t="s">
        <v>1526</v>
      </c>
      <c r="D21" s="2" t="s">
        <v>1540</v>
      </c>
      <c r="E21" s="2" t="s">
        <v>1540</v>
      </c>
      <c r="F21" s="174">
        <v>1300000</v>
      </c>
      <c r="J21" s="181" t="s">
        <v>715</v>
      </c>
      <c r="K21" s="177"/>
      <c r="L21" s="177">
        <v>100000</v>
      </c>
      <c r="M21" s="177"/>
      <c r="N21" s="177"/>
      <c r="O21" s="177"/>
      <c r="P21" s="177"/>
      <c r="Q21" s="177"/>
      <c r="R21" s="177"/>
      <c r="S21" s="177"/>
      <c r="T21" s="182">
        <v>100000</v>
      </c>
    </row>
    <row r="22" spans="1:20">
      <c r="A22" s="142" t="s">
        <v>185</v>
      </c>
      <c r="B22" s="2" t="s">
        <v>180</v>
      </c>
      <c r="C22" s="2" t="s">
        <v>1526</v>
      </c>
      <c r="D22" s="2" t="s">
        <v>1540</v>
      </c>
      <c r="E22" s="2" t="s">
        <v>1540</v>
      </c>
      <c r="F22" s="174">
        <v>400000</v>
      </c>
      <c r="J22" s="181" t="s">
        <v>1545</v>
      </c>
      <c r="K22" s="177"/>
      <c r="L22" s="177"/>
      <c r="M22" s="177"/>
      <c r="N22" s="177">
        <v>40000</v>
      </c>
      <c r="O22" s="177"/>
      <c r="P22" s="177"/>
      <c r="Q22" s="177"/>
      <c r="R22" s="177">
        <v>15000</v>
      </c>
      <c r="S22" s="177"/>
      <c r="T22" s="182">
        <v>55000</v>
      </c>
    </row>
    <row r="23" spans="1:20">
      <c r="A23" s="142" t="s">
        <v>185</v>
      </c>
      <c r="B23" s="2" t="s">
        <v>181</v>
      </c>
      <c r="C23" s="2" t="s">
        <v>1526</v>
      </c>
      <c r="D23" s="2" t="s">
        <v>1540</v>
      </c>
      <c r="E23" s="2" t="s">
        <v>1540</v>
      </c>
      <c r="F23" s="174">
        <v>200000</v>
      </c>
      <c r="J23" s="181" t="s">
        <v>175</v>
      </c>
      <c r="K23" s="177"/>
      <c r="L23" s="177"/>
      <c r="M23" s="177"/>
      <c r="N23" s="177"/>
      <c r="O23" s="177">
        <v>30000</v>
      </c>
      <c r="P23" s="177"/>
      <c r="Q23" s="177"/>
      <c r="R23" s="177"/>
      <c r="S23" s="177"/>
      <c r="T23" s="182">
        <v>30000</v>
      </c>
    </row>
    <row r="24" spans="1:20">
      <c r="A24" s="142" t="s">
        <v>185</v>
      </c>
      <c r="B24" s="2" t="s">
        <v>1475</v>
      </c>
      <c r="C24" s="2" t="s">
        <v>1526</v>
      </c>
      <c r="D24" s="2" t="s">
        <v>1540</v>
      </c>
      <c r="E24" s="2" t="s">
        <v>1540</v>
      </c>
      <c r="F24" s="174">
        <v>100000</v>
      </c>
      <c r="J24" s="181" t="s">
        <v>1544</v>
      </c>
      <c r="K24" s="177"/>
      <c r="L24" s="177">
        <v>52000</v>
      </c>
      <c r="M24" s="177"/>
      <c r="N24" s="177"/>
      <c r="O24" s="177"/>
      <c r="P24" s="177"/>
      <c r="Q24" s="177"/>
      <c r="R24" s="177"/>
      <c r="S24" s="177"/>
      <c r="T24" s="182">
        <v>52000</v>
      </c>
    </row>
    <row r="25" spans="1:20">
      <c r="A25" s="142" t="s">
        <v>185</v>
      </c>
      <c r="B25" s="2" t="s">
        <v>196</v>
      </c>
      <c r="C25" s="2" t="s">
        <v>1526</v>
      </c>
      <c r="D25" s="2" t="s">
        <v>1540</v>
      </c>
      <c r="E25" s="2" t="s">
        <v>1540</v>
      </c>
      <c r="F25" s="174">
        <v>50000</v>
      </c>
      <c r="J25" s="181" t="s">
        <v>180</v>
      </c>
      <c r="K25" s="177"/>
      <c r="L25" s="177">
        <v>1703000</v>
      </c>
      <c r="M25" s="177"/>
      <c r="N25" s="177"/>
      <c r="O25" s="177"/>
      <c r="P25" s="177"/>
      <c r="Q25" s="177"/>
      <c r="R25" s="177"/>
      <c r="S25" s="177"/>
      <c r="T25" s="182">
        <v>1703000</v>
      </c>
    </row>
    <row r="26" spans="1:20">
      <c r="A26" s="142" t="s">
        <v>185</v>
      </c>
      <c r="B26" s="2" t="s">
        <v>198</v>
      </c>
      <c r="C26" s="2" t="s">
        <v>1526</v>
      </c>
      <c r="D26" s="2" t="s">
        <v>1540</v>
      </c>
      <c r="E26" s="2" t="s">
        <v>1540</v>
      </c>
      <c r="F26" s="174">
        <v>600000</v>
      </c>
      <c r="J26" s="181" t="s">
        <v>181</v>
      </c>
      <c r="K26" s="177"/>
      <c r="L26" s="177">
        <v>200000</v>
      </c>
      <c r="M26" s="177"/>
      <c r="N26" s="177"/>
      <c r="O26" s="177"/>
      <c r="P26" s="177"/>
      <c r="Q26" s="177"/>
      <c r="R26" s="177"/>
      <c r="S26" s="177"/>
      <c r="T26" s="182">
        <v>200000</v>
      </c>
    </row>
    <row r="27" spans="1:20">
      <c r="A27" s="142" t="s">
        <v>185</v>
      </c>
      <c r="B27" s="2" t="s">
        <v>199</v>
      </c>
      <c r="C27" s="2" t="s">
        <v>1528</v>
      </c>
      <c r="D27" s="2" t="s">
        <v>1539</v>
      </c>
      <c r="E27" s="2" t="s">
        <v>1539</v>
      </c>
      <c r="F27" s="174">
        <v>150000</v>
      </c>
      <c r="J27" s="181" t="s">
        <v>1475</v>
      </c>
      <c r="K27" s="177"/>
      <c r="L27" s="177">
        <v>100000</v>
      </c>
      <c r="M27" s="177"/>
      <c r="N27" s="177"/>
      <c r="O27" s="177"/>
      <c r="P27" s="177"/>
      <c r="Q27" s="177"/>
      <c r="R27" s="177"/>
      <c r="S27" s="177"/>
      <c r="T27" s="182">
        <v>100000</v>
      </c>
    </row>
    <row r="28" spans="1:20">
      <c r="A28" s="142" t="s">
        <v>185</v>
      </c>
      <c r="B28" s="2" t="s">
        <v>200</v>
      </c>
      <c r="C28" s="2" t="s">
        <v>1526</v>
      </c>
      <c r="D28" s="2" t="s">
        <v>1540</v>
      </c>
      <c r="E28" s="2" t="s">
        <v>1540</v>
      </c>
      <c r="F28" s="174">
        <v>200000</v>
      </c>
      <c r="J28" s="181" t="s">
        <v>900</v>
      </c>
      <c r="K28" s="177"/>
      <c r="L28" s="177"/>
      <c r="M28" s="177"/>
      <c r="N28" s="177"/>
      <c r="O28" s="177"/>
      <c r="P28" s="177">
        <v>50000</v>
      </c>
      <c r="Q28" s="177"/>
      <c r="R28" s="177"/>
      <c r="S28" s="177"/>
      <c r="T28" s="182">
        <v>50000</v>
      </c>
    </row>
    <row r="29" spans="1:20">
      <c r="A29" s="142" t="s">
        <v>185</v>
      </c>
      <c r="B29" s="2" t="s">
        <v>200</v>
      </c>
      <c r="C29" s="2" t="s">
        <v>1526</v>
      </c>
      <c r="D29" s="2" t="s">
        <v>1540</v>
      </c>
      <c r="E29" s="2" t="s">
        <v>1540</v>
      </c>
      <c r="F29" s="174">
        <v>100000</v>
      </c>
      <c r="J29" s="181" t="s">
        <v>1546</v>
      </c>
      <c r="K29" s="177"/>
      <c r="L29" s="177"/>
      <c r="M29" s="177"/>
      <c r="N29" s="177"/>
      <c r="O29" s="177"/>
      <c r="P29" s="177"/>
      <c r="Q29" s="177"/>
      <c r="R29" s="177"/>
      <c r="S29" s="177">
        <v>100000</v>
      </c>
      <c r="T29" s="182">
        <v>100000</v>
      </c>
    </row>
    <row r="30" spans="1:20">
      <c r="A30" s="142" t="s">
        <v>185</v>
      </c>
      <c r="B30" s="2" t="s">
        <v>203</v>
      </c>
      <c r="C30" s="2" t="s">
        <v>1526</v>
      </c>
      <c r="D30" s="2" t="s">
        <v>1540</v>
      </c>
      <c r="E30" s="2" t="s">
        <v>1540</v>
      </c>
      <c r="F30" s="174">
        <v>300000</v>
      </c>
      <c r="J30" s="181" t="s">
        <v>1547</v>
      </c>
      <c r="K30" s="177"/>
      <c r="L30" s="177"/>
      <c r="M30" s="177"/>
      <c r="N30" s="177">
        <v>60000</v>
      </c>
      <c r="O30" s="177"/>
      <c r="P30" s="177"/>
      <c r="Q30" s="177"/>
      <c r="R30" s="177"/>
      <c r="S30" s="177"/>
      <c r="T30" s="182">
        <v>60000</v>
      </c>
    </row>
    <row r="31" spans="1:20">
      <c r="A31" s="142" t="s">
        <v>185</v>
      </c>
      <c r="B31" s="2" t="s">
        <v>207</v>
      </c>
      <c r="C31" s="2" t="s">
        <v>1528</v>
      </c>
      <c r="D31" s="2" t="s">
        <v>1539</v>
      </c>
      <c r="E31" s="2" t="s">
        <v>1539</v>
      </c>
      <c r="F31" s="174">
        <v>100000</v>
      </c>
      <c r="J31" s="181" t="s">
        <v>73</v>
      </c>
      <c r="K31" s="177"/>
      <c r="L31" s="177"/>
      <c r="M31" s="177">
        <v>5000</v>
      </c>
      <c r="N31" s="177"/>
      <c r="O31" s="177"/>
      <c r="P31" s="177"/>
      <c r="Q31" s="177"/>
      <c r="R31" s="177"/>
      <c r="S31" s="177"/>
      <c r="T31" s="182">
        <v>5000</v>
      </c>
    </row>
    <row r="32" spans="1:20">
      <c r="A32" s="142" t="s">
        <v>185</v>
      </c>
      <c r="B32" s="2" t="s">
        <v>211</v>
      </c>
      <c r="C32" s="2" t="s">
        <v>1526</v>
      </c>
      <c r="D32" s="2" t="s">
        <v>1540</v>
      </c>
      <c r="E32" s="2" t="s">
        <v>1540</v>
      </c>
      <c r="F32" s="174">
        <v>200000</v>
      </c>
      <c r="J32" s="181" t="s">
        <v>195</v>
      </c>
      <c r="K32" s="177"/>
      <c r="L32" s="177"/>
      <c r="M32" s="177"/>
      <c r="N32" s="177"/>
      <c r="O32" s="177"/>
      <c r="P32" s="177">
        <v>70000</v>
      </c>
      <c r="Q32" s="177"/>
      <c r="R32" s="177"/>
      <c r="S32" s="177"/>
      <c r="T32" s="182">
        <v>70000</v>
      </c>
    </row>
    <row r="33" spans="1:20">
      <c r="A33" s="142" t="s">
        <v>185</v>
      </c>
      <c r="B33" s="2" t="s">
        <v>211</v>
      </c>
      <c r="C33" s="2" t="s">
        <v>1526</v>
      </c>
      <c r="D33" s="2" t="s">
        <v>1540</v>
      </c>
      <c r="E33" s="2" t="s">
        <v>1540</v>
      </c>
      <c r="F33" s="174">
        <v>200000</v>
      </c>
      <c r="J33" s="181" t="s">
        <v>196</v>
      </c>
      <c r="K33" s="177"/>
      <c r="L33" s="177">
        <v>50000</v>
      </c>
      <c r="M33" s="177"/>
      <c r="N33" s="177"/>
      <c r="O33" s="177"/>
      <c r="P33" s="177">
        <v>30000</v>
      </c>
      <c r="Q33" s="177"/>
      <c r="R33" s="177"/>
      <c r="S33" s="177"/>
      <c r="T33" s="182">
        <v>80000</v>
      </c>
    </row>
    <row r="34" spans="1:20">
      <c r="A34" s="142" t="s">
        <v>185</v>
      </c>
      <c r="B34" s="2" t="s">
        <v>213</v>
      </c>
      <c r="C34" s="2" t="s">
        <v>1526</v>
      </c>
      <c r="D34" s="2" t="s">
        <v>1540</v>
      </c>
      <c r="E34" s="2" t="s">
        <v>1540</v>
      </c>
      <c r="F34" s="174">
        <v>20000</v>
      </c>
      <c r="J34" s="181" t="s">
        <v>901</v>
      </c>
      <c r="K34" s="177"/>
      <c r="L34" s="177"/>
      <c r="M34" s="177"/>
      <c r="N34" s="177"/>
      <c r="O34" s="177"/>
      <c r="P34" s="177">
        <v>50000</v>
      </c>
      <c r="Q34" s="177"/>
      <c r="R34" s="177"/>
      <c r="S34" s="177"/>
      <c r="T34" s="182">
        <v>50000</v>
      </c>
    </row>
    <row r="35" spans="1:20">
      <c r="A35" s="142" t="s">
        <v>185</v>
      </c>
      <c r="B35" s="2" t="s">
        <v>149</v>
      </c>
      <c r="C35" s="2" t="s">
        <v>1526</v>
      </c>
      <c r="D35" s="2" t="s">
        <v>1540</v>
      </c>
      <c r="E35" s="2" t="s">
        <v>1540</v>
      </c>
      <c r="F35" s="174">
        <v>250000</v>
      </c>
      <c r="J35" s="181" t="s">
        <v>197</v>
      </c>
      <c r="K35" s="177"/>
      <c r="L35" s="177"/>
      <c r="M35" s="177"/>
      <c r="N35" s="177">
        <v>20000</v>
      </c>
      <c r="O35" s="177"/>
      <c r="P35" s="177"/>
      <c r="Q35" s="177"/>
      <c r="R35" s="177"/>
      <c r="S35" s="177"/>
      <c r="T35" s="182">
        <v>20000</v>
      </c>
    </row>
    <row r="36" spans="1:20">
      <c r="A36" s="142" t="s">
        <v>185</v>
      </c>
      <c r="B36" s="2" t="s">
        <v>218</v>
      </c>
      <c r="C36" s="2" t="s">
        <v>1526</v>
      </c>
      <c r="D36" s="2" t="s">
        <v>1540</v>
      </c>
      <c r="E36" s="2" t="s">
        <v>1540</v>
      </c>
      <c r="F36" s="174">
        <v>250000</v>
      </c>
      <c r="J36" s="181" t="s">
        <v>198</v>
      </c>
      <c r="K36" s="177"/>
      <c r="L36" s="177">
        <v>605000</v>
      </c>
      <c r="M36" s="177"/>
      <c r="N36" s="177"/>
      <c r="O36" s="177"/>
      <c r="P36" s="177"/>
      <c r="Q36" s="177"/>
      <c r="R36" s="177"/>
      <c r="S36" s="177"/>
      <c r="T36" s="182">
        <v>605000</v>
      </c>
    </row>
    <row r="37" spans="1:20">
      <c r="A37" s="142" t="s">
        <v>185</v>
      </c>
      <c r="B37" s="2" t="s">
        <v>226</v>
      </c>
      <c r="C37" s="2" t="s">
        <v>1526</v>
      </c>
      <c r="D37" s="2" t="s">
        <v>1540</v>
      </c>
      <c r="E37" s="2" t="s">
        <v>1540</v>
      </c>
      <c r="F37" s="174">
        <v>150000</v>
      </c>
      <c r="J37" s="181" t="s">
        <v>199</v>
      </c>
      <c r="K37" s="177"/>
      <c r="L37" s="177"/>
      <c r="M37" s="177"/>
      <c r="N37" s="177">
        <v>150000</v>
      </c>
      <c r="O37" s="177"/>
      <c r="P37" s="177"/>
      <c r="Q37" s="177"/>
      <c r="R37" s="177"/>
      <c r="S37" s="177"/>
      <c r="T37" s="182">
        <v>150000</v>
      </c>
    </row>
    <row r="38" spans="1:20">
      <c r="A38" s="142" t="s">
        <v>185</v>
      </c>
      <c r="B38" s="2" t="s">
        <v>812</v>
      </c>
      <c r="C38" s="2" t="s">
        <v>1526</v>
      </c>
      <c r="D38" s="2" t="s">
        <v>1540</v>
      </c>
      <c r="E38" s="2" t="s">
        <v>1540</v>
      </c>
      <c r="F38" s="174">
        <v>1102000</v>
      </c>
      <c r="J38" s="181" t="s">
        <v>200</v>
      </c>
      <c r="K38" s="177"/>
      <c r="L38" s="177">
        <v>300000</v>
      </c>
      <c r="M38" s="177"/>
      <c r="N38" s="177"/>
      <c r="O38" s="177"/>
      <c r="P38" s="177"/>
      <c r="Q38" s="177"/>
      <c r="R38" s="177"/>
      <c r="S38" s="177"/>
      <c r="T38" s="182">
        <v>300000</v>
      </c>
    </row>
    <row r="39" spans="1:20">
      <c r="A39" s="142" t="s">
        <v>185</v>
      </c>
      <c r="B39" s="2" t="s">
        <v>228</v>
      </c>
      <c r="C39" s="2" t="s">
        <v>1526</v>
      </c>
      <c r="D39" s="2" t="s">
        <v>1540</v>
      </c>
      <c r="E39" s="2" t="s">
        <v>1540</v>
      </c>
      <c r="F39" s="174">
        <v>50000</v>
      </c>
      <c r="J39" s="181" t="s">
        <v>202</v>
      </c>
      <c r="K39" s="177"/>
      <c r="L39" s="177"/>
      <c r="M39" s="177"/>
      <c r="N39" s="177"/>
      <c r="O39" s="177"/>
      <c r="P39" s="177">
        <v>20000</v>
      </c>
      <c r="Q39" s="177"/>
      <c r="R39" s="177"/>
      <c r="S39" s="177"/>
      <c r="T39" s="182">
        <v>20000</v>
      </c>
    </row>
    <row r="40" spans="1:20">
      <c r="A40" s="142" t="s">
        <v>185</v>
      </c>
      <c r="B40" s="2" t="s">
        <v>235</v>
      </c>
      <c r="C40" s="2" t="s">
        <v>1526</v>
      </c>
      <c r="D40" s="2" t="s">
        <v>1540</v>
      </c>
      <c r="E40" s="2" t="s">
        <v>1540</v>
      </c>
      <c r="F40" s="174">
        <v>200000</v>
      </c>
      <c r="J40" s="181" t="s">
        <v>203</v>
      </c>
      <c r="K40" s="177"/>
      <c r="L40" s="177">
        <v>300000</v>
      </c>
      <c r="M40" s="177"/>
      <c r="N40" s="177"/>
      <c r="O40" s="177"/>
      <c r="P40" s="177"/>
      <c r="Q40" s="177"/>
      <c r="R40" s="177"/>
      <c r="S40" s="177"/>
      <c r="T40" s="182">
        <v>300000</v>
      </c>
    </row>
    <row r="41" spans="1:20">
      <c r="A41" s="142" t="s">
        <v>185</v>
      </c>
      <c r="B41" s="2" t="s">
        <v>238</v>
      </c>
      <c r="C41" s="2" t="s">
        <v>1526</v>
      </c>
      <c r="D41" s="2" t="s">
        <v>1540</v>
      </c>
      <c r="E41" s="2" t="s">
        <v>1540</v>
      </c>
      <c r="F41" s="174">
        <v>50000</v>
      </c>
      <c r="J41" s="181" t="s">
        <v>207</v>
      </c>
      <c r="K41" s="177"/>
      <c r="L41" s="177"/>
      <c r="M41" s="177"/>
      <c r="N41" s="177">
        <v>100000</v>
      </c>
      <c r="O41" s="177"/>
      <c r="P41" s="177"/>
      <c r="Q41" s="177"/>
      <c r="R41" s="177"/>
      <c r="S41" s="177"/>
      <c r="T41" s="182">
        <v>100000</v>
      </c>
    </row>
    <row r="42" spans="1:20">
      <c r="A42" s="142" t="s">
        <v>185</v>
      </c>
      <c r="B42" s="2" t="s">
        <v>239</v>
      </c>
      <c r="C42" s="2" t="s">
        <v>1526</v>
      </c>
      <c r="D42" s="2" t="s">
        <v>1540</v>
      </c>
      <c r="E42" s="2" t="s">
        <v>1540</v>
      </c>
      <c r="F42" s="174">
        <v>100000</v>
      </c>
      <c r="J42" s="181" t="s">
        <v>208</v>
      </c>
      <c r="K42" s="177"/>
      <c r="L42" s="177"/>
      <c r="M42" s="177"/>
      <c r="N42" s="177"/>
      <c r="O42" s="177"/>
      <c r="P42" s="177">
        <v>215000</v>
      </c>
      <c r="Q42" s="177"/>
      <c r="R42" s="177"/>
      <c r="S42" s="177"/>
      <c r="T42" s="182">
        <v>215000</v>
      </c>
    </row>
    <row r="43" spans="1:20">
      <c r="A43" s="142" t="s">
        <v>185</v>
      </c>
      <c r="B43" s="2" t="s">
        <v>243</v>
      </c>
      <c r="C43" s="2" t="s">
        <v>1526</v>
      </c>
      <c r="D43" s="2" t="s">
        <v>1540</v>
      </c>
      <c r="E43" s="2" t="s">
        <v>1540</v>
      </c>
      <c r="F43" s="174">
        <v>300000</v>
      </c>
      <c r="J43" s="181" t="s">
        <v>210</v>
      </c>
      <c r="K43" s="177"/>
      <c r="L43" s="177"/>
      <c r="M43" s="177"/>
      <c r="N43" s="177"/>
      <c r="O43" s="177"/>
      <c r="P43" s="177">
        <v>200000</v>
      </c>
      <c r="Q43" s="177">
        <v>5000</v>
      </c>
      <c r="R43" s="177"/>
      <c r="S43" s="177"/>
      <c r="T43" s="182">
        <v>205000</v>
      </c>
    </row>
    <row r="44" spans="1:20">
      <c r="A44" s="142" t="s">
        <v>185</v>
      </c>
      <c r="B44" s="2" t="s">
        <v>244</v>
      </c>
      <c r="C44" s="2" t="s">
        <v>1526</v>
      </c>
      <c r="D44" s="2" t="s">
        <v>1540</v>
      </c>
      <c r="E44" s="2" t="s">
        <v>1540</v>
      </c>
      <c r="F44" s="174">
        <v>30000</v>
      </c>
      <c r="J44" s="181" t="s">
        <v>211</v>
      </c>
      <c r="K44" s="177"/>
      <c r="L44" s="177">
        <v>400000</v>
      </c>
      <c r="M44" s="177"/>
      <c r="N44" s="177"/>
      <c r="O44" s="177"/>
      <c r="P44" s="177"/>
      <c r="Q44" s="177"/>
      <c r="R44" s="177"/>
      <c r="S44" s="177"/>
      <c r="T44" s="182">
        <v>400000</v>
      </c>
    </row>
    <row r="45" spans="1:20">
      <c r="A45" s="142" t="s">
        <v>185</v>
      </c>
      <c r="B45" s="2" t="s">
        <v>246</v>
      </c>
      <c r="C45" s="2" t="s">
        <v>1526</v>
      </c>
      <c r="D45" s="2" t="s">
        <v>1540</v>
      </c>
      <c r="E45" s="2" t="s">
        <v>1540</v>
      </c>
      <c r="F45" s="174">
        <v>200000</v>
      </c>
      <c r="J45" s="181" t="s">
        <v>213</v>
      </c>
      <c r="K45" s="177"/>
      <c r="L45" s="177">
        <v>20000</v>
      </c>
      <c r="M45" s="177"/>
      <c r="N45" s="177"/>
      <c r="O45" s="177"/>
      <c r="P45" s="177">
        <v>80000</v>
      </c>
      <c r="Q45" s="177"/>
      <c r="R45" s="177"/>
      <c r="S45" s="177"/>
      <c r="T45" s="182">
        <v>100000</v>
      </c>
    </row>
    <row r="46" spans="1:20">
      <c r="A46" s="142" t="s">
        <v>185</v>
      </c>
      <c r="B46" s="2" t="s">
        <v>247</v>
      </c>
      <c r="C46" s="2" t="s">
        <v>1526</v>
      </c>
      <c r="D46" s="2" t="s">
        <v>1540</v>
      </c>
      <c r="E46" s="2" t="s">
        <v>1540</v>
      </c>
      <c r="F46" s="174">
        <v>300000</v>
      </c>
      <c r="J46" s="181" t="s">
        <v>215</v>
      </c>
      <c r="K46" s="177"/>
      <c r="L46" s="177"/>
      <c r="M46" s="177"/>
      <c r="N46" s="177"/>
      <c r="O46" s="177"/>
      <c r="P46" s="177"/>
      <c r="Q46" s="177">
        <v>5000</v>
      </c>
      <c r="R46" s="177"/>
      <c r="S46" s="177"/>
      <c r="T46" s="182">
        <v>5000</v>
      </c>
    </row>
    <row r="47" spans="1:20">
      <c r="A47" s="142" t="s">
        <v>185</v>
      </c>
      <c r="B47" s="2" t="s">
        <v>248</v>
      </c>
      <c r="C47" s="2" t="s">
        <v>1528</v>
      </c>
      <c r="D47" s="2" t="s">
        <v>1539</v>
      </c>
      <c r="E47" s="2" t="s">
        <v>1539</v>
      </c>
      <c r="F47" s="174">
        <v>100000</v>
      </c>
      <c r="J47" s="181" t="s">
        <v>149</v>
      </c>
      <c r="K47" s="177"/>
      <c r="L47" s="177">
        <v>250000</v>
      </c>
      <c r="M47" s="177"/>
      <c r="N47" s="177"/>
      <c r="O47" s="177"/>
      <c r="P47" s="177"/>
      <c r="Q47" s="177"/>
      <c r="R47" s="177"/>
      <c r="S47" s="177"/>
      <c r="T47" s="182">
        <v>250000</v>
      </c>
    </row>
    <row r="48" spans="1:20">
      <c r="A48" s="142" t="s">
        <v>185</v>
      </c>
      <c r="B48" s="2" t="s">
        <v>250</v>
      </c>
      <c r="C48" s="2" t="s">
        <v>1526</v>
      </c>
      <c r="D48" s="2" t="s">
        <v>1540</v>
      </c>
      <c r="E48" s="2" t="s">
        <v>1540</v>
      </c>
      <c r="F48" s="174">
        <v>800000</v>
      </c>
      <c r="J48" s="181" t="s">
        <v>218</v>
      </c>
      <c r="K48" s="177"/>
      <c r="L48" s="177">
        <v>250000</v>
      </c>
      <c r="M48" s="177"/>
      <c r="N48" s="177"/>
      <c r="O48" s="177"/>
      <c r="P48" s="177"/>
      <c r="Q48" s="177"/>
      <c r="R48" s="177"/>
      <c r="S48" s="177"/>
      <c r="T48" s="182">
        <v>250000</v>
      </c>
    </row>
    <row r="49" spans="1:20">
      <c r="A49" s="142" t="s">
        <v>185</v>
      </c>
      <c r="B49" s="2" t="s">
        <v>252</v>
      </c>
      <c r="C49" s="2" t="s">
        <v>1526</v>
      </c>
      <c r="D49" s="2" t="s">
        <v>1540</v>
      </c>
      <c r="E49" s="2" t="s">
        <v>1540</v>
      </c>
      <c r="F49" s="174">
        <v>400000</v>
      </c>
      <c r="J49" s="181" t="s">
        <v>219</v>
      </c>
      <c r="K49" s="177"/>
      <c r="L49" s="177"/>
      <c r="M49" s="177"/>
      <c r="N49" s="177"/>
      <c r="O49" s="177"/>
      <c r="P49" s="177">
        <v>125000</v>
      </c>
      <c r="Q49" s="177"/>
      <c r="R49" s="177"/>
      <c r="S49" s="177"/>
      <c r="T49" s="182">
        <v>125000</v>
      </c>
    </row>
    <row r="50" spans="1:20">
      <c r="A50" s="142" t="s">
        <v>185</v>
      </c>
      <c r="B50" s="2" t="s">
        <v>255</v>
      </c>
      <c r="C50" s="2" t="s">
        <v>1526</v>
      </c>
      <c r="D50" s="2" t="s">
        <v>1540</v>
      </c>
      <c r="E50" s="2" t="s">
        <v>1540</v>
      </c>
      <c r="F50" s="174">
        <v>1500000</v>
      </c>
      <c r="J50" s="181" t="s">
        <v>222</v>
      </c>
      <c r="K50" s="177"/>
      <c r="L50" s="177"/>
      <c r="M50" s="177"/>
      <c r="N50" s="177"/>
      <c r="O50" s="177"/>
      <c r="P50" s="177">
        <v>100000</v>
      </c>
      <c r="Q50" s="177"/>
      <c r="R50" s="177"/>
      <c r="S50" s="177"/>
      <c r="T50" s="182">
        <v>100000</v>
      </c>
    </row>
    <row r="51" spans="1:20">
      <c r="A51" s="142" t="s">
        <v>185</v>
      </c>
      <c r="B51" s="2" t="s">
        <v>1548</v>
      </c>
      <c r="C51" s="2" t="s">
        <v>1526</v>
      </c>
      <c r="D51" s="2" t="s">
        <v>1540</v>
      </c>
      <c r="E51" s="2" t="s">
        <v>1540</v>
      </c>
      <c r="F51" s="174">
        <v>100000</v>
      </c>
      <c r="J51" s="181" t="s">
        <v>226</v>
      </c>
      <c r="K51" s="177"/>
      <c r="L51" s="177">
        <v>150000</v>
      </c>
      <c r="M51" s="177"/>
      <c r="N51" s="177"/>
      <c r="O51" s="177"/>
      <c r="P51" s="177"/>
      <c r="Q51" s="177"/>
      <c r="R51" s="177"/>
      <c r="S51" s="177"/>
      <c r="T51" s="182">
        <v>150000</v>
      </c>
    </row>
    <row r="52" spans="1:20">
      <c r="A52" s="142" t="s">
        <v>185</v>
      </c>
      <c r="B52" s="2" t="s">
        <v>261</v>
      </c>
      <c r="C52" s="2" t="s">
        <v>1528</v>
      </c>
      <c r="D52" s="2" t="s">
        <v>1539</v>
      </c>
      <c r="E52" s="2" t="s">
        <v>1539</v>
      </c>
      <c r="F52" s="174">
        <v>400000</v>
      </c>
      <c r="J52" s="181" t="s">
        <v>812</v>
      </c>
      <c r="K52" s="177"/>
      <c r="L52" s="177">
        <v>1102000</v>
      </c>
      <c r="M52" s="177"/>
      <c r="N52" s="177"/>
      <c r="O52" s="177"/>
      <c r="P52" s="177"/>
      <c r="Q52" s="177"/>
      <c r="R52" s="177"/>
      <c r="S52" s="177"/>
      <c r="T52" s="182">
        <v>1102000</v>
      </c>
    </row>
    <row r="53" spans="1:20">
      <c r="A53" s="142" t="s">
        <v>185</v>
      </c>
      <c r="B53" s="2" t="s">
        <v>261</v>
      </c>
      <c r="C53" s="2" t="s">
        <v>1528</v>
      </c>
      <c r="D53" s="2" t="s">
        <v>1539</v>
      </c>
      <c r="E53" s="2" t="s">
        <v>1539</v>
      </c>
      <c r="F53" s="174">
        <v>600000</v>
      </c>
      <c r="J53" s="181" t="s">
        <v>228</v>
      </c>
      <c r="K53" s="177"/>
      <c r="L53" s="177">
        <v>50000</v>
      </c>
      <c r="M53" s="177"/>
      <c r="N53" s="177"/>
      <c r="O53" s="177"/>
      <c r="P53" s="177"/>
      <c r="Q53" s="177"/>
      <c r="R53" s="177"/>
      <c r="S53" s="177"/>
      <c r="T53" s="182">
        <v>50000</v>
      </c>
    </row>
    <row r="54" spans="1:20">
      <c r="A54" s="142" t="s">
        <v>185</v>
      </c>
      <c r="B54" s="2" t="s">
        <v>269</v>
      </c>
      <c r="C54" s="2" t="s">
        <v>1526</v>
      </c>
      <c r="D54" s="2" t="s">
        <v>1540</v>
      </c>
      <c r="E54" s="2" t="s">
        <v>1540</v>
      </c>
      <c r="F54" s="174">
        <v>200000</v>
      </c>
      <c r="J54" s="181" t="s">
        <v>230</v>
      </c>
      <c r="K54" s="177"/>
      <c r="L54" s="177"/>
      <c r="M54" s="177"/>
      <c r="N54" s="177"/>
      <c r="O54" s="177"/>
      <c r="P54" s="177">
        <v>27000</v>
      </c>
      <c r="Q54" s="177"/>
      <c r="R54" s="177"/>
      <c r="S54" s="177"/>
      <c r="T54" s="182">
        <v>27000</v>
      </c>
    </row>
    <row r="55" spans="1:20">
      <c r="A55" s="142" t="s">
        <v>185</v>
      </c>
      <c r="B55" s="2" t="s">
        <v>271</v>
      </c>
      <c r="C55" s="2" t="s">
        <v>1526</v>
      </c>
      <c r="D55" s="2" t="s">
        <v>1540</v>
      </c>
      <c r="E55" s="2" t="s">
        <v>1540</v>
      </c>
      <c r="F55" s="174">
        <v>200000</v>
      </c>
      <c r="J55" s="181" t="s">
        <v>231</v>
      </c>
      <c r="K55" s="177"/>
      <c r="L55" s="177"/>
      <c r="M55" s="177"/>
      <c r="N55" s="177">
        <v>150000</v>
      </c>
      <c r="O55" s="177"/>
      <c r="P55" s="177"/>
      <c r="Q55" s="177"/>
      <c r="R55" s="177">
        <v>101250</v>
      </c>
      <c r="S55" s="177"/>
      <c r="T55" s="182">
        <v>251250</v>
      </c>
    </row>
    <row r="56" spans="1:20">
      <c r="A56" s="142" t="s">
        <v>185</v>
      </c>
      <c r="B56" s="2" t="s">
        <v>274</v>
      </c>
      <c r="C56" s="2" t="s">
        <v>1526</v>
      </c>
      <c r="D56" s="2" t="s">
        <v>1540</v>
      </c>
      <c r="E56" s="2" t="s">
        <v>1540</v>
      </c>
      <c r="F56" s="174">
        <v>600000</v>
      </c>
      <c r="J56" s="181" t="s">
        <v>233</v>
      </c>
      <c r="K56" s="177"/>
      <c r="L56" s="177"/>
      <c r="M56" s="177"/>
      <c r="N56" s="177"/>
      <c r="O56" s="177"/>
      <c r="P56" s="177">
        <v>50000</v>
      </c>
      <c r="Q56" s="177"/>
      <c r="R56" s="177"/>
      <c r="S56" s="177"/>
      <c r="T56" s="182">
        <v>50000</v>
      </c>
    </row>
    <row r="57" spans="1:20">
      <c r="A57" s="142" t="s">
        <v>185</v>
      </c>
      <c r="B57" s="2" t="s">
        <v>277</v>
      </c>
      <c r="C57" s="2" t="s">
        <v>1526</v>
      </c>
      <c r="D57" s="2" t="s">
        <v>1540</v>
      </c>
      <c r="E57" s="2" t="s">
        <v>1540</v>
      </c>
      <c r="F57" s="174">
        <v>250000</v>
      </c>
      <c r="J57" s="181" t="s">
        <v>235</v>
      </c>
      <c r="K57" s="177"/>
      <c r="L57" s="177">
        <v>200000</v>
      </c>
      <c r="M57" s="177"/>
      <c r="N57" s="177"/>
      <c r="O57" s="177"/>
      <c r="P57" s="177">
        <v>200000</v>
      </c>
      <c r="Q57" s="177"/>
      <c r="R57" s="177"/>
      <c r="S57" s="177"/>
      <c r="T57" s="182">
        <v>400000</v>
      </c>
    </row>
    <row r="58" spans="1:20">
      <c r="A58" s="142" t="s">
        <v>185</v>
      </c>
      <c r="B58" s="2" t="s">
        <v>1549</v>
      </c>
      <c r="C58" s="2" t="s">
        <v>1526</v>
      </c>
      <c r="D58" s="2" t="s">
        <v>1540</v>
      </c>
      <c r="E58" s="2" t="s">
        <v>1540</v>
      </c>
      <c r="F58" s="174">
        <v>150000</v>
      </c>
      <c r="J58" s="181" t="s">
        <v>238</v>
      </c>
      <c r="K58" s="177"/>
      <c r="L58" s="177">
        <v>50000</v>
      </c>
      <c r="M58" s="177">
        <v>5000</v>
      </c>
      <c r="N58" s="177"/>
      <c r="O58" s="177"/>
      <c r="P58" s="177"/>
      <c r="Q58" s="177"/>
      <c r="R58" s="177"/>
      <c r="S58" s="177"/>
      <c r="T58" s="182">
        <v>55000</v>
      </c>
    </row>
    <row r="59" spans="1:20">
      <c r="A59" s="142" t="s">
        <v>185</v>
      </c>
      <c r="B59" s="2" t="s">
        <v>285</v>
      </c>
      <c r="C59" s="2" t="s">
        <v>1528</v>
      </c>
      <c r="D59" s="2" t="s">
        <v>1539</v>
      </c>
      <c r="E59" s="2" t="s">
        <v>1539</v>
      </c>
      <c r="F59" s="174">
        <v>100000</v>
      </c>
      <c r="J59" s="181" t="s">
        <v>239</v>
      </c>
      <c r="K59" s="177"/>
      <c r="L59" s="177">
        <v>100000</v>
      </c>
      <c r="M59" s="177"/>
      <c r="N59" s="177"/>
      <c r="O59" s="177"/>
      <c r="P59" s="177">
        <v>100000</v>
      </c>
      <c r="Q59" s="177"/>
      <c r="R59" s="177"/>
      <c r="S59" s="177"/>
      <c r="T59" s="182">
        <v>200000</v>
      </c>
    </row>
    <row r="60" spans="1:20">
      <c r="A60" s="142" t="s">
        <v>185</v>
      </c>
      <c r="B60" s="2" t="s">
        <v>294</v>
      </c>
      <c r="C60" s="2" t="s">
        <v>1526</v>
      </c>
      <c r="D60" s="2" t="s">
        <v>1540</v>
      </c>
      <c r="E60" s="2" t="s">
        <v>1540</v>
      </c>
      <c r="F60" s="174">
        <v>500000</v>
      </c>
      <c r="J60" s="181" t="s">
        <v>242</v>
      </c>
      <c r="K60" s="177"/>
      <c r="L60" s="177"/>
      <c r="M60" s="177"/>
      <c r="N60" s="177"/>
      <c r="O60" s="177"/>
      <c r="P60" s="177"/>
      <c r="Q60" s="177"/>
      <c r="R60" s="177">
        <v>180000</v>
      </c>
      <c r="S60" s="177">
        <v>200000</v>
      </c>
      <c r="T60" s="182">
        <v>380000</v>
      </c>
    </row>
    <row r="61" spans="1:20">
      <c r="A61" s="142" t="s">
        <v>185</v>
      </c>
      <c r="B61" s="2" t="s">
        <v>298</v>
      </c>
      <c r="C61" s="2" t="s">
        <v>1526</v>
      </c>
      <c r="D61" s="2" t="s">
        <v>1540</v>
      </c>
      <c r="E61" s="2" t="s">
        <v>1540</v>
      </c>
      <c r="F61" s="174">
        <v>400000</v>
      </c>
      <c r="J61" s="181" t="s">
        <v>243</v>
      </c>
      <c r="K61" s="177"/>
      <c r="L61" s="177">
        <v>300000</v>
      </c>
      <c r="M61" s="177"/>
      <c r="N61" s="177"/>
      <c r="O61" s="177"/>
      <c r="P61" s="177">
        <v>150000</v>
      </c>
      <c r="Q61" s="177"/>
      <c r="R61" s="177"/>
      <c r="S61" s="177"/>
      <c r="T61" s="182">
        <v>450000</v>
      </c>
    </row>
    <row r="62" spans="1:20">
      <c r="A62" s="142" t="s">
        <v>1550</v>
      </c>
      <c r="B62" s="2" t="s">
        <v>1546</v>
      </c>
      <c r="C62" s="2" t="s">
        <v>1533</v>
      </c>
      <c r="D62" s="2" t="s">
        <v>1538</v>
      </c>
      <c r="E62" s="2" t="s">
        <v>1538</v>
      </c>
      <c r="F62" s="174">
        <v>100000</v>
      </c>
      <c r="J62" s="181" t="s">
        <v>244</v>
      </c>
      <c r="K62" s="177"/>
      <c r="L62" s="177">
        <v>30000</v>
      </c>
      <c r="M62" s="177"/>
      <c r="N62" s="177"/>
      <c r="O62" s="177"/>
      <c r="P62" s="177"/>
      <c r="Q62" s="177"/>
      <c r="R62" s="177">
        <v>2000</v>
      </c>
      <c r="S62" s="177"/>
      <c r="T62" s="182">
        <v>32000</v>
      </c>
    </row>
    <row r="63" spans="1:20">
      <c r="A63" s="142" t="s">
        <v>1550</v>
      </c>
      <c r="B63" s="2" t="s">
        <v>1551</v>
      </c>
      <c r="C63" s="2" t="s">
        <v>1525</v>
      </c>
      <c r="D63" s="2" t="s">
        <v>1538</v>
      </c>
      <c r="E63" s="2" t="s">
        <v>1538</v>
      </c>
      <c r="F63" s="174">
        <v>15000</v>
      </c>
      <c r="J63" s="181" t="s">
        <v>246</v>
      </c>
      <c r="K63" s="177"/>
      <c r="L63" s="177">
        <v>200000</v>
      </c>
      <c r="M63" s="177"/>
      <c r="N63" s="177"/>
      <c r="O63" s="177"/>
      <c r="P63" s="177">
        <v>100000</v>
      </c>
      <c r="Q63" s="177"/>
      <c r="R63" s="177"/>
      <c r="S63" s="177"/>
      <c r="T63" s="182">
        <v>300000</v>
      </c>
    </row>
    <row r="64" spans="1:20">
      <c r="A64" s="142" t="s">
        <v>216</v>
      </c>
      <c r="B64" s="2" t="s">
        <v>160</v>
      </c>
      <c r="C64" s="2" t="s">
        <v>1530</v>
      </c>
      <c r="D64" s="2" t="s">
        <v>1535</v>
      </c>
      <c r="E64" s="2" t="s">
        <v>1536</v>
      </c>
      <c r="F64" s="174">
        <v>500000</v>
      </c>
      <c r="J64" s="181" t="s">
        <v>247</v>
      </c>
      <c r="K64" s="177"/>
      <c r="L64" s="177">
        <v>300000</v>
      </c>
      <c r="M64" s="177"/>
      <c r="N64" s="177"/>
      <c r="O64" s="177">
        <v>200000</v>
      </c>
      <c r="P64" s="177">
        <v>1500000</v>
      </c>
      <c r="Q64" s="177"/>
      <c r="R64" s="177"/>
      <c r="S64" s="177"/>
      <c r="T64" s="182">
        <v>2000000</v>
      </c>
    </row>
    <row r="65" spans="1:20">
      <c r="A65" s="142" t="s">
        <v>216</v>
      </c>
      <c r="B65" s="2" t="s">
        <v>161</v>
      </c>
      <c r="C65" s="2" t="s">
        <v>1530</v>
      </c>
      <c r="D65" s="2" t="s">
        <v>1535</v>
      </c>
      <c r="E65" s="2" t="s">
        <v>1536</v>
      </c>
      <c r="F65" s="174">
        <v>50000</v>
      </c>
      <c r="J65" s="181" t="s">
        <v>248</v>
      </c>
      <c r="K65" s="177"/>
      <c r="L65" s="177"/>
      <c r="M65" s="177"/>
      <c r="N65" s="177">
        <v>100000</v>
      </c>
      <c r="O65" s="177"/>
      <c r="P65" s="177">
        <v>30000</v>
      </c>
      <c r="Q65" s="177"/>
      <c r="R65" s="177"/>
      <c r="S65" s="177"/>
      <c r="T65" s="182">
        <v>130000</v>
      </c>
    </row>
    <row r="66" spans="1:20">
      <c r="A66" s="142" t="s">
        <v>216</v>
      </c>
      <c r="B66" s="2" t="s">
        <v>1541</v>
      </c>
      <c r="C66" s="2" t="s">
        <v>1530</v>
      </c>
      <c r="D66" s="2" t="s">
        <v>1535</v>
      </c>
      <c r="E66" s="2" t="s">
        <v>1536</v>
      </c>
      <c r="F66" s="174">
        <v>40000</v>
      </c>
      <c r="J66" s="181" t="s">
        <v>249</v>
      </c>
      <c r="K66" s="177"/>
      <c r="L66" s="177"/>
      <c r="M66" s="177"/>
      <c r="N66" s="177"/>
      <c r="O66" s="177"/>
      <c r="P66" s="177">
        <v>10000</v>
      </c>
      <c r="Q66" s="177"/>
      <c r="R66" s="177"/>
      <c r="S66" s="177"/>
      <c r="T66" s="182">
        <v>10000</v>
      </c>
    </row>
    <row r="67" spans="1:20">
      <c r="A67" s="142" t="s">
        <v>216</v>
      </c>
      <c r="B67" s="2" t="s">
        <v>1542</v>
      </c>
      <c r="C67" s="2" t="s">
        <v>1530</v>
      </c>
      <c r="D67" s="2" t="s">
        <v>1535</v>
      </c>
      <c r="E67" s="2" t="s">
        <v>1536</v>
      </c>
      <c r="F67" s="174">
        <v>20000</v>
      </c>
      <c r="J67" s="181" t="s">
        <v>250</v>
      </c>
      <c r="K67" s="177"/>
      <c r="L67" s="177">
        <v>800000</v>
      </c>
      <c r="M67" s="177"/>
      <c r="N67" s="177"/>
      <c r="O67" s="177"/>
      <c r="P67" s="177">
        <v>1100000</v>
      </c>
      <c r="Q67" s="177"/>
      <c r="R67" s="177"/>
      <c r="S67" s="177"/>
      <c r="T67" s="182">
        <v>1900000</v>
      </c>
    </row>
    <row r="68" spans="1:20">
      <c r="A68" s="142" t="s">
        <v>216</v>
      </c>
      <c r="B68" s="2" t="s">
        <v>1543</v>
      </c>
      <c r="C68" s="2" t="s">
        <v>1530</v>
      </c>
      <c r="D68" s="2" t="s">
        <v>1535</v>
      </c>
      <c r="E68" s="2" t="s">
        <v>1536</v>
      </c>
      <c r="F68" s="174">
        <v>100000</v>
      </c>
      <c r="J68" s="181" t="s">
        <v>251</v>
      </c>
      <c r="K68" s="177"/>
      <c r="L68" s="177"/>
      <c r="M68" s="177"/>
      <c r="N68" s="177"/>
      <c r="O68" s="177"/>
      <c r="P68" s="177">
        <v>200000</v>
      </c>
      <c r="Q68" s="177"/>
      <c r="R68" s="177"/>
      <c r="S68" s="177"/>
      <c r="T68" s="182">
        <v>200000</v>
      </c>
    </row>
    <row r="69" spans="1:20">
      <c r="A69" s="142" t="s">
        <v>216</v>
      </c>
      <c r="B69" s="2" t="s">
        <v>167</v>
      </c>
      <c r="C69" s="2" t="s">
        <v>1530</v>
      </c>
      <c r="D69" s="2" t="s">
        <v>1535</v>
      </c>
      <c r="E69" s="2" t="s">
        <v>1536</v>
      </c>
      <c r="F69" s="174">
        <v>2100000</v>
      </c>
      <c r="J69" s="181" t="s">
        <v>252</v>
      </c>
      <c r="K69" s="177"/>
      <c r="L69" s="177">
        <v>400000</v>
      </c>
      <c r="M69" s="177"/>
      <c r="N69" s="177"/>
      <c r="O69" s="177"/>
      <c r="P69" s="177">
        <v>25000</v>
      </c>
      <c r="Q69" s="177"/>
      <c r="R69" s="177"/>
      <c r="S69" s="177"/>
      <c r="T69" s="182">
        <v>425000</v>
      </c>
    </row>
    <row r="70" spans="1:20">
      <c r="A70" s="142" t="s">
        <v>216</v>
      </c>
      <c r="B70" s="2" t="s">
        <v>556</v>
      </c>
      <c r="C70" s="2" t="s">
        <v>1530</v>
      </c>
      <c r="D70" s="2" t="s">
        <v>1535</v>
      </c>
      <c r="E70" s="2" t="s">
        <v>1536</v>
      </c>
      <c r="F70" s="174">
        <v>100000</v>
      </c>
      <c r="J70" s="181" t="s">
        <v>253</v>
      </c>
      <c r="K70" s="177"/>
      <c r="L70" s="177"/>
      <c r="M70" s="177"/>
      <c r="N70" s="177"/>
      <c r="O70" s="177"/>
      <c r="P70" s="177">
        <v>1500000</v>
      </c>
      <c r="Q70" s="177"/>
      <c r="R70" s="177"/>
      <c r="S70" s="177"/>
      <c r="T70" s="182">
        <v>1500000</v>
      </c>
    </row>
    <row r="71" spans="1:20">
      <c r="A71" s="142" t="s">
        <v>216</v>
      </c>
      <c r="B71" s="2" t="s">
        <v>169</v>
      </c>
      <c r="C71" s="2" t="s">
        <v>1529</v>
      </c>
      <c r="D71" s="2" t="s">
        <v>1552</v>
      </c>
      <c r="E71" s="2" t="s">
        <v>1552</v>
      </c>
      <c r="F71" s="174">
        <v>25000</v>
      </c>
      <c r="J71" s="181" t="s">
        <v>254</v>
      </c>
      <c r="K71" s="177"/>
      <c r="L71" s="177"/>
      <c r="M71" s="177">
        <v>8000</v>
      </c>
      <c r="N71" s="177"/>
      <c r="O71" s="177"/>
      <c r="P71" s="177"/>
      <c r="Q71" s="177"/>
      <c r="R71" s="177">
        <v>40000</v>
      </c>
      <c r="S71" s="177"/>
      <c r="T71" s="182">
        <v>48000</v>
      </c>
    </row>
    <row r="72" spans="1:20">
      <c r="A72" s="142" t="s">
        <v>216</v>
      </c>
      <c r="B72" s="2" t="s">
        <v>171</v>
      </c>
      <c r="C72" s="2" t="s">
        <v>1530</v>
      </c>
      <c r="D72" s="2" t="s">
        <v>1535</v>
      </c>
      <c r="E72" s="2" t="s">
        <v>1536</v>
      </c>
      <c r="F72" s="174">
        <v>550000</v>
      </c>
      <c r="J72" s="181" t="s">
        <v>1553</v>
      </c>
      <c r="K72" s="177"/>
      <c r="L72" s="177"/>
      <c r="M72" s="177"/>
      <c r="N72" s="177"/>
      <c r="O72" s="177"/>
      <c r="P72" s="177">
        <v>100000</v>
      </c>
      <c r="Q72" s="177"/>
      <c r="R72" s="177"/>
      <c r="S72" s="177"/>
      <c r="T72" s="182">
        <v>100000</v>
      </c>
    </row>
    <row r="73" spans="1:20">
      <c r="A73" s="142" t="s">
        <v>216</v>
      </c>
      <c r="B73" s="2" t="s">
        <v>175</v>
      </c>
      <c r="C73" s="2" t="s">
        <v>1529</v>
      </c>
      <c r="D73" s="2" t="s">
        <v>1552</v>
      </c>
      <c r="E73" s="2" t="s">
        <v>1552</v>
      </c>
      <c r="F73" s="174">
        <v>30000</v>
      </c>
      <c r="J73" s="181" t="s">
        <v>255</v>
      </c>
      <c r="K73" s="177"/>
      <c r="L73" s="177">
        <v>1500000</v>
      </c>
      <c r="M73" s="177"/>
      <c r="N73" s="177"/>
      <c r="O73" s="177"/>
      <c r="P73" s="177"/>
      <c r="Q73" s="177"/>
      <c r="R73" s="177"/>
      <c r="S73" s="177"/>
      <c r="T73" s="182">
        <v>1500000</v>
      </c>
    </row>
    <row r="74" spans="1:20">
      <c r="A74" s="142" t="s">
        <v>216</v>
      </c>
      <c r="B74" s="2" t="s">
        <v>900</v>
      </c>
      <c r="C74" s="2" t="s">
        <v>1530</v>
      </c>
      <c r="D74" s="2" t="s">
        <v>1535</v>
      </c>
      <c r="E74" s="2" t="s">
        <v>1536</v>
      </c>
      <c r="F74" s="174">
        <v>50000</v>
      </c>
      <c r="J74" s="181" t="s">
        <v>1548</v>
      </c>
      <c r="K74" s="177"/>
      <c r="L74" s="177">
        <v>100000</v>
      </c>
      <c r="M74" s="177"/>
      <c r="N74" s="177"/>
      <c r="O74" s="177"/>
      <c r="P74" s="177"/>
      <c r="Q74" s="177">
        <v>5000</v>
      </c>
      <c r="R74" s="177">
        <v>22000</v>
      </c>
      <c r="S74" s="177"/>
      <c r="T74" s="182">
        <v>127000</v>
      </c>
    </row>
    <row r="75" spans="1:20">
      <c r="A75" s="142" t="s">
        <v>216</v>
      </c>
      <c r="B75" s="2" t="s">
        <v>195</v>
      </c>
      <c r="C75" s="2" t="s">
        <v>1530</v>
      </c>
      <c r="D75" s="2" t="s">
        <v>1535</v>
      </c>
      <c r="E75" s="2" t="s">
        <v>1536</v>
      </c>
      <c r="F75" s="174">
        <v>70000</v>
      </c>
      <c r="J75" s="181" t="s">
        <v>259</v>
      </c>
      <c r="K75" s="177"/>
      <c r="L75" s="177"/>
      <c r="M75" s="177"/>
      <c r="N75" s="177">
        <v>20000</v>
      </c>
      <c r="O75" s="177"/>
      <c r="P75" s="177"/>
      <c r="Q75" s="177"/>
      <c r="R75" s="177"/>
      <c r="S75" s="177"/>
      <c r="T75" s="182">
        <v>20000</v>
      </c>
    </row>
    <row r="76" spans="1:20">
      <c r="A76" s="142" t="s">
        <v>216</v>
      </c>
      <c r="B76" s="2" t="s">
        <v>196</v>
      </c>
      <c r="C76" s="2" t="s">
        <v>1530</v>
      </c>
      <c r="D76" s="2" t="s">
        <v>1535</v>
      </c>
      <c r="E76" s="2" t="s">
        <v>1536</v>
      </c>
      <c r="F76" s="174">
        <v>30000</v>
      </c>
      <c r="J76" s="181" t="s">
        <v>261</v>
      </c>
      <c r="K76" s="177"/>
      <c r="L76" s="177"/>
      <c r="M76" s="177"/>
      <c r="N76" s="177">
        <v>1000000</v>
      </c>
      <c r="O76" s="177"/>
      <c r="P76" s="177"/>
      <c r="Q76" s="177"/>
      <c r="R76" s="177"/>
      <c r="S76" s="177"/>
      <c r="T76" s="182">
        <v>1000000</v>
      </c>
    </row>
    <row r="77" spans="1:20">
      <c r="A77" s="142" t="s">
        <v>216</v>
      </c>
      <c r="B77" s="2" t="s">
        <v>901</v>
      </c>
      <c r="C77" s="2" t="s">
        <v>1530</v>
      </c>
      <c r="D77" s="2" t="s">
        <v>1535</v>
      </c>
      <c r="E77" s="2" t="s">
        <v>1536</v>
      </c>
      <c r="F77" s="174">
        <v>50000</v>
      </c>
      <c r="J77" s="181" t="s">
        <v>654</v>
      </c>
      <c r="K77" s="177">
        <v>8000</v>
      </c>
      <c r="L77" s="177"/>
      <c r="M77" s="177"/>
      <c r="N77" s="177"/>
      <c r="O77" s="177"/>
      <c r="P77" s="177"/>
      <c r="Q77" s="177"/>
      <c r="R77" s="177"/>
      <c r="S77" s="177"/>
      <c r="T77" s="182">
        <v>8000</v>
      </c>
    </row>
    <row r="78" spans="1:20">
      <c r="A78" s="142" t="s">
        <v>216</v>
      </c>
      <c r="B78" s="2" t="s">
        <v>202</v>
      </c>
      <c r="C78" s="2" t="s">
        <v>1530</v>
      </c>
      <c r="D78" s="2" t="s">
        <v>1535</v>
      </c>
      <c r="E78" s="2" t="s">
        <v>1536</v>
      </c>
      <c r="F78" s="174">
        <v>20000</v>
      </c>
      <c r="J78" s="181" t="s">
        <v>264</v>
      </c>
      <c r="K78" s="177"/>
      <c r="L78" s="177"/>
      <c r="M78" s="177"/>
      <c r="N78" s="177"/>
      <c r="O78" s="177"/>
      <c r="P78" s="177">
        <v>50000</v>
      </c>
      <c r="Q78" s="177"/>
      <c r="R78" s="177"/>
      <c r="S78" s="177"/>
      <c r="T78" s="182">
        <v>50000</v>
      </c>
    </row>
    <row r="79" spans="1:20">
      <c r="A79" s="142" t="s">
        <v>216</v>
      </c>
      <c r="B79" s="2" t="s">
        <v>208</v>
      </c>
      <c r="C79" s="2" t="s">
        <v>1530</v>
      </c>
      <c r="D79" s="2" t="s">
        <v>1535</v>
      </c>
      <c r="E79" s="2" t="s">
        <v>1536</v>
      </c>
      <c r="F79" s="174">
        <v>50000</v>
      </c>
      <c r="J79" s="181" t="s">
        <v>1500</v>
      </c>
      <c r="K79" s="177"/>
      <c r="L79" s="177"/>
      <c r="M79" s="177"/>
      <c r="N79" s="177"/>
      <c r="O79" s="177"/>
      <c r="P79" s="177">
        <v>25000</v>
      </c>
      <c r="Q79" s="177"/>
      <c r="R79" s="177"/>
      <c r="S79" s="177"/>
      <c r="T79" s="182">
        <v>25000</v>
      </c>
    </row>
    <row r="80" spans="1:20">
      <c r="A80" s="142" t="s">
        <v>216</v>
      </c>
      <c r="B80" s="2" t="s">
        <v>210</v>
      </c>
      <c r="C80" s="2" t="s">
        <v>1530</v>
      </c>
      <c r="D80" s="2" t="s">
        <v>1535</v>
      </c>
      <c r="E80" s="2" t="s">
        <v>1536</v>
      </c>
      <c r="F80" s="174">
        <v>200000</v>
      </c>
      <c r="J80" s="181" t="s">
        <v>1554</v>
      </c>
      <c r="K80" s="177"/>
      <c r="L80" s="177"/>
      <c r="M80" s="177"/>
      <c r="N80" s="177"/>
      <c r="O80" s="177"/>
      <c r="P80" s="177">
        <v>40000</v>
      </c>
      <c r="Q80" s="177"/>
      <c r="R80" s="177"/>
      <c r="S80" s="177"/>
      <c r="T80" s="182">
        <v>40000</v>
      </c>
    </row>
    <row r="81" spans="1:20">
      <c r="A81" s="142" t="s">
        <v>216</v>
      </c>
      <c r="B81" s="2" t="s">
        <v>213</v>
      </c>
      <c r="C81" s="2" t="s">
        <v>1530</v>
      </c>
      <c r="D81" s="2" t="s">
        <v>1535</v>
      </c>
      <c r="E81" s="2" t="s">
        <v>1536</v>
      </c>
      <c r="F81" s="174">
        <v>80000</v>
      </c>
      <c r="J81" s="181" t="s">
        <v>267</v>
      </c>
      <c r="K81" s="177"/>
      <c r="L81" s="177"/>
      <c r="M81" s="177"/>
      <c r="N81" s="177"/>
      <c r="O81" s="177"/>
      <c r="P81" s="177">
        <v>25000</v>
      </c>
      <c r="Q81" s="177"/>
      <c r="R81" s="177"/>
      <c r="S81" s="177"/>
      <c r="T81" s="182">
        <v>25000</v>
      </c>
    </row>
    <row r="82" spans="1:20">
      <c r="A82" s="142" t="s">
        <v>216</v>
      </c>
      <c r="B82" s="2" t="s">
        <v>219</v>
      </c>
      <c r="C82" s="2" t="s">
        <v>1530</v>
      </c>
      <c r="D82" s="2" t="s">
        <v>1535</v>
      </c>
      <c r="E82" s="2" t="s">
        <v>1536</v>
      </c>
      <c r="F82" s="174">
        <v>50000</v>
      </c>
      <c r="J82" s="181" t="s">
        <v>268</v>
      </c>
      <c r="K82" s="177"/>
      <c r="L82" s="177">
        <v>50000</v>
      </c>
      <c r="M82" s="177"/>
      <c r="N82" s="177"/>
      <c r="O82" s="177"/>
      <c r="P82" s="177">
        <v>50000</v>
      </c>
      <c r="Q82" s="177"/>
      <c r="R82" s="177"/>
      <c r="S82" s="177"/>
      <c r="T82" s="182">
        <v>100000</v>
      </c>
    </row>
    <row r="83" spans="1:20">
      <c r="A83" s="142" t="s">
        <v>216</v>
      </c>
      <c r="B83" s="2" t="s">
        <v>222</v>
      </c>
      <c r="C83" s="2" t="s">
        <v>1530</v>
      </c>
      <c r="D83" s="2" t="s">
        <v>1535</v>
      </c>
      <c r="E83" s="2" t="s">
        <v>1536</v>
      </c>
      <c r="F83" s="174">
        <v>100000</v>
      </c>
      <c r="J83" s="181" t="s">
        <v>269</v>
      </c>
      <c r="K83" s="177"/>
      <c r="L83" s="177">
        <v>200000</v>
      </c>
      <c r="M83" s="177"/>
      <c r="N83" s="177"/>
      <c r="O83" s="177"/>
      <c r="P83" s="177"/>
      <c r="Q83" s="177"/>
      <c r="R83" s="177"/>
      <c r="S83" s="177"/>
      <c r="T83" s="182">
        <v>200000</v>
      </c>
    </row>
    <row r="84" spans="1:20">
      <c r="A84" s="142" t="s">
        <v>216</v>
      </c>
      <c r="B84" s="2" t="s">
        <v>233</v>
      </c>
      <c r="C84" s="2" t="s">
        <v>1530</v>
      </c>
      <c r="D84" s="2" t="s">
        <v>1535</v>
      </c>
      <c r="E84" s="2" t="s">
        <v>1536</v>
      </c>
      <c r="F84" s="174">
        <v>50000</v>
      </c>
      <c r="J84" s="181" t="s">
        <v>1551</v>
      </c>
      <c r="K84" s="177">
        <v>15000</v>
      </c>
      <c r="L84" s="177"/>
      <c r="M84" s="177"/>
      <c r="N84" s="177"/>
      <c r="O84" s="177"/>
      <c r="P84" s="177"/>
      <c r="Q84" s="177"/>
      <c r="R84" s="177"/>
      <c r="S84" s="177"/>
      <c r="T84" s="182">
        <v>15000</v>
      </c>
    </row>
    <row r="85" spans="1:20">
      <c r="A85" s="142" t="s">
        <v>216</v>
      </c>
      <c r="B85" s="2" t="s">
        <v>235</v>
      </c>
      <c r="C85" s="2" t="s">
        <v>1530</v>
      </c>
      <c r="D85" s="2" t="s">
        <v>1535</v>
      </c>
      <c r="E85" s="2" t="s">
        <v>1536</v>
      </c>
      <c r="F85" s="174">
        <v>200000</v>
      </c>
      <c r="J85" s="181" t="s">
        <v>271</v>
      </c>
      <c r="K85" s="177"/>
      <c r="L85" s="177">
        <v>200000</v>
      </c>
      <c r="M85" s="177"/>
      <c r="N85" s="177"/>
      <c r="O85" s="177"/>
      <c r="P85" s="177"/>
      <c r="Q85" s="177"/>
      <c r="R85" s="177"/>
      <c r="S85" s="177"/>
      <c r="T85" s="182">
        <v>200000</v>
      </c>
    </row>
    <row r="86" spans="1:20">
      <c r="A86" s="142" t="s">
        <v>216</v>
      </c>
      <c r="B86" s="2" t="s">
        <v>239</v>
      </c>
      <c r="C86" s="2" t="s">
        <v>1530</v>
      </c>
      <c r="D86" s="2" t="s">
        <v>1535</v>
      </c>
      <c r="E86" s="2" t="s">
        <v>1536</v>
      </c>
      <c r="F86" s="174">
        <v>100000</v>
      </c>
      <c r="J86" s="181" t="s">
        <v>274</v>
      </c>
      <c r="K86" s="177"/>
      <c r="L86" s="177">
        <v>600000</v>
      </c>
      <c r="M86" s="177"/>
      <c r="N86" s="177"/>
      <c r="O86" s="177"/>
      <c r="P86" s="177">
        <v>500000</v>
      </c>
      <c r="Q86" s="177"/>
      <c r="R86" s="177"/>
      <c r="S86" s="177"/>
      <c r="T86" s="182">
        <v>1100000</v>
      </c>
    </row>
    <row r="87" spans="1:20">
      <c r="A87" s="142" t="s">
        <v>216</v>
      </c>
      <c r="B87" s="2" t="s">
        <v>243</v>
      </c>
      <c r="C87" s="2" t="s">
        <v>1530</v>
      </c>
      <c r="D87" s="2" t="s">
        <v>1535</v>
      </c>
      <c r="E87" s="2" t="s">
        <v>1536</v>
      </c>
      <c r="F87" s="174">
        <v>150000</v>
      </c>
      <c r="J87" s="181" t="s">
        <v>1555</v>
      </c>
      <c r="K87" s="177"/>
      <c r="L87" s="177"/>
      <c r="M87" s="177"/>
      <c r="N87" s="177"/>
      <c r="O87" s="177"/>
      <c r="P87" s="177">
        <v>20000</v>
      </c>
      <c r="Q87" s="177"/>
      <c r="R87" s="177"/>
      <c r="S87" s="177"/>
      <c r="T87" s="182">
        <v>20000</v>
      </c>
    </row>
    <row r="88" spans="1:20">
      <c r="A88" s="142" t="s">
        <v>216</v>
      </c>
      <c r="B88" s="2" t="s">
        <v>246</v>
      </c>
      <c r="C88" s="2" t="s">
        <v>1530</v>
      </c>
      <c r="D88" s="2" t="s">
        <v>1535</v>
      </c>
      <c r="E88" s="2" t="s">
        <v>1536</v>
      </c>
      <c r="F88" s="174">
        <v>100000</v>
      </c>
      <c r="J88" s="181" t="s">
        <v>277</v>
      </c>
      <c r="K88" s="177"/>
      <c r="L88" s="177">
        <v>250000</v>
      </c>
      <c r="M88" s="177"/>
      <c r="N88" s="177"/>
      <c r="O88" s="177"/>
      <c r="P88" s="177"/>
      <c r="Q88" s="177"/>
      <c r="R88" s="177"/>
      <c r="S88" s="177"/>
      <c r="T88" s="182">
        <v>250000</v>
      </c>
    </row>
    <row r="89" spans="1:20">
      <c r="A89" s="142" t="s">
        <v>216</v>
      </c>
      <c r="B89" s="2" t="s">
        <v>247</v>
      </c>
      <c r="C89" s="2" t="s">
        <v>1529</v>
      </c>
      <c r="D89" s="2" t="s">
        <v>1552</v>
      </c>
      <c r="E89" s="2" t="s">
        <v>1552</v>
      </c>
      <c r="F89" s="174">
        <v>200000</v>
      </c>
      <c r="J89" s="181" t="s">
        <v>278</v>
      </c>
      <c r="K89" s="177"/>
      <c r="L89" s="177"/>
      <c r="M89" s="177"/>
      <c r="N89" s="177"/>
      <c r="O89" s="177"/>
      <c r="P89" s="177">
        <v>50000</v>
      </c>
      <c r="Q89" s="177"/>
      <c r="R89" s="177"/>
      <c r="S89" s="177"/>
      <c r="T89" s="182">
        <v>50000</v>
      </c>
    </row>
    <row r="90" spans="1:20">
      <c r="A90" s="142" t="s">
        <v>216</v>
      </c>
      <c r="B90" s="2" t="s">
        <v>247</v>
      </c>
      <c r="C90" s="2" t="s">
        <v>1530</v>
      </c>
      <c r="D90" s="2" t="s">
        <v>1535</v>
      </c>
      <c r="E90" s="2" t="s">
        <v>1536</v>
      </c>
      <c r="F90" s="174">
        <v>1500000</v>
      </c>
      <c r="J90" s="181" t="s">
        <v>1549</v>
      </c>
      <c r="K90" s="177"/>
      <c r="L90" s="177">
        <v>150000</v>
      </c>
      <c r="M90" s="177"/>
      <c r="N90" s="177"/>
      <c r="O90" s="177"/>
      <c r="P90" s="177"/>
      <c r="Q90" s="177"/>
      <c r="R90" s="177">
        <v>5000</v>
      </c>
      <c r="S90" s="177"/>
      <c r="T90" s="182">
        <v>155000</v>
      </c>
    </row>
    <row r="91" spans="1:20">
      <c r="A91" s="142" t="s">
        <v>216</v>
      </c>
      <c r="B91" s="2" t="s">
        <v>248</v>
      </c>
      <c r="C91" s="2" t="s">
        <v>1530</v>
      </c>
      <c r="D91" s="2" t="s">
        <v>1535</v>
      </c>
      <c r="E91" s="2" t="s">
        <v>1536</v>
      </c>
      <c r="F91" s="174">
        <v>30000</v>
      </c>
      <c r="J91" s="181" t="s">
        <v>284</v>
      </c>
      <c r="K91" s="177"/>
      <c r="L91" s="177"/>
      <c r="M91" s="177"/>
      <c r="N91" s="177"/>
      <c r="O91" s="177"/>
      <c r="P91" s="177">
        <v>40000</v>
      </c>
      <c r="Q91" s="177"/>
      <c r="R91" s="177"/>
      <c r="S91" s="177"/>
      <c r="T91" s="182">
        <v>40000</v>
      </c>
    </row>
    <row r="92" spans="1:20">
      <c r="A92" s="142" t="s">
        <v>216</v>
      </c>
      <c r="B92" s="2" t="s">
        <v>249</v>
      </c>
      <c r="C92" s="2" t="s">
        <v>1530</v>
      </c>
      <c r="D92" s="2" t="s">
        <v>1535</v>
      </c>
      <c r="E92" s="2" t="s">
        <v>1536</v>
      </c>
      <c r="F92" s="174">
        <v>10000</v>
      </c>
      <c r="J92" s="181" t="s">
        <v>285</v>
      </c>
      <c r="K92" s="177"/>
      <c r="L92" s="177"/>
      <c r="M92" s="177"/>
      <c r="N92" s="177">
        <v>100000</v>
      </c>
      <c r="O92" s="177"/>
      <c r="P92" s="177"/>
      <c r="Q92" s="177"/>
      <c r="R92" s="177"/>
      <c r="S92" s="177"/>
      <c r="T92" s="182">
        <v>100000</v>
      </c>
    </row>
    <row r="93" spans="1:20">
      <c r="A93" s="142" t="s">
        <v>216</v>
      </c>
      <c r="B93" s="2" t="s">
        <v>250</v>
      </c>
      <c r="C93" s="2" t="s">
        <v>1530</v>
      </c>
      <c r="D93" s="2" t="s">
        <v>1535</v>
      </c>
      <c r="E93" s="2" t="s">
        <v>1536</v>
      </c>
      <c r="F93" s="174">
        <v>1100000</v>
      </c>
      <c r="J93" s="181" t="s">
        <v>289</v>
      </c>
      <c r="K93" s="177"/>
      <c r="L93" s="177"/>
      <c r="M93" s="177"/>
      <c r="N93" s="177"/>
      <c r="O93" s="177"/>
      <c r="P93" s="177">
        <v>100000</v>
      </c>
      <c r="Q93" s="177"/>
      <c r="R93" s="177"/>
      <c r="S93" s="177"/>
      <c r="T93" s="182">
        <v>100000</v>
      </c>
    </row>
    <row r="94" spans="1:20">
      <c r="A94" s="142" t="s">
        <v>216</v>
      </c>
      <c r="B94" s="2" t="s">
        <v>251</v>
      </c>
      <c r="C94" s="2" t="s">
        <v>1530</v>
      </c>
      <c r="D94" s="2" t="s">
        <v>1535</v>
      </c>
      <c r="E94" s="2" t="s">
        <v>1536</v>
      </c>
      <c r="F94" s="174">
        <v>200000</v>
      </c>
      <c r="J94" s="181" t="s">
        <v>294</v>
      </c>
      <c r="K94" s="177"/>
      <c r="L94" s="177">
        <v>500000</v>
      </c>
      <c r="M94" s="177"/>
      <c r="N94" s="177"/>
      <c r="O94" s="177"/>
      <c r="P94" s="177"/>
      <c r="Q94" s="177"/>
      <c r="R94" s="177"/>
      <c r="S94" s="177"/>
      <c r="T94" s="182">
        <v>500000</v>
      </c>
    </row>
    <row r="95" spans="1:20" ht="16" thickBot="1">
      <c r="A95" s="142" t="s">
        <v>216</v>
      </c>
      <c r="B95" s="2" t="s">
        <v>252</v>
      </c>
      <c r="C95" s="2" t="s">
        <v>1530</v>
      </c>
      <c r="D95" s="2" t="s">
        <v>1535</v>
      </c>
      <c r="E95" s="2" t="s">
        <v>1536</v>
      </c>
      <c r="F95" s="174">
        <v>25000</v>
      </c>
      <c r="J95" s="187" t="s">
        <v>298</v>
      </c>
      <c r="K95" s="188"/>
      <c r="L95" s="188">
        <v>400000</v>
      </c>
      <c r="M95" s="188"/>
      <c r="N95" s="188"/>
      <c r="O95" s="188"/>
      <c r="P95" s="188">
        <v>35000</v>
      </c>
      <c r="Q95" s="188"/>
      <c r="R95" s="188"/>
      <c r="S95" s="188"/>
      <c r="T95" s="189">
        <v>435000</v>
      </c>
    </row>
    <row r="96" spans="1:20" ht="16" thickBot="1">
      <c r="A96" s="142" t="s">
        <v>216</v>
      </c>
      <c r="B96" s="2" t="s">
        <v>253</v>
      </c>
      <c r="C96" s="2" t="s">
        <v>1530</v>
      </c>
      <c r="D96" s="2" t="s">
        <v>1535</v>
      </c>
      <c r="E96" s="2" t="s">
        <v>1536</v>
      </c>
      <c r="F96" s="174">
        <v>100000</v>
      </c>
      <c r="J96" s="190" t="s">
        <v>299</v>
      </c>
      <c r="K96" s="191">
        <v>23000</v>
      </c>
      <c r="L96" s="191">
        <v>13492000</v>
      </c>
      <c r="M96" s="191">
        <v>18000</v>
      </c>
      <c r="N96" s="191">
        <v>1990000</v>
      </c>
      <c r="O96" s="191">
        <v>255000</v>
      </c>
      <c r="P96" s="191">
        <v>10427000</v>
      </c>
      <c r="Q96" s="191">
        <v>15000</v>
      </c>
      <c r="R96" s="191">
        <v>375250</v>
      </c>
      <c r="S96" s="191">
        <v>300000</v>
      </c>
      <c r="T96" s="192">
        <v>26895250</v>
      </c>
    </row>
    <row r="97" spans="1:6">
      <c r="A97" s="142" t="s">
        <v>216</v>
      </c>
      <c r="B97" s="2" t="s">
        <v>1553</v>
      </c>
      <c r="C97" s="2" t="s">
        <v>1530</v>
      </c>
      <c r="D97" s="2" t="s">
        <v>1535</v>
      </c>
      <c r="E97" s="2" t="s">
        <v>1536</v>
      </c>
      <c r="F97" s="174">
        <v>100000</v>
      </c>
    </row>
    <row r="98" spans="1:6">
      <c r="A98" s="142" t="s">
        <v>216</v>
      </c>
      <c r="B98" s="2" t="s">
        <v>264</v>
      </c>
      <c r="C98" s="2" t="s">
        <v>1530</v>
      </c>
      <c r="D98" s="2" t="s">
        <v>1535</v>
      </c>
      <c r="E98" s="2" t="s">
        <v>1536</v>
      </c>
      <c r="F98" s="174">
        <v>50000</v>
      </c>
    </row>
    <row r="99" spans="1:6">
      <c r="A99" s="142" t="s">
        <v>216</v>
      </c>
      <c r="B99" s="2" t="s">
        <v>1500</v>
      </c>
      <c r="C99" s="2" t="s">
        <v>1530</v>
      </c>
      <c r="D99" s="2" t="s">
        <v>1535</v>
      </c>
      <c r="E99" s="2" t="s">
        <v>1536</v>
      </c>
      <c r="F99" s="174">
        <v>25000</v>
      </c>
    </row>
    <row r="100" spans="1:6">
      <c r="A100" s="142" t="s">
        <v>216</v>
      </c>
      <c r="B100" s="2" t="s">
        <v>1554</v>
      </c>
      <c r="C100" s="2" t="s">
        <v>1530</v>
      </c>
      <c r="D100" s="2" t="s">
        <v>1535</v>
      </c>
      <c r="E100" s="2" t="s">
        <v>1536</v>
      </c>
      <c r="F100" s="174">
        <v>40000</v>
      </c>
    </row>
    <row r="101" spans="1:6">
      <c r="A101" s="142" t="s">
        <v>216</v>
      </c>
      <c r="B101" s="2" t="s">
        <v>267</v>
      </c>
      <c r="C101" s="2" t="s">
        <v>1530</v>
      </c>
      <c r="D101" s="2" t="s">
        <v>1535</v>
      </c>
      <c r="E101" s="2" t="s">
        <v>1536</v>
      </c>
      <c r="F101" s="174">
        <v>25000</v>
      </c>
    </row>
    <row r="102" spans="1:6">
      <c r="A102" s="142" t="s">
        <v>216</v>
      </c>
      <c r="B102" s="2" t="s">
        <v>268</v>
      </c>
      <c r="C102" s="2" t="s">
        <v>1530</v>
      </c>
      <c r="D102" s="2" t="s">
        <v>1535</v>
      </c>
      <c r="E102" s="2" t="s">
        <v>1536</v>
      </c>
      <c r="F102" s="174">
        <v>50000</v>
      </c>
    </row>
    <row r="103" spans="1:6">
      <c r="A103" s="142" t="s">
        <v>216</v>
      </c>
      <c r="B103" s="2" t="s">
        <v>274</v>
      </c>
      <c r="C103" s="2" t="s">
        <v>1530</v>
      </c>
      <c r="D103" s="2" t="s">
        <v>1535</v>
      </c>
      <c r="E103" s="2" t="s">
        <v>1536</v>
      </c>
      <c r="F103" s="174">
        <v>500000</v>
      </c>
    </row>
    <row r="104" spans="1:6">
      <c r="A104" s="142" t="s">
        <v>216</v>
      </c>
      <c r="B104" s="2" t="s">
        <v>1555</v>
      </c>
      <c r="C104" s="2" t="s">
        <v>1530</v>
      </c>
      <c r="D104" s="2" t="s">
        <v>1535</v>
      </c>
      <c r="E104" s="2" t="s">
        <v>1536</v>
      </c>
      <c r="F104" s="174">
        <v>20000</v>
      </c>
    </row>
    <row r="105" spans="1:6">
      <c r="A105" s="142" t="s">
        <v>216</v>
      </c>
      <c r="B105" s="2" t="s">
        <v>278</v>
      </c>
      <c r="C105" s="2" t="s">
        <v>1530</v>
      </c>
      <c r="D105" s="2" t="s">
        <v>1535</v>
      </c>
      <c r="E105" s="2" t="s">
        <v>1536</v>
      </c>
      <c r="F105" s="174">
        <v>50000</v>
      </c>
    </row>
    <row r="106" spans="1:6">
      <c r="A106" s="142" t="s">
        <v>216</v>
      </c>
      <c r="B106" s="2" t="s">
        <v>284</v>
      </c>
      <c r="C106" s="2" t="s">
        <v>1530</v>
      </c>
      <c r="D106" s="2" t="s">
        <v>1535</v>
      </c>
      <c r="E106" s="2" t="s">
        <v>1536</v>
      </c>
      <c r="F106" s="174">
        <v>40000</v>
      </c>
    </row>
    <row r="107" spans="1:6">
      <c r="A107" s="142" t="s">
        <v>216</v>
      </c>
      <c r="B107" s="2" t="s">
        <v>289</v>
      </c>
      <c r="C107" s="2" t="s">
        <v>1530</v>
      </c>
      <c r="D107" s="2" t="s">
        <v>1535</v>
      </c>
      <c r="E107" s="2" t="s">
        <v>1536</v>
      </c>
      <c r="F107" s="174">
        <v>100000</v>
      </c>
    </row>
    <row r="108" spans="1:6">
      <c r="A108" s="142" t="s">
        <v>216</v>
      </c>
      <c r="B108" s="2" t="s">
        <v>298</v>
      </c>
      <c r="C108" s="2" t="s">
        <v>1530</v>
      </c>
      <c r="D108" s="2" t="s">
        <v>1535</v>
      </c>
      <c r="E108" s="2" t="s">
        <v>1536</v>
      </c>
      <c r="F108" s="174">
        <v>35000</v>
      </c>
    </row>
    <row r="109" spans="1:6">
      <c r="A109" s="142" t="s">
        <v>1556</v>
      </c>
      <c r="B109" s="2" t="s">
        <v>73</v>
      </c>
      <c r="C109" s="2" t="s">
        <v>1527</v>
      </c>
      <c r="D109" s="2" t="s">
        <v>1557</v>
      </c>
      <c r="E109" s="2" t="s">
        <v>1557</v>
      </c>
      <c r="F109" s="174">
        <v>5000</v>
      </c>
    </row>
    <row r="110" spans="1:6">
      <c r="A110" s="142" t="s">
        <v>1556</v>
      </c>
      <c r="B110" s="2" t="s">
        <v>210</v>
      </c>
      <c r="C110" s="2" t="s">
        <v>1531</v>
      </c>
      <c r="D110" s="2" t="s">
        <v>1558</v>
      </c>
      <c r="E110" s="2" t="s">
        <v>1558</v>
      </c>
      <c r="F110" s="174">
        <v>5000</v>
      </c>
    </row>
    <row r="111" spans="1:6">
      <c r="A111" s="142" t="s">
        <v>1556</v>
      </c>
      <c r="B111" s="2" t="s">
        <v>215</v>
      </c>
      <c r="C111" s="2" t="s">
        <v>1531</v>
      </c>
      <c r="D111" s="2" t="s">
        <v>1558</v>
      </c>
      <c r="E111" s="2" t="s">
        <v>1558</v>
      </c>
      <c r="F111" s="174">
        <v>5000</v>
      </c>
    </row>
    <row r="112" spans="1:6">
      <c r="A112" s="142" t="s">
        <v>1556</v>
      </c>
      <c r="B112" s="2" t="s">
        <v>1548</v>
      </c>
      <c r="C112" s="2" t="s">
        <v>1531</v>
      </c>
      <c r="D112" s="2" t="s">
        <v>1558</v>
      </c>
      <c r="E112" s="2" t="s">
        <v>1558</v>
      </c>
      <c r="F112" s="174">
        <v>5000</v>
      </c>
    </row>
    <row r="113" spans="1:6">
      <c r="A113" s="142" t="s">
        <v>1556</v>
      </c>
      <c r="B113" s="2" t="s">
        <v>1549</v>
      </c>
      <c r="C113" s="2" t="s">
        <v>1532</v>
      </c>
      <c r="D113" s="2" t="s">
        <v>1559</v>
      </c>
      <c r="E113" s="2" t="s">
        <v>1559</v>
      </c>
      <c r="F113" s="174">
        <v>5000</v>
      </c>
    </row>
    <row r="114" spans="1:6">
      <c r="A114" s="142" t="s">
        <v>1560</v>
      </c>
      <c r="B114" s="2" t="s">
        <v>208</v>
      </c>
      <c r="C114" s="2" t="s">
        <v>1530</v>
      </c>
      <c r="D114" s="2" t="s">
        <v>1535</v>
      </c>
      <c r="E114" s="2" t="s">
        <v>1536</v>
      </c>
      <c r="F114" s="174">
        <v>165000</v>
      </c>
    </row>
    <row r="115" spans="1:6">
      <c r="A115" s="142" t="s">
        <v>1560</v>
      </c>
      <c r="B115" s="2" t="s">
        <v>230</v>
      </c>
      <c r="C115" s="2" t="s">
        <v>1530</v>
      </c>
      <c r="D115" s="2" t="s">
        <v>1535</v>
      </c>
      <c r="E115" s="2" t="s">
        <v>1536</v>
      </c>
      <c r="F115" s="174">
        <v>27000</v>
      </c>
    </row>
    <row r="116" spans="1:6">
      <c r="A116" s="142" t="s">
        <v>1560</v>
      </c>
      <c r="B116" s="2" t="s">
        <v>253</v>
      </c>
      <c r="C116" s="2" t="s">
        <v>1530</v>
      </c>
      <c r="D116" s="2" t="s">
        <v>1535</v>
      </c>
      <c r="E116" s="2" t="s">
        <v>1536</v>
      </c>
      <c r="F116" s="174">
        <v>1400000</v>
      </c>
    </row>
    <row r="117" spans="1:6">
      <c r="A117" s="142" t="s">
        <v>151</v>
      </c>
      <c r="B117" s="2" t="s">
        <v>242</v>
      </c>
      <c r="C117" s="2" t="s">
        <v>1533</v>
      </c>
      <c r="D117" s="2" t="s">
        <v>1538</v>
      </c>
      <c r="E117" s="2" t="s">
        <v>1538</v>
      </c>
      <c r="F117" s="174">
        <v>200000</v>
      </c>
    </row>
    <row r="118" spans="1:6">
      <c r="A118" s="142" t="s">
        <v>1561</v>
      </c>
      <c r="B118" s="2" t="s">
        <v>1545</v>
      </c>
      <c r="C118" s="2" t="s">
        <v>1532</v>
      </c>
      <c r="D118" s="2" t="s">
        <v>1559</v>
      </c>
      <c r="E118" s="2" t="s">
        <v>1559</v>
      </c>
      <c r="F118" s="174">
        <v>5000</v>
      </c>
    </row>
    <row r="119" spans="1:6">
      <c r="A119" s="142" t="s">
        <v>1561</v>
      </c>
      <c r="B119" s="2" t="s">
        <v>242</v>
      </c>
      <c r="C119" s="2" t="s">
        <v>1532</v>
      </c>
      <c r="D119" s="2" t="s">
        <v>1559</v>
      </c>
      <c r="E119" s="2" t="s">
        <v>1559</v>
      </c>
      <c r="F119" s="174">
        <v>180000</v>
      </c>
    </row>
    <row r="120" spans="1:6">
      <c r="A120" s="142" t="s">
        <v>1561</v>
      </c>
      <c r="B120" s="2" t="s">
        <v>1548</v>
      </c>
      <c r="C120" s="2" t="s">
        <v>1532</v>
      </c>
      <c r="D120" s="2" t="s">
        <v>1559</v>
      </c>
      <c r="E120" s="2" t="s">
        <v>1559</v>
      </c>
      <c r="F120" s="174">
        <v>2000</v>
      </c>
    </row>
    <row r="121" spans="1:6">
      <c r="A121" s="142" t="s">
        <v>153</v>
      </c>
      <c r="B121" s="2" t="s">
        <v>1545</v>
      </c>
      <c r="C121" s="2" t="s">
        <v>1532</v>
      </c>
      <c r="D121" s="2" t="s">
        <v>1559</v>
      </c>
      <c r="E121" s="2" t="s">
        <v>1559</v>
      </c>
      <c r="F121" s="174">
        <v>10000</v>
      </c>
    </row>
    <row r="122" spans="1:6">
      <c r="A122" s="142" t="s">
        <v>153</v>
      </c>
      <c r="B122" s="2" t="s">
        <v>244</v>
      </c>
      <c r="C122" s="2" t="s">
        <v>1532</v>
      </c>
      <c r="D122" s="2" t="s">
        <v>1559</v>
      </c>
      <c r="E122" s="2" t="s">
        <v>1559</v>
      </c>
      <c r="F122" s="174">
        <v>2000</v>
      </c>
    </row>
    <row r="123" spans="1:6">
      <c r="A123" s="142" t="s">
        <v>153</v>
      </c>
      <c r="B123" s="2" t="s">
        <v>254</v>
      </c>
      <c r="C123" s="2" t="s">
        <v>1527</v>
      </c>
      <c r="D123" s="2" t="s">
        <v>1557</v>
      </c>
      <c r="E123" s="2" t="s">
        <v>1557</v>
      </c>
      <c r="F123" s="174">
        <v>8000</v>
      </c>
    </row>
    <row r="124" spans="1:6">
      <c r="A124" s="142" t="s">
        <v>153</v>
      </c>
      <c r="B124" s="2" t="s">
        <v>254</v>
      </c>
      <c r="C124" s="2" t="s">
        <v>1532</v>
      </c>
      <c r="D124" s="2" t="s">
        <v>1559</v>
      </c>
      <c r="E124" s="2" t="s">
        <v>1559</v>
      </c>
      <c r="F124" s="174">
        <v>40000</v>
      </c>
    </row>
    <row r="125" spans="1:6">
      <c r="A125" s="142" t="s">
        <v>286</v>
      </c>
      <c r="B125" s="2" t="s">
        <v>1545</v>
      </c>
      <c r="C125" s="2" t="s">
        <v>1528</v>
      </c>
      <c r="D125" s="2" t="s">
        <v>1539</v>
      </c>
      <c r="E125" s="2" t="s">
        <v>1539</v>
      </c>
      <c r="F125" s="174">
        <v>40000</v>
      </c>
    </row>
    <row r="126" spans="1:6">
      <c r="A126" s="142" t="s">
        <v>286</v>
      </c>
      <c r="B126" s="2" t="s">
        <v>1547</v>
      </c>
      <c r="C126" s="2" t="s">
        <v>1528</v>
      </c>
      <c r="D126" s="2" t="s">
        <v>1539</v>
      </c>
      <c r="E126" s="2" t="s">
        <v>1539</v>
      </c>
      <c r="F126" s="174">
        <v>20000</v>
      </c>
    </row>
    <row r="127" spans="1:6">
      <c r="A127" s="142" t="s">
        <v>286</v>
      </c>
      <c r="B127" s="2" t="s">
        <v>1547</v>
      </c>
      <c r="C127" s="2" t="s">
        <v>1528</v>
      </c>
      <c r="D127" s="2" t="s">
        <v>1539</v>
      </c>
      <c r="E127" s="2" t="s">
        <v>1539</v>
      </c>
      <c r="F127" s="174">
        <v>40000</v>
      </c>
    </row>
    <row r="128" spans="1:6">
      <c r="A128" s="142" t="s">
        <v>286</v>
      </c>
      <c r="B128" s="2" t="s">
        <v>231</v>
      </c>
      <c r="C128" s="2" t="s">
        <v>1528</v>
      </c>
      <c r="D128" s="2" t="s">
        <v>1539</v>
      </c>
      <c r="E128" s="2" t="s">
        <v>1539</v>
      </c>
      <c r="F128" s="174">
        <v>150000</v>
      </c>
    </row>
    <row r="129" spans="1:6">
      <c r="A129" s="142" t="s">
        <v>1562</v>
      </c>
      <c r="B129" s="2" t="s">
        <v>161</v>
      </c>
      <c r="C129" s="2" t="s">
        <v>1532</v>
      </c>
      <c r="D129" s="2" t="s">
        <v>1559</v>
      </c>
      <c r="E129" s="2" t="s">
        <v>1559</v>
      </c>
      <c r="F129" s="174">
        <v>10000</v>
      </c>
    </row>
    <row r="130" spans="1:6">
      <c r="A130" s="142" t="s">
        <v>1562</v>
      </c>
      <c r="B130" s="2" t="s">
        <v>198</v>
      </c>
      <c r="C130" s="2" t="s">
        <v>1526</v>
      </c>
      <c r="D130" s="2" t="s">
        <v>1540</v>
      </c>
      <c r="E130" s="2" t="s">
        <v>1540</v>
      </c>
      <c r="F130" s="174">
        <v>5000</v>
      </c>
    </row>
    <row r="131" spans="1:6">
      <c r="A131" s="142" t="s">
        <v>1562</v>
      </c>
      <c r="B131" s="2" t="s">
        <v>231</v>
      </c>
      <c r="C131" s="2" t="s">
        <v>1532</v>
      </c>
      <c r="D131" s="2" t="s">
        <v>1559</v>
      </c>
      <c r="E131" s="2" t="s">
        <v>1559</v>
      </c>
      <c r="F131" s="174">
        <v>101250</v>
      </c>
    </row>
    <row r="132" spans="1:6">
      <c r="A132" s="142" t="s">
        <v>1562</v>
      </c>
      <c r="B132" s="2" t="s">
        <v>238</v>
      </c>
      <c r="C132" s="2" t="s">
        <v>1527</v>
      </c>
      <c r="D132" s="2" t="s">
        <v>1557</v>
      </c>
      <c r="E132" s="2" t="s">
        <v>1557</v>
      </c>
      <c r="F132" s="174">
        <v>5000</v>
      </c>
    </row>
    <row r="133" spans="1:6">
      <c r="A133" s="142" t="s">
        <v>1562</v>
      </c>
      <c r="B133" s="2" t="s">
        <v>1548</v>
      </c>
      <c r="C133" s="2" t="s">
        <v>1532</v>
      </c>
      <c r="D133" s="2" t="s">
        <v>1559</v>
      </c>
      <c r="E133" s="2" t="s">
        <v>1559</v>
      </c>
      <c r="F133" s="174">
        <v>20000</v>
      </c>
    </row>
    <row r="134" spans="1:6" ht="16" thickBot="1">
      <c r="A134" s="144" t="s">
        <v>1562</v>
      </c>
      <c r="B134" s="17" t="s">
        <v>268</v>
      </c>
      <c r="C134" s="17" t="s">
        <v>1526</v>
      </c>
      <c r="D134" s="17" t="s">
        <v>1540</v>
      </c>
      <c r="E134" s="17" t="s">
        <v>1540</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9300B-FC3B-4A0B-8EC9-54EAEDFDB31D}">
  <dimension ref="A1:L42"/>
  <sheetViews>
    <sheetView workbookViewId="0">
      <selection activeCell="J2" sqref="J2:J39"/>
    </sheetView>
  </sheetViews>
  <sheetFormatPr defaultColWidth="9" defaultRowHeight="14.5"/>
  <cols>
    <col min="1" max="3" width="9" style="949"/>
    <col min="4" max="4" width="14.5" style="949" customWidth="1"/>
    <col min="5" max="5" width="9" style="949"/>
    <col min="6" max="6" width="12.25" style="949" customWidth="1"/>
    <col min="7" max="7" width="9.75" style="949" bestFit="1" customWidth="1"/>
    <col min="8" max="8" width="11.08203125" style="949" bestFit="1" customWidth="1"/>
    <col min="9" max="16384" width="9" style="949"/>
  </cols>
  <sheetData>
    <row r="1" spans="1:12">
      <c r="A1" s="951" t="s">
        <v>1563</v>
      </c>
      <c r="B1" s="953" t="s">
        <v>358</v>
      </c>
      <c r="C1" s="953" t="s">
        <v>122</v>
      </c>
      <c r="D1" s="953" t="s">
        <v>1438</v>
      </c>
      <c r="E1" s="953" t="s">
        <v>1564</v>
      </c>
      <c r="F1" s="953" t="s">
        <v>1565</v>
      </c>
      <c r="G1" s="953" t="s">
        <v>1566</v>
      </c>
      <c r="H1" s="953" t="s">
        <v>1567</v>
      </c>
      <c r="I1" s="951" t="s">
        <v>1568</v>
      </c>
      <c r="J1" s="949" t="s">
        <v>1569</v>
      </c>
    </row>
    <row r="2" spans="1:12">
      <c r="A2" s="949" t="s">
        <v>545</v>
      </c>
      <c r="B2" s="949" t="s">
        <v>143</v>
      </c>
      <c r="C2" s="949" t="s">
        <v>1457</v>
      </c>
      <c r="D2" s="949" t="s">
        <v>1456</v>
      </c>
      <c r="E2" s="949" t="s">
        <v>1570</v>
      </c>
      <c r="F2" s="949" t="s">
        <v>406</v>
      </c>
      <c r="G2" s="950">
        <v>-849470</v>
      </c>
      <c r="H2" s="950">
        <v>849470</v>
      </c>
      <c r="I2" s="949" t="str">
        <f>INDEX($L$2:$L$5,MATCH(F2,$K$2:$K$5,0))</f>
        <v>Disbursed</v>
      </c>
      <c r="J2" s="950">
        <f>IF(D2="AMC - UNICEF",H2,"")</f>
        <v>849470</v>
      </c>
      <c r="K2" s="949" t="s">
        <v>406</v>
      </c>
      <c r="L2" s="949" t="s">
        <v>1465</v>
      </c>
    </row>
    <row r="3" spans="1:12">
      <c r="A3" s="949" t="s">
        <v>563</v>
      </c>
      <c r="B3" s="949" t="s">
        <v>171</v>
      </c>
      <c r="C3" s="949" t="s">
        <v>1462</v>
      </c>
      <c r="D3" s="949" t="s">
        <v>1456</v>
      </c>
      <c r="E3" s="949" t="s">
        <v>1570</v>
      </c>
      <c r="F3" s="949" t="s">
        <v>406</v>
      </c>
      <c r="G3" s="950">
        <v>-230000</v>
      </c>
      <c r="H3" s="950">
        <v>230000</v>
      </c>
      <c r="I3" s="949" t="str">
        <f t="shared" ref="I3:I39" si="0">INDEX($L$2:$L$5,MATCH(F3,$K$2:$K$5,0))</f>
        <v>Disbursed</v>
      </c>
      <c r="J3" s="950">
        <f t="shared" ref="J3:J39" si="1">IF(D3="AMC - UNICEF",H3,"")</f>
        <v>230000</v>
      </c>
      <c r="K3" s="949" t="s">
        <v>1571</v>
      </c>
      <c r="L3" s="949" t="s">
        <v>1455</v>
      </c>
    </row>
    <row r="4" spans="1:12">
      <c r="A4" s="949" t="s">
        <v>564</v>
      </c>
      <c r="B4" s="949" t="s">
        <v>1469</v>
      </c>
      <c r="C4" s="949" t="s">
        <v>1470</v>
      </c>
      <c r="D4" s="949" t="s">
        <v>1456</v>
      </c>
      <c r="E4" s="949" t="s">
        <v>1570</v>
      </c>
      <c r="F4" s="949" t="s">
        <v>406</v>
      </c>
      <c r="G4" s="950">
        <v>-1280000.08</v>
      </c>
      <c r="H4" s="950">
        <v>1280000</v>
      </c>
      <c r="I4" s="949" t="str">
        <f t="shared" si="0"/>
        <v>Disbursed</v>
      </c>
      <c r="J4" s="950">
        <f t="shared" si="1"/>
        <v>1280000</v>
      </c>
      <c r="K4" s="949" t="s">
        <v>1572</v>
      </c>
      <c r="L4" s="949" t="s">
        <v>1455</v>
      </c>
    </row>
    <row r="5" spans="1:12">
      <c r="A5" s="949" t="s">
        <v>571</v>
      </c>
      <c r="B5" s="949" t="s">
        <v>179</v>
      </c>
      <c r="C5" s="949" t="s">
        <v>1457</v>
      </c>
      <c r="D5" s="949" t="s">
        <v>1456</v>
      </c>
      <c r="E5" s="949" t="s">
        <v>1570</v>
      </c>
      <c r="F5" s="949" t="s">
        <v>406</v>
      </c>
      <c r="G5" s="950">
        <v>-227642</v>
      </c>
      <c r="H5" s="950">
        <v>227642</v>
      </c>
      <c r="I5" s="949" t="str">
        <f t="shared" si="0"/>
        <v>Disbursed</v>
      </c>
      <c r="J5" s="950">
        <f t="shared" si="1"/>
        <v>227642</v>
      </c>
      <c r="K5" s="949" t="s">
        <v>951</v>
      </c>
      <c r="L5" s="949" t="s">
        <v>1573</v>
      </c>
    </row>
    <row r="6" spans="1:12">
      <c r="A6" s="949" t="s">
        <v>581</v>
      </c>
      <c r="B6" s="949" t="s">
        <v>1478</v>
      </c>
      <c r="C6" s="949" t="s">
        <v>1457</v>
      </c>
      <c r="D6" s="949" t="s">
        <v>1450</v>
      </c>
      <c r="E6" s="949" t="s">
        <v>1570</v>
      </c>
      <c r="F6" s="949" t="s">
        <v>1571</v>
      </c>
      <c r="G6" s="950">
        <v>-0.410981625318527</v>
      </c>
      <c r="H6" s="950">
        <v>180059147.89912811</v>
      </c>
      <c r="I6" s="949" t="str">
        <f t="shared" si="0"/>
        <v>Submitted</v>
      </c>
      <c r="J6" s="950" t="str">
        <f t="shared" si="1"/>
        <v/>
      </c>
    </row>
    <row r="7" spans="1:12">
      <c r="A7" s="949" t="s">
        <v>590</v>
      </c>
      <c r="B7" s="949" t="s">
        <v>195</v>
      </c>
      <c r="C7" s="949" t="s">
        <v>1470</v>
      </c>
      <c r="D7" s="949" t="s">
        <v>1456</v>
      </c>
      <c r="E7" s="949" t="s">
        <v>1570</v>
      </c>
      <c r="F7" s="949" t="s">
        <v>406</v>
      </c>
      <c r="G7" s="950">
        <v>-200000</v>
      </c>
      <c r="H7" s="950">
        <v>200000</v>
      </c>
      <c r="I7" s="949" t="str">
        <f t="shared" si="0"/>
        <v>Disbursed</v>
      </c>
      <c r="J7" s="950">
        <f t="shared" si="1"/>
        <v>200000</v>
      </c>
    </row>
    <row r="8" spans="1:12">
      <c r="A8" s="949" t="s">
        <v>593</v>
      </c>
      <c r="B8" s="949" t="s">
        <v>198</v>
      </c>
      <c r="C8" s="949" t="s">
        <v>1451</v>
      </c>
      <c r="D8" s="949" t="s">
        <v>1456</v>
      </c>
      <c r="E8" s="949" t="s">
        <v>1570</v>
      </c>
      <c r="F8" s="949" t="s">
        <v>406</v>
      </c>
      <c r="G8" s="950">
        <v>-3628370</v>
      </c>
      <c r="H8" s="950">
        <v>3628370</v>
      </c>
      <c r="I8" s="949" t="str">
        <f t="shared" si="0"/>
        <v>Disbursed</v>
      </c>
      <c r="J8" s="950">
        <f t="shared" si="1"/>
        <v>3628370</v>
      </c>
    </row>
    <row r="9" spans="1:12">
      <c r="A9" s="949" t="s">
        <v>594</v>
      </c>
      <c r="B9" s="949" t="s">
        <v>199</v>
      </c>
      <c r="C9" s="949" t="s">
        <v>1470</v>
      </c>
      <c r="D9" s="949" t="s">
        <v>1456</v>
      </c>
      <c r="E9" s="949" t="s">
        <v>1570</v>
      </c>
      <c r="F9" s="949" t="s">
        <v>406</v>
      </c>
      <c r="G9" s="950">
        <v>-1191606.1200000001</v>
      </c>
      <c r="H9" s="950">
        <v>1191606</v>
      </c>
      <c r="I9" s="949" t="str">
        <f t="shared" si="0"/>
        <v>Disbursed</v>
      </c>
      <c r="J9" s="950">
        <f t="shared" si="1"/>
        <v>1191606</v>
      </c>
    </row>
    <row r="10" spans="1:12">
      <c r="A10" s="949" t="s">
        <v>597</v>
      </c>
      <c r="B10" s="949" t="s">
        <v>202</v>
      </c>
      <c r="C10" s="949" t="s">
        <v>1457</v>
      </c>
      <c r="D10" s="949" t="s">
        <v>1456</v>
      </c>
      <c r="E10" s="949" t="s">
        <v>1570</v>
      </c>
      <c r="F10" s="949" t="s">
        <v>406</v>
      </c>
      <c r="G10" s="950">
        <v>-230000</v>
      </c>
      <c r="H10" s="950">
        <v>230000</v>
      </c>
      <c r="I10" s="949" t="str">
        <f t="shared" si="0"/>
        <v>Disbursed</v>
      </c>
      <c r="J10" s="950">
        <f t="shared" si="1"/>
        <v>230000</v>
      </c>
    </row>
    <row r="11" spans="1:12">
      <c r="A11" s="949" t="s">
        <v>599</v>
      </c>
      <c r="B11" s="949" t="s">
        <v>204</v>
      </c>
      <c r="C11" s="949" t="s">
        <v>1473</v>
      </c>
      <c r="D11" s="949" t="s">
        <v>1456</v>
      </c>
      <c r="E11" s="949" t="s">
        <v>1570</v>
      </c>
      <c r="F11" s="949" t="s">
        <v>406</v>
      </c>
      <c r="G11" s="950">
        <v>-230000</v>
      </c>
      <c r="H11" s="950">
        <v>230000</v>
      </c>
      <c r="I11" s="949" t="str">
        <f t="shared" si="0"/>
        <v>Disbursed</v>
      </c>
      <c r="J11" s="950">
        <f t="shared" si="1"/>
        <v>230000</v>
      </c>
    </row>
    <row r="12" spans="1:12">
      <c r="A12" s="949" t="s">
        <v>603</v>
      </c>
      <c r="B12" s="949" t="s">
        <v>208</v>
      </c>
      <c r="C12" s="949" t="s">
        <v>1457</v>
      </c>
      <c r="D12" s="949" t="s">
        <v>1450</v>
      </c>
      <c r="E12" s="949" t="s">
        <v>1570</v>
      </c>
      <c r="F12" s="949" t="s">
        <v>1571</v>
      </c>
      <c r="G12" s="950">
        <v>323832465.545048</v>
      </c>
      <c r="H12" s="950">
        <v>358944192.75383842</v>
      </c>
      <c r="I12" s="949" t="str">
        <f t="shared" si="0"/>
        <v>Submitted</v>
      </c>
      <c r="J12" s="950" t="str">
        <f t="shared" si="1"/>
        <v/>
      </c>
    </row>
    <row r="13" spans="1:12">
      <c r="A13" s="949" t="s">
        <v>604</v>
      </c>
      <c r="B13" s="949" t="s">
        <v>209</v>
      </c>
      <c r="C13" s="949" t="s">
        <v>1470</v>
      </c>
      <c r="D13" s="949" t="s">
        <v>1456</v>
      </c>
      <c r="E13" s="949" t="s">
        <v>1570</v>
      </c>
      <c r="F13" s="949" t="s">
        <v>406</v>
      </c>
      <c r="G13" s="950">
        <v>-200000</v>
      </c>
      <c r="H13" s="950">
        <v>200000</v>
      </c>
      <c r="I13" s="949" t="str">
        <f t="shared" si="0"/>
        <v>Disbursed</v>
      </c>
      <c r="J13" s="950">
        <f t="shared" si="1"/>
        <v>200000</v>
      </c>
    </row>
    <row r="14" spans="1:12">
      <c r="A14" s="949" t="s">
        <v>608</v>
      </c>
      <c r="B14" s="949" t="s">
        <v>213</v>
      </c>
      <c r="C14" s="949" t="s">
        <v>1470</v>
      </c>
      <c r="D14" s="949" t="s">
        <v>1456</v>
      </c>
      <c r="E14" s="949" t="s">
        <v>1570</v>
      </c>
      <c r="F14" s="949" t="s">
        <v>406</v>
      </c>
      <c r="G14" s="950">
        <v>-600000</v>
      </c>
      <c r="H14" s="950">
        <v>600000</v>
      </c>
      <c r="I14" s="949" t="str">
        <f t="shared" si="0"/>
        <v>Disbursed</v>
      </c>
      <c r="J14" s="950">
        <f t="shared" si="1"/>
        <v>600000</v>
      </c>
    </row>
    <row r="15" spans="1:12">
      <c r="A15" s="949" t="s">
        <v>610</v>
      </c>
      <c r="B15" s="949" t="s">
        <v>215</v>
      </c>
      <c r="C15" s="949" t="s">
        <v>1470</v>
      </c>
      <c r="D15" s="949" t="s">
        <v>1456</v>
      </c>
      <c r="E15" s="949" t="s">
        <v>1570</v>
      </c>
      <c r="F15" s="949" t="s">
        <v>406</v>
      </c>
      <c r="G15" s="950">
        <v>-1035144.75</v>
      </c>
      <c r="H15" s="950">
        <v>1035145</v>
      </c>
      <c r="I15" s="949" t="str">
        <f t="shared" si="0"/>
        <v>Disbursed</v>
      </c>
      <c r="J15" s="950">
        <f t="shared" si="1"/>
        <v>1035145</v>
      </c>
    </row>
    <row r="16" spans="1:12">
      <c r="A16" s="949" t="s">
        <v>618</v>
      </c>
      <c r="B16" s="949" t="s">
        <v>222</v>
      </c>
      <c r="C16" s="949" t="s">
        <v>1457</v>
      </c>
      <c r="D16" s="949" t="s">
        <v>1450</v>
      </c>
      <c r="E16" s="949" t="s">
        <v>1574</v>
      </c>
      <c r="F16" s="949" t="s">
        <v>406</v>
      </c>
      <c r="G16" s="950">
        <v>278510906.10908997</v>
      </c>
      <c r="H16" s="950">
        <v>421312010.50909048</v>
      </c>
      <c r="I16" s="949" t="str">
        <f t="shared" si="0"/>
        <v>Disbursed</v>
      </c>
      <c r="J16" s="950" t="str">
        <f t="shared" si="1"/>
        <v/>
      </c>
    </row>
    <row r="17" spans="1:10">
      <c r="A17" s="949" t="s">
        <v>621</v>
      </c>
      <c r="B17" s="949" t="s">
        <v>225</v>
      </c>
      <c r="C17" s="949" t="s">
        <v>1490</v>
      </c>
      <c r="D17" s="949" t="s">
        <v>1456</v>
      </c>
      <c r="E17" s="949" t="s">
        <v>1570</v>
      </c>
      <c r="F17" s="949" t="s">
        <v>406</v>
      </c>
      <c r="G17" s="950">
        <v>-230000</v>
      </c>
      <c r="H17" s="950">
        <v>230000</v>
      </c>
      <c r="I17" s="949" t="str">
        <f t="shared" si="0"/>
        <v>Disbursed</v>
      </c>
      <c r="J17" s="950">
        <f t="shared" si="1"/>
        <v>230000</v>
      </c>
    </row>
    <row r="18" spans="1:10">
      <c r="A18" s="949" t="s">
        <v>629</v>
      </c>
      <c r="B18" s="949" t="s">
        <v>233</v>
      </c>
      <c r="C18" s="949" t="s">
        <v>1457</v>
      </c>
      <c r="D18" s="949" t="s">
        <v>1450</v>
      </c>
      <c r="E18" s="949" t="s">
        <v>1574</v>
      </c>
      <c r="F18" s="949" t="s">
        <v>406</v>
      </c>
      <c r="G18" s="950">
        <v>-124.81171583360999</v>
      </c>
      <c r="H18" s="950">
        <v>1020193</v>
      </c>
      <c r="I18" s="949" t="str">
        <f t="shared" si="0"/>
        <v>Disbursed</v>
      </c>
      <c r="J18" s="950" t="str">
        <f t="shared" si="1"/>
        <v/>
      </c>
    </row>
    <row r="19" spans="1:10">
      <c r="A19" s="949" t="s">
        <v>631</v>
      </c>
      <c r="B19" s="949" t="s">
        <v>235</v>
      </c>
      <c r="C19" s="949" t="s">
        <v>1462</v>
      </c>
      <c r="D19" s="949" t="s">
        <v>1456</v>
      </c>
      <c r="E19" s="949" t="s">
        <v>1570</v>
      </c>
      <c r="F19" s="949" t="s">
        <v>406</v>
      </c>
      <c r="G19" s="950">
        <v>-230000</v>
      </c>
      <c r="H19" s="950">
        <v>230000</v>
      </c>
      <c r="I19" s="949" t="str">
        <f t="shared" si="0"/>
        <v>Disbursed</v>
      </c>
      <c r="J19" s="950">
        <f t="shared" si="1"/>
        <v>230000</v>
      </c>
    </row>
    <row r="20" spans="1:10">
      <c r="A20" s="949" t="s">
        <v>634</v>
      </c>
      <c r="B20" s="949" t="s">
        <v>238</v>
      </c>
      <c r="C20" s="949" t="s">
        <v>1457</v>
      </c>
      <c r="D20" s="949" t="s">
        <v>1450</v>
      </c>
      <c r="E20" s="949" t="s">
        <v>1570</v>
      </c>
      <c r="F20" s="949" t="s">
        <v>1571</v>
      </c>
      <c r="G20" s="950">
        <v>-20606529</v>
      </c>
      <c r="H20" s="950">
        <v>2787570.5945945992</v>
      </c>
      <c r="I20" s="949" t="str">
        <f t="shared" si="0"/>
        <v>Submitted</v>
      </c>
      <c r="J20" s="950" t="str">
        <f t="shared" si="1"/>
        <v/>
      </c>
    </row>
    <row r="21" spans="1:10">
      <c r="A21" s="949" t="s">
        <v>637</v>
      </c>
      <c r="B21" s="949" t="s">
        <v>1575</v>
      </c>
      <c r="C21" s="949" t="s">
        <v>1473</v>
      </c>
      <c r="D21" s="949" t="s">
        <v>1456</v>
      </c>
      <c r="E21" s="949" t="s">
        <v>1570</v>
      </c>
      <c r="F21" s="949" t="s">
        <v>406</v>
      </c>
      <c r="G21" s="950">
        <v>-230000</v>
      </c>
      <c r="H21" s="950">
        <v>230000</v>
      </c>
      <c r="I21" s="949" t="str">
        <f t="shared" si="0"/>
        <v>Disbursed</v>
      </c>
      <c r="J21" s="950">
        <f t="shared" si="1"/>
        <v>230000</v>
      </c>
    </row>
    <row r="22" spans="1:10">
      <c r="A22" s="949" t="s">
        <v>639</v>
      </c>
      <c r="B22" s="949" t="s">
        <v>243</v>
      </c>
      <c r="C22" s="949" t="s">
        <v>1473</v>
      </c>
      <c r="D22" s="949" t="s">
        <v>1456</v>
      </c>
      <c r="E22" s="949" t="s">
        <v>1570</v>
      </c>
      <c r="F22" s="949" t="s">
        <v>406</v>
      </c>
      <c r="G22" s="950">
        <v>-230000</v>
      </c>
      <c r="H22" s="950">
        <v>230000</v>
      </c>
      <c r="I22" s="949" t="str">
        <f t="shared" si="0"/>
        <v>Disbursed</v>
      </c>
      <c r="J22" s="950">
        <f t="shared" si="1"/>
        <v>230000</v>
      </c>
    </row>
    <row r="23" spans="1:10">
      <c r="A23" s="949" t="s">
        <v>641</v>
      </c>
      <c r="B23" s="949" t="s">
        <v>725</v>
      </c>
      <c r="C23" s="949" t="s">
        <v>1451</v>
      </c>
      <c r="D23" s="949" t="s">
        <v>1456</v>
      </c>
      <c r="E23" s="949" t="s">
        <v>1570</v>
      </c>
      <c r="F23" s="949" t="s">
        <v>406</v>
      </c>
      <c r="G23" s="950">
        <v>-100000</v>
      </c>
      <c r="H23" s="950">
        <v>100000</v>
      </c>
      <c r="I23" s="949" t="str">
        <f t="shared" si="0"/>
        <v>Disbursed</v>
      </c>
      <c r="J23" s="950">
        <f t="shared" si="1"/>
        <v>100000</v>
      </c>
    </row>
    <row r="24" spans="1:10">
      <c r="A24" s="949" t="s">
        <v>648</v>
      </c>
      <c r="B24" s="949" t="s">
        <v>252</v>
      </c>
      <c r="C24" s="949" t="s">
        <v>1457</v>
      </c>
      <c r="D24" s="949" t="s">
        <v>1450</v>
      </c>
      <c r="E24" s="949" t="s">
        <v>1574</v>
      </c>
      <c r="F24" s="949" t="s">
        <v>1572</v>
      </c>
      <c r="G24" s="950">
        <v>-6320369.0047345404</v>
      </c>
      <c r="H24" s="950">
        <v>0</v>
      </c>
      <c r="I24" s="949" t="str">
        <f t="shared" si="0"/>
        <v>Submitted</v>
      </c>
      <c r="J24" s="950" t="str">
        <f t="shared" si="1"/>
        <v/>
      </c>
    </row>
    <row r="25" spans="1:10">
      <c r="A25" s="949" t="s">
        <v>649</v>
      </c>
      <c r="B25" s="949" t="s">
        <v>253</v>
      </c>
      <c r="C25" s="949" t="s">
        <v>1457</v>
      </c>
      <c r="D25" s="949" t="s">
        <v>1450</v>
      </c>
      <c r="E25" s="949" t="s">
        <v>1574</v>
      </c>
      <c r="F25" s="949" t="s">
        <v>1571</v>
      </c>
      <c r="G25" s="950">
        <v>0</v>
      </c>
      <c r="H25" s="950">
        <v>53088415.635521121</v>
      </c>
      <c r="I25" s="949" t="str">
        <f t="shared" si="0"/>
        <v>Submitted</v>
      </c>
      <c r="J25" s="950" t="str">
        <f t="shared" si="1"/>
        <v/>
      </c>
    </row>
    <row r="26" spans="1:10">
      <c r="A26" s="949" t="s">
        <v>676</v>
      </c>
      <c r="B26" s="949" t="s">
        <v>1497</v>
      </c>
      <c r="C26" s="949" t="s">
        <v>1451</v>
      </c>
      <c r="D26" s="949" t="s">
        <v>1456</v>
      </c>
      <c r="E26" s="949" t="s">
        <v>1570</v>
      </c>
      <c r="F26" s="949" t="s">
        <v>406</v>
      </c>
      <c r="G26" s="950">
        <v>-1000000.06</v>
      </c>
      <c r="H26" s="950">
        <v>1000000</v>
      </c>
      <c r="I26" s="949" t="str">
        <f t="shared" si="0"/>
        <v>Disbursed</v>
      </c>
      <c r="J26" s="950">
        <f t="shared" si="1"/>
        <v>1000000</v>
      </c>
    </row>
    <row r="27" spans="1:10">
      <c r="A27" s="949" t="s">
        <v>657</v>
      </c>
      <c r="B27" s="949" t="s">
        <v>261</v>
      </c>
      <c r="C27" s="949" t="s">
        <v>1473</v>
      </c>
      <c r="D27" s="949" t="s">
        <v>1456</v>
      </c>
      <c r="E27" s="949" t="s">
        <v>1570</v>
      </c>
      <c r="F27" s="949" t="s">
        <v>406</v>
      </c>
      <c r="G27" s="950">
        <v>-4499999.68</v>
      </c>
      <c r="H27" s="950">
        <v>4499999.7</v>
      </c>
      <c r="I27" s="949" t="str">
        <f t="shared" si="0"/>
        <v>Disbursed</v>
      </c>
      <c r="J27" s="950">
        <f t="shared" si="1"/>
        <v>4499999.7</v>
      </c>
    </row>
    <row r="28" spans="1:10">
      <c r="A28" s="949" t="s">
        <v>638</v>
      </c>
      <c r="B28" s="949" t="s">
        <v>1499</v>
      </c>
      <c r="C28" s="949" t="s">
        <v>1490</v>
      </c>
      <c r="D28" s="949" t="s">
        <v>1456</v>
      </c>
      <c r="E28" s="949" t="s">
        <v>1570</v>
      </c>
      <c r="F28" s="949" t="s">
        <v>406</v>
      </c>
      <c r="G28" s="950">
        <v>-370000.2</v>
      </c>
      <c r="H28" s="950">
        <v>370000.2</v>
      </c>
      <c r="I28" s="949" t="str">
        <f t="shared" si="0"/>
        <v>Disbursed</v>
      </c>
      <c r="J28" s="950">
        <f t="shared" si="1"/>
        <v>370000.2</v>
      </c>
    </row>
    <row r="29" spans="1:10">
      <c r="A29" s="949" t="s">
        <v>675</v>
      </c>
      <c r="B29" s="949" t="s">
        <v>1501</v>
      </c>
      <c r="C29" s="949" t="s">
        <v>1470</v>
      </c>
      <c r="D29" s="949" t="s">
        <v>1456</v>
      </c>
      <c r="E29" s="949" t="s">
        <v>1570</v>
      </c>
      <c r="F29" s="949" t="s">
        <v>406</v>
      </c>
      <c r="G29" s="950">
        <v>-200000</v>
      </c>
      <c r="H29" s="950">
        <v>200000</v>
      </c>
      <c r="I29" s="949" t="str">
        <f t="shared" si="0"/>
        <v>Disbursed</v>
      </c>
      <c r="J29" s="950">
        <f t="shared" si="1"/>
        <v>200000</v>
      </c>
    </row>
    <row r="30" spans="1:10">
      <c r="A30" s="949" t="s">
        <v>667</v>
      </c>
      <c r="B30" s="949" t="s">
        <v>269</v>
      </c>
      <c r="C30" s="949" t="s">
        <v>1457</v>
      </c>
      <c r="D30" s="949" t="s">
        <v>1450</v>
      </c>
      <c r="E30" s="949" t="s">
        <v>1574</v>
      </c>
      <c r="F30" s="949" t="s">
        <v>1571</v>
      </c>
      <c r="G30" s="950">
        <v>68373523.1254455</v>
      </c>
      <c r="H30" s="950">
        <v>82833256.670000002</v>
      </c>
      <c r="I30" s="949" t="str">
        <f t="shared" si="0"/>
        <v>Submitted</v>
      </c>
      <c r="J30" s="950" t="str">
        <f t="shared" si="1"/>
        <v/>
      </c>
    </row>
    <row r="31" spans="1:10">
      <c r="A31" s="949" t="s">
        <v>669</v>
      </c>
      <c r="B31" s="949" t="s">
        <v>271</v>
      </c>
      <c r="C31" s="949" t="s">
        <v>1451</v>
      </c>
      <c r="D31" s="949" t="s">
        <v>1450</v>
      </c>
      <c r="E31" s="949" t="s">
        <v>1574</v>
      </c>
      <c r="F31" s="949" t="s">
        <v>951</v>
      </c>
      <c r="G31" s="950"/>
      <c r="H31" s="950">
        <v>0</v>
      </c>
      <c r="I31" s="949" t="str">
        <f t="shared" si="0"/>
        <v>Not yet submitted</v>
      </c>
      <c r="J31" s="950" t="str">
        <f t="shared" si="1"/>
        <v/>
      </c>
    </row>
    <row r="32" spans="1:10">
      <c r="A32" s="949" t="s">
        <v>669</v>
      </c>
      <c r="B32" s="949" t="s">
        <v>271</v>
      </c>
      <c r="C32" s="949" t="s">
        <v>1451</v>
      </c>
      <c r="D32" s="949" t="s">
        <v>1450</v>
      </c>
      <c r="E32" s="949" t="s">
        <v>1574</v>
      </c>
      <c r="F32" s="949" t="s">
        <v>1571</v>
      </c>
      <c r="G32" s="950">
        <v>63456000</v>
      </c>
      <c r="H32" s="950">
        <v>75100000</v>
      </c>
      <c r="I32" s="949" t="str">
        <f t="shared" si="0"/>
        <v>Submitted</v>
      </c>
      <c r="J32" s="950" t="str">
        <f t="shared" si="1"/>
        <v/>
      </c>
    </row>
    <row r="33" spans="1:10">
      <c r="A33" s="949" t="s">
        <v>672</v>
      </c>
      <c r="B33" s="949" t="s">
        <v>274</v>
      </c>
      <c r="C33" s="949" t="s">
        <v>1462</v>
      </c>
      <c r="D33" s="949" t="s">
        <v>1456</v>
      </c>
      <c r="E33" s="949" t="s">
        <v>1570</v>
      </c>
      <c r="F33" s="949" t="s">
        <v>406</v>
      </c>
      <c r="G33" s="950">
        <v>-979797</v>
      </c>
      <c r="H33" s="950">
        <v>979797</v>
      </c>
      <c r="I33" s="949" t="str">
        <f t="shared" si="0"/>
        <v>Disbursed</v>
      </c>
      <c r="J33" s="950">
        <f t="shared" si="1"/>
        <v>979797</v>
      </c>
    </row>
    <row r="34" spans="1:10">
      <c r="A34" s="949" t="s">
        <v>679</v>
      </c>
      <c r="B34" s="949" t="s">
        <v>279</v>
      </c>
      <c r="C34" s="949" t="s">
        <v>1451</v>
      </c>
      <c r="D34" s="949" t="s">
        <v>1450</v>
      </c>
      <c r="E34" s="949" t="s">
        <v>1574</v>
      </c>
      <c r="F34" s="949" t="s">
        <v>1571</v>
      </c>
      <c r="G34" s="950">
        <v>-181500</v>
      </c>
      <c r="H34" s="950">
        <v>9929919.0199999996</v>
      </c>
      <c r="I34" s="949" t="str">
        <f t="shared" si="0"/>
        <v>Submitted</v>
      </c>
      <c r="J34" s="950" t="str">
        <f t="shared" si="1"/>
        <v/>
      </c>
    </row>
    <row r="35" spans="1:10">
      <c r="A35" s="949" t="s">
        <v>685</v>
      </c>
      <c r="B35" s="949" t="s">
        <v>283</v>
      </c>
      <c r="C35" s="949" t="s">
        <v>1473</v>
      </c>
      <c r="D35" s="949" t="s">
        <v>1456</v>
      </c>
      <c r="E35" s="949" t="s">
        <v>1570</v>
      </c>
      <c r="F35" s="949" t="s">
        <v>406</v>
      </c>
      <c r="G35" s="950">
        <v>-230000</v>
      </c>
      <c r="H35" s="950">
        <v>230000</v>
      </c>
      <c r="I35" s="949" t="str">
        <f t="shared" si="0"/>
        <v>Disbursed</v>
      </c>
      <c r="J35" s="950">
        <f t="shared" si="1"/>
        <v>230000</v>
      </c>
    </row>
    <row r="36" spans="1:10">
      <c r="A36" s="949" t="s">
        <v>687</v>
      </c>
      <c r="B36" s="949" t="s">
        <v>285</v>
      </c>
      <c r="C36" s="949" t="s">
        <v>1451</v>
      </c>
      <c r="D36" s="949" t="s">
        <v>1456</v>
      </c>
      <c r="E36" s="949" t="s">
        <v>1570</v>
      </c>
      <c r="F36" s="949" t="s">
        <v>406</v>
      </c>
      <c r="G36" s="950">
        <v>-499854</v>
      </c>
      <c r="H36" s="950">
        <v>499854</v>
      </c>
      <c r="I36" s="949" t="str">
        <f t="shared" si="0"/>
        <v>Disbursed</v>
      </c>
      <c r="J36" s="950">
        <f t="shared" si="1"/>
        <v>499854</v>
      </c>
    </row>
    <row r="37" spans="1:10">
      <c r="A37" s="949" t="s">
        <v>690</v>
      </c>
      <c r="B37" s="949" t="s">
        <v>288</v>
      </c>
      <c r="C37" s="949" t="s">
        <v>1473</v>
      </c>
      <c r="D37" s="949" t="s">
        <v>1456</v>
      </c>
      <c r="E37" s="949" t="s">
        <v>1570</v>
      </c>
      <c r="F37" s="949" t="s">
        <v>406</v>
      </c>
      <c r="G37" s="950">
        <v>-230000</v>
      </c>
      <c r="H37" s="950">
        <v>230000</v>
      </c>
      <c r="I37" s="949" t="str">
        <f t="shared" si="0"/>
        <v>Disbursed</v>
      </c>
      <c r="J37" s="950">
        <f t="shared" si="1"/>
        <v>230000</v>
      </c>
    </row>
    <row r="38" spans="1:10">
      <c r="A38" s="949" t="s">
        <v>692</v>
      </c>
      <c r="B38" s="949" t="s">
        <v>290</v>
      </c>
      <c r="C38" s="949" t="s">
        <v>1490</v>
      </c>
      <c r="D38" s="949" t="s">
        <v>1456</v>
      </c>
      <c r="E38" s="949" t="s">
        <v>1570</v>
      </c>
      <c r="F38" s="949" t="s">
        <v>406</v>
      </c>
      <c r="G38" s="950">
        <v>-1979999.5220290001</v>
      </c>
      <c r="H38" s="950">
        <v>1979999.5220290006</v>
      </c>
      <c r="I38" s="949" t="str">
        <f t="shared" si="0"/>
        <v>Disbursed</v>
      </c>
      <c r="J38" s="950">
        <f t="shared" si="1"/>
        <v>1979999.5220290006</v>
      </c>
    </row>
    <row r="39" spans="1:10">
      <c r="A39" s="949" t="s">
        <v>695</v>
      </c>
      <c r="B39" s="949" t="s">
        <v>293</v>
      </c>
      <c r="C39" s="949" t="s">
        <v>1473</v>
      </c>
      <c r="D39" s="949" t="s">
        <v>1456</v>
      </c>
      <c r="E39" s="949" t="s">
        <v>1570</v>
      </c>
      <c r="F39" s="949" t="s">
        <v>406</v>
      </c>
      <c r="G39" s="950">
        <v>-230000.22990000001</v>
      </c>
      <c r="H39" s="950">
        <v>230000.22990000001</v>
      </c>
      <c r="I39" s="949" t="str">
        <f t="shared" si="0"/>
        <v>Disbursed</v>
      </c>
      <c r="J39" s="950">
        <f t="shared" si="1"/>
        <v>230000.22990000001</v>
      </c>
    </row>
    <row r="40" spans="1:10">
      <c r="B40" s="951" t="s">
        <v>424</v>
      </c>
      <c r="C40" s="951"/>
      <c r="D40" s="951"/>
      <c r="E40" s="951"/>
      <c r="F40" s="951"/>
      <c r="G40" s="952">
        <v>685922487.91022241</v>
      </c>
      <c r="H40" s="952">
        <v>1206216589.7341018</v>
      </c>
    </row>
    <row r="42" spans="1:10">
      <c r="B42" s="949" t="s">
        <v>1576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dimension ref="A1:O200"/>
  <sheetViews>
    <sheetView zoomScale="85" zoomScaleNormal="85" workbookViewId="0">
      <pane xSplit="4" ySplit="5" topLeftCell="E168" activePane="bottomRight" state="frozen"/>
      <selection pane="topRight" activeCell="E1" sqref="E1"/>
      <selection pane="bottomLeft" activeCell="A6" sqref="A6"/>
      <selection pane="bottomRight" activeCell="E1" sqref="E1:E1048576"/>
    </sheetView>
  </sheetViews>
  <sheetFormatPr defaultRowHeight="15.5"/>
  <cols>
    <col min="1" max="2" width="9" style="841"/>
    <col min="3" max="3" width="0" style="841" hidden="1" customWidth="1"/>
    <col min="4" max="5" width="17.33203125" style="841" customWidth="1"/>
    <col min="6" max="6" width="11.25" customWidth="1"/>
    <col min="7" max="7" width="10.83203125" bestFit="1" customWidth="1"/>
    <col min="8" max="8" width="12.58203125" bestFit="1" customWidth="1"/>
    <col min="9" max="9" width="10.5" customWidth="1"/>
    <col min="10" max="10" width="10.58203125" customWidth="1"/>
    <col min="14" max="14" width="13.5" customWidth="1"/>
  </cols>
  <sheetData>
    <row r="1" spans="1:15">
      <c r="A1" s="1004" t="s">
        <v>122</v>
      </c>
      <c r="B1" s="1004"/>
      <c r="C1" s="1004"/>
      <c r="D1" s="1519" t="s">
        <v>1577</v>
      </c>
      <c r="E1" s="850" t="s">
        <v>1578</v>
      </c>
      <c r="F1" s="851" t="s">
        <v>1579</v>
      </c>
      <c r="G1" s="852"/>
      <c r="H1" s="852" t="s">
        <v>1580</v>
      </c>
      <c r="I1" s="850" t="s">
        <v>1581</v>
      </c>
      <c r="J1" s="850" t="s">
        <v>1582</v>
      </c>
      <c r="K1" s="853" t="s">
        <v>1583</v>
      </c>
      <c r="L1" s="853" t="s">
        <v>1584</v>
      </c>
      <c r="M1" s="853" t="s">
        <v>1585</v>
      </c>
      <c r="N1" s="842" t="s">
        <v>424</v>
      </c>
      <c r="O1" s="854"/>
    </row>
    <row r="2" spans="1:15" ht="36">
      <c r="A2" s="1005"/>
      <c r="B2" s="1005"/>
      <c r="C2" s="1005"/>
      <c r="D2" s="1520"/>
      <c r="E2" s="855" t="s">
        <v>1586</v>
      </c>
      <c r="F2" s="855" t="s">
        <v>1587</v>
      </c>
      <c r="G2" s="856" t="s">
        <v>1588</v>
      </c>
      <c r="H2" s="856"/>
      <c r="I2" s="855" t="s">
        <v>1589</v>
      </c>
      <c r="J2" s="855" t="s">
        <v>1590</v>
      </c>
      <c r="K2" s="857" t="s">
        <v>1591</v>
      </c>
      <c r="L2" s="857" t="s">
        <v>1592</v>
      </c>
      <c r="M2" s="857" t="s">
        <v>1593</v>
      </c>
      <c r="N2" s="858"/>
      <c r="O2" s="770"/>
    </row>
    <row r="3" spans="1:15">
      <c r="A3" s="1005"/>
      <c r="B3" s="1005"/>
      <c r="C3" s="1005"/>
      <c r="D3" s="1520"/>
      <c r="E3" s="855" t="s">
        <v>1594</v>
      </c>
      <c r="F3" s="855" t="s">
        <v>1595</v>
      </c>
      <c r="G3" s="859"/>
      <c r="H3" s="859"/>
      <c r="I3" s="855" t="s">
        <v>1595</v>
      </c>
      <c r="J3" s="855" t="s">
        <v>1596</v>
      </c>
      <c r="K3" s="857" t="s">
        <v>1597</v>
      </c>
      <c r="L3" s="857" t="s">
        <v>1598</v>
      </c>
      <c r="M3" s="857" t="s">
        <v>1599</v>
      </c>
      <c r="N3" s="858"/>
      <c r="O3" s="770"/>
    </row>
    <row r="4" spans="1:15" ht="43.5">
      <c r="A4" s="1005"/>
      <c r="B4" s="1005"/>
      <c r="C4" s="1005"/>
      <c r="D4" s="1520"/>
      <c r="E4" s="855" t="s">
        <v>1600</v>
      </c>
      <c r="F4" s="860" t="s">
        <v>1601</v>
      </c>
      <c r="G4" s="859"/>
      <c r="H4" s="859"/>
      <c r="I4" s="855" t="s">
        <v>1602</v>
      </c>
      <c r="J4" s="855" t="s">
        <v>1602</v>
      </c>
      <c r="K4" s="857" t="s">
        <v>1603</v>
      </c>
      <c r="L4" s="857" t="s">
        <v>1604</v>
      </c>
      <c r="M4" s="857" t="s">
        <v>1605</v>
      </c>
      <c r="N4" s="858"/>
      <c r="O4" s="770" t="s">
        <v>1606</v>
      </c>
    </row>
    <row r="5" spans="1:15" ht="43.5">
      <c r="A5" s="1006"/>
      <c r="B5" s="1006" t="s">
        <v>432</v>
      </c>
      <c r="C5" s="1006" t="s">
        <v>1607</v>
      </c>
      <c r="D5" s="1521"/>
      <c r="E5" s="861">
        <v>41023241.670000002</v>
      </c>
      <c r="F5" s="861">
        <v>23148148.149999999</v>
      </c>
      <c r="G5" s="862"/>
      <c r="H5" s="859"/>
      <c r="I5" s="861">
        <v>14814814.810000001</v>
      </c>
      <c r="J5" s="861">
        <v>14814814.810000001</v>
      </c>
      <c r="K5" s="863">
        <v>6944444.4400000004</v>
      </c>
      <c r="L5" s="863">
        <v>9259259.2599999998</v>
      </c>
      <c r="M5" s="863">
        <v>4629629.63</v>
      </c>
      <c r="N5" s="864"/>
      <c r="O5" s="865"/>
    </row>
    <row r="6" spans="1:15">
      <c r="A6" s="1007" t="s">
        <v>132</v>
      </c>
      <c r="B6" s="1007" t="s">
        <v>540</v>
      </c>
      <c r="C6" s="1007" t="s">
        <v>160</v>
      </c>
      <c r="D6" s="1007" t="s">
        <v>1608</v>
      </c>
      <c r="E6" s="866">
        <v>0</v>
      </c>
      <c r="F6" s="1008"/>
      <c r="G6" s="1008"/>
      <c r="H6" s="1008">
        <f>SUM(F6:G6)</f>
        <v>0</v>
      </c>
      <c r="I6" s="1008">
        <v>763750</v>
      </c>
      <c r="J6" s="1008">
        <v>300000</v>
      </c>
      <c r="K6" s="1008"/>
      <c r="L6" s="1008"/>
      <c r="M6" s="1008"/>
      <c r="N6" s="768">
        <f>SUM(E6:G6,I6:M6)</f>
        <v>1063750</v>
      </c>
      <c r="O6" s="768">
        <f>N6-E6</f>
        <v>1063750</v>
      </c>
    </row>
    <row r="7" spans="1:15">
      <c r="A7" s="1007" t="s">
        <v>127</v>
      </c>
      <c r="B7" s="1007" t="s">
        <v>543</v>
      </c>
      <c r="C7" s="1007" t="s">
        <v>161</v>
      </c>
      <c r="D7" s="1007" t="s">
        <v>1609</v>
      </c>
      <c r="E7" s="866">
        <v>0</v>
      </c>
      <c r="F7" s="1008"/>
      <c r="G7" s="1008"/>
      <c r="H7" s="1008">
        <f t="shared" ref="H7:H70" si="0">SUM(F7:G7)</f>
        <v>0</v>
      </c>
      <c r="I7" s="1008"/>
      <c r="J7" s="1008"/>
      <c r="K7" s="1008"/>
      <c r="L7" s="1008"/>
      <c r="M7" s="1008"/>
      <c r="N7" s="768">
        <f t="shared" ref="N7:N70" si="1">SUM(E7:G7,I7:M7)</f>
        <v>0</v>
      </c>
      <c r="O7" s="768">
        <f t="shared" ref="O7:O70" si="2">N7-E7</f>
        <v>0</v>
      </c>
    </row>
    <row r="8" spans="1:15">
      <c r="A8" s="1007" t="s">
        <v>131</v>
      </c>
      <c r="B8" s="1007" t="s">
        <v>545</v>
      </c>
      <c r="C8" s="1007" t="s">
        <v>143</v>
      </c>
      <c r="D8" s="1007" t="s">
        <v>1610</v>
      </c>
      <c r="E8" s="867">
        <v>1697250</v>
      </c>
      <c r="F8" s="1008"/>
      <c r="G8" s="1008">
        <v>50000</v>
      </c>
      <c r="H8" s="1008">
        <f t="shared" si="0"/>
        <v>50000</v>
      </c>
      <c r="I8" s="1008"/>
      <c r="J8" s="1008"/>
      <c r="K8" s="1008"/>
      <c r="L8" s="1008"/>
      <c r="M8" s="1008"/>
      <c r="N8" s="768">
        <f t="shared" si="1"/>
        <v>1747250</v>
      </c>
      <c r="O8" s="768">
        <f t="shared" si="2"/>
        <v>50000</v>
      </c>
    </row>
    <row r="9" spans="1:15">
      <c r="A9" s="1007" t="s">
        <v>128</v>
      </c>
      <c r="B9" s="1007" t="s">
        <v>547</v>
      </c>
      <c r="C9" s="1007" t="s">
        <v>162</v>
      </c>
      <c r="D9" s="1007" t="s">
        <v>1611</v>
      </c>
      <c r="E9" s="866">
        <v>0</v>
      </c>
      <c r="F9" s="1008"/>
      <c r="G9" s="1008"/>
      <c r="H9" s="1008">
        <f t="shared" si="0"/>
        <v>0</v>
      </c>
      <c r="I9" s="1008">
        <v>175000</v>
      </c>
      <c r="J9" s="1008"/>
      <c r="K9" s="1008"/>
      <c r="L9" s="1008"/>
      <c r="M9" s="1008"/>
      <c r="N9" s="768">
        <f t="shared" si="1"/>
        <v>175000</v>
      </c>
      <c r="O9" s="768">
        <f t="shared" si="2"/>
        <v>175000</v>
      </c>
    </row>
    <row r="10" spans="1:15">
      <c r="A10" s="1007" t="s">
        <v>130</v>
      </c>
      <c r="B10" s="1007" t="s">
        <v>551</v>
      </c>
      <c r="C10" s="1007" t="s">
        <v>164</v>
      </c>
      <c r="D10" s="1007" t="s">
        <v>1612</v>
      </c>
      <c r="E10" s="866">
        <v>0</v>
      </c>
      <c r="F10" s="1008"/>
      <c r="G10" s="1008"/>
      <c r="H10" s="1008">
        <f t="shared" si="0"/>
        <v>0</v>
      </c>
      <c r="I10" s="1008"/>
      <c r="J10" s="1008"/>
      <c r="K10" s="1008"/>
      <c r="L10" s="1008"/>
      <c r="M10" s="1008"/>
      <c r="N10" s="768">
        <f t="shared" si="1"/>
        <v>0</v>
      </c>
      <c r="O10" s="768">
        <f t="shared" si="2"/>
        <v>0</v>
      </c>
    </row>
    <row r="11" spans="1:15">
      <c r="A11" s="1007" t="s">
        <v>127</v>
      </c>
      <c r="B11" s="1007" t="s">
        <v>553</v>
      </c>
      <c r="C11" s="1007" t="s">
        <v>165</v>
      </c>
      <c r="D11" s="1007" t="s">
        <v>1613</v>
      </c>
      <c r="E11" s="866">
        <v>0</v>
      </c>
      <c r="F11" s="1008"/>
      <c r="G11" s="1008"/>
      <c r="H11" s="1008">
        <f t="shared" si="0"/>
        <v>0</v>
      </c>
      <c r="I11" s="1008"/>
      <c r="J11" s="1008"/>
      <c r="K11" s="1008"/>
      <c r="L11" s="1008"/>
      <c r="M11" s="1008"/>
      <c r="N11" s="768">
        <f t="shared" si="1"/>
        <v>0</v>
      </c>
      <c r="O11" s="768">
        <f t="shared" si="2"/>
        <v>0</v>
      </c>
    </row>
    <row r="12" spans="1:15">
      <c r="A12" s="1007" t="s">
        <v>127</v>
      </c>
      <c r="B12" s="1007" t="s">
        <v>554</v>
      </c>
      <c r="C12" s="1007" t="s">
        <v>166</v>
      </c>
      <c r="D12" s="1007" t="s">
        <v>1614</v>
      </c>
      <c r="E12" s="866">
        <v>0</v>
      </c>
      <c r="F12" s="1008"/>
      <c r="G12" s="1008"/>
      <c r="H12" s="1008">
        <f t="shared" si="0"/>
        <v>0</v>
      </c>
      <c r="I12" s="1008"/>
      <c r="J12" s="1008"/>
      <c r="K12" s="1008"/>
      <c r="L12" s="1008"/>
      <c r="M12" s="1008"/>
      <c r="N12" s="768">
        <f t="shared" si="1"/>
        <v>0</v>
      </c>
      <c r="O12" s="768">
        <f t="shared" si="2"/>
        <v>0</v>
      </c>
    </row>
    <row r="13" spans="1:15">
      <c r="A13" s="1007" t="s">
        <v>132</v>
      </c>
      <c r="B13" s="1007" t="s">
        <v>557</v>
      </c>
      <c r="C13" s="1007" t="s">
        <v>167</v>
      </c>
      <c r="D13" s="1007" t="s">
        <v>1615</v>
      </c>
      <c r="E13" s="866">
        <v>0</v>
      </c>
      <c r="F13" s="1008"/>
      <c r="G13" s="1008">
        <v>70000</v>
      </c>
      <c r="H13" s="1008">
        <f t="shared" si="0"/>
        <v>70000</v>
      </c>
      <c r="I13" s="1008">
        <v>555000</v>
      </c>
      <c r="J13" s="1008"/>
      <c r="K13" s="1008"/>
      <c r="L13" s="1008"/>
      <c r="M13" s="1008"/>
      <c r="N13" s="768">
        <f t="shared" si="1"/>
        <v>625000</v>
      </c>
      <c r="O13" s="768">
        <f t="shared" si="2"/>
        <v>625000</v>
      </c>
    </row>
    <row r="14" spans="1:15">
      <c r="A14" s="1007" t="s">
        <v>130</v>
      </c>
      <c r="B14" s="1007" t="s">
        <v>555</v>
      </c>
      <c r="C14" s="1007" t="s">
        <v>556</v>
      </c>
      <c r="D14" s="1007" t="s">
        <v>1616</v>
      </c>
      <c r="E14" s="866">
        <v>100000</v>
      </c>
      <c r="F14" s="1008"/>
      <c r="G14" s="1008"/>
      <c r="H14" s="1008">
        <f t="shared" si="0"/>
        <v>0</v>
      </c>
      <c r="I14" s="1008"/>
      <c r="J14" s="1008"/>
      <c r="K14" s="1008"/>
      <c r="L14" s="1008"/>
      <c r="M14" s="1008"/>
      <c r="N14" s="768">
        <f t="shared" si="1"/>
        <v>100000</v>
      </c>
      <c r="O14" s="768">
        <f t="shared" si="2"/>
        <v>0</v>
      </c>
    </row>
    <row r="15" spans="1:15">
      <c r="A15" s="1007" t="s">
        <v>127</v>
      </c>
      <c r="B15" s="1007" t="s">
        <v>559</v>
      </c>
      <c r="C15" s="1007" t="s">
        <v>168</v>
      </c>
      <c r="D15" s="1007" t="s">
        <v>1617</v>
      </c>
      <c r="E15" s="866">
        <v>0</v>
      </c>
      <c r="F15" s="1008"/>
      <c r="G15" s="1008"/>
      <c r="H15" s="1008">
        <f t="shared" si="0"/>
        <v>0</v>
      </c>
      <c r="I15" s="1008"/>
      <c r="J15" s="1008"/>
      <c r="K15" s="1008"/>
      <c r="L15" s="1008"/>
      <c r="M15" s="1008"/>
      <c r="N15" s="768">
        <f t="shared" si="1"/>
        <v>0</v>
      </c>
      <c r="O15" s="768">
        <f t="shared" si="2"/>
        <v>0</v>
      </c>
    </row>
    <row r="16" spans="1:15">
      <c r="A16" s="1007" t="s">
        <v>130</v>
      </c>
      <c r="B16" s="1007" t="s">
        <v>560</v>
      </c>
      <c r="C16" s="1007" t="s">
        <v>169</v>
      </c>
      <c r="D16" s="1007" t="s">
        <v>1618</v>
      </c>
      <c r="E16" s="866">
        <v>0</v>
      </c>
      <c r="F16" s="1008"/>
      <c r="G16" s="1008"/>
      <c r="H16" s="1008">
        <f t="shared" si="0"/>
        <v>0</v>
      </c>
      <c r="I16" s="1008"/>
      <c r="J16" s="1008"/>
      <c r="K16" s="1008"/>
      <c r="L16" s="1008"/>
      <c r="M16" s="1008"/>
      <c r="N16" s="768">
        <f t="shared" si="1"/>
        <v>0</v>
      </c>
      <c r="O16" s="768">
        <f t="shared" si="2"/>
        <v>0</v>
      </c>
    </row>
    <row r="17" spans="1:15">
      <c r="A17" s="1007" t="s">
        <v>129</v>
      </c>
      <c r="B17" s="1007" t="s">
        <v>561</v>
      </c>
      <c r="C17" s="1007" t="s">
        <v>170</v>
      </c>
      <c r="D17" s="1007" t="s">
        <v>1619</v>
      </c>
      <c r="E17" s="866">
        <v>0</v>
      </c>
      <c r="F17" s="1008"/>
      <c r="G17" s="1008">
        <v>40000</v>
      </c>
      <c r="H17" s="1008">
        <f t="shared" si="0"/>
        <v>40000</v>
      </c>
      <c r="I17" s="1008">
        <v>340000</v>
      </c>
      <c r="J17" s="1008">
        <v>750000</v>
      </c>
      <c r="K17" s="1008"/>
      <c r="L17" s="1008"/>
      <c r="M17" s="1008"/>
      <c r="N17" s="768">
        <f t="shared" si="1"/>
        <v>1130000</v>
      </c>
      <c r="O17" s="768">
        <f t="shared" si="2"/>
        <v>1130000</v>
      </c>
    </row>
    <row r="18" spans="1:15">
      <c r="A18" s="1007" t="s">
        <v>132</v>
      </c>
      <c r="B18" s="1007" t="s">
        <v>563</v>
      </c>
      <c r="C18" s="1007" t="s">
        <v>171</v>
      </c>
      <c r="D18" s="1007" t="s">
        <v>1620</v>
      </c>
      <c r="E18" s="867">
        <v>460000</v>
      </c>
      <c r="F18" s="1008"/>
      <c r="G18" s="1008"/>
      <c r="H18" s="1008">
        <f t="shared" si="0"/>
        <v>0</v>
      </c>
      <c r="I18" s="1008"/>
      <c r="J18" s="1008"/>
      <c r="K18" s="1008"/>
      <c r="L18" s="1008"/>
      <c r="M18" s="1008"/>
      <c r="N18" s="768">
        <f t="shared" si="1"/>
        <v>460000</v>
      </c>
      <c r="O18" s="768">
        <f t="shared" si="2"/>
        <v>0</v>
      </c>
    </row>
    <row r="19" spans="1:15">
      <c r="A19" s="1007" t="s">
        <v>130</v>
      </c>
      <c r="B19" s="1007" t="s">
        <v>564</v>
      </c>
      <c r="C19" s="1007" t="s">
        <v>715</v>
      </c>
      <c r="D19" s="1007" t="s">
        <v>1621</v>
      </c>
      <c r="E19" s="867">
        <v>2200000</v>
      </c>
      <c r="F19" s="1008"/>
      <c r="G19" s="1008"/>
      <c r="H19" s="1008">
        <f t="shared" si="0"/>
        <v>0</v>
      </c>
      <c r="I19" s="1008"/>
      <c r="J19" s="1008"/>
      <c r="K19" s="1008"/>
      <c r="L19" s="1008"/>
      <c r="M19" s="1008"/>
      <c r="N19" s="768">
        <f t="shared" si="1"/>
        <v>2200000</v>
      </c>
      <c r="O19" s="768">
        <f t="shared" si="2"/>
        <v>0</v>
      </c>
    </row>
    <row r="20" spans="1:15">
      <c r="A20" s="1007" t="s">
        <v>127</v>
      </c>
      <c r="B20" s="1007" t="s">
        <v>565</v>
      </c>
      <c r="C20" s="1007" t="s">
        <v>174</v>
      </c>
      <c r="D20" s="1007" t="s">
        <v>1622</v>
      </c>
      <c r="E20" s="866">
        <v>0</v>
      </c>
      <c r="F20" s="1008"/>
      <c r="G20" s="1008"/>
      <c r="H20" s="1008">
        <f t="shared" si="0"/>
        <v>0</v>
      </c>
      <c r="I20" s="1008"/>
      <c r="J20" s="1008"/>
      <c r="K20" s="1008"/>
      <c r="L20" s="1008"/>
      <c r="M20" s="1008"/>
      <c r="N20" s="768">
        <f t="shared" si="1"/>
        <v>0</v>
      </c>
      <c r="O20" s="768">
        <f t="shared" si="2"/>
        <v>0</v>
      </c>
    </row>
    <row r="21" spans="1:15">
      <c r="A21" s="1007" t="s">
        <v>128</v>
      </c>
      <c r="B21" s="1007" t="s">
        <v>566</v>
      </c>
      <c r="C21" s="1007" t="s">
        <v>175</v>
      </c>
      <c r="D21" s="1007" t="s">
        <v>1623</v>
      </c>
      <c r="E21" s="866">
        <v>0</v>
      </c>
      <c r="F21" s="1008"/>
      <c r="G21" s="1008"/>
      <c r="H21" s="1008">
        <f t="shared" si="0"/>
        <v>0</v>
      </c>
      <c r="I21" s="1008"/>
      <c r="J21" s="1008"/>
      <c r="K21" s="1008"/>
      <c r="L21" s="1008"/>
      <c r="M21" s="1008"/>
      <c r="N21" s="768">
        <f t="shared" si="1"/>
        <v>0</v>
      </c>
      <c r="O21" s="768">
        <f t="shared" si="2"/>
        <v>0</v>
      </c>
    </row>
    <row r="22" spans="1:15">
      <c r="A22" s="1007" t="s">
        <v>130</v>
      </c>
      <c r="B22" s="1007" t="s">
        <v>567</v>
      </c>
      <c r="C22" s="1007" t="s">
        <v>144</v>
      </c>
      <c r="D22" s="1007" t="s">
        <v>1624</v>
      </c>
      <c r="E22" s="866">
        <v>0</v>
      </c>
      <c r="F22" s="1008"/>
      <c r="G22" s="1008"/>
      <c r="H22" s="1008">
        <f t="shared" si="0"/>
        <v>0</v>
      </c>
      <c r="I22" s="1008"/>
      <c r="J22" s="1008"/>
      <c r="K22" s="1008"/>
      <c r="L22" s="1008"/>
      <c r="M22" s="1008"/>
      <c r="N22" s="768">
        <f t="shared" si="1"/>
        <v>0</v>
      </c>
      <c r="O22" s="768">
        <f t="shared" si="2"/>
        <v>0</v>
      </c>
    </row>
    <row r="23" spans="1:15">
      <c r="A23" s="1007" t="s">
        <v>127</v>
      </c>
      <c r="B23" s="1007" t="s">
        <v>568</v>
      </c>
      <c r="C23" s="1007" t="s">
        <v>176</v>
      </c>
      <c r="D23" s="1007" t="s">
        <v>1625</v>
      </c>
      <c r="E23" s="866">
        <v>0</v>
      </c>
      <c r="F23" s="1008"/>
      <c r="G23" s="1008"/>
      <c r="H23" s="1008">
        <f t="shared" si="0"/>
        <v>0</v>
      </c>
      <c r="I23" s="1008"/>
      <c r="J23" s="1008"/>
      <c r="K23" s="1008"/>
      <c r="L23" s="1008"/>
      <c r="M23" s="1008"/>
      <c r="N23" s="768">
        <f t="shared" si="1"/>
        <v>0</v>
      </c>
      <c r="O23" s="768">
        <f t="shared" si="2"/>
        <v>0</v>
      </c>
    </row>
    <row r="24" spans="1:15">
      <c r="A24" s="1007" t="s">
        <v>129</v>
      </c>
      <c r="B24" s="1007" t="s">
        <v>569</v>
      </c>
      <c r="C24" s="1007" t="s">
        <v>177</v>
      </c>
      <c r="D24" s="1007" t="s">
        <v>1626</v>
      </c>
      <c r="E24" s="866">
        <v>0</v>
      </c>
      <c r="F24" s="1008">
        <v>28000</v>
      </c>
      <c r="G24" s="1008">
        <v>50000</v>
      </c>
      <c r="H24" s="1008">
        <f t="shared" si="0"/>
        <v>78000</v>
      </c>
      <c r="I24" s="1008"/>
      <c r="J24" s="1008"/>
      <c r="K24" s="1008"/>
      <c r="L24" s="1008"/>
      <c r="M24" s="1008"/>
      <c r="N24" s="768">
        <f t="shared" si="1"/>
        <v>78000</v>
      </c>
      <c r="O24" s="768">
        <f t="shared" si="2"/>
        <v>78000</v>
      </c>
    </row>
    <row r="25" spans="1:15">
      <c r="A25" s="1007" t="s">
        <v>128</v>
      </c>
      <c r="B25" s="1007" t="s">
        <v>570</v>
      </c>
      <c r="C25" s="1007" t="s">
        <v>178</v>
      </c>
      <c r="D25" s="1007" t="s">
        <v>1627</v>
      </c>
      <c r="E25" s="866">
        <v>0</v>
      </c>
      <c r="F25" s="1008"/>
      <c r="G25" s="1008"/>
      <c r="H25" s="1008">
        <f t="shared" si="0"/>
        <v>0</v>
      </c>
      <c r="I25" s="1008">
        <v>175000</v>
      </c>
      <c r="J25" s="1008"/>
      <c r="K25" s="1008"/>
      <c r="L25" s="1008"/>
      <c r="M25" s="1008"/>
      <c r="N25" s="768">
        <f t="shared" si="1"/>
        <v>175000</v>
      </c>
      <c r="O25" s="768">
        <f t="shared" si="2"/>
        <v>175000</v>
      </c>
    </row>
    <row r="26" spans="1:15">
      <c r="A26" s="1007" t="s">
        <v>126</v>
      </c>
      <c r="B26" s="1007" t="s">
        <v>572</v>
      </c>
      <c r="C26" s="1007" t="s">
        <v>180</v>
      </c>
      <c r="D26" s="1007" t="s">
        <v>1628</v>
      </c>
      <c r="E26" s="866">
        <v>0</v>
      </c>
      <c r="F26" s="1008"/>
      <c r="G26" s="1008"/>
      <c r="H26" s="1008">
        <f t="shared" si="0"/>
        <v>0</v>
      </c>
      <c r="I26" s="1008"/>
      <c r="J26" s="1008"/>
      <c r="K26" s="1008"/>
      <c r="L26" s="1008"/>
      <c r="M26" s="1008"/>
      <c r="N26" s="768">
        <f t="shared" si="1"/>
        <v>0</v>
      </c>
      <c r="O26" s="768">
        <f t="shared" si="2"/>
        <v>0</v>
      </c>
    </row>
    <row r="27" spans="1:15">
      <c r="A27" s="1007" t="s">
        <v>129</v>
      </c>
      <c r="B27" s="1007" t="s">
        <v>573</v>
      </c>
      <c r="C27" s="1007" t="s">
        <v>181</v>
      </c>
      <c r="D27" s="1007" t="s">
        <v>1629</v>
      </c>
      <c r="E27" s="866">
        <v>0</v>
      </c>
      <c r="F27" s="1008">
        <v>22400</v>
      </c>
      <c r="G27" s="1008">
        <v>50000</v>
      </c>
      <c r="H27" s="1008">
        <f t="shared" si="0"/>
        <v>72400</v>
      </c>
      <c r="I27" s="1008">
        <v>225000</v>
      </c>
      <c r="J27" s="1008">
        <v>330000</v>
      </c>
      <c r="K27" s="1008"/>
      <c r="L27" s="1008"/>
      <c r="M27" s="1008"/>
      <c r="N27" s="768">
        <f t="shared" si="1"/>
        <v>627400</v>
      </c>
      <c r="O27" s="768">
        <f t="shared" si="2"/>
        <v>627400</v>
      </c>
    </row>
    <row r="28" spans="1:15">
      <c r="A28" s="1007" t="s">
        <v>129</v>
      </c>
      <c r="B28" s="1007" t="s">
        <v>571</v>
      </c>
      <c r="C28" s="1007" t="s">
        <v>179</v>
      </c>
      <c r="D28" s="1007" t="s">
        <v>1630</v>
      </c>
      <c r="E28" s="868">
        <v>300000</v>
      </c>
      <c r="F28" s="1008"/>
      <c r="G28" s="1008">
        <v>40000</v>
      </c>
      <c r="H28" s="1008">
        <f t="shared" si="0"/>
        <v>40000</v>
      </c>
      <c r="I28" s="1008"/>
      <c r="J28" s="1008"/>
      <c r="K28" s="1008"/>
      <c r="L28" s="1008"/>
      <c r="M28" s="1008"/>
      <c r="N28" s="768">
        <f t="shared" si="1"/>
        <v>340000</v>
      </c>
      <c r="O28" s="768">
        <f t="shared" si="2"/>
        <v>40000</v>
      </c>
    </row>
    <row r="29" spans="1:15">
      <c r="A29" s="1007" t="s">
        <v>1631</v>
      </c>
      <c r="B29" s="1007" t="s">
        <v>575</v>
      </c>
      <c r="C29" s="1007" t="s">
        <v>575</v>
      </c>
      <c r="D29" s="1007" t="s">
        <v>1632</v>
      </c>
      <c r="E29" s="866">
        <v>0</v>
      </c>
      <c r="F29" s="1008"/>
      <c r="G29" s="1008"/>
      <c r="H29" s="1008">
        <f t="shared" si="0"/>
        <v>0</v>
      </c>
      <c r="I29" s="1008"/>
      <c r="J29" s="1008"/>
      <c r="K29" s="1008"/>
      <c r="L29" s="1008"/>
      <c r="M29" s="1008"/>
      <c r="N29" s="768">
        <f t="shared" si="1"/>
        <v>0</v>
      </c>
      <c r="O29" s="768">
        <f t="shared" si="2"/>
        <v>0</v>
      </c>
    </row>
    <row r="30" spans="1:15">
      <c r="A30" s="1007" t="s">
        <v>129</v>
      </c>
      <c r="B30" s="1007" t="s">
        <v>574</v>
      </c>
      <c r="C30" s="1007" t="s">
        <v>716</v>
      </c>
      <c r="D30" s="1007" t="s">
        <v>1633</v>
      </c>
      <c r="E30" s="866">
        <v>0</v>
      </c>
      <c r="F30" s="1008"/>
      <c r="G30" s="1008">
        <v>40000</v>
      </c>
      <c r="H30" s="1008">
        <f t="shared" si="0"/>
        <v>40000</v>
      </c>
      <c r="I30" s="1008">
        <v>225000</v>
      </c>
      <c r="J30" s="1008"/>
      <c r="K30" s="1008"/>
      <c r="L30" s="1008"/>
      <c r="M30" s="1008"/>
      <c r="N30" s="768">
        <f t="shared" si="1"/>
        <v>265000</v>
      </c>
      <c r="O30" s="768">
        <f t="shared" si="2"/>
        <v>265000</v>
      </c>
    </row>
    <row r="31" spans="1:15">
      <c r="A31" s="1007" t="s">
        <v>129</v>
      </c>
      <c r="B31" s="1007" t="s">
        <v>576</v>
      </c>
      <c r="C31" s="1007" t="s">
        <v>183</v>
      </c>
      <c r="D31" s="1007" t="s">
        <v>1634</v>
      </c>
      <c r="E31" s="866">
        <v>0</v>
      </c>
      <c r="F31" s="1008">
        <v>16800</v>
      </c>
      <c r="G31" s="1008">
        <v>40000</v>
      </c>
      <c r="H31" s="1008">
        <f t="shared" si="0"/>
        <v>56800</v>
      </c>
      <c r="I31" s="1008">
        <v>350000</v>
      </c>
      <c r="J31" s="1008">
        <v>662500</v>
      </c>
      <c r="K31" s="1008"/>
      <c r="L31" s="1008"/>
      <c r="M31" s="1008"/>
      <c r="N31" s="768">
        <f t="shared" si="1"/>
        <v>1069300</v>
      </c>
      <c r="O31" s="768">
        <f t="shared" si="2"/>
        <v>1069300</v>
      </c>
    </row>
    <row r="32" spans="1:15">
      <c r="A32" s="1007" t="s">
        <v>130</v>
      </c>
      <c r="B32" s="1007" t="s">
        <v>577</v>
      </c>
      <c r="C32" s="1007" t="s">
        <v>184</v>
      </c>
      <c r="D32" s="1007" t="s">
        <v>1635</v>
      </c>
      <c r="E32" s="866">
        <v>0</v>
      </c>
      <c r="F32" s="1008"/>
      <c r="G32" s="1008"/>
      <c r="H32" s="1008">
        <f t="shared" si="0"/>
        <v>0</v>
      </c>
      <c r="I32" s="1008"/>
      <c r="J32" s="1008"/>
      <c r="K32" s="1008"/>
      <c r="L32" s="1008"/>
      <c r="M32" s="1008"/>
      <c r="N32" s="768">
        <f t="shared" si="1"/>
        <v>0</v>
      </c>
      <c r="O32" s="768">
        <f t="shared" si="2"/>
        <v>0</v>
      </c>
    </row>
    <row r="33" spans="1:15">
      <c r="A33" s="1007" t="s">
        <v>126</v>
      </c>
      <c r="B33" s="1007" t="s">
        <v>578</v>
      </c>
      <c r="C33" s="1007" t="s">
        <v>185</v>
      </c>
      <c r="D33" s="1007" t="s">
        <v>1636</v>
      </c>
      <c r="E33" s="866">
        <v>0</v>
      </c>
      <c r="F33" s="1008"/>
      <c r="G33" s="1008"/>
      <c r="H33" s="1008">
        <f t="shared" si="0"/>
        <v>0</v>
      </c>
      <c r="I33" s="1008"/>
      <c r="J33" s="1008"/>
      <c r="K33" s="1008"/>
      <c r="L33" s="1008"/>
      <c r="M33" s="1008"/>
      <c r="N33" s="768">
        <f t="shared" si="1"/>
        <v>0</v>
      </c>
      <c r="O33" s="768">
        <f t="shared" si="2"/>
        <v>0</v>
      </c>
    </row>
    <row r="34" spans="1:15">
      <c r="A34" s="1007" t="s">
        <v>130</v>
      </c>
      <c r="B34" s="1007" t="s">
        <v>579</v>
      </c>
      <c r="C34" s="1007" t="s">
        <v>186</v>
      </c>
      <c r="D34" s="1007" t="s">
        <v>1637</v>
      </c>
      <c r="E34" s="866">
        <v>0</v>
      </c>
      <c r="F34" s="1008"/>
      <c r="G34" s="1008"/>
      <c r="H34" s="1008">
        <f t="shared" si="0"/>
        <v>0</v>
      </c>
      <c r="I34" s="1008"/>
      <c r="J34" s="1008"/>
      <c r="K34" s="1008"/>
      <c r="L34" s="1008"/>
      <c r="M34" s="1008"/>
      <c r="N34" s="768">
        <f t="shared" si="1"/>
        <v>0</v>
      </c>
      <c r="O34" s="768">
        <f t="shared" si="2"/>
        <v>0</v>
      </c>
    </row>
    <row r="35" spans="1:15">
      <c r="A35" s="1007" t="s">
        <v>128</v>
      </c>
      <c r="B35" s="1007" t="s">
        <v>580</v>
      </c>
      <c r="C35" s="1007" t="s">
        <v>187</v>
      </c>
      <c r="D35" s="1007" t="s">
        <v>1638</v>
      </c>
      <c r="E35" s="866">
        <v>0</v>
      </c>
      <c r="F35" s="1008"/>
      <c r="G35" s="1008"/>
      <c r="H35" s="1008">
        <f t="shared" si="0"/>
        <v>0</v>
      </c>
      <c r="I35" s="1008"/>
      <c r="J35" s="1008"/>
      <c r="K35" s="1008"/>
      <c r="L35" s="1008"/>
      <c r="M35" s="1008"/>
      <c r="N35" s="768">
        <f t="shared" si="1"/>
        <v>0</v>
      </c>
      <c r="O35" s="768">
        <f t="shared" si="2"/>
        <v>0</v>
      </c>
    </row>
    <row r="36" spans="1:15">
      <c r="A36" s="1007" t="s">
        <v>129</v>
      </c>
      <c r="B36" s="1007" t="s">
        <v>582</v>
      </c>
      <c r="C36" s="1007" t="s">
        <v>1639</v>
      </c>
      <c r="D36" s="1007" t="s">
        <v>1640</v>
      </c>
      <c r="E36" s="866">
        <v>0</v>
      </c>
      <c r="F36" s="1008">
        <v>5600</v>
      </c>
      <c r="G36" s="1008">
        <v>40000</v>
      </c>
      <c r="H36" s="1008">
        <f t="shared" si="0"/>
        <v>45600</v>
      </c>
      <c r="I36" s="1008"/>
      <c r="J36" s="1008"/>
      <c r="K36" s="1008"/>
      <c r="L36" s="1008"/>
      <c r="M36" s="1008"/>
      <c r="N36" s="768">
        <f t="shared" si="1"/>
        <v>45600</v>
      </c>
      <c r="O36" s="768">
        <f t="shared" si="2"/>
        <v>45600</v>
      </c>
    </row>
    <row r="37" spans="1:15">
      <c r="A37" s="1007" t="s">
        <v>130</v>
      </c>
      <c r="B37" s="1007" t="s">
        <v>585</v>
      </c>
      <c r="C37" s="1007" t="s">
        <v>191</v>
      </c>
      <c r="D37" s="1007" t="s">
        <v>1641</v>
      </c>
      <c r="E37" s="866">
        <v>0</v>
      </c>
      <c r="F37" s="1008"/>
      <c r="G37" s="1008"/>
      <c r="H37" s="1008">
        <f t="shared" si="0"/>
        <v>0</v>
      </c>
      <c r="I37" s="1008"/>
      <c r="J37" s="1008"/>
      <c r="K37" s="1008"/>
      <c r="L37" s="1008"/>
      <c r="M37" s="1008"/>
      <c r="N37" s="768">
        <f t="shared" si="1"/>
        <v>0</v>
      </c>
      <c r="O37" s="768">
        <f t="shared" si="2"/>
        <v>0</v>
      </c>
    </row>
    <row r="38" spans="1:15">
      <c r="A38" s="1007" t="s">
        <v>129</v>
      </c>
      <c r="B38" s="1007" t="s">
        <v>586</v>
      </c>
      <c r="C38" s="1007" t="s">
        <v>900</v>
      </c>
      <c r="D38" s="1007" t="s">
        <v>1642</v>
      </c>
      <c r="E38" s="866">
        <v>0</v>
      </c>
      <c r="F38" s="1008"/>
      <c r="G38" s="1008">
        <v>50000</v>
      </c>
      <c r="H38" s="1008">
        <f t="shared" si="0"/>
        <v>50000</v>
      </c>
      <c r="I38" s="1008">
        <v>350000</v>
      </c>
      <c r="J38" s="1008"/>
      <c r="K38" s="1008"/>
      <c r="L38" s="1008"/>
      <c r="M38" s="1008"/>
      <c r="N38" s="768">
        <f t="shared" si="1"/>
        <v>400000</v>
      </c>
      <c r="O38" s="768">
        <f t="shared" si="2"/>
        <v>400000</v>
      </c>
    </row>
    <row r="39" spans="1:15">
      <c r="A39" s="1007" t="s">
        <v>127</v>
      </c>
      <c r="B39" s="1007" t="s">
        <v>587</v>
      </c>
      <c r="C39" s="1007" t="s">
        <v>193</v>
      </c>
      <c r="D39" s="1007" t="s">
        <v>1643</v>
      </c>
      <c r="E39" s="866">
        <v>0</v>
      </c>
      <c r="F39" s="1008"/>
      <c r="G39" s="1008"/>
      <c r="H39" s="1008">
        <f t="shared" si="0"/>
        <v>0</v>
      </c>
      <c r="I39" s="1008"/>
      <c r="J39" s="1008"/>
      <c r="K39" s="1008"/>
      <c r="L39" s="1008"/>
      <c r="M39" s="1008"/>
      <c r="N39" s="768">
        <f t="shared" si="1"/>
        <v>0</v>
      </c>
      <c r="O39" s="768">
        <f t="shared" si="2"/>
        <v>0</v>
      </c>
    </row>
    <row r="40" spans="1:15">
      <c r="A40" s="1007" t="s">
        <v>130</v>
      </c>
      <c r="B40" s="1007" t="s">
        <v>588</v>
      </c>
      <c r="C40" s="1007" t="s">
        <v>147</v>
      </c>
      <c r="D40" s="1007" t="s">
        <v>1644</v>
      </c>
      <c r="E40" s="866">
        <v>0</v>
      </c>
      <c r="F40" s="1008"/>
      <c r="G40" s="1008"/>
      <c r="H40" s="1008">
        <f t="shared" si="0"/>
        <v>0</v>
      </c>
      <c r="I40" s="1008"/>
      <c r="J40" s="1008"/>
      <c r="K40" s="1008"/>
      <c r="L40" s="1008"/>
      <c r="M40" s="1008"/>
      <c r="N40" s="768">
        <f t="shared" si="1"/>
        <v>0</v>
      </c>
      <c r="O40" s="768">
        <f t="shared" si="2"/>
        <v>0</v>
      </c>
    </row>
    <row r="41" spans="1:15">
      <c r="A41" s="1007" t="s">
        <v>1645</v>
      </c>
      <c r="B41" s="1007" t="s">
        <v>1646</v>
      </c>
      <c r="C41" s="1007" t="s">
        <v>1647</v>
      </c>
      <c r="D41" s="1007" t="s">
        <v>1648</v>
      </c>
      <c r="E41" s="866">
        <v>0</v>
      </c>
      <c r="F41" s="1008">
        <v>4100000</v>
      </c>
      <c r="G41" s="1008"/>
      <c r="H41" s="1008">
        <f t="shared" si="0"/>
        <v>4100000</v>
      </c>
      <c r="I41" s="1008"/>
      <c r="J41" s="1008"/>
      <c r="K41" s="1008"/>
      <c r="L41" s="1008"/>
      <c r="M41" s="1008">
        <v>4629629.63</v>
      </c>
      <c r="N41" s="768">
        <f>SUM(E41:G41,I41:M41)</f>
        <v>8729629.629999999</v>
      </c>
      <c r="O41" s="768">
        <f t="shared" si="2"/>
        <v>8729629.629999999</v>
      </c>
    </row>
    <row r="42" spans="1:15">
      <c r="A42" s="1007" t="s">
        <v>1645</v>
      </c>
      <c r="B42" s="1007" t="s">
        <v>575</v>
      </c>
      <c r="C42" s="1007" t="s">
        <v>575</v>
      </c>
      <c r="D42" s="1007" t="s">
        <v>1649</v>
      </c>
      <c r="E42" s="866">
        <v>0</v>
      </c>
      <c r="F42" s="1008"/>
      <c r="G42" s="1008"/>
      <c r="H42" s="1008">
        <f t="shared" si="0"/>
        <v>0</v>
      </c>
      <c r="I42" s="1008"/>
      <c r="J42" s="1008"/>
      <c r="K42" s="1008"/>
      <c r="L42" s="1008"/>
      <c r="M42" s="1008"/>
      <c r="N42" s="768">
        <f t="shared" si="1"/>
        <v>0</v>
      </c>
      <c r="O42" s="768">
        <f t="shared" si="2"/>
        <v>0</v>
      </c>
    </row>
    <row r="43" spans="1:15">
      <c r="A43" s="1007" t="s">
        <v>1645</v>
      </c>
      <c r="B43" s="1007" t="s">
        <v>575</v>
      </c>
      <c r="C43" s="1007" t="s">
        <v>575</v>
      </c>
      <c r="D43" s="1007" t="s">
        <v>1650</v>
      </c>
      <c r="E43" s="866">
        <v>0</v>
      </c>
      <c r="F43" s="1008"/>
      <c r="G43" s="1008"/>
      <c r="H43" s="1008">
        <f t="shared" si="0"/>
        <v>0</v>
      </c>
      <c r="I43" s="1008"/>
      <c r="J43" s="1008"/>
      <c r="K43" s="1008"/>
      <c r="L43" s="1008"/>
      <c r="M43" s="1008"/>
      <c r="N43" s="768">
        <f t="shared" si="1"/>
        <v>0</v>
      </c>
      <c r="O43" s="768">
        <f t="shared" si="2"/>
        <v>0</v>
      </c>
    </row>
    <row r="44" spans="1:15">
      <c r="A44" s="1007" t="s">
        <v>1645</v>
      </c>
      <c r="B44" s="1007" t="s">
        <v>575</v>
      </c>
      <c r="C44" s="1007" t="s">
        <v>575</v>
      </c>
      <c r="D44" s="1007" t="s">
        <v>1651</v>
      </c>
      <c r="E44" s="866">
        <v>0</v>
      </c>
      <c r="F44" s="1008"/>
      <c r="G44" s="1008"/>
      <c r="H44" s="1008">
        <f t="shared" si="0"/>
        <v>0</v>
      </c>
      <c r="I44" s="1008"/>
      <c r="J44" s="1008"/>
      <c r="K44" s="1008"/>
      <c r="L44" s="1008"/>
      <c r="M44" s="1008"/>
      <c r="N44" s="768">
        <f t="shared" si="1"/>
        <v>0</v>
      </c>
      <c r="O44" s="768">
        <f t="shared" si="2"/>
        <v>0</v>
      </c>
    </row>
    <row r="45" spans="1:15">
      <c r="A45" s="1007" t="s">
        <v>131</v>
      </c>
      <c r="B45" s="1007" t="s">
        <v>589</v>
      </c>
      <c r="C45" s="1007" t="s">
        <v>194</v>
      </c>
      <c r="D45" s="1007" t="s">
        <v>1652</v>
      </c>
      <c r="E45" s="866">
        <v>0</v>
      </c>
      <c r="F45" s="1008"/>
      <c r="G45" s="1008">
        <v>40000</v>
      </c>
      <c r="H45" s="1008">
        <f t="shared" si="0"/>
        <v>40000</v>
      </c>
      <c r="I45" s="1008"/>
      <c r="J45" s="1008"/>
      <c r="K45" s="1008"/>
      <c r="L45" s="1008"/>
      <c r="M45" s="1008"/>
      <c r="N45" s="768">
        <f t="shared" si="1"/>
        <v>40000</v>
      </c>
      <c r="O45" s="768">
        <f t="shared" si="2"/>
        <v>40000</v>
      </c>
    </row>
    <row r="46" spans="1:15">
      <c r="A46" s="1007" t="s">
        <v>1631</v>
      </c>
      <c r="B46" s="1007" t="s">
        <v>575</v>
      </c>
      <c r="C46" s="1007" t="s">
        <v>575</v>
      </c>
      <c r="D46" s="1007" t="s">
        <v>1653</v>
      </c>
      <c r="E46" s="866">
        <v>0</v>
      </c>
      <c r="F46" s="1008"/>
      <c r="G46" s="1008"/>
      <c r="H46" s="1008">
        <f t="shared" si="0"/>
        <v>0</v>
      </c>
      <c r="I46" s="1008"/>
      <c r="J46" s="1008"/>
      <c r="K46" s="1008"/>
      <c r="L46" s="1008"/>
      <c r="M46" s="1008"/>
      <c r="N46" s="768">
        <f t="shared" si="1"/>
        <v>0</v>
      </c>
      <c r="O46" s="768">
        <f t="shared" si="2"/>
        <v>0</v>
      </c>
    </row>
    <row r="47" spans="1:15">
      <c r="A47" s="1007" t="s">
        <v>1645</v>
      </c>
      <c r="B47" s="1007" t="s">
        <v>575</v>
      </c>
      <c r="C47" s="1007" t="s">
        <v>575</v>
      </c>
      <c r="D47" s="1007" t="s">
        <v>1654</v>
      </c>
      <c r="E47" s="866">
        <v>0</v>
      </c>
      <c r="F47" s="1008"/>
      <c r="G47" s="1008"/>
      <c r="H47" s="1008">
        <f t="shared" si="0"/>
        <v>0</v>
      </c>
      <c r="I47" s="1008"/>
      <c r="J47" s="1008"/>
      <c r="K47" s="1008"/>
      <c r="L47" s="1008"/>
      <c r="M47" s="1008"/>
      <c r="N47" s="768">
        <f t="shared" si="1"/>
        <v>0</v>
      </c>
      <c r="O47" s="768">
        <f t="shared" si="2"/>
        <v>0</v>
      </c>
    </row>
    <row r="48" spans="1:15">
      <c r="A48" s="766" t="s">
        <v>130</v>
      </c>
      <c r="B48" s="766" t="s">
        <v>590</v>
      </c>
      <c r="C48" s="766" t="s">
        <v>195</v>
      </c>
      <c r="D48" s="766" t="s">
        <v>1655</v>
      </c>
      <c r="E48" s="868">
        <v>200000</v>
      </c>
      <c r="F48" s="1008"/>
      <c r="G48" s="1008"/>
      <c r="H48" s="1008">
        <f t="shared" si="0"/>
        <v>0</v>
      </c>
      <c r="I48" s="1008"/>
      <c r="J48" s="1008"/>
      <c r="K48" s="1008"/>
      <c r="L48" s="1008"/>
      <c r="M48" s="1008"/>
      <c r="N48" s="768">
        <f t="shared" si="1"/>
        <v>200000</v>
      </c>
      <c r="O48" s="768">
        <f t="shared" si="2"/>
        <v>0</v>
      </c>
    </row>
    <row r="49" spans="1:15">
      <c r="A49" s="1007" t="s">
        <v>130</v>
      </c>
      <c r="B49" s="1007" t="s">
        <v>591</v>
      </c>
      <c r="C49" s="1007" t="s">
        <v>196</v>
      </c>
      <c r="D49" s="1007" t="s">
        <v>1656</v>
      </c>
      <c r="E49" s="866">
        <v>0</v>
      </c>
      <c r="F49" s="1008"/>
      <c r="G49" s="1008"/>
      <c r="H49" s="1008">
        <f t="shared" si="0"/>
        <v>0</v>
      </c>
      <c r="I49" s="1008"/>
      <c r="J49" s="1008"/>
      <c r="K49" s="1008"/>
      <c r="L49" s="1008"/>
      <c r="M49" s="1008"/>
      <c r="N49" s="768">
        <f t="shared" si="1"/>
        <v>0</v>
      </c>
      <c r="O49" s="768">
        <f t="shared" si="2"/>
        <v>0</v>
      </c>
    </row>
    <row r="50" spans="1:15">
      <c r="A50" s="1007" t="s">
        <v>129</v>
      </c>
      <c r="B50" s="1007" t="s">
        <v>581</v>
      </c>
      <c r="C50" s="1007" t="s">
        <v>1657</v>
      </c>
      <c r="D50" s="1007" t="s">
        <v>1658</v>
      </c>
      <c r="E50" s="866">
        <v>0</v>
      </c>
      <c r="F50" s="1008"/>
      <c r="G50" s="1008"/>
      <c r="H50" s="1008">
        <f t="shared" si="0"/>
        <v>0</v>
      </c>
      <c r="I50" s="1008">
        <v>663750</v>
      </c>
      <c r="J50" s="1008">
        <v>1650000</v>
      </c>
      <c r="K50" s="1008"/>
      <c r="L50" s="1008"/>
      <c r="M50" s="1008"/>
      <c r="N50" s="768">
        <f t="shared" si="1"/>
        <v>2313750</v>
      </c>
      <c r="O50" s="768">
        <f t="shared" si="2"/>
        <v>2313750</v>
      </c>
    </row>
    <row r="51" spans="1:15">
      <c r="A51" s="1007" t="s">
        <v>126</v>
      </c>
      <c r="B51" s="1007" t="s">
        <v>575</v>
      </c>
      <c r="C51" s="1007" t="s">
        <v>575</v>
      </c>
      <c r="D51" s="1007" t="s">
        <v>126</v>
      </c>
      <c r="E51" s="866">
        <v>0</v>
      </c>
      <c r="F51" s="1008"/>
      <c r="G51" s="1008"/>
      <c r="H51" s="1008">
        <f t="shared" si="0"/>
        <v>0</v>
      </c>
      <c r="I51" s="1008">
        <v>112000</v>
      </c>
      <c r="J51" s="1008"/>
      <c r="K51" s="1008"/>
      <c r="L51" s="1008">
        <v>320000</v>
      </c>
      <c r="M51" s="1008"/>
      <c r="N51" s="768">
        <f t="shared" si="1"/>
        <v>432000</v>
      </c>
      <c r="O51" s="768">
        <f t="shared" si="2"/>
        <v>432000</v>
      </c>
    </row>
    <row r="52" spans="1:15">
      <c r="A52" s="1007" t="s">
        <v>1631</v>
      </c>
      <c r="B52" s="1007" t="s">
        <v>575</v>
      </c>
      <c r="C52" s="1007" t="s">
        <v>575</v>
      </c>
      <c r="D52" s="1007" t="s">
        <v>1659</v>
      </c>
      <c r="E52" s="866">
        <v>0</v>
      </c>
      <c r="F52" s="1008"/>
      <c r="G52" s="1008"/>
      <c r="H52" s="1008">
        <f t="shared" si="0"/>
        <v>0</v>
      </c>
      <c r="I52" s="1008"/>
      <c r="J52" s="1008"/>
      <c r="K52" s="1008"/>
      <c r="L52" s="1008"/>
      <c r="M52" s="1008"/>
      <c r="N52" s="768">
        <f t="shared" si="1"/>
        <v>0</v>
      </c>
      <c r="O52" s="768">
        <f t="shared" si="2"/>
        <v>0</v>
      </c>
    </row>
    <row r="53" spans="1:15">
      <c r="A53" s="1007" t="s">
        <v>127</v>
      </c>
      <c r="B53" s="1007" t="s">
        <v>575</v>
      </c>
      <c r="C53" s="1007" t="s">
        <v>575</v>
      </c>
      <c r="D53" s="1007" t="s">
        <v>127</v>
      </c>
      <c r="E53" s="866">
        <v>0</v>
      </c>
      <c r="F53" s="1008"/>
      <c r="G53" s="1008"/>
      <c r="H53" s="1008">
        <f t="shared" si="0"/>
        <v>0</v>
      </c>
      <c r="I53" s="1009">
        <v>112000</v>
      </c>
      <c r="J53" s="1009">
        <v>205000</v>
      </c>
      <c r="K53" s="1008"/>
      <c r="L53" s="1008"/>
      <c r="M53" s="1008"/>
      <c r="N53" s="768">
        <f t="shared" si="1"/>
        <v>317000</v>
      </c>
      <c r="O53" s="768">
        <f t="shared" si="2"/>
        <v>317000</v>
      </c>
    </row>
    <row r="54" spans="1:15">
      <c r="A54" s="1007" t="s">
        <v>130</v>
      </c>
      <c r="B54" s="1007" t="s">
        <v>592</v>
      </c>
      <c r="C54" s="1007" t="s">
        <v>197</v>
      </c>
      <c r="D54" s="1007" t="s">
        <v>1660</v>
      </c>
      <c r="E54" s="866">
        <v>0</v>
      </c>
      <c r="F54" s="1008"/>
      <c r="G54" s="1008"/>
      <c r="H54" s="1008">
        <f t="shared" si="0"/>
        <v>0</v>
      </c>
      <c r="I54" s="1008"/>
      <c r="J54" s="1008"/>
      <c r="K54" s="1008"/>
      <c r="L54" s="1008"/>
      <c r="M54" s="1008"/>
      <c r="N54" s="768">
        <f t="shared" si="1"/>
        <v>0</v>
      </c>
      <c r="O54" s="768">
        <f t="shared" si="2"/>
        <v>0</v>
      </c>
    </row>
    <row r="55" spans="1:15">
      <c r="A55" s="1007" t="s">
        <v>1645</v>
      </c>
      <c r="B55" s="1007" t="s">
        <v>575</v>
      </c>
      <c r="C55" s="1007" t="s">
        <v>575</v>
      </c>
      <c r="D55" s="1007" t="s">
        <v>1661</v>
      </c>
      <c r="E55" s="866">
        <v>0</v>
      </c>
      <c r="F55" s="1008"/>
      <c r="G55" s="1008"/>
      <c r="H55" s="1008">
        <f t="shared" si="0"/>
        <v>0</v>
      </c>
      <c r="I55" s="1008"/>
      <c r="J55" s="1008"/>
      <c r="K55" s="1008"/>
      <c r="L55" s="1008"/>
      <c r="M55" s="1008"/>
      <c r="N55" s="768">
        <f t="shared" si="1"/>
        <v>0</v>
      </c>
      <c r="O55" s="768">
        <f t="shared" si="2"/>
        <v>0</v>
      </c>
    </row>
    <row r="56" spans="1:15">
      <c r="A56" s="1007" t="s">
        <v>131</v>
      </c>
      <c r="B56" s="1007" t="s">
        <v>593</v>
      </c>
      <c r="C56" s="1007" t="s">
        <v>1662</v>
      </c>
      <c r="D56" s="1007" t="s">
        <v>1663</v>
      </c>
      <c r="E56" s="868">
        <v>8129931</v>
      </c>
      <c r="F56" s="1008"/>
      <c r="G56" s="1008">
        <v>70000</v>
      </c>
      <c r="H56" s="1008">
        <f t="shared" si="0"/>
        <v>70000</v>
      </c>
      <c r="I56" s="1008"/>
      <c r="J56" s="1008"/>
      <c r="K56" s="1008"/>
      <c r="L56" s="1008"/>
      <c r="M56" s="1008"/>
      <c r="N56" s="768">
        <f t="shared" si="1"/>
        <v>8199931</v>
      </c>
      <c r="O56" s="768">
        <f t="shared" si="2"/>
        <v>70000</v>
      </c>
    </row>
    <row r="57" spans="1:15">
      <c r="A57" s="1007" t="s">
        <v>130</v>
      </c>
      <c r="B57" s="1007" t="s">
        <v>594</v>
      </c>
      <c r="C57" s="1007" t="s">
        <v>199</v>
      </c>
      <c r="D57" s="1007" t="s">
        <v>1664</v>
      </c>
      <c r="E57" s="866">
        <v>1191606</v>
      </c>
      <c r="F57" s="1008"/>
      <c r="G57" s="1008"/>
      <c r="H57" s="1008">
        <f t="shared" si="0"/>
        <v>0</v>
      </c>
      <c r="I57" s="1008">
        <v>135000</v>
      </c>
      <c r="J57" s="1008"/>
      <c r="K57" s="1008"/>
      <c r="L57" s="1008"/>
      <c r="M57" s="1008"/>
      <c r="N57" s="768">
        <f t="shared" si="1"/>
        <v>1326606</v>
      </c>
      <c r="O57" s="768">
        <f t="shared" si="2"/>
        <v>135000</v>
      </c>
    </row>
    <row r="58" spans="1:15">
      <c r="A58" s="1007" t="s">
        <v>1631</v>
      </c>
      <c r="B58" s="1007" t="s">
        <v>575</v>
      </c>
      <c r="C58" s="1007" t="s">
        <v>575</v>
      </c>
      <c r="D58" s="1007" t="s">
        <v>1665</v>
      </c>
      <c r="E58" s="866">
        <v>0</v>
      </c>
      <c r="F58" s="1008"/>
      <c r="G58" s="1008"/>
      <c r="H58" s="1008">
        <f t="shared" si="0"/>
        <v>0</v>
      </c>
      <c r="I58" s="1008"/>
      <c r="J58" s="1008"/>
      <c r="K58" s="1008"/>
      <c r="L58" s="1008"/>
      <c r="M58" s="1008"/>
      <c r="N58" s="768">
        <f t="shared" si="1"/>
        <v>0</v>
      </c>
      <c r="O58" s="768">
        <f t="shared" si="2"/>
        <v>0</v>
      </c>
    </row>
    <row r="59" spans="1:15">
      <c r="A59" s="1007" t="s">
        <v>1645</v>
      </c>
      <c r="B59" s="1007" t="s">
        <v>575</v>
      </c>
      <c r="C59" s="1007" t="s">
        <v>575</v>
      </c>
      <c r="D59" s="1007" t="s">
        <v>1666</v>
      </c>
      <c r="E59" s="866">
        <v>0</v>
      </c>
      <c r="F59" s="1008"/>
      <c r="G59" s="1008"/>
      <c r="H59" s="1008">
        <f t="shared" si="0"/>
        <v>0</v>
      </c>
      <c r="I59" s="1008"/>
      <c r="J59" s="1008"/>
      <c r="K59" s="1008"/>
      <c r="L59" s="1008"/>
      <c r="M59" s="1008"/>
      <c r="N59" s="768">
        <f t="shared" si="1"/>
        <v>0</v>
      </c>
      <c r="O59" s="768">
        <f t="shared" si="2"/>
        <v>0</v>
      </c>
    </row>
    <row r="60" spans="1:15">
      <c r="A60" s="1007" t="s">
        <v>1645</v>
      </c>
      <c r="B60" s="1007" t="s">
        <v>575</v>
      </c>
      <c r="C60" s="1007" t="s">
        <v>575</v>
      </c>
      <c r="D60" s="1007" t="s">
        <v>1667</v>
      </c>
      <c r="E60" s="866">
        <v>0</v>
      </c>
      <c r="F60" s="1008"/>
      <c r="G60" s="1008"/>
      <c r="H60" s="1008">
        <f t="shared" si="0"/>
        <v>0</v>
      </c>
      <c r="I60" s="1008"/>
      <c r="J60" s="1008"/>
      <c r="K60" s="1008"/>
      <c r="L60" s="1008"/>
      <c r="M60" s="1008"/>
      <c r="N60" s="768">
        <f t="shared" si="1"/>
        <v>0</v>
      </c>
      <c r="O60" s="768">
        <f t="shared" si="2"/>
        <v>0</v>
      </c>
    </row>
    <row r="61" spans="1:15">
      <c r="A61" s="1007" t="s">
        <v>129</v>
      </c>
      <c r="B61" s="1007" t="s">
        <v>595</v>
      </c>
      <c r="C61" s="1007" t="s">
        <v>200</v>
      </c>
      <c r="D61" s="1007" t="s">
        <v>1668</v>
      </c>
      <c r="E61" s="866">
        <v>0</v>
      </c>
      <c r="F61" s="1008"/>
      <c r="G61" s="1008"/>
      <c r="H61" s="1008">
        <f t="shared" si="0"/>
        <v>0</v>
      </c>
      <c r="I61" s="1008"/>
      <c r="J61" s="1008"/>
      <c r="K61" s="1008"/>
      <c r="L61" s="1008"/>
      <c r="M61" s="1008"/>
      <c r="N61" s="768">
        <f t="shared" si="1"/>
        <v>0</v>
      </c>
      <c r="O61" s="768">
        <f t="shared" si="2"/>
        <v>0</v>
      </c>
    </row>
    <row r="62" spans="1:15">
      <c r="A62" s="1007" t="s">
        <v>128</v>
      </c>
      <c r="B62" s="1007" t="s">
        <v>555</v>
      </c>
      <c r="C62" s="1007" t="s">
        <v>556</v>
      </c>
      <c r="D62" s="1007" t="s">
        <v>1616</v>
      </c>
      <c r="E62" s="866">
        <v>100000</v>
      </c>
      <c r="F62" s="1008"/>
      <c r="G62" s="1008"/>
      <c r="H62" s="1008">
        <f t="shared" si="0"/>
        <v>0</v>
      </c>
      <c r="I62" s="1008"/>
      <c r="J62" s="1008"/>
      <c r="K62" s="1008"/>
      <c r="L62" s="1008"/>
      <c r="M62" s="1008"/>
      <c r="N62" s="768">
        <f t="shared" si="1"/>
        <v>100000</v>
      </c>
      <c r="O62" s="768">
        <f t="shared" si="2"/>
        <v>0</v>
      </c>
    </row>
    <row r="63" spans="1:15">
      <c r="A63" s="1007" t="s">
        <v>128</v>
      </c>
      <c r="B63" s="1007" t="s">
        <v>575</v>
      </c>
      <c r="C63" s="1007" t="s">
        <v>575</v>
      </c>
      <c r="D63" s="1007" t="s">
        <v>128</v>
      </c>
      <c r="E63" s="866">
        <v>0</v>
      </c>
      <c r="F63" s="1008"/>
      <c r="G63" s="1008"/>
      <c r="H63" s="1008">
        <f t="shared" si="0"/>
        <v>0</v>
      </c>
      <c r="I63" s="1008">
        <v>112000</v>
      </c>
      <c r="J63" s="1008">
        <v>150700</v>
      </c>
      <c r="K63" s="1008"/>
      <c r="L63" s="1008"/>
      <c r="M63" s="1008"/>
      <c r="N63" s="768">
        <f t="shared" si="1"/>
        <v>262700</v>
      </c>
      <c r="O63" s="768">
        <f t="shared" si="2"/>
        <v>262700</v>
      </c>
    </row>
    <row r="64" spans="1:15">
      <c r="A64" s="1007" t="s">
        <v>1631</v>
      </c>
      <c r="B64" s="1007" t="s">
        <v>575</v>
      </c>
      <c r="C64" s="1007" t="s">
        <v>575</v>
      </c>
      <c r="D64" s="1007" t="s">
        <v>1669</v>
      </c>
      <c r="E64" s="866">
        <v>0</v>
      </c>
      <c r="F64" s="1008"/>
      <c r="G64" s="1008"/>
      <c r="H64" s="1008">
        <f t="shared" si="0"/>
        <v>0</v>
      </c>
      <c r="I64" s="1008"/>
      <c r="J64" s="1008"/>
      <c r="K64" s="1008"/>
      <c r="L64" s="1008"/>
      <c r="M64" s="1008"/>
      <c r="N64" s="768">
        <f t="shared" si="1"/>
        <v>0</v>
      </c>
      <c r="O64" s="768">
        <f t="shared" si="2"/>
        <v>0</v>
      </c>
    </row>
    <row r="65" spans="1:15">
      <c r="A65" s="1007" t="s">
        <v>128</v>
      </c>
      <c r="B65" s="1007" t="s">
        <v>597</v>
      </c>
      <c r="C65" s="1007" t="s">
        <v>202</v>
      </c>
      <c r="D65" s="1007" t="s">
        <v>1670</v>
      </c>
      <c r="E65" s="868">
        <v>460000</v>
      </c>
      <c r="F65" s="1008"/>
      <c r="G65" s="1008">
        <v>40000</v>
      </c>
      <c r="H65" s="1008">
        <f t="shared" si="0"/>
        <v>40000</v>
      </c>
      <c r="I65" s="1008"/>
      <c r="J65" s="1008"/>
      <c r="K65" s="1008"/>
      <c r="L65" s="1008"/>
      <c r="M65" s="1008"/>
      <c r="N65" s="768">
        <f t="shared" si="1"/>
        <v>500000</v>
      </c>
      <c r="O65" s="768">
        <f t="shared" si="2"/>
        <v>40000</v>
      </c>
    </row>
    <row r="66" spans="1:15">
      <c r="A66" s="1007" t="s">
        <v>128</v>
      </c>
      <c r="B66" s="1007" t="s">
        <v>598</v>
      </c>
      <c r="C66" s="1007" t="s">
        <v>203</v>
      </c>
      <c r="D66" s="1007" t="s">
        <v>1671</v>
      </c>
      <c r="E66" s="866">
        <v>0</v>
      </c>
      <c r="F66" s="1008">
        <v>92209</v>
      </c>
      <c r="G66" s="1008">
        <v>70000</v>
      </c>
      <c r="H66" s="1008">
        <f t="shared" si="0"/>
        <v>162209</v>
      </c>
      <c r="I66" s="1008">
        <v>680000</v>
      </c>
      <c r="J66" s="1008"/>
      <c r="K66" s="1008"/>
      <c r="L66" s="1008"/>
      <c r="M66" s="1008"/>
      <c r="N66" s="768">
        <f t="shared" si="1"/>
        <v>842209</v>
      </c>
      <c r="O66" s="768">
        <f t="shared" si="2"/>
        <v>842209</v>
      </c>
    </row>
    <row r="67" spans="1:15">
      <c r="A67" s="1007" t="s">
        <v>1645</v>
      </c>
      <c r="B67" s="1007" t="s">
        <v>575</v>
      </c>
      <c r="C67" s="1007" t="s">
        <v>575</v>
      </c>
      <c r="D67" s="1007" t="s">
        <v>1672</v>
      </c>
      <c r="E67" s="866">
        <v>0</v>
      </c>
      <c r="F67" s="1008"/>
      <c r="G67" s="1008"/>
      <c r="H67" s="1008">
        <f t="shared" si="0"/>
        <v>0</v>
      </c>
      <c r="I67" s="1008"/>
      <c r="J67" s="1008"/>
      <c r="K67" s="1008"/>
      <c r="L67" s="1008"/>
      <c r="M67" s="1008"/>
      <c r="N67" s="768">
        <f t="shared" si="1"/>
        <v>0</v>
      </c>
      <c r="O67" s="768">
        <f t="shared" si="2"/>
        <v>0</v>
      </c>
    </row>
    <row r="68" spans="1:15">
      <c r="A68" s="1007" t="s">
        <v>1645</v>
      </c>
      <c r="B68" s="1007" t="s">
        <v>575</v>
      </c>
      <c r="C68" s="1007" t="s">
        <v>575</v>
      </c>
      <c r="D68" s="1007" t="s">
        <v>1673</v>
      </c>
      <c r="E68" s="866">
        <v>0</v>
      </c>
      <c r="F68" s="1008"/>
      <c r="G68" s="1008"/>
      <c r="H68" s="1008">
        <f t="shared" si="0"/>
        <v>0</v>
      </c>
      <c r="I68" s="1008"/>
      <c r="J68" s="1008"/>
      <c r="K68" s="1008"/>
      <c r="L68" s="1008"/>
      <c r="M68" s="1008"/>
      <c r="N68" s="768">
        <f t="shared" si="1"/>
        <v>0</v>
      </c>
      <c r="O68" s="768">
        <f t="shared" si="2"/>
        <v>0</v>
      </c>
    </row>
    <row r="69" spans="1:15">
      <c r="A69" s="766" t="s">
        <v>126</v>
      </c>
      <c r="B69" s="766" t="s">
        <v>599</v>
      </c>
      <c r="C69" s="766" t="s">
        <v>204</v>
      </c>
      <c r="D69" s="766" t="s">
        <v>1674</v>
      </c>
      <c r="E69" s="869">
        <v>460000</v>
      </c>
      <c r="F69" s="1008"/>
      <c r="G69" s="1008"/>
      <c r="H69" s="1008">
        <f t="shared" si="0"/>
        <v>0</v>
      </c>
      <c r="I69" s="1008"/>
      <c r="J69" s="1008"/>
      <c r="K69" s="1008"/>
      <c r="L69" s="1008"/>
      <c r="M69" s="1008"/>
      <c r="N69" s="768">
        <f t="shared" si="1"/>
        <v>460000</v>
      </c>
      <c r="O69" s="768">
        <f t="shared" si="2"/>
        <v>0</v>
      </c>
    </row>
    <row r="70" spans="1:15">
      <c r="A70" s="1007" t="s">
        <v>129</v>
      </c>
      <c r="B70" s="1007" t="s">
        <v>600</v>
      </c>
      <c r="C70" s="1007" t="s">
        <v>205</v>
      </c>
      <c r="D70" s="1007" t="s">
        <v>1675</v>
      </c>
      <c r="E70" s="866">
        <v>0</v>
      </c>
      <c r="F70" s="1008"/>
      <c r="G70" s="1008"/>
      <c r="H70" s="1008">
        <f t="shared" si="0"/>
        <v>0</v>
      </c>
      <c r="I70" s="1008"/>
      <c r="J70" s="1008"/>
      <c r="K70" s="1008"/>
      <c r="L70" s="1008"/>
      <c r="M70" s="1008"/>
      <c r="N70" s="768">
        <f t="shared" si="1"/>
        <v>0</v>
      </c>
      <c r="O70" s="768">
        <f t="shared" si="2"/>
        <v>0</v>
      </c>
    </row>
    <row r="71" spans="1:15">
      <c r="A71" s="1007" t="s">
        <v>129</v>
      </c>
      <c r="B71" s="1007" t="s">
        <v>601</v>
      </c>
      <c r="C71" s="1007" t="s">
        <v>1676</v>
      </c>
      <c r="D71" s="1007" t="s">
        <v>1677</v>
      </c>
      <c r="E71" s="866">
        <v>0</v>
      </c>
      <c r="F71" s="1008"/>
      <c r="G71" s="1008"/>
      <c r="H71" s="1008">
        <f t="shared" ref="H71:H134" si="3">SUM(F71:G71)</f>
        <v>0</v>
      </c>
      <c r="I71" s="1008"/>
      <c r="J71" s="1008"/>
      <c r="K71" s="1008"/>
      <c r="L71" s="1008"/>
      <c r="M71" s="1008"/>
      <c r="N71" s="768">
        <f t="shared" ref="N71:N134" si="4">SUM(E71:G71,I71:M71)</f>
        <v>0</v>
      </c>
      <c r="O71" s="768">
        <f t="shared" ref="O71:O134" si="5">N71-E71</f>
        <v>0</v>
      </c>
    </row>
    <row r="72" spans="1:15">
      <c r="A72" s="1007" t="s">
        <v>1645</v>
      </c>
      <c r="B72" s="1007" t="s">
        <v>575</v>
      </c>
      <c r="C72" s="1007" t="s">
        <v>575</v>
      </c>
      <c r="D72" s="1007" t="s">
        <v>1678</v>
      </c>
      <c r="E72" s="866">
        <v>0</v>
      </c>
      <c r="F72" s="1008"/>
      <c r="G72" s="1008"/>
      <c r="H72" s="1008">
        <f t="shared" si="3"/>
        <v>0</v>
      </c>
      <c r="I72" s="1008"/>
      <c r="J72" s="1008"/>
      <c r="K72" s="1008"/>
      <c r="L72" s="1008"/>
      <c r="M72" s="1008"/>
      <c r="N72" s="768">
        <f t="shared" si="4"/>
        <v>0</v>
      </c>
      <c r="O72" s="768">
        <f t="shared" si="5"/>
        <v>0</v>
      </c>
    </row>
    <row r="73" spans="1:15">
      <c r="A73" s="1007" t="s">
        <v>127</v>
      </c>
      <c r="B73" s="1007" t="s">
        <v>602</v>
      </c>
      <c r="C73" s="1007" t="s">
        <v>207</v>
      </c>
      <c r="D73" s="1007" t="s">
        <v>1679</v>
      </c>
      <c r="E73" s="866">
        <v>0</v>
      </c>
      <c r="F73" s="1008"/>
      <c r="G73" s="1008"/>
      <c r="H73" s="1008">
        <f t="shared" si="3"/>
        <v>0</v>
      </c>
      <c r="I73" s="1008"/>
      <c r="J73" s="1008"/>
      <c r="K73" s="1008"/>
      <c r="L73" s="1008"/>
      <c r="M73" s="1008"/>
      <c r="N73" s="768">
        <f t="shared" si="4"/>
        <v>0</v>
      </c>
      <c r="O73" s="768">
        <f t="shared" si="5"/>
        <v>0</v>
      </c>
    </row>
    <row r="74" spans="1:15">
      <c r="A74" s="1007" t="s">
        <v>129</v>
      </c>
      <c r="B74" s="1007" t="s">
        <v>603</v>
      </c>
      <c r="C74" s="1007" t="s">
        <v>208</v>
      </c>
      <c r="D74" s="1007" t="s">
        <v>1680</v>
      </c>
      <c r="E74" s="866">
        <v>0</v>
      </c>
      <c r="F74" s="1008"/>
      <c r="G74" s="1008"/>
      <c r="H74" s="1008">
        <f t="shared" si="3"/>
        <v>0</v>
      </c>
      <c r="I74" s="1008">
        <v>350000</v>
      </c>
      <c r="J74" s="1008">
        <v>540000</v>
      </c>
      <c r="K74" s="1008"/>
      <c r="L74" s="1008"/>
      <c r="M74" s="1008"/>
      <c r="N74" s="768">
        <f t="shared" si="4"/>
        <v>890000</v>
      </c>
      <c r="O74" s="768">
        <f t="shared" si="5"/>
        <v>890000</v>
      </c>
    </row>
    <row r="75" spans="1:15">
      <c r="A75" s="1007" t="s">
        <v>1681</v>
      </c>
      <c r="B75" s="1007" t="s">
        <v>575</v>
      </c>
      <c r="C75" s="1007" t="s">
        <v>575</v>
      </c>
      <c r="D75" s="1007" t="s">
        <v>1682</v>
      </c>
      <c r="E75" s="866">
        <v>0</v>
      </c>
      <c r="F75" s="1008"/>
      <c r="G75" s="1008"/>
      <c r="H75" s="1008">
        <f t="shared" si="3"/>
        <v>0</v>
      </c>
      <c r="I75" s="1008"/>
      <c r="J75" s="1008"/>
      <c r="K75" s="1008"/>
      <c r="L75" s="1008"/>
      <c r="M75" s="1008"/>
      <c r="N75" s="768">
        <f t="shared" si="4"/>
        <v>0</v>
      </c>
      <c r="O75" s="768">
        <f t="shared" si="5"/>
        <v>0</v>
      </c>
    </row>
    <row r="76" spans="1:15">
      <c r="A76" s="1007" t="s">
        <v>127</v>
      </c>
      <c r="B76" s="1007" t="s">
        <v>1683</v>
      </c>
      <c r="C76" s="1007" t="s">
        <v>1684</v>
      </c>
      <c r="D76" s="1007" t="s">
        <v>1685</v>
      </c>
      <c r="E76" s="866">
        <v>0</v>
      </c>
      <c r="F76" s="1008"/>
      <c r="G76" s="1008"/>
      <c r="H76" s="1008">
        <f t="shared" si="3"/>
        <v>0</v>
      </c>
      <c r="I76" s="1008"/>
      <c r="J76" s="1008"/>
      <c r="K76" s="1008"/>
      <c r="L76" s="1008"/>
      <c r="M76" s="1008"/>
      <c r="N76" s="768">
        <f t="shared" si="4"/>
        <v>0</v>
      </c>
      <c r="O76" s="768">
        <f t="shared" si="5"/>
        <v>0</v>
      </c>
    </row>
    <row r="77" spans="1:15">
      <c r="A77" s="766" t="s">
        <v>130</v>
      </c>
      <c r="B77" s="766" t="s">
        <v>604</v>
      </c>
      <c r="C77" s="766" t="s">
        <v>209</v>
      </c>
      <c r="D77" s="766" t="s">
        <v>1686</v>
      </c>
      <c r="E77" s="868">
        <v>430000</v>
      </c>
      <c r="F77" s="1008"/>
      <c r="G77" s="1008"/>
      <c r="H77" s="1008">
        <f t="shared" si="3"/>
        <v>0</v>
      </c>
      <c r="I77" s="1008"/>
      <c r="J77" s="1008"/>
      <c r="K77" s="1008"/>
      <c r="L77" s="1008"/>
      <c r="M77" s="1008"/>
      <c r="N77" s="768">
        <f t="shared" si="4"/>
        <v>430000</v>
      </c>
      <c r="O77" s="768">
        <f t="shared" si="5"/>
        <v>0</v>
      </c>
    </row>
    <row r="78" spans="1:15">
      <c r="A78" s="1007" t="s">
        <v>1681</v>
      </c>
      <c r="B78" s="1007" t="s">
        <v>575</v>
      </c>
      <c r="C78" s="1007" t="s">
        <v>575</v>
      </c>
      <c r="D78" s="1007" t="s">
        <v>1687</v>
      </c>
      <c r="E78" s="866">
        <v>0</v>
      </c>
      <c r="F78" s="1008"/>
      <c r="G78" s="1008"/>
      <c r="H78" s="1008">
        <f t="shared" si="3"/>
        <v>0</v>
      </c>
      <c r="I78" s="1008"/>
      <c r="J78" s="1008"/>
      <c r="K78" s="1008"/>
      <c r="L78" s="1008"/>
      <c r="M78" s="1008"/>
      <c r="N78" s="768">
        <f t="shared" si="4"/>
        <v>0</v>
      </c>
      <c r="O78" s="768">
        <f t="shared" si="5"/>
        <v>0</v>
      </c>
    </row>
    <row r="79" spans="1:15">
      <c r="A79" s="1007" t="s">
        <v>1681</v>
      </c>
      <c r="B79" s="1007" t="s">
        <v>575</v>
      </c>
      <c r="C79" s="1007" t="s">
        <v>575</v>
      </c>
      <c r="D79" s="1007" t="s">
        <v>1688</v>
      </c>
      <c r="E79" s="866">
        <v>0</v>
      </c>
      <c r="F79" s="1008"/>
      <c r="G79" s="1008"/>
      <c r="H79" s="1008">
        <f t="shared" si="3"/>
        <v>0</v>
      </c>
      <c r="I79" s="1008"/>
      <c r="J79" s="1008"/>
      <c r="K79" s="1008"/>
      <c r="L79" s="1008"/>
      <c r="M79" s="1008"/>
      <c r="N79" s="768">
        <f t="shared" si="4"/>
        <v>0</v>
      </c>
      <c r="O79" s="768">
        <f t="shared" si="5"/>
        <v>0</v>
      </c>
    </row>
    <row r="80" spans="1:15">
      <c r="A80" s="1007" t="s">
        <v>1681</v>
      </c>
      <c r="B80" s="1007" t="s">
        <v>575</v>
      </c>
      <c r="C80" s="1007" t="s">
        <v>575</v>
      </c>
      <c r="D80" s="1007" t="s">
        <v>1689</v>
      </c>
      <c r="E80" s="866">
        <v>0</v>
      </c>
      <c r="F80" s="1008"/>
      <c r="G80" s="1008"/>
      <c r="H80" s="1008">
        <f t="shared" si="3"/>
        <v>0</v>
      </c>
      <c r="I80" s="1008"/>
      <c r="J80" s="1008"/>
      <c r="K80" s="1008"/>
      <c r="L80" s="1008"/>
      <c r="M80" s="1008"/>
      <c r="N80" s="768">
        <f t="shared" si="4"/>
        <v>0</v>
      </c>
      <c r="O80" s="768">
        <f t="shared" si="5"/>
        <v>0</v>
      </c>
    </row>
    <row r="81" spans="1:15">
      <c r="A81" s="1007" t="s">
        <v>1681</v>
      </c>
      <c r="B81" s="1007" t="s">
        <v>575</v>
      </c>
      <c r="C81" s="1007" t="s">
        <v>575</v>
      </c>
      <c r="D81" s="1007" t="s">
        <v>1690</v>
      </c>
      <c r="E81" s="866">
        <v>0</v>
      </c>
      <c r="F81" s="1008"/>
      <c r="G81" s="1008"/>
      <c r="H81" s="1008">
        <f t="shared" si="3"/>
        <v>0</v>
      </c>
      <c r="I81" s="1008"/>
      <c r="J81" s="1008"/>
      <c r="K81" s="1008"/>
      <c r="L81" s="1008"/>
      <c r="M81" s="1008"/>
      <c r="N81" s="768">
        <f t="shared" si="4"/>
        <v>0</v>
      </c>
      <c r="O81" s="768">
        <f t="shared" si="5"/>
        <v>0</v>
      </c>
    </row>
    <row r="82" spans="1:15">
      <c r="A82" s="1007" t="s">
        <v>1681</v>
      </c>
      <c r="B82" s="1007" t="s">
        <v>575</v>
      </c>
      <c r="C82" s="1007" t="s">
        <v>575</v>
      </c>
      <c r="D82" s="1007" t="s">
        <v>1691</v>
      </c>
      <c r="E82" s="866">
        <v>0</v>
      </c>
      <c r="F82" s="1008"/>
      <c r="G82" s="1008"/>
      <c r="H82" s="1008">
        <f t="shared" si="3"/>
        <v>0</v>
      </c>
      <c r="I82" s="1008"/>
      <c r="J82" s="1008"/>
      <c r="K82" s="1008"/>
      <c r="L82" s="1008"/>
      <c r="M82" s="1008"/>
      <c r="N82" s="768">
        <f t="shared" si="4"/>
        <v>0</v>
      </c>
      <c r="O82" s="768">
        <f t="shared" si="5"/>
        <v>0</v>
      </c>
    </row>
    <row r="83" spans="1:15">
      <c r="A83" s="1007" t="s">
        <v>1681</v>
      </c>
      <c r="B83" s="1007" t="s">
        <v>575</v>
      </c>
      <c r="C83" s="1007" t="s">
        <v>575</v>
      </c>
      <c r="D83" s="1007" t="s">
        <v>1692</v>
      </c>
      <c r="E83" s="866">
        <v>0</v>
      </c>
      <c r="F83" s="1008"/>
      <c r="G83" s="1008"/>
      <c r="H83" s="1008">
        <f t="shared" si="3"/>
        <v>0</v>
      </c>
      <c r="I83" s="1008"/>
      <c r="J83" s="1008"/>
      <c r="K83" s="1008"/>
      <c r="L83" s="1008"/>
      <c r="M83" s="1008"/>
      <c r="N83" s="768">
        <f t="shared" si="4"/>
        <v>0</v>
      </c>
      <c r="O83" s="768">
        <f t="shared" si="5"/>
        <v>0</v>
      </c>
    </row>
    <row r="84" spans="1:15">
      <c r="A84" s="1007" t="s">
        <v>1681</v>
      </c>
      <c r="B84" s="1007" t="s">
        <v>575</v>
      </c>
      <c r="C84" s="1007" t="s">
        <v>575</v>
      </c>
      <c r="D84" s="1007" t="s">
        <v>1693</v>
      </c>
      <c r="E84" s="866">
        <v>0</v>
      </c>
      <c r="F84" s="1008"/>
      <c r="G84" s="1008"/>
      <c r="H84" s="1008">
        <f t="shared" si="3"/>
        <v>0</v>
      </c>
      <c r="I84" s="1008"/>
      <c r="J84" s="1008"/>
      <c r="K84" s="1008"/>
      <c r="L84" s="1008"/>
      <c r="M84" s="1008"/>
      <c r="N84" s="768">
        <f t="shared" si="4"/>
        <v>0</v>
      </c>
      <c r="O84" s="768">
        <f t="shared" si="5"/>
        <v>0</v>
      </c>
    </row>
    <row r="85" spans="1:15">
      <c r="A85" s="1007" t="s">
        <v>1681</v>
      </c>
      <c r="B85" s="1007" t="s">
        <v>575</v>
      </c>
      <c r="C85" s="1007" t="s">
        <v>575</v>
      </c>
      <c r="D85" s="1007" t="s">
        <v>1694</v>
      </c>
      <c r="E85" s="866">
        <v>0</v>
      </c>
      <c r="F85" s="1008"/>
      <c r="G85" s="1008"/>
      <c r="H85" s="1008">
        <f t="shared" si="3"/>
        <v>0</v>
      </c>
      <c r="I85" s="1008"/>
      <c r="J85" s="1008"/>
      <c r="K85" s="1008"/>
      <c r="L85" s="1008"/>
      <c r="M85" s="1008"/>
      <c r="N85" s="768">
        <f t="shared" si="4"/>
        <v>0</v>
      </c>
      <c r="O85" s="768">
        <f t="shared" si="5"/>
        <v>0</v>
      </c>
    </row>
    <row r="86" spans="1:15">
      <c r="A86" s="1007" t="s">
        <v>1681</v>
      </c>
      <c r="B86" s="1007" t="s">
        <v>575</v>
      </c>
      <c r="C86" s="1007" t="s">
        <v>575</v>
      </c>
      <c r="D86" s="1007" t="s">
        <v>1695</v>
      </c>
      <c r="E86" s="866">
        <v>0</v>
      </c>
      <c r="F86" s="1008"/>
      <c r="G86" s="1008"/>
      <c r="H86" s="1008">
        <f t="shared" si="3"/>
        <v>0</v>
      </c>
      <c r="I86" s="1008"/>
      <c r="J86" s="1008"/>
      <c r="K86" s="1008"/>
      <c r="L86" s="1008"/>
      <c r="M86" s="1008"/>
      <c r="N86" s="768">
        <f t="shared" si="4"/>
        <v>0</v>
      </c>
      <c r="O86" s="768">
        <f t="shared" si="5"/>
        <v>0</v>
      </c>
    </row>
    <row r="87" spans="1:15">
      <c r="A87" s="1007" t="s">
        <v>130</v>
      </c>
      <c r="B87" s="1007" t="s">
        <v>575</v>
      </c>
      <c r="C87" s="1007" t="s">
        <v>575</v>
      </c>
      <c r="D87" s="1007" t="s">
        <v>1696</v>
      </c>
      <c r="E87" s="866">
        <v>0</v>
      </c>
      <c r="F87" s="1008"/>
      <c r="G87" s="1008"/>
      <c r="H87" s="1008">
        <f t="shared" si="3"/>
        <v>0</v>
      </c>
      <c r="I87" s="1008"/>
      <c r="J87" s="1008"/>
      <c r="K87" s="1008"/>
      <c r="L87" s="1008"/>
      <c r="M87" s="1008"/>
      <c r="N87" s="768">
        <f t="shared" si="4"/>
        <v>0</v>
      </c>
      <c r="O87" s="768">
        <f t="shared" si="5"/>
        <v>0</v>
      </c>
    </row>
    <row r="88" spans="1:15">
      <c r="A88" s="1007" t="s">
        <v>129</v>
      </c>
      <c r="B88" s="1007" t="s">
        <v>606</v>
      </c>
      <c r="C88" s="1007" t="s">
        <v>211</v>
      </c>
      <c r="D88" s="1007" t="s">
        <v>1697</v>
      </c>
      <c r="E88" s="866">
        <v>0</v>
      </c>
      <c r="F88" s="1008"/>
      <c r="G88" s="1008"/>
      <c r="H88" s="1008">
        <f t="shared" si="3"/>
        <v>0</v>
      </c>
      <c r="I88" s="1008">
        <v>225000</v>
      </c>
      <c r="J88" s="1008"/>
      <c r="K88" s="1008"/>
      <c r="L88" s="1008"/>
      <c r="M88" s="1008"/>
      <c r="N88" s="768">
        <f t="shared" si="4"/>
        <v>225000</v>
      </c>
      <c r="O88" s="768">
        <f t="shared" si="5"/>
        <v>225000</v>
      </c>
    </row>
    <row r="89" spans="1:15">
      <c r="A89" s="1007" t="s">
        <v>129</v>
      </c>
      <c r="B89" s="1007" t="s">
        <v>607</v>
      </c>
      <c r="C89" s="1007" t="s">
        <v>212</v>
      </c>
      <c r="D89" s="1007" t="s">
        <v>1698</v>
      </c>
      <c r="E89" s="866">
        <v>0</v>
      </c>
      <c r="F89" s="1008">
        <v>5600</v>
      </c>
      <c r="G89" s="1008">
        <v>40000</v>
      </c>
      <c r="H89" s="1008">
        <f t="shared" si="3"/>
        <v>45600</v>
      </c>
      <c r="I89" s="1008"/>
      <c r="J89" s="1008"/>
      <c r="K89" s="1008"/>
      <c r="L89" s="1008"/>
      <c r="M89" s="1008"/>
      <c r="N89" s="768">
        <f t="shared" si="4"/>
        <v>45600</v>
      </c>
      <c r="O89" s="768">
        <f t="shared" si="5"/>
        <v>45600</v>
      </c>
    </row>
    <row r="90" spans="1:15">
      <c r="A90" s="1007" t="s">
        <v>131</v>
      </c>
      <c r="B90" s="1007" t="s">
        <v>575</v>
      </c>
      <c r="C90" s="1007" t="s">
        <v>575</v>
      </c>
      <c r="D90" s="1007" t="s">
        <v>1699</v>
      </c>
      <c r="E90" s="866">
        <v>0</v>
      </c>
      <c r="F90" s="1008"/>
      <c r="G90" s="1008"/>
      <c r="H90" s="1008">
        <f t="shared" si="3"/>
        <v>0</v>
      </c>
      <c r="I90" s="1008"/>
      <c r="J90" s="1008"/>
      <c r="K90" s="1008"/>
      <c r="L90" s="1008"/>
      <c r="M90" s="1008"/>
      <c r="N90" s="768">
        <f t="shared" si="4"/>
        <v>0</v>
      </c>
      <c r="O90" s="768">
        <f t="shared" si="5"/>
        <v>0</v>
      </c>
    </row>
    <row r="91" spans="1:15">
      <c r="A91" s="1007" t="s">
        <v>130</v>
      </c>
      <c r="B91" s="1007" t="s">
        <v>608</v>
      </c>
      <c r="C91" s="1007" t="s">
        <v>213</v>
      </c>
      <c r="D91" s="1007" t="s">
        <v>1700</v>
      </c>
      <c r="E91" s="870">
        <v>824070</v>
      </c>
      <c r="F91" s="1008"/>
      <c r="G91" s="1008">
        <v>40000</v>
      </c>
      <c r="H91" s="1008">
        <f t="shared" si="3"/>
        <v>40000</v>
      </c>
      <c r="I91" s="1008">
        <v>175000</v>
      </c>
      <c r="J91" s="1008"/>
      <c r="K91" s="1008"/>
      <c r="L91" s="1008"/>
      <c r="M91" s="1008"/>
      <c r="N91" s="768">
        <f t="shared" si="4"/>
        <v>1039070</v>
      </c>
      <c r="O91" s="768">
        <f t="shared" si="5"/>
        <v>215000</v>
      </c>
    </row>
    <row r="92" spans="1:15">
      <c r="A92" s="1007" t="s">
        <v>130</v>
      </c>
      <c r="B92" s="1007" t="s">
        <v>609</v>
      </c>
      <c r="C92" s="1007" t="s">
        <v>214</v>
      </c>
      <c r="D92" s="1007" t="s">
        <v>1701</v>
      </c>
      <c r="E92" s="866">
        <v>0</v>
      </c>
      <c r="F92" s="1008"/>
      <c r="G92" s="1008">
        <v>40000</v>
      </c>
      <c r="H92" s="1008">
        <f t="shared" si="3"/>
        <v>40000</v>
      </c>
      <c r="I92" s="1008">
        <v>400000</v>
      </c>
      <c r="J92" s="1008">
        <v>720000</v>
      </c>
      <c r="K92" s="1008"/>
      <c r="L92" s="1008"/>
      <c r="M92" s="1008"/>
      <c r="N92" s="768">
        <f t="shared" si="4"/>
        <v>1160000</v>
      </c>
      <c r="O92" s="768">
        <f t="shared" si="5"/>
        <v>1160000</v>
      </c>
    </row>
    <row r="93" spans="1:15">
      <c r="A93" s="1007" t="s">
        <v>130</v>
      </c>
      <c r="B93" s="1007" t="s">
        <v>610</v>
      </c>
      <c r="C93" s="1007" t="s">
        <v>215</v>
      </c>
      <c r="D93" s="1007" t="s">
        <v>1702</v>
      </c>
      <c r="E93" s="868">
        <v>1404527</v>
      </c>
      <c r="F93" s="1008"/>
      <c r="G93" s="1008"/>
      <c r="H93" s="1008">
        <f t="shared" si="3"/>
        <v>0</v>
      </c>
      <c r="I93" s="1008"/>
      <c r="J93" s="1008">
        <v>130000</v>
      </c>
      <c r="K93" s="1008"/>
      <c r="L93" s="1008"/>
      <c r="M93" s="1008"/>
      <c r="N93" s="768">
        <f t="shared" si="4"/>
        <v>1534527</v>
      </c>
      <c r="O93" s="768">
        <f t="shared" si="5"/>
        <v>130000</v>
      </c>
    </row>
    <row r="94" spans="1:15">
      <c r="A94" s="1007" t="s">
        <v>1645</v>
      </c>
      <c r="B94" s="1007" t="s">
        <v>1703</v>
      </c>
      <c r="C94" s="1007" t="s">
        <v>1704</v>
      </c>
      <c r="D94" s="1007" t="s">
        <v>1705</v>
      </c>
      <c r="E94" s="866">
        <v>0</v>
      </c>
      <c r="F94" s="1008"/>
      <c r="G94" s="1008"/>
      <c r="H94" s="1008">
        <f t="shared" si="3"/>
        <v>0</v>
      </c>
      <c r="I94" s="1008"/>
      <c r="J94" s="1008"/>
      <c r="K94" s="1008"/>
      <c r="L94" s="1008"/>
      <c r="M94" s="1008"/>
      <c r="N94" s="768">
        <f t="shared" si="4"/>
        <v>0</v>
      </c>
      <c r="O94" s="768">
        <f t="shared" si="5"/>
        <v>0</v>
      </c>
    </row>
    <row r="95" spans="1:15">
      <c r="A95" s="1007" t="s">
        <v>1645</v>
      </c>
      <c r="B95" s="1007" t="s">
        <v>575</v>
      </c>
      <c r="C95" s="1007" t="s">
        <v>575</v>
      </c>
      <c r="D95" s="1007" t="s">
        <v>1706</v>
      </c>
      <c r="E95" s="866">
        <v>0</v>
      </c>
      <c r="F95" s="1008"/>
      <c r="G95" s="1008"/>
      <c r="H95" s="1008">
        <f t="shared" si="3"/>
        <v>0</v>
      </c>
      <c r="I95" s="1008"/>
      <c r="J95" s="1008"/>
      <c r="K95" s="1008"/>
      <c r="L95" s="1008"/>
      <c r="M95" s="1008"/>
      <c r="N95" s="768">
        <f t="shared" si="4"/>
        <v>0</v>
      </c>
      <c r="O95" s="768">
        <f t="shared" si="5"/>
        <v>0</v>
      </c>
    </row>
    <row r="96" spans="1:15">
      <c r="A96" s="1007" t="s">
        <v>132</v>
      </c>
      <c r="B96" s="1007" t="s">
        <v>611</v>
      </c>
      <c r="C96" s="1007" t="s">
        <v>216</v>
      </c>
      <c r="D96" s="1007" t="s">
        <v>1707</v>
      </c>
      <c r="E96" s="866">
        <v>0</v>
      </c>
      <c r="F96" s="1008"/>
      <c r="G96" s="1008"/>
      <c r="H96" s="1008">
        <f t="shared" si="3"/>
        <v>0</v>
      </c>
      <c r="I96" s="1008"/>
      <c r="J96" s="1008"/>
      <c r="K96" s="1008"/>
      <c r="L96" s="1008"/>
      <c r="M96" s="1008"/>
      <c r="N96" s="768">
        <f t="shared" si="4"/>
        <v>0</v>
      </c>
      <c r="O96" s="768">
        <f t="shared" si="5"/>
        <v>0</v>
      </c>
    </row>
    <row r="97" spans="1:15">
      <c r="A97" s="1007" t="s">
        <v>126</v>
      </c>
      <c r="B97" s="1007" t="s">
        <v>612</v>
      </c>
      <c r="C97" s="1007" t="s">
        <v>217</v>
      </c>
      <c r="D97" s="1007" t="s">
        <v>1708</v>
      </c>
      <c r="E97" s="866">
        <v>0</v>
      </c>
      <c r="F97" s="1008">
        <v>95200</v>
      </c>
      <c r="G97" s="1008">
        <v>70000</v>
      </c>
      <c r="H97" s="1008">
        <f t="shared" si="3"/>
        <v>165200</v>
      </c>
      <c r="I97" s="1008"/>
      <c r="J97" s="1008"/>
      <c r="K97" s="1008"/>
      <c r="L97" s="1008"/>
      <c r="M97" s="1008"/>
      <c r="N97" s="768">
        <f t="shared" si="4"/>
        <v>165200</v>
      </c>
      <c r="O97" s="768">
        <f t="shared" si="5"/>
        <v>165200</v>
      </c>
    </row>
    <row r="98" spans="1:15">
      <c r="A98" s="1007" t="s">
        <v>131</v>
      </c>
      <c r="B98" s="1007" t="s">
        <v>613</v>
      </c>
      <c r="C98" s="1007" t="s">
        <v>1709</v>
      </c>
      <c r="D98" s="1007" t="s">
        <v>1710</v>
      </c>
      <c r="E98" s="866">
        <v>0</v>
      </c>
      <c r="F98" s="1008"/>
      <c r="G98" s="1008"/>
      <c r="H98" s="1008">
        <f t="shared" si="3"/>
        <v>0</v>
      </c>
      <c r="I98" s="1008"/>
      <c r="J98" s="1008"/>
      <c r="K98" s="1008"/>
      <c r="L98" s="1008"/>
      <c r="M98" s="1008"/>
      <c r="N98" s="768">
        <f t="shared" si="4"/>
        <v>0</v>
      </c>
      <c r="O98" s="768">
        <f t="shared" si="5"/>
        <v>0</v>
      </c>
    </row>
    <row r="99" spans="1:15">
      <c r="A99" s="1007" t="s">
        <v>131</v>
      </c>
      <c r="B99" s="1007" t="s">
        <v>614</v>
      </c>
      <c r="C99" s="1007" t="s">
        <v>218</v>
      </c>
      <c r="D99" s="1007" t="s">
        <v>1711</v>
      </c>
      <c r="E99" s="866">
        <v>0</v>
      </c>
      <c r="F99" s="1008"/>
      <c r="G99" s="1008"/>
      <c r="H99" s="1008">
        <f t="shared" si="3"/>
        <v>0</v>
      </c>
      <c r="I99" s="1008"/>
      <c r="J99" s="1008"/>
      <c r="K99" s="1008"/>
      <c r="L99" s="1008"/>
      <c r="M99" s="1008"/>
      <c r="N99" s="768">
        <f t="shared" si="4"/>
        <v>0</v>
      </c>
      <c r="O99" s="768">
        <f t="shared" si="5"/>
        <v>0</v>
      </c>
    </row>
    <row r="100" spans="1:15">
      <c r="A100" s="1007" t="s">
        <v>130</v>
      </c>
      <c r="B100" s="1007" t="s">
        <v>615</v>
      </c>
      <c r="C100" s="1007" t="s">
        <v>219</v>
      </c>
      <c r="D100" s="1007" t="s">
        <v>1712</v>
      </c>
      <c r="E100" s="866">
        <v>0</v>
      </c>
      <c r="F100" s="1008"/>
      <c r="G100" s="1008"/>
      <c r="H100" s="1008">
        <f t="shared" si="3"/>
        <v>0</v>
      </c>
      <c r="I100" s="1008"/>
      <c r="J100" s="1008"/>
      <c r="K100" s="1008"/>
      <c r="L100" s="1008"/>
      <c r="M100" s="1008"/>
      <c r="N100" s="768">
        <f t="shared" si="4"/>
        <v>0</v>
      </c>
      <c r="O100" s="768">
        <f t="shared" si="5"/>
        <v>0</v>
      </c>
    </row>
    <row r="101" spans="1:15">
      <c r="A101" s="1007" t="s">
        <v>131</v>
      </c>
      <c r="B101" s="1007" t="s">
        <v>616</v>
      </c>
      <c r="C101" s="1007" t="s">
        <v>220</v>
      </c>
      <c r="D101" s="1007" t="s">
        <v>1713</v>
      </c>
      <c r="E101" s="866">
        <v>0</v>
      </c>
      <c r="F101" s="1008"/>
      <c r="G101" s="1008"/>
      <c r="H101" s="1008">
        <f t="shared" si="3"/>
        <v>0</v>
      </c>
      <c r="I101" s="1008"/>
      <c r="J101" s="1008"/>
      <c r="K101" s="1008"/>
      <c r="L101" s="1008"/>
      <c r="M101" s="1008"/>
      <c r="N101" s="768">
        <f t="shared" si="4"/>
        <v>0</v>
      </c>
      <c r="O101" s="768">
        <f t="shared" si="5"/>
        <v>0</v>
      </c>
    </row>
    <row r="102" spans="1:15">
      <c r="A102" s="1007" t="s">
        <v>127</v>
      </c>
      <c r="B102" s="1007" t="s">
        <v>617</v>
      </c>
      <c r="C102" s="1007" t="s">
        <v>221</v>
      </c>
      <c r="D102" s="1007" t="s">
        <v>1714</v>
      </c>
      <c r="E102" s="866">
        <v>0</v>
      </c>
      <c r="F102" s="1008"/>
      <c r="G102" s="1008"/>
      <c r="H102" s="1008">
        <f t="shared" si="3"/>
        <v>0</v>
      </c>
      <c r="I102" s="1008"/>
      <c r="J102" s="1008"/>
      <c r="K102" s="1008"/>
      <c r="L102" s="1008"/>
      <c r="M102" s="1008"/>
      <c r="N102" s="768">
        <f t="shared" si="4"/>
        <v>0</v>
      </c>
      <c r="O102" s="768">
        <f t="shared" si="5"/>
        <v>0</v>
      </c>
    </row>
    <row r="103" spans="1:15">
      <c r="A103" s="1007" t="s">
        <v>128</v>
      </c>
      <c r="B103" s="1007" t="s">
        <v>618</v>
      </c>
      <c r="C103" s="1007" t="s">
        <v>222</v>
      </c>
      <c r="D103" s="1007" t="s">
        <v>1715</v>
      </c>
      <c r="E103" s="866">
        <v>0</v>
      </c>
      <c r="F103" s="1008"/>
      <c r="G103" s="1008"/>
      <c r="H103" s="1008">
        <f t="shared" si="3"/>
        <v>0</v>
      </c>
      <c r="I103" s="1008">
        <v>515000</v>
      </c>
      <c r="J103" s="1008">
        <v>500000</v>
      </c>
      <c r="K103" s="1008"/>
      <c r="L103" s="1008"/>
      <c r="M103" s="1008"/>
      <c r="N103" s="768">
        <f t="shared" si="4"/>
        <v>1015000</v>
      </c>
      <c r="O103" s="768">
        <f t="shared" si="5"/>
        <v>1015000</v>
      </c>
    </row>
    <row r="104" spans="1:15">
      <c r="A104" s="1007" t="s">
        <v>126</v>
      </c>
      <c r="B104" s="1007" t="s">
        <v>620</v>
      </c>
      <c r="C104" s="1007" t="s">
        <v>224</v>
      </c>
      <c r="D104" s="1007" t="s">
        <v>1716</v>
      </c>
      <c r="E104" s="866">
        <v>0</v>
      </c>
      <c r="F104" s="1008"/>
      <c r="G104" s="1008"/>
      <c r="H104" s="1008">
        <f t="shared" si="3"/>
        <v>0</v>
      </c>
      <c r="I104" s="1008"/>
      <c r="J104" s="1008"/>
      <c r="K104" s="1008"/>
      <c r="L104" s="1008"/>
      <c r="M104" s="1008"/>
      <c r="N104" s="768">
        <f t="shared" si="4"/>
        <v>0</v>
      </c>
      <c r="O104" s="768">
        <f t="shared" si="5"/>
        <v>0</v>
      </c>
    </row>
    <row r="105" spans="1:15">
      <c r="A105" s="1007" t="s">
        <v>127</v>
      </c>
      <c r="B105" s="1007" t="s">
        <v>621</v>
      </c>
      <c r="C105" s="1007" t="s">
        <v>225</v>
      </c>
      <c r="D105" s="1007" t="s">
        <v>1717</v>
      </c>
      <c r="E105" s="870">
        <v>460000</v>
      </c>
      <c r="F105" s="1008"/>
      <c r="G105" s="1008"/>
      <c r="H105" s="1008">
        <f t="shared" si="3"/>
        <v>0</v>
      </c>
      <c r="I105" s="1008"/>
      <c r="J105" s="1008"/>
      <c r="K105" s="1008"/>
      <c r="L105" s="1008"/>
      <c r="M105" s="1008"/>
      <c r="N105" s="768">
        <f t="shared" si="4"/>
        <v>460000</v>
      </c>
      <c r="O105" s="768">
        <f t="shared" si="5"/>
        <v>0</v>
      </c>
    </row>
    <row r="106" spans="1:15">
      <c r="A106" s="1007" t="s">
        <v>127</v>
      </c>
      <c r="B106" s="1007" t="s">
        <v>622</v>
      </c>
      <c r="C106" s="1007" t="s">
        <v>722</v>
      </c>
      <c r="D106" s="1007" t="s">
        <v>1718</v>
      </c>
      <c r="E106" s="866">
        <v>0</v>
      </c>
      <c r="F106" s="1008">
        <v>11200</v>
      </c>
      <c r="G106" s="1008">
        <v>40000</v>
      </c>
      <c r="H106" s="1008">
        <f t="shared" si="3"/>
        <v>51200</v>
      </c>
      <c r="I106" s="1008">
        <v>175000</v>
      </c>
      <c r="J106" s="1009">
        <v>50000</v>
      </c>
      <c r="K106" s="1008"/>
      <c r="L106" s="1008"/>
      <c r="M106" s="1008"/>
      <c r="N106" s="768">
        <f t="shared" si="4"/>
        <v>276200</v>
      </c>
      <c r="O106" s="768">
        <f t="shared" si="5"/>
        <v>276200</v>
      </c>
    </row>
    <row r="107" spans="1:15">
      <c r="A107" s="1007" t="s">
        <v>130</v>
      </c>
      <c r="B107" s="1007" t="s">
        <v>575</v>
      </c>
      <c r="C107" s="1007" t="s">
        <v>575</v>
      </c>
      <c r="D107" s="1007" t="s">
        <v>130</v>
      </c>
      <c r="E107" s="871">
        <v>479812</v>
      </c>
      <c r="F107" s="1008"/>
      <c r="G107" s="1008"/>
      <c r="H107" s="1008">
        <f t="shared" si="3"/>
        <v>0</v>
      </c>
      <c r="I107" s="1008">
        <v>112000</v>
      </c>
      <c r="J107" s="1008">
        <v>200000</v>
      </c>
      <c r="K107" s="1008"/>
      <c r="L107" s="1008"/>
      <c r="M107" s="1008"/>
      <c r="N107" s="768">
        <f t="shared" si="4"/>
        <v>791812</v>
      </c>
      <c r="O107" s="768">
        <f t="shared" si="5"/>
        <v>312000</v>
      </c>
    </row>
    <row r="108" spans="1:15">
      <c r="A108" s="1007" t="s">
        <v>126</v>
      </c>
      <c r="B108" s="1007" t="s">
        <v>623</v>
      </c>
      <c r="C108" s="1007" t="s">
        <v>227</v>
      </c>
      <c r="D108" s="1007" t="s">
        <v>1719</v>
      </c>
      <c r="E108" s="866">
        <v>0</v>
      </c>
      <c r="F108" s="1008"/>
      <c r="G108" s="1008"/>
      <c r="H108" s="1008">
        <f t="shared" si="3"/>
        <v>0</v>
      </c>
      <c r="I108" s="1008"/>
      <c r="J108" s="1008"/>
      <c r="K108" s="1008"/>
      <c r="L108" s="1008"/>
      <c r="M108" s="1008"/>
      <c r="N108" s="768">
        <f t="shared" si="4"/>
        <v>0</v>
      </c>
      <c r="O108" s="768">
        <f t="shared" si="5"/>
        <v>0</v>
      </c>
    </row>
    <row r="109" spans="1:15">
      <c r="A109" s="1007" t="s">
        <v>131</v>
      </c>
      <c r="B109" s="1007" t="s">
        <v>624</v>
      </c>
      <c r="C109" s="1007" t="s">
        <v>228</v>
      </c>
      <c r="D109" s="1007" t="s">
        <v>1720</v>
      </c>
      <c r="E109" s="866">
        <v>0</v>
      </c>
      <c r="F109" s="1008"/>
      <c r="G109" s="1008"/>
      <c r="H109" s="1008">
        <f t="shared" si="3"/>
        <v>0</v>
      </c>
      <c r="I109" s="1008"/>
      <c r="J109" s="1008"/>
      <c r="K109" s="1008"/>
      <c r="L109" s="1008"/>
      <c r="M109" s="1008"/>
      <c r="N109" s="768">
        <f t="shared" si="4"/>
        <v>0</v>
      </c>
      <c r="O109" s="768">
        <f t="shared" si="5"/>
        <v>0</v>
      </c>
    </row>
    <row r="110" spans="1:15">
      <c r="A110" s="1007" t="s">
        <v>128</v>
      </c>
      <c r="B110" s="1007" t="s">
        <v>625</v>
      </c>
      <c r="C110" s="1007" t="s">
        <v>723</v>
      </c>
      <c r="D110" s="1007" t="s">
        <v>1721</v>
      </c>
      <c r="E110" s="866">
        <v>0</v>
      </c>
      <c r="F110" s="1008">
        <v>5600</v>
      </c>
      <c r="G110" s="1008">
        <v>40000</v>
      </c>
      <c r="H110" s="1008">
        <f t="shared" si="3"/>
        <v>45600</v>
      </c>
      <c r="I110" s="1008"/>
      <c r="J110" s="1008"/>
      <c r="K110" s="1008"/>
      <c r="L110" s="1008"/>
      <c r="M110" s="1008"/>
      <c r="N110" s="768">
        <f t="shared" si="4"/>
        <v>45600</v>
      </c>
      <c r="O110" s="768">
        <f t="shared" si="5"/>
        <v>45600</v>
      </c>
    </row>
    <row r="111" spans="1:15">
      <c r="A111" s="1007" t="s">
        <v>129</v>
      </c>
      <c r="B111" s="1007" t="s">
        <v>626</v>
      </c>
      <c r="C111" s="1007" t="s">
        <v>230</v>
      </c>
      <c r="D111" s="1007" t="s">
        <v>1722</v>
      </c>
      <c r="E111" s="866">
        <v>0</v>
      </c>
      <c r="F111" s="1008">
        <v>5600</v>
      </c>
      <c r="G111" s="1008">
        <v>40000</v>
      </c>
      <c r="H111" s="1008">
        <f t="shared" si="3"/>
        <v>45600</v>
      </c>
      <c r="I111" s="1008">
        <v>175000</v>
      </c>
      <c r="J111" s="1008"/>
      <c r="K111" s="1008"/>
      <c r="L111" s="1008"/>
      <c r="M111" s="1008"/>
      <c r="N111" s="768">
        <f t="shared" si="4"/>
        <v>220600</v>
      </c>
      <c r="O111" s="768">
        <f t="shared" si="5"/>
        <v>220600</v>
      </c>
    </row>
    <row r="112" spans="1:15">
      <c r="A112" s="1007" t="s">
        <v>131</v>
      </c>
      <c r="B112" s="1007" t="s">
        <v>627</v>
      </c>
      <c r="C112" s="1007" t="s">
        <v>231</v>
      </c>
      <c r="D112" s="1007" t="s">
        <v>1723</v>
      </c>
      <c r="E112" s="866">
        <v>0</v>
      </c>
      <c r="F112" s="1008"/>
      <c r="G112" s="1008"/>
      <c r="H112" s="1008">
        <f t="shared" si="3"/>
        <v>0</v>
      </c>
      <c r="I112" s="1008"/>
      <c r="J112" s="1008"/>
      <c r="K112" s="1008"/>
      <c r="L112" s="1008"/>
      <c r="M112" s="1008"/>
      <c r="N112" s="768">
        <f t="shared" si="4"/>
        <v>0</v>
      </c>
      <c r="O112" s="768">
        <f t="shared" si="5"/>
        <v>0</v>
      </c>
    </row>
    <row r="113" spans="1:15">
      <c r="A113" s="1007" t="s">
        <v>127</v>
      </c>
      <c r="B113" s="1007" t="s">
        <v>650</v>
      </c>
      <c r="C113" s="1007" t="s">
        <v>254</v>
      </c>
      <c r="D113" s="1007" t="s">
        <v>1724</v>
      </c>
      <c r="E113" s="866">
        <v>0</v>
      </c>
      <c r="F113" s="1008"/>
      <c r="G113" s="1008"/>
      <c r="H113" s="1008">
        <f t="shared" si="3"/>
        <v>0</v>
      </c>
      <c r="I113" s="1008"/>
      <c r="J113" s="1008"/>
      <c r="K113" s="1008"/>
      <c r="L113" s="1008"/>
      <c r="M113" s="1008"/>
      <c r="N113" s="768">
        <f t="shared" si="4"/>
        <v>0</v>
      </c>
      <c r="O113" s="768">
        <f t="shared" si="5"/>
        <v>0</v>
      </c>
    </row>
    <row r="114" spans="1:15">
      <c r="A114" s="1007" t="s">
        <v>128</v>
      </c>
      <c r="B114" s="1007" t="s">
        <v>628</v>
      </c>
      <c r="C114" s="1007" t="s">
        <v>232</v>
      </c>
      <c r="D114" s="1007" t="s">
        <v>1725</v>
      </c>
      <c r="E114" s="866">
        <v>0</v>
      </c>
      <c r="F114" s="1008">
        <v>33600</v>
      </c>
      <c r="G114" s="1008">
        <v>50000</v>
      </c>
      <c r="H114" s="1008">
        <f t="shared" si="3"/>
        <v>83600</v>
      </c>
      <c r="I114" s="1008">
        <v>605000</v>
      </c>
      <c r="J114" s="1008"/>
      <c r="K114" s="1008"/>
      <c r="L114" s="1008"/>
      <c r="M114" s="1008"/>
      <c r="N114" s="768">
        <f t="shared" si="4"/>
        <v>688600</v>
      </c>
      <c r="O114" s="768">
        <f t="shared" si="5"/>
        <v>688600</v>
      </c>
    </row>
    <row r="115" spans="1:15">
      <c r="A115" s="1007" t="s">
        <v>128</v>
      </c>
      <c r="B115" s="1007" t="s">
        <v>629</v>
      </c>
      <c r="C115" s="1007" t="s">
        <v>233</v>
      </c>
      <c r="D115" s="1007" t="s">
        <v>1726</v>
      </c>
      <c r="E115" s="866">
        <v>0</v>
      </c>
      <c r="F115" s="1010">
        <v>421179</v>
      </c>
      <c r="G115" s="1008">
        <v>40000</v>
      </c>
      <c r="H115" s="1008">
        <f t="shared" si="3"/>
        <v>461179</v>
      </c>
      <c r="I115" s="1008">
        <v>225000</v>
      </c>
      <c r="J115" s="1008"/>
      <c r="K115" s="1008"/>
      <c r="L115" s="1008"/>
      <c r="M115" s="1008"/>
      <c r="N115" s="768">
        <f t="shared" si="4"/>
        <v>686179</v>
      </c>
      <c r="O115" s="768">
        <f t="shared" si="5"/>
        <v>686179</v>
      </c>
    </row>
    <row r="116" spans="1:15">
      <c r="A116" s="1007" t="s">
        <v>126</v>
      </c>
      <c r="B116" s="1007" t="s">
        <v>630</v>
      </c>
      <c r="C116" s="1007" t="s">
        <v>234</v>
      </c>
      <c r="D116" s="1007" t="s">
        <v>1727</v>
      </c>
      <c r="E116" s="866">
        <v>0</v>
      </c>
      <c r="F116" s="1008"/>
      <c r="G116" s="1008"/>
      <c r="H116" s="1008">
        <f t="shared" si="3"/>
        <v>0</v>
      </c>
      <c r="I116" s="1008"/>
      <c r="J116" s="1008"/>
      <c r="K116" s="1008"/>
      <c r="L116" s="1008"/>
      <c r="M116" s="1008"/>
      <c r="N116" s="768">
        <f t="shared" si="4"/>
        <v>0</v>
      </c>
      <c r="O116" s="768">
        <f t="shared" si="5"/>
        <v>0</v>
      </c>
    </row>
    <row r="117" spans="1:15">
      <c r="A117" s="1007" t="s">
        <v>132</v>
      </c>
      <c r="B117" s="1007" t="s">
        <v>631</v>
      </c>
      <c r="C117" s="1007" t="s">
        <v>235</v>
      </c>
      <c r="D117" s="1007" t="s">
        <v>1728</v>
      </c>
      <c r="E117" s="867">
        <v>460000</v>
      </c>
      <c r="F117" s="1008"/>
      <c r="G117" s="1008"/>
      <c r="H117" s="1008">
        <f t="shared" si="3"/>
        <v>0</v>
      </c>
      <c r="I117" s="1008"/>
      <c r="J117" s="1008"/>
      <c r="K117" s="1008"/>
      <c r="L117" s="1008"/>
      <c r="M117" s="1008"/>
      <c r="N117" s="768">
        <f t="shared" si="4"/>
        <v>460000</v>
      </c>
      <c r="O117" s="768">
        <f t="shared" si="5"/>
        <v>0</v>
      </c>
    </row>
    <row r="118" spans="1:15">
      <c r="A118" s="1007" t="s">
        <v>129</v>
      </c>
      <c r="B118" s="1007" t="s">
        <v>632</v>
      </c>
      <c r="C118" s="1007" t="s">
        <v>236</v>
      </c>
      <c r="D118" s="1007" t="s">
        <v>1729</v>
      </c>
      <c r="E118" s="866">
        <v>0</v>
      </c>
      <c r="F118" s="1008"/>
      <c r="G118" s="1008"/>
      <c r="H118" s="1008">
        <f t="shared" si="3"/>
        <v>0</v>
      </c>
      <c r="I118" s="1008">
        <v>350000</v>
      </c>
      <c r="J118" s="1008">
        <v>1000000</v>
      </c>
      <c r="K118" s="1008"/>
      <c r="L118" s="1008"/>
      <c r="M118" s="1008"/>
      <c r="N118" s="768">
        <f t="shared" si="4"/>
        <v>1350000</v>
      </c>
      <c r="O118" s="768">
        <f t="shared" si="5"/>
        <v>1350000</v>
      </c>
    </row>
    <row r="119" spans="1:15">
      <c r="A119" s="1007" t="s">
        <v>129</v>
      </c>
      <c r="B119" s="1007" t="s">
        <v>634</v>
      </c>
      <c r="C119" s="1007" t="s">
        <v>238</v>
      </c>
      <c r="D119" s="1007" t="s">
        <v>1730</v>
      </c>
      <c r="E119" s="866">
        <v>0</v>
      </c>
      <c r="F119" s="1008"/>
      <c r="G119" s="1008">
        <v>40000</v>
      </c>
      <c r="H119" s="1008">
        <f t="shared" si="3"/>
        <v>40000</v>
      </c>
      <c r="I119" s="1008">
        <v>135000</v>
      </c>
      <c r="J119" s="1008"/>
      <c r="K119" s="1008"/>
      <c r="L119" s="1008"/>
      <c r="M119" s="1008"/>
      <c r="N119" s="768">
        <f t="shared" si="4"/>
        <v>175000</v>
      </c>
      <c r="O119" s="768">
        <f t="shared" si="5"/>
        <v>175000</v>
      </c>
    </row>
    <row r="120" spans="1:15">
      <c r="A120" s="1007" t="s">
        <v>1631</v>
      </c>
      <c r="B120" s="1007" t="s">
        <v>575</v>
      </c>
      <c r="C120" s="1007" t="s">
        <v>575</v>
      </c>
      <c r="D120" s="1007" t="s">
        <v>1731</v>
      </c>
      <c r="E120" s="866">
        <v>0</v>
      </c>
      <c r="F120" s="1008"/>
      <c r="G120" s="1008"/>
      <c r="H120" s="1008">
        <f t="shared" si="3"/>
        <v>0</v>
      </c>
      <c r="I120" s="1008"/>
      <c r="J120" s="1008"/>
      <c r="K120" s="1008"/>
      <c r="L120" s="1008"/>
      <c r="M120" s="1008"/>
      <c r="N120" s="768">
        <f t="shared" si="4"/>
        <v>0</v>
      </c>
      <c r="O120" s="768">
        <f t="shared" si="5"/>
        <v>0</v>
      </c>
    </row>
    <row r="121" spans="1:15">
      <c r="A121" s="1007" t="s">
        <v>131</v>
      </c>
      <c r="B121" s="1007" t="s">
        <v>575</v>
      </c>
      <c r="C121" s="1007" t="s">
        <v>575</v>
      </c>
      <c r="D121" s="1007" t="s">
        <v>1732</v>
      </c>
      <c r="E121" s="866">
        <v>0</v>
      </c>
      <c r="F121" s="1008"/>
      <c r="G121" s="1008"/>
      <c r="H121" s="1008">
        <f t="shared" si="3"/>
        <v>0</v>
      </c>
      <c r="I121" s="1008">
        <v>247000</v>
      </c>
      <c r="J121" s="1008">
        <v>600000</v>
      </c>
      <c r="K121" s="1008"/>
      <c r="L121" s="1008"/>
      <c r="M121" s="1008"/>
      <c r="N121" s="768">
        <f t="shared" si="4"/>
        <v>847000</v>
      </c>
      <c r="O121" s="768">
        <f t="shared" si="5"/>
        <v>847000</v>
      </c>
    </row>
    <row r="122" spans="1:15">
      <c r="A122" s="1007" t="s">
        <v>130</v>
      </c>
      <c r="B122" s="1007" t="s">
        <v>636</v>
      </c>
      <c r="C122" s="1007" t="s">
        <v>240</v>
      </c>
      <c r="D122" s="1007" t="s">
        <v>1733</v>
      </c>
      <c r="E122" s="866">
        <v>0</v>
      </c>
      <c r="F122" s="1008"/>
      <c r="G122" s="1008"/>
      <c r="H122" s="1008">
        <f t="shared" si="3"/>
        <v>0</v>
      </c>
      <c r="I122" s="1008"/>
      <c r="J122" s="1008"/>
      <c r="K122" s="1008"/>
      <c r="L122" s="1008"/>
      <c r="M122" s="1008"/>
      <c r="N122" s="768">
        <f t="shared" si="4"/>
        <v>0</v>
      </c>
      <c r="O122" s="768">
        <f t="shared" si="5"/>
        <v>0</v>
      </c>
    </row>
    <row r="123" spans="1:15">
      <c r="A123" s="1007" t="s">
        <v>127</v>
      </c>
      <c r="B123" s="1007" t="s">
        <v>638</v>
      </c>
      <c r="C123" s="1007" t="s">
        <v>242</v>
      </c>
      <c r="D123" s="1007" t="s">
        <v>1734</v>
      </c>
      <c r="E123" s="870">
        <v>737944</v>
      </c>
      <c r="F123" s="1008"/>
      <c r="G123" s="1008"/>
      <c r="H123" s="1008">
        <f t="shared" si="3"/>
        <v>0</v>
      </c>
      <c r="I123" s="1008"/>
      <c r="J123" s="1008"/>
      <c r="K123" s="1008"/>
      <c r="L123" s="1008"/>
      <c r="M123" s="1008"/>
      <c r="N123" s="768">
        <f t="shared" si="4"/>
        <v>737944</v>
      </c>
      <c r="O123" s="768">
        <f t="shared" si="5"/>
        <v>0</v>
      </c>
    </row>
    <row r="124" spans="1:15">
      <c r="A124" s="1007" t="s">
        <v>126</v>
      </c>
      <c r="B124" s="1007" t="s">
        <v>639</v>
      </c>
      <c r="C124" s="1007" t="s">
        <v>243</v>
      </c>
      <c r="D124" s="1007" t="s">
        <v>1735</v>
      </c>
      <c r="E124" s="867">
        <v>460000</v>
      </c>
      <c r="F124" s="1008"/>
      <c r="G124" s="1008"/>
      <c r="H124" s="1008">
        <f t="shared" si="3"/>
        <v>0</v>
      </c>
      <c r="I124" s="1008"/>
      <c r="J124" s="1008"/>
      <c r="K124" s="1008"/>
      <c r="L124" s="1008"/>
      <c r="M124" s="1008"/>
      <c r="N124" s="768">
        <f t="shared" si="4"/>
        <v>460000</v>
      </c>
      <c r="O124" s="768">
        <f t="shared" si="5"/>
        <v>0</v>
      </c>
    </row>
    <row r="125" spans="1:15">
      <c r="A125" s="1007" t="s">
        <v>127</v>
      </c>
      <c r="B125" s="1007" t="s">
        <v>640</v>
      </c>
      <c r="C125" s="1007" t="s">
        <v>244</v>
      </c>
      <c r="D125" s="1007" t="s">
        <v>1736</v>
      </c>
      <c r="E125" s="866">
        <v>0</v>
      </c>
      <c r="F125" s="1008"/>
      <c r="G125" s="1008"/>
      <c r="H125" s="1008">
        <f t="shared" si="3"/>
        <v>0</v>
      </c>
      <c r="I125" s="1008"/>
      <c r="J125" s="1008"/>
      <c r="K125" s="1008"/>
      <c r="L125" s="1008"/>
      <c r="M125" s="1008"/>
      <c r="N125" s="768">
        <f t="shared" si="4"/>
        <v>0</v>
      </c>
      <c r="O125" s="768">
        <f t="shared" si="5"/>
        <v>0</v>
      </c>
    </row>
    <row r="126" spans="1:15">
      <c r="A126" s="1007" t="s">
        <v>131</v>
      </c>
      <c r="B126" s="1007" t="s">
        <v>641</v>
      </c>
      <c r="C126" s="1007" t="s">
        <v>725</v>
      </c>
      <c r="D126" s="1007" t="s">
        <v>1737</v>
      </c>
      <c r="E126" s="866">
        <v>100000</v>
      </c>
      <c r="F126" s="1008"/>
      <c r="G126" s="1008">
        <v>50000</v>
      </c>
      <c r="H126" s="1008">
        <f t="shared" si="3"/>
        <v>50000</v>
      </c>
      <c r="I126" s="1008"/>
      <c r="J126" s="1008"/>
      <c r="K126" s="1008"/>
      <c r="L126" s="1008"/>
      <c r="M126" s="1008"/>
      <c r="N126" s="768">
        <f t="shared" si="4"/>
        <v>150000</v>
      </c>
      <c r="O126" s="768">
        <f t="shared" si="5"/>
        <v>50000</v>
      </c>
    </row>
    <row r="127" spans="1:15">
      <c r="A127" s="1007" t="s">
        <v>128</v>
      </c>
      <c r="B127" s="1007" t="s">
        <v>642</v>
      </c>
      <c r="C127" s="1007" t="s">
        <v>246</v>
      </c>
      <c r="D127" s="1007" t="s">
        <v>1738</v>
      </c>
      <c r="E127" s="866">
        <v>0</v>
      </c>
      <c r="F127" s="1010">
        <v>500000</v>
      </c>
      <c r="G127" s="1008"/>
      <c r="H127" s="1008">
        <f t="shared" si="3"/>
        <v>500000</v>
      </c>
      <c r="I127" s="1008">
        <v>235000</v>
      </c>
      <c r="J127" s="1008">
        <v>690000</v>
      </c>
      <c r="K127" s="1008"/>
      <c r="L127" s="1008"/>
      <c r="M127" s="1008"/>
      <c r="N127" s="768">
        <f t="shared" si="4"/>
        <v>1425000</v>
      </c>
      <c r="O127" s="768">
        <f t="shared" si="5"/>
        <v>1425000</v>
      </c>
    </row>
    <row r="128" spans="1:15">
      <c r="A128" s="1007" t="s">
        <v>126</v>
      </c>
      <c r="B128" s="1007" t="s">
        <v>643</v>
      </c>
      <c r="C128" s="1007" t="s">
        <v>247</v>
      </c>
      <c r="D128" s="1007" t="s">
        <v>1739</v>
      </c>
      <c r="E128" s="866">
        <v>0</v>
      </c>
      <c r="F128" s="1008"/>
      <c r="G128" s="1008">
        <v>70000</v>
      </c>
      <c r="H128" s="1008">
        <f t="shared" si="3"/>
        <v>70000</v>
      </c>
      <c r="I128" s="1008">
        <v>225000</v>
      </c>
      <c r="J128" s="1008"/>
      <c r="K128" s="1008"/>
      <c r="L128" s="1008"/>
      <c r="M128" s="1008"/>
      <c r="N128" s="768">
        <f t="shared" si="4"/>
        <v>295000</v>
      </c>
      <c r="O128" s="768">
        <f t="shared" si="5"/>
        <v>295000</v>
      </c>
    </row>
    <row r="129" spans="1:15">
      <c r="A129" s="1007" t="s">
        <v>128</v>
      </c>
      <c r="B129" s="1007" t="s">
        <v>644</v>
      </c>
      <c r="C129" s="1007" t="s">
        <v>248</v>
      </c>
      <c r="D129" s="1007" t="s">
        <v>1740</v>
      </c>
      <c r="E129" s="866">
        <v>0</v>
      </c>
      <c r="F129" s="1008"/>
      <c r="G129" s="1008"/>
      <c r="H129" s="1008">
        <f t="shared" si="3"/>
        <v>0</v>
      </c>
      <c r="I129" s="1008"/>
      <c r="J129" s="1008"/>
      <c r="K129" s="1008"/>
      <c r="L129" s="1008"/>
      <c r="M129" s="1008"/>
      <c r="N129" s="768">
        <f t="shared" si="4"/>
        <v>0</v>
      </c>
      <c r="O129" s="768">
        <f t="shared" si="5"/>
        <v>0</v>
      </c>
    </row>
    <row r="130" spans="1:15">
      <c r="A130" s="1007" t="s">
        <v>132</v>
      </c>
      <c r="B130" s="1007" t="s">
        <v>646</v>
      </c>
      <c r="C130" s="1007" t="s">
        <v>250</v>
      </c>
      <c r="D130" s="1007" t="s">
        <v>1741</v>
      </c>
      <c r="E130" s="866">
        <v>0</v>
      </c>
      <c r="F130" s="1008">
        <v>5600</v>
      </c>
      <c r="G130" s="1008">
        <v>40000</v>
      </c>
      <c r="H130" s="1008">
        <f t="shared" si="3"/>
        <v>45600</v>
      </c>
      <c r="I130" s="1008"/>
      <c r="J130" s="1008">
        <v>250000</v>
      </c>
      <c r="K130" s="1008"/>
      <c r="L130" s="1008"/>
      <c r="M130" s="1008"/>
      <c r="N130" s="768">
        <f t="shared" si="4"/>
        <v>295600</v>
      </c>
      <c r="O130" s="768">
        <f t="shared" si="5"/>
        <v>295600</v>
      </c>
    </row>
    <row r="131" spans="1:15">
      <c r="A131" s="1007" t="s">
        <v>130</v>
      </c>
      <c r="B131" s="1007" t="s">
        <v>647</v>
      </c>
      <c r="C131" s="1007" t="s">
        <v>251</v>
      </c>
      <c r="D131" s="1007" t="s">
        <v>1742</v>
      </c>
      <c r="E131" s="866">
        <v>0</v>
      </c>
      <c r="F131" s="1008"/>
      <c r="G131" s="1008">
        <v>40000</v>
      </c>
      <c r="H131" s="1008">
        <f t="shared" si="3"/>
        <v>40000</v>
      </c>
      <c r="I131" s="1008"/>
      <c r="J131" s="1008">
        <v>350000</v>
      </c>
      <c r="K131" s="1008"/>
      <c r="L131" s="1008"/>
      <c r="M131" s="1008"/>
      <c r="N131" s="768">
        <f t="shared" si="4"/>
        <v>390000</v>
      </c>
      <c r="O131" s="768">
        <f t="shared" si="5"/>
        <v>390000</v>
      </c>
    </row>
    <row r="132" spans="1:15">
      <c r="A132" s="1007" t="s">
        <v>129</v>
      </c>
      <c r="B132" s="1007" t="s">
        <v>648</v>
      </c>
      <c r="C132" s="1007" t="s">
        <v>252</v>
      </c>
      <c r="D132" s="1007" t="s">
        <v>1743</v>
      </c>
      <c r="E132" s="866">
        <v>0</v>
      </c>
      <c r="F132" s="1008">
        <v>3323.45</v>
      </c>
      <c r="G132" s="1008">
        <v>50000</v>
      </c>
      <c r="H132" s="1008">
        <f t="shared" si="3"/>
        <v>53323.45</v>
      </c>
      <c r="I132" s="1008">
        <v>225000</v>
      </c>
      <c r="J132" s="1008"/>
      <c r="K132" s="1008"/>
      <c r="L132" s="1008"/>
      <c r="M132" s="1008"/>
      <c r="N132" s="768">
        <f t="shared" si="4"/>
        <v>278323.45</v>
      </c>
      <c r="O132" s="768">
        <f t="shared" si="5"/>
        <v>278323.45</v>
      </c>
    </row>
    <row r="133" spans="1:15">
      <c r="A133" s="1007" t="s">
        <v>129</v>
      </c>
      <c r="B133" s="1007" t="s">
        <v>649</v>
      </c>
      <c r="C133" s="1007" t="s">
        <v>253</v>
      </c>
      <c r="D133" s="1007" t="s">
        <v>1744</v>
      </c>
      <c r="E133" s="866">
        <v>0</v>
      </c>
      <c r="F133" s="1008">
        <v>409081</v>
      </c>
      <c r="G133" s="1008">
        <v>70000</v>
      </c>
      <c r="H133" s="1008">
        <f t="shared" si="3"/>
        <v>479081</v>
      </c>
      <c r="I133" s="1008">
        <v>980000</v>
      </c>
      <c r="J133" s="1008"/>
      <c r="K133" s="1008"/>
      <c r="L133" s="1008"/>
      <c r="M133" s="1008"/>
      <c r="N133" s="768">
        <f t="shared" si="4"/>
        <v>1459081</v>
      </c>
      <c r="O133" s="768">
        <f t="shared" si="5"/>
        <v>1459081</v>
      </c>
    </row>
    <row r="134" spans="1:15">
      <c r="A134" s="1007" t="s">
        <v>1645</v>
      </c>
      <c r="B134" s="1007" t="s">
        <v>575</v>
      </c>
      <c r="C134" s="1007" t="s">
        <v>575</v>
      </c>
      <c r="D134" s="1007" t="s">
        <v>1745</v>
      </c>
      <c r="E134" s="866">
        <v>0</v>
      </c>
      <c r="F134" s="1008"/>
      <c r="G134" s="1008"/>
      <c r="H134" s="1008">
        <f t="shared" si="3"/>
        <v>0</v>
      </c>
      <c r="I134" s="1008"/>
      <c r="J134" s="1008"/>
      <c r="K134" s="1008"/>
      <c r="L134" s="1008"/>
      <c r="M134" s="1008"/>
      <c r="N134" s="768">
        <f t="shared" si="4"/>
        <v>0</v>
      </c>
      <c r="O134" s="768">
        <f t="shared" si="5"/>
        <v>0</v>
      </c>
    </row>
    <row r="135" spans="1:15">
      <c r="A135" s="1007" t="s">
        <v>1645</v>
      </c>
      <c r="B135" s="1007" t="s">
        <v>575</v>
      </c>
      <c r="C135" s="1007" t="s">
        <v>575</v>
      </c>
      <c r="D135" s="1007" t="s">
        <v>1746</v>
      </c>
      <c r="E135" s="866">
        <v>0</v>
      </c>
      <c r="F135" s="1008"/>
      <c r="G135" s="1008"/>
      <c r="H135" s="1008">
        <f t="shared" ref="H135:H198" si="6">SUM(F135:G135)</f>
        <v>0</v>
      </c>
      <c r="I135" s="1008"/>
      <c r="J135" s="1008"/>
      <c r="K135" s="1008"/>
      <c r="L135" s="1008"/>
      <c r="M135" s="1008"/>
      <c r="N135" s="768">
        <f t="shared" ref="N135:N198" si="7">SUM(E135:G135,I135:M135)</f>
        <v>0</v>
      </c>
      <c r="O135" s="768">
        <f t="shared" ref="O135:O198" si="8">N135-E135</f>
        <v>0</v>
      </c>
    </row>
    <row r="136" spans="1:15">
      <c r="A136" s="1007" t="s">
        <v>1645</v>
      </c>
      <c r="B136" s="1007" t="s">
        <v>575</v>
      </c>
      <c r="C136" s="1007" t="s">
        <v>575</v>
      </c>
      <c r="D136" s="1007" t="s">
        <v>1747</v>
      </c>
      <c r="E136" s="866">
        <v>0</v>
      </c>
      <c r="F136" s="1008"/>
      <c r="G136" s="1008"/>
      <c r="H136" s="1008">
        <f t="shared" si="6"/>
        <v>0</v>
      </c>
      <c r="I136" s="1008"/>
      <c r="J136" s="1008"/>
      <c r="K136" s="1008"/>
      <c r="L136" s="1008"/>
      <c r="M136" s="1008"/>
      <c r="N136" s="768">
        <f t="shared" si="7"/>
        <v>0</v>
      </c>
      <c r="O136" s="768">
        <f t="shared" si="8"/>
        <v>0</v>
      </c>
    </row>
    <row r="137" spans="1:15">
      <c r="A137" s="1007" t="s">
        <v>1645</v>
      </c>
      <c r="B137" s="1007" t="s">
        <v>575</v>
      </c>
      <c r="C137" s="1007" t="s">
        <v>575</v>
      </c>
      <c r="D137" s="1007" t="s">
        <v>1748</v>
      </c>
      <c r="E137" s="866">
        <v>0</v>
      </c>
      <c r="F137" s="1008"/>
      <c r="G137" s="1008"/>
      <c r="H137" s="1008">
        <f t="shared" si="6"/>
        <v>0</v>
      </c>
      <c r="I137" s="1008"/>
      <c r="J137" s="1008"/>
      <c r="K137" s="1008"/>
      <c r="L137" s="1008"/>
      <c r="M137" s="1008"/>
      <c r="N137" s="768">
        <f t="shared" si="7"/>
        <v>0</v>
      </c>
      <c r="O137" s="768">
        <f t="shared" si="8"/>
        <v>0</v>
      </c>
    </row>
    <row r="138" spans="1:15">
      <c r="A138" s="1007" t="s">
        <v>1645</v>
      </c>
      <c r="B138" s="1007" t="s">
        <v>575</v>
      </c>
      <c r="C138" s="1007" t="s">
        <v>575</v>
      </c>
      <c r="D138" s="1007" t="s">
        <v>1749</v>
      </c>
      <c r="E138" s="866">
        <v>0</v>
      </c>
      <c r="F138" s="1008"/>
      <c r="G138" s="1008"/>
      <c r="H138" s="1008">
        <f t="shared" si="6"/>
        <v>0</v>
      </c>
      <c r="I138" s="1008"/>
      <c r="J138" s="1008"/>
      <c r="K138" s="1008"/>
      <c r="L138" s="1008"/>
      <c r="M138" s="1008"/>
      <c r="N138" s="768">
        <f t="shared" si="7"/>
        <v>0</v>
      </c>
      <c r="O138" s="768">
        <f t="shared" si="8"/>
        <v>0</v>
      </c>
    </row>
    <row r="139" spans="1:15">
      <c r="A139" s="1007" t="s">
        <v>131</v>
      </c>
      <c r="B139" s="1007" t="s">
        <v>1750</v>
      </c>
      <c r="C139" s="1007" t="s">
        <v>1553</v>
      </c>
      <c r="D139" s="1007" t="s">
        <v>1751</v>
      </c>
      <c r="E139" s="866">
        <v>0</v>
      </c>
      <c r="F139" s="1008"/>
      <c r="G139" s="1008"/>
      <c r="H139" s="1008">
        <f t="shared" si="6"/>
        <v>0</v>
      </c>
      <c r="I139" s="1008"/>
      <c r="J139" s="1008"/>
      <c r="K139" s="1008"/>
      <c r="L139" s="1008"/>
      <c r="M139" s="1008"/>
      <c r="N139" s="768">
        <f t="shared" si="7"/>
        <v>0</v>
      </c>
      <c r="O139" s="768">
        <f t="shared" si="8"/>
        <v>0</v>
      </c>
    </row>
    <row r="140" spans="1:15">
      <c r="A140" s="1007" t="s">
        <v>1645</v>
      </c>
      <c r="B140" s="1007" t="s">
        <v>575</v>
      </c>
      <c r="C140" s="1007" t="s">
        <v>575</v>
      </c>
      <c r="D140" s="1007" t="s">
        <v>1752</v>
      </c>
      <c r="E140" s="866">
        <v>0</v>
      </c>
      <c r="F140" s="1008"/>
      <c r="G140" s="1008"/>
      <c r="H140" s="1008">
        <f t="shared" si="6"/>
        <v>0</v>
      </c>
      <c r="I140" s="1008"/>
      <c r="J140" s="1008"/>
      <c r="K140" s="1008"/>
      <c r="L140" s="1008"/>
      <c r="M140" s="1008"/>
      <c r="N140" s="768">
        <f t="shared" si="7"/>
        <v>0</v>
      </c>
      <c r="O140" s="768">
        <f t="shared" si="8"/>
        <v>0</v>
      </c>
    </row>
    <row r="141" spans="1:15">
      <c r="A141" s="1007" t="s">
        <v>126</v>
      </c>
      <c r="B141" s="1007" t="s">
        <v>575</v>
      </c>
      <c r="C141" s="1007" t="s">
        <v>575</v>
      </c>
      <c r="D141" s="1007" t="s">
        <v>1753</v>
      </c>
      <c r="E141" s="866">
        <v>0</v>
      </c>
      <c r="F141" s="1008"/>
      <c r="G141" s="1008"/>
      <c r="H141" s="1008">
        <f t="shared" si="6"/>
        <v>0</v>
      </c>
      <c r="I141" s="1008"/>
      <c r="J141" s="1008"/>
      <c r="K141" s="1008"/>
      <c r="L141" s="1008"/>
      <c r="M141" s="1008"/>
      <c r="N141" s="768">
        <f t="shared" si="7"/>
        <v>0</v>
      </c>
      <c r="O141" s="768">
        <f t="shared" si="8"/>
        <v>0</v>
      </c>
    </row>
    <row r="142" spans="1:15">
      <c r="A142" s="1007" t="s">
        <v>132</v>
      </c>
      <c r="B142" s="1007" t="s">
        <v>651</v>
      </c>
      <c r="C142" s="1007" t="s">
        <v>255</v>
      </c>
      <c r="D142" s="1007" t="s">
        <v>1754</v>
      </c>
      <c r="E142" s="866">
        <v>0</v>
      </c>
      <c r="F142" s="1008"/>
      <c r="G142" s="1008">
        <v>70000</v>
      </c>
      <c r="H142" s="1008">
        <f t="shared" si="6"/>
        <v>70000</v>
      </c>
      <c r="I142" s="1008"/>
      <c r="J142" s="1008">
        <v>800000</v>
      </c>
      <c r="K142" s="1008"/>
      <c r="L142" s="1008"/>
      <c r="M142" s="1008"/>
      <c r="N142" s="768">
        <f t="shared" si="7"/>
        <v>870000</v>
      </c>
      <c r="O142" s="768">
        <f t="shared" si="8"/>
        <v>870000</v>
      </c>
    </row>
    <row r="143" spans="1:15">
      <c r="A143" s="1007" t="s">
        <v>131</v>
      </c>
      <c r="B143" s="1007" t="s">
        <v>575</v>
      </c>
      <c r="C143" s="1007" t="s">
        <v>575</v>
      </c>
      <c r="D143" s="1007" t="s">
        <v>1755</v>
      </c>
      <c r="E143" s="866">
        <v>0</v>
      </c>
      <c r="F143" s="1008"/>
      <c r="G143" s="1008"/>
      <c r="H143" s="1008">
        <f t="shared" si="6"/>
        <v>0</v>
      </c>
      <c r="I143" s="1008"/>
      <c r="J143" s="1008"/>
      <c r="K143" s="1008"/>
      <c r="L143" s="1008"/>
      <c r="M143" s="1008"/>
      <c r="N143" s="768">
        <f t="shared" si="7"/>
        <v>0</v>
      </c>
      <c r="O143" s="768">
        <f t="shared" si="8"/>
        <v>0</v>
      </c>
    </row>
    <row r="144" spans="1:15">
      <c r="A144" s="1007" t="s">
        <v>131</v>
      </c>
      <c r="B144" s="1007" t="s">
        <v>575</v>
      </c>
      <c r="C144" s="1007" t="s">
        <v>575</v>
      </c>
      <c r="D144" s="1007" t="s">
        <v>1756</v>
      </c>
      <c r="E144" s="866">
        <v>0</v>
      </c>
      <c r="F144" s="1008"/>
      <c r="G144" s="1008"/>
      <c r="H144" s="1008">
        <f t="shared" si="6"/>
        <v>0</v>
      </c>
      <c r="I144" s="1008"/>
      <c r="J144" s="1008"/>
      <c r="K144" s="1008"/>
      <c r="L144" s="1008"/>
      <c r="M144" s="1008"/>
      <c r="N144" s="768">
        <f t="shared" si="7"/>
        <v>0</v>
      </c>
      <c r="O144" s="768">
        <f t="shared" si="8"/>
        <v>0</v>
      </c>
    </row>
    <row r="145" spans="1:15">
      <c r="A145" s="1007" t="s">
        <v>131</v>
      </c>
      <c r="B145" s="1007" t="s">
        <v>575</v>
      </c>
      <c r="C145" s="1007" t="s">
        <v>575</v>
      </c>
      <c r="D145" s="1007" t="s">
        <v>1757</v>
      </c>
      <c r="E145" s="866">
        <v>0</v>
      </c>
      <c r="F145" s="1008"/>
      <c r="G145" s="1008"/>
      <c r="H145" s="1008">
        <f t="shared" si="6"/>
        <v>0</v>
      </c>
      <c r="I145" s="1008"/>
      <c r="J145" s="1008"/>
      <c r="K145" s="1008"/>
      <c r="L145" s="1008"/>
      <c r="M145" s="1008"/>
      <c r="N145" s="768">
        <f t="shared" si="7"/>
        <v>0</v>
      </c>
      <c r="O145" s="768">
        <f t="shared" si="8"/>
        <v>0</v>
      </c>
    </row>
    <row r="146" spans="1:15">
      <c r="A146" s="1007" t="s">
        <v>131</v>
      </c>
      <c r="B146" s="1007" t="s">
        <v>676</v>
      </c>
      <c r="C146" s="1007" t="s">
        <v>729</v>
      </c>
      <c r="D146" s="1007" t="s">
        <v>1758</v>
      </c>
      <c r="E146" s="868">
        <v>1230000</v>
      </c>
      <c r="F146" s="1008"/>
      <c r="G146" s="1008"/>
      <c r="H146" s="1008">
        <f t="shared" si="6"/>
        <v>0</v>
      </c>
      <c r="I146" s="1008"/>
      <c r="J146" s="1008"/>
      <c r="K146" s="1008"/>
      <c r="L146" s="1008"/>
      <c r="M146" s="1008"/>
      <c r="N146" s="768">
        <f t="shared" si="7"/>
        <v>1230000</v>
      </c>
      <c r="O146" s="768">
        <f t="shared" si="8"/>
        <v>0</v>
      </c>
    </row>
    <row r="147" spans="1:15">
      <c r="A147" s="1007" t="s">
        <v>130</v>
      </c>
      <c r="B147" s="1007" t="s">
        <v>653</v>
      </c>
      <c r="C147" s="1007" t="s">
        <v>257</v>
      </c>
      <c r="D147" s="1007" t="s">
        <v>1759</v>
      </c>
      <c r="E147" s="866">
        <v>0</v>
      </c>
      <c r="F147" s="1008"/>
      <c r="G147" s="1008"/>
      <c r="H147" s="1008">
        <f t="shared" si="6"/>
        <v>0</v>
      </c>
      <c r="I147" s="1008"/>
      <c r="J147" s="1008"/>
      <c r="K147" s="1008"/>
      <c r="L147" s="1008"/>
      <c r="M147" s="1008"/>
      <c r="N147" s="768">
        <f t="shared" si="7"/>
        <v>0</v>
      </c>
      <c r="O147" s="768">
        <f t="shared" si="8"/>
        <v>0</v>
      </c>
    </row>
    <row r="148" spans="1:15">
      <c r="A148" s="1007" t="s">
        <v>126</v>
      </c>
      <c r="B148" s="1007" t="s">
        <v>654</v>
      </c>
      <c r="C148" s="1007" t="s">
        <v>258</v>
      </c>
      <c r="D148" s="1007" t="s">
        <v>1760</v>
      </c>
      <c r="E148" s="866">
        <v>0</v>
      </c>
      <c r="F148" s="1008"/>
      <c r="G148" s="1008"/>
      <c r="H148" s="1008">
        <f t="shared" si="6"/>
        <v>0</v>
      </c>
      <c r="I148" s="1008"/>
      <c r="J148" s="1008"/>
      <c r="K148" s="1008"/>
      <c r="L148" s="1008"/>
      <c r="M148" s="1008"/>
      <c r="N148" s="768">
        <f t="shared" si="7"/>
        <v>0</v>
      </c>
      <c r="O148" s="768">
        <f t="shared" si="8"/>
        <v>0</v>
      </c>
    </row>
    <row r="149" spans="1:15">
      <c r="A149" s="1007" t="s">
        <v>130</v>
      </c>
      <c r="B149" s="1007" t="s">
        <v>655</v>
      </c>
      <c r="C149" s="1007" t="s">
        <v>259</v>
      </c>
      <c r="D149" s="1007" t="s">
        <v>1761</v>
      </c>
      <c r="E149" s="866">
        <v>0</v>
      </c>
      <c r="F149" s="1008"/>
      <c r="G149" s="1008"/>
      <c r="H149" s="1008">
        <f t="shared" si="6"/>
        <v>0</v>
      </c>
      <c r="I149" s="1008"/>
      <c r="J149" s="1008"/>
      <c r="K149" s="1008"/>
      <c r="L149" s="1008"/>
      <c r="M149" s="1008"/>
      <c r="N149" s="768">
        <f t="shared" si="7"/>
        <v>0</v>
      </c>
      <c r="O149" s="768">
        <f t="shared" si="8"/>
        <v>0</v>
      </c>
    </row>
    <row r="150" spans="1:15">
      <c r="A150" s="1007" t="s">
        <v>1645</v>
      </c>
      <c r="B150" s="1007" t="s">
        <v>575</v>
      </c>
      <c r="C150" s="1007" t="s">
        <v>575</v>
      </c>
      <c r="D150" s="1007" t="s">
        <v>1762</v>
      </c>
      <c r="E150" s="866">
        <v>0</v>
      </c>
      <c r="F150" s="1011">
        <v>2850000</v>
      </c>
      <c r="G150" s="1008"/>
      <c r="H150" s="1008">
        <f t="shared" si="6"/>
        <v>2850000</v>
      </c>
      <c r="I150" s="1011"/>
      <c r="J150" s="1011">
        <v>400000</v>
      </c>
      <c r="K150" s="1011"/>
      <c r="L150" s="1011"/>
      <c r="M150" s="1011"/>
      <c r="N150" s="768">
        <f t="shared" si="7"/>
        <v>3250000</v>
      </c>
      <c r="O150" s="768">
        <f t="shared" si="8"/>
        <v>3250000</v>
      </c>
    </row>
    <row r="151" spans="1:15">
      <c r="A151" s="1007" t="s">
        <v>130</v>
      </c>
      <c r="B151" s="1007" t="s">
        <v>656</v>
      </c>
      <c r="C151" s="1007" t="s">
        <v>260</v>
      </c>
      <c r="D151" s="1007" t="s">
        <v>1763</v>
      </c>
      <c r="E151" s="866">
        <v>0</v>
      </c>
      <c r="F151" s="1008"/>
      <c r="G151" s="1008"/>
      <c r="H151" s="1008">
        <f t="shared" si="6"/>
        <v>0</v>
      </c>
      <c r="I151" s="1008"/>
      <c r="J151" s="1008"/>
      <c r="K151" s="1008"/>
      <c r="L151" s="1008"/>
      <c r="M151" s="1008"/>
      <c r="N151" s="768">
        <f t="shared" si="7"/>
        <v>0</v>
      </c>
      <c r="O151" s="768">
        <f t="shared" si="8"/>
        <v>0</v>
      </c>
    </row>
    <row r="152" spans="1:15">
      <c r="A152" s="1007" t="s">
        <v>126</v>
      </c>
      <c r="B152" s="1007" t="s">
        <v>657</v>
      </c>
      <c r="C152" s="1007" t="s">
        <v>261</v>
      </c>
      <c r="D152" s="1007" t="s">
        <v>1764</v>
      </c>
      <c r="E152" s="867">
        <v>9414708</v>
      </c>
      <c r="F152" s="1008">
        <v>5600</v>
      </c>
      <c r="G152" s="1008">
        <v>40000</v>
      </c>
      <c r="H152" s="1008">
        <f t="shared" si="6"/>
        <v>45600</v>
      </c>
      <c r="I152" s="1008"/>
      <c r="J152" s="1008"/>
      <c r="K152" s="1008"/>
      <c r="L152" s="1008"/>
      <c r="M152" s="1008"/>
      <c r="N152" s="768">
        <f t="shared" si="7"/>
        <v>9460308</v>
      </c>
      <c r="O152" s="768">
        <f t="shared" si="8"/>
        <v>45600</v>
      </c>
    </row>
    <row r="153" spans="1:15">
      <c r="A153" s="1007" t="s">
        <v>1645</v>
      </c>
      <c r="B153" s="1007" t="s">
        <v>575</v>
      </c>
      <c r="C153" s="1007" t="s">
        <v>575</v>
      </c>
      <c r="D153" s="1007" t="s">
        <v>1765</v>
      </c>
      <c r="E153" s="866">
        <v>0</v>
      </c>
      <c r="F153" s="1008"/>
      <c r="G153" s="1008"/>
      <c r="H153" s="1008">
        <f t="shared" si="6"/>
        <v>0</v>
      </c>
      <c r="I153" s="1008"/>
      <c r="J153" s="1008"/>
      <c r="K153" s="1008"/>
      <c r="L153" s="1008"/>
      <c r="M153" s="1008"/>
      <c r="N153" s="768">
        <f t="shared" si="7"/>
        <v>0</v>
      </c>
      <c r="O153" s="768">
        <f t="shared" si="8"/>
        <v>0</v>
      </c>
    </row>
    <row r="154" spans="1:15">
      <c r="A154" s="1007" t="s">
        <v>1631</v>
      </c>
      <c r="B154" s="1007" t="s">
        <v>575</v>
      </c>
      <c r="C154" s="1007" t="s">
        <v>575</v>
      </c>
      <c r="D154" s="1007" t="s">
        <v>1766</v>
      </c>
      <c r="E154" s="866">
        <v>0</v>
      </c>
      <c r="F154" s="1008"/>
      <c r="G154" s="1008"/>
      <c r="H154" s="1008">
        <f t="shared" si="6"/>
        <v>0</v>
      </c>
      <c r="I154" s="1008"/>
      <c r="J154" s="1008"/>
      <c r="K154" s="1008"/>
      <c r="L154" s="1008"/>
      <c r="M154" s="1008"/>
      <c r="N154" s="768">
        <f t="shared" si="7"/>
        <v>0</v>
      </c>
      <c r="O154" s="768">
        <f t="shared" si="8"/>
        <v>0</v>
      </c>
    </row>
    <row r="155" spans="1:15">
      <c r="A155" s="1007" t="s">
        <v>127</v>
      </c>
      <c r="B155" s="1007" t="s">
        <v>659</v>
      </c>
      <c r="C155" s="1007" t="s">
        <v>151</v>
      </c>
      <c r="D155" s="1007" t="s">
        <v>1767</v>
      </c>
      <c r="E155" s="866">
        <v>0</v>
      </c>
      <c r="F155" s="1008"/>
      <c r="G155" s="1008"/>
      <c r="H155" s="1008">
        <f t="shared" si="6"/>
        <v>0</v>
      </c>
      <c r="I155" s="1008"/>
      <c r="J155" s="1008"/>
      <c r="K155" s="1008"/>
      <c r="L155" s="1008"/>
      <c r="M155" s="1008"/>
      <c r="N155" s="768">
        <f t="shared" si="7"/>
        <v>0</v>
      </c>
      <c r="O155" s="768">
        <f t="shared" si="8"/>
        <v>0</v>
      </c>
    </row>
    <row r="156" spans="1:15">
      <c r="A156" s="1007" t="s">
        <v>132</v>
      </c>
      <c r="B156" s="1007" t="s">
        <v>575</v>
      </c>
      <c r="C156" s="1007" t="s">
        <v>575</v>
      </c>
      <c r="D156" s="1007" t="s">
        <v>132</v>
      </c>
      <c r="E156" s="866">
        <v>0</v>
      </c>
      <c r="F156" s="1008"/>
      <c r="G156" s="1008"/>
      <c r="H156" s="1008">
        <f t="shared" si="6"/>
        <v>0</v>
      </c>
      <c r="I156" s="1008">
        <v>362000</v>
      </c>
      <c r="J156" s="1008">
        <v>400000</v>
      </c>
      <c r="K156" s="1008"/>
      <c r="L156" s="1008"/>
      <c r="M156" s="1008"/>
      <c r="N156" s="768">
        <f t="shared" si="7"/>
        <v>762000</v>
      </c>
      <c r="O156" s="768">
        <f t="shared" si="8"/>
        <v>762000</v>
      </c>
    </row>
    <row r="157" spans="1:15">
      <c r="A157" s="1007" t="s">
        <v>1631</v>
      </c>
      <c r="B157" s="1007" t="s">
        <v>575</v>
      </c>
      <c r="C157" s="1007" t="s">
        <v>575</v>
      </c>
      <c r="D157" s="1007" t="s">
        <v>1768</v>
      </c>
      <c r="E157" s="866">
        <v>0</v>
      </c>
      <c r="F157" s="1008"/>
      <c r="G157" s="1008"/>
      <c r="H157" s="1008">
        <f t="shared" si="6"/>
        <v>0</v>
      </c>
      <c r="I157" s="1008"/>
      <c r="J157" s="1008"/>
      <c r="K157" s="1008"/>
      <c r="L157" s="1008"/>
      <c r="M157" s="1008"/>
      <c r="N157" s="768">
        <f t="shared" si="7"/>
        <v>0</v>
      </c>
      <c r="O157" s="768">
        <f t="shared" si="8"/>
        <v>0</v>
      </c>
    </row>
    <row r="158" spans="1:15">
      <c r="A158" s="1007" t="s">
        <v>128</v>
      </c>
      <c r="B158" s="1007" t="s">
        <v>661</v>
      </c>
      <c r="C158" s="1007" t="s">
        <v>264</v>
      </c>
      <c r="D158" s="1007" t="s">
        <v>1769</v>
      </c>
      <c r="E158" s="866">
        <v>0</v>
      </c>
      <c r="F158" s="1010">
        <v>200000</v>
      </c>
      <c r="G158" s="1008"/>
      <c r="H158" s="1008">
        <f t="shared" si="6"/>
        <v>200000</v>
      </c>
      <c r="I158" s="1008"/>
      <c r="J158" s="1012"/>
      <c r="K158" s="1008"/>
      <c r="L158" s="1008"/>
      <c r="M158" s="1008"/>
      <c r="N158" s="768">
        <f t="shared" si="7"/>
        <v>200000</v>
      </c>
      <c r="O158" s="768">
        <f t="shared" si="8"/>
        <v>200000</v>
      </c>
    </row>
    <row r="159" spans="1:15">
      <c r="A159" s="766" t="s">
        <v>130</v>
      </c>
      <c r="B159" s="766" t="s">
        <v>674</v>
      </c>
      <c r="C159" s="766" t="s">
        <v>154</v>
      </c>
      <c r="D159" s="766" t="s">
        <v>1770</v>
      </c>
      <c r="E159" s="868">
        <v>430000</v>
      </c>
      <c r="F159" s="1008"/>
      <c r="G159" s="1008"/>
      <c r="H159" s="1008">
        <f t="shared" si="6"/>
        <v>0</v>
      </c>
      <c r="I159" s="1008"/>
      <c r="J159" s="1012"/>
      <c r="K159" s="1008"/>
      <c r="L159" s="1008"/>
      <c r="M159" s="1008"/>
      <c r="N159" s="768">
        <f t="shared" si="7"/>
        <v>430000</v>
      </c>
      <c r="O159" s="768">
        <f t="shared" si="8"/>
        <v>0</v>
      </c>
    </row>
    <row r="160" spans="1:15">
      <c r="A160" s="1007" t="s">
        <v>129</v>
      </c>
      <c r="B160" s="1007" t="s">
        <v>663</v>
      </c>
      <c r="C160" s="1007" t="s">
        <v>266</v>
      </c>
      <c r="D160" s="1007" t="s">
        <v>1771</v>
      </c>
      <c r="E160" s="866">
        <v>0</v>
      </c>
      <c r="F160" s="1008"/>
      <c r="G160" s="1008">
        <v>40000</v>
      </c>
      <c r="H160" s="1008">
        <f t="shared" si="6"/>
        <v>40000</v>
      </c>
      <c r="I160" s="1008"/>
      <c r="J160" s="1008"/>
      <c r="K160" s="1008"/>
      <c r="L160" s="1008"/>
      <c r="M160" s="1008"/>
      <c r="N160" s="768">
        <f t="shared" si="7"/>
        <v>40000</v>
      </c>
      <c r="O160" s="768">
        <f t="shared" si="8"/>
        <v>40000</v>
      </c>
    </row>
    <row r="161" spans="1:15">
      <c r="A161" s="1007" t="s">
        <v>129</v>
      </c>
      <c r="B161" s="1007" t="s">
        <v>664</v>
      </c>
      <c r="C161" s="1007" t="s">
        <v>267</v>
      </c>
      <c r="D161" s="1007" t="s">
        <v>1772</v>
      </c>
      <c r="E161" s="866">
        <v>0</v>
      </c>
      <c r="F161" s="1008"/>
      <c r="G161" s="1008"/>
      <c r="H161" s="1008">
        <f t="shared" si="6"/>
        <v>0</v>
      </c>
      <c r="I161" s="1008">
        <v>225000</v>
      </c>
      <c r="J161" s="1008"/>
      <c r="K161" s="1008"/>
      <c r="L161" s="1008"/>
      <c r="M161" s="1008"/>
      <c r="N161" s="768">
        <f t="shared" si="7"/>
        <v>225000</v>
      </c>
      <c r="O161" s="768">
        <f t="shared" si="8"/>
        <v>225000</v>
      </c>
    </row>
    <row r="162" spans="1:15">
      <c r="A162" s="1007" t="s">
        <v>127</v>
      </c>
      <c r="B162" s="1007" t="s">
        <v>665</v>
      </c>
      <c r="C162" s="1007" t="s">
        <v>153</v>
      </c>
      <c r="D162" s="1007" t="s">
        <v>1773</v>
      </c>
      <c r="E162" s="866">
        <v>0</v>
      </c>
      <c r="F162" s="1008"/>
      <c r="G162" s="1008"/>
      <c r="H162" s="1008">
        <f t="shared" si="6"/>
        <v>0</v>
      </c>
      <c r="I162" s="1008"/>
      <c r="J162" s="1008"/>
      <c r="K162" s="1008"/>
      <c r="L162" s="1008"/>
      <c r="M162" s="1008"/>
      <c r="N162" s="768">
        <f t="shared" si="7"/>
        <v>0</v>
      </c>
      <c r="O162" s="768">
        <f t="shared" si="8"/>
        <v>0</v>
      </c>
    </row>
    <row r="163" spans="1:15">
      <c r="A163" s="1007" t="s">
        <v>129</v>
      </c>
      <c r="B163" s="1007" t="s">
        <v>667</v>
      </c>
      <c r="C163" s="1007" t="s">
        <v>269</v>
      </c>
      <c r="D163" s="1007" t="s">
        <v>1774</v>
      </c>
      <c r="E163" s="866">
        <v>0</v>
      </c>
      <c r="F163" s="1008"/>
      <c r="G163" s="1008">
        <v>40000</v>
      </c>
      <c r="H163" s="1008">
        <f t="shared" si="6"/>
        <v>40000</v>
      </c>
      <c r="I163" s="1008">
        <v>175000</v>
      </c>
      <c r="J163" s="1008"/>
      <c r="K163" s="1008"/>
      <c r="L163" s="1008"/>
      <c r="M163" s="1008"/>
      <c r="N163" s="768">
        <f t="shared" si="7"/>
        <v>215000</v>
      </c>
      <c r="O163" s="768">
        <f t="shared" si="8"/>
        <v>215000</v>
      </c>
    </row>
    <row r="164" spans="1:15">
      <c r="A164" s="766" t="s">
        <v>126</v>
      </c>
      <c r="B164" s="766" t="s">
        <v>668</v>
      </c>
      <c r="C164" s="766" t="s">
        <v>270</v>
      </c>
      <c r="D164" s="766" t="s">
        <v>1775</v>
      </c>
      <c r="E164" s="866">
        <v>0</v>
      </c>
      <c r="F164" s="1008">
        <v>35200</v>
      </c>
      <c r="G164" s="1008">
        <v>40000</v>
      </c>
      <c r="H164" s="1008">
        <f t="shared" si="6"/>
        <v>75200</v>
      </c>
      <c r="I164" s="1008"/>
      <c r="J164" s="1008"/>
      <c r="K164" s="1008"/>
      <c r="L164" s="1008"/>
      <c r="M164" s="1008"/>
      <c r="N164" s="768">
        <f t="shared" si="7"/>
        <v>75200</v>
      </c>
      <c r="O164" s="768">
        <f t="shared" si="8"/>
        <v>75200</v>
      </c>
    </row>
    <row r="165" spans="1:15">
      <c r="A165" s="1007" t="s">
        <v>128</v>
      </c>
      <c r="B165" s="1007" t="s">
        <v>669</v>
      </c>
      <c r="C165" s="1007" t="s">
        <v>271</v>
      </c>
      <c r="D165" s="1007" t="s">
        <v>1776</v>
      </c>
      <c r="E165" s="866">
        <v>0</v>
      </c>
      <c r="F165" s="1010">
        <v>1300000</v>
      </c>
      <c r="G165" s="1008">
        <v>50000</v>
      </c>
      <c r="H165" s="1008">
        <f t="shared" si="6"/>
        <v>1350000</v>
      </c>
      <c r="I165" s="1008">
        <v>340000</v>
      </c>
      <c r="J165" s="1008">
        <v>1387980</v>
      </c>
      <c r="K165" s="1008"/>
      <c r="L165" s="1008"/>
      <c r="M165" s="1008"/>
      <c r="N165" s="768">
        <f t="shared" si="7"/>
        <v>3077980</v>
      </c>
      <c r="O165" s="768">
        <f t="shared" si="8"/>
        <v>3077980</v>
      </c>
    </row>
    <row r="166" spans="1:15">
      <c r="A166" s="1007" t="s">
        <v>128</v>
      </c>
      <c r="B166" s="1007" t="s">
        <v>670</v>
      </c>
      <c r="C166" s="1007" t="s">
        <v>272</v>
      </c>
      <c r="D166" s="1007" t="s">
        <v>1777</v>
      </c>
      <c r="E166" s="866">
        <v>0</v>
      </c>
      <c r="F166" s="1008"/>
      <c r="G166" s="1008"/>
      <c r="H166" s="1008">
        <f t="shared" si="6"/>
        <v>0</v>
      </c>
      <c r="I166" s="1008"/>
      <c r="J166" s="1008"/>
      <c r="K166" s="1008"/>
      <c r="L166" s="1008"/>
      <c r="M166" s="1008"/>
      <c r="N166" s="768">
        <f t="shared" si="7"/>
        <v>0</v>
      </c>
      <c r="O166" s="768">
        <f t="shared" si="8"/>
        <v>0</v>
      </c>
    </row>
    <row r="167" spans="1:15">
      <c r="A167" s="1007" t="s">
        <v>128</v>
      </c>
      <c r="B167" s="1007" t="s">
        <v>671</v>
      </c>
      <c r="C167" s="1007" t="s">
        <v>273</v>
      </c>
      <c r="D167" s="1007" t="s">
        <v>1778</v>
      </c>
      <c r="E167" s="866">
        <v>0</v>
      </c>
      <c r="F167" s="1008"/>
      <c r="G167" s="1008"/>
      <c r="H167" s="1008">
        <f t="shared" si="6"/>
        <v>0</v>
      </c>
      <c r="I167" s="1008">
        <v>715000</v>
      </c>
      <c r="J167" s="1008">
        <v>622523</v>
      </c>
      <c r="K167" s="1008"/>
      <c r="L167" s="1008"/>
      <c r="M167" s="1008"/>
      <c r="N167" s="768">
        <f t="shared" si="7"/>
        <v>1337523</v>
      </c>
      <c r="O167" s="768">
        <f t="shared" si="8"/>
        <v>1337523</v>
      </c>
    </row>
    <row r="168" spans="1:15">
      <c r="A168" s="1007" t="s">
        <v>132</v>
      </c>
      <c r="B168" s="1007" t="s">
        <v>672</v>
      </c>
      <c r="C168" s="1007" t="s">
        <v>274</v>
      </c>
      <c r="D168" s="1007" t="s">
        <v>1779</v>
      </c>
      <c r="E168" s="868">
        <v>1961600</v>
      </c>
      <c r="F168" s="1008"/>
      <c r="G168" s="1008">
        <v>40000</v>
      </c>
      <c r="H168" s="1008">
        <f t="shared" si="6"/>
        <v>40000</v>
      </c>
      <c r="I168" s="1008"/>
      <c r="J168" s="1008"/>
      <c r="K168" s="1008"/>
      <c r="L168" s="1008"/>
      <c r="M168" s="1008"/>
      <c r="N168" s="768">
        <f t="shared" si="7"/>
        <v>2001600</v>
      </c>
      <c r="O168" s="768">
        <f t="shared" si="8"/>
        <v>40000</v>
      </c>
    </row>
    <row r="169" spans="1:15">
      <c r="A169" s="766" t="s">
        <v>130</v>
      </c>
      <c r="B169" s="766" t="s">
        <v>675</v>
      </c>
      <c r="C169" s="766" t="s">
        <v>155</v>
      </c>
      <c r="D169" s="766" t="s">
        <v>1780</v>
      </c>
      <c r="E169" s="868">
        <v>230000</v>
      </c>
      <c r="F169" s="1008"/>
      <c r="G169" s="1008"/>
      <c r="H169" s="1008">
        <f t="shared" si="6"/>
        <v>0</v>
      </c>
      <c r="I169" s="1008"/>
      <c r="J169" s="1008"/>
      <c r="K169" s="1008"/>
      <c r="L169" s="1008"/>
      <c r="M169" s="1008"/>
      <c r="N169" s="768">
        <f t="shared" si="7"/>
        <v>230000</v>
      </c>
      <c r="O169" s="768">
        <f t="shared" si="8"/>
        <v>0</v>
      </c>
    </row>
    <row r="170" spans="1:15">
      <c r="A170" s="1007" t="s">
        <v>131</v>
      </c>
      <c r="B170" s="1007" t="s">
        <v>677</v>
      </c>
      <c r="C170" s="1007" t="s">
        <v>277</v>
      </c>
      <c r="D170" s="1007" t="s">
        <v>1781</v>
      </c>
      <c r="E170" s="866">
        <v>0</v>
      </c>
      <c r="F170" s="1008"/>
      <c r="G170" s="1008">
        <v>50000</v>
      </c>
      <c r="H170" s="1008">
        <f t="shared" si="6"/>
        <v>50000</v>
      </c>
      <c r="I170" s="1008"/>
      <c r="J170" s="1008"/>
      <c r="K170" s="1008"/>
      <c r="L170" s="1008"/>
      <c r="M170" s="1008"/>
      <c r="N170" s="768">
        <f t="shared" si="7"/>
        <v>50000</v>
      </c>
      <c r="O170" s="768">
        <f t="shared" si="8"/>
        <v>50000</v>
      </c>
    </row>
    <row r="171" spans="1:15">
      <c r="A171" s="1007" t="s">
        <v>1645</v>
      </c>
      <c r="B171" s="1007" t="s">
        <v>575</v>
      </c>
      <c r="C171" s="1007" t="s">
        <v>575</v>
      </c>
      <c r="D171" s="1007" t="s">
        <v>1782</v>
      </c>
      <c r="E171" s="866">
        <v>0</v>
      </c>
      <c r="F171" s="1008"/>
      <c r="G171" s="1008"/>
      <c r="H171" s="1008">
        <f t="shared" si="6"/>
        <v>0</v>
      </c>
      <c r="I171" s="1008"/>
      <c r="J171" s="1008"/>
      <c r="K171" s="1008"/>
      <c r="L171" s="1008"/>
      <c r="M171" s="1008"/>
      <c r="N171" s="768">
        <f t="shared" si="7"/>
        <v>0</v>
      </c>
      <c r="O171" s="768">
        <f t="shared" si="8"/>
        <v>0</v>
      </c>
    </row>
    <row r="172" spans="1:15">
      <c r="A172" s="1007" t="s">
        <v>1645</v>
      </c>
      <c r="B172" s="1007" t="s">
        <v>1783</v>
      </c>
      <c r="C172" s="1007" t="s">
        <v>1784</v>
      </c>
      <c r="D172" s="1007" t="s">
        <v>1785</v>
      </c>
      <c r="E172" s="866">
        <v>0</v>
      </c>
      <c r="F172" s="1008"/>
      <c r="G172" s="1008"/>
      <c r="H172" s="1008">
        <f t="shared" si="6"/>
        <v>0</v>
      </c>
      <c r="I172" s="1008"/>
      <c r="J172" s="1008"/>
      <c r="K172" s="1008"/>
      <c r="L172" s="1008"/>
      <c r="M172" s="1008"/>
      <c r="N172" s="768">
        <f t="shared" si="7"/>
        <v>0</v>
      </c>
      <c r="O172" s="768">
        <f t="shared" si="8"/>
        <v>0</v>
      </c>
    </row>
    <row r="173" spans="1:15">
      <c r="A173" s="1007" t="s">
        <v>131</v>
      </c>
      <c r="B173" s="1007" t="s">
        <v>679</v>
      </c>
      <c r="C173" s="1007" t="s">
        <v>279</v>
      </c>
      <c r="D173" s="1007" t="s">
        <v>1786</v>
      </c>
      <c r="E173" s="866">
        <v>0</v>
      </c>
      <c r="F173" s="1008"/>
      <c r="G173" s="1008"/>
      <c r="H173" s="1008">
        <f t="shared" si="6"/>
        <v>0</v>
      </c>
      <c r="I173" s="1008">
        <v>175000</v>
      </c>
      <c r="J173" s="1008"/>
      <c r="K173" s="1008"/>
      <c r="L173" s="1008"/>
      <c r="M173" s="1008"/>
      <c r="N173" s="768">
        <f t="shared" si="7"/>
        <v>175000</v>
      </c>
      <c r="O173" s="768">
        <f t="shared" si="8"/>
        <v>175000</v>
      </c>
    </row>
    <row r="174" spans="1:15">
      <c r="A174" s="766" t="s">
        <v>131</v>
      </c>
      <c r="B174" s="766" t="s">
        <v>575</v>
      </c>
      <c r="C174" s="766" t="s">
        <v>575</v>
      </c>
      <c r="D174" s="766" t="s">
        <v>1787</v>
      </c>
      <c r="E174" s="866">
        <v>0</v>
      </c>
      <c r="F174" s="1008"/>
      <c r="G174" s="1008"/>
      <c r="H174" s="1008">
        <f t="shared" si="6"/>
        <v>0</v>
      </c>
      <c r="I174" s="1008"/>
      <c r="J174" s="1008"/>
      <c r="K174" s="1008"/>
      <c r="L174" s="1008"/>
      <c r="M174" s="1008"/>
      <c r="N174" s="768">
        <f t="shared" si="7"/>
        <v>0</v>
      </c>
      <c r="O174" s="768">
        <f t="shared" si="8"/>
        <v>0</v>
      </c>
    </row>
    <row r="175" spans="1:15">
      <c r="A175" s="1007" t="s">
        <v>1631</v>
      </c>
      <c r="B175" s="1007" t="s">
        <v>575</v>
      </c>
      <c r="C175" s="1007" t="s">
        <v>575</v>
      </c>
      <c r="D175" s="1007" t="s">
        <v>1788</v>
      </c>
      <c r="E175" s="866">
        <v>0</v>
      </c>
      <c r="F175" s="1008"/>
      <c r="G175" s="1008"/>
      <c r="H175" s="1008">
        <f t="shared" si="6"/>
        <v>0</v>
      </c>
      <c r="I175" s="1008"/>
      <c r="J175" s="1008"/>
      <c r="K175" s="1008"/>
      <c r="L175" s="1008"/>
      <c r="M175" s="1008"/>
      <c r="N175" s="768">
        <f t="shared" si="7"/>
        <v>0</v>
      </c>
      <c r="O175" s="768">
        <f t="shared" si="8"/>
        <v>0</v>
      </c>
    </row>
    <row r="176" spans="1:15">
      <c r="A176" s="1007" t="s">
        <v>127</v>
      </c>
      <c r="B176" s="1007" t="s">
        <v>680</v>
      </c>
      <c r="C176" s="1007" t="s">
        <v>280</v>
      </c>
      <c r="D176" s="1007" t="s">
        <v>1789</v>
      </c>
      <c r="E176" s="866">
        <v>0</v>
      </c>
      <c r="F176" s="1008">
        <v>3000</v>
      </c>
      <c r="G176" s="1008">
        <v>40000</v>
      </c>
      <c r="H176" s="1008">
        <f t="shared" si="6"/>
        <v>43000</v>
      </c>
      <c r="I176" s="1008">
        <v>225000</v>
      </c>
      <c r="J176" s="1008"/>
      <c r="K176" s="1008"/>
      <c r="L176" s="1008"/>
      <c r="M176" s="1008"/>
      <c r="N176" s="768">
        <f t="shared" si="7"/>
        <v>268000</v>
      </c>
      <c r="O176" s="768">
        <f t="shared" si="8"/>
        <v>268000</v>
      </c>
    </row>
    <row r="177" spans="1:15">
      <c r="A177" s="1007" t="s">
        <v>128</v>
      </c>
      <c r="B177" s="1007" t="s">
        <v>681</v>
      </c>
      <c r="C177" s="1007" t="s">
        <v>156</v>
      </c>
      <c r="D177" s="1007" t="s">
        <v>1790</v>
      </c>
      <c r="E177" s="866">
        <v>0</v>
      </c>
      <c r="F177" s="1008"/>
      <c r="G177" s="1008">
        <v>70000</v>
      </c>
      <c r="H177" s="1008">
        <f t="shared" si="6"/>
        <v>70000</v>
      </c>
      <c r="I177" s="1008">
        <v>350000</v>
      </c>
      <c r="J177" s="1008"/>
      <c r="K177" s="1008"/>
      <c r="L177" s="1008"/>
      <c r="M177" s="1008"/>
      <c r="N177" s="768">
        <f t="shared" si="7"/>
        <v>420000</v>
      </c>
      <c r="O177" s="768">
        <f t="shared" si="8"/>
        <v>420000</v>
      </c>
    </row>
    <row r="178" spans="1:15">
      <c r="A178" s="1007" t="s">
        <v>126</v>
      </c>
      <c r="B178" s="1007" t="s">
        <v>682</v>
      </c>
      <c r="C178" s="1007" t="s">
        <v>157</v>
      </c>
      <c r="D178" s="1007" t="s">
        <v>1791</v>
      </c>
      <c r="E178" s="866">
        <v>0</v>
      </c>
      <c r="F178" s="1008"/>
      <c r="G178" s="1008"/>
      <c r="H178" s="1008">
        <f t="shared" si="6"/>
        <v>0</v>
      </c>
      <c r="I178" s="1008"/>
      <c r="J178" s="1008"/>
      <c r="K178" s="1008"/>
      <c r="L178" s="1008"/>
      <c r="M178" s="1008"/>
      <c r="N178" s="768">
        <f t="shared" si="7"/>
        <v>0</v>
      </c>
      <c r="O178" s="768">
        <f t="shared" si="8"/>
        <v>0</v>
      </c>
    </row>
    <row r="179" spans="1:15">
      <c r="A179" s="1007" t="s">
        <v>126</v>
      </c>
      <c r="B179" s="1007" t="s">
        <v>683</v>
      </c>
      <c r="C179" s="1007" t="s">
        <v>281</v>
      </c>
      <c r="D179" s="1007" t="s">
        <v>1792</v>
      </c>
      <c r="E179" s="866">
        <v>0</v>
      </c>
      <c r="F179" s="1008"/>
      <c r="G179" s="1008">
        <v>50000</v>
      </c>
      <c r="H179" s="1008">
        <f t="shared" si="6"/>
        <v>50000</v>
      </c>
      <c r="I179" s="1008"/>
      <c r="J179" s="1008"/>
      <c r="K179" s="1008"/>
      <c r="L179" s="1008"/>
      <c r="M179" s="1008"/>
      <c r="N179" s="768">
        <f t="shared" si="7"/>
        <v>50000</v>
      </c>
      <c r="O179" s="768">
        <f t="shared" si="8"/>
        <v>50000</v>
      </c>
    </row>
    <row r="180" spans="1:15">
      <c r="A180" s="1007" t="s">
        <v>129</v>
      </c>
      <c r="B180" s="1007" t="s">
        <v>684</v>
      </c>
      <c r="C180" s="1007" t="s">
        <v>282</v>
      </c>
      <c r="D180" s="1007" t="s">
        <v>1793</v>
      </c>
      <c r="E180" s="866">
        <v>0</v>
      </c>
      <c r="F180" s="1008"/>
      <c r="G180" s="1008">
        <v>40000</v>
      </c>
      <c r="H180" s="1008">
        <f t="shared" si="6"/>
        <v>40000</v>
      </c>
      <c r="I180" s="1008"/>
      <c r="J180" s="1008"/>
      <c r="K180" s="1008"/>
      <c r="L180" s="1008"/>
      <c r="M180" s="1008"/>
      <c r="N180" s="768">
        <f t="shared" si="7"/>
        <v>40000</v>
      </c>
      <c r="O180" s="768">
        <f t="shared" si="8"/>
        <v>40000</v>
      </c>
    </row>
    <row r="181" spans="1:15">
      <c r="A181" s="766" t="s">
        <v>126</v>
      </c>
      <c r="B181" s="766" t="s">
        <v>685</v>
      </c>
      <c r="C181" s="766" t="s">
        <v>283</v>
      </c>
      <c r="D181" s="766" t="s">
        <v>1794</v>
      </c>
      <c r="E181" s="872">
        <v>460000</v>
      </c>
      <c r="F181" s="1008"/>
      <c r="G181" s="1008"/>
      <c r="H181" s="1008">
        <f t="shared" si="6"/>
        <v>0</v>
      </c>
      <c r="I181" s="1008"/>
      <c r="J181" s="1008"/>
      <c r="K181" s="1008"/>
      <c r="L181" s="1008"/>
      <c r="M181" s="1008"/>
      <c r="N181" s="768">
        <f t="shared" si="7"/>
        <v>460000</v>
      </c>
      <c r="O181" s="768">
        <f t="shared" si="8"/>
        <v>0</v>
      </c>
    </row>
    <row r="182" spans="1:15">
      <c r="A182" s="1007" t="s">
        <v>131</v>
      </c>
      <c r="B182" s="1007" t="s">
        <v>687</v>
      </c>
      <c r="C182" s="1007" t="s">
        <v>285</v>
      </c>
      <c r="D182" s="1007" t="s">
        <v>1795</v>
      </c>
      <c r="E182" s="867">
        <v>1029936</v>
      </c>
      <c r="F182" s="1008"/>
      <c r="G182" s="1008">
        <v>40000</v>
      </c>
      <c r="H182" s="1008">
        <f t="shared" si="6"/>
        <v>40000</v>
      </c>
      <c r="I182" s="1008"/>
      <c r="J182" s="1008"/>
      <c r="K182" s="1008"/>
      <c r="L182" s="1008"/>
      <c r="M182" s="1008"/>
      <c r="N182" s="768">
        <f t="shared" si="7"/>
        <v>1069936</v>
      </c>
      <c r="O182" s="768">
        <f t="shared" si="8"/>
        <v>40000</v>
      </c>
    </row>
    <row r="183" spans="1:15">
      <c r="A183" s="1007" t="s">
        <v>127</v>
      </c>
      <c r="B183" s="1007" t="s">
        <v>688</v>
      </c>
      <c r="C183" s="1007" t="s">
        <v>286</v>
      </c>
      <c r="D183" s="1007" t="s">
        <v>1796</v>
      </c>
      <c r="E183" s="866">
        <v>0</v>
      </c>
      <c r="F183" s="1008"/>
      <c r="G183" s="1008"/>
      <c r="H183" s="1008">
        <f t="shared" si="6"/>
        <v>0</v>
      </c>
      <c r="I183" s="1008"/>
      <c r="J183" s="1008"/>
      <c r="K183" s="1008"/>
      <c r="L183" s="1008"/>
      <c r="M183" s="1008"/>
      <c r="N183" s="768">
        <f t="shared" si="7"/>
        <v>0</v>
      </c>
      <c r="O183" s="768">
        <f t="shared" si="8"/>
        <v>0</v>
      </c>
    </row>
    <row r="184" spans="1:15">
      <c r="A184" s="1007" t="s">
        <v>127</v>
      </c>
      <c r="B184" s="1007" t="s">
        <v>689</v>
      </c>
      <c r="C184" s="1007" t="s">
        <v>287</v>
      </c>
      <c r="D184" s="1007" t="s">
        <v>1797</v>
      </c>
      <c r="E184" s="866">
        <v>0</v>
      </c>
      <c r="F184" s="1008"/>
      <c r="G184" s="1008"/>
      <c r="H184" s="1008">
        <f t="shared" si="6"/>
        <v>0</v>
      </c>
      <c r="I184" s="1008"/>
      <c r="J184" s="1008"/>
      <c r="K184" s="1008"/>
      <c r="L184" s="1008"/>
      <c r="M184" s="1008"/>
      <c r="N184" s="768">
        <f t="shared" si="7"/>
        <v>0</v>
      </c>
      <c r="O184" s="768">
        <f t="shared" si="8"/>
        <v>0</v>
      </c>
    </row>
    <row r="185" spans="1:15">
      <c r="A185" s="766" t="s">
        <v>126</v>
      </c>
      <c r="B185" s="766" t="s">
        <v>690</v>
      </c>
      <c r="C185" s="766" t="s">
        <v>288</v>
      </c>
      <c r="D185" s="766" t="s">
        <v>1798</v>
      </c>
      <c r="E185" s="872">
        <v>460000</v>
      </c>
      <c r="F185" s="1008"/>
      <c r="G185" s="1008"/>
      <c r="H185" s="1008">
        <f t="shared" si="6"/>
        <v>0</v>
      </c>
      <c r="I185" s="1008"/>
      <c r="J185" s="1008"/>
      <c r="K185" s="1008"/>
      <c r="L185" s="1008"/>
      <c r="M185" s="1008"/>
      <c r="N185" s="768">
        <f t="shared" si="7"/>
        <v>460000</v>
      </c>
      <c r="O185" s="768">
        <f t="shared" si="8"/>
        <v>0</v>
      </c>
    </row>
    <row r="186" spans="1:15">
      <c r="A186" s="1007" t="s">
        <v>128</v>
      </c>
      <c r="B186" s="1007" t="s">
        <v>691</v>
      </c>
      <c r="C186" s="1007" t="s">
        <v>289</v>
      </c>
      <c r="D186" s="1007" t="s">
        <v>1799</v>
      </c>
      <c r="E186" s="866">
        <v>0</v>
      </c>
      <c r="F186" s="1008">
        <v>33600</v>
      </c>
      <c r="G186" s="1008">
        <v>70000</v>
      </c>
      <c r="H186" s="1008">
        <f t="shared" si="6"/>
        <v>103600</v>
      </c>
      <c r="I186" s="1008">
        <v>225000</v>
      </c>
      <c r="J186" s="1008"/>
      <c r="K186" s="1008"/>
      <c r="L186" s="1008"/>
      <c r="M186" s="1008"/>
      <c r="N186" s="768">
        <f t="shared" si="7"/>
        <v>328600</v>
      </c>
      <c r="O186" s="768">
        <f t="shared" si="8"/>
        <v>328600</v>
      </c>
    </row>
    <row r="187" spans="1:15">
      <c r="A187" s="1007" t="s">
        <v>127</v>
      </c>
      <c r="B187" s="1007" t="s">
        <v>692</v>
      </c>
      <c r="C187" s="1007" t="s">
        <v>290</v>
      </c>
      <c r="D187" s="1007" t="s">
        <v>1800</v>
      </c>
      <c r="E187" s="870">
        <v>3957835</v>
      </c>
      <c r="F187" s="1008"/>
      <c r="G187" s="1008">
        <v>40000</v>
      </c>
      <c r="H187" s="1008">
        <f t="shared" si="6"/>
        <v>40000</v>
      </c>
      <c r="I187" s="1008"/>
      <c r="J187" s="1009">
        <v>70000</v>
      </c>
      <c r="K187" s="1008"/>
      <c r="L187" s="1008"/>
      <c r="M187" s="1008"/>
      <c r="N187" s="768">
        <f t="shared" si="7"/>
        <v>4067835</v>
      </c>
      <c r="O187" s="768">
        <f t="shared" si="8"/>
        <v>110000</v>
      </c>
    </row>
    <row r="188" spans="1:15">
      <c r="A188" s="1007" t="s">
        <v>1645</v>
      </c>
      <c r="B188" s="1007" t="s">
        <v>575</v>
      </c>
      <c r="C188" s="1007" t="s">
        <v>575</v>
      </c>
      <c r="D188" s="1007" t="s">
        <v>1801</v>
      </c>
      <c r="E188" s="866">
        <v>0</v>
      </c>
      <c r="F188" s="1008"/>
      <c r="G188" s="1008"/>
      <c r="H188" s="1008">
        <f t="shared" si="6"/>
        <v>0</v>
      </c>
      <c r="I188" s="1008"/>
      <c r="J188" s="1008"/>
      <c r="K188" s="1008"/>
      <c r="L188" s="1008"/>
      <c r="M188" s="1008"/>
      <c r="N188" s="768">
        <f t="shared" si="7"/>
        <v>0</v>
      </c>
      <c r="O188" s="768">
        <f t="shared" si="8"/>
        <v>0</v>
      </c>
    </row>
    <row r="189" spans="1:15">
      <c r="A189" s="1007" t="s">
        <v>1645</v>
      </c>
      <c r="B189" s="1007" t="s">
        <v>575</v>
      </c>
      <c r="C189" s="1007" t="s">
        <v>575</v>
      </c>
      <c r="D189" s="1007" t="s">
        <v>1802</v>
      </c>
      <c r="E189" s="866">
        <v>0</v>
      </c>
      <c r="F189" s="1008"/>
      <c r="G189" s="1008"/>
      <c r="H189" s="1008">
        <f t="shared" si="6"/>
        <v>0</v>
      </c>
      <c r="I189" s="1008"/>
      <c r="J189" s="1008"/>
      <c r="K189" s="1008"/>
      <c r="L189" s="1008"/>
      <c r="M189" s="1008"/>
      <c r="N189" s="768">
        <f t="shared" si="7"/>
        <v>0</v>
      </c>
      <c r="O189" s="768">
        <f t="shared" si="8"/>
        <v>0</v>
      </c>
    </row>
    <row r="190" spans="1:15">
      <c r="A190" s="1007" t="s">
        <v>130</v>
      </c>
      <c r="B190" s="1007" t="s">
        <v>693</v>
      </c>
      <c r="C190" s="1007" t="s">
        <v>291</v>
      </c>
      <c r="D190" s="1007" t="s">
        <v>1803</v>
      </c>
      <c r="E190" s="866">
        <v>0</v>
      </c>
      <c r="F190" s="1008"/>
      <c r="G190" s="1008"/>
      <c r="H190" s="1008">
        <f t="shared" si="6"/>
        <v>0</v>
      </c>
      <c r="I190" s="1008"/>
      <c r="J190" s="1008">
        <v>412400</v>
      </c>
      <c r="K190" s="1008"/>
      <c r="L190" s="1008"/>
      <c r="M190" s="1008"/>
      <c r="N190" s="768">
        <f t="shared" si="7"/>
        <v>412400</v>
      </c>
      <c r="O190" s="768">
        <f t="shared" si="8"/>
        <v>412400</v>
      </c>
    </row>
    <row r="191" spans="1:15">
      <c r="A191" s="1007" t="s">
        <v>127</v>
      </c>
      <c r="B191" s="1007" t="s">
        <v>694</v>
      </c>
      <c r="C191" s="1007" t="s">
        <v>292</v>
      </c>
      <c r="D191" s="1007" t="s">
        <v>1804</v>
      </c>
      <c r="E191" s="866">
        <v>0</v>
      </c>
      <c r="F191" s="1008"/>
      <c r="G191" s="1008">
        <v>50000</v>
      </c>
      <c r="H191" s="1008">
        <f t="shared" si="6"/>
        <v>50000</v>
      </c>
      <c r="I191" s="1008">
        <v>225000</v>
      </c>
      <c r="J191" s="1008"/>
      <c r="K191" s="1008"/>
      <c r="L191" s="1008"/>
      <c r="M191" s="1008"/>
      <c r="N191" s="768">
        <f t="shared" si="7"/>
        <v>275000</v>
      </c>
      <c r="O191" s="768">
        <f t="shared" si="8"/>
        <v>275000</v>
      </c>
    </row>
    <row r="192" spans="1:15">
      <c r="A192" s="766" t="s">
        <v>126</v>
      </c>
      <c r="B192" s="766" t="s">
        <v>695</v>
      </c>
      <c r="C192" s="766" t="s">
        <v>293</v>
      </c>
      <c r="D192" s="766" t="s">
        <v>1805</v>
      </c>
      <c r="E192" s="872">
        <v>460000</v>
      </c>
      <c r="F192" s="1008"/>
      <c r="G192" s="1008"/>
      <c r="H192" s="1008">
        <f t="shared" si="6"/>
        <v>0</v>
      </c>
      <c r="I192" s="1008"/>
      <c r="J192" s="1008"/>
      <c r="K192" s="1008"/>
      <c r="L192" s="1008"/>
      <c r="M192" s="1008"/>
      <c r="N192" s="768">
        <f t="shared" si="7"/>
        <v>460000</v>
      </c>
      <c r="O192" s="768">
        <f t="shared" si="8"/>
        <v>0</v>
      </c>
    </row>
    <row r="193" spans="1:15">
      <c r="A193" s="1007" t="s">
        <v>130</v>
      </c>
      <c r="B193" s="1007" t="s">
        <v>575</v>
      </c>
      <c r="C193" s="1007" t="s">
        <v>575</v>
      </c>
      <c r="D193" s="1007" t="s">
        <v>1806</v>
      </c>
      <c r="E193" s="866">
        <v>0</v>
      </c>
      <c r="F193" s="1008"/>
      <c r="G193" s="1008"/>
      <c r="H193" s="1008">
        <f t="shared" si="6"/>
        <v>0</v>
      </c>
      <c r="I193" s="1008"/>
      <c r="J193" s="1008"/>
      <c r="K193" s="1008"/>
      <c r="L193" s="1008"/>
      <c r="M193" s="1008"/>
      <c r="N193" s="768">
        <f t="shared" si="7"/>
        <v>0</v>
      </c>
      <c r="O193" s="768">
        <f t="shared" si="8"/>
        <v>0</v>
      </c>
    </row>
    <row r="194" spans="1:15">
      <c r="A194" s="1007" t="s">
        <v>126</v>
      </c>
      <c r="B194" s="1007" t="s">
        <v>697</v>
      </c>
      <c r="C194" s="1007" t="s">
        <v>295</v>
      </c>
      <c r="D194" s="1007" t="s">
        <v>1807</v>
      </c>
      <c r="E194" s="866">
        <v>0</v>
      </c>
      <c r="F194" s="1008"/>
      <c r="G194" s="1008">
        <v>70000</v>
      </c>
      <c r="H194" s="1008">
        <f t="shared" si="6"/>
        <v>70000</v>
      </c>
      <c r="I194" s="1008"/>
      <c r="J194" s="1008"/>
      <c r="K194" s="1008"/>
      <c r="L194" s="1008"/>
      <c r="M194" s="1008"/>
      <c r="N194" s="768">
        <f t="shared" si="7"/>
        <v>70000</v>
      </c>
      <c r="O194" s="768">
        <f t="shared" si="8"/>
        <v>70000</v>
      </c>
    </row>
    <row r="195" spans="1:15">
      <c r="A195" s="1007" t="s">
        <v>129</v>
      </c>
      <c r="B195" s="1007" t="s">
        <v>575</v>
      </c>
      <c r="C195" s="1007" t="s">
        <v>575</v>
      </c>
      <c r="D195" s="1007" t="s">
        <v>129</v>
      </c>
      <c r="E195" s="866">
        <v>0</v>
      </c>
      <c r="F195" s="1008"/>
      <c r="G195" s="1008"/>
      <c r="H195" s="1008">
        <f t="shared" si="6"/>
        <v>0</v>
      </c>
      <c r="I195" s="1008">
        <v>112000</v>
      </c>
      <c r="J195" s="1008">
        <v>220000</v>
      </c>
      <c r="K195" s="1008"/>
      <c r="L195" s="1008"/>
      <c r="M195" s="1008"/>
      <c r="N195" s="768">
        <f t="shared" si="7"/>
        <v>332000</v>
      </c>
      <c r="O195" s="768">
        <f t="shared" si="8"/>
        <v>332000</v>
      </c>
    </row>
    <row r="196" spans="1:15">
      <c r="A196" s="1007" t="s">
        <v>1631</v>
      </c>
      <c r="B196" s="1007" t="s">
        <v>575</v>
      </c>
      <c r="C196" s="1007" t="s">
        <v>575</v>
      </c>
      <c r="D196" s="1007" t="s">
        <v>1808</v>
      </c>
      <c r="E196" s="866">
        <v>0</v>
      </c>
      <c r="F196" s="1008"/>
      <c r="G196" s="1008"/>
      <c r="H196" s="1008">
        <f t="shared" si="6"/>
        <v>0</v>
      </c>
      <c r="I196" s="1008"/>
      <c r="J196" s="1008"/>
      <c r="K196" s="1008"/>
      <c r="L196" s="1008"/>
      <c r="M196" s="1008"/>
      <c r="N196" s="768">
        <f t="shared" si="7"/>
        <v>0</v>
      </c>
      <c r="O196" s="768">
        <f t="shared" si="8"/>
        <v>0</v>
      </c>
    </row>
    <row r="197" spans="1:15">
      <c r="A197" s="1007" t="s">
        <v>131</v>
      </c>
      <c r="B197" s="1007" t="s">
        <v>698</v>
      </c>
      <c r="C197" s="1007" t="s">
        <v>1513</v>
      </c>
      <c r="D197" s="1007" t="s">
        <v>1809</v>
      </c>
      <c r="E197" s="866">
        <v>0</v>
      </c>
      <c r="F197" s="1008"/>
      <c r="G197" s="1008"/>
      <c r="H197" s="1008">
        <f t="shared" si="6"/>
        <v>0</v>
      </c>
      <c r="I197" s="1008">
        <v>753750</v>
      </c>
      <c r="J197" s="1008">
        <v>1200000</v>
      </c>
      <c r="K197" s="1008"/>
      <c r="L197" s="1008"/>
      <c r="M197" s="1008"/>
      <c r="N197" s="768">
        <f t="shared" si="7"/>
        <v>1953750</v>
      </c>
      <c r="O197" s="768">
        <f t="shared" si="8"/>
        <v>1953750</v>
      </c>
    </row>
    <row r="198" spans="1:15">
      <c r="A198" s="1007" t="s">
        <v>128</v>
      </c>
      <c r="B198" s="1007" t="s">
        <v>699</v>
      </c>
      <c r="C198" s="1007" t="s">
        <v>297</v>
      </c>
      <c r="D198" s="1007" t="s">
        <v>1810</v>
      </c>
      <c r="E198" s="866">
        <v>0</v>
      </c>
      <c r="F198" s="1008"/>
      <c r="G198" s="1008">
        <v>40000</v>
      </c>
      <c r="H198" s="1008">
        <f t="shared" si="6"/>
        <v>40000</v>
      </c>
      <c r="I198" s="1008">
        <v>225000</v>
      </c>
      <c r="J198" s="1008"/>
      <c r="K198" s="1008"/>
      <c r="L198" s="1008"/>
      <c r="M198" s="1008"/>
      <c r="N198" s="768">
        <f t="shared" si="7"/>
        <v>265000</v>
      </c>
      <c r="O198" s="768">
        <f t="shared" si="8"/>
        <v>265000</v>
      </c>
    </row>
    <row r="199" spans="1:15">
      <c r="A199" s="1007" t="s">
        <v>128</v>
      </c>
      <c r="B199" s="1007" t="s">
        <v>700</v>
      </c>
      <c r="C199" s="1007" t="s">
        <v>298</v>
      </c>
      <c r="D199" s="1007" t="s">
        <v>1811</v>
      </c>
      <c r="E199" s="866">
        <v>0</v>
      </c>
      <c r="F199" s="1008"/>
      <c r="G199" s="1008"/>
      <c r="H199" s="1008">
        <f t="shared" ref="H199" si="9">SUM(F199:G199)</f>
        <v>0</v>
      </c>
      <c r="I199" s="1008">
        <v>205000</v>
      </c>
      <c r="J199" s="1008"/>
      <c r="K199" s="1008"/>
      <c r="L199" s="1008"/>
      <c r="M199" s="1008"/>
      <c r="N199" s="768">
        <f t="shared" ref="N199" si="10">SUM(E199:G199,I199:M199)</f>
        <v>205000</v>
      </c>
      <c r="O199" s="768">
        <f t="shared" ref="O199" si="11">N199-E199</f>
        <v>205000</v>
      </c>
    </row>
    <row r="200" spans="1:15" ht="17">
      <c r="A200" s="873" t="s">
        <v>1812</v>
      </c>
      <c r="B200" s="873"/>
      <c r="C200" s="873"/>
      <c r="D200" s="767"/>
      <c r="E200" s="768">
        <v>40289219</v>
      </c>
      <c r="F200" s="768">
        <f t="shared" ref="F200:G200" si="12">SUM(F6:F199)</f>
        <v>10188392.449999999</v>
      </c>
      <c r="G200" s="768">
        <f t="shared" si="12"/>
        <v>2330000</v>
      </c>
      <c r="H200" s="768"/>
      <c r="I200" s="768">
        <f t="shared" ref="I200:M200" si="13">SUM(I6:I199)</f>
        <v>14640250</v>
      </c>
      <c r="J200" s="768">
        <f t="shared" si="13"/>
        <v>14591103</v>
      </c>
      <c r="K200" s="768">
        <f t="shared" si="13"/>
        <v>0</v>
      </c>
      <c r="L200" s="768">
        <f t="shared" si="13"/>
        <v>320000</v>
      </c>
      <c r="M200" s="768">
        <f t="shared" si="13"/>
        <v>4629629.63</v>
      </c>
      <c r="N200" s="769">
        <f>SUM(N6:N199)</f>
        <v>86988594.079999998</v>
      </c>
      <c r="O200" s="769"/>
    </row>
  </sheetData>
  <autoFilter ref="A1:H196" xr:uid="{38182068-3F71-4DF3-AF49-F48BD81B1F6F}"/>
  <mergeCells count="1">
    <mergeCell ref="D1:D5"/>
  </mergeCells>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BF626-AB5E-4B71-AF7A-2D10B842260A}">
  <dimension ref="A1:Q382"/>
  <sheetViews>
    <sheetView topLeftCell="A34" workbookViewId="0">
      <selection activeCell="D376" sqref="D376:E382"/>
    </sheetView>
  </sheetViews>
  <sheetFormatPr defaultRowHeight="15.5"/>
  <cols>
    <col min="1" max="1" width="14.58203125" bestFit="1" customWidth="1"/>
    <col min="2" max="2" width="16.5" bestFit="1" customWidth="1"/>
    <col min="4" max="4" width="10.58203125" customWidth="1"/>
    <col min="5" max="5" width="11.33203125" customWidth="1"/>
    <col min="6" max="7" width="9.83203125" customWidth="1"/>
  </cols>
  <sheetData>
    <row r="1" spans="1:14">
      <c r="A1" s="1523" t="s">
        <v>1813</v>
      </c>
      <c r="B1" s="1523"/>
      <c r="C1" s="1523"/>
      <c r="D1" s="1523"/>
      <c r="E1" s="1523"/>
      <c r="F1" s="1523"/>
      <c r="G1" s="1523"/>
      <c r="H1" s="1523"/>
      <c r="I1" s="1523"/>
      <c r="J1" s="1523"/>
      <c r="K1" s="1523"/>
      <c r="L1" s="1523"/>
      <c r="M1" s="1523"/>
      <c r="N1" s="1523"/>
    </row>
    <row r="2" spans="1:14">
      <c r="A2" s="1523"/>
      <c r="B2" s="1523"/>
      <c r="C2" s="1523"/>
      <c r="D2" s="1523"/>
      <c r="E2" s="1523"/>
      <c r="F2" s="1523"/>
      <c r="G2" s="1523"/>
      <c r="H2" s="1523"/>
      <c r="I2" s="1523"/>
      <c r="J2" s="1523"/>
      <c r="K2" s="1523"/>
      <c r="L2" s="1523"/>
      <c r="M2" s="1523"/>
      <c r="N2" s="1523"/>
    </row>
    <row r="3" spans="1:14">
      <c r="A3" s="878" t="s">
        <v>1814</v>
      </c>
      <c r="D3" s="878" t="s">
        <v>1815</v>
      </c>
    </row>
    <row r="4" spans="1:14">
      <c r="A4" s="599" t="s">
        <v>357</v>
      </c>
      <c r="B4" t="s">
        <v>358</v>
      </c>
      <c r="D4">
        <f>COUNTIF($A$41:$A$180,"=*")</f>
        <v>137</v>
      </c>
    </row>
    <row r="5" spans="1:14">
      <c r="A5" s="599" t="s">
        <v>374</v>
      </c>
      <c r="B5" t="s">
        <v>375</v>
      </c>
    </row>
    <row r="6" spans="1:14">
      <c r="A6" s="599" t="s">
        <v>378</v>
      </c>
      <c r="B6" t="s">
        <v>379</v>
      </c>
    </row>
    <row r="7" spans="1:14">
      <c r="A7" s="599" t="s">
        <v>376</v>
      </c>
      <c r="B7" t="s">
        <v>377</v>
      </c>
    </row>
    <row r="8" spans="1:14">
      <c r="A8" s="599" t="s">
        <v>321</v>
      </c>
      <c r="B8" t="s">
        <v>139</v>
      </c>
    </row>
    <row r="9" spans="1:14">
      <c r="A9" s="599" t="s">
        <v>386</v>
      </c>
      <c r="B9" t="s">
        <v>139</v>
      </c>
    </row>
    <row r="11" spans="1:14">
      <c r="A11" t="s">
        <v>382</v>
      </c>
    </row>
    <row r="12" spans="1:14">
      <c r="A12" s="784">
        <v>3237668342.9152331</v>
      </c>
    </row>
    <row r="13" spans="1:14">
      <c r="A13" s="784"/>
    </row>
    <row r="14" spans="1:14">
      <c r="A14" s="784"/>
    </row>
    <row r="15" spans="1:14">
      <c r="A15" s="933" t="s">
        <v>1816</v>
      </c>
      <c r="B15" s="577"/>
    </row>
    <row r="16" spans="1:14">
      <c r="A16" s="936"/>
      <c r="B16" s="939" t="s">
        <v>1817</v>
      </c>
    </row>
    <row r="17" spans="1:6">
      <c r="A17" s="938" t="s">
        <v>383</v>
      </c>
      <c r="B17" s="937">
        <f>COUNTIF($E$41:$E$189,"&gt;0")</f>
        <v>73</v>
      </c>
    </row>
    <row r="18" spans="1:6">
      <c r="A18" s="938" t="s">
        <v>310</v>
      </c>
      <c r="B18" s="937">
        <f>COUNTIF($F$41:$F$189,"&gt;0")</f>
        <v>94</v>
      </c>
    </row>
    <row r="19" spans="1:6">
      <c r="A19" s="938" t="s">
        <v>384</v>
      </c>
      <c r="B19" s="937">
        <f>COUNTIF($G$41:$G$189,"&gt;0")</f>
        <v>124</v>
      </c>
    </row>
    <row r="20" spans="1:6">
      <c r="A20" s="938" t="s">
        <v>104</v>
      </c>
      <c r="B20" s="937">
        <f>COUNTIF($Q$41:$Q$189,"&gt;0")</f>
        <v>97</v>
      </c>
    </row>
    <row r="21" spans="1:6">
      <c r="A21" s="938" t="s">
        <v>1818</v>
      </c>
      <c r="B21" s="937">
        <f>COUNTIF($I$41:$I$189,"&gt;0")</f>
        <v>49</v>
      </c>
    </row>
    <row r="22" spans="1:6" ht="15" customHeight="1">
      <c r="A22" s="784"/>
    </row>
    <row r="23" spans="1:6" ht="15" customHeight="1">
      <c r="A23" s="932" t="s">
        <v>1819</v>
      </c>
    </row>
    <row r="24" spans="1:6" ht="15" customHeight="1">
      <c r="A24" s="784"/>
      <c r="B24" s="938"/>
      <c r="C24" s="939"/>
      <c r="D24" s="939" t="s">
        <v>1820</v>
      </c>
      <c r="E24" s="939" t="s">
        <v>1821</v>
      </c>
      <c r="F24" s="939" t="s">
        <v>1822</v>
      </c>
    </row>
    <row r="25" spans="1:6" ht="15" customHeight="1">
      <c r="A25" s="784" t="s">
        <v>145</v>
      </c>
      <c r="B25" s="1522" t="s">
        <v>145</v>
      </c>
      <c r="C25" s="939" t="s">
        <v>148</v>
      </c>
      <c r="D25" s="940">
        <f>SUMIFS($J$41:$J$176,$C$41:$C$176,C25,$D$41:$D$176,A25)</f>
        <v>0</v>
      </c>
      <c r="E25" s="940">
        <f t="shared" ref="E25:E30" si="0">SUMIFS($K$41:$K$176,$C$41:$C$176,C25,$D$41:$D$176,A25)</f>
        <v>4</v>
      </c>
      <c r="F25" s="940">
        <f t="shared" ref="F25:F30" si="1">SUMIFS($L$41:$L$176,$C$41:$C$176,C25,$D$41:$D$176,A25)</f>
        <v>22</v>
      </c>
    </row>
    <row r="26" spans="1:6" ht="15" customHeight="1">
      <c r="A26" s="784" t="s">
        <v>145</v>
      </c>
      <c r="B26" s="1522"/>
      <c r="C26" s="939" t="s">
        <v>150</v>
      </c>
      <c r="D26" s="940">
        <f t="shared" ref="D26:D30" si="2">SUMIFS($J$41:$J$176,$C$41:$C$176,C26,$D$41:$D$176,A26)</f>
        <v>0</v>
      </c>
      <c r="E26" s="940">
        <f t="shared" si="0"/>
        <v>19</v>
      </c>
      <c r="F26" s="940">
        <f t="shared" si="1"/>
        <v>34</v>
      </c>
    </row>
    <row r="27" spans="1:6" ht="15" customHeight="1">
      <c r="A27" s="784" t="s">
        <v>145</v>
      </c>
      <c r="B27" s="1522"/>
      <c r="C27" s="939" t="s">
        <v>152</v>
      </c>
      <c r="D27" s="940">
        <f t="shared" si="2"/>
        <v>0</v>
      </c>
      <c r="E27" s="940">
        <f t="shared" si="0"/>
        <v>7</v>
      </c>
      <c r="F27" s="940">
        <f t="shared" si="1"/>
        <v>5</v>
      </c>
    </row>
    <row r="28" spans="1:6">
      <c r="A28" s="784" t="s">
        <v>146</v>
      </c>
      <c r="B28" s="1522" t="s">
        <v>146</v>
      </c>
      <c r="C28" s="939" t="s">
        <v>150</v>
      </c>
      <c r="D28" s="940">
        <f t="shared" si="2"/>
        <v>0</v>
      </c>
      <c r="E28" s="940">
        <f t="shared" si="0"/>
        <v>1</v>
      </c>
      <c r="F28" s="940">
        <f t="shared" si="1"/>
        <v>1</v>
      </c>
    </row>
    <row r="29" spans="1:6">
      <c r="A29" s="784" t="s">
        <v>146</v>
      </c>
      <c r="B29" s="1522"/>
      <c r="C29" s="939" t="s">
        <v>152</v>
      </c>
      <c r="D29" s="940">
        <f t="shared" si="2"/>
        <v>0</v>
      </c>
      <c r="E29" s="940">
        <f t="shared" si="0"/>
        <v>25</v>
      </c>
      <c r="F29" s="940">
        <f t="shared" si="1"/>
        <v>11</v>
      </c>
    </row>
    <row r="30" spans="1:6">
      <c r="A30" s="784" t="s">
        <v>146</v>
      </c>
      <c r="B30" s="1522"/>
      <c r="C30" s="939" t="s">
        <v>322</v>
      </c>
      <c r="D30" s="940">
        <f t="shared" si="2"/>
        <v>0</v>
      </c>
      <c r="E30" s="940">
        <f t="shared" si="0"/>
        <v>2</v>
      </c>
      <c r="F30" s="940">
        <f t="shared" si="1"/>
        <v>0</v>
      </c>
    </row>
    <row r="34" spans="1:17">
      <c r="A34" s="599" t="s">
        <v>357</v>
      </c>
      <c r="B34" t="s">
        <v>358</v>
      </c>
      <c r="N34" s="599" t="s">
        <v>357</v>
      </c>
      <c r="O34" t="s">
        <v>358</v>
      </c>
    </row>
    <row r="35" spans="1:17">
      <c r="A35" s="599" t="s">
        <v>374</v>
      </c>
      <c r="B35" t="s">
        <v>375</v>
      </c>
      <c r="N35" s="599" t="s">
        <v>374</v>
      </c>
      <c r="O35" t="s">
        <v>375</v>
      </c>
    </row>
    <row r="36" spans="1:17">
      <c r="A36" s="599" t="s">
        <v>378</v>
      </c>
      <c r="B36" t="s">
        <v>379</v>
      </c>
      <c r="N36" s="599" t="s">
        <v>378</v>
      </c>
      <c r="O36" t="s">
        <v>379</v>
      </c>
    </row>
    <row r="37" spans="1:17">
      <c r="A37" s="599" t="s">
        <v>376</v>
      </c>
      <c r="B37" t="s">
        <v>356</v>
      </c>
      <c r="N37" s="599" t="s">
        <v>376</v>
      </c>
      <c r="O37" t="s">
        <v>356</v>
      </c>
    </row>
    <row r="39" spans="1:17">
      <c r="A39" s="599" t="s">
        <v>382</v>
      </c>
      <c r="E39" s="599" t="s">
        <v>381</v>
      </c>
      <c r="N39" s="599" t="s">
        <v>382</v>
      </c>
      <c r="Q39" s="599" t="s">
        <v>328</v>
      </c>
    </row>
    <row r="40" spans="1:17">
      <c r="A40" s="599" t="s">
        <v>386</v>
      </c>
      <c r="B40" s="599" t="s">
        <v>122</v>
      </c>
      <c r="C40" s="599" t="s">
        <v>321</v>
      </c>
      <c r="D40" s="599" t="s">
        <v>738</v>
      </c>
      <c r="E40" t="s">
        <v>383</v>
      </c>
      <c r="F40" t="s">
        <v>310</v>
      </c>
      <c r="G40" t="s">
        <v>384</v>
      </c>
      <c r="H40" t="s">
        <v>385</v>
      </c>
      <c r="I40" t="s">
        <v>312</v>
      </c>
      <c r="J40" s="761" t="s">
        <v>1820</v>
      </c>
      <c r="K40" s="761" t="s">
        <v>1821</v>
      </c>
      <c r="L40" s="761" t="s">
        <v>1823</v>
      </c>
      <c r="N40" s="599" t="s">
        <v>386</v>
      </c>
      <c r="O40" s="599" t="s">
        <v>122</v>
      </c>
      <c r="P40" s="599" t="s">
        <v>321</v>
      </c>
      <c r="Q40" t="s">
        <v>347</v>
      </c>
    </row>
    <row r="41" spans="1:17">
      <c r="A41" t="s">
        <v>160</v>
      </c>
      <c r="B41" t="s">
        <v>132</v>
      </c>
      <c r="C41" t="s">
        <v>148</v>
      </c>
      <c r="D41" t="s">
        <v>145</v>
      </c>
      <c r="E41" s="784">
        <v>35619230.769230768</v>
      </c>
      <c r="F41" s="784">
        <v>10956866.222222222</v>
      </c>
      <c r="G41" s="784">
        <v>4050000</v>
      </c>
      <c r="H41" s="784">
        <v>2000000</v>
      </c>
      <c r="I41" s="784">
        <v>99000</v>
      </c>
      <c r="J41" s="765" t="str">
        <f>IF(AND(E41&gt;0,SUM(F41:I41)=0),1,"")</f>
        <v/>
      </c>
      <c r="K41" s="765" t="str">
        <f>IF(AND(E41=0,SUM(F41:I41)&gt;0),1,"")</f>
        <v/>
      </c>
      <c r="L41" s="765">
        <f>IF(AND(E41&gt;0,SUM(F41:I41)&gt;0),1,"")</f>
        <v>1</v>
      </c>
      <c r="M41" s="784"/>
      <c r="N41" t="s">
        <v>160</v>
      </c>
      <c r="O41" t="s">
        <v>132</v>
      </c>
      <c r="P41" t="s">
        <v>148</v>
      </c>
      <c r="Q41" s="784">
        <v>2000000</v>
      </c>
    </row>
    <row r="42" spans="1:17">
      <c r="A42" t="s">
        <v>161</v>
      </c>
      <c r="B42" t="s">
        <v>127</v>
      </c>
      <c r="C42" t="s">
        <v>152</v>
      </c>
      <c r="D42" t="s">
        <v>146</v>
      </c>
      <c r="E42" s="784">
        <v>0</v>
      </c>
      <c r="F42" s="784">
        <v>0</v>
      </c>
      <c r="G42" s="784">
        <v>500000</v>
      </c>
      <c r="H42" s="784">
        <v>100000</v>
      </c>
      <c r="I42" s="784">
        <v>0</v>
      </c>
      <c r="J42" s="765" t="str">
        <f t="shared" ref="J42:J105" si="3">IF(AND(E42&gt;0,SUM(F42:I42)=0),1,"")</f>
        <v/>
      </c>
      <c r="K42" s="765">
        <f t="shared" ref="K42:K105" si="4">IF(AND(E42=0,SUM(F42:I42)&gt;0),1,"")</f>
        <v>1</v>
      </c>
      <c r="L42" s="765" t="str">
        <f t="shared" ref="L42:L105" si="5">IF(AND(E42&gt;0,SUM(F42:I42)&gt;0),1,"")</f>
        <v/>
      </c>
      <c r="M42" s="784"/>
      <c r="N42" t="s">
        <v>161</v>
      </c>
      <c r="O42" t="s">
        <v>127</v>
      </c>
      <c r="P42" t="s">
        <v>152</v>
      </c>
      <c r="Q42" s="784">
        <v>100000</v>
      </c>
    </row>
    <row r="43" spans="1:17">
      <c r="A43" t="s">
        <v>143</v>
      </c>
      <c r="B43" t="s">
        <v>131</v>
      </c>
      <c r="C43" t="s">
        <v>150</v>
      </c>
      <c r="D43" t="s">
        <v>145</v>
      </c>
      <c r="E43" s="784">
        <v>0</v>
      </c>
      <c r="F43" s="784">
        <v>2522820.5</v>
      </c>
      <c r="G43" s="784">
        <v>1167511</v>
      </c>
      <c r="H43" s="784">
        <v>0</v>
      </c>
      <c r="I43" s="784">
        <v>0</v>
      </c>
      <c r="J43" s="765" t="str">
        <f t="shared" si="3"/>
        <v/>
      </c>
      <c r="K43" s="765">
        <f t="shared" si="4"/>
        <v>1</v>
      </c>
      <c r="L43" s="765" t="str">
        <f t="shared" si="5"/>
        <v/>
      </c>
      <c r="M43" s="784"/>
      <c r="N43" t="s">
        <v>143</v>
      </c>
      <c r="O43" t="s">
        <v>131</v>
      </c>
      <c r="P43" t="s">
        <v>150</v>
      </c>
      <c r="Q43" s="784">
        <v>0</v>
      </c>
    </row>
    <row r="44" spans="1:17">
      <c r="A44" t="s">
        <v>162</v>
      </c>
      <c r="B44" t="s">
        <v>128</v>
      </c>
      <c r="C44" t="s">
        <v>150</v>
      </c>
      <c r="D44" t="s">
        <v>145</v>
      </c>
      <c r="E44" s="784">
        <v>43000000</v>
      </c>
      <c r="F44" s="784">
        <v>4609917.59</v>
      </c>
      <c r="G44" s="784">
        <v>2631090</v>
      </c>
      <c r="H44" s="784">
        <v>839236</v>
      </c>
      <c r="I44" s="784">
        <v>191000</v>
      </c>
      <c r="J44" s="765" t="str">
        <f t="shared" si="3"/>
        <v/>
      </c>
      <c r="K44" s="765" t="str">
        <f t="shared" si="4"/>
        <v/>
      </c>
      <c r="L44" s="765">
        <f t="shared" si="5"/>
        <v>1</v>
      </c>
      <c r="M44" s="784"/>
      <c r="N44" t="s">
        <v>162</v>
      </c>
      <c r="O44" t="s">
        <v>128</v>
      </c>
      <c r="P44" t="s">
        <v>150</v>
      </c>
      <c r="Q44" s="784">
        <v>839236</v>
      </c>
    </row>
    <row r="45" spans="1:17">
      <c r="A45" t="s">
        <v>164</v>
      </c>
      <c r="B45" t="s">
        <v>130</v>
      </c>
      <c r="C45" t="s">
        <v>152</v>
      </c>
      <c r="D45" t="s">
        <v>146</v>
      </c>
      <c r="E45" s="784">
        <v>23752903</v>
      </c>
      <c r="F45" s="784">
        <v>0</v>
      </c>
      <c r="G45" s="784">
        <v>0</v>
      </c>
      <c r="H45" s="784">
        <v>0</v>
      </c>
      <c r="I45" s="784">
        <v>68056</v>
      </c>
      <c r="J45" s="765" t="str">
        <f t="shared" si="3"/>
        <v/>
      </c>
      <c r="K45" s="765" t="str">
        <f t="shared" si="4"/>
        <v/>
      </c>
      <c r="L45" s="765">
        <f t="shared" si="5"/>
        <v>1</v>
      </c>
      <c r="M45" s="784"/>
      <c r="N45" t="s">
        <v>164</v>
      </c>
      <c r="O45" t="s">
        <v>130</v>
      </c>
      <c r="P45" t="s">
        <v>152</v>
      </c>
      <c r="Q45" s="784">
        <v>0</v>
      </c>
    </row>
    <row r="46" spans="1:17">
      <c r="A46" t="s">
        <v>165</v>
      </c>
      <c r="B46" t="s">
        <v>127</v>
      </c>
      <c r="C46" t="s">
        <v>152</v>
      </c>
      <c r="D46" t="s">
        <v>146</v>
      </c>
      <c r="E46" s="784">
        <v>0</v>
      </c>
      <c r="F46" s="784">
        <v>0</v>
      </c>
      <c r="G46" s="784">
        <v>2700000</v>
      </c>
      <c r="H46" s="784">
        <v>100000</v>
      </c>
      <c r="I46" s="784">
        <v>0</v>
      </c>
      <c r="J46" s="765" t="str">
        <f t="shared" si="3"/>
        <v/>
      </c>
      <c r="K46" s="765">
        <f t="shared" si="4"/>
        <v>1</v>
      </c>
      <c r="L46" s="765" t="str">
        <f t="shared" si="5"/>
        <v/>
      </c>
      <c r="M46" s="784"/>
      <c r="N46" t="s">
        <v>165</v>
      </c>
      <c r="O46" t="s">
        <v>127</v>
      </c>
      <c r="P46" t="s">
        <v>152</v>
      </c>
      <c r="Q46" s="784">
        <v>100000</v>
      </c>
    </row>
    <row r="47" spans="1:17">
      <c r="A47" t="s">
        <v>166</v>
      </c>
      <c r="B47" t="s">
        <v>127</v>
      </c>
      <c r="C47" t="s">
        <v>152</v>
      </c>
      <c r="D47" t="s">
        <v>146</v>
      </c>
      <c r="E47" s="784">
        <v>0</v>
      </c>
      <c r="F47" s="784">
        <v>0</v>
      </c>
      <c r="G47" s="784">
        <v>1000000</v>
      </c>
      <c r="H47" s="784">
        <v>100000</v>
      </c>
      <c r="I47" s="784">
        <v>0</v>
      </c>
      <c r="J47" s="765" t="str">
        <f t="shared" si="3"/>
        <v/>
      </c>
      <c r="K47" s="765">
        <f t="shared" si="4"/>
        <v>1</v>
      </c>
      <c r="L47" s="765" t="str">
        <f t="shared" si="5"/>
        <v/>
      </c>
      <c r="M47" s="784"/>
      <c r="N47" t="s">
        <v>166</v>
      </c>
      <c r="O47" t="s">
        <v>127</v>
      </c>
      <c r="P47" t="s">
        <v>152</v>
      </c>
      <c r="Q47" s="784">
        <v>100000</v>
      </c>
    </row>
    <row r="48" spans="1:17">
      <c r="A48" t="s">
        <v>167</v>
      </c>
      <c r="B48" t="s">
        <v>132</v>
      </c>
      <c r="C48" t="s">
        <v>150</v>
      </c>
      <c r="D48" t="s">
        <v>145</v>
      </c>
      <c r="E48" s="784">
        <v>87700000</v>
      </c>
      <c r="F48" s="784">
        <v>13974426</v>
      </c>
      <c r="G48" s="784">
        <v>8586814.5999999996</v>
      </c>
      <c r="H48" s="784">
        <v>3000000</v>
      </c>
      <c r="I48" s="784">
        <v>1465896</v>
      </c>
      <c r="J48" s="765" t="str">
        <f t="shared" si="3"/>
        <v/>
      </c>
      <c r="K48" s="765" t="str">
        <f t="shared" si="4"/>
        <v/>
      </c>
      <c r="L48" s="765">
        <f t="shared" si="5"/>
        <v>1</v>
      </c>
      <c r="M48" s="784"/>
      <c r="N48" t="s">
        <v>167</v>
      </c>
      <c r="O48" t="s">
        <v>132</v>
      </c>
      <c r="P48" t="s">
        <v>150</v>
      </c>
      <c r="Q48" s="784">
        <v>3000000</v>
      </c>
    </row>
    <row r="49" spans="1:17">
      <c r="A49" t="s">
        <v>168</v>
      </c>
      <c r="B49" t="s">
        <v>127</v>
      </c>
      <c r="C49" t="s">
        <v>152</v>
      </c>
      <c r="D49" t="s">
        <v>146</v>
      </c>
      <c r="E49" s="784">
        <v>0</v>
      </c>
      <c r="F49" s="784">
        <v>0</v>
      </c>
      <c r="G49" s="784">
        <v>500000</v>
      </c>
      <c r="H49" s="784">
        <v>0</v>
      </c>
      <c r="I49" s="784">
        <v>0</v>
      </c>
      <c r="J49" s="765" t="str">
        <f t="shared" si="3"/>
        <v/>
      </c>
      <c r="K49" s="765">
        <f t="shared" si="4"/>
        <v>1</v>
      </c>
      <c r="L49" s="765" t="str">
        <f t="shared" si="5"/>
        <v/>
      </c>
      <c r="M49" s="784"/>
      <c r="N49" t="s">
        <v>168</v>
      </c>
      <c r="O49" t="s">
        <v>127</v>
      </c>
      <c r="P49" t="s">
        <v>152</v>
      </c>
      <c r="Q49" s="784">
        <v>0</v>
      </c>
    </row>
    <row r="50" spans="1:17">
      <c r="A50" t="s">
        <v>169</v>
      </c>
      <c r="B50" t="s">
        <v>130</v>
      </c>
      <c r="C50" t="s">
        <v>150</v>
      </c>
      <c r="D50" t="s">
        <v>146</v>
      </c>
      <c r="E50" s="784">
        <v>2922505</v>
      </c>
      <c r="F50" s="784">
        <v>0</v>
      </c>
      <c r="G50" s="784">
        <v>824765</v>
      </c>
      <c r="H50" s="784">
        <v>100000</v>
      </c>
      <c r="I50" s="784">
        <v>0</v>
      </c>
      <c r="J50" s="765" t="str">
        <f t="shared" si="3"/>
        <v/>
      </c>
      <c r="K50" s="765" t="str">
        <f t="shared" si="4"/>
        <v/>
      </c>
      <c r="L50" s="765">
        <f t="shared" si="5"/>
        <v>1</v>
      </c>
      <c r="M50" s="784"/>
      <c r="N50" t="s">
        <v>169</v>
      </c>
      <c r="O50" t="s">
        <v>130</v>
      </c>
      <c r="P50" t="s">
        <v>150</v>
      </c>
      <c r="Q50" s="784">
        <v>100000</v>
      </c>
    </row>
    <row r="51" spans="1:17">
      <c r="A51" t="s">
        <v>170</v>
      </c>
      <c r="B51" t="s">
        <v>129</v>
      </c>
      <c r="C51" t="s">
        <v>150</v>
      </c>
      <c r="D51" t="s">
        <v>145</v>
      </c>
      <c r="E51" s="784">
        <v>5000000</v>
      </c>
      <c r="F51" s="784">
        <v>5605203</v>
      </c>
      <c r="G51" s="784">
        <v>1810000</v>
      </c>
      <c r="H51" s="784">
        <v>564235</v>
      </c>
      <c r="I51" s="784">
        <v>0</v>
      </c>
      <c r="J51" s="765" t="str">
        <f t="shared" si="3"/>
        <v/>
      </c>
      <c r="K51" s="765" t="str">
        <f t="shared" si="4"/>
        <v/>
      </c>
      <c r="L51" s="765">
        <f t="shared" si="5"/>
        <v>1</v>
      </c>
      <c r="M51" s="784"/>
      <c r="N51" t="s">
        <v>170</v>
      </c>
      <c r="O51" t="s">
        <v>129</v>
      </c>
      <c r="P51" t="s">
        <v>150</v>
      </c>
      <c r="Q51" s="784">
        <v>564235</v>
      </c>
    </row>
    <row r="52" spans="1:17">
      <c r="A52" t="s">
        <v>171</v>
      </c>
      <c r="B52" t="s">
        <v>132</v>
      </c>
      <c r="C52" t="s">
        <v>150</v>
      </c>
      <c r="D52" t="s">
        <v>145</v>
      </c>
      <c r="E52" s="784">
        <v>0</v>
      </c>
      <c r="F52" s="784">
        <v>599721</v>
      </c>
      <c r="G52" s="784">
        <v>923174</v>
      </c>
      <c r="H52" s="784">
        <v>110950</v>
      </c>
      <c r="I52" s="784">
        <v>0</v>
      </c>
      <c r="J52" s="765" t="str">
        <f t="shared" si="3"/>
        <v/>
      </c>
      <c r="K52" s="765">
        <f t="shared" si="4"/>
        <v>1</v>
      </c>
      <c r="L52" s="765" t="str">
        <f t="shared" si="5"/>
        <v/>
      </c>
      <c r="M52" s="784"/>
      <c r="N52" t="s">
        <v>171</v>
      </c>
      <c r="O52" t="s">
        <v>132</v>
      </c>
      <c r="P52" t="s">
        <v>150</v>
      </c>
      <c r="Q52" s="784">
        <v>110950</v>
      </c>
    </row>
    <row r="53" spans="1:17">
      <c r="A53" t="s">
        <v>172</v>
      </c>
      <c r="B53" t="s">
        <v>130</v>
      </c>
      <c r="C53" t="s">
        <v>150</v>
      </c>
      <c r="D53" t="s">
        <v>145</v>
      </c>
      <c r="E53" s="784">
        <v>0</v>
      </c>
      <c r="F53" s="784">
        <v>2583036</v>
      </c>
      <c r="G53" s="784">
        <v>2700000</v>
      </c>
      <c r="H53" s="784">
        <v>400000</v>
      </c>
      <c r="I53" s="784">
        <v>273483</v>
      </c>
      <c r="J53" s="765" t="str">
        <f t="shared" si="3"/>
        <v/>
      </c>
      <c r="K53" s="765">
        <f t="shared" si="4"/>
        <v>1</v>
      </c>
      <c r="L53" s="765" t="str">
        <f t="shared" si="5"/>
        <v/>
      </c>
      <c r="M53" s="784"/>
      <c r="N53" t="s">
        <v>172</v>
      </c>
      <c r="O53" t="s">
        <v>130</v>
      </c>
      <c r="P53" t="s">
        <v>150</v>
      </c>
      <c r="Q53" s="784">
        <v>400000</v>
      </c>
    </row>
    <row r="54" spans="1:17">
      <c r="A54" t="s">
        <v>174</v>
      </c>
      <c r="B54" t="s">
        <v>127</v>
      </c>
      <c r="C54" t="s">
        <v>152</v>
      </c>
      <c r="D54" t="s">
        <v>146</v>
      </c>
      <c r="E54" s="784">
        <v>0</v>
      </c>
      <c r="F54" s="784">
        <v>0</v>
      </c>
      <c r="G54" s="784">
        <v>2050000</v>
      </c>
      <c r="H54" s="784">
        <v>200000</v>
      </c>
      <c r="I54" s="784">
        <v>0</v>
      </c>
      <c r="J54" s="765" t="str">
        <f t="shared" si="3"/>
        <v/>
      </c>
      <c r="K54" s="765">
        <f t="shared" si="4"/>
        <v>1</v>
      </c>
      <c r="L54" s="765" t="str">
        <f t="shared" si="5"/>
        <v/>
      </c>
      <c r="M54" s="784"/>
      <c r="N54" t="s">
        <v>174</v>
      </c>
      <c r="O54" t="s">
        <v>127</v>
      </c>
      <c r="P54" t="s">
        <v>152</v>
      </c>
      <c r="Q54" s="784">
        <v>200000</v>
      </c>
    </row>
    <row r="55" spans="1:17">
      <c r="A55" t="s">
        <v>175</v>
      </c>
      <c r="B55" t="s">
        <v>128</v>
      </c>
      <c r="C55" t="s">
        <v>152</v>
      </c>
      <c r="D55" t="s">
        <v>146</v>
      </c>
      <c r="E55" s="784">
        <v>0</v>
      </c>
      <c r="F55" s="784">
        <v>0</v>
      </c>
      <c r="G55" s="784">
        <v>3555000</v>
      </c>
      <c r="H55" s="784">
        <v>650000</v>
      </c>
      <c r="I55" s="784">
        <v>266162</v>
      </c>
      <c r="J55" s="765" t="str">
        <f t="shared" si="3"/>
        <v/>
      </c>
      <c r="K55" s="765">
        <f t="shared" si="4"/>
        <v>1</v>
      </c>
      <c r="L55" s="765" t="str">
        <f t="shared" si="5"/>
        <v/>
      </c>
      <c r="M55" s="784"/>
      <c r="N55" t="s">
        <v>175</v>
      </c>
      <c r="O55" t="s">
        <v>128</v>
      </c>
      <c r="P55" t="s">
        <v>152</v>
      </c>
      <c r="Q55" s="784">
        <v>650000</v>
      </c>
    </row>
    <row r="56" spans="1:17">
      <c r="A56" t="s">
        <v>144</v>
      </c>
      <c r="B56" t="s">
        <v>130</v>
      </c>
      <c r="C56" t="s">
        <v>152</v>
      </c>
      <c r="D56" t="s">
        <v>146</v>
      </c>
      <c r="E56" s="784">
        <v>0</v>
      </c>
      <c r="F56" s="784">
        <v>0</v>
      </c>
      <c r="G56" s="784">
        <v>3750000</v>
      </c>
      <c r="H56" s="784">
        <v>660000</v>
      </c>
      <c r="I56" s="784">
        <v>92593</v>
      </c>
      <c r="J56" s="765" t="str">
        <f t="shared" si="3"/>
        <v/>
      </c>
      <c r="K56" s="765">
        <f t="shared" si="4"/>
        <v>1</v>
      </c>
      <c r="L56" s="765" t="str">
        <f t="shared" si="5"/>
        <v/>
      </c>
      <c r="M56" s="784"/>
      <c r="N56" t="s">
        <v>144</v>
      </c>
      <c r="O56" t="s">
        <v>130</v>
      </c>
      <c r="P56" t="s">
        <v>152</v>
      </c>
      <c r="Q56" s="784">
        <v>660000</v>
      </c>
    </row>
    <row r="57" spans="1:17">
      <c r="A57" t="s">
        <v>176</v>
      </c>
      <c r="B57" t="s">
        <v>127</v>
      </c>
      <c r="C57" t="s">
        <v>152</v>
      </c>
      <c r="D57" t="s">
        <v>146</v>
      </c>
      <c r="E57" s="784">
        <v>0</v>
      </c>
      <c r="F57" s="784">
        <v>0</v>
      </c>
      <c r="G57" s="784">
        <v>1300000</v>
      </c>
      <c r="H57" s="784">
        <v>0</v>
      </c>
      <c r="I57" s="784">
        <v>0</v>
      </c>
      <c r="J57" s="765" t="str">
        <f t="shared" si="3"/>
        <v/>
      </c>
      <c r="K57" s="765">
        <f t="shared" si="4"/>
        <v>1</v>
      </c>
      <c r="L57" s="765" t="str">
        <f t="shared" si="5"/>
        <v/>
      </c>
      <c r="M57" s="784"/>
      <c r="N57" t="s">
        <v>176</v>
      </c>
      <c r="O57" t="s">
        <v>127</v>
      </c>
      <c r="P57" t="s">
        <v>152</v>
      </c>
      <c r="Q57" s="784">
        <v>0</v>
      </c>
    </row>
    <row r="58" spans="1:17">
      <c r="A58" t="s">
        <v>177</v>
      </c>
      <c r="B58" t="s">
        <v>129</v>
      </c>
      <c r="C58" t="s">
        <v>148</v>
      </c>
      <c r="D58" t="s">
        <v>145</v>
      </c>
      <c r="E58" s="784">
        <v>0</v>
      </c>
      <c r="F58" s="784">
        <v>2561114</v>
      </c>
      <c r="G58" s="784">
        <v>2000000</v>
      </c>
      <c r="H58" s="784">
        <v>2009335</v>
      </c>
      <c r="I58" s="784">
        <v>2736000</v>
      </c>
      <c r="J58" s="765" t="str">
        <f t="shared" si="3"/>
        <v/>
      </c>
      <c r="K58" s="765">
        <f t="shared" si="4"/>
        <v>1</v>
      </c>
      <c r="L58" s="765" t="str">
        <f t="shared" si="5"/>
        <v/>
      </c>
      <c r="M58" s="784"/>
      <c r="N58" t="s">
        <v>177</v>
      </c>
      <c r="O58" t="s">
        <v>129</v>
      </c>
      <c r="P58" t="s">
        <v>148</v>
      </c>
      <c r="Q58" s="784">
        <v>898700</v>
      </c>
    </row>
    <row r="59" spans="1:17">
      <c r="A59" t="s">
        <v>178</v>
      </c>
      <c r="B59" t="s">
        <v>128</v>
      </c>
      <c r="C59" t="s">
        <v>148</v>
      </c>
      <c r="D59" t="s">
        <v>145</v>
      </c>
      <c r="E59" s="784">
        <v>17800000</v>
      </c>
      <c r="F59" s="784">
        <v>533059</v>
      </c>
      <c r="G59" s="784">
        <v>1000000</v>
      </c>
      <c r="H59" s="784">
        <v>575000</v>
      </c>
      <c r="I59" s="784">
        <v>0</v>
      </c>
      <c r="J59" s="765" t="str">
        <f t="shared" si="3"/>
        <v/>
      </c>
      <c r="K59" s="765" t="str">
        <f t="shared" si="4"/>
        <v/>
      </c>
      <c r="L59" s="765">
        <f t="shared" si="5"/>
        <v>1</v>
      </c>
      <c r="M59" s="784"/>
      <c r="N59" t="s">
        <v>178</v>
      </c>
      <c r="O59" t="s">
        <v>128</v>
      </c>
      <c r="P59" t="s">
        <v>148</v>
      </c>
      <c r="Q59" s="784">
        <v>575000</v>
      </c>
    </row>
    <row r="60" spans="1:17">
      <c r="A60" t="s">
        <v>179</v>
      </c>
      <c r="B60" t="s">
        <v>129</v>
      </c>
      <c r="C60" t="s">
        <v>150</v>
      </c>
      <c r="D60" t="s">
        <v>145</v>
      </c>
      <c r="E60" s="784">
        <v>4700000</v>
      </c>
      <c r="F60" s="784">
        <v>468147.68814814818</v>
      </c>
      <c r="G60" s="784">
        <v>500000</v>
      </c>
      <c r="H60" s="784">
        <v>0</v>
      </c>
      <c r="I60" s="784">
        <v>0</v>
      </c>
      <c r="J60" s="765" t="str">
        <f t="shared" si="3"/>
        <v/>
      </c>
      <c r="K60" s="765" t="str">
        <f t="shared" si="4"/>
        <v/>
      </c>
      <c r="L60" s="765">
        <f t="shared" si="5"/>
        <v>1</v>
      </c>
      <c r="M60" s="784"/>
      <c r="N60" t="s">
        <v>179</v>
      </c>
      <c r="O60" t="s">
        <v>129</v>
      </c>
      <c r="P60" t="s">
        <v>150</v>
      </c>
      <c r="Q60" s="784">
        <v>0</v>
      </c>
    </row>
    <row r="61" spans="1:17">
      <c r="A61" t="s">
        <v>180</v>
      </c>
      <c r="B61" t="s">
        <v>126</v>
      </c>
      <c r="C61" t="s">
        <v>150</v>
      </c>
      <c r="D61" t="s">
        <v>145</v>
      </c>
      <c r="E61" s="784">
        <v>3500000</v>
      </c>
      <c r="F61" s="784">
        <v>1991758.888888889</v>
      </c>
      <c r="G61" s="784">
        <v>1556581</v>
      </c>
      <c r="H61" s="784">
        <v>0</v>
      </c>
      <c r="I61" s="784">
        <v>354000</v>
      </c>
      <c r="J61" s="765" t="str">
        <f t="shared" si="3"/>
        <v/>
      </c>
      <c r="K61" s="765" t="str">
        <f t="shared" si="4"/>
        <v/>
      </c>
      <c r="L61" s="765">
        <f t="shared" si="5"/>
        <v>1</v>
      </c>
      <c r="M61" s="784"/>
      <c r="N61" t="s">
        <v>180</v>
      </c>
      <c r="O61" t="s">
        <v>126</v>
      </c>
      <c r="P61" t="s">
        <v>150</v>
      </c>
      <c r="Q61" s="784">
        <v>0</v>
      </c>
    </row>
    <row r="62" spans="1:17">
      <c r="A62" t="s">
        <v>181</v>
      </c>
      <c r="B62" t="s">
        <v>129</v>
      </c>
      <c r="C62" t="s">
        <v>150</v>
      </c>
      <c r="D62" t="s">
        <v>145</v>
      </c>
      <c r="E62" s="784">
        <v>18000000</v>
      </c>
      <c r="F62" s="784">
        <v>7742662.8518518517</v>
      </c>
      <c r="G62" s="784">
        <v>2525640</v>
      </c>
      <c r="H62" s="784">
        <v>1645844</v>
      </c>
      <c r="I62" s="784">
        <v>0</v>
      </c>
      <c r="J62" s="765" t="str">
        <f t="shared" si="3"/>
        <v/>
      </c>
      <c r="K62" s="765" t="str">
        <f t="shared" si="4"/>
        <v/>
      </c>
      <c r="L62" s="765">
        <f t="shared" si="5"/>
        <v>1</v>
      </c>
      <c r="M62" s="784"/>
      <c r="N62" t="s">
        <v>181</v>
      </c>
      <c r="O62" t="s">
        <v>129</v>
      </c>
      <c r="P62" t="s">
        <v>150</v>
      </c>
      <c r="Q62" s="784">
        <v>1645844</v>
      </c>
    </row>
    <row r="63" spans="1:17">
      <c r="A63" t="s">
        <v>182</v>
      </c>
      <c r="B63" t="s">
        <v>129</v>
      </c>
      <c r="C63" t="s">
        <v>148</v>
      </c>
      <c r="D63" t="s">
        <v>145</v>
      </c>
      <c r="E63" s="784">
        <v>0</v>
      </c>
      <c r="F63" s="784">
        <v>3217420.3703703703</v>
      </c>
      <c r="G63" s="784">
        <v>1150000</v>
      </c>
      <c r="H63" s="784">
        <v>1110635</v>
      </c>
      <c r="I63" s="784">
        <v>0</v>
      </c>
      <c r="J63" s="765" t="str">
        <f t="shared" si="3"/>
        <v/>
      </c>
      <c r="K63" s="765">
        <f t="shared" si="4"/>
        <v>1</v>
      </c>
      <c r="L63" s="765" t="str">
        <f t="shared" si="5"/>
        <v/>
      </c>
      <c r="M63" s="784"/>
      <c r="N63" t="s">
        <v>182</v>
      </c>
      <c r="O63" t="s">
        <v>129</v>
      </c>
      <c r="P63" t="s">
        <v>148</v>
      </c>
      <c r="Q63" s="784">
        <v>0</v>
      </c>
    </row>
    <row r="64" spans="1:17">
      <c r="A64" t="s">
        <v>183</v>
      </c>
      <c r="B64" t="s">
        <v>129</v>
      </c>
      <c r="C64" t="s">
        <v>148</v>
      </c>
      <c r="D64" t="s">
        <v>145</v>
      </c>
      <c r="E64" s="784">
        <v>9000000</v>
      </c>
      <c r="F64" s="784">
        <v>8332770.1851851847</v>
      </c>
      <c r="G64" s="784">
        <v>0</v>
      </c>
      <c r="H64" s="784">
        <v>1086043</v>
      </c>
      <c r="I64" s="784">
        <v>0</v>
      </c>
      <c r="J64" s="765" t="str">
        <f t="shared" si="3"/>
        <v/>
      </c>
      <c r="K64" s="765" t="str">
        <f t="shared" si="4"/>
        <v/>
      </c>
      <c r="L64" s="765">
        <f t="shared" si="5"/>
        <v>1</v>
      </c>
      <c r="M64" s="784"/>
      <c r="N64" t="s">
        <v>183</v>
      </c>
      <c r="O64" t="s">
        <v>129</v>
      </c>
      <c r="P64" t="s">
        <v>148</v>
      </c>
      <c r="Q64" s="784">
        <v>1086043</v>
      </c>
    </row>
    <row r="65" spans="1:17">
      <c r="A65" t="s">
        <v>186</v>
      </c>
      <c r="B65" t="s">
        <v>130</v>
      </c>
      <c r="C65" t="s">
        <v>152</v>
      </c>
      <c r="D65" t="s">
        <v>146</v>
      </c>
      <c r="E65" s="784">
        <v>0</v>
      </c>
      <c r="F65" s="784">
        <v>0</v>
      </c>
      <c r="G65" s="784">
        <v>11000000</v>
      </c>
      <c r="H65" s="784">
        <v>200000</v>
      </c>
      <c r="I65" s="784">
        <v>0</v>
      </c>
      <c r="J65" s="765" t="str">
        <f t="shared" si="3"/>
        <v/>
      </c>
      <c r="K65" s="765">
        <f t="shared" si="4"/>
        <v>1</v>
      </c>
      <c r="L65" s="765" t="str">
        <f t="shared" si="5"/>
        <v/>
      </c>
      <c r="M65" s="784"/>
      <c r="N65" t="s">
        <v>186</v>
      </c>
      <c r="O65" t="s">
        <v>130</v>
      </c>
      <c r="P65" t="s">
        <v>152</v>
      </c>
      <c r="Q65" s="784">
        <v>200000</v>
      </c>
    </row>
    <row r="66" spans="1:17">
      <c r="A66" t="s">
        <v>187</v>
      </c>
      <c r="B66" t="s">
        <v>128</v>
      </c>
      <c r="C66" t="s">
        <v>150</v>
      </c>
      <c r="D66" t="s">
        <v>145</v>
      </c>
      <c r="E66" s="784">
        <v>12800000</v>
      </c>
      <c r="F66" s="784">
        <v>491810</v>
      </c>
      <c r="G66" s="784">
        <v>100000</v>
      </c>
      <c r="H66" s="784">
        <v>143500</v>
      </c>
      <c r="I66" s="784">
        <v>0</v>
      </c>
      <c r="J66" s="765" t="str">
        <f t="shared" si="3"/>
        <v/>
      </c>
      <c r="K66" s="765" t="str">
        <f t="shared" si="4"/>
        <v/>
      </c>
      <c r="L66" s="765">
        <f t="shared" si="5"/>
        <v>1</v>
      </c>
      <c r="M66" s="784"/>
      <c r="N66" t="s">
        <v>187</v>
      </c>
      <c r="O66" t="s">
        <v>128</v>
      </c>
      <c r="P66" t="s">
        <v>150</v>
      </c>
      <c r="Q66" s="784">
        <v>143500</v>
      </c>
    </row>
    <row r="67" spans="1:17">
      <c r="A67" t="s">
        <v>188</v>
      </c>
      <c r="B67" t="s">
        <v>129</v>
      </c>
      <c r="C67" t="s">
        <v>148</v>
      </c>
      <c r="D67" t="s">
        <v>145</v>
      </c>
      <c r="E67" s="784">
        <v>50000000</v>
      </c>
      <c r="F67" s="784">
        <v>20712468</v>
      </c>
      <c r="G67" s="784">
        <v>9661045</v>
      </c>
      <c r="H67" s="784">
        <v>5552267</v>
      </c>
      <c r="I67" s="784">
        <v>1100899</v>
      </c>
      <c r="J67" s="765" t="str">
        <f t="shared" si="3"/>
        <v/>
      </c>
      <c r="K67" s="765" t="str">
        <f t="shared" si="4"/>
        <v/>
      </c>
      <c r="L67" s="765">
        <f t="shared" si="5"/>
        <v>1</v>
      </c>
      <c r="M67" s="784"/>
      <c r="N67" t="s">
        <v>188</v>
      </c>
      <c r="O67" t="s">
        <v>129</v>
      </c>
      <c r="P67" t="s">
        <v>148</v>
      </c>
      <c r="Q67" s="784">
        <v>3858268</v>
      </c>
    </row>
    <row r="68" spans="1:17">
      <c r="A68" t="s">
        <v>189</v>
      </c>
      <c r="B68" t="s">
        <v>129</v>
      </c>
      <c r="C68" t="s">
        <v>150</v>
      </c>
      <c r="D68" t="s">
        <v>145</v>
      </c>
      <c r="E68" s="784">
        <v>3000000</v>
      </c>
      <c r="F68" s="784">
        <v>1562851</v>
      </c>
      <c r="G68" s="784">
        <v>1500000</v>
      </c>
      <c r="H68" s="784">
        <v>555079</v>
      </c>
      <c r="I68" s="784">
        <v>0</v>
      </c>
      <c r="J68" s="765" t="str">
        <f t="shared" si="3"/>
        <v/>
      </c>
      <c r="K68" s="765" t="str">
        <f t="shared" si="4"/>
        <v/>
      </c>
      <c r="L68" s="765">
        <f t="shared" si="5"/>
        <v>1</v>
      </c>
      <c r="M68" s="784"/>
      <c r="N68" t="s">
        <v>189</v>
      </c>
      <c r="O68" t="s">
        <v>129</v>
      </c>
      <c r="P68" t="s">
        <v>150</v>
      </c>
      <c r="Q68" s="784">
        <v>555079</v>
      </c>
    </row>
    <row r="69" spans="1:17">
      <c r="A69" t="s">
        <v>190</v>
      </c>
      <c r="B69" t="s">
        <v>126</v>
      </c>
      <c r="C69" t="s">
        <v>322</v>
      </c>
      <c r="D69" t="s">
        <v>146</v>
      </c>
      <c r="E69" s="784">
        <v>0</v>
      </c>
      <c r="F69" s="784">
        <v>0</v>
      </c>
      <c r="G69" s="784">
        <v>198193</v>
      </c>
      <c r="H69" s="784">
        <v>0</v>
      </c>
      <c r="I69" s="784">
        <v>0</v>
      </c>
      <c r="J69" s="765" t="str">
        <f t="shared" si="3"/>
        <v/>
      </c>
      <c r="K69" s="765">
        <f t="shared" si="4"/>
        <v>1</v>
      </c>
      <c r="L69" s="765" t="str">
        <f t="shared" si="5"/>
        <v/>
      </c>
      <c r="M69" s="784"/>
      <c r="N69" t="s">
        <v>190</v>
      </c>
      <c r="O69" t="s">
        <v>126</v>
      </c>
      <c r="P69" t="s">
        <v>322</v>
      </c>
      <c r="Q69" s="784">
        <v>0</v>
      </c>
    </row>
    <row r="70" spans="1:17">
      <c r="A70" t="s">
        <v>191</v>
      </c>
      <c r="B70" t="s">
        <v>130</v>
      </c>
      <c r="C70" t="s">
        <v>152</v>
      </c>
      <c r="D70" t="s">
        <v>146</v>
      </c>
      <c r="E70" s="784">
        <v>0</v>
      </c>
      <c r="F70" s="784">
        <v>0</v>
      </c>
      <c r="G70" s="784">
        <v>550000</v>
      </c>
      <c r="H70" s="784">
        <v>0</v>
      </c>
      <c r="I70" s="784">
        <v>0</v>
      </c>
      <c r="J70" s="765" t="str">
        <f t="shared" si="3"/>
        <v/>
      </c>
      <c r="K70" s="765">
        <f t="shared" si="4"/>
        <v>1</v>
      </c>
      <c r="L70" s="765" t="str">
        <f t="shared" si="5"/>
        <v/>
      </c>
      <c r="M70" s="784"/>
      <c r="N70" t="s">
        <v>191</v>
      </c>
      <c r="O70" t="s">
        <v>130</v>
      </c>
      <c r="P70" t="s">
        <v>152</v>
      </c>
      <c r="Q70" s="784">
        <v>0</v>
      </c>
    </row>
    <row r="71" spans="1:17">
      <c r="A71" t="s">
        <v>192</v>
      </c>
      <c r="B71" t="s">
        <v>129</v>
      </c>
      <c r="C71" t="s">
        <v>150</v>
      </c>
      <c r="D71" t="s">
        <v>145</v>
      </c>
      <c r="E71" s="784">
        <v>31900000</v>
      </c>
      <c r="F71" s="784">
        <v>4859663.2740740739</v>
      </c>
      <c r="G71" s="784">
        <v>4476000</v>
      </c>
      <c r="H71" s="784">
        <v>1677055</v>
      </c>
      <c r="I71" s="784">
        <v>2175541</v>
      </c>
      <c r="J71" s="765" t="str">
        <f t="shared" si="3"/>
        <v/>
      </c>
      <c r="K71" s="765" t="str">
        <f t="shared" si="4"/>
        <v/>
      </c>
      <c r="L71" s="765">
        <f t="shared" si="5"/>
        <v>1</v>
      </c>
      <c r="M71" s="784"/>
      <c r="N71" t="s">
        <v>192</v>
      </c>
      <c r="O71" t="s">
        <v>129</v>
      </c>
      <c r="P71" t="s">
        <v>150</v>
      </c>
      <c r="Q71" s="784">
        <v>1677055</v>
      </c>
    </row>
    <row r="72" spans="1:17">
      <c r="A72" t="s">
        <v>147</v>
      </c>
      <c r="B72" t="s">
        <v>130</v>
      </c>
      <c r="C72" t="s">
        <v>152</v>
      </c>
      <c r="D72" t="s">
        <v>146</v>
      </c>
      <c r="E72" s="784">
        <v>0</v>
      </c>
      <c r="F72" s="784">
        <v>0</v>
      </c>
      <c r="G72" s="784">
        <v>715090</v>
      </c>
      <c r="H72" s="784">
        <v>500000</v>
      </c>
      <c r="I72" s="784">
        <v>0</v>
      </c>
      <c r="J72" s="765" t="str">
        <f t="shared" si="3"/>
        <v/>
      </c>
      <c r="K72" s="765">
        <f t="shared" si="4"/>
        <v>1</v>
      </c>
      <c r="L72" s="765" t="str">
        <f t="shared" si="5"/>
        <v/>
      </c>
      <c r="M72" s="784"/>
      <c r="N72" t="s">
        <v>147</v>
      </c>
      <c r="O72" t="s">
        <v>130</v>
      </c>
      <c r="P72" t="s">
        <v>152</v>
      </c>
      <c r="Q72" s="784">
        <v>500000</v>
      </c>
    </row>
    <row r="73" spans="1:17">
      <c r="A73" t="s">
        <v>194</v>
      </c>
      <c r="B73" t="s">
        <v>131</v>
      </c>
      <c r="C73" t="s">
        <v>150</v>
      </c>
      <c r="D73" t="s">
        <v>145</v>
      </c>
      <c r="E73" s="784">
        <v>0</v>
      </c>
      <c r="F73" s="784">
        <v>1376875.4814814813</v>
      </c>
      <c r="G73" s="784">
        <v>1192553</v>
      </c>
      <c r="H73" s="784">
        <v>0</v>
      </c>
      <c r="I73" s="784">
        <v>0</v>
      </c>
      <c r="J73" s="765" t="str">
        <f t="shared" si="3"/>
        <v/>
      </c>
      <c r="K73" s="765">
        <f t="shared" si="4"/>
        <v>1</v>
      </c>
      <c r="L73" s="765" t="str">
        <f t="shared" si="5"/>
        <v/>
      </c>
      <c r="M73" s="784"/>
      <c r="N73" t="s">
        <v>194</v>
      </c>
      <c r="O73" t="s">
        <v>131</v>
      </c>
      <c r="P73" t="s">
        <v>150</v>
      </c>
      <c r="Q73" s="784">
        <v>0</v>
      </c>
    </row>
    <row r="74" spans="1:17">
      <c r="A74" t="s">
        <v>195</v>
      </c>
      <c r="B74" t="s">
        <v>130</v>
      </c>
      <c r="C74" t="s">
        <v>152</v>
      </c>
      <c r="D74" t="s">
        <v>145</v>
      </c>
      <c r="E74" s="784">
        <v>0</v>
      </c>
      <c r="F74" s="784">
        <v>480000.03</v>
      </c>
      <c r="G74" s="784">
        <v>0</v>
      </c>
      <c r="H74" s="784">
        <v>75000</v>
      </c>
      <c r="I74" s="784">
        <v>0</v>
      </c>
      <c r="J74" s="765" t="str">
        <f t="shared" si="3"/>
        <v/>
      </c>
      <c r="K74" s="765">
        <f t="shared" si="4"/>
        <v>1</v>
      </c>
      <c r="L74" s="765" t="str">
        <f t="shared" si="5"/>
        <v/>
      </c>
      <c r="M74" s="784"/>
      <c r="N74" t="s">
        <v>195</v>
      </c>
      <c r="O74" t="s">
        <v>130</v>
      </c>
      <c r="P74" t="s">
        <v>152</v>
      </c>
      <c r="Q74" s="784">
        <v>75000</v>
      </c>
    </row>
    <row r="75" spans="1:17">
      <c r="A75" t="s">
        <v>196</v>
      </c>
      <c r="B75" t="s">
        <v>130</v>
      </c>
      <c r="C75" t="s">
        <v>152</v>
      </c>
      <c r="D75" t="s">
        <v>146</v>
      </c>
      <c r="E75" s="784">
        <v>360305</v>
      </c>
      <c r="F75" s="784">
        <v>0</v>
      </c>
      <c r="G75" s="784">
        <v>241451</v>
      </c>
      <c r="H75" s="784">
        <v>200000</v>
      </c>
      <c r="I75" s="784">
        <v>0</v>
      </c>
      <c r="J75" s="765" t="str">
        <f t="shared" si="3"/>
        <v/>
      </c>
      <c r="K75" s="765" t="str">
        <f t="shared" si="4"/>
        <v/>
      </c>
      <c r="L75" s="765">
        <f t="shared" si="5"/>
        <v>1</v>
      </c>
      <c r="M75" s="784"/>
      <c r="N75" t="s">
        <v>196</v>
      </c>
      <c r="O75" t="s">
        <v>130</v>
      </c>
      <c r="P75" t="s">
        <v>152</v>
      </c>
      <c r="Q75" s="784">
        <v>200000</v>
      </c>
    </row>
    <row r="76" spans="1:17">
      <c r="A76" t="s">
        <v>197</v>
      </c>
      <c r="B76" t="s">
        <v>130</v>
      </c>
      <c r="C76" t="s">
        <v>152</v>
      </c>
      <c r="D76" t="s">
        <v>146</v>
      </c>
      <c r="E76" s="784">
        <v>30773947</v>
      </c>
      <c r="F76" s="784">
        <v>0</v>
      </c>
      <c r="G76" s="784">
        <v>3320000</v>
      </c>
      <c r="H76" s="784">
        <v>0</v>
      </c>
      <c r="I76" s="784">
        <v>0</v>
      </c>
      <c r="J76" s="765" t="str">
        <f t="shared" si="3"/>
        <v/>
      </c>
      <c r="K76" s="765" t="str">
        <f t="shared" si="4"/>
        <v/>
      </c>
      <c r="L76" s="765">
        <f t="shared" si="5"/>
        <v>1</v>
      </c>
      <c r="M76" s="784"/>
      <c r="N76" t="s">
        <v>197</v>
      </c>
      <c r="O76" t="s">
        <v>130</v>
      </c>
      <c r="P76" t="s">
        <v>152</v>
      </c>
      <c r="Q76" s="784">
        <v>0</v>
      </c>
    </row>
    <row r="77" spans="1:17">
      <c r="A77" t="s">
        <v>198</v>
      </c>
      <c r="B77" t="s">
        <v>131</v>
      </c>
      <c r="C77" t="s">
        <v>150</v>
      </c>
      <c r="D77" t="s">
        <v>145</v>
      </c>
      <c r="E77" s="784">
        <v>0</v>
      </c>
      <c r="F77" s="784">
        <v>9780958.3703703713</v>
      </c>
      <c r="G77" s="784">
        <v>6946200</v>
      </c>
      <c r="H77" s="784">
        <v>1458302</v>
      </c>
      <c r="I77" s="784">
        <v>92593</v>
      </c>
      <c r="J77" s="765" t="str">
        <f t="shared" si="3"/>
        <v/>
      </c>
      <c r="K77" s="765">
        <f t="shared" si="4"/>
        <v>1</v>
      </c>
      <c r="L77" s="765" t="str">
        <f t="shared" si="5"/>
        <v/>
      </c>
      <c r="M77" s="784"/>
      <c r="N77" t="s">
        <v>198</v>
      </c>
      <c r="O77" t="s">
        <v>131</v>
      </c>
      <c r="P77" t="s">
        <v>150</v>
      </c>
      <c r="Q77" s="784">
        <v>1458302</v>
      </c>
    </row>
    <row r="78" spans="1:17">
      <c r="A78" t="s">
        <v>199</v>
      </c>
      <c r="B78" t="s">
        <v>130</v>
      </c>
      <c r="C78" t="s">
        <v>150</v>
      </c>
      <c r="D78" t="s">
        <v>145</v>
      </c>
      <c r="E78" s="784">
        <v>46000000</v>
      </c>
      <c r="F78" s="784">
        <v>1795214</v>
      </c>
      <c r="G78" s="784">
        <v>2840000</v>
      </c>
      <c r="H78" s="784">
        <v>300000</v>
      </c>
      <c r="I78" s="784">
        <v>0</v>
      </c>
      <c r="J78" s="765" t="str">
        <f t="shared" si="3"/>
        <v/>
      </c>
      <c r="K78" s="765" t="str">
        <f t="shared" si="4"/>
        <v/>
      </c>
      <c r="L78" s="765">
        <f t="shared" si="5"/>
        <v>1</v>
      </c>
      <c r="M78" s="784"/>
      <c r="N78" t="s">
        <v>199</v>
      </c>
      <c r="O78" t="s">
        <v>130</v>
      </c>
      <c r="P78" t="s">
        <v>150</v>
      </c>
      <c r="Q78" s="784">
        <v>300000</v>
      </c>
    </row>
    <row r="79" spans="1:17">
      <c r="A79" t="s">
        <v>200</v>
      </c>
      <c r="B79" t="s">
        <v>130</v>
      </c>
      <c r="C79" t="s">
        <v>152</v>
      </c>
      <c r="D79" t="s">
        <v>146</v>
      </c>
      <c r="E79" s="784">
        <v>0</v>
      </c>
      <c r="F79" s="784">
        <v>0</v>
      </c>
      <c r="G79" s="784">
        <v>0</v>
      </c>
      <c r="H79" s="784">
        <v>0</v>
      </c>
      <c r="I79" s="784">
        <v>0</v>
      </c>
      <c r="J79" s="765" t="str">
        <f t="shared" si="3"/>
        <v/>
      </c>
      <c r="K79" s="765" t="str">
        <f t="shared" si="4"/>
        <v/>
      </c>
      <c r="L79" s="765" t="str">
        <f t="shared" si="5"/>
        <v/>
      </c>
      <c r="M79" s="784"/>
      <c r="N79" t="s">
        <v>200</v>
      </c>
      <c r="O79" t="s">
        <v>130</v>
      </c>
      <c r="P79" t="s">
        <v>152</v>
      </c>
      <c r="Q79" s="784">
        <v>0</v>
      </c>
    </row>
    <row r="80" spans="1:17">
      <c r="A80" t="s">
        <v>201</v>
      </c>
      <c r="B80" t="s">
        <v>128</v>
      </c>
      <c r="C80" t="s">
        <v>148</v>
      </c>
      <c r="D80" t="s">
        <v>145</v>
      </c>
      <c r="E80" s="784">
        <v>0</v>
      </c>
      <c r="F80" s="784">
        <v>357784.62962962961</v>
      </c>
      <c r="G80" s="784">
        <v>0</v>
      </c>
      <c r="H80" s="784">
        <v>0</v>
      </c>
      <c r="I80" s="784">
        <v>0</v>
      </c>
      <c r="J80" s="765" t="str">
        <f t="shared" si="3"/>
        <v/>
      </c>
      <c r="K80" s="765">
        <f t="shared" si="4"/>
        <v>1</v>
      </c>
      <c r="L80" s="765" t="str">
        <f t="shared" si="5"/>
        <v/>
      </c>
      <c r="M80" s="784"/>
      <c r="N80" t="s">
        <v>201</v>
      </c>
      <c r="O80" t="s">
        <v>128</v>
      </c>
      <c r="P80" t="s">
        <v>148</v>
      </c>
      <c r="Q80" s="784">
        <v>0</v>
      </c>
    </row>
    <row r="81" spans="1:17">
      <c r="A81" t="s">
        <v>202</v>
      </c>
      <c r="B81" t="s">
        <v>128</v>
      </c>
      <c r="C81" t="s">
        <v>150</v>
      </c>
      <c r="D81" t="s">
        <v>145</v>
      </c>
      <c r="E81" s="784">
        <v>3700000</v>
      </c>
      <c r="F81" s="784">
        <v>601313</v>
      </c>
      <c r="G81" s="784">
        <v>2759293</v>
      </c>
      <c r="H81" s="784">
        <v>1549659</v>
      </c>
      <c r="I81" s="784">
        <v>401732</v>
      </c>
      <c r="J81" s="765" t="str">
        <f t="shared" si="3"/>
        <v/>
      </c>
      <c r="K81" s="765" t="str">
        <f t="shared" si="4"/>
        <v/>
      </c>
      <c r="L81" s="765">
        <f t="shared" si="5"/>
        <v>1</v>
      </c>
      <c r="M81" s="784"/>
      <c r="N81" t="s">
        <v>202</v>
      </c>
      <c r="O81" t="s">
        <v>128</v>
      </c>
      <c r="P81" t="s">
        <v>150</v>
      </c>
      <c r="Q81" s="784">
        <v>766500</v>
      </c>
    </row>
    <row r="82" spans="1:17">
      <c r="A82" t="s">
        <v>203</v>
      </c>
      <c r="B82" t="s">
        <v>128</v>
      </c>
      <c r="C82" t="s">
        <v>148</v>
      </c>
      <c r="D82" t="s">
        <v>145</v>
      </c>
      <c r="E82" s="784">
        <v>167200000</v>
      </c>
      <c r="F82" s="784">
        <v>18764494.777777776</v>
      </c>
      <c r="G82" s="784">
        <v>8243285</v>
      </c>
      <c r="H82" s="784">
        <v>5566137</v>
      </c>
      <c r="I82" s="784">
        <v>4713948</v>
      </c>
      <c r="J82" s="765" t="str">
        <f t="shared" si="3"/>
        <v/>
      </c>
      <c r="K82" s="765" t="str">
        <f t="shared" si="4"/>
        <v/>
      </c>
      <c r="L82" s="765">
        <f t="shared" si="5"/>
        <v>1</v>
      </c>
      <c r="M82" s="784"/>
      <c r="N82" t="s">
        <v>203</v>
      </c>
      <c r="O82" t="s">
        <v>128</v>
      </c>
      <c r="P82" t="s">
        <v>148</v>
      </c>
      <c r="Q82" s="784">
        <v>2775000</v>
      </c>
    </row>
    <row r="83" spans="1:17">
      <c r="A83" t="s">
        <v>204</v>
      </c>
      <c r="B83" t="s">
        <v>126</v>
      </c>
      <c r="C83" t="s">
        <v>152</v>
      </c>
      <c r="D83" t="s">
        <v>145</v>
      </c>
      <c r="E83" s="784">
        <v>0</v>
      </c>
      <c r="F83" s="784">
        <v>531750</v>
      </c>
      <c r="G83" s="784">
        <v>3139730</v>
      </c>
      <c r="H83" s="784">
        <v>400000</v>
      </c>
      <c r="I83" s="784">
        <v>226328</v>
      </c>
      <c r="J83" s="765" t="str">
        <f t="shared" si="3"/>
        <v/>
      </c>
      <c r="K83" s="765">
        <f t="shared" si="4"/>
        <v>1</v>
      </c>
      <c r="L83" s="765" t="str">
        <f t="shared" si="5"/>
        <v/>
      </c>
      <c r="M83" s="784"/>
      <c r="N83" t="s">
        <v>204</v>
      </c>
      <c r="O83" t="s">
        <v>126</v>
      </c>
      <c r="P83" t="s">
        <v>152</v>
      </c>
      <c r="Q83" s="784">
        <v>400000</v>
      </c>
    </row>
    <row r="84" spans="1:17">
      <c r="A84" t="s">
        <v>205</v>
      </c>
      <c r="B84" t="s">
        <v>129</v>
      </c>
      <c r="C84" t="s">
        <v>152</v>
      </c>
      <c r="D84" t="s">
        <v>146</v>
      </c>
      <c r="E84" s="784">
        <v>2900000</v>
      </c>
      <c r="F84" s="784">
        <v>0</v>
      </c>
      <c r="G84" s="784">
        <v>300000</v>
      </c>
      <c r="H84" s="784">
        <v>0</v>
      </c>
      <c r="I84" s="784">
        <v>0</v>
      </c>
      <c r="J84" s="765" t="str">
        <f t="shared" si="3"/>
        <v/>
      </c>
      <c r="K84" s="765" t="str">
        <f t="shared" si="4"/>
        <v/>
      </c>
      <c r="L84" s="765">
        <f t="shared" si="5"/>
        <v>1</v>
      </c>
      <c r="M84" s="784"/>
      <c r="N84" t="s">
        <v>205</v>
      </c>
      <c r="O84" t="s">
        <v>129</v>
      </c>
      <c r="P84" t="s">
        <v>152</v>
      </c>
      <c r="Q84" s="784">
        <v>0</v>
      </c>
    </row>
    <row r="85" spans="1:17">
      <c r="A85" t="s">
        <v>206</v>
      </c>
      <c r="B85" t="s">
        <v>129</v>
      </c>
      <c r="C85" t="s">
        <v>148</v>
      </c>
      <c r="D85" t="s">
        <v>145</v>
      </c>
      <c r="E85" s="784">
        <v>1600000</v>
      </c>
      <c r="F85" s="784">
        <v>1265349</v>
      </c>
      <c r="G85" s="784">
        <v>1085000</v>
      </c>
      <c r="H85" s="784">
        <v>552287</v>
      </c>
      <c r="I85" s="784">
        <v>0</v>
      </c>
      <c r="J85" s="765" t="str">
        <f t="shared" si="3"/>
        <v/>
      </c>
      <c r="K85" s="765" t="str">
        <f t="shared" si="4"/>
        <v/>
      </c>
      <c r="L85" s="765">
        <f t="shared" si="5"/>
        <v>1</v>
      </c>
      <c r="M85" s="784"/>
      <c r="N85" t="s">
        <v>206</v>
      </c>
      <c r="O85" t="s">
        <v>129</v>
      </c>
      <c r="P85" t="s">
        <v>148</v>
      </c>
      <c r="Q85" s="784">
        <v>552287</v>
      </c>
    </row>
    <row r="86" spans="1:17">
      <c r="A86" t="s">
        <v>207</v>
      </c>
      <c r="B86" t="s">
        <v>127</v>
      </c>
      <c r="C86" t="s">
        <v>152</v>
      </c>
      <c r="D86" t="s">
        <v>146</v>
      </c>
      <c r="E86" s="784">
        <v>1100000</v>
      </c>
      <c r="F86" s="784">
        <v>0</v>
      </c>
      <c r="G86" s="784">
        <v>4400000</v>
      </c>
      <c r="H86" s="784">
        <v>200000</v>
      </c>
      <c r="I86" s="784">
        <v>0</v>
      </c>
      <c r="J86" s="765" t="str">
        <f t="shared" si="3"/>
        <v/>
      </c>
      <c r="K86" s="765" t="str">
        <f t="shared" si="4"/>
        <v/>
      </c>
      <c r="L86" s="765">
        <f t="shared" si="5"/>
        <v>1</v>
      </c>
      <c r="M86" s="784"/>
      <c r="N86" t="s">
        <v>207</v>
      </c>
      <c r="O86" t="s">
        <v>127</v>
      </c>
      <c r="P86" t="s">
        <v>152</v>
      </c>
      <c r="Q86" s="784">
        <v>200000</v>
      </c>
    </row>
    <row r="87" spans="1:17">
      <c r="A87" t="s">
        <v>208</v>
      </c>
      <c r="B87" t="s">
        <v>129</v>
      </c>
      <c r="C87" t="s">
        <v>150</v>
      </c>
      <c r="D87" t="s">
        <v>145</v>
      </c>
      <c r="E87" s="784">
        <v>7000000</v>
      </c>
      <c r="F87" s="784">
        <v>4292630</v>
      </c>
      <c r="G87" s="784">
        <v>3875925</v>
      </c>
      <c r="H87" s="784">
        <v>0</v>
      </c>
      <c r="I87" s="784">
        <v>974458</v>
      </c>
      <c r="J87" s="765" t="str">
        <f t="shared" si="3"/>
        <v/>
      </c>
      <c r="K87" s="765" t="str">
        <f t="shared" si="4"/>
        <v/>
      </c>
      <c r="L87" s="765">
        <f t="shared" si="5"/>
        <v>1</v>
      </c>
      <c r="M87" s="784"/>
      <c r="N87" t="s">
        <v>208</v>
      </c>
      <c r="O87" t="s">
        <v>129</v>
      </c>
      <c r="P87" t="s">
        <v>150</v>
      </c>
      <c r="Q87" s="784">
        <v>0</v>
      </c>
    </row>
    <row r="88" spans="1:17">
      <c r="A88" t="s">
        <v>209</v>
      </c>
      <c r="B88" t="s">
        <v>130</v>
      </c>
      <c r="C88" t="s">
        <v>152</v>
      </c>
      <c r="D88" t="s">
        <v>145</v>
      </c>
      <c r="E88" s="784">
        <v>0</v>
      </c>
      <c r="F88" s="784">
        <v>480000</v>
      </c>
      <c r="G88" s="784">
        <v>0</v>
      </c>
      <c r="H88" s="784">
        <v>75000</v>
      </c>
      <c r="I88" s="784">
        <v>0</v>
      </c>
      <c r="J88" s="765" t="str">
        <f t="shared" si="3"/>
        <v/>
      </c>
      <c r="K88" s="765">
        <f t="shared" si="4"/>
        <v>1</v>
      </c>
      <c r="L88" s="765" t="str">
        <f t="shared" si="5"/>
        <v/>
      </c>
      <c r="M88" s="784"/>
      <c r="N88" t="s">
        <v>209</v>
      </c>
      <c r="O88" t="s">
        <v>130</v>
      </c>
      <c r="P88" t="s">
        <v>152</v>
      </c>
      <c r="Q88" s="784">
        <v>75000</v>
      </c>
    </row>
    <row r="89" spans="1:17">
      <c r="A89" t="s">
        <v>210</v>
      </c>
      <c r="B89" t="s">
        <v>130</v>
      </c>
      <c r="C89" t="s">
        <v>152</v>
      </c>
      <c r="D89" t="s">
        <v>146</v>
      </c>
      <c r="E89" s="784">
        <v>0</v>
      </c>
      <c r="F89" s="784">
        <v>0</v>
      </c>
      <c r="G89" s="784">
        <v>6783889</v>
      </c>
      <c r="H89" s="784">
        <v>0</v>
      </c>
      <c r="I89" s="784">
        <v>0</v>
      </c>
      <c r="J89" s="765" t="str">
        <f t="shared" si="3"/>
        <v/>
      </c>
      <c r="K89" s="765">
        <f t="shared" si="4"/>
        <v>1</v>
      </c>
      <c r="L89" s="765" t="str">
        <f t="shared" si="5"/>
        <v/>
      </c>
      <c r="M89" s="784"/>
      <c r="N89" t="s">
        <v>210</v>
      </c>
      <c r="O89" t="s">
        <v>130</v>
      </c>
      <c r="P89" t="s">
        <v>152</v>
      </c>
      <c r="Q89" s="784">
        <v>0</v>
      </c>
    </row>
    <row r="90" spans="1:17">
      <c r="A90" t="s">
        <v>211</v>
      </c>
      <c r="B90" t="s">
        <v>129</v>
      </c>
      <c r="C90" t="s">
        <v>148</v>
      </c>
      <c r="D90" t="s">
        <v>145</v>
      </c>
      <c r="E90" s="784">
        <v>10600000</v>
      </c>
      <c r="F90" s="784">
        <v>5268061</v>
      </c>
      <c r="G90" s="784">
        <v>3826346</v>
      </c>
      <c r="H90" s="784">
        <v>378110</v>
      </c>
      <c r="I90" s="784">
        <v>378110</v>
      </c>
      <c r="J90" s="765" t="str">
        <f t="shared" si="3"/>
        <v/>
      </c>
      <c r="K90" s="765" t="str">
        <f t="shared" si="4"/>
        <v/>
      </c>
      <c r="L90" s="765">
        <f t="shared" si="5"/>
        <v>1</v>
      </c>
      <c r="M90" s="784"/>
      <c r="N90" t="s">
        <v>211</v>
      </c>
      <c r="O90" t="s">
        <v>129</v>
      </c>
      <c r="P90" t="s">
        <v>148</v>
      </c>
      <c r="Q90" s="784">
        <v>378110</v>
      </c>
    </row>
    <row r="91" spans="1:17">
      <c r="A91" t="s">
        <v>212</v>
      </c>
      <c r="B91" t="s">
        <v>129</v>
      </c>
      <c r="C91" t="s">
        <v>148</v>
      </c>
      <c r="D91" t="s">
        <v>145</v>
      </c>
      <c r="E91" s="784">
        <v>2100000</v>
      </c>
      <c r="F91" s="784">
        <v>1484685.1851851852</v>
      </c>
      <c r="G91" s="784">
        <v>200000</v>
      </c>
      <c r="H91" s="784">
        <v>225847</v>
      </c>
      <c r="I91" s="784">
        <v>225847</v>
      </c>
      <c r="J91" s="765" t="str">
        <f t="shared" si="3"/>
        <v/>
      </c>
      <c r="K91" s="765" t="str">
        <f t="shared" si="4"/>
        <v/>
      </c>
      <c r="L91" s="765">
        <f t="shared" si="5"/>
        <v>1</v>
      </c>
      <c r="M91" s="784"/>
      <c r="N91" t="s">
        <v>212</v>
      </c>
      <c r="O91" t="s">
        <v>129</v>
      </c>
      <c r="P91" t="s">
        <v>148</v>
      </c>
      <c r="Q91" s="784">
        <v>225847</v>
      </c>
    </row>
    <row r="92" spans="1:17">
      <c r="A92" t="s">
        <v>213</v>
      </c>
      <c r="B92" t="s">
        <v>130</v>
      </c>
      <c r="C92" t="s">
        <v>152</v>
      </c>
      <c r="D92" t="s">
        <v>145</v>
      </c>
      <c r="E92" s="784">
        <v>200000</v>
      </c>
      <c r="F92" s="784">
        <v>1152549</v>
      </c>
      <c r="G92" s="784">
        <v>705800</v>
      </c>
      <c r="H92" s="784">
        <v>100000</v>
      </c>
      <c r="I92" s="784">
        <v>0</v>
      </c>
      <c r="J92" s="765" t="str">
        <f t="shared" si="3"/>
        <v/>
      </c>
      <c r="K92" s="765" t="str">
        <f t="shared" si="4"/>
        <v/>
      </c>
      <c r="L92" s="765">
        <f t="shared" si="5"/>
        <v>1</v>
      </c>
      <c r="M92" s="784"/>
      <c r="N92" t="s">
        <v>213</v>
      </c>
      <c r="O92" t="s">
        <v>130</v>
      </c>
      <c r="P92" t="s">
        <v>152</v>
      </c>
      <c r="Q92" s="784">
        <v>100000</v>
      </c>
    </row>
    <row r="93" spans="1:17">
      <c r="A93" t="s">
        <v>214</v>
      </c>
      <c r="B93" t="s">
        <v>130</v>
      </c>
      <c r="C93" t="s">
        <v>150</v>
      </c>
      <c r="D93" t="s">
        <v>145</v>
      </c>
      <c r="E93" s="784">
        <v>0</v>
      </c>
      <c r="F93" s="784">
        <v>4382815.555555556</v>
      </c>
      <c r="G93" s="784">
        <v>9521267.620000001</v>
      </c>
      <c r="H93" s="784">
        <v>1500000</v>
      </c>
      <c r="I93" s="784">
        <v>99000</v>
      </c>
      <c r="J93" s="765" t="str">
        <f t="shared" si="3"/>
        <v/>
      </c>
      <c r="K93" s="765">
        <f t="shared" si="4"/>
        <v>1</v>
      </c>
      <c r="L93" s="765" t="str">
        <f t="shared" si="5"/>
        <v/>
      </c>
      <c r="M93" s="784"/>
      <c r="N93" t="s">
        <v>214</v>
      </c>
      <c r="O93" t="s">
        <v>130</v>
      </c>
      <c r="P93" t="s">
        <v>150</v>
      </c>
      <c r="Q93" s="784">
        <v>1500000</v>
      </c>
    </row>
    <row r="94" spans="1:17">
      <c r="A94" t="s">
        <v>215</v>
      </c>
      <c r="B94" t="s">
        <v>130</v>
      </c>
      <c r="C94" t="s">
        <v>150</v>
      </c>
      <c r="D94" t="s">
        <v>145</v>
      </c>
      <c r="E94" s="784">
        <v>29600000</v>
      </c>
      <c r="F94" s="784">
        <v>2010319.8392592594</v>
      </c>
      <c r="G94" s="784">
        <v>4652400</v>
      </c>
      <c r="H94" s="784">
        <v>300000</v>
      </c>
      <c r="I94" s="784">
        <v>0</v>
      </c>
      <c r="J94" s="765" t="str">
        <f t="shared" si="3"/>
        <v/>
      </c>
      <c r="K94" s="765" t="str">
        <f t="shared" si="4"/>
        <v/>
      </c>
      <c r="L94" s="765">
        <f t="shared" si="5"/>
        <v>1</v>
      </c>
      <c r="M94" s="784"/>
      <c r="N94" t="s">
        <v>215</v>
      </c>
      <c r="O94" t="s">
        <v>130</v>
      </c>
      <c r="P94" t="s">
        <v>150</v>
      </c>
      <c r="Q94" s="784">
        <v>300000</v>
      </c>
    </row>
    <row r="95" spans="1:17">
      <c r="A95" t="s">
        <v>216</v>
      </c>
      <c r="B95" t="s">
        <v>132</v>
      </c>
      <c r="C95" t="s">
        <v>150</v>
      </c>
      <c r="D95" t="s">
        <v>145</v>
      </c>
      <c r="E95" s="784">
        <v>7000000</v>
      </c>
      <c r="F95" s="784">
        <v>39869518.185185187</v>
      </c>
      <c r="G95" s="784">
        <v>38040139</v>
      </c>
      <c r="H95" s="784">
        <v>12694456</v>
      </c>
      <c r="I95" s="784">
        <v>24839715</v>
      </c>
      <c r="J95" s="765" t="str">
        <f t="shared" si="3"/>
        <v/>
      </c>
      <c r="K95" s="765" t="str">
        <f t="shared" si="4"/>
        <v/>
      </c>
      <c r="L95" s="765">
        <f t="shared" si="5"/>
        <v>1</v>
      </c>
      <c r="M95" s="784"/>
      <c r="N95" t="s">
        <v>216</v>
      </c>
      <c r="O95" t="s">
        <v>132</v>
      </c>
      <c r="P95" t="s">
        <v>150</v>
      </c>
      <c r="Q95" s="784">
        <v>12694456</v>
      </c>
    </row>
    <row r="96" spans="1:17">
      <c r="A96" t="s">
        <v>217</v>
      </c>
      <c r="B96" t="s">
        <v>126</v>
      </c>
      <c r="C96" t="s">
        <v>150</v>
      </c>
      <c r="D96" t="s">
        <v>145</v>
      </c>
      <c r="E96" s="784">
        <v>258300000</v>
      </c>
      <c r="F96" s="784">
        <v>5581615</v>
      </c>
      <c r="G96" s="784">
        <v>26385355</v>
      </c>
      <c r="H96" s="784">
        <v>0</v>
      </c>
      <c r="I96" s="784">
        <v>93593</v>
      </c>
      <c r="J96" s="765" t="str">
        <f t="shared" si="3"/>
        <v/>
      </c>
      <c r="K96" s="765" t="str">
        <f t="shared" si="4"/>
        <v/>
      </c>
      <c r="L96" s="765">
        <f t="shared" si="5"/>
        <v>1</v>
      </c>
      <c r="M96" s="784"/>
      <c r="N96" t="s">
        <v>217</v>
      </c>
      <c r="O96" t="s">
        <v>126</v>
      </c>
      <c r="P96" t="s">
        <v>150</v>
      </c>
      <c r="Q96" s="784">
        <v>0</v>
      </c>
    </row>
    <row r="97" spans="1:17">
      <c r="A97" t="s">
        <v>149</v>
      </c>
      <c r="B97" t="s">
        <v>131</v>
      </c>
      <c r="C97" t="s">
        <v>150</v>
      </c>
      <c r="D97" t="s">
        <v>146</v>
      </c>
      <c r="E97" s="784">
        <v>0</v>
      </c>
      <c r="F97" s="784">
        <v>0</v>
      </c>
      <c r="G97" s="784">
        <v>0</v>
      </c>
      <c r="H97" s="784">
        <v>2428858</v>
      </c>
      <c r="I97" s="784">
        <v>0</v>
      </c>
      <c r="J97" s="765" t="str">
        <f t="shared" si="3"/>
        <v/>
      </c>
      <c r="K97" s="765">
        <f t="shared" si="4"/>
        <v>1</v>
      </c>
      <c r="L97" s="765" t="str">
        <f t="shared" si="5"/>
        <v/>
      </c>
      <c r="M97" s="784"/>
      <c r="N97" t="s">
        <v>149</v>
      </c>
      <c r="O97" t="s">
        <v>131</v>
      </c>
      <c r="P97" t="s">
        <v>150</v>
      </c>
      <c r="Q97" s="784">
        <v>2428858</v>
      </c>
    </row>
    <row r="98" spans="1:17">
      <c r="A98" t="s">
        <v>218</v>
      </c>
      <c r="B98" t="s">
        <v>131</v>
      </c>
      <c r="C98" t="s">
        <v>152</v>
      </c>
      <c r="D98" t="s">
        <v>146</v>
      </c>
      <c r="E98" s="784">
        <v>25000000</v>
      </c>
      <c r="F98" s="784">
        <v>0</v>
      </c>
      <c r="G98" s="784">
        <v>1534768</v>
      </c>
      <c r="H98" s="784">
        <v>5799334</v>
      </c>
      <c r="I98" s="784">
        <v>0</v>
      </c>
      <c r="J98" s="765" t="str">
        <f t="shared" si="3"/>
        <v/>
      </c>
      <c r="K98" s="765" t="str">
        <f t="shared" si="4"/>
        <v/>
      </c>
      <c r="L98" s="765">
        <f t="shared" si="5"/>
        <v>1</v>
      </c>
      <c r="M98" s="784"/>
      <c r="N98" t="s">
        <v>218</v>
      </c>
      <c r="O98" t="s">
        <v>131</v>
      </c>
      <c r="P98" t="s">
        <v>152</v>
      </c>
      <c r="Q98" s="784">
        <v>5799334</v>
      </c>
    </row>
    <row r="99" spans="1:17">
      <c r="A99" t="s">
        <v>219</v>
      </c>
      <c r="B99" t="s">
        <v>130</v>
      </c>
      <c r="C99" t="s">
        <v>152</v>
      </c>
      <c r="D99" t="s">
        <v>146</v>
      </c>
      <c r="E99" s="784">
        <v>0</v>
      </c>
      <c r="F99" s="784">
        <v>0</v>
      </c>
      <c r="G99" s="784">
        <v>4579630</v>
      </c>
      <c r="H99" s="784">
        <v>0</v>
      </c>
      <c r="I99" s="784">
        <v>0</v>
      </c>
      <c r="J99" s="765" t="str">
        <f t="shared" si="3"/>
        <v/>
      </c>
      <c r="K99" s="765">
        <f t="shared" si="4"/>
        <v>1</v>
      </c>
      <c r="L99" s="765" t="str">
        <f t="shared" si="5"/>
        <v/>
      </c>
      <c r="M99" s="784"/>
      <c r="N99" t="s">
        <v>219</v>
      </c>
      <c r="O99" t="s">
        <v>130</v>
      </c>
      <c r="P99" t="s">
        <v>152</v>
      </c>
      <c r="Q99" s="784">
        <v>0</v>
      </c>
    </row>
    <row r="100" spans="1:17">
      <c r="A100" t="s">
        <v>220</v>
      </c>
      <c r="B100" t="s">
        <v>131</v>
      </c>
      <c r="C100" t="s">
        <v>152</v>
      </c>
      <c r="D100" t="s">
        <v>146</v>
      </c>
      <c r="E100" s="784">
        <v>1300000</v>
      </c>
      <c r="F100" s="784">
        <v>0</v>
      </c>
      <c r="G100" s="784">
        <v>2979126</v>
      </c>
      <c r="H100" s="784">
        <v>1423400</v>
      </c>
      <c r="I100" s="784">
        <v>0</v>
      </c>
      <c r="J100" s="765" t="str">
        <f t="shared" si="3"/>
        <v/>
      </c>
      <c r="K100" s="765" t="str">
        <f t="shared" si="4"/>
        <v/>
      </c>
      <c r="L100" s="765">
        <f t="shared" si="5"/>
        <v>1</v>
      </c>
      <c r="M100" s="784"/>
      <c r="N100" t="s">
        <v>220</v>
      </c>
      <c r="O100" t="s">
        <v>131</v>
      </c>
      <c r="P100" t="s">
        <v>152</v>
      </c>
      <c r="Q100" s="784">
        <v>1423400</v>
      </c>
    </row>
    <row r="101" spans="1:17">
      <c r="A101" t="s">
        <v>221</v>
      </c>
      <c r="B101" t="s">
        <v>127</v>
      </c>
      <c r="C101" t="s">
        <v>152</v>
      </c>
      <c r="D101" t="s">
        <v>146</v>
      </c>
      <c r="E101" s="784">
        <v>0</v>
      </c>
      <c r="F101" s="784">
        <v>0</v>
      </c>
      <c r="G101" s="784">
        <v>2450000</v>
      </c>
      <c r="H101" s="784">
        <v>50000</v>
      </c>
      <c r="I101" s="784">
        <v>0</v>
      </c>
      <c r="J101" s="765" t="str">
        <f t="shared" si="3"/>
        <v/>
      </c>
      <c r="K101" s="765">
        <f t="shared" si="4"/>
        <v>1</v>
      </c>
      <c r="L101" s="765" t="str">
        <f t="shared" si="5"/>
        <v/>
      </c>
      <c r="M101" s="784"/>
      <c r="N101" t="s">
        <v>221</v>
      </c>
      <c r="O101" t="s">
        <v>127</v>
      </c>
      <c r="P101" t="s">
        <v>152</v>
      </c>
      <c r="Q101" s="784">
        <v>50000</v>
      </c>
    </row>
    <row r="102" spans="1:17">
      <c r="A102" t="s">
        <v>222</v>
      </c>
      <c r="B102" t="s">
        <v>128</v>
      </c>
      <c r="C102" t="s">
        <v>150</v>
      </c>
      <c r="D102" t="s">
        <v>145</v>
      </c>
      <c r="E102" s="784">
        <v>18700000</v>
      </c>
      <c r="F102" s="784">
        <v>6978089</v>
      </c>
      <c r="G102" s="784">
        <v>5187969</v>
      </c>
      <c r="H102" s="784">
        <v>500000</v>
      </c>
      <c r="I102" s="784">
        <v>5101110</v>
      </c>
      <c r="J102" s="765" t="str">
        <f t="shared" si="3"/>
        <v/>
      </c>
      <c r="K102" s="765" t="str">
        <f t="shared" si="4"/>
        <v/>
      </c>
      <c r="L102" s="765">
        <f t="shared" si="5"/>
        <v>1</v>
      </c>
      <c r="M102" s="784"/>
      <c r="N102" t="s">
        <v>222</v>
      </c>
      <c r="O102" t="s">
        <v>128</v>
      </c>
      <c r="P102" t="s">
        <v>150</v>
      </c>
      <c r="Q102" s="784">
        <v>500000</v>
      </c>
    </row>
    <row r="103" spans="1:17">
      <c r="A103" t="s">
        <v>223</v>
      </c>
      <c r="B103" t="s">
        <v>126</v>
      </c>
      <c r="C103" t="s">
        <v>150</v>
      </c>
      <c r="D103" t="s">
        <v>145</v>
      </c>
      <c r="E103" s="784">
        <v>0</v>
      </c>
      <c r="F103" s="784">
        <v>46450</v>
      </c>
      <c r="G103" s="784">
        <v>6153241</v>
      </c>
      <c r="H103" s="784">
        <v>0</v>
      </c>
      <c r="I103" s="784">
        <v>99000</v>
      </c>
      <c r="J103" s="765" t="str">
        <f t="shared" si="3"/>
        <v/>
      </c>
      <c r="K103" s="765">
        <f t="shared" si="4"/>
        <v>1</v>
      </c>
      <c r="L103" s="765" t="str">
        <f t="shared" si="5"/>
        <v/>
      </c>
      <c r="M103" s="784"/>
      <c r="N103" t="s">
        <v>223</v>
      </c>
      <c r="O103" t="s">
        <v>126</v>
      </c>
      <c r="P103" t="s">
        <v>150</v>
      </c>
      <c r="Q103" s="784">
        <v>0</v>
      </c>
    </row>
    <row r="104" spans="1:17">
      <c r="A104" t="s">
        <v>224</v>
      </c>
      <c r="B104" t="s">
        <v>126</v>
      </c>
      <c r="C104" t="s">
        <v>148</v>
      </c>
      <c r="D104" t="s">
        <v>145</v>
      </c>
      <c r="E104" s="784">
        <v>0</v>
      </c>
      <c r="F104" s="784">
        <v>0</v>
      </c>
      <c r="G104" s="784">
        <v>0</v>
      </c>
      <c r="H104" s="784">
        <v>0</v>
      </c>
      <c r="I104" s="784">
        <v>0</v>
      </c>
      <c r="J104" s="765" t="str">
        <f t="shared" si="3"/>
        <v/>
      </c>
      <c r="K104" s="765" t="str">
        <f t="shared" si="4"/>
        <v/>
      </c>
      <c r="L104" s="765" t="str">
        <f t="shared" si="5"/>
        <v/>
      </c>
      <c r="M104" s="784"/>
      <c r="N104" t="s">
        <v>224</v>
      </c>
      <c r="O104" t="s">
        <v>126</v>
      </c>
      <c r="P104" t="s">
        <v>148</v>
      </c>
      <c r="Q104" s="784">
        <v>0</v>
      </c>
    </row>
    <row r="105" spans="1:17">
      <c r="A105" t="s">
        <v>225</v>
      </c>
      <c r="B105" t="s">
        <v>127</v>
      </c>
      <c r="C105" t="s">
        <v>152</v>
      </c>
      <c r="D105" t="s">
        <v>145</v>
      </c>
      <c r="E105" s="784">
        <v>2000000</v>
      </c>
      <c r="F105" s="784">
        <v>649036</v>
      </c>
      <c r="G105" s="784">
        <v>2500000</v>
      </c>
      <c r="H105" s="784">
        <v>619000</v>
      </c>
      <c r="I105" s="784">
        <v>0</v>
      </c>
      <c r="J105" s="765" t="str">
        <f t="shared" si="3"/>
        <v/>
      </c>
      <c r="K105" s="765" t="str">
        <f t="shared" si="4"/>
        <v/>
      </c>
      <c r="L105" s="765">
        <f t="shared" si="5"/>
        <v>1</v>
      </c>
      <c r="M105" s="784"/>
      <c r="N105" t="s">
        <v>225</v>
      </c>
      <c r="O105" t="s">
        <v>127</v>
      </c>
      <c r="P105" t="s">
        <v>152</v>
      </c>
      <c r="Q105" s="784">
        <v>619000</v>
      </c>
    </row>
    <row r="106" spans="1:17">
      <c r="A106" t="s">
        <v>226</v>
      </c>
      <c r="B106" t="s">
        <v>127</v>
      </c>
      <c r="C106" t="s">
        <v>150</v>
      </c>
      <c r="D106" t="s">
        <v>145</v>
      </c>
      <c r="E106" s="784">
        <v>3000000</v>
      </c>
      <c r="F106" s="784">
        <v>1708778</v>
      </c>
      <c r="G106" s="784">
        <v>3000000</v>
      </c>
      <c r="H106" s="784">
        <v>1220000</v>
      </c>
      <c r="I106" s="784">
        <v>0</v>
      </c>
      <c r="J106" s="765" t="str">
        <f t="shared" ref="J106:J169" si="6">IF(AND(E106&gt;0,SUM(F106:I106)=0),1,"")</f>
        <v/>
      </c>
      <c r="K106" s="765" t="str">
        <f t="shared" ref="K106:K169" si="7">IF(AND(E106=0,SUM(F106:I106)&gt;0),1,"")</f>
        <v/>
      </c>
      <c r="L106" s="765">
        <f t="shared" ref="L106:L169" si="8">IF(AND(E106&gt;0,SUM(F106:I106)&gt;0),1,"")</f>
        <v>1</v>
      </c>
      <c r="M106" s="784"/>
      <c r="N106" t="s">
        <v>226</v>
      </c>
      <c r="O106" t="s">
        <v>127</v>
      </c>
      <c r="P106" t="s">
        <v>150</v>
      </c>
      <c r="Q106" s="784">
        <v>1220000</v>
      </c>
    </row>
    <row r="107" spans="1:17">
      <c r="A107" t="s">
        <v>227</v>
      </c>
      <c r="B107" t="s">
        <v>126</v>
      </c>
      <c r="C107" t="s">
        <v>150</v>
      </c>
      <c r="D107" t="s">
        <v>145</v>
      </c>
      <c r="E107" s="784">
        <v>5600000</v>
      </c>
      <c r="F107" s="784">
        <v>1630302.3333333333</v>
      </c>
      <c r="G107" s="784">
        <v>6688555</v>
      </c>
      <c r="H107" s="784">
        <v>850000</v>
      </c>
      <c r="I107" s="784">
        <v>248000</v>
      </c>
      <c r="J107" s="765" t="str">
        <f t="shared" si="6"/>
        <v/>
      </c>
      <c r="K107" s="765" t="str">
        <f t="shared" si="7"/>
        <v/>
      </c>
      <c r="L107" s="765">
        <f t="shared" si="8"/>
        <v>1</v>
      </c>
      <c r="M107" s="784"/>
      <c r="N107" t="s">
        <v>227</v>
      </c>
      <c r="O107" t="s">
        <v>126</v>
      </c>
      <c r="P107" t="s">
        <v>150</v>
      </c>
      <c r="Q107" s="784">
        <v>850000</v>
      </c>
    </row>
    <row r="108" spans="1:17">
      <c r="A108" t="s">
        <v>228</v>
      </c>
      <c r="B108" t="s">
        <v>131</v>
      </c>
      <c r="C108" t="s">
        <v>152</v>
      </c>
      <c r="D108" t="s">
        <v>146</v>
      </c>
      <c r="E108" s="784">
        <v>9000000</v>
      </c>
      <c r="F108" s="784">
        <v>0</v>
      </c>
      <c r="G108" s="784">
        <v>3544444</v>
      </c>
      <c r="H108" s="784">
        <v>8535626</v>
      </c>
      <c r="I108" s="784">
        <v>14058</v>
      </c>
      <c r="J108" s="765" t="str">
        <f t="shared" si="6"/>
        <v/>
      </c>
      <c r="K108" s="765" t="str">
        <f t="shared" si="7"/>
        <v/>
      </c>
      <c r="L108" s="765">
        <f t="shared" si="8"/>
        <v>1</v>
      </c>
      <c r="M108" s="784"/>
      <c r="N108" t="s">
        <v>228</v>
      </c>
      <c r="O108" t="s">
        <v>131</v>
      </c>
      <c r="P108" t="s">
        <v>152</v>
      </c>
      <c r="Q108" s="784">
        <v>8535626</v>
      </c>
    </row>
    <row r="109" spans="1:17">
      <c r="A109" t="s">
        <v>229</v>
      </c>
      <c r="B109" t="s">
        <v>128</v>
      </c>
      <c r="C109" t="s">
        <v>150</v>
      </c>
      <c r="D109" t="s">
        <v>145</v>
      </c>
      <c r="E109" s="784">
        <v>5500000</v>
      </c>
      <c r="F109" s="784">
        <v>1347898</v>
      </c>
      <c r="G109" s="784">
        <v>1860000</v>
      </c>
      <c r="H109" s="784">
        <v>1399123</v>
      </c>
      <c r="I109" s="784">
        <v>0</v>
      </c>
      <c r="J109" s="765" t="str">
        <f t="shared" si="6"/>
        <v/>
      </c>
      <c r="K109" s="765" t="str">
        <f t="shared" si="7"/>
        <v/>
      </c>
      <c r="L109" s="765">
        <f t="shared" si="8"/>
        <v>1</v>
      </c>
      <c r="M109" s="784"/>
      <c r="N109" t="s">
        <v>229</v>
      </c>
      <c r="O109" t="s">
        <v>128</v>
      </c>
      <c r="P109" t="s">
        <v>150</v>
      </c>
      <c r="Q109" s="784">
        <v>720000</v>
      </c>
    </row>
    <row r="110" spans="1:17">
      <c r="A110" t="s">
        <v>230</v>
      </c>
      <c r="B110" t="s">
        <v>129</v>
      </c>
      <c r="C110" t="s">
        <v>148</v>
      </c>
      <c r="D110" t="s">
        <v>145</v>
      </c>
      <c r="E110" s="784">
        <v>1700000</v>
      </c>
      <c r="F110" s="784">
        <v>1635557.4522222222</v>
      </c>
      <c r="G110" s="784">
        <v>2797224</v>
      </c>
      <c r="H110" s="784">
        <v>586872</v>
      </c>
      <c r="I110" s="784">
        <v>0</v>
      </c>
      <c r="J110" s="765" t="str">
        <f t="shared" si="6"/>
        <v/>
      </c>
      <c r="K110" s="765" t="str">
        <f t="shared" si="7"/>
        <v/>
      </c>
      <c r="L110" s="765">
        <f t="shared" si="8"/>
        <v>1</v>
      </c>
      <c r="M110" s="784"/>
      <c r="N110" t="s">
        <v>230</v>
      </c>
      <c r="O110" t="s">
        <v>129</v>
      </c>
      <c r="P110" t="s">
        <v>148</v>
      </c>
      <c r="Q110" s="784">
        <v>586872</v>
      </c>
    </row>
    <row r="111" spans="1:17">
      <c r="A111" t="s">
        <v>231</v>
      </c>
      <c r="B111" t="s">
        <v>131</v>
      </c>
      <c r="C111" t="s">
        <v>152</v>
      </c>
      <c r="D111" t="s">
        <v>146</v>
      </c>
      <c r="E111" s="784">
        <v>0</v>
      </c>
      <c r="F111" s="784">
        <v>0</v>
      </c>
      <c r="G111" s="784">
        <v>2549597</v>
      </c>
      <c r="H111" s="784">
        <v>2789976</v>
      </c>
      <c r="I111" s="784">
        <v>0</v>
      </c>
      <c r="J111" s="765" t="str">
        <f t="shared" si="6"/>
        <v/>
      </c>
      <c r="K111" s="765">
        <f t="shared" si="7"/>
        <v>1</v>
      </c>
      <c r="L111" s="765" t="str">
        <f t="shared" si="8"/>
        <v/>
      </c>
      <c r="M111" s="784"/>
      <c r="N111" t="s">
        <v>231</v>
      </c>
      <c r="O111" t="s">
        <v>131</v>
      </c>
      <c r="P111" t="s">
        <v>152</v>
      </c>
      <c r="Q111" s="784">
        <v>1000000</v>
      </c>
    </row>
    <row r="112" spans="1:17">
      <c r="A112" t="s">
        <v>232</v>
      </c>
      <c r="B112" t="s">
        <v>128</v>
      </c>
      <c r="C112" t="s">
        <v>148</v>
      </c>
      <c r="D112" t="s">
        <v>145</v>
      </c>
      <c r="E112" s="784">
        <v>58500000</v>
      </c>
      <c r="F112" s="784">
        <v>6978867.7999999998</v>
      </c>
      <c r="G112" s="784">
        <v>2650000</v>
      </c>
      <c r="H112" s="784">
        <v>2164350</v>
      </c>
      <c r="I112" s="784">
        <v>0</v>
      </c>
      <c r="J112" s="765" t="str">
        <f t="shared" si="6"/>
        <v/>
      </c>
      <c r="K112" s="765" t="str">
        <f t="shared" si="7"/>
        <v/>
      </c>
      <c r="L112" s="765">
        <f t="shared" si="8"/>
        <v>1</v>
      </c>
      <c r="M112" s="784"/>
      <c r="N112" t="s">
        <v>232</v>
      </c>
      <c r="O112" t="s">
        <v>128</v>
      </c>
      <c r="P112" t="s">
        <v>148</v>
      </c>
      <c r="Q112" s="784">
        <v>1100000</v>
      </c>
    </row>
    <row r="113" spans="1:17">
      <c r="A113" t="s">
        <v>233</v>
      </c>
      <c r="B113" t="s">
        <v>128</v>
      </c>
      <c r="C113" t="s">
        <v>148</v>
      </c>
      <c r="D113" t="s">
        <v>145</v>
      </c>
      <c r="E113" s="784">
        <v>4700000</v>
      </c>
      <c r="F113" s="784">
        <v>2823535</v>
      </c>
      <c r="G113" s="784">
        <v>621248</v>
      </c>
      <c r="H113" s="784">
        <v>1066214</v>
      </c>
      <c r="I113" s="784">
        <v>665180</v>
      </c>
      <c r="J113" s="765" t="str">
        <f t="shared" si="6"/>
        <v/>
      </c>
      <c r="K113" s="765" t="str">
        <f t="shared" si="7"/>
        <v/>
      </c>
      <c r="L113" s="765">
        <f t="shared" si="8"/>
        <v>1</v>
      </c>
      <c r="M113" s="784"/>
      <c r="N113" t="s">
        <v>233</v>
      </c>
      <c r="O113" t="s">
        <v>128</v>
      </c>
      <c r="P113" t="s">
        <v>148</v>
      </c>
      <c r="Q113" s="784">
        <v>1066214</v>
      </c>
    </row>
    <row r="114" spans="1:17">
      <c r="A114" t="s">
        <v>234</v>
      </c>
      <c r="B114" t="s">
        <v>126</v>
      </c>
      <c r="C114" t="s">
        <v>152</v>
      </c>
      <c r="D114" t="s">
        <v>146</v>
      </c>
      <c r="E114" s="784">
        <v>0</v>
      </c>
      <c r="F114" s="784">
        <v>0</v>
      </c>
      <c r="G114" s="784">
        <v>12478586</v>
      </c>
      <c r="H114" s="784">
        <v>0</v>
      </c>
      <c r="I114" s="784">
        <v>272222</v>
      </c>
      <c r="J114" s="765" t="str">
        <f t="shared" si="6"/>
        <v/>
      </c>
      <c r="K114" s="765">
        <f t="shared" si="7"/>
        <v>1</v>
      </c>
      <c r="L114" s="765" t="str">
        <f t="shared" si="8"/>
        <v/>
      </c>
      <c r="M114" s="784"/>
      <c r="N114" t="s">
        <v>234</v>
      </c>
      <c r="O114" t="s">
        <v>126</v>
      </c>
      <c r="P114" t="s">
        <v>152</v>
      </c>
      <c r="Q114" s="784">
        <v>0</v>
      </c>
    </row>
    <row r="115" spans="1:17">
      <c r="A115" t="s">
        <v>235</v>
      </c>
      <c r="B115" t="s">
        <v>132</v>
      </c>
      <c r="C115" t="s">
        <v>152</v>
      </c>
      <c r="D115" t="s">
        <v>145</v>
      </c>
      <c r="E115" s="784">
        <v>0</v>
      </c>
      <c r="F115" s="784">
        <v>1125734.3333333333</v>
      </c>
      <c r="G115" s="784">
        <v>1956222</v>
      </c>
      <c r="H115" s="784">
        <v>77341</v>
      </c>
      <c r="I115" s="784">
        <v>0</v>
      </c>
      <c r="J115" s="765" t="str">
        <f t="shared" si="6"/>
        <v/>
      </c>
      <c r="K115" s="765">
        <f t="shared" si="7"/>
        <v>1</v>
      </c>
      <c r="L115" s="765" t="str">
        <f t="shared" si="8"/>
        <v/>
      </c>
      <c r="M115" s="784"/>
      <c r="N115" t="s">
        <v>235</v>
      </c>
      <c r="O115" t="s">
        <v>132</v>
      </c>
      <c r="P115" t="s">
        <v>152</v>
      </c>
      <c r="Q115" s="784">
        <v>77341</v>
      </c>
    </row>
    <row r="116" spans="1:17">
      <c r="A116" t="s">
        <v>236</v>
      </c>
      <c r="B116" t="s">
        <v>129</v>
      </c>
      <c r="C116" t="s">
        <v>148</v>
      </c>
      <c r="D116" t="s">
        <v>145</v>
      </c>
      <c r="E116" s="784">
        <v>8000000</v>
      </c>
      <c r="F116" s="784">
        <v>6569389</v>
      </c>
      <c r="G116" s="784">
        <v>4025390</v>
      </c>
      <c r="H116" s="784">
        <v>2913424</v>
      </c>
      <c r="I116" s="784">
        <v>0</v>
      </c>
      <c r="J116" s="765" t="str">
        <f t="shared" si="6"/>
        <v/>
      </c>
      <c r="K116" s="765" t="str">
        <f t="shared" si="7"/>
        <v/>
      </c>
      <c r="L116" s="765">
        <f t="shared" si="8"/>
        <v>1</v>
      </c>
      <c r="M116" s="784"/>
      <c r="N116" t="s">
        <v>236</v>
      </c>
      <c r="O116" t="s">
        <v>129</v>
      </c>
      <c r="P116" t="s">
        <v>148</v>
      </c>
      <c r="Q116" s="784">
        <v>1802789</v>
      </c>
    </row>
    <row r="117" spans="1:17">
      <c r="A117" t="s">
        <v>237</v>
      </c>
      <c r="B117" t="s">
        <v>126</v>
      </c>
      <c r="C117" t="s">
        <v>152</v>
      </c>
      <c r="D117" t="s">
        <v>145</v>
      </c>
      <c r="E117" s="784">
        <v>0</v>
      </c>
      <c r="F117" s="784">
        <v>129000</v>
      </c>
      <c r="G117" s="784">
        <v>0</v>
      </c>
      <c r="H117" s="784">
        <v>0</v>
      </c>
      <c r="I117" s="784">
        <v>0</v>
      </c>
      <c r="J117" s="765" t="str">
        <f t="shared" si="6"/>
        <v/>
      </c>
      <c r="K117" s="765">
        <f t="shared" si="7"/>
        <v>1</v>
      </c>
      <c r="L117" s="765" t="str">
        <f t="shared" si="8"/>
        <v/>
      </c>
      <c r="M117" s="784"/>
      <c r="N117" t="s">
        <v>237</v>
      </c>
      <c r="O117" t="s">
        <v>126</v>
      </c>
      <c r="P117" t="s">
        <v>152</v>
      </c>
      <c r="Q117" s="784">
        <v>0</v>
      </c>
    </row>
    <row r="118" spans="1:17">
      <c r="A118" t="s">
        <v>238</v>
      </c>
      <c r="B118" t="s">
        <v>129</v>
      </c>
      <c r="C118" t="s">
        <v>150</v>
      </c>
      <c r="D118" t="s">
        <v>145</v>
      </c>
      <c r="E118" s="784">
        <v>16399999.999999998</v>
      </c>
      <c r="F118" s="784">
        <v>1663938.52</v>
      </c>
      <c r="G118" s="784">
        <v>1689481</v>
      </c>
      <c r="H118" s="784">
        <v>535076</v>
      </c>
      <c r="I118" s="784">
        <v>0</v>
      </c>
      <c r="J118" s="765" t="str">
        <f t="shared" si="6"/>
        <v/>
      </c>
      <c r="K118" s="765" t="str">
        <f t="shared" si="7"/>
        <v/>
      </c>
      <c r="L118" s="765">
        <f t="shared" si="8"/>
        <v>1</v>
      </c>
      <c r="M118" s="784"/>
      <c r="N118" t="s">
        <v>238</v>
      </c>
      <c r="O118" t="s">
        <v>129</v>
      </c>
      <c r="P118" t="s">
        <v>150</v>
      </c>
      <c r="Q118" s="784">
        <v>535076</v>
      </c>
    </row>
    <row r="119" spans="1:17">
      <c r="A119" t="s">
        <v>239</v>
      </c>
      <c r="B119" t="s">
        <v>128</v>
      </c>
      <c r="C119" t="s">
        <v>152</v>
      </c>
      <c r="D119" t="s">
        <v>146</v>
      </c>
      <c r="E119" s="784">
        <v>0</v>
      </c>
      <c r="F119" s="784">
        <v>0</v>
      </c>
      <c r="G119" s="784">
        <v>250000</v>
      </c>
      <c r="H119" s="784">
        <v>0</v>
      </c>
      <c r="I119" s="784">
        <v>0</v>
      </c>
      <c r="J119" s="765" t="str">
        <f t="shared" si="6"/>
        <v/>
      </c>
      <c r="K119" s="765">
        <f t="shared" si="7"/>
        <v>1</v>
      </c>
      <c r="L119" s="765" t="str">
        <f t="shared" si="8"/>
        <v/>
      </c>
      <c r="M119" s="784"/>
      <c r="N119" t="s">
        <v>239</v>
      </c>
      <c r="O119" t="s">
        <v>128</v>
      </c>
      <c r="P119" t="s">
        <v>152</v>
      </c>
      <c r="Q119" s="784">
        <v>0</v>
      </c>
    </row>
    <row r="120" spans="1:17">
      <c r="A120" t="s">
        <v>240</v>
      </c>
      <c r="B120" t="s">
        <v>130</v>
      </c>
      <c r="C120" t="s">
        <v>152</v>
      </c>
      <c r="D120" t="s">
        <v>146</v>
      </c>
      <c r="E120" s="784">
        <v>0</v>
      </c>
      <c r="F120" s="784">
        <v>0</v>
      </c>
      <c r="G120" s="784">
        <v>0</v>
      </c>
      <c r="H120" s="784">
        <v>0</v>
      </c>
      <c r="I120" s="784">
        <v>0</v>
      </c>
      <c r="J120" s="765" t="str">
        <f t="shared" si="6"/>
        <v/>
      </c>
      <c r="K120" s="765" t="str">
        <f t="shared" si="7"/>
        <v/>
      </c>
      <c r="L120" s="765" t="str">
        <f t="shared" si="8"/>
        <v/>
      </c>
      <c r="M120" s="784"/>
      <c r="N120" t="s">
        <v>240</v>
      </c>
      <c r="O120" t="s">
        <v>130</v>
      </c>
      <c r="P120" t="s">
        <v>152</v>
      </c>
      <c r="Q120" s="784">
        <v>0</v>
      </c>
    </row>
    <row r="121" spans="1:17">
      <c r="A121" t="s">
        <v>241</v>
      </c>
      <c r="B121" t="s">
        <v>126</v>
      </c>
      <c r="C121" t="s">
        <v>150</v>
      </c>
      <c r="D121" t="s">
        <v>145</v>
      </c>
      <c r="E121" s="784">
        <v>0</v>
      </c>
      <c r="F121" s="784">
        <v>482000</v>
      </c>
      <c r="G121" s="784">
        <v>1867534</v>
      </c>
      <c r="H121" s="784">
        <v>0</v>
      </c>
      <c r="I121" s="784">
        <v>0</v>
      </c>
      <c r="J121" s="765" t="str">
        <f t="shared" si="6"/>
        <v/>
      </c>
      <c r="K121" s="765">
        <f t="shared" si="7"/>
        <v>1</v>
      </c>
      <c r="L121" s="765" t="str">
        <f t="shared" si="8"/>
        <v/>
      </c>
      <c r="M121" s="784"/>
      <c r="N121" t="s">
        <v>241</v>
      </c>
      <c r="O121" t="s">
        <v>126</v>
      </c>
      <c r="P121" t="s">
        <v>150</v>
      </c>
      <c r="Q121" s="784">
        <v>0</v>
      </c>
    </row>
    <row r="122" spans="1:17">
      <c r="A122" t="s">
        <v>242</v>
      </c>
      <c r="B122" t="s">
        <v>127</v>
      </c>
      <c r="C122" t="s">
        <v>152</v>
      </c>
      <c r="D122" t="s">
        <v>145</v>
      </c>
      <c r="E122" s="784">
        <v>9800000</v>
      </c>
      <c r="F122" s="784">
        <v>961193.14999999991</v>
      </c>
      <c r="G122" s="784">
        <v>1900000</v>
      </c>
      <c r="H122" s="784">
        <v>672500</v>
      </c>
      <c r="I122" s="784">
        <v>0</v>
      </c>
      <c r="J122" s="765" t="str">
        <f t="shared" si="6"/>
        <v/>
      </c>
      <c r="K122" s="765" t="str">
        <f t="shared" si="7"/>
        <v/>
      </c>
      <c r="L122" s="765">
        <f t="shared" si="8"/>
        <v>1</v>
      </c>
      <c r="M122" s="784"/>
      <c r="N122" t="s">
        <v>242</v>
      </c>
      <c r="O122" t="s">
        <v>127</v>
      </c>
      <c r="P122" t="s">
        <v>152</v>
      </c>
      <c r="Q122" s="784">
        <v>672500</v>
      </c>
    </row>
    <row r="123" spans="1:17">
      <c r="A123" t="s">
        <v>243</v>
      </c>
      <c r="B123" t="s">
        <v>126</v>
      </c>
      <c r="C123" t="s">
        <v>150</v>
      </c>
      <c r="D123" t="s">
        <v>145</v>
      </c>
      <c r="E123" s="784">
        <v>25500000</v>
      </c>
      <c r="F123" s="784">
        <v>680067</v>
      </c>
      <c r="G123" s="784">
        <v>11611111</v>
      </c>
      <c r="H123" s="784">
        <v>0</v>
      </c>
      <c r="I123" s="784">
        <v>99000</v>
      </c>
      <c r="J123" s="765" t="str">
        <f t="shared" si="6"/>
        <v/>
      </c>
      <c r="K123" s="765" t="str">
        <f t="shared" si="7"/>
        <v/>
      </c>
      <c r="L123" s="765">
        <f t="shared" si="8"/>
        <v>1</v>
      </c>
      <c r="M123" s="784"/>
      <c r="N123" t="s">
        <v>243</v>
      </c>
      <c r="O123" t="s">
        <v>126</v>
      </c>
      <c r="P123" t="s">
        <v>150</v>
      </c>
      <c r="Q123" s="784">
        <v>0</v>
      </c>
    </row>
    <row r="124" spans="1:17">
      <c r="A124" t="s">
        <v>244</v>
      </c>
      <c r="B124" t="s">
        <v>127</v>
      </c>
      <c r="C124" t="s">
        <v>152</v>
      </c>
      <c r="D124" t="s">
        <v>146</v>
      </c>
      <c r="E124" s="784">
        <v>0</v>
      </c>
      <c r="F124" s="784">
        <v>0</v>
      </c>
      <c r="G124" s="784">
        <v>800000</v>
      </c>
      <c r="H124" s="784">
        <v>100000</v>
      </c>
      <c r="I124" s="784">
        <v>0</v>
      </c>
      <c r="J124" s="765" t="str">
        <f t="shared" si="6"/>
        <v/>
      </c>
      <c r="K124" s="765">
        <f t="shared" si="7"/>
        <v>1</v>
      </c>
      <c r="L124" s="765" t="str">
        <f t="shared" si="8"/>
        <v/>
      </c>
      <c r="M124" s="784"/>
      <c r="N124" t="s">
        <v>244</v>
      </c>
      <c r="O124" t="s">
        <v>127</v>
      </c>
      <c r="P124" t="s">
        <v>152</v>
      </c>
      <c r="Q124" s="784">
        <v>100000</v>
      </c>
    </row>
    <row r="125" spans="1:17">
      <c r="A125" t="s">
        <v>245</v>
      </c>
      <c r="B125" t="s">
        <v>131</v>
      </c>
      <c r="C125" t="s">
        <v>150</v>
      </c>
      <c r="D125" t="s">
        <v>145</v>
      </c>
      <c r="E125" s="784">
        <v>0</v>
      </c>
      <c r="F125" s="784">
        <v>236000</v>
      </c>
      <c r="G125" s="784">
        <v>3750000</v>
      </c>
      <c r="H125" s="784">
        <v>200000</v>
      </c>
      <c r="I125" s="784">
        <v>0</v>
      </c>
      <c r="J125" s="765" t="str">
        <f t="shared" si="6"/>
        <v/>
      </c>
      <c r="K125" s="765">
        <f t="shared" si="7"/>
        <v>1</v>
      </c>
      <c r="L125" s="765" t="str">
        <f t="shared" si="8"/>
        <v/>
      </c>
      <c r="M125" s="784"/>
      <c r="N125" t="s">
        <v>245</v>
      </c>
      <c r="O125" t="s">
        <v>131</v>
      </c>
      <c r="P125" t="s">
        <v>150</v>
      </c>
      <c r="Q125" s="784">
        <v>200000</v>
      </c>
    </row>
    <row r="126" spans="1:17">
      <c r="A126" t="s">
        <v>246</v>
      </c>
      <c r="B126" t="s">
        <v>128</v>
      </c>
      <c r="C126" t="s">
        <v>148</v>
      </c>
      <c r="D126" t="s">
        <v>145</v>
      </c>
      <c r="E126" s="784">
        <v>25000000</v>
      </c>
      <c r="F126" s="784">
        <v>6713673.0229629632</v>
      </c>
      <c r="G126" s="784">
        <v>4119732</v>
      </c>
      <c r="H126" s="784">
        <v>860469</v>
      </c>
      <c r="I126" s="784">
        <v>1328000</v>
      </c>
      <c r="J126" s="765" t="str">
        <f t="shared" si="6"/>
        <v/>
      </c>
      <c r="K126" s="765" t="str">
        <f t="shared" si="7"/>
        <v/>
      </c>
      <c r="L126" s="765">
        <f t="shared" si="8"/>
        <v>1</v>
      </c>
      <c r="M126" s="784"/>
      <c r="N126" t="s">
        <v>246</v>
      </c>
      <c r="O126" t="s">
        <v>128</v>
      </c>
      <c r="P126" t="s">
        <v>148</v>
      </c>
      <c r="Q126" s="784">
        <v>860469</v>
      </c>
    </row>
    <row r="127" spans="1:17">
      <c r="A127" t="s">
        <v>247</v>
      </c>
      <c r="B127" t="s">
        <v>126</v>
      </c>
      <c r="C127" t="s">
        <v>150</v>
      </c>
      <c r="D127" t="s">
        <v>145</v>
      </c>
      <c r="E127" s="784">
        <v>0</v>
      </c>
      <c r="F127" s="784">
        <v>1431498</v>
      </c>
      <c r="G127" s="784">
        <v>7279859</v>
      </c>
      <c r="H127" s="784">
        <v>1240000</v>
      </c>
      <c r="I127" s="784">
        <v>0</v>
      </c>
      <c r="J127" s="765" t="str">
        <f t="shared" si="6"/>
        <v/>
      </c>
      <c r="K127" s="765">
        <f t="shared" si="7"/>
        <v>1</v>
      </c>
      <c r="L127" s="765" t="str">
        <f t="shared" si="8"/>
        <v/>
      </c>
      <c r="M127" s="784"/>
      <c r="N127" t="s">
        <v>247</v>
      </c>
      <c r="O127" t="s">
        <v>126</v>
      </c>
      <c r="P127" t="s">
        <v>150</v>
      </c>
      <c r="Q127" s="784">
        <v>1240000</v>
      </c>
    </row>
    <row r="128" spans="1:17">
      <c r="A128" t="s">
        <v>248</v>
      </c>
      <c r="B128" t="s">
        <v>128</v>
      </c>
      <c r="C128" t="s">
        <v>152</v>
      </c>
      <c r="D128" t="s">
        <v>146</v>
      </c>
      <c r="E128" s="784">
        <v>0</v>
      </c>
      <c r="F128" s="784">
        <v>0</v>
      </c>
      <c r="G128" s="784">
        <v>3000000</v>
      </c>
      <c r="H128" s="784">
        <v>1642000</v>
      </c>
      <c r="I128" s="784">
        <v>0</v>
      </c>
      <c r="J128" s="765" t="str">
        <f t="shared" si="6"/>
        <v/>
      </c>
      <c r="K128" s="765">
        <f t="shared" si="7"/>
        <v>1</v>
      </c>
      <c r="L128" s="765" t="str">
        <f t="shared" si="8"/>
        <v/>
      </c>
      <c r="M128" s="784"/>
      <c r="N128" t="s">
        <v>248</v>
      </c>
      <c r="O128" t="s">
        <v>128</v>
      </c>
      <c r="P128" t="s">
        <v>152</v>
      </c>
      <c r="Q128" s="784">
        <v>1642000</v>
      </c>
    </row>
    <row r="129" spans="1:17">
      <c r="A129" t="s">
        <v>250</v>
      </c>
      <c r="B129" t="s">
        <v>132</v>
      </c>
      <c r="C129" t="s">
        <v>150</v>
      </c>
      <c r="D129" t="s">
        <v>145</v>
      </c>
      <c r="E129" s="784">
        <v>10900000</v>
      </c>
      <c r="F129" s="784">
        <v>3913927.1851851852</v>
      </c>
      <c r="G129" s="784">
        <v>6156264</v>
      </c>
      <c r="H129" s="784">
        <v>1889000</v>
      </c>
      <c r="I129" s="784">
        <v>196920</v>
      </c>
      <c r="J129" s="765" t="str">
        <f t="shared" si="6"/>
        <v/>
      </c>
      <c r="K129" s="765" t="str">
        <f t="shared" si="7"/>
        <v/>
      </c>
      <c r="L129" s="765">
        <f t="shared" si="8"/>
        <v>1</v>
      </c>
      <c r="M129" s="784"/>
      <c r="N129" t="s">
        <v>250</v>
      </c>
      <c r="O129" t="s">
        <v>132</v>
      </c>
      <c r="P129" t="s">
        <v>150</v>
      </c>
      <c r="Q129" s="784">
        <v>1889000</v>
      </c>
    </row>
    <row r="130" spans="1:17">
      <c r="A130" t="s">
        <v>251</v>
      </c>
      <c r="B130" t="s">
        <v>130</v>
      </c>
      <c r="C130" t="s">
        <v>150</v>
      </c>
      <c r="D130" t="s">
        <v>145</v>
      </c>
      <c r="E130" s="784">
        <v>0</v>
      </c>
      <c r="F130" s="784">
        <v>1832786.3</v>
      </c>
      <c r="G130" s="784">
        <v>2817807</v>
      </c>
      <c r="H130" s="784">
        <v>800000</v>
      </c>
      <c r="I130" s="784">
        <v>0</v>
      </c>
      <c r="J130" s="765" t="str">
        <f t="shared" si="6"/>
        <v/>
      </c>
      <c r="K130" s="765">
        <f t="shared" si="7"/>
        <v>1</v>
      </c>
      <c r="L130" s="765" t="str">
        <f t="shared" si="8"/>
        <v/>
      </c>
      <c r="M130" s="784"/>
      <c r="N130" t="s">
        <v>251</v>
      </c>
      <c r="O130" t="s">
        <v>130</v>
      </c>
      <c r="P130" t="s">
        <v>150</v>
      </c>
      <c r="Q130" s="784">
        <v>800000</v>
      </c>
    </row>
    <row r="131" spans="1:17">
      <c r="A131" t="s">
        <v>252</v>
      </c>
      <c r="B131" t="s">
        <v>129</v>
      </c>
      <c r="C131" t="s">
        <v>148</v>
      </c>
      <c r="D131" t="s">
        <v>145</v>
      </c>
      <c r="E131" s="784">
        <v>9400000</v>
      </c>
      <c r="F131" s="784">
        <v>6122050.4500000002</v>
      </c>
      <c r="G131" s="784">
        <v>4750000</v>
      </c>
      <c r="H131" s="784">
        <v>1345921</v>
      </c>
      <c r="I131" s="784">
        <v>0</v>
      </c>
      <c r="J131" s="765" t="str">
        <f t="shared" si="6"/>
        <v/>
      </c>
      <c r="K131" s="765" t="str">
        <f t="shared" si="7"/>
        <v/>
      </c>
      <c r="L131" s="765">
        <f t="shared" si="8"/>
        <v>1</v>
      </c>
      <c r="M131" s="784"/>
      <c r="N131" t="s">
        <v>252</v>
      </c>
      <c r="O131" t="s">
        <v>129</v>
      </c>
      <c r="P131" t="s">
        <v>148</v>
      </c>
      <c r="Q131" s="784">
        <v>1345921</v>
      </c>
    </row>
    <row r="132" spans="1:17">
      <c r="A132" t="s">
        <v>253</v>
      </c>
      <c r="B132" t="s">
        <v>129</v>
      </c>
      <c r="C132" t="s">
        <v>150</v>
      </c>
      <c r="D132" t="s">
        <v>145</v>
      </c>
      <c r="E132" s="784">
        <v>76000000</v>
      </c>
      <c r="F132" s="784">
        <v>19595011</v>
      </c>
      <c r="G132" s="784">
        <v>3705241.3</v>
      </c>
      <c r="H132" s="784">
        <v>6730545</v>
      </c>
      <c r="I132" s="784">
        <v>1756296</v>
      </c>
      <c r="J132" s="765" t="str">
        <f t="shared" si="6"/>
        <v/>
      </c>
      <c r="K132" s="765" t="str">
        <f t="shared" si="7"/>
        <v/>
      </c>
      <c r="L132" s="765">
        <f t="shared" si="8"/>
        <v>1</v>
      </c>
      <c r="M132" s="784"/>
      <c r="N132" t="s">
        <v>253</v>
      </c>
      <c r="O132" t="s">
        <v>129</v>
      </c>
      <c r="P132" t="s">
        <v>150</v>
      </c>
      <c r="Q132" s="784">
        <v>5036546</v>
      </c>
    </row>
    <row r="133" spans="1:17">
      <c r="A133" t="s">
        <v>254</v>
      </c>
      <c r="B133" t="s">
        <v>127</v>
      </c>
      <c r="C133" t="s">
        <v>152</v>
      </c>
      <c r="D133" t="s">
        <v>146</v>
      </c>
      <c r="E133" s="784">
        <v>500000</v>
      </c>
      <c r="F133" s="784">
        <v>0</v>
      </c>
      <c r="G133" s="784">
        <v>1000000</v>
      </c>
      <c r="H133" s="784">
        <v>100000</v>
      </c>
      <c r="I133" s="784">
        <v>0</v>
      </c>
      <c r="J133" s="765" t="str">
        <f t="shared" si="6"/>
        <v/>
      </c>
      <c r="K133" s="765" t="str">
        <f t="shared" si="7"/>
        <v/>
      </c>
      <c r="L133" s="765">
        <f t="shared" si="8"/>
        <v>1</v>
      </c>
      <c r="M133" s="784"/>
      <c r="N133" t="s">
        <v>254</v>
      </c>
      <c r="O133" t="s">
        <v>127</v>
      </c>
      <c r="P133" t="s">
        <v>152</v>
      </c>
      <c r="Q133" s="784">
        <v>100000</v>
      </c>
    </row>
    <row r="134" spans="1:17">
      <c r="A134" t="s">
        <v>255</v>
      </c>
      <c r="B134" t="s">
        <v>132</v>
      </c>
      <c r="C134" t="s">
        <v>150</v>
      </c>
      <c r="D134" t="s">
        <v>145</v>
      </c>
      <c r="E134" s="784">
        <v>0</v>
      </c>
      <c r="F134" s="784">
        <v>19364556</v>
      </c>
      <c r="G134" s="784">
        <v>8606979</v>
      </c>
      <c r="H134" s="784">
        <v>3000000</v>
      </c>
      <c r="I134" s="784">
        <v>847000</v>
      </c>
      <c r="J134" s="765" t="str">
        <f t="shared" si="6"/>
        <v/>
      </c>
      <c r="K134" s="765">
        <f t="shared" si="7"/>
        <v>1</v>
      </c>
      <c r="L134" s="765" t="str">
        <f t="shared" si="8"/>
        <v/>
      </c>
      <c r="M134" s="784"/>
      <c r="N134" t="s">
        <v>255</v>
      </c>
      <c r="O134" t="s">
        <v>132</v>
      </c>
      <c r="P134" t="s">
        <v>150</v>
      </c>
      <c r="Q134" s="784">
        <v>3000000</v>
      </c>
    </row>
    <row r="135" spans="1:17">
      <c r="A135" t="s">
        <v>257</v>
      </c>
      <c r="B135" t="s">
        <v>130</v>
      </c>
      <c r="C135" t="s">
        <v>152</v>
      </c>
      <c r="D135" t="s">
        <v>146</v>
      </c>
      <c r="E135" s="784">
        <v>1700000</v>
      </c>
      <c r="F135" s="784">
        <v>0</v>
      </c>
      <c r="G135" s="784">
        <v>200000</v>
      </c>
      <c r="H135" s="784">
        <v>0</v>
      </c>
      <c r="I135" s="784">
        <v>0</v>
      </c>
      <c r="J135" s="765" t="str">
        <f t="shared" si="6"/>
        <v/>
      </c>
      <c r="K135" s="765" t="str">
        <f t="shared" si="7"/>
        <v/>
      </c>
      <c r="L135" s="765">
        <f t="shared" si="8"/>
        <v>1</v>
      </c>
      <c r="M135" s="784"/>
      <c r="N135" t="s">
        <v>257</v>
      </c>
      <c r="O135" t="s">
        <v>130</v>
      </c>
      <c r="P135" t="s">
        <v>152</v>
      </c>
      <c r="Q135" s="784">
        <v>0</v>
      </c>
    </row>
    <row r="136" spans="1:17">
      <c r="A136" t="s">
        <v>258</v>
      </c>
      <c r="B136" t="s">
        <v>126</v>
      </c>
      <c r="C136" t="s">
        <v>150</v>
      </c>
      <c r="D136" t="s">
        <v>145</v>
      </c>
      <c r="E136" s="784">
        <v>10000000</v>
      </c>
      <c r="F136" s="784">
        <v>3668268</v>
      </c>
      <c r="G136" s="784">
        <v>14176407</v>
      </c>
      <c r="H136" s="784">
        <v>400000</v>
      </c>
      <c r="I136" s="784">
        <v>5067038</v>
      </c>
      <c r="J136" s="765" t="str">
        <f t="shared" si="6"/>
        <v/>
      </c>
      <c r="K136" s="765" t="str">
        <f t="shared" si="7"/>
        <v/>
      </c>
      <c r="L136" s="765">
        <f t="shared" si="8"/>
        <v>1</v>
      </c>
      <c r="M136" s="784"/>
      <c r="N136" t="s">
        <v>258</v>
      </c>
      <c r="O136" t="s">
        <v>126</v>
      </c>
      <c r="P136" t="s">
        <v>150</v>
      </c>
      <c r="Q136" s="784">
        <v>400000</v>
      </c>
    </row>
    <row r="137" spans="1:17">
      <c r="A137" t="s">
        <v>259</v>
      </c>
      <c r="B137" t="s">
        <v>130</v>
      </c>
      <c r="C137" t="s">
        <v>152</v>
      </c>
      <c r="D137" t="s">
        <v>146</v>
      </c>
      <c r="E137" s="784">
        <v>0</v>
      </c>
      <c r="F137" s="784">
        <v>0</v>
      </c>
      <c r="G137" s="784">
        <v>4413888</v>
      </c>
      <c r="H137" s="784">
        <v>200000</v>
      </c>
      <c r="I137" s="784">
        <v>0</v>
      </c>
      <c r="J137" s="765" t="str">
        <f t="shared" si="6"/>
        <v/>
      </c>
      <c r="K137" s="765">
        <f t="shared" si="7"/>
        <v>1</v>
      </c>
      <c r="L137" s="765" t="str">
        <f t="shared" si="8"/>
        <v/>
      </c>
      <c r="M137" s="784"/>
      <c r="N137" t="s">
        <v>259</v>
      </c>
      <c r="O137" t="s">
        <v>130</v>
      </c>
      <c r="P137" t="s">
        <v>152</v>
      </c>
      <c r="Q137" s="784">
        <v>200000</v>
      </c>
    </row>
    <row r="138" spans="1:17">
      <c r="A138" t="s">
        <v>260</v>
      </c>
      <c r="B138" t="s">
        <v>130</v>
      </c>
      <c r="C138" t="s">
        <v>152</v>
      </c>
      <c r="D138" t="s">
        <v>146</v>
      </c>
      <c r="E138" s="784">
        <v>500000000</v>
      </c>
      <c r="F138" s="784">
        <v>0</v>
      </c>
      <c r="G138" s="784">
        <v>6713840</v>
      </c>
      <c r="H138" s="784">
        <v>802143</v>
      </c>
      <c r="I138" s="784">
        <v>425647</v>
      </c>
      <c r="J138" s="765" t="str">
        <f t="shared" si="6"/>
        <v/>
      </c>
      <c r="K138" s="765" t="str">
        <f t="shared" si="7"/>
        <v/>
      </c>
      <c r="L138" s="765">
        <f t="shared" si="8"/>
        <v>1</v>
      </c>
      <c r="M138" s="784"/>
      <c r="N138" t="s">
        <v>260</v>
      </c>
      <c r="O138" t="s">
        <v>130</v>
      </c>
      <c r="P138" t="s">
        <v>152</v>
      </c>
      <c r="Q138" s="784">
        <v>802143</v>
      </c>
    </row>
    <row r="139" spans="1:17">
      <c r="A139" t="s">
        <v>261</v>
      </c>
      <c r="B139" t="s">
        <v>126</v>
      </c>
      <c r="C139" t="s">
        <v>150</v>
      </c>
      <c r="D139" t="s">
        <v>145</v>
      </c>
      <c r="E139" s="784">
        <v>27000000</v>
      </c>
      <c r="F139" s="784">
        <v>10983983.699999999</v>
      </c>
      <c r="G139" s="784">
        <v>8794059</v>
      </c>
      <c r="H139" s="784">
        <v>100000</v>
      </c>
      <c r="I139" s="784">
        <v>2930663</v>
      </c>
      <c r="J139" s="765" t="str">
        <f t="shared" si="6"/>
        <v/>
      </c>
      <c r="K139" s="765" t="str">
        <f t="shared" si="7"/>
        <v/>
      </c>
      <c r="L139" s="765">
        <f t="shared" si="8"/>
        <v>1</v>
      </c>
      <c r="M139" s="784"/>
      <c r="N139" t="s">
        <v>261</v>
      </c>
      <c r="O139" t="s">
        <v>126</v>
      </c>
      <c r="P139" t="s">
        <v>150</v>
      </c>
      <c r="Q139" s="784">
        <v>100000</v>
      </c>
    </row>
    <row r="140" spans="1:17">
      <c r="A140" t="s">
        <v>151</v>
      </c>
      <c r="B140" t="s">
        <v>127</v>
      </c>
      <c r="C140" t="s">
        <v>152</v>
      </c>
      <c r="D140" t="s">
        <v>146</v>
      </c>
      <c r="E140" s="784">
        <v>0</v>
      </c>
      <c r="F140" s="784">
        <v>0</v>
      </c>
      <c r="G140" s="784">
        <v>2400000</v>
      </c>
      <c r="H140" s="784">
        <v>50000</v>
      </c>
      <c r="I140" s="784">
        <v>0</v>
      </c>
      <c r="J140" s="765" t="str">
        <f t="shared" si="6"/>
        <v/>
      </c>
      <c r="K140" s="765">
        <f t="shared" si="7"/>
        <v>1</v>
      </c>
      <c r="L140" s="765" t="str">
        <f t="shared" si="8"/>
        <v/>
      </c>
      <c r="M140" s="784"/>
      <c r="N140" t="s">
        <v>151</v>
      </c>
      <c r="O140" t="s">
        <v>127</v>
      </c>
      <c r="P140" t="s">
        <v>152</v>
      </c>
      <c r="Q140" s="784">
        <v>50000</v>
      </c>
    </row>
    <row r="141" spans="1:17">
      <c r="A141" t="s">
        <v>264</v>
      </c>
      <c r="B141" t="s">
        <v>128</v>
      </c>
      <c r="C141" t="s">
        <v>148</v>
      </c>
      <c r="D141" t="s">
        <v>145</v>
      </c>
      <c r="E141" s="784">
        <v>7400000</v>
      </c>
      <c r="F141" s="784">
        <v>1796002.888888889</v>
      </c>
      <c r="G141" s="784">
        <v>1830000</v>
      </c>
      <c r="H141" s="784">
        <v>374000</v>
      </c>
      <c r="I141" s="784">
        <v>0</v>
      </c>
      <c r="J141" s="765" t="str">
        <f t="shared" si="6"/>
        <v/>
      </c>
      <c r="K141" s="765" t="str">
        <f t="shared" si="7"/>
        <v/>
      </c>
      <c r="L141" s="765">
        <f t="shared" si="8"/>
        <v>1</v>
      </c>
      <c r="M141" s="784"/>
      <c r="N141" t="s">
        <v>264</v>
      </c>
      <c r="O141" t="s">
        <v>128</v>
      </c>
      <c r="P141" t="s">
        <v>148</v>
      </c>
      <c r="Q141" s="784">
        <v>374000</v>
      </c>
    </row>
    <row r="142" spans="1:17">
      <c r="A142" t="s">
        <v>265</v>
      </c>
      <c r="B142" t="s">
        <v>126</v>
      </c>
      <c r="C142" t="s">
        <v>150</v>
      </c>
      <c r="D142" t="s">
        <v>145</v>
      </c>
      <c r="E142" s="784">
        <v>3160000</v>
      </c>
      <c r="F142" s="784">
        <v>75000</v>
      </c>
      <c r="G142" s="784">
        <v>151695</v>
      </c>
      <c r="H142" s="784">
        <v>0</v>
      </c>
      <c r="I142" s="784">
        <v>0</v>
      </c>
      <c r="J142" s="765" t="str">
        <f t="shared" si="6"/>
        <v/>
      </c>
      <c r="K142" s="765" t="str">
        <f t="shared" si="7"/>
        <v/>
      </c>
      <c r="L142" s="765">
        <f t="shared" si="8"/>
        <v>1</v>
      </c>
      <c r="M142" s="784"/>
      <c r="N142" t="s">
        <v>265</v>
      </c>
      <c r="O142" t="s">
        <v>126</v>
      </c>
      <c r="P142" t="s">
        <v>150</v>
      </c>
      <c r="Q142" s="784">
        <v>0</v>
      </c>
    </row>
    <row r="143" spans="1:17">
      <c r="A143" t="s">
        <v>266</v>
      </c>
      <c r="B143" t="s">
        <v>129</v>
      </c>
      <c r="C143" t="s">
        <v>150</v>
      </c>
      <c r="D143" t="s">
        <v>145</v>
      </c>
      <c r="E143" s="784">
        <v>1800000</v>
      </c>
      <c r="F143" s="784">
        <v>1478352</v>
      </c>
      <c r="G143" s="784">
        <v>200000</v>
      </c>
      <c r="H143" s="784">
        <v>0</v>
      </c>
      <c r="I143" s="784">
        <v>0</v>
      </c>
      <c r="J143" s="765" t="str">
        <f t="shared" si="6"/>
        <v/>
      </c>
      <c r="K143" s="765" t="str">
        <f t="shared" si="7"/>
        <v/>
      </c>
      <c r="L143" s="765">
        <f t="shared" si="8"/>
        <v>1</v>
      </c>
      <c r="M143" s="784"/>
      <c r="N143" t="s">
        <v>266</v>
      </c>
      <c r="O143" t="s">
        <v>129</v>
      </c>
      <c r="P143" t="s">
        <v>150</v>
      </c>
      <c r="Q143" s="784">
        <v>0</v>
      </c>
    </row>
    <row r="144" spans="1:17">
      <c r="A144" t="s">
        <v>267</v>
      </c>
      <c r="B144" t="s">
        <v>129</v>
      </c>
      <c r="C144" t="s">
        <v>150</v>
      </c>
      <c r="D144" t="s">
        <v>145</v>
      </c>
      <c r="E144" s="784">
        <v>54900000</v>
      </c>
      <c r="F144" s="784">
        <v>2426474.2962962962</v>
      </c>
      <c r="G144" s="784">
        <v>3091000</v>
      </c>
      <c r="H144" s="784">
        <v>779275</v>
      </c>
      <c r="I144" s="784">
        <v>779275</v>
      </c>
      <c r="J144" s="765" t="str">
        <f t="shared" si="6"/>
        <v/>
      </c>
      <c r="K144" s="765" t="str">
        <f t="shared" si="7"/>
        <v/>
      </c>
      <c r="L144" s="765">
        <f t="shared" si="8"/>
        <v>1</v>
      </c>
      <c r="M144" s="784"/>
      <c r="N144" t="s">
        <v>267</v>
      </c>
      <c r="O144" t="s">
        <v>129</v>
      </c>
      <c r="P144" t="s">
        <v>150</v>
      </c>
      <c r="Q144" s="784">
        <v>779275</v>
      </c>
    </row>
    <row r="145" spans="1:17">
      <c r="A145" t="s">
        <v>153</v>
      </c>
      <c r="B145" t="s">
        <v>127</v>
      </c>
      <c r="C145" t="s">
        <v>152</v>
      </c>
      <c r="D145" t="s">
        <v>146</v>
      </c>
      <c r="E145" s="784">
        <v>0</v>
      </c>
      <c r="F145" s="784">
        <v>0</v>
      </c>
      <c r="G145" s="784">
        <v>2500000</v>
      </c>
      <c r="H145" s="784">
        <v>100000</v>
      </c>
      <c r="I145" s="784">
        <v>0</v>
      </c>
      <c r="J145" s="765" t="str">
        <f t="shared" si="6"/>
        <v/>
      </c>
      <c r="K145" s="765">
        <f t="shared" si="7"/>
        <v>1</v>
      </c>
      <c r="L145" s="765" t="str">
        <f t="shared" si="8"/>
        <v/>
      </c>
      <c r="M145" s="784"/>
      <c r="N145" t="s">
        <v>153</v>
      </c>
      <c r="O145" t="s">
        <v>127</v>
      </c>
      <c r="P145" t="s">
        <v>152</v>
      </c>
      <c r="Q145" s="784">
        <v>100000</v>
      </c>
    </row>
    <row r="146" spans="1:17">
      <c r="A146" t="s">
        <v>269</v>
      </c>
      <c r="B146" t="s">
        <v>129</v>
      </c>
      <c r="C146" t="s">
        <v>148</v>
      </c>
      <c r="D146" t="s">
        <v>145</v>
      </c>
      <c r="E146" s="784">
        <v>8500000</v>
      </c>
      <c r="F146" s="784">
        <v>4051025.56</v>
      </c>
      <c r="G146" s="784">
        <v>3114766</v>
      </c>
      <c r="H146" s="784">
        <v>472533</v>
      </c>
      <c r="I146" s="784">
        <v>472533</v>
      </c>
      <c r="J146" s="765" t="str">
        <f t="shared" si="6"/>
        <v/>
      </c>
      <c r="K146" s="765" t="str">
        <f t="shared" si="7"/>
        <v/>
      </c>
      <c r="L146" s="765">
        <f t="shared" si="8"/>
        <v>1</v>
      </c>
      <c r="M146" s="784"/>
      <c r="N146" t="s">
        <v>269</v>
      </c>
      <c r="O146" t="s">
        <v>129</v>
      </c>
      <c r="P146" t="s">
        <v>148</v>
      </c>
      <c r="Q146" s="784">
        <v>472533</v>
      </c>
    </row>
    <row r="147" spans="1:17">
      <c r="A147" t="s">
        <v>270</v>
      </c>
      <c r="B147" t="s">
        <v>126</v>
      </c>
      <c r="C147" t="s">
        <v>150</v>
      </c>
      <c r="D147" t="s">
        <v>145</v>
      </c>
      <c r="E147" s="784">
        <v>0</v>
      </c>
      <c r="F147" s="784">
        <v>319290</v>
      </c>
      <c r="G147" s="784">
        <v>3424071</v>
      </c>
      <c r="H147" s="784">
        <v>0</v>
      </c>
      <c r="I147" s="784">
        <v>0</v>
      </c>
      <c r="J147" s="765" t="str">
        <f t="shared" si="6"/>
        <v/>
      </c>
      <c r="K147" s="765">
        <f t="shared" si="7"/>
        <v>1</v>
      </c>
      <c r="L147" s="765" t="str">
        <f t="shared" si="8"/>
        <v/>
      </c>
      <c r="M147" s="784"/>
      <c r="N147" t="s">
        <v>270</v>
      </c>
      <c r="O147" t="s">
        <v>126</v>
      </c>
      <c r="P147" t="s">
        <v>150</v>
      </c>
      <c r="Q147" s="784">
        <v>0</v>
      </c>
    </row>
    <row r="148" spans="1:17">
      <c r="A148" t="s">
        <v>271</v>
      </c>
      <c r="B148" t="s">
        <v>128</v>
      </c>
      <c r="C148" t="s">
        <v>148</v>
      </c>
      <c r="D148" t="s">
        <v>145</v>
      </c>
      <c r="E148" s="784">
        <v>18000000</v>
      </c>
      <c r="F148" s="784">
        <v>10686321.627407407</v>
      </c>
      <c r="G148" s="784">
        <v>2315580</v>
      </c>
      <c r="H148" s="784">
        <v>2015014</v>
      </c>
      <c r="I148" s="784">
        <v>345491</v>
      </c>
      <c r="J148" s="765" t="str">
        <f t="shared" si="6"/>
        <v/>
      </c>
      <c r="K148" s="765" t="str">
        <f t="shared" si="7"/>
        <v/>
      </c>
      <c r="L148" s="765">
        <f t="shared" si="8"/>
        <v>1</v>
      </c>
      <c r="M148" s="784"/>
      <c r="N148" t="s">
        <v>271</v>
      </c>
      <c r="O148" t="s">
        <v>128</v>
      </c>
      <c r="P148" t="s">
        <v>148</v>
      </c>
      <c r="Q148" s="784">
        <v>2015014</v>
      </c>
    </row>
    <row r="149" spans="1:17">
      <c r="A149" t="s">
        <v>272</v>
      </c>
      <c r="B149" t="s">
        <v>128</v>
      </c>
      <c r="C149" t="s">
        <v>152</v>
      </c>
      <c r="D149" t="s">
        <v>146</v>
      </c>
      <c r="E149" s="784">
        <v>0</v>
      </c>
      <c r="F149" s="784">
        <v>0</v>
      </c>
      <c r="G149" s="784">
        <v>10000000</v>
      </c>
      <c r="H149" s="784">
        <v>1872229</v>
      </c>
      <c r="I149" s="784">
        <v>1542556</v>
      </c>
      <c r="J149" s="765" t="str">
        <f t="shared" si="6"/>
        <v/>
      </c>
      <c r="K149" s="765">
        <f t="shared" si="7"/>
        <v>1</v>
      </c>
      <c r="L149" s="765" t="str">
        <f t="shared" si="8"/>
        <v/>
      </c>
      <c r="M149" s="784"/>
      <c r="N149" t="s">
        <v>272</v>
      </c>
      <c r="O149" t="s">
        <v>128</v>
      </c>
      <c r="P149" t="s">
        <v>152</v>
      </c>
      <c r="Q149" s="784">
        <v>1872229</v>
      </c>
    </row>
    <row r="150" spans="1:17">
      <c r="A150" t="s">
        <v>273</v>
      </c>
      <c r="B150" t="s">
        <v>128</v>
      </c>
      <c r="C150" t="s">
        <v>148</v>
      </c>
      <c r="D150" t="s">
        <v>145</v>
      </c>
      <c r="E150" s="784">
        <v>7500000</v>
      </c>
      <c r="F150" s="784">
        <v>5827739.4074074076</v>
      </c>
      <c r="G150" s="784">
        <v>3939978</v>
      </c>
      <c r="H150" s="784">
        <v>2301381</v>
      </c>
      <c r="I150" s="784">
        <v>0</v>
      </c>
      <c r="J150" s="765" t="str">
        <f t="shared" si="6"/>
        <v/>
      </c>
      <c r="K150" s="765" t="str">
        <f t="shared" si="7"/>
        <v/>
      </c>
      <c r="L150" s="765">
        <f t="shared" si="8"/>
        <v>1</v>
      </c>
      <c r="M150" s="784"/>
      <c r="N150" t="s">
        <v>273</v>
      </c>
      <c r="O150" t="s">
        <v>128</v>
      </c>
      <c r="P150" t="s">
        <v>148</v>
      </c>
      <c r="Q150" s="784">
        <v>680600</v>
      </c>
    </row>
    <row r="151" spans="1:17">
      <c r="A151" t="s">
        <v>274</v>
      </c>
      <c r="B151" t="s">
        <v>132</v>
      </c>
      <c r="C151" t="s">
        <v>150</v>
      </c>
      <c r="D151" t="s">
        <v>145</v>
      </c>
      <c r="E151" s="784">
        <v>88070000</v>
      </c>
      <c r="F151" s="784">
        <v>2581693</v>
      </c>
      <c r="G151" s="784">
        <v>3166298</v>
      </c>
      <c r="H151" s="784">
        <v>500000</v>
      </c>
      <c r="I151" s="784">
        <v>0</v>
      </c>
      <c r="J151" s="765" t="str">
        <f t="shared" si="6"/>
        <v/>
      </c>
      <c r="K151" s="765" t="str">
        <f t="shared" si="7"/>
        <v/>
      </c>
      <c r="L151" s="765">
        <f t="shared" si="8"/>
        <v>1</v>
      </c>
      <c r="M151" s="784"/>
      <c r="N151" t="s">
        <v>274</v>
      </c>
      <c r="O151" t="s">
        <v>132</v>
      </c>
      <c r="P151" t="s">
        <v>150</v>
      </c>
      <c r="Q151" s="784">
        <v>500000</v>
      </c>
    </row>
    <row r="152" spans="1:17">
      <c r="A152" t="s">
        <v>154</v>
      </c>
      <c r="B152" t="s">
        <v>130</v>
      </c>
      <c r="C152" t="s">
        <v>152</v>
      </c>
      <c r="D152" t="s">
        <v>145</v>
      </c>
      <c r="E152" s="784">
        <v>0</v>
      </c>
      <c r="F152" s="784">
        <v>280000</v>
      </c>
      <c r="G152" s="784">
        <v>0</v>
      </c>
      <c r="H152" s="784">
        <v>75000</v>
      </c>
      <c r="I152" s="784">
        <v>0</v>
      </c>
      <c r="J152" s="765" t="str">
        <f t="shared" si="6"/>
        <v/>
      </c>
      <c r="K152" s="765">
        <f t="shared" si="7"/>
        <v>1</v>
      </c>
      <c r="L152" s="765" t="str">
        <f t="shared" si="8"/>
        <v/>
      </c>
      <c r="M152" s="784"/>
      <c r="N152" t="s">
        <v>154</v>
      </c>
      <c r="O152" t="s">
        <v>130</v>
      </c>
      <c r="P152" t="s">
        <v>152</v>
      </c>
      <c r="Q152" s="784">
        <v>75000</v>
      </c>
    </row>
    <row r="153" spans="1:17">
      <c r="A153" t="s">
        <v>155</v>
      </c>
      <c r="B153" t="s">
        <v>130</v>
      </c>
      <c r="C153" t="s">
        <v>152</v>
      </c>
      <c r="D153" t="s">
        <v>145</v>
      </c>
      <c r="E153" s="784">
        <v>0</v>
      </c>
      <c r="F153" s="784">
        <v>495000</v>
      </c>
      <c r="G153" s="784">
        <v>0</v>
      </c>
      <c r="H153" s="784">
        <v>75000</v>
      </c>
      <c r="I153" s="784">
        <v>0</v>
      </c>
      <c r="J153" s="765" t="str">
        <f t="shared" si="6"/>
        <v/>
      </c>
      <c r="K153" s="765">
        <f t="shared" si="7"/>
        <v>1</v>
      </c>
      <c r="L153" s="765" t="str">
        <f t="shared" si="8"/>
        <v/>
      </c>
      <c r="M153" s="784"/>
      <c r="N153" t="s">
        <v>155</v>
      </c>
      <c r="O153" t="s">
        <v>130</v>
      </c>
      <c r="P153" t="s">
        <v>152</v>
      </c>
      <c r="Q153" s="784">
        <v>75000</v>
      </c>
    </row>
    <row r="154" spans="1:17">
      <c r="A154" t="s">
        <v>276</v>
      </c>
      <c r="B154" t="s">
        <v>131</v>
      </c>
      <c r="C154" t="s">
        <v>150</v>
      </c>
      <c r="D154" t="s">
        <v>145</v>
      </c>
      <c r="E154" s="784">
        <v>0</v>
      </c>
      <c r="F154" s="784">
        <v>1657999.54</v>
      </c>
      <c r="G154" s="784">
        <v>900000</v>
      </c>
      <c r="H154" s="784">
        <v>450000</v>
      </c>
      <c r="I154" s="784">
        <v>0</v>
      </c>
      <c r="J154" s="765" t="str">
        <f t="shared" si="6"/>
        <v/>
      </c>
      <c r="K154" s="765">
        <f t="shared" si="7"/>
        <v>1</v>
      </c>
      <c r="L154" s="765" t="str">
        <f t="shared" si="8"/>
        <v/>
      </c>
      <c r="M154" s="784"/>
      <c r="N154" t="s">
        <v>276</v>
      </c>
      <c r="O154" t="s">
        <v>131</v>
      </c>
      <c r="P154" t="s">
        <v>150</v>
      </c>
      <c r="Q154" s="784">
        <v>450000</v>
      </c>
    </row>
    <row r="155" spans="1:17">
      <c r="A155" t="s">
        <v>277</v>
      </c>
      <c r="B155" t="s">
        <v>131</v>
      </c>
      <c r="C155" t="s">
        <v>148</v>
      </c>
      <c r="D155" t="s">
        <v>145</v>
      </c>
      <c r="E155" s="784">
        <v>49600000</v>
      </c>
      <c r="F155" s="784">
        <v>5592131.6296296297</v>
      </c>
      <c r="G155" s="784">
        <v>710000</v>
      </c>
      <c r="H155" s="784">
        <v>7767500</v>
      </c>
      <c r="I155" s="784">
        <v>476081.75</v>
      </c>
      <c r="J155" s="765" t="str">
        <f t="shared" si="6"/>
        <v/>
      </c>
      <c r="K155" s="765" t="str">
        <f t="shared" si="7"/>
        <v/>
      </c>
      <c r="L155" s="765">
        <f t="shared" si="8"/>
        <v>1</v>
      </c>
      <c r="M155" s="784"/>
      <c r="N155" t="s">
        <v>277</v>
      </c>
      <c r="O155" t="s">
        <v>131</v>
      </c>
      <c r="P155" t="s">
        <v>148</v>
      </c>
      <c r="Q155" s="784">
        <v>7767500</v>
      </c>
    </row>
    <row r="156" spans="1:17">
      <c r="A156" t="s">
        <v>278</v>
      </c>
      <c r="B156" t="s">
        <v>126</v>
      </c>
      <c r="C156" t="s">
        <v>152</v>
      </c>
      <c r="D156" t="s">
        <v>146</v>
      </c>
      <c r="E156" s="784">
        <v>0</v>
      </c>
      <c r="F156" s="784">
        <v>0</v>
      </c>
      <c r="G156" s="784">
        <v>0</v>
      </c>
      <c r="H156" s="784">
        <v>0</v>
      </c>
      <c r="I156" s="784">
        <v>282294</v>
      </c>
      <c r="J156" s="765" t="str">
        <f t="shared" si="6"/>
        <v/>
      </c>
      <c r="K156" s="765">
        <f t="shared" si="7"/>
        <v>1</v>
      </c>
      <c r="L156" s="765" t="str">
        <f t="shared" si="8"/>
        <v/>
      </c>
      <c r="M156" s="784"/>
      <c r="N156" t="s">
        <v>278</v>
      </c>
      <c r="O156" t="s">
        <v>126</v>
      </c>
      <c r="P156" t="s">
        <v>152</v>
      </c>
      <c r="Q156" s="784">
        <v>0</v>
      </c>
    </row>
    <row r="157" spans="1:17">
      <c r="A157" t="s">
        <v>279</v>
      </c>
      <c r="B157" t="s">
        <v>131</v>
      </c>
      <c r="C157" t="s">
        <v>148</v>
      </c>
      <c r="D157" t="s">
        <v>145</v>
      </c>
      <c r="E157" s="784">
        <v>0</v>
      </c>
      <c r="F157" s="784">
        <v>4887288.722222222</v>
      </c>
      <c r="G157" s="784">
        <v>300000</v>
      </c>
      <c r="H157" s="784">
        <v>5153018</v>
      </c>
      <c r="I157" s="784">
        <v>0</v>
      </c>
      <c r="J157" s="765" t="str">
        <f t="shared" si="6"/>
        <v/>
      </c>
      <c r="K157" s="765">
        <f t="shared" si="7"/>
        <v>1</v>
      </c>
      <c r="L157" s="765" t="str">
        <f t="shared" si="8"/>
        <v/>
      </c>
      <c r="M157" s="784"/>
      <c r="N157" t="s">
        <v>279</v>
      </c>
      <c r="O157" t="s">
        <v>131</v>
      </c>
      <c r="P157" t="s">
        <v>148</v>
      </c>
      <c r="Q157" s="784">
        <v>5153018</v>
      </c>
    </row>
    <row r="158" spans="1:17">
      <c r="A158" t="s">
        <v>280</v>
      </c>
      <c r="B158" t="s">
        <v>127</v>
      </c>
      <c r="C158" t="s">
        <v>150</v>
      </c>
      <c r="D158" t="s">
        <v>145</v>
      </c>
      <c r="E158" s="784">
        <v>3170000</v>
      </c>
      <c r="F158" s="784">
        <v>2347931.7796296296</v>
      </c>
      <c r="G158" s="784">
        <v>1952000</v>
      </c>
      <c r="H158" s="784">
        <v>0</v>
      </c>
      <c r="I158" s="784">
        <v>0</v>
      </c>
      <c r="J158" s="765" t="str">
        <f t="shared" si="6"/>
        <v/>
      </c>
      <c r="K158" s="765" t="str">
        <f t="shared" si="7"/>
        <v/>
      </c>
      <c r="L158" s="765">
        <f t="shared" si="8"/>
        <v>1</v>
      </c>
      <c r="M158" s="784"/>
      <c r="N158" t="s">
        <v>280</v>
      </c>
      <c r="O158" t="s">
        <v>127</v>
      </c>
      <c r="P158" t="s">
        <v>150</v>
      </c>
      <c r="Q158" s="784">
        <v>0</v>
      </c>
    </row>
    <row r="159" spans="1:17">
      <c r="A159" t="s">
        <v>156</v>
      </c>
      <c r="B159" t="s">
        <v>128</v>
      </c>
      <c r="C159" t="s">
        <v>150</v>
      </c>
      <c r="D159" t="s">
        <v>145</v>
      </c>
      <c r="E159" s="784">
        <v>0</v>
      </c>
      <c r="F159" s="784">
        <v>8536985.4000000004</v>
      </c>
      <c r="G159" s="784">
        <v>3006757</v>
      </c>
      <c r="H159" s="784">
        <v>1824000</v>
      </c>
      <c r="I159" s="784">
        <v>0</v>
      </c>
      <c r="J159" s="765" t="str">
        <f t="shared" si="6"/>
        <v/>
      </c>
      <c r="K159" s="765">
        <f t="shared" si="7"/>
        <v>1</v>
      </c>
      <c r="L159" s="765" t="str">
        <f t="shared" si="8"/>
        <v/>
      </c>
      <c r="M159" s="784"/>
      <c r="N159" t="s">
        <v>156</v>
      </c>
      <c r="O159" t="s">
        <v>128</v>
      </c>
      <c r="P159" t="s">
        <v>150</v>
      </c>
      <c r="Q159" s="784">
        <v>1824000</v>
      </c>
    </row>
    <row r="160" spans="1:17">
      <c r="A160" t="s">
        <v>157</v>
      </c>
      <c r="B160" t="s">
        <v>126</v>
      </c>
      <c r="C160" t="s">
        <v>152</v>
      </c>
      <c r="D160" t="s">
        <v>146</v>
      </c>
      <c r="E160" s="784">
        <v>0</v>
      </c>
      <c r="F160" s="784">
        <v>0</v>
      </c>
      <c r="G160" s="784">
        <v>1893880</v>
      </c>
      <c r="H160" s="784">
        <v>0</v>
      </c>
      <c r="I160" s="784">
        <v>272222</v>
      </c>
      <c r="J160" s="765" t="str">
        <f t="shared" si="6"/>
        <v/>
      </c>
      <c r="K160" s="765">
        <f t="shared" si="7"/>
        <v>1</v>
      </c>
      <c r="L160" s="765" t="str">
        <f t="shared" si="8"/>
        <v/>
      </c>
      <c r="M160" s="784"/>
      <c r="N160" t="s">
        <v>157</v>
      </c>
      <c r="O160" t="s">
        <v>126</v>
      </c>
      <c r="P160" t="s">
        <v>152</v>
      </c>
      <c r="Q160" s="784">
        <v>0</v>
      </c>
    </row>
    <row r="161" spans="1:17">
      <c r="A161" t="s">
        <v>281</v>
      </c>
      <c r="B161" t="s">
        <v>126</v>
      </c>
      <c r="C161" t="s">
        <v>150</v>
      </c>
      <c r="D161" t="s">
        <v>145</v>
      </c>
      <c r="E161" s="784">
        <v>0</v>
      </c>
      <c r="F161" s="784">
        <v>499976</v>
      </c>
      <c r="G161" s="784">
        <v>4539675</v>
      </c>
      <c r="H161" s="784">
        <v>260000</v>
      </c>
      <c r="I161" s="784">
        <v>1782183</v>
      </c>
      <c r="J161" s="765" t="str">
        <f t="shared" si="6"/>
        <v/>
      </c>
      <c r="K161" s="765">
        <f t="shared" si="7"/>
        <v>1</v>
      </c>
      <c r="L161" s="765" t="str">
        <f t="shared" si="8"/>
        <v/>
      </c>
      <c r="M161" s="784"/>
      <c r="N161" t="s">
        <v>281</v>
      </c>
      <c r="O161" t="s">
        <v>126</v>
      </c>
      <c r="P161" t="s">
        <v>150</v>
      </c>
      <c r="Q161" s="784">
        <v>260000</v>
      </c>
    </row>
    <row r="162" spans="1:17">
      <c r="A162" t="s">
        <v>282</v>
      </c>
      <c r="B162" t="s">
        <v>129</v>
      </c>
      <c r="C162" t="s">
        <v>148</v>
      </c>
      <c r="D162" t="s">
        <v>145</v>
      </c>
      <c r="E162" s="784">
        <v>21600000</v>
      </c>
      <c r="F162" s="784">
        <v>1678324.2962962962</v>
      </c>
      <c r="G162" s="784">
        <v>500000</v>
      </c>
      <c r="H162" s="784">
        <v>500000</v>
      </c>
      <c r="I162" s="784">
        <v>0</v>
      </c>
      <c r="J162" s="765" t="str">
        <f t="shared" si="6"/>
        <v/>
      </c>
      <c r="K162" s="765" t="str">
        <f t="shared" si="7"/>
        <v/>
      </c>
      <c r="L162" s="765">
        <f t="shared" si="8"/>
        <v>1</v>
      </c>
      <c r="M162" s="784"/>
      <c r="N162" t="s">
        <v>282</v>
      </c>
      <c r="O162" t="s">
        <v>129</v>
      </c>
      <c r="P162" t="s">
        <v>148</v>
      </c>
      <c r="Q162" s="784">
        <v>500000</v>
      </c>
    </row>
    <row r="163" spans="1:17">
      <c r="A163" t="s">
        <v>283</v>
      </c>
      <c r="B163" t="s">
        <v>126</v>
      </c>
      <c r="C163" t="s">
        <v>152</v>
      </c>
      <c r="D163" t="s">
        <v>145</v>
      </c>
      <c r="E163" s="784">
        <v>2770000</v>
      </c>
      <c r="F163" s="784">
        <v>540481.48148148146</v>
      </c>
      <c r="G163" s="784">
        <v>521488</v>
      </c>
      <c r="H163" s="784">
        <v>0</v>
      </c>
      <c r="I163" s="784">
        <v>0</v>
      </c>
      <c r="J163" s="765" t="str">
        <f t="shared" si="6"/>
        <v/>
      </c>
      <c r="K163" s="765" t="str">
        <f t="shared" si="7"/>
        <v/>
      </c>
      <c r="L163" s="765">
        <f t="shared" si="8"/>
        <v>1</v>
      </c>
      <c r="M163" s="784"/>
      <c r="N163" t="s">
        <v>283</v>
      </c>
      <c r="O163" t="s">
        <v>126</v>
      </c>
      <c r="P163" t="s">
        <v>152</v>
      </c>
      <c r="Q163" s="784">
        <v>0</v>
      </c>
    </row>
    <row r="164" spans="1:17">
      <c r="A164" t="s">
        <v>285</v>
      </c>
      <c r="B164" t="s">
        <v>131</v>
      </c>
      <c r="C164" t="s">
        <v>150</v>
      </c>
      <c r="D164" t="s">
        <v>145</v>
      </c>
      <c r="E164" s="784">
        <v>9300000</v>
      </c>
      <c r="F164" s="784">
        <v>1520584.03</v>
      </c>
      <c r="G164" s="784">
        <v>3650000</v>
      </c>
      <c r="H164" s="784">
        <v>0</v>
      </c>
      <c r="I164" s="784">
        <v>3118906</v>
      </c>
      <c r="J164" s="765" t="str">
        <f t="shared" si="6"/>
        <v/>
      </c>
      <c r="K164" s="765" t="str">
        <f t="shared" si="7"/>
        <v/>
      </c>
      <c r="L164" s="765">
        <f t="shared" si="8"/>
        <v>1</v>
      </c>
      <c r="M164" s="784"/>
      <c r="N164" t="s">
        <v>285</v>
      </c>
      <c r="O164" t="s">
        <v>131</v>
      </c>
      <c r="P164" t="s">
        <v>150</v>
      </c>
      <c r="Q164" s="784">
        <v>0</v>
      </c>
    </row>
    <row r="165" spans="1:17">
      <c r="A165" t="s">
        <v>286</v>
      </c>
      <c r="B165" t="s">
        <v>127</v>
      </c>
      <c r="C165" t="s">
        <v>152</v>
      </c>
      <c r="D165" t="s">
        <v>146</v>
      </c>
      <c r="E165" s="784">
        <v>0</v>
      </c>
      <c r="F165" s="784">
        <v>0</v>
      </c>
      <c r="G165" s="784">
        <v>0</v>
      </c>
      <c r="H165" s="784">
        <v>0</v>
      </c>
      <c r="I165" s="784">
        <v>0</v>
      </c>
      <c r="J165" s="765" t="str">
        <f t="shared" si="6"/>
        <v/>
      </c>
      <c r="K165" s="765" t="str">
        <f t="shared" si="7"/>
        <v/>
      </c>
      <c r="L165" s="765" t="str">
        <f t="shared" si="8"/>
        <v/>
      </c>
      <c r="M165" s="784"/>
      <c r="N165" t="s">
        <v>286</v>
      </c>
      <c r="O165" t="s">
        <v>127</v>
      </c>
      <c r="P165" t="s">
        <v>152</v>
      </c>
      <c r="Q165" s="784">
        <v>0</v>
      </c>
    </row>
    <row r="166" spans="1:17">
      <c r="A166" t="s">
        <v>287</v>
      </c>
      <c r="B166" t="s">
        <v>127</v>
      </c>
      <c r="C166" t="s">
        <v>152</v>
      </c>
      <c r="D166" t="s">
        <v>146</v>
      </c>
      <c r="E166" s="784">
        <v>0</v>
      </c>
      <c r="F166" s="784">
        <v>0</v>
      </c>
      <c r="G166" s="784">
        <v>0</v>
      </c>
      <c r="H166" s="784">
        <v>0</v>
      </c>
      <c r="I166" s="784">
        <v>0</v>
      </c>
      <c r="J166" s="765" t="str">
        <f t="shared" si="6"/>
        <v/>
      </c>
      <c r="K166" s="765" t="str">
        <f t="shared" si="7"/>
        <v/>
      </c>
      <c r="L166" s="765" t="str">
        <f t="shared" si="8"/>
        <v/>
      </c>
      <c r="M166" s="784"/>
      <c r="N166" t="s">
        <v>287</v>
      </c>
      <c r="O166" t="s">
        <v>127</v>
      </c>
      <c r="P166" t="s">
        <v>152</v>
      </c>
      <c r="Q166" s="784">
        <v>0</v>
      </c>
    </row>
    <row r="167" spans="1:17">
      <c r="A167" t="s">
        <v>288</v>
      </c>
      <c r="B167" t="s">
        <v>126</v>
      </c>
      <c r="C167" t="s">
        <v>152</v>
      </c>
      <c r="D167" t="s">
        <v>145</v>
      </c>
      <c r="E167" s="784">
        <v>840000.00000000012</v>
      </c>
      <c r="F167" s="784">
        <v>533270.37037037034</v>
      </c>
      <c r="G167" s="784">
        <v>133119</v>
      </c>
      <c r="H167" s="784">
        <v>0</v>
      </c>
      <c r="I167" s="784">
        <v>0</v>
      </c>
      <c r="J167" s="765" t="str">
        <f t="shared" si="6"/>
        <v/>
      </c>
      <c r="K167" s="765" t="str">
        <f t="shared" si="7"/>
        <v/>
      </c>
      <c r="L167" s="765">
        <f t="shared" si="8"/>
        <v>1</v>
      </c>
      <c r="M167" s="784"/>
      <c r="N167" t="s">
        <v>288</v>
      </c>
      <c r="O167" t="s">
        <v>126</v>
      </c>
      <c r="P167" t="s">
        <v>152</v>
      </c>
      <c r="Q167" s="784">
        <v>0</v>
      </c>
    </row>
    <row r="168" spans="1:17">
      <c r="A168" t="s">
        <v>289</v>
      </c>
      <c r="B168" t="s">
        <v>128</v>
      </c>
      <c r="C168" t="s">
        <v>148</v>
      </c>
      <c r="D168" t="s">
        <v>145</v>
      </c>
      <c r="E168" s="784">
        <v>20150000</v>
      </c>
      <c r="F168" s="784">
        <v>5461385.555555556</v>
      </c>
      <c r="G168" s="784">
        <v>6382263</v>
      </c>
      <c r="H168" s="784">
        <v>1245581</v>
      </c>
      <c r="I168" s="784">
        <v>3155468</v>
      </c>
      <c r="J168" s="765" t="str">
        <f t="shared" si="6"/>
        <v/>
      </c>
      <c r="K168" s="765" t="str">
        <f t="shared" si="7"/>
        <v/>
      </c>
      <c r="L168" s="765">
        <f t="shared" si="8"/>
        <v>1</v>
      </c>
      <c r="M168" s="784"/>
      <c r="N168" t="s">
        <v>289</v>
      </c>
      <c r="O168" t="s">
        <v>128</v>
      </c>
      <c r="P168" t="s">
        <v>148</v>
      </c>
      <c r="Q168" s="784">
        <v>316219</v>
      </c>
    </row>
    <row r="169" spans="1:17">
      <c r="A169" t="s">
        <v>290</v>
      </c>
      <c r="B169" t="s">
        <v>127</v>
      </c>
      <c r="C169" t="s">
        <v>150</v>
      </c>
      <c r="D169" t="s">
        <v>145</v>
      </c>
      <c r="E169" s="784">
        <v>70000000</v>
      </c>
      <c r="F169" s="784">
        <v>4880729.1886956673</v>
      </c>
      <c r="G169" s="784">
        <v>4950000</v>
      </c>
      <c r="H169" s="784">
        <v>1450000</v>
      </c>
      <c r="I169" s="784">
        <v>92593</v>
      </c>
      <c r="J169" s="765" t="str">
        <f t="shared" si="6"/>
        <v/>
      </c>
      <c r="K169" s="765" t="str">
        <f t="shared" si="7"/>
        <v/>
      </c>
      <c r="L169" s="765">
        <f t="shared" si="8"/>
        <v>1</v>
      </c>
      <c r="M169" s="784"/>
      <c r="N169" t="s">
        <v>290</v>
      </c>
      <c r="O169" t="s">
        <v>127</v>
      </c>
      <c r="P169" t="s">
        <v>150</v>
      </c>
      <c r="Q169" s="784">
        <v>1450000</v>
      </c>
    </row>
    <row r="170" spans="1:17">
      <c r="A170" t="s">
        <v>292</v>
      </c>
      <c r="B170" t="s">
        <v>127</v>
      </c>
      <c r="C170" t="s">
        <v>150</v>
      </c>
      <c r="D170" t="s">
        <v>145</v>
      </c>
      <c r="E170" s="784">
        <v>0</v>
      </c>
      <c r="F170" s="784">
        <v>3869386</v>
      </c>
      <c r="G170" s="784">
        <v>3100000</v>
      </c>
      <c r="H170" s="784">
        <v>950000</v>
      </c>
      <c r="I170" s="784">
        <v>0</v>
      </c>
      <c r="J170" s="765" t="str">
        <f t="shared" ref="J170:J178" si="9">IF(AND(E170&gt;0,SUM(F170:I170)=0),1,"")</f>
        <v/>
      </c>
      <c r="K170" s="765">
        <f t="shared" ref="K170:K178" si="10">IF(AND(E170=0,SUM(F170:I170)&gt;0),1,"")</f>
        <v>1</v>
      </c>
      <c r="L170" s="765" t="str">
        <f t="shared" ref="L170:L178" si="11">IF(AND(E170&gt;0,SUM(F170:I170)&gt;0),1,"")</f>
        <v/>
      </c>
      <c r="M170" s="784"/>
      <c r="N170" t="s">
        <v>292</v>
      </c>
      <c r="O170" t="s">
        <v>127</v>
      </c>
      <c r="P170" t="s">
        <v>150</v>
      </c>
      <c r="Q170" s="784">
        <v>950000</v>
      </c>
    </row>
    <row r="171" spans="1:17">
      <c r="A171" t="s">
        <v>293</v>
      </c>
      <c r="B171" t="s">
        <v>126</v>
      </c>
      <c r="C171" t="s">
        <v>150</v>
      </c>
      <c r="D171" t="s">
        <v>145</v>
      </c>
      <c r="E171" s="784">
        <v>1610000</v>
      </c>
      <c r="F171" s="784">
        <v>485000.22990000003</v>
      </c>
      <c r="G171" s="784">
        <v>459943</v>
      </c>
      <c r="H171" s="784">
        <v>0</v>
      </c>
      <c r="I171" s="784">
        <v>0</v>
      </c>
      <c r="J171" s="765" t="str">
        <f t="shared" si="9"/>
        <v/>
      </c>
      <c r="K171" s="765" t="str">
        <f t="shared" si="10"/>
        <v/>
      </c>
      <c r="L171" s="765">
        <f t="shared" si="11"/>
        <v>1</v>
      </c>
      <c r="M171" s="784"/>
      <c r="N171" t="s">
        <v>293</v>
      </c>
      <c r="O171" t="s">
        <v>126</v>
      </c>
      <c r="P171" t="s">
        <v>150</v>
      </c>
      <c r="Q171" s="784">
        <v>0</v>
      </c>
    </row>
    <row r="172" spans="1:17">
      <c r="A172" t="s">
        <v>294</v>
      </c>
      <c r="B172" t="s">
        <v>130</v>
      </c>
      <c r="C172" t="s">
        <v>322</v>
      </c>
      <c r="D172" t="s">
        <v>146</v>
      </c>
      <c r="E172" s="784">
        <v>0</v>
      </c>
      <c r="F172" s="784">
        <v>0</v>
      </c>
      <c r="G172" s="784">
        <v>9296619.8399999999</v>
      </c>
      <c r="H172" s="784">
        <v>1000000</v>
      </c>
      <c r="I172" s="784">
        <v>0</v>
      </c>
      <c r="J172" s="765" t="str">
        <f t="shared" si="9"/>
        <v/>
      </c>
      <c r="K172" s="765">
        <f t="shared" si="10"/>
        <v>1</v>
      </c>
      <c r="L172" s="765" t="str">
        <f t="shared" si="11"/>
        <v/>
      </c>
      <c r="M172" s="784"/>
      <c r="N172" t="s">
        <v>294</v>
      </c>
      <c r="O172" t="s">
        <v>130</v>
      </c>
      <c r="P172" t="s">
        <v>322</v>
      </c>
      <c r="Q172" s="784">
        <v>1000000</v>
      </c>
    </row>
    <row r="173" spans="1:17">
      <c r="A173" t="s">
        <v>295</v>
      </c>
      <c r="B173" t="s">
        <v>126</v>
      </c>
      <c r="C173" t="s">
        <v>150</v>
      </c>
      <c r="D173" t="s">
        <v>145</v>
      </c>
      <c r="E173" s="784">
        <v>0</v>
      </c>
      <c r="F173" s="784">
        <v>4995395</v>
      </c>
      <c r="G173" s="784">
        <v>3727799</v>
      </c>
      <c r="H173" s="784">
        <v>1000000</v>
      </c>
      <c r="I173" s="784">
        <v>0</v>
      </c>
      <c r="J173" s="765" t="str">
        <f t="shared" si="9"/>
        <v/>
      </c>
      <c r="K173" s="765">
        <f t="shared" si="10"/>
        <v>1</v>
      </c>
      <c r="L173" s="765" t="str">
        <f t="shared" si="11"/>
        <v/>
      </c>
      <c r="M173" s="784"/>
      <c r="N173" t="s">
        <v>295</v>
      </c>
      <c r="O173" t="s">
        <v>126</v>
      </c>
      <c r="P173" t="s">
        <v>150</v>
      </c>
      <c r="Q173" s="784">
        <v>1000000</v>
      </c>
    </row>
    <row r="174" spans="1:17">
      <c r="A174" t="s">
        <v>296</v>
      </c>
      <c r="B174" t="s">
        <v>131</v>
      </c>
      <c r="C174" t="s">
        <v>148</v>
      </c>
      <c r="D174" t="s">
        <v>145</v>
      </c>
      <c r="E174" s="784">
        <v>17800000</v>
      </c>
      <c r="F174" s="784">
        <v>7984962.1600000001</v>
      </c>
      <c r="G174" s="784">
        <v>2878000</v>
      </c>
      <c r="H174" s="784">
        <v>5929249</v>
      </c>
      <c r="I174" s="784">
        <v>126204</v>
      </c>
      <c r="J174" s="765" t="str">
        <f t="shared" si="9"/>
        <v/>
      </c>
      <c r="K174" s="765" t="str">
        <f t="shared" si="10"/>
        <v/>
      </c>
      <c r="L174" s="765">
        <f t="shared" si="11"/>
        <v>1</v>
      </c>
      <c r="M174" s="784"/>
      <c r="N174" t="s">
        <v>296</v>
      </c>
      <c r="O174" t="s">
        <v>131</v>
      </c>
      <c r="P174" t="s">
        <v>148</v>
      </c>
      <c r="Q174" s="784">
        <v>5929249</v>
      </c>
    </row>
    <row r="175" spans="1:17">
      <c r="A175" t="s">
        <v>297</v>
      </c>
      <c r="B175" t="s">
        <v>128</v>
      </c>
      <c r="C175" t="s">
        <v>150</v>
      </c>
      <c r="D175" t="s">
        <v>145</v>
      </c>
      <c r="E175" s="784">
        <v>11800000</v>
      </c>
      <c r="F175" s="784">
        <v>2894229</v>
      </c>
      <c r="G175" s="784">
        <v>4292669</v>
      </c>
      <c r="H175" s="784">
        <v>1080000</v>
      </c>
      <c r="I175" s="784">
        <v>148853</v>
      </c>
      <c r="J175" s="765" t="str">
        <f t="shared" si="9"/>
        <v/>
      </c>
      <c r="K175" s="765" t="str">
        <f t="shared" si="10"/>
        <v/>
      </c>
      <c r="L175" s="765">
        <f t="shared" si="11"/>
        <v>1</v>
      </c>
      <c r="M175" s="784"/>
      <c r="N175" t="s">
        <v>297</v>
      </c>
      <c r="O175" t="s">
        <v>128</v>
      </c>
      <c r="P175" t="s">
        <v>150</v>
      </c>
      <c r="Q175" s="784">
        <v>1080000</v>
      </c>
    </row>
    <row r="176" spans="1:17">
      <c r="A176" t="s">
        <v>298</v>
      </c>
      <c r="B176" t="s">
        <v>128</v>
      </c>
      <c r="C176" t="s">
        <v>150</v>
      </c>
      <c r="D176" t="s">
        <v>145</v>
      </c>
      <c r="E176" s="784">
        <v>0</v>
      </c>
      <c r="F176" s="784">
        <v>2326271</v>
      </c>
      <c r="G176" s="784">
        <v>3110791</v>
      </c>
      <c r="H176" s="784">
        <v>1219176</v>
      </c>
      <c r="I176" s="784">
        <v>100000</v>
      </c>
      <c r="J176" s="765" t="str">
        <f t="shared" si="9"/>
        <v/>
      </c>
      <c r="K176" s="765">
        <f t="shared" si="10"/>
        <v>1</v>
      </c>
      <c r="L176" s="765" t="str">
        <f t="shared" si="11"/>
        <v/>
      </c>
      <c r="M176" s="784"/>
      <c r="N176" t="s">
        <v>298</v>
      </c>
      <c r="O176" t="s">
        <v>128</v>
      </c>
      <c r="P176" t="s">
        <v>150</v>
      </c>
      <c r="Q176" s="784">
        <v>315226</v>
      </c>
    </row>
    <row r="177" spans="1:12">
      <c r="J177" s="784" t="str">
        <f t="shared" si="9"/>
        <v/>
      </c>
      <c r="K177" s="784" t="str">
        <f t="shared" si="10"/>
        <v/>
      </c>
      <c r="L177" s="784" t="str">
        <f t="shared" si="11"/>
        <v/>
      </c>
    </row>
    <row r="178" spans="1:12">
      <c r="J178" s="784" t="str">
        <f t="shared" si="9"/>
        <v/>
      </c>
      <c r="K178" s="784" t="str">
        <f t="shared" si="10"/>
        <v/>
      </c>
      <c r="L178" s="784" t="str">
        <f t="shared" si="11"/>
        <v/>
      </c>
    </row>
    <row r="179" spans="1:12">
      <c r="A179" s="878" t="s">
        <v>1824</v>
      </c>
      <c r="J179" s="784"/>
      <c r="K179" s="784"/>
      <c r="L179" s="784"/>
    </row>
    <row r="180" spans="1:12">
      <c r="J180" s="784"/>
      <c r="K180" s="784"/>
      <c r="L180" s="784"/>
    </row>
    <row r="181" spans="1:12">
      <c r="A181" s="599" t="s">
        <v>357</v>
      </c>
      <c r="B181" t="s">
        <v>358</v>
      </c>
      <c r="J181" s="784"/>
      <c r="K181" s="784"/>
      <c r="L181" s="784"/>
    </row>
    <row r="182" spans="1:12">
      <c r="A182" s="599" t="s">
        <v>374</v>
      </c>
      <c r="B182" t="s">
        <v>375</v>
      </c>
      <c r="J182" s="784"/>
      <c r="K182" s="784"/>
      <c r="L182" s="784"/>
    </row>
    <row r="183" spans="1:12">
      <c r="A183" s="599" t="s">
        <v>378</v>
      </c>
      <c r="B183" t="s">
        <v>379</v>
      </c>
      <c r="J183" s="784"/>
      <c r="K183" s="784"/>
      <c r="L183" s="784"/>
    </row>
    <row r="184" spans="1:12">
      <c r="A184" s="599" t="s">
        <v>376</v>
      </c>
      <c r="B184" t="s">
        <v>356</v>
      </c>
      <c r="J184" s="784"/>
      <c r="K184" s="784"/>
      <c r="L184" s="784"/>
    </row>
    <row r="185" spans="1:12">
      <c r="J185" s="784"/>
      <c r="K185" s="784"/>
      <c r="L185" s="784"/>
    </row>
    <row r="186" spans="1:12">
      <c r="A186" s="599" t="s">
        <v>386</v>
      </c>
      <c r="B186" s="599" t="s">
        <v>122</v>
      </c>
      <c r="C186" s="599" t="s">
        <v>741</v>
      </c>
      <c r="D186" s="599" t="s">
        <v>321</v>
      </c>
      <c r="E186" s="599" t="s">
        <v>738</v>
      </c>
      <c r="F186" t="s">
        <v>382</v>
      </c>
      <c r="G186" t="s">
        <v>1825</v>
      </c>
      <c r="H186" s="577" t="s">
        <v>1826</v>
      </c>
    </row>
    <row r="187" spans="1:12">
      <c r="A187" t="s">
        <v>160</v>
      </c>
      <c r="B187" t="s">
        <v>132</v>
      </c>
      <c r="C187" t="s">
        <v>544</v>
      </c>
      <c r="D187" t="s">
        <v>148</v>
      </c>
      <c r="E187" t="s">
        <v>145</v>
      </c>
      <c r="F187" s="784">
        <v>52725096.991452992</v>
      </c>
      <c r="G187" s="1026">
        <v>39835428</v>
      </c>
      <c r="H187" s="879">
        <f>F187/G187</f>
        <v>1.3235730011851006</v>
      </c>
    </row>
    <row r="188" spans="1:12">
      <c r="A188" t="s">
        <v>161</v>
      </c>
      <c r="B188" t="s">
        <v>127</v>
      </c>
      <c r="C188" t="s">
        <v>544</v>
      </c>
      <c r="D188" t="s">
        <v>152</v>
      </c>
      <c r="E188" t="s">
        <v>146</v>
      </c>
      <c r="F188" s="784">
        <v>600000</v>
      </c>
      <c r="G188" s="1026">
        <v>2872934</v>
      </c>
      <c r="H188" s="879">
        <f t="shared" ref="H188:H251" si="12">F188/G188</f>
        <v>0.20884573053192312</v>
      </c>
    </row>
    <row r="189" spans="1:12">
      <c r="A189" t="s">
        <v>143</v>
      </c>
      <c r="B189" t="s">
        <v>131</v>
      </c>
      <c r="C189" t="s">
        <v>544</v>
      </c>
      <c r="D189" t="s">
        <v>150</v>
      </c>
      <c r="E189" t="s">
        <v>145</v>
      </c>
      <c r="F189" s="784">
        <v>3690331.5</v>
      </c>
      <c r="G189" s="1026">
        <v>44616626</v>
      </c>
      <c r="H189" s="879">
        <f t="shared" si="12"/>
        <v>8.2712025333336506E-2</v>
      </c>
    </row>
    <row r="190" spans="1:12">
      <c r="A190" t="s">
        <v>162</v>
      </c>
      <c r="B190" t="s">
        <v>128</v>
      </c>
      <c r="C190" t="s">
        <v>544</v>
      </c>
      <c r="D190" t="s">
        <v>150</v>
      </c>
      <c r="E190" t="s">
        <v>145</v>
      </c>
      <c r="F190" s="784">
        <v>51271243.590000004</v>
      </c>
      <c r="G190" s="1026">
        <v>33933611</v>
      </c>
      <c r="H190" s="879">
        <f t="shared" si="12"/>
        <v>1.5109280173571862</v>
      </c>
    </row>
    <row r="191" spans="1:12">
      <c r="A191" t="s">
        <v>164</v>
      </c>
      <c r="B191" t="s">
        <v>130</v>
      </c>
      <c r="C191" t="s">
        <v>544</v>
      </c>
      <c r="D191" t="s">
        <v>152</v>
      </c>
      <c r="E191" t="s">
        <v>146</v>
      </c>
      <c r="F191" s="784">
        <v>23820959</v>
      </c>
      <c r="G191" s="1026">
        <v>45605823</v>
      </c>
      <c r="H191" s="879">
        <f t="shared" si="12"/>
        <v>0.52232275251342353</v>
      </c>
    </row>
    <row r="192" spans="1:12">
      <c r="A192" t="s">
        <v>165</v>
      </c>
      <c r="B192" t="s">
        <v>127</v>
      </c>
      <c r="C192" t="s">
        <v>544</v>
      </c>
      <c r="D192" t="s">
        <v>152</v>
      </c>
      <c r="E192" t="s">
        <v>146</v>
      </c>
      <c r="F192" s="784">
        <v>2800000</v>
      </c>
      <c r="G192" s="1026">
        <v>2968128</v>
      </c>
      <c r="H192" s="879">
        <f t="shared" si="12"/>
        <v>0.94335554261810817</v>
      </c>
    </row>
    <row r="193" spans="1:8">
      <c r="A193" t="s">
        <v>166</v>
      </c>
      <c r="B193" t="s">
        <v>127</v>
      </c>
      <c r="C193" t="s">
        <v>544</v>
      </c>
      <c r="D193" t="s">
        <v>152</v>
      </c>
      <c r="E193" t="s">
        <v>146</v>
      </c>
      <c r="F193" s="784">
        <v>1100000</v>
      </c>
      <c r="G193" s="1026">
        <v>10223344</v>
      </c>
      <c r="H193" s="879">
        <f t="shared" si="12"/>
        <v>0.10759688806324036</v>
      </c>
    </row>
    <row r="194" spans="1:8">
      <c r="A194" t="s">
        <v>167</v>
      </c>
      <c r="B194" t="s">
        <v>132</v>
      </c>
      <c r="C194" t="s">
        <v>544</v>
      </c>
      <c r="D194" t="s">
        <v>150</v>
      </c>
      <c r="E194" t="s">
        <v>145</v>
      </c>
      <c r="F194" s="784">
        <v>114727136.59999999</v>
      </c>
      <c r="G194" s="1026">
        <v>166303494</v>
      </c>
      <c r="H194" s="879">
        <f t="shared" si="12"/>
        <v>0.68986606258555216</v>
      </c>
    </row>
    <row r="195" spans="1:8">
      <c r="A195" t="s">
        <v>168</v>
      </c>
      <c r="B195" t="s">
        <v>127</v>
      </c>
      <c r="C195" t="s">
        <v>544</v>
      </c>
      <c r="D195" t="s">
        <v>152</v>
      </c>
      <c r="E195" t="s">
        <v>146</v>
      </c>
      <c r="F195" s="784">
        <v>500000</v>
      </c>
      <c r="G195" s="1026">
        <v>9442867</v>
      </c>
      <c r="H195" s="879">
        <f t="shared" si="12"/>
        <v>5.2950020369872834E-2</v>
      </c>
    </row>
    <row r="196" spans="1:8">
      <c r="A196" t="s">
        <v>169</v>
      </c>
      <c r="B196" t="s">
        <v>130</v>
      </c>
      <c r="C196" t="s">
        <v>541</v>
      </c>
      <c r="D196" t="s">
        <v>150</v>
      </c>
      <c r="E196" t="s">
        <v>146</v>
      </c>
      <c r="F196" s="784">
        <v>3847270</v>
      </c>
      <c r="G196" s="1026">
        <v>404915</v>
      </c>
      <c r="H196" s="879">
        <f t="shared" si="12"/>
        <v>9.501426225257152</v>
      </c>
    </row>
    <row r="197" spans="1:8">
      <c r="A197" t="s">
        <v>170</v>
      </c>
      <c r="B197" t="s">
        <v>129</v>
      </c>
      <c r="C197" t="s">
        <v>544</v>
      </c>
      <c r="D197" t="s">
        <v>150</v>
      </c>
      <c r="E197" t="s">
        <v>145</v>
      </c>
      <c r="F197" s="784">
        <v>12979438</v>
      </c>
      <c r="G197" s="1026">
        <v>12451031</v>
      </c>
      <c r="H197" s="879">
        <f t="shared" si="12"/>
        <v>1.0424388149061712</v>
      </c>
    </row>
    <row r="198" spans="1:8">
      <c r="A198" t="s">
        <v>171</v>
      </c>
      <c r="B198" t="s">
        <v>132</v>
      </c>
      <c r="C198" t="s">
        <v>544</v>
      </c>
      <c r="D198" t="s">
        <v>150</v>
      </c>
      <c r="E198" t="s">
        <v>145</v>
      </c>
      <c r="F198" s="784">
        <v>1633845</v>
      </c>
      <c r="G198" s="1026">
        <v>779900</v>
      </c>
      <c r="H198" s="879">
        <f t="shared" si="12"/>
        <v>2.0949416591870751</v>
      </c>
    </row>
    <row r="199" spans="1:8">
      <c r="A199" t="s">
        <v>172</v>
      </c>
      <c r="B199" t="s">
        <v>130</v>
      </c>
      <c r="C199" t="s">
        <v>544</v>
      </c>
      <c r="D199" t="s">
        <v>150</v>
      </c>
      <c r="E199" t="s">
        <v>145</v>
      </c>
      <c r="F199" s="784">
        <v>5956519</v>
      </c>
      <c r="G199" s="1026">
        <v>11832936</v>
      </c>
      <c r="H199" s="879">
        <f t="shared" si="12"/>
        <v>0.50338470519911538</v>
      </c>
    </row>
    <row r="200" spans="1:8">
      <c r="A200" t="s">
        <v>174</v>
      </c>
      <c r="B200" t="s">
        <v>127</v>
      </c>
      <c r="C200" t="s">
        <v>544</v>
      </c>
      <c r="D200" t="s">
        <v>152</v>
      </c>
      <c r="E200" t="s">
        <v>146</v>
      </c>
      <c r="F200" s="784">
        <v>2250000</v>
      </c>
      <c r="G200" s="1026">
        <v>3263459</v>
      </c>
      <c r="H200" s="879">
        <f t="shared" si="12"/>
        <v>0.68945251035787491</v>
      </c>
    </row>
    <row r="201" spans="1:8">
      <c r="A201" t="s">
        <v>175</v>
      </c>
      <c r="B201" t="s">
        <v>128</v>
      </c>
      <c r="C201" t="s">
        <v>544</v>
      </c>
      <c r="D201" t="s">
        <v>152</v>
      </c>
      <c r="E201" t="s">
        <v>146</v>
      </c>
      <c r="F201" s="784">
        <v>4471162</v>
      </c>
      <c r="G201" s="1026">
        <v>2397240</v>
      </c>
      <c r="H201" s="879">
        <f t="shared" si="12"/>
        <v>1.865129065091522</v>
      </c>
    </row>
    <row r="202" spans="1:8">
      <c r="A202" t="s">
        <v>144</v>
      </c>
      <c r="B202" t="s">
        <v>130</v>
      </c>
      <c r="C202" t="s">
        <v>544</v>
      </c>
      <c r="D202" t="s">
        <v>152</v>
      </c>
      <c r="E202" t="s">
        <v>146</v>
      </c>
      <c r="F202" s="784">
        <v>4502593</v>
      </c>
      <c r="G202" s="1026">
        <v>213993441</v>
      </c>
      <c r="H202" s="879">
        <f t="shared" si="12"/>
        <v>2.1040799096267628E-2</v>
      </c>
    </row>
    <row r="203" spans="1:8">
      <c r="A203" t="s">
        <v>176</v>
      </c>
      <c r="B203" t="s">
        <v>127</v>
      </c>
      <c r="C203" t="s">
        <v>544</v>
      </c>
      <c r="D203" t="s">
        <v>152</v>
      </c>
      <c r="E203" t="s">
        <v>146</v>
      </c>
      <c r="F203" s="784">
        <v>1300000</v>
      </c>
      <c r="G203" s="1026">
        <v>6948445</v>
      </c>
      <c r="H203" s="879">
        <f t="shared" si="12"/>
        <v>0.18709221991395197</v>
      </c>
    </row>
    <row r="204" spans="1:8">
      <c r="A204" t="s">
        <v>177</v>
      </c>
      <c r="B204" t="s">
        <v>129</v>
      </c>
      <c r="C204" t="s">
        <v>544</v>
      </c>
      <c r="D204" t="s">
        <v>148</v>
      </c>
      <c r="E204" t="s">
        <v>145</v>
      </c>
      <c r="F204" s="784">
        <v>9306449</v>
      </c>
      <c r="G204" s="1026">
        <v>21497097</v>
      </c>
      <c r="H204" s="879">
        <f t="shared" si="12"/>
        <v>0.43291654682490383</v>
      </c>
    </row>
    <row r="205" spans="1:8">
      <c r="A205" t="s">
        <v>178</v>
      </c>
      <c r="B205" t="s">
        <v>128</v>
      </c>
      <c r="C205" t="s">
        <v>544</v>
      </c>
      <c r="D205" t="s">
        <v>148</v>
      </c>
      <c r="E205" t="s">
        <v>145</v>
      </c>
      <c r="F205" s="784">
        <v>19908059</v>
      </c>
      <c r="G205" s="1026">
        <v>12255429</v>
      </c>
      <c r="H205" s="879">
        <f t="shared" si="12"/>
        <v>1.6244277536102572</v>
      </c>
    </row>
    <row r="206" spans="1:8">
      <c r="A206" t="s">
        <v>179</v>
      </c>
      <c r="B206" t="s">
        <v>129</v>
      </c>
      <c r="C206" t="s">
        <v>541</v>
      </c>
      <c r="D206" t="s">
        <v>150</v>
      </c>
      <c r="E206" t="s">
        <v>145</v>
      </c>
      <c r="F206" s="784">
        <v>5668147.6881481484</v>
      </c>
      <c r="G206" s="1026">
        <v>561901</v>
      </c>
      <c r="H206" s="879">
        <f t="shared" si="12"/>
        <v>10.087449013523999</v>
      </c>
    </row>
    <row r="207" spans="1:8">
      <c r="A207" t="s">
        <v>180</v>
      </c>
      <c r="B207" t="s">
        <v>126</v>
      </c>
      <c r="C207" t="s">
        <v>544</v>
      </c>
      <c r="D207" t="s">
        <v>150</v>
      </c>
      <c r="E207" t="s">
        <v>145</v>
      </c>
      <c r="F207" s="784">
        <v>7402339.888888889</v>
      </c>
      <c r="G207" s="1026">
        <v>16946446</v>
      </c>
      <c r="H207" s="879">
        <f t="shared" si="12"/>
        <v>0.43680780553567922</v>
      </c>
    </row>
    <row r="208" spans="1:8">
      <c r="A208" t="s">
        <v>181</v>
      </c>
      <c r="B208" t="s">
        <v>129</v>
      </c>
      <c r="C208" t="s">
        <v>544</v>
      </c>
      <c r="D208" t="s">
        <v>150</v>
      </c>
      <c r="E208" t="s">
        <v>145</v>
      </c>
      <c r="F208" s="784">
        <v>29914146.851851851</v>
      </c>
      <c r="G208" s="1026">
        <v>27224262</v>
      </c>
      <c r="H208" s="879">
        <f t="shared" si="12"/>
        <v>1.0988046931024926</v>
      </c>
    </row>
    <row r="209" spans="1:8">
      <c r="A209" t="s">
        <v>182</v>
      </c>
      <c r="B209" t="s">
        <v>129</v>
      </c>
      <c r="C209" t="s">
        <v>544</v>
      </c>
      <c r="D209" t="s">
        <v>148</v>
      </c>
      <c r="E209" t="s">
        <v>145</v>
      </c>
      <c r="F209" s="784">
        <v>5478055.3703703703</v>
      </c>
      <c r="G209" s="1026">
        <v>4919987</v>
      </c>
      <c r="H209" s="879">
        <f t="shared" si="12"/>
        <v>1.1134288302734072</v>
      </c>
    </row>
    <row r="210" spans="1:8">
      <c r="A210" t="s">
        <v>183</v>
      </c>
      <c r="B210" t="s">
        <v>129</v>
      </c>
      <c r="C210" t="s">
        <v>544</v>
      </c>
      <c r="D210" t="s">
        <v>148</v>
      </c>
      <c r="E210" t="s">
        <v>145</v>
      </c>
      <c r="F210" s="784">
        <v>18418813.185185187</v>
      </c>
      <c r="G210" s="1026">
        <v>16914985</v>
      </c>
      <c r="H210" s="879">
        <f t="shared" si="12"/>
        <v>1.0889050853539146</v>
      </c>
    </row>
    <row r="211" spans="1:8">
      <c r="A211" t="s">
        <v>186</v>
      </c>
      <c r="B211" t="s">
        <v>130</v>
      </c>
      <c r="C211" t="s">
        <v>544</v>
      </c>
      <c r="D211" t="s">
        <v>152</v>
      </c>
      <c r="E211" t="s">
        <v>146</v>
      </c>
      <c r="F211" s="784">
        <v>11200000</v>
      </c>
      <c r="G211" s="1026">
        <v>51265841</v>
      </c>
      <c r="H211" s="879">
        <f t="shared" si="12"/>
        <v>0.21846905817852477</v>
      </c>
    </row>
    <row r="212" spans="1:8">
      <c r="A212" t="s">
        <v>187</v>
      </c>
      <c r="B212" t="s">
        <v>128</v>
      </c>
      <c r="C212" t="s">
        <v>541</v>
      </c>
      <c r="D212" t="s">
        <v>150</v>
      </c>
      <c r="E212" t="s">
        <v>145</v>
      </c>
      <c r="F212" s="784">
        <v>13535310</v>
      </c>
      <c r="G212" s="1026">
        <v>888456</v>
      </c>
      <c r="H212" s="879">
        <f t="shared" si="12"/>
        <v>15.234643021151301</v>
      </c>
    </row>
    <row r="213" spans="1:8">
      <c r="A213" t="s">
        <v>188</v>
      </c>
      <c r="B213" t="s">
        <v>129</v>
      </c>
      <c r="C213" t="s">
        <v>544</v>
      </c>
      <c r="D213" t="s">
        <v>148</v>
      </c>
      <c r="E213" t="s">
        <v>145</v>
      </c>
      <c r="F213" s="784">
        <v>87026679</v>
      </c>
      <c r="G213" s="1026">
        <v>92377986</v>
      </c>
      <c r="H213" s="879">
        <f t="shared" si="12"/>
        <v>0.94207162082966389</v>
      </c>
    </row>
    <row r="214" spans="1:8">
      <c r="A214" t="s">
        <v>189</v>
      </c>
      <c r="B214" t="s">
        <v>129</v>
      </c>
      <c r="C214" t="s">
        <v>544</v>
      </c>
      <c r="D214" t="s">
        <v>150</v>
      </c>
      <c r="E214" t="s">
        <v>145</v>
      </c>
      <c r="F214" s="784">
        <v>6617930</v>
      </c>
      <c r="G214" s="1026">
        <v>5657017</v>
      </c>
      <c r="H214" s="879">
        <f t="shared" si="12"/>
        <v>1.1698621375894751</v>
      </c>
    </row>
    <row r="215" spans="1:8">
      <c r="A215" t="s">
        <v>190</v>
      </c>
      <c r="B215" t="s">
        <v>126</v>
      </c>
      <c r="C215" t="s">
        <v>541</v>
      </c>
      <c r="D215" t="s">
        <v>322</v>
      </c>
      <c r="E215" t="s">
        <v>146</v>
      </c>
      <c r="F215" s="784">
        <v>198193</v>
      </c>
      <c r="G215" s="1026">
        <v>17564</v>
      </c>
      <c r="H215" s="879">
        <f t="shared" si="12"/>
        <v>11.284046914142564</v>
      </c>
    </row>
    <row r="216" spans="1:8">
      <c r="A216" t="s">
        <v>191</v>
      </c>
      <c r="B216" t="s">
        <v>130</v>
      </c>
      <c r="C216" t="s">
        <v>544</v>
      </c>
      <c r="D216" t="s">
        <v>152</v>
      </c>
      <c r="E216" t="s">
        <v>146</v>
      </c>
      <c r="F216" s="784">
        <v>550000</v>
      </c>
      <c r="G216" s="1026">
        <v>5139053</v>
      </c>
      <c r="H216" s="879">
        <f t="shared" si="12"/>
        <v>0.10702360921360414</v>
      </c>
    </row>
    <row r="217" spans="1:8">
      <c r="A217" t="s">
        <v>192</v>
      </c>
      <c r="B217" t="s">
        <v>129</v>
      </c>
      <c r="C217" t="s">
        <v>544</v>
      </c>
      <c r="D217" t="s">
        <v>150</v>
      </c>
      <c r="E217" t="s">
        <v>145</v>
      </c>
      <c r="F217" s="784">
        <v>45088259.274074078</v>
      </c>
      <c r="G217" s="1026">
        <v>27053629</v>
      </c>
      <c r="H217" s="879">
        <f t="shared" si="12"/>
        <v>1.6666251789759547</v>
      </c>
    </row>
    <row r="218" spans="1:8">
      <c r="A218" t="s">
        <v>147</v>
      </c>
      <c r="B218" t="s">
        <v>130</v>
      </c>
      <c r="C218" t="s">
        <v>541</v>
      </c>
      <c r="D218" t="s">
        <v>152</v>
      </c>
      <c r="E218" t="s">
        <v>146</v>
      </c>
      <c r="F218" s="784">
        <v>1215090</v>
      </c>
      <c r="G218" s="1026">
        <v>11317498</v>
      </c>
      <c r="H218" s="879">
        <f t="shared" si="12"/>
        <v>0.10736383607048131</v>
      </c>
    </row>
    <row r="219" spans="1:8">
      <c r="A219" t="s">
        <v>194</v>
      </c>
      <c r="B219" t="s">
        <v>131</v>
      </c>
      <c r="C219" t="s">
        <v>544</v>
      </c>
      <c r="D219" t="s">
        <v>150</v>
      </c>
      <c r="E219" t="s">
        <v>145</v>
      </c>
      <c r="F219" s="784">
        <v>2569428.4814814813</v>
      </c>
      <c r="G219" s="1026">
        <v>1002197</v>
      </c>
      <c r="H219" s="879">
        <f t="shared" si="12"/>
        <v>2.5637958220604147</v>
      </c>
    </row>
    <row r="220" spans="1:8">
      <c r="A220" t="s">
        <v>195</v>
      </c>
      <c r="B220" t="s">
        <v>130</v>
      </c>
      <c r="C220" t="s">
        <v>541</v>
      </c>
      <c r="D220" t="s">
        <v>152</v>
      </c>
      <c r="E220" t="s">
        <v>145</v>
      </c>
      <c r="F220" s="784">
        <v>555000.03</v>
      </c>
      <c r="G220" s="1026">
        <v>71625</v>
      </c>
      <c r="H220" s="879">
        <f t="shared" si="12"/>
        <v>7.7486915183246081</v>
      </c>
    </row>
    <row r="221" spans="1:8">
      <c r="A221" t="s">
        <v>196</v>
      </c>
      <c r="B221" t="s">
        <v>130</v>
      </c>
      <c r="C221" t="s">
        <v>541</v>
      </c>
      <c r="D221" t="s">
        <v>152</v>
      </c>
      <c r="E221" t="s">
        <v>146</v>
      </c>
      <c r="F221" s="784">
        <v>801756</v>
      </c>
      <c r="G221" s="1026">
        <v>10953714</v>
      </c>
      <c r="H221" s="879">
        <f t="shared" si="12"/>
        <v>7.3194899921615625E-2</v>
      </c>
    </row>
    <row r="222" spans="1:8">
      <c r="A222" t="s">
        <v>197</v>
      </c>
      <c r="B222" t="s">
        <v>130</v>
      </c>
      <c r="C222" t="s">
        <v>544</v>
      </c>
      <c r="D222" t="s">
        <v>152</v>
      </c>
      <c r="E222" t="s">
        <v>146</v>
      </c>
      <c r="F222" s="784">
        <v>34093947</v>
      </c>
      <c r="G222" s="1026">
        <v>17888474</v>
      </c>
      <c r="H222" s="879">
        <f t="shared" si="12"/>
        <v>1.9059170167337918</v>
      </c>
    </row>
    <row r="223" spans="1:8">
      <c r="A223" t="s">
        <v>198</v>
      </c>
      <c r="B223" t="s">
        <v>131</v>
      </c>
      <c r="C223" t="s">
        <v>544</v>
      </c>
      <c r="D223" t="s">
        <v>150</v>
      </c>
      <c r="E223" t="s">
        <v>145</v>
      </c>
      <c r="F223" s="784">
        <v>18278053.370370373</v>
      </c>
      <c r="G223" s="1026">
        <v>104258327</v>
      </c>
      <c r="H223" s="879">
        <f t="shared" si="12"/>
        <v>0.17531504577442886</v>
      </c>
    </row>
    <row r="224" spans="1:8">
      <c r="A224" t="s">
        <v>199</v>
      </c>
      <c r="B224" t="s">
        <v>130</v>
      </c>
      <c r="C224" t="s">
        <v>544</v>
      </c>
      <c r="D224" t="s">
        <v>150</v>
      </c>
      <c r="E224" t="s">
        <v>145</v>
      </c>
      <c r="F224" s="784">
        <v>50935214</v>
      </c>
      <c r="G224" s="1026">
        <v>6518500</v>
      </c>
      <c r="H224" s="879">
        <f t="shared" si="12"/>
        <v>7.8139470737132779</v>
      </c>
    </row>
    <row r="225" spans="1:8">
      <c r="A225" t="s">
        <v>200</v>
      </c>
      <c r="B225" t="s">
        <v>130</v>
      </c>
      <c r="C225" t="s">
        <v>544</v>
      </c>
      <c r="D225" t="s">
        <v>152</v>
      </c>
      <c r="E225" t="s">
        <v>146</v>
      </c>
      <c r="F225" s="784">
        <v>0</v>
      </c>
      <c r="G225" s="1026">
        <v>1449891</v>
      </c>
      <c r="H225" s="879">
        <f t="shared" si="12"/>
        <v>0</v>
      </c>
    </row>
    <row r="226" spans="1:8">
      <c r="A226" t="s">
        <v>201</v>
      </c>
      <c r="B226" t="s">
        <v>128</v>
      </c>
      <c r="C226" t="s">
        <v>544</v>
      </c>
      <c r="D226" t="s">
        <v>148</v>
      </c>
      <c r="E226" t="s">
        <v>145</v>
      </c>
      <c r="F226" s="784">
        <v>357784.62962962961</v>
      </c>
      <c r="G226" s="1026">
        <v>3601462</v>
      </c>
      <c r="H226" s="879">
        <f t="shared" si="12"/>
        <v>9.9344274527852744E-2</v>
      </c>
    </row>
    <row r="227" spans="1:8">
      <c r="A227" t="s">
        <v>202</v>
      </c>
      <c r="B227" t="s">
        <v>128</v>
      </c>
      <c r="C227" t="s">
        <v>544</v>
      </c>
      <c r="D227" t="s">
        <v>150</v>
      </c>
      <c r="E227" t="s">
        <v>145</v>
      </c>
      <c r="F227" s="784">
        <v>9011997</v>
      </c>
      <c r="G227" s="1026">
        <v>1172369</v>
      </c>
      <c r="H227" s="879">
        <f t="shared" si="12"/>
        <v>7.6869970120329008</v>
      </c>
    </row>
    <row r="228" spans="1:8">
      <c r="A228" t="s">
        <v>203</v>
      </c>
      <c r="B228" t="s">
        <v>128</v>
      </c>
      <c r="C228" t="s">
        <v>544</v>
      </c>
      <c r="D228" t="s">
        <v>148</v>
      </c>
      <c r="E228" t="s">
        <v>145</v>
      </c>
      <c r="F228" s="784">
        <v>204487864.77777779</v>
      </c>
      <c r="G228" s="1026">
        <v>117876226</v>
      </c>
      <c r="H228" s="879">
        <f t="shared" si="12"/>
        <v>1.7347676602555786</v>
      </c>
    </row>
    <row r="229" spans="1:8">
      <c r="A229" t="s">
        <v>204</v>
      </c>
      <c r="B229" t="s">
        <v>126</v>
      </c>
      <c r="C229" t="s">
        <v>541</v>
      </c>
      <c r="D229" t="s">
        <v>152</v>
      </c>
      <c r="E229" t="s">
        <v>145</v>
      </c>
      <c r="F229" s="784">
        <v>4297808</v>
      </c>
      <c r="G229" s="1026">
        <v>902899</v>
      </c>
      <c r="H229" s="879">
        <f t="shared" si="12"/>
        <v>4.7600097020818497</v>
      </c>
    </row>
    <row r="230" spans="1:8">
      <c r="A230" t="s">
        <v>205</v>
      </c>
      <c r="B230" t="s">
        <v>129</v>
      </c>
      <c r="C230" t="s">
        <v>544</v>
      </c>
      <c r="D230" t="s">
        <v>152</v>
      </c>
      <c r="E230" t="s">
        <v>146</v>
      </c>
      <c r="F230" s="784">
        <v>3200000</v>
      </c>
      <c r="G230" s="1026">
        <v>2278829</v>
      </c>
      <c r="H230" s="879">
        <f t="shared" si="12"/>
        <v>1.4042299795201834</v>
      </c>
    </row>
    <row r="231" spans="1:8">
      <c r="A231" t="s">
        <v>206</v>
      </c>
      <c r="B231" t="s">
        <v>129</v>
      </c>
      <c r="C231" t="s">
        <v>544</v>
      </c>
      <c r="D231" t="s">
        <v>148</v>
      </c>
      <c r="E231" t="s">
        <v>145</v>
      </c>
      <c r="F231" s="784">
        <v>4502636</v>
      </c>
      <c r="G231" s="1026">
        <v>2486937</v>
      </c>
      <c r="H231" s="879">
        <f t="shared" si="12"/>
        <v>1.8105147014178486</v>
      </c>
    </row>
    <row r="232" spans="1:8">
      <c r="A232" t="s">
        <v>207</v>
      </c>
      <c r="B232" t="s">
        <v>127</v>
      </c>
      <c r="C232" t="s">
        <v>544</v>
      </c>
      <c r="D232" t="s">
        <v>152</v>
      </c>
      <c r="E232" t="s">
        <v>146</v>
      </c>
      <c r="F232" s="784">
        <v>5700000</v>
      </c>
      <c r="G232" s="1026">
        <v>3979773</v>
      </c>
      <c r="H232" s="879">
        <f t="shared" si="12"/>
        <v>1.4322424922225463</v>
      </c>
    </row>
    <row r="233" spans="1:8">
      <c r="A233" t="s">
        <v>208</v>
      </c>
      <c r="B233" t="s">
        <v>129</v>
      </c>
      <c r="C233" t="s">
        <v>544</v>
      </c>
      <c r="D233" t="s">
        <v>150</v>
      </c>
      <c r="E233" t="s">
        <v>145</v>
      </c>
      <c r="F233" s="784">
        <v>16143013</v>
      </c>
      <c r="G233" s="1026">
        <v>31732128</v>
      </c>
      <c r="H233" s="879">
        <f t="shared" si="12"/>
        <v>0.50872771596030375</v>
      </c>
    </row>
    <row r="234" spans="1:8">
      <c r="A234" t="s">
        <v>209</v>
      </c>
      <c r="B234" t="s">
        <v>130</v>
      </c>
      <c r="C234" t="s">
        <v>541</v>
      </c>
      <c r="D234" t="s">
        <v>152</v>
      </c>
      <c r="E234" t="s">
        <v>145</v>
      </c>
      <c r="F234" s="784">
        <v>555000</v>
      </c>
      <c r="G234" s="1026">
        <v>113015</v>
      </c>
      <c r="H234" s="879">
        <f t="shared" si="12"/>
        <v>4.9108525416980049</v>
      </c>
    </row>
    <row r="235" spans="1:8">
      <c r="A235" t="s">
        <v>210</v>
      </c>
      <c r="B235" t="s">
        <v>130</v>
      </c>
      <c r="C235" t="s">
        <v>544</v>
      </c>
      <c r="D235" t="s">
        <v>152</v>
      </c>
      <c r="E235" t="s">
        <v>146</v>
      </c>
      <c r="F235" s="784">
        <v>6783889</v>
      </c>
      <c r="G235" s="1026">
        <v>18249868</v>
      </c>
      <c r="H235" s="879">
        <f t="shared" si="12"/>
        <v>0.37172263382946114</v>
      </c>
    </row>
    <row r="236" spans="1:8">
      <c r="A236" t="s">
        <v>211</v>
      </c>
      <c r="B236" t="s">
        <v>129</v>
      </c>
      <c r="C236" t="s">
        <v>544</v>
      </c>
      <c r="D236" t="s">
        <v>148</v>
      </c>
      <c r="E236" t="s">
        <v>145</v>
      </c>
      <c r="F236" s="784">
        <v>20450627</v>
      </c>
      <c r="G236" s="1026">
        <v>13497237</v>
      </c>
      <c r="H236" s="879">
        <f t="shared" si="12"/>
        <v>1.5151713643318259</v>
      </c>
    </row>
    <row r="237" spans="1:8">
      <c r="A237" t="s">
        <v>212</v>
      </c>
      <c r="B237" t="s">
        <v>129</v>
      </c>
      <c r="C237" t="s">
        <v>541</v>
      </c>
      <c r="D237" t="s">
        <v>148</v>
      </c>
      <c r="E237" t="s">
        <v>145</v>
      </c>
      <c r="F237" s="784">
        <v>4236379.1851851847</v>
      </c>
      <c r="G237" s="1026">
        <v>2015490</v>
      </c>
      <c r="H237" s="879">
        <f t="shared" si="12"/>
        <v>2.1019102973396966</v>
      </c>
    </row>
    <row r="238" spans="1:8">
      <c r="A238" t="s">
        <v>213</v>
      </c>
      <c r="B238" t="s">
        <v>130</v>
      </c>
      <c r="C238" t="s">
        <v>541</v>
      </c>
      <c r="D238" t="s">
        <v>152</v>
      </c>
      <c r="E238" t="s">
        <v>145</v>
      </c>
      <c r="F238" s="784">
        <v>2158349</v>
      </c>
      <c r="G238" s="1026">
        <v>790329</v>
      </c>
      <c r="H238" s="879">
        <f t="shared" si="12"/>
        <v>2.7309500220794125</v>
      </c>
    </row>
    <row r="239" spans="1:8">
      <c r="A239" t="s">
        <v>214</v>
      </c>
      <c r="B239" t="s">
        <v>130</v>
      </c>
      <c r="C239" t="s">
        <v>541</v>
      </c>
      <c r="D239" t="s">
        <v>150</v>
      </c>
      <c r="E239" t="s">
        <v>145</v>
      </c>
      <c r="F239" s="784">
        <v>15503083.175555555</v>
      </c>
      <c r="G239" s="1026">
        <v>11541683</v>
      </c>
      <c r="H239" s="879">
        <f t="shared" si="12"/>
        <v>1.3432255222705003</v>
      </c>
    </row>
    <row r="240" spans="1:8">
      <c r="A240" t="s">
        <v>215</v>
      </c>
      <c r="B240" t="s">
        <v>130</v>
      </c>
      <c r="C240" t="s">
        <v>544</v>
      </c>
      <c r="D240" t="s">
        <v>150</v>
      </c>
      <c r="E240" t="s">
        <v>145</v>
      </c>
      <c r="F240" s="784">
        <v>36562719.839259252</v>
      </c>
      <c r="G240" s="1026">
        <v>10062994</v>
      </c>
      <c r="H240" s="879">
        <f t="shared" si="12"/>
        <v>3.6333838457281451</v>
      </c>
    </row>
    <row r="241" spans="1:8">
      <c r="A241" t="s">
        <v>216</v>
      </c>
      <c r="B241" t="s">
        <v>132</v>
      </c>
      <c r="C241" t="s">
        <v>544</v>
      </c>
      <c r="D241" t="s">
        <v>150</v>
      </c>
      <c r="E241" t="s">
        <v>145</v>
      </c>
      <c r="F241" s="784">
        <v>122443828.18518519</v>
      </c>
      <c r="G241" s="1026">
        <v>1393409033</v>
      </c>
      <c r="H241" s="879">
        <f t="shared" si="12"/>
        <v>8.7873571424726932E-2</v>
      </c>
    </row>
    <row r="242" spans="1:8">
      <c r="A242" t="s">
        <v>217</v>
      </c>
      <c r="B242" t="s">
        <v>126</v>
      </c>
      <c r="C242" t="s">
        <v>544</v>
      </c>
      <c r="D242" t="s">
        <v>150</v>
      </c>
      <c r="E242" t="s">
        <v>145</v>
      </c>
      <c r="F242" s="784">
        <v>290360563</v>
      </c>
      <c r="G242" s="1026">
        <v>276361788</v>
      </c>
      <c r="H242" s="879">
        <f t="shared" si="12"/>
        <v>1.0506538009516713</v>
      </c>
    </row>
    <row r="243" spans="1:8">
      <c r="A243" t="s">
        <v>149</v>
      </c>
      <c r="B243" t="s">
        <v>131</v>
      </c>
      <c r="C243" t="s">
        <v>544</v>
      </c>
      <c r="D243" t="s">
        <v>150</v>
      </c>
      <c r="E243" t="s">
        <v>146</v>
      </c>
      <c r="F243" s="784">
        <v>2428858</v>
      </c>
      <c r="G243" s="1026">
        <v>85028760</v>
      </c>
      <c r="H243" s="879">
        <f t="shared" si="12"/>
        <v>2.8565134902590605E-2</v>
      </c>
    </row>
    <row r="244" spans="1:8">
      <c r="A244" t="s">
        <v>218</v>
      </c>
      <c r="B244" t="s">
        <v>131</v>
      </c>
      <c r="C244" t="s">
        <v>544</v>
      </c>
      <c r="D244" t="s">
        <v>152</v>
      </c>
      <c r="E244" t="s">
        <v>146</v>
      </c>
      <c r="F244" s="784">
        <v>32334102</v>
      </c>
      <c r="G244" s="1026">
        <v>41179351</v>
      </c>
      <c r="H244" s="879">
        <f t="shared" si="12"/>
        <v>0.78520183574529867</v>
      </c>
    </row>
    <row r="245" spans="1:8">
      <c r="A245" t="s">
        <v>219</v>
      </c>
      <c r="B245" t="s">
        <v>130</v>
      </c>
      <c r="C245" t="s">
        <v>541</v>
      </c>
      <c r="D245" t="s">
        <v>152</v>
      </c>
      <c r="E245" t="s">
        <v>146</v>
      </c>
      <c r="F245" s="784">
        <v>4579630</v>
      </c>
      <c r="G245" s="1026">
        <v>2973462</v>
      </c>
      <c r="H245" s="879">
        <f t="shared" si="12"/>
        <v>1.5401676564220428</v>
      </c>
    </row>
    <row r="246" spans="1:8">
      <c r="A246" t="s">
        <v>220</v>
      </c>
      <c r="B246" t="s">
        <v>131</v>
      </c>
      <c r="C246" t="s">
        <v>544</v>
      </c>
      <c r="D246" t="s">
        <v>152</v>
      </c>
      <c r="E246" t="s">
        <v>146</v>
      </c>
      <c r="F246" s="784">
        <v>5702526</v>
      </c>
      <c r="G246" s="1026">
        <v>10269022</v>
      </c>
      <c r="H246" s="879">
        <f t="shared" si="12"/>
        <v>0.55531344659695925</v>
      </c>
    </row>
    <row r="247" spans="1:8">
      <c r="A247" t="s">
        <v>221</v>
      </c>
      <c r="B247" t="s">
        <v>127</v>
      </c>
      <c r="C247" t="s">
        <v>544</v>
      </c>
      <c r="D247" t="s">
        <v>152</v>
      </c>
      <c r="E247" t="s">
        <v>146</v>
      </c>
      <c r="F247" s="784">
        <v>2500000</v>
      </c>
      <c r="G247" s="1026">
        <v>18994958</v>
      </c>
      <c r="H247" s="879">
        <f t="shared" si="12"/>
        <v>0.13161387353422946</v>
      </c>
    </row>
    <row r="248" spans="1:8">
      <c r="A248" t="s">
        <v>222</v>
      </c>
      <c r="B248" t="s">
        <v>128</v>
      </c>
      <c r="C248" t="s">
        <v>544</v>
      </c>
      <c r="D248" t="s">
        <v>150</v>
      </c>
      <c r="E248" t="s">
        <v>145</v>
      </c>
      <c r="F248" s="784">
        <v>36467168</v>
      </c>
      <c r="G248" s="1026">
        <v>54985702</v>
      </c>
      <c r="H248" s="879">
        <f t="shared" si="12"/>
        <v>0.66321182914060095</v>
      </c>
    </row>
    <row r="249" spans="1:8">
      <c r="A249" t="s">
        <v>223</v>
      </c>
      <c r="B249" t="s">
        <v>126</v>
      </c>
      <c r="C249" t="s">
        <v>541</v>
      </c>
      <c r="D249" t="s">
        <v>150</v>
      </c>
      <c r="E249" t="s">
        <v>145</v>
      </c>
      <c r="F249" s="784">
        <v>6298691</v>
      </c>
      <c r="G249" s="1026">
        <v>121388</v>
      </c>
      <c r="H249" s="879">
        <f t="shared" si="12"/>
        <v>51.888909941674633</v>
      </c>
    </row>
    <row r="250" spans="1:8">
      <c r="A250" t="s">
        <v>224</v>
      </c>
      <c r="B250" t="s">
        <v>126</v>
      </c>
      <c r="C250" t="s">
        <v>544</v>
      </c>
      <c r="D250" t="s">
        <v>148</v>
      </c>
      <c r="E250" t="s">
        <v>145</v>
      </c>
      <c r="F250" s="784">
        <v>0</v>
      </c>
      <c r="G250" s="1026">
        <v>25887045</v>
      </c>
      <c r="H250" s="879">
        <f t="shared" si="12"/>
        <v>0</v>
      </c>
    </row>
    <row r="251" spans="1:8">
      <c r="A251" t="s">
        <v>225</v>
      </c>
      <c r="B251" t="s">
        <v>127</v>
      </c>
      <c r="C251" t="s">
        <v>544</v>
      </c>
      <c r="D251" t="s">
        <v>152</v>
      </c>
      <c r="E251" t="s">
        <v>145</v>
      </c>
      <c r="F251" s="784">
        <v>5768036</v>
      </c>
      <c r="G251" s="1026">
        <v>1794000</v>
      </c>
      <c r="H251" s="879">
        <f t="shared" si="12"/>
        <v>3.2151817168338908</v>
      </c>
    </row>
    <row r="252" spans="1:8">
      <c r="A252" t="s">
        <v>226</v>
      </c>
      <c r="B252" t="s">
        <v>127</v>
      </c>
      <c r="C252" t="s">
        <v>544</v>
      </c>
      <c r="D252" t="s">
        <v>150</v>
      </c>
      <c r="E252" t="s">
        <v>145</v>
      </c>
      <c r="F252" s="784">
        <v>8928778</v>
      </c>
      <c r="G252" s="1026">
        <v>6628347</v>
      </c>
      <c r="H252" s="879">
        <f t="shared" ref="H252:H315" si="13">F252/G252</f>
        <v>1.3470595308302356</v>
      </c>
    </row>
    <row r="253" spans="1:8">
      <c r="A253" t="s">
        <v>227</v>
      </c>
      <c r="B253" t="s">
        <v>126</v>
      </c>
      <c r="C253" t="s">
        <v>544</v>
      </c>
      <c r="D253" t="s">
        <v>150</v>
      </c>
      <c r="E253" t="s">
        <v>145</v>
      </c>
      <c r="F253" s="784">
        <v>15016857.333333332</v>
      </c>
      <c r="G253" s="1026">
        <v>7379358</v>
      </c>
      <c r="H253" s="879">
        <f t="shared" si="13"/>
        <v>2.0349815435615581</v>
      </c>
    </row>
    <row r="254" spans="1:8">
      <c r="A254" t="s">
        <v>228</v>
      </c>
      <c r="B254" t="s">
        <v>131</v>
      </c>
      <c r="C254" t="s">
        <v>544</v>
      </c>
      <c r="D254" t="s">
        <v>152</v>
      </c>
      <c r="E254" t="s">
        <v>146</v>
      </c>
      <c r="F254" s="784">
        <v>21094128</v>
      </c>
      <c r="G254" s="1026">
        <v>6769151</v>
      </c>
      <c r="H254" s="879">
        <f t="shared" si="13"/>
        <v>3.1162147217575735</v>
      </c>
    </row>
    <row r="255" spans="1:8">
      <c r="A255" t="s">
        <v>229</v>
      </c>
      <c r="B255" t="s">
        <v>128</v>
      </c>
      <c r="C255" t="s">
        <v>544</v>
      </c>
      <c r="D255" t="s">
        <v>150</v>
      </c>
      <c r="E255" t="s">
        <v>145</v>
      </c>
      <c r="F255" s="784">
        <v>10107021</v>
      </c>
      <c r="G255" s="1026">
        <v>2159067</v>
      </c>
      <c r="H255" s="879">
        <f t="shared" si="13"/>
        <v>4.6811984065339338</v>
      </c>
    </row>
    <row r="256" spans="1:8">
      <c r="A256" t="s">
        <v>230</v>
      </c>
      <c r="B256" t="s">
        <v>129</v>
      </c>
      <c r="C256" t="s">
        <v>544</v>
      </c>
      <c r="D256" t="s">
        <v>148</v>
      </c>
      <c r="E256" t="s">
        <v>145</v>
      </c>
      <c r="F256" s="784">
        <v>6719653.4522222225</v>
      </c>
      <c r="G256" s="1026">
        <v>5180208</v>
      </c>
      <c r="H256" s="879">
        <f t="shared" si="13"/>
        <v>1.2971783087131294</v>
      </c>
    </row>
    <row r="257" spans="1:8">
      <c r="A257" t="s">
        <v>231</v>
      </c>
      <c r="B257" t="s">
        <v>131</v>
      </c>
      <c r="C257" t="s">
        <v>544</v>
      </c>
      <c r="D257" t="s">
        <v>152</v>
      </c>
      <c r="E257" t="s">
        <v>146</v>
      </c>
      <c r="F257" s="784">
        <v>5339573</v>
      </c>
      <c r="G257" s="1026">
        <v>6958538</v>
      </c>
      <c r="H257" s="879">
        <f t="shared" si="13"/>
        <v>0.76734121449074499</v>
      </c>
    </row>
    <row r="258" spans="1:8">
      <c r="A258" t="s">
        <v>232</v>
      </c>
      <c r="B258" t="s">
        <v>128</v>
      </c>
      <c r="C258" t="s">
        <v>544</v>
      </c>
      <c r="D258" t="s">
        <v>148</v>
      </c>
      <c r="E258" t="s">
        <v>145</v>
      </c>
      <c r="F258" s="784">
        <v>70293217.799999997</v>
      </c>
      <c r="G258" s="1026">
        <v>28427333</v>
      </c>
      <c r="H258" s="879">
        <f t="shared" si="13"/>
        <v>2.4727334709872362</v>
      </c>
    </row>
    <row r="259" spans="1:8">
      <c r="A259" t="s">
        <v>233</v>
      </c>
      <c r="B259" t="s">
        <v>128</v>
      </c>
      <c r="C259" t="s">
        <v>544</v>
      </c>
      <c r="D259" t="s">
        <v>148</v>
      </c>
      <c r="E259" t="s">
        <v>145</v>
      </c>
      <c r="F259" s="784">
        <v>9876177</v>
      </c>
      <c r="G259" s="1026">
        <v>19647681</v>
      </c>
      <c r="H259" s="879">
        <f t="shared" si="13"/>
        <v>0.50266374947761006</v>
      </c>
    </row>
    <row r="260" spans="1:8">
      <c r="A260" t="s">
        <v>234</v>
      </c>
      <c r="B260" t="s">
        <v>126</v>
      </c>
      <c r="C260" t="s">
        <v>544</v>
      </c>
      <c r="D260" t="s">
        <v>152</v>
      </c>
      <c r="E260" t="s">
        <v>146</v>
      </c>
      <c r="F260" s="784">
        <v>12750808</v>
      </c>
      <c r="G260" s="1026">
        <v>32776195</v>
      </c>
      <c r="H260" s="879">
        <f t="shared" si="13"/>
        <v>0.38902648705867171</v>
      </c>
    </row>
    <row r="261" spans="1:8">
      <c r="A261" t="s">
        <v>235</v>
      </c>
      <c r="B261" t="s">
        <v>132</v>
      </c>
      <c r="C261" t="s">
        <v>541</v>
      </c>
      <c r="D261" t="s">
        <v>152</v>
      </c>
      <c r="E261" t="s">
        <v>145</v>
      </c>
      <c r="F261" s="784">
        <v>3159297.333333333</v>
      </c>
      <c r="G261" s="1026">
        <v>543620</v>
      </c>
      <c r="H261" s="879">
        <f t="shared" si="13"/>
        <v>5.8115914302883134</v>
      </c>
    </row>
    <row r="262" spans="1:8">
      <c r="A262" t="s">
        <v>236</v>
      </c>
      <c r="B262" t="s">
        <v>129</v>
      </c>
      <c r="C262" t="s">
        <v>544</v>
      </c>
      <c r="D262" t="s">
        <v>148</v>
      </c>
      <c r="E262" t="s">
        <v>145</v>
      </c>
      <c r="F262" s="784">
        <v>21508203</v>
      </c>
      <c r="G262" s="1026">
        <v>20855724</v>
      </c>
      <c r="H262" s="879">
        <f t="shared" si="13"/>
        <v>1.0312853679881839</v>
      </c>
    </row>
    <row r="263" spans="1:8">
      <c r="A263" t="s">
        <v>237</v>
      </c>
      <c r="B263" t="s">
        <v>126</v>
      </c>
      <c r="C263" t="s">
        <v>541</v>
      </c>
      <c r="D263" t="s">
        <v>152</v>
      </c>
      <c r="E263" t="s">
        <v>145</v>
      </c>
      <c r="F263" s="784">
        <v>129000</v>
      </c>
      <c r="G263" s="1026">
        <v>58413</v>
      </c>
      <c r="H263" s="879">
        <f t="shared" si="13"/>
        <v>2.2084125109136665</v>
      </c>
    </row>
    <row r="264" spans="1:8">
      <c r="A264" t="s">
        <v>238</v>
      </c>
      <c r="B264" t="s">
        <v>129</v>
      </c>
      <c r="C264" t="s">
        <v>544</v>
      </c>
      <c r="D264" t="s">
        <v>150</v>
      </c>
      <c r="E264" t="s">
        <v>145</v>
      </c>
      <c r="F264" s="784">
        <v>20288495.52</v>
      </c>
      <c r="G264" s="1026">
        <v>4775110</v>
      </c>
      <c r="H264" s="879">
        <f t="shared" si="13"/>
        <v>4.2488017071858026</v>
      </c>
    </row>
    <row r="265" spans="1:8">
      <c r="A265" t="s">
        <v>239</v>
      </c>
      <c r="B265" t="s">
        <v>128</v>
      </c>
      <c r="C265" t="s">
        <v>541</v>
      </c>
      <c r="D265" t="s">
        <v>152</v>
      </c>
      <c r="E265" t="s">
        <v>146</v>
      </c>
      <c r="F265" s="784">
        <v>250000</v>
      </c>
      <c r="G265" s="1026">
        <v>1273428</v>
      </c>
      <c r="H265" s="879">
        <f t="shared" si="13"/>
        <v>0.1963204829797994</v>
      </c>
    </row>
    <row r="266" spans="1:8">
      <c r="A266" t="s">
        <v>240</v>
      </c>
      <c r="B266" t="s">
        <v>130</v>
      </c>
      <c r="C266" t="s">
        <v>544</v>
      </c>
      <c r="D266" t="s">
        <v>152</v>
      </c>
      <c r="E266" t="s">
        <v>146</v>
      </c>
      <c r="F266" s="784">
        <v>0</v>
      </c>
      <c r="G266" s="1026">
        <v>130262220</v>
      </c>
      <c r="H266" s="879">
        <f t="shared" si="13"/>
        <v>0</v>
      </c>
    </row>
    <row r="267" spans="1:8">
      <c r="A267" t="s">
        <v>241</v>
      </c>
      <c r="B267" t="s">
        <v>126</v>
      </c>
      <c r="C267" t="s">
        <v>541</v>
      </c>
      <c r="D267" t="s">
        <v>150</v>
      </c>
      <c r="E267" t="s">
        <v>145</v>
      </c>
      <c r="F267" s="784">
        <v>2349534</v>
      </c>
      <c r="G267" s="1026">
        <v>116255</v>
      </c>
      <c r="H267" s="879">
        <f t="shared" si="13"/>
        <v>20.210175906412626</v>
      </c>
    </row>
    <row r="268" spans="1:8">
      <c r="A268" t="s">
        <v>242</v>
      </c>
      <c r="B268" t="s">
        <v>127</v>
      </c>
      <c r="C268" t="s">
        <v>544</v>
      </c>
      <c r="D268" t="s">
        <v>152</v>
      </c>
      <c r="E268" t="s">
        <v>145</v>
      </c>
      <c r="F268" s="784">
        <v>13333693.149999999</v>
      </c>
      <c r="G268" s="1026">
        <v>4024025</v>
      </c>
      <c r="H268" s="879">
        <f t="shared" si="13"/>
        <v>3.3135214492951706</v>
      </c>
    </row>
    <row r="269" spans="1:8">
      <c r="A269" t="s">
        <v>243</v>
      </c>
      <c r="B269" t="s">
        <v>126</v>
      </c>
      <c r="C269" t="s">
        <v>544</v>
      </c>
      <c r="D269" t="s">
        <v>150</v>
      </c>
      <c r="E269" t="s">
        <v>145</v>
      </c>
      <c r="F269" s="784">
        <v>37890178</v>
      </c>
      <c r="G269" s="1026">
        <v>3329282</v>
      </c>
      <c r="H269" s="879">
        <f t="shared" si="13"/>
        <v>11.380885728514436</v>
      </c>
    </row>
    <row r="270" spans="1:8">
      <c r="A270" t="s">
        <v>244</v>
      </c>
      <c r="B270" t="s">
        <v>127</v>
      </c>
      <c r="C270" t="s">
        <v>544</v>
      </c>
      <c r="D270" t="s">
        <v>152</v>
      </c>
      <c r="E270" t="s">
        <v>146</v>
      </c>
      <c r="F270" s="784">
        <v>900000</v>
      </c>
      <c r="G270" s="1026">
        <v>628051</v>
      </c>
      <c r="H270" s="879">
        <f t="shared" si="13"/>
        <v>1.4330046445272757</v>
      </c>
    </row>
    <row r="271" spans="1:8">
      <c r="A271" t="s">
        <v>245</v>
      </c>
      <c r="B271" t="s">
        <v>131</v>
      </c>
      <c r="C271" t="s">
        <v>544</v>
      </c>
      <c r="D271" t="s">
        <v>150</v>
      </c>
      <c r="E271" t="s">
        <v>145</v>
      </c>
      <c r="F271" s="784">
        <v>4186000</v>
      </c>
      <c r="G271" s="1026">
        <v>37344787</v>
      </c>
      <c r="H271" s="879">
        <f t="shared" si="13"/>
        <v>0.11209061120096896</v>
      </c>
    </row>
    <row r="272" spans="1:8">
      <c r="A272" t="s">
        <v>246</v>
      </c>
      <c r="B272" t="s">
        <v>128</v>
      </c>
      <c r="C272" t="s">
        <v>544</v>
      </c>
      <c r="D272" t="s">
        <v>148</v>
      </c>
      <c r="E272" t="s">
        <v>145</v>
      </c>
      <c r="F272" s="784">
        <v>38021874.022962958</v>
      </c>
      <c r="G272" s="1026">
        <v>32163045</v>
      </c>
      <c r="H272" s="879">
        <f t="shared" si="13"/>
        <v>1.1821602719196196</v>
      </c>
    </row>
    <row r="273" spans="1:8">
      <c r="A273" t="s">
        <v>247</v>
      </c>
      <c r="B273" t="s">
        <v>126</v>
      </c>
      <c r="C273" t="s">
        <v>544</v>
      </c>
      <c r="D273" t="s">
        <v>150</v>
      </c>
      <c r="E273" t="s">
        <v>145</v>
      </c>
      <c r="F273" s="784">
        <v>9951357</v>
      </c>
      <c r="G273" s="1026">
        <v>54806014</v>
      </c>
      <c r="H273" s="879">
        <f t="shared" si="13"/>
        <v>0.18157417906728265</v>
      </c>
    </row>
    <row r="274" spans="1:8">
      <c r="A274" t="s">
        <v>248</v>
      </c>
      <c r="B274" t="s">
        <v>128</v>
      </c>
      <c r="C274" t="s">
        <v>544</v>
      </c>
      <c r="D274" t="s">
        <v>152</v>
      </c>
      <c r="E274" t="s">
        <v>146</v>
      </c>
      <c r="F274" s="784">
        <v>4642000</v>
      </c>
      <c r="G274" s="1026">
        <v>2587344</v>
      </c>
      <c r="H274" s="879">
        <f t="shared" si="13"/>
        <v>1.7941178289396384</v>
      </c>
    </row>
    <row r="275" spans="1:8">
      <c r="A275" t="s">
        <v>250</v>
      </c>
      <c r="B275" t="s">
        <v>132</v>
      </c>
      <c r="C275" t="s">
        <v>544</v>
      </c>
      <c r="D275" t="s">
        <v>150</v>
      </c>
      <c r="E275" t="s">
        <v>145</v>
      </c>
      <c r="F275" s="784">
        <v>23056111.185185187</v>
      </c>
      <c r="G275" s="1026">
        <v>29674920</v>
      </c>
      <c r="H275" s="879">
        <f t="shared" si="13"/>
        <v>0.77695613619801462</v>
      </c>
    </row>
    <row r="276" spans="1:8">
      <c r="A276" t="s">
        <v>251</v>
      </c>
      <c r="B276" t="s">
        <v>130</v>
      </c>
      <c r="C276" t="s">
        <v>544</v>
      </c>
      <c r="D276" t="s">
        <v>150</v>
      </c>
      <c r="E276" t="s">
        <v>145</v>
      </c>
      <c r="F276" s="784">
        <v>5450593.2999999998</v>
      </c>
      <c r="G276" s="1026">
        <v>6702379</v>
      </c>
      <c r="H276" s="879">
        <f t="shared" si="13"/>
        <v>0.81323262978712485</v>
      </c>
    </row>
    <row r="277" spans="1:8">
      <c r="A277" t="s">
        <v>252</v>
      </c>
      <c r="B277" t="s">
        <v>129</v>
      </c>
      <c r="C277" t="s">
        <v>544</v>
      </c>
      <c r="D277" t="s">
        <v>148</v>
      </c>
      <c r="E277" t="s">
        <v>145</v>
      </c>
      <c r="F277" s="784">
        <v>21617971.449999999</v>
      </c>
      <c r="G277" s="1026">
        <v>25130810</v>
      </c>
      <c r="H277" s="879">
        <f t="shared" si="13"/>
        <v>0.86021785410020601</v>
      </c>
    </row>
    <row r="278" spans="1:8">
      <c r="A278" t="s">
        <v>253</v>
      </c>
      <c r="B278" t="s">
        <v>129</v>
      </c>
      <c r="C278" t="s">
        <v>544</v>
      </c>
      <c r="D278" t="s">
        <v>150</v>
      </c>
      <c r="E278" t="s">
        <v>145</v>
      </c>
      <c r="F278" s="784">
        <v>107787093.3</v>
      </c>
      <c r="G278" s="1026">
        <v>211400704</v>
      </c>
      <c r="H278" s="879">
        <f t="shared" si="13"/>
        <v>0.50987102341910839</v>
      </c>
    </row>
    <row r="279" spans="1:8">
      <c r="A279" t="s">
        <v>254</v>
      </c>
      <c r="B279" t="s">
        <v>127</v>
      </c>
      <c r="C279" t="s">
        <v>544</v>
      </c>
      <c r="D279" t="s">
        <v>152</v>
      </c>
      <c r="E279" t="s">
        <v>146</v>
      </c>
      <c r="F279" s="784">
        <v>1600000</v>
      </c>
      <c r="G279" s="1026">
        <v>2082662</v>
      </c>
      <c r="H279" s="879">
        <f t="shared" si="13"/>
        <v>0.7682475600937646</v>
      </c>
    </row>
    <row r="280" spans="1:8">
      <c r="A280" t="s">
        <v>255</v>
      </c>
      <c r="B280" t="s">
        <v>132</v>
      </c>
      <c r="C280" t="s">
        <v>544</v>
      </c>
      <c r="D280" t="s">
        <v>150</v>
      </c>
      <c r="E280" t="s">
        <v>145</v>
      </c>
      <c r="F280" s="784">
        <v>31818535</v>
      </c>
      <c r="G280" s="1026">
        <v>225199929</v>
      </c>
      <c r="H280" s="879">
        <f t="shared" si="13"/>
        <v>0.14129016443872858</v>
      </c>
    </row>
    <row r="281" spans="1:8">
      <c r="A281" t="s">
        <v>257</v>
      </c>
      <c r="B281" t="s">
        <v>130</v>
      </c>
      <c r="C281" t="s">
        <v>544</v>
      </c>
      <c r="D281" t="s">
        <v>152</v>
      </c>
      <c r="E281" t="s">
        <v>146</v>
      </c>
      <c r="F281" s="784">
        <v>1900000</v>
      </c>
      <c r="G281" s="1026">
        <v>4381583</v>
      </c>
      <c r="H281" s="879">
        <f t="shared" si="13"/>
        <v>0.43363323255544856</v>
      </c>
    </row>
    <row r="282" spans="1:8">
      <c r="A282" t="s">
        <v>258</v>
      </c>
      <c r="B282" t="s">
        <v>126</v>
      </c>
      <c r="C282" t="s">
        <v>541</v>
      </c>
      <c r="D282" t="s">
        <v>150</v>
      </c>
      <c r="E282" t="s">
        <v>145</v>
      </c>
      <c r="F282" s="784">
        <v>33311713</v>
      </c>
      <c r="G282" s="1026">
        <v>9119005</v>
      </c>
      <c r="H282" s="879">
        <f t="shared" si="13"/>
        <v>3.652998655006769</v>
      </c>
    </row>
    <row r="283" spans="1:8">
      <c r="A283" t="s">
        <v>259</v>
      </c>
      <c r="B283" t="s">
        <v>130</v>
      </c>
      <c r="C283" t="s">
        <v>544</v>
      </c>
      <c r="D283" t="s">
        <v>152</v>
      </c>
      <c r="E283" t="s">
        <v>146</v>
      </c>
      <c r="F283" s="784">
        <v>4613888</v>
      </c>
      <c r="G283" s="1026">
        <v>7219641</v>
      </c>
      <c r="H283" s="879">
        <f t="shared" si="13"/>
        <v>0.63907443597264735</v>
      </c>
    </row>
    <row r="284" spans="1:8">
      <c r="A284" t="s">
        <v>260</v>
      </c>
      <c r="B284" t="s">
        <v>130</v>
      </c>
      <c r="C284" t="s">
        <v>544</v>
      </c>
      <c r="D284" t="s">
        <v>152</v>
      </c>
      <c r="E284" t="s">
        <v>146</v>
      </c>
      <c r="F284" s="784">
        <v>507941630</v>
      </c>
      <c r="G284" s="1026">
        <v>33359416</v>
      </c>
      <c r="H284" s="879">
        <f t="shared" si="13"/>
        <v>15.226334597703989</v>
      </c>
    </row>
    <row r="285" spans="1:8">
      <c r="A285" t="s">
        <v>261</v>
      </c>
      <c r="B285" t="s">
        <v>126</v>
      </c>
      <c r="C285" t="s">
        <v>544</v>
      </c>
      <c r="D285" t="s">
        <v>150</v>
      </c>
      <c r="E285" t="s">
        <v>145</v>
      </c>
      <c r="F285" s="784">
        <v>49808705.700000003</v>
      </c>
      <c r="G285" s="1026">
        <v>111046910</v>
      </c>
      <c r="H285" s="879">
        <f t="shared" si="13"/>
        <v>0.44853752076487319</v>
      </c>
    </row>
    <row r="286" spans="1:8">
      <c r="A286" t="s">
        <v>151</v>
      </c>
      <c r="B286" t="s">
        <v>127</v>
      </c>
      <c r="C286" t="s">
        <v>544</v>
      </c>
      <c r="D286" t="s">
        <v>152</v>
      </c>
      <c r="E286" t="s">
        <v>146</v>
      </c>
      <c r="F286" s="784">
        <v>2450000</v>
      </c>
      <c r="G286" s="1026">
        <v>19237682</v>
      </c>
      <c r="H286" s="879">
        <f t="shared" si="13"/>
        <v>0.12735422074239505</v>
      </c>
    </row>
    <row r="287" spans="1:8">
      <c r="A287" t="s">
        <v>264</v>
      </c>
      <c r="B287" t="s">
        <v>128</v>
      </c>
      <c r="C287" t="s">
        <v>544</v>
      </c>
      <c r="D287" t="s">
        <v>148</v>
      </c>
      <c r="E287" t="s">
        <v>145</v>
      </c>
      <c r="F287" s="784">
        <v>11400002.888888888</v>
      </c>
      <c r="G287" s="1026">
        <v>13276517</v>
      </c>
      <c r="H287" s="879">
        <f t="shared" si="13"/>
        <v>0.85865915653095526</v>
      </c>
    </row>
    <row r="288" spans="1:8">
      <c r="A288" t="s">
        <v>265</v>
      </c>
      <c r="B288" t="s">
        <v>126</v>
      </c>
      <c r="C288" t="s">
        <v>541</v>
      </c>
      <c r="D288" t="s">
        <v>150</v>
      </c>
      <c r="E288" t="s">
        <v>145</v>
      </c>
      <c r="F288" s="784">
        <v>3386695</v>
      </c>
      <c r="G288" s="1026">
        <v>200144</v>
      </c>
      <c r="H288" s="879">
        <f t="shared" si="13"/>
        <v>16.921291669997601</v>
      </c>
    </row>
    <row r="289" spans="1:8">
      <c r="A289" t="s">
        <v>266</v>
      </c>
      <c r="B289" t="s">
        <v>129</v>
      </c>
      <c r="C289" t="s">
        <v>541</v>
      </c>
      <c r="D289" t="s">
        <v>150</v>
      </c>
      <c r="E289" t="s">
        <v>145</v>
      </c>
      <c r="F289" s="784">
        <v>3478352</v>
      </c>
      <c r="G289" s="1026">
        <v>223364</v>
      </c>
      <c r="H289" s="879">
        <f t="shared" si="13"/>
        <v>15.572572124424706</v>
      </c>
    </row>
    <row r="290" spans="1:8">
      <c r="A290" t="s">
        <v>267</v>
      </c>
      <c r="B290" t="s">
        <v>129</v>
      </c>
      <c r="C290" t="s">
        <v>544</v>
      </c>
      <c r="D290" t="s">
        <v>150</v>
      </c>
      <c r="E290" t="s">
        <v>145</v>
      </c>
      <c r="F290" s="784">
        <v>61976024.296296299</v>
      </c>
      <c r="G290" s="1026">
        <v>17196308</v>
      </c>
      <c r="H290" s="879">
        <f t="shared" si="13"/>
        <v>3.6040308359385222</v>
      </c>
    </row>
    <row r="291" spans="1:8">
      <c r="A291" t="s">
        <v>153</v>
      </c>
      <c r="B291" t="s">
        <v>127</v>
      </c>
      <c r="C291" t="s">
        <v>544</v>
      </c>
      <c r="D291" t="s">
        <v>152</v>
      </c>
      <c r="E291" t="s">
        <v>146</v>
      </c>
      <c r="F291" s="784">
        <v>2600000</v>
      </c>
      <c r="G291" s="1026">
        <v>8697547</v>
      </c>
      <c r="H291" s="879">
        <f t="shared" si="13"/>
        <v>0.29893486059920116</v>
      </c>
    </row>
    <row r="292" spans="1:8">
      <c r="A292" t="s">
        <v>269</v>
      </c>
      <c r="B292" t="s">
        <v>129</v>
      </c>
      <c r="C292" t="s">
        <v>544</v>
      </c>
      <c r="D292" t="s">
        <v>148</v>
      </c>
      <c r="E292" t="s">
        <v>145</v>
      </c>
      <c r="F292" s="784">
        <v>16610857.560000001</v>
      </c>
      <c r="G292" s="1026">
        <v>8141343</v>
      </c>
      <c r="H292" s="879">
        <f t="shared" si="13"/>
        <v>2.0403092659282382</v>
      </c>
    </row>
    <row r="293" spans="1:8">
      <c r="A293" t="s">
        <v>270</v>
      </c>
      <c r="B293" t="s">
        <v>126</v>
      </c>
      <c r="C293" t="s">
        <v>541</v>
      </c>
      <c r="D293" t="s">
        <v>150</v>
      </c>
      <c r="E293" t="s">
        <v>145</v>
      </c>
      <c r="F293" s="784">
        <v>3743361</v>
      </c>
      <c r="G293" s="1026">
        <v>703995</v>
      </c>
      <c r="H293" s="879">
        <f t="shared" si="13"/>
        <v>5.3173119127266526</v>
      </c>
    </row>
    <row r="294" spans="1:8">
      <c r="A294" t="s">
        <v>271</v>
      </c>
      <c r="B294" t="s">
        <v>128</v>
      </c>
      <c r="C294" t="s">
        <v>544</v>
      </c>
      <c r="D294" t="s">
        <v>148</v>
      </c>
      <c r="E294" t="s">
        <v>145</v>
      </c>
      <c r="F294" s="784">
        <v>33362406.627407406</v>
      </c>
      <c r="G294" s="1026">
        <v>16359500</v>
      </c>
      <c r="H294" s="879">
        <f t="shared" si="13"/>
        <v>2.039329235453859</v>
      </c>
    </row>
    <row r="295" spans="1:8">
      <c r="A295" t="s">
        <v>272</v>
      </c>
      <c r="B295" t="s">
        <v>128</v>
      </c>
      <c r="C295" t="s">
        <v>544</v>
      </c>
      <c r="D295" t="s">
        <v>152</v>
      </c>
      <c r="E295" t="s">
        <v>146</v>
      </c>
      <c r="F295" s="784">
        <v>13414785</v>
      </c>
      <c r="G295" s="1026">
        <v>60041996</v>
      </c>
      <c r="H295" s="879">
        <f t="shared" si="13"/>
        <v>0.22342336853691538</v>
      </c>
    </row>
    <row r="296" spans="1:8">
      <c r="A296" t="s">
        <v>273</v>
      </c>
      <c r="B296" t="s">
        <v>128</v>
      </c>
      <c r="C296" t="s">
        <v>544</v>
      </c>
      <c r="D296" t="s">
        <v>148</v>
      </c>
      <c r="E296" t="s">
        <v>145</v>
      </c>
      <c r="F296" s="784">
        <v>19569098.407407407</v>
      </c>
      <c r="G296" s="1026">
        <v>11381377</v>
      </c>
      <c r="H296" s="879">
        <f t="shared" si="13"/>
        <v>1.7193963794897056</v>
      </c>
    </row>
    <row r="297" spans="1:8">
      <c r="A297" t="s">
        <v>274</v>
      </c>
      <c r="B297" t="s">
        <v>132</v>
      </c>
      <c r="C297" t="s">
        <v>544</v>
      </c>
      <c r="D297" t="s">
        <v>150</v>
      </c>
      <c r="E297" t="s">
        <v>145</v>
      </c>
      <c r="F297" s="784">
        <v>94317991</v>
      </c>
      <c r="G297" s="1026">
        <v>21497306</v>
      </c>
      <c r="H297" s="879">
        <f t="shared" si="13"/>
        <v>4.3874330578910676</v>
      </c>
    </row>
    <row r="298" spans="1:8">
      <c r="A298" t="s">
        <v>154</v>
      </c>
      <c r="B298" t="s">
        <v>130</v>
      </c>
      <c r="C298" t="s">
        <v>541</v>
      </c>
      <c r="D298" t="s">
        <v>152</v>
      </c>
      <c r="E298" t="s">
        <v>145</v>
      </c>
      <c r="F298" s="784">
        <v>355000</v>
      </c>
      <c r="G298" s="1026">
        <v>184401</v>
      </c>
      <c r="H298" s="879">
        <f t="shared" si="13"/>
        <v>1.9251522497166502</v>
      </c>
    </row>
    <row r="299" spans="1:8">
      <c r="A299" t="s">
        <v>155</v>
      </c>
      <c r="B299" t="s">
        <v>130</v>
      </c>
      <c r="C299" t="s">
        <v>541</v>
      </c>
      <c r="D299" t="s">
        <v>152</v>
      </c>
      <c r="E299" t="s">
        <v>145</v>
      </c>
      <c r="F299" s="784">
        <v>570000</v>
      </c>
      <c r="G299" s="1026">
        <v>111269</v>
      </c>
      <c r="H299" s="879">
        <f t="shared" si="13"/>
        <v>5.1227206140074957</v>
      </c>
    </row>
    <row r="300" spans="1:8">
      <c r="A300" t="s">
        <v>276</v>
      </c>
      <c r="B300" t="s">
        <v>131</v>
      </c>
      <c r="C300" t="s">
        <v>544</v>
      </c>
      <c r="D300" t="s">
        <v>150</v>
      </c>
      <c r="E300" t="s">
        <v>145</v>
      </c>
      <c r="F300" s="784">
        <v>3007999.54</v>
      </c>
      <c r="G300" s="1026">
        <v>5222756</v>
      </c>
      <c r="H300" s="879">
        <f t="shared" si="13"/>
        <v>0.57594104338782048</v>
      </c>
    </row>
    <row r="301" spans="1:8">
      <c r="A301" t="s">
        <v>277</v>
      </c>
      <c r="B301" t="s">
        <v>131</v>
      </c>
      <c r="C301" t="s">
        <v>544</v>
      </c>
      <c r="D301" t="s">
        <v>148</v>
      </c>
      <c r="E301" t="s">
        <v>145</v>
      </c>
      <c r="F301" s="784">
        <v>64145713.379629627</v>
      </c>
      <c r="G301" s="1026">
        <v>44909351</v>
      </c>
      <c r="H301" s="879">
        <f t="shared" si="13"/>
        <v>1.4283375722715215</v>
      </c>
    </row>
    <row r="302" spans="1:8">
      <c r="A302" t="s">
        <v>278</v>
      </c>
      <c r="B302" t="s">
        <v>126</v>
      </c>
      <c r="C302" t="s">
        <v>541</v>
      </c>
      <c r="D302" t="s">
        <v>152</v>
      </c>
      <c r="E302" t="s">
        <v>146</v>
      </c>
      <c r="F302" s="784">
        <v>282294</v>
      </c>
      <c r="G302" s="1026">
        <v>591798</v>
      </c>
      <c r="H302" s="879">
        <f t="shared" si="13"/>
        <v>0.47701073677166872</v>
      </c>
    </row>
    <row r="303" spans="1:8">
      <c r="A303" t="s">
        <v>279</v>
      </c>
      <c r="B303" t="s">
        <v>131</v>
      </c>
      <c r="C303" t="s">
        <v>544</v>
      </c>
      <c r="D303" t="s">
        <v>148</v>
      </c>
      <c r="E303" t="s">
        <v>145</v>
      </c>
      <c r="F303" s="784">
        <v>10340306.722222222</v>
      </c>
      <c r="G303" s="1026">
        <v>18275704</v>
      </c>
      <c r="H303" s="879">
        <f t="shared" si="13"/>
        <v>0.56579526141494862</v>
      </c>
    </row>
    <row r="304" spans="1:8">
      <c r="A304" t="s">
        <v>280</v>
      </c>
      <c r="B304" t="s">
        <v>127</v>
      </c>
      <c r="C304" t="s">
        <v>544</v>
      </c>
      <c r="D304" t="s">
        <v>150</v>
      </c>
      <c r="E304" t="s">
        <v>145</v>
      </c>
      <c r="F304" s="784">
        <v>7469931.77962963</v>
      </c>
      <c r="G304" s="1026">
        <v>9749625</v>
      </c>
      <c r="H304" s="879">
        <f t="shared" si="13"/>
        <v>0.76617631751268689</v>
      </c>
    </row>
    <row r="305" spans="1:8">
      <c r="A305" t="s">
        <v>156</v>
      </c>
      <c r="B305" t="s">
        <v>128</v>
      </c>
      <c r="C305" t="s">
        <v>544</v>
      </c>
      <c r="D305" t="s">
        <v>150</v>
      </c>
      <c r="E305" t="s">
        <v>145</v>
      </c>
      <c r="F305" s="784">
        <v>13367742.4</v>
      </c>
      <c r="G305" s="1026">
        <v>61498438</v>
      </c>
      <c r="H305" s="879">
        <f t="shared" si="13"/>
        <v>0.21736718581372749</v>
      </c>
    </row>
    <row r="306" spans="1:8">
      <c r="A306" t="s">
        <v>157</v>
      </c>
      <c r="B306" t="s">
        <v>126</v>
      </c>
      <c r="C306" t="s">
        <v>544</v>
      </c>
      <c r="D306" t="s">
        <v>152</v>
      </c>
      <c r="E306" t="s">
        <v>146</v>
      </c>
      <c r="F306" s="784">
        <v>2166102</v>
      </c>
      <c r="G306" s="1026">
        <v>69950844</v>
      </c>
      <c r="H306" s="879">
        <f t="shared" si="13"/>
        <v>3.0966059537466051E-2</v>
      </c>
    </row>
    <row r="307" spans="1:8">
      <c r="A307" t="s">
        <v>281</v>
      </c>
      <c r="B307" t="s">
        <v>126</v>
      </c>
      <c r="C307" t="s">
        <v>541</v>
      </c>
      <c r="D307" t="s">
        <v>150</v>
      </c>
      <c r="E307" t="s">
        <v>145</v>
      </c>
      <c r="F307" s="784">
        <v>7081834</v>
      </c>
      <c r="G307" s="1026">
        <v>1343875</v>
      </c>
      <c r="H307" s="879">
        <f t="shared" si="13"/>
        <v>5.2697118407589993</v>
      </c>
    </row>
    <row r="308" spans="1:8">
      <c r="A308" t="s">
        <v>282</v>
      </c>
      <c r="B308" t="s">
        <v>129</v>
      </c>
      <c r="C308" t="s">
        <v>544</v>
      </c>
      <c r="D308" t="s">
        <v>148</v>
      </c>
      <c r="E308" t="s">
        <v>145</v>
      </c>
      <c r="F308" s="784">
        <v>24278324.296296295</v>
      </c>
      <c r="G308" s="1026">
        <v>8478242</v>
      </c>
      <c r="H308" s="879">
        <f t="shared" si="13"/>
        <v>2.8636035980450067</v>
      </c>
    </row>
    <row r="309" spans="1:8">
      <c r="A309" t="s">
        <v>283</v>
      </c>
      <c r="B309" t="s">
        <v>126</v>
      </c>
      <c r="C309" t="s">
        <v>541</v>
      </c>
      <c r="D309" t="s">
        <v>152</v>
      </c>
      <c r="E309" t="s">
        <v>145</v>
      </c>
      <c r="F309" s="784">
        <v>3831969.4814814813</v>
      </c>
      <c r="G309" s="1026">
        <v>106759</v>
      </c>
      <c r="H309" s="879">
        <f t="shared" si="13"/>
        <v>35.893643453774217</v>
      </c>
    </row>
    <row r="310" spans="1:8">
      <c r="A310" t="s">
        <v>285</v>
      </c>
      <c r="B310" t="s">
        <v>131</v>
      </c>
      <c r="C310" t="s">
        <v>544</v>
      </c>
      <c r="D310" t="s">
        <v>150</v>
      </c>
      <c r="E310" t="s">
        <v>145</v>
      </c>
      <c r="F310" s="784">
        <v>17589490.030000001</v>
      </c>
      <c r="G310" s="1026">
        <v>11935764</v>
      </c>
      <c r="H310" s="879">
        <f t="shared" si="13"/>
        <v>1.4736794418857477</v>
      </c>
    </row>
    <row r="311" spans="1:8">
      <c r="A311" t="s">
        <v>286</v>
      </c>
      <c r="B311" t="s">
        <v>127</v>
      </c>
      <c r="C311" t="s">
        <v>544</v>
      </c>
      <c r="D311" t="s">
        <v>152</v>
      </c>
      <c r="E311" t="s">
        <v>146</v>
      </c>
      <c r="F311" s="784">
        <v>0</v>
      </c>
      <c r="G311" s="1026">
        <v>85042736</v>
      </c>
      <c r="H311" s="879">
        <f t="shared" si="13"/>
        <v>0</v>
      </c>
    </row>
    <row r="312" spans="1:8">
      <c r="A312" t="s">
        <v>287</v>
      </c>
      <c r="B312" t="s">
        <v>127</v>
      </c>
      <c r="C312" t="s">
        <v>544</v>
      </c>
      <c r="D312" t="s">
        <v>152</v>
      </c>
      <c r="E312" t="s">
        <v>146</v>
      </c>
      <c r="F312" s="784">
        <v>0</v>
      </c>
      <c r="G312" s="1026">
        <v>6117933</v>
      </c>
      <c r="H312" s="879">
        <f t="shared" si="13"/>
        <v>0</v>
      </c>
    </row>
    <row r="313" spans="1:8">
      <c r="A313" t="s">
        <v>288</v>
      </c>
      <c r="B313" t="s">
        <v>126</v>
      </c>
      <c r="C313" t="s">
        <v>541</v>
      </c>
      <c r="D313" t="s">
        <v>152</v>
      </c>
      <c r="E313" t="s">
        <v>145</v>
      </c>
      <c r="F313" s="784">
        <v>1506389.3703703703</v>
      </c>
      <c r="G313" s="1026">
        <v>77132</v>
      </c>
      <c r="H313" s="879">
        <f t="shared" si="13"/>
        <v>19.530018285152341</v>
      </c>
    </row>
    <row r="314" spans="1:8">
      <c r="A314" t="s">
        <v>289</v>
      </c>
      <c r="B314" t="s">
        <v>128</v>
      </c>
      <c r="C314" t="s">
        <v>544</v>
      </c>
      <c r="D314" t="s">
        <v>148</v>
      </c>
      <c r="E314" t="s">
        <v>145</v>
      </c>
      <c r="F314" s="784">
        <v>36394697.555555552</v>
      </c>
      <c r="G314" s="1026">
        <v>47123533</v>
      </c>
      <c r="H314" s="879">
        <f t="shared" si="13"/>
        <v>0.77232531685507433</v>
      </c>
    </row>
    <row r="315" spans="1:8">
      <c r="A315" t="s">
        <v>290</v>
      </c>
      <c r="B315" t="s">
        <v>127</v>
      </c>
      <c r="C315" t="s">
        <v>544</v>
      </c>
      <c r="D315" t="s">
        <v>150</v>
      </c>
      <c r="E315" t="s">
        <v>145</v>
      </c>
      <c r="F315" s="784">
        <v>81373322.188695669</v>
      </c>
      <c r="G315" s="1026">
        <v>43466822</v>
      </c>
      <c r="H315" s="879">
        <f t="shared" si="13"/>
        <v>1.8720789430774505</v>
      </c>
    </row>
    <row r="316" spans="1:8">
      <c r="A316" t="s">
        <v>292</v>
      </c>
      <c r="B316" t="s">
        <v>127</v>
      </c>
      <c r="C316" t="s">
        <v>544</v>
      </c>
      <c r="D316" t="s">
        <v>150</v>
      </c>
      <c r="E316" t="s">
        <v>145</v>
      </c>
      <c r="F316" s="784">
        <v>7919386</v>
      </c>
      <c r="G316" s="1026">
        <v>33935765</v>
      </c>
      <c r="H316" s="879">
        <f t="shared" ref="H316:H322" si="14">F316/G316</f>
        <v>0.23336400402348378</v>
      </c>
    </row>
    <row r="317" spans="1:8">
      <c r="A317" t="s">
        <v>293</v>
      </c>
      <c r="B317" t="s">
        <v>126</v>
      </c>
      <c r="C317" t="s">
        <v>541</v>
      </c>
      <c r="D317" t="s">
        <v>150</v>
      </c>
      <c r="E317" t="s">
        <v>145</v>
      </c>
      <c r="F317" s="784">
        <v>2554943.2298999997</v>
      </c>
      <c r="G317" s="1026">
        <v>314464</v>
      </c>
      <c r="H317" s="879">
        <f t="shared" si="14"/>
        <v>8.1247558699882969</v>
      </c>
    </row>
    <row r="318" spans="1:8">
      <c r="A318" t="s">
        <v>294</v>
      </c>
      <c r="B318" t="s">
        <v>130</v>
      </c>
      <c r="C318" t="s">
        <v>544</v>
      </c>
      <c r="D318" t="s">
        <v>322</v>
      </c>
      <c r="E318" t="s">
        <v>146</v>
      </c>
      <c r="F318" s="784">
        <v>10296619.84</v>
      </c>
      <c r="G318" s="1026">
        <v>28704947</v>
      </c>
      <c r="H318" s="879">
        <f t="shared" si="14"/>
        <v>0.35870541199745115</v>
      </c>
    </row>
    <row r="319" spans="1:8">
      <c r="A319" t="s">
        <v>295</v>
      </c>
      <c r="B319" t="s">
        <v>126</v>
      </c>
      <c r="C319" t="s">
        <v>544</v>
      </c>
      <c r="D319" t="s">
        <v>150</v>
      </c>
      <c r="E319" t="s">
        <v>145</v>
      </c>
      <c r="F319" s="784">
        <v>9723194</v>
      </c>
      <c r="G319" s="1026">
        <v>98168829</v>
      </c>
      <c r="H319" s="879">
        <f t="shared" si="14"/>
        <v>9.9045634943857791E-2</v>
      </c>
    </row>
    <row r="320" spans="1:8">
      <c r="A320" t="s">
        <v>296</v>
      </c>
      <c r="B320" t="s">
        <v>131</v>
      </c>
      <c r="C320" t="s">
        <v>544</v>
      </c>
      <c r="D320" t="s">
        <v>148</v>
      </c>
      <c r="E320" t="s">
        <v>145</v>
      </c>
      <c r="F320" s="784">
        <v>34718415.159999996</v>
      </c>
      <c r="G320" s="1026">
        <v>30490639</v>
      </c>
      <c r="H320" s="879">
        <f t="shared" si="14"/>
        <v>1.138658168495583</v>
      </c>
    </row>
    <row r="321" spans="1:8">
      <c r="A321" t="s">
        <v>297</v>
      </c>
      <c r="B321" t="s">
        <v>128</v>
      </c>
      <c r="C321" t="s">
        <v>544</v>
      </c>
      <c r="D321" t="s">
        <v>150</v>
      </c>
      <c r="E321" t="s">
        <v>145</v>
      </c>
      <c r="F321" s="784">
        <v>20215751</v>
      </c>
      <c r="G321" s="1026">
        <v>18920657</v>
      </c>
      <c r="H321" s="879">
        <f t="shared" si="14"/>
        <v>1.0684486801911794</v>
      </c>
    </row>
    <row r="322" spans="1:8">
      <c r="A322" t="s">
        <v>298</v>
      </c>
      <c r="B322" t="s">
        <v>128</v>
      </c>
      <c r="C322" t="s">
        <v>544</v>
      </c>
      <c r="D322" t="s">
        <v>150</v>
      </c>
      <c r="E322" t="s">
        <v>145</v>
      </c>
      <c r="F322" s="784">
        <v>6756238</v>
      </c>
      <c r="G322" s="1026">
        <v>15092171</v>
      </c>
      <c r="H322" s="879">
        <f t="shared" si="14"/>
        <v>0.44766508410221434</v>
      </c>
    </row>
    <row r="323" spans="1:8">
      <c r="G323" s="879" t="str">
        <f t="shared" ref="G323:G333" si="15">IFERROR(D323/E323,"")</f>
        <v/>
      </c>
    </row>
    <row r="324" spans="1:8">
      <c r="G324" s="879" t="str">
        <f t="shared" si="15"/>
        <v/>
      </c>
    </row>
    <row r="325" spans="1:8">
      <c r="G325" s="879" t="str">
        <f t="shared" si="15"/>
        <v/>
      </c>
    </row>
    <row r="326" spans="1:8">
      <c r="G326" s="879" t="str">
        <f t="shared" si="15"/>
        <v/>
      </c>
    </row>
    <row r="327" spans="1:8">
      <c r="G327" s="879" t="str">
        <f t="shared" si="15"/>
        <v/>
      </c>
    </row>
    <row r="328" spans="1:8">
      <c r="G328" s="879" t="str">
        <f t="shared" si="15"/>
        <v/>
      </c>
    </row>
    <row r="329" spans="1:8">
      <c r="G329" s="879" t="str">
        <f t="shared" si="15"/>
        <v/>
      </c>
    </row>
    <row r="330" spans="1:8">
      <c r="G330" s="879" t="str">
        <f t="shared" si="15"/>
        <v/>
      </c>
    </row>
    <row r="331" spans="1:8">
      <c r="G331" s="879" t="str">
        <f t="shared" si="15"/>
        <v/>
      </c>
    </row>
    <row r="332" spans="1:8">
      <c r="G332" s="879" t="str">
        <f t="shared" si="15"/>
        <v/>
      </c>
    </row>
    <row r="333" spans="1:8">
      <c r="G333" s="879" t="str">
        <f t="shared" si="15"/>
        <v/>
      </c>
    </row>
    <row r="338" spans="1:4">
      <c r="A338" s="878" t="s">
        <v>1827</v>
      </c>
    </row>
    <row r="339" spans="1:4">
      <c r="A339" s="599" t="s">
        <v>357</v>
      </c>
      <c r="B339" t="s">
        <v>358</v>
      </c>
    </row>
    <row r="340" spans="1:4">
      <c r="A340" s="599" t="s">
        <v>374</v>
      </c>
      <c r="B340" t="s">
        <v>375</v>
      </c>
    </row>
    <row r="341" spans="1:4">
      <c r="A341" s="599" t="s">
        <v>378</v>
      </c>
      <c r="B341" t="s">
        <v>379</v>
      </c>
    </row>
    <row r="342" spans="1:4">
      <c r="A342" s="599" t="s">
        <v>376</v>
      </c>
      <c r="B342" t="s">
        <v>356</v>
      </c>
    </row>
    <row r="343" spans="1:4">
      <c r="A343" s="599" t="s">
        <v>741</v>
      </c>
      <c r="B343" t="s">
        <v>356</v>
      </c>
    </row>
    <row r="345" spans="1:4">
      <c r="A345" s="599" t="s">
        <v>122</v>
      </c>
      <c r="B345" t="s">
        <v>382</v>
      </c>
      <c r="C345" s="577" t="s">
        <v>1817</v>
      </c>
      <c r="D345" s="577" t="s">
        <v>1828</v>
      </c>
    </row>
    <row r="346" spans="1:4">
      <c r="A346" s="935" t="s">
        <v>126</v>
      </c>
      <c r="B346" s="934">
        <v>504042530.00397408</v>
      </c>
      <c r="C346" s="935">
        <f>COUNTIFS($B$187:$B$322,A346,$F$187:$F$322,"&gt;0")</f>
        <v>22</v>
      </c>
      <c r="D346" s="941">
        <f>AVERAGEIFS($H$187:$H$322,$B$187:$B$322,A346,$F$187:$F$322,"&gt;0")</f>
        <v>9.1632170981516978</v>
      </c>
    </row>
    <row r="347" spans="1:4">
      <c r="A347" s="935" t="s">
        <v>127</v>
      </c>
      <c r="B347" s="934">
        <v>149093147.11832529</v>
      </c>
      <c r="C347" s="935">
        <f t="shared" ref="C347:C352" si="16">COUNTIFS($B$187:$B$322,A347,$F$187:$F$322,"&gt;0")</f>
        <v>18</v>
      </c>
      <c r="D347" s="941">
        <f t="shared" ref="D347:D352" si="17">AVERAGEIFS($H$187:$H$322,$B$187:$B$322,A347,$F$187:$F$322,"&gt;0")</f>
        <v>0.95155958473040569</v>
      </c>
    </row>
    <row r="348" spans="1:4">
      <c r="A348" s="935" t="s">
        <v>128</v>
      </c>
      <c r="B348" s="934">
        <v>627511600.69962966</v>
      </c>
      <c r="C348" s="935">
        <f t="shared" si="16"/>
        <v>22</v>
      </c>
      <c r="D348" s="941">
        <f t="shared" si="17"/>
        <v>2.2088753295899397</v>
      </c>
    </row>
    <row r="349" spans="1:4">
      <c r="A349" s="935" t="s">
        <v>130</v>
      </c>
      <c r="B349" s="934">
        <v>737896207.18481481</v>
      </c>
      <c r="C349" s="935">
        <f t="shared" si="16"/>
        <v>24</v>
      </c>
      <c r="D349" s="941">
        <f t="shared" si="17"/>
        <v>2.8154973703329262</v>
      </c>
    </row>
    <row r="350" spans="1:4">
      <c r="A350" s="935" t="s">
        <v>131</v>
      </c>
      <c r="B350" s="934">
        <v>225424925.18370369</v>
      </c>
      <c r="C350" s="935">
        <f t="shared" si="16"/>
        <v>14</v>
      </c>
      <c r="D350" s="941">
        <f t="shared" si="17"/>
        <v>0.95492581037985269</v>
      </c>
    </row>
    <row r="351" spans="1:4">
      <c r="A351" s="935" t="s">
        <v>132</v>
      </c>
      <c r="B351" s="934">
        <v>443881841.29515672</v>
      </c>
      <c r="C351" s="935">
        <f t="shared" si="16"/>
        <v>8</v>
      </c>
      <c r="D351" s="941">
        <f t="shared" si="17"/>
        <v>1.9141906353998226</v>
      </c>
    </row>
    <row r="352" spans="1:4">
      <c r="A352" s="935" t="s">
        <v>129</v>
      </c>
      <c r="B352" s="934">
        <v>553295548.42962956</v>
      </c>
      <c r="C352" s="935">
        <f t="shared" si="16"/>
        <v>23</v>
      </c>
      <c r="D352" s="941">
        <f t="shared" si="17"/>
        <v>2.5222141767692499</v>
      </c>
    </row>
    <row r="355" spans="1:4">
      <c r="A355" s="878" t="s">
        <v>1829</v>
      </c>
    </row>
    <row r="356" spans="1:4">
      <c r="A356" s="599" t="s">
        <v>357</v>
      </c>
      <c r="B356" t="s">
        <v>358</v>
      </c>
    </row>
    <row r="357" spans="1:4">
      <c r="A357" s="599" t="s">
        <v>374</v>
      </c>
      <c r="B357" t="s">
        <v>375</v>
      </c>
    </row>
    <row r="358" spans="1:4">
      <c r="A358" s="599" t="s">
        <v>378</v>
      </c>
      <c r="B358" t="s">
        <v>379</v>
      </c>
    </row>
    <row r="359" spans="1:4">
      <c r="A359" s="599" t="s">
        <v>376</v>
      </c>
      <c r="B359" t="s">
        <v>356</v>
      </c>
    </row>
    <row r="360" spans="1:4">
      <c r="A360" s="599" t="s">
        <v>741</v>
      </c>
      <c r="B360" t="s">
        <v>544</v>
      </c>
    </row>
    <row r="362" spans="1:4">
      <c r="A362" s="599" t="s">
        <v>122</v>
      </c>
      <c r="B362" t="s">
        <v>382</v>
      </c>
      <c r="C362" s="577" t="s">
        <v>1817</v>
      </c>
      <c r="D362" s="577" t="s">
        <v>1828</v>
      </c>
    </row>
    <row r="363" spans="1:4">
      <c r="A363" s="935" t="s">
        <v>126</v>
      </c>
      <c r="B363" s="934">
        <v>435070104.9222222</v>
      </c>
      <c r="C363" s="935">
        <f>COUNTIFS($B$187:$B$322,A363,$F$187:$F$322,"&gt;0",$C$187:$C$322,"No")</f>
        <v>9</v>
      </c>
      <c r="D363" s="941">
        <f>AVERAGEIFS($H$187:$H$322,$B$187:$B$322,A363,$F$187:$F$322,"&gt;0",$C$187:$C$322,"No")</f>
        <v>1.783608751103944</v>
      </c>
    </row>
    <row r="364" spans="1:4">
      <c r="A364" s="935" t="s">
        <v>127</v>
      </c>
      <c r="B364" s="934">
        <v>149093147.11832529</v>
      </c>
      <c r="C364" s="935">
        <f t="shared" ref="C364:C369" si="18">COUNTIFS($B$187:$B$322,A364,$F$187:$F$322,"&gt;0",$C$187:$C$322,"No")</f>
        <v>18</v>
      </c>
      <c r="D364" s="941">
        <f t="shared" ref="D364:D369" si="19">AVERAGEIFS($H$187:$H$322,$B$187:$B$322,A364,$F$187:$F$322,"&gt;0",$C$187:$C$322,"No")</f>
        <v>0.95155958473040569</v>
      </c>
    </row>
    <row r="365" spans="1:4">
      <c r="A365" s="935" t="s">
        <v>128</v>
      </c>
      <c r="B365" s="934">
        <v>613396290.69962955</v>
      </c>
      <c r="C365" s="935">
        <f t="shared" si="18"/>
        <v>20</v>
      </c>
      <c r="D365" s="941">
        <f t="shared" si="19"/>
        <v>1.6582146873423782</v>
      </c>
    </row>
    <row r="366" spans="1:4">
      <c r="A366" s="935" t="s">
        <v>130</v>
      </c>
      <c r="B366" s="934">
        <v>705020971.97925925</v>
      </c>
      <c r="C366" s="935">
        <f t="shared" si="18"/>
        <v>14</v>
      </c>
      <c r="D366" s="941">
        <f t="shared" si="19"/>
        <v>2.3262994144444482</v>
      </c>
    </row>
    <row r="367" spans="1:4">
      <c r="A367" s="935" t="s">
        <v>131</v>
      </c>
      <c r="B367" s="934">
        <v>225424925.18370369</v>
      </c>
      <c r="C367" s="935">
        <f t="shared" si="18"/>
        <v>14</v>
      </c>
      <c r="D367" s="941">
        <f t="shared" si="19"/>
        <v>0.95492581037985269</v>
      </c>
    </row>
    <row r="368" spans="1:4">
      <c r="A368" s="935" t="s">
        <v>132</v>
      </c>
      <c r="B368" s="934">
        <v>440722543.9618234</v>
      </c>
      <c r="C368" s="935">
        <f t="shared" si="18"/>
        <v>7</v>
      </c>
      <c r="D368" s="941">
        <f t="shared" si="19"/>
        <v>1.3574190932728953</v>
      </c>
    </row>
    <row r="369" spans="1:5">
      <c r="A369" s="935" t="s">
        <v>129</v>
      </c>
      <c r="B369" s="934">
        <v>539912669.55629635</v>
      </c>
      <c r="C369" s="935">
        <f t="shared" si="18"/>
        <v>20</v>
      </c>
      <c r="D369" s="941">
        <f t="shared" si="19"/>
        <v>1.5124497315202172</v>
      </c>
    </row>
    <row r="374" spans="1:5">
      <c r="A374" s="878" t="s">
        <v>1830</v>
      </c>
    </row>
    <row r="376" spans="1:5">
      <c r="A376" s="784"/>
      <c r="B376" s="938"/>
      <c r="C376" s="939"/>
      <c r="D376" s="939" t="s">
        <v>1828</v>
      </c>
      <c r="E376" s="939" t="s">
        <v>316</v>
      </c>
    </row>
    <row r="377" spans="1:5">
      <c r="A377" s="784" t="s">
        <v>145</v>
      </c>
      <c r="B377" s="1522" t="s">
        <v>145</v>
      </c>
      <c r="C377" s="939" t="s">
        <v>148</v>
      </c>
      <c r="D377" s="942">
        <f>AVERAGEIFS($H$187:$H$322,$D$187:$D$322,C377,$E$187:$E$322,A377,$F$187:$F$322,"&gt;0")</f>
        <v>1.3292186197546507</v>
      </c>
      <c r="E377" s="939">
        <f>COUNTIFS($D$187:$D$322,C377,$E$187:$E$322,A377,$F$187:$F$322,"&gt;0")</f>
        <v>26</v>
      </c>
    </row>
    <row r="378" spans="1:5">
      <c r="A378" s="784" t="s">
        <v>145</v>
      </c>
      <c r="B378" s="1522"/>
      <c r="C378" s="939" t="s">
        <v>150</v>
      </c>
      <c r="D378" s="942">
        <f t="shared" ref="D378:D382" si="20">AVERAGEIFS($H$187:$H$322,$D$187:$D$322,C378,$E$187:$E$322,A378,$F$187:$F$322,"&gt;0")</f>
        <v>4.3306609755615915</v>
      </c>
      <c r="E378" s="939">
        <f t="shared" ref="E378:E382" si="21">COUNTIFS($D$187:$D$322,C378,$E$187:$E$322,A378,$F$187:$F$322,"&gt;0")</f>
        <v>53</v>
      </c>
    </row>
    <row r="379" spans="1:5">
      <c r="A379" s="784" t="s">
        <v>145</v>
      </c>
      <c r="B379" s="1522"/>
      <c r="C379" s="939" t="s">
        <v>152</v>
      </c>
      <c r="D379" s="942">
        <f t="shared" si="20"/>
        <v>8.0975621245138019</v>
      </c>
      <c r="E379" s="939">
        <f t="shared" si="21"/>
        <v>12</v>
      </c>
    </row>
    <row r="380" spans="1:5">
      <c r="A380" s="784" t="s">
        <v>146</v>
      </c>
      <c r="B380" s="1522" t="s">
        <v>146</v>
      </c>
      <c r="C380" s="939" t="s">
        <v>150</v>
      </c>
      <c r="D380" s="942">
        <f t="shared" si="20"/>
        <v>4.7649956800798714</v>
      </c>
      <c r="E380" s="939">
        <f t="shared" si="21"/>
        <v>2</v>
      </c>
    </row>
    <row r="381" spans="1:5">
      <c r="A381" s="784" t="s">
        <v>146</v>
      </c>
      <c r="B381" s="1522"/>
      <c r="C381" s="939" t="s">
        <v>152</v>
      </c>
      <c r="D381" s="942">
        <f t="shared" si="20"/>
        <v>1.0875347310781145</v>
      </c>
      <c r="E381" s="939">
        <f t="shared" si="21"/>
        <v>36</v>
      </c>
    </row>
    <row r="382" spans="1:5">
      <c r="A382" s="784" t="s">
        <v>146</v>
      </c>
      <c r="B382" s="1522"/>
      <c r="C382" s="939" t="s">
        <v>322</v>
      </c>
      <c r="D382" s="942">
        <f t="shared" si="20"/>
        <v>5.821376163070008</v>
      </c>
      <c r="E382" s="939">
        <f t="shared" si="21"/>
        <v>2</v>
      </c>
    </row>
  </sheetData>
  <mergeCells count="5">
    <mergeCell ref="B380:B382"/>
    <mergeCell ref="A1:N2"/>
    <mergeCell ref="B25:B27"/>
    <mergeCell ref="B28:B30"/>
    <mergeCell ref="B377:B379"/>
  </mergeCells>
  <pageMargins left="0.7" right="0.7" top="0.75" bottom="0.75" header="0.3" footer="0.3"/>
  <pageSetup orientation="portrait" r:id="rId7"/>
  <drawing r:id="rId8"/>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dimension ref="A1:M604"/>
  <sheetViews>
    <sheetView workbookViewId="0">
      <selection activeCell="B4" sqref="B4"/>
    </sheetView>
  </sheetViews>
  <sheetFormatPr defaultRowHeight="15.5"/>
  <cols>
    <col min="1" max="1" width="18.33203125" bestFit="1" customWidth="1"/>
    <col min="2" max="2" width="21.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524" t="s">
        <v>1831</v>
      </c>
      <c r="B1" s="1524"/>
    </row>
    <row r="2" spans="1:2">
      <c r="A2" s="599" t="s">
        <v>374</v>
      </c>
      <c r="B2" t="s">
        <v>375</v>
      </c>
    </row>
    <row r="3" spans="1:2">
      <c r="A3" s="599" t="s">
        <v>376</v>
      </c>
      <c r="B3" t="s">
        <v>377</v>
      </c>
    </row>
    <row r="4" spans="1:2">
      <c r="A4" s="599" t="s">
        <v>378</v>
      </c>
      <c r="B4" t="s">
        <v>379</v>
      </c>
    </row>
    <row r="5" spans="1:2">
      <c r="A5" s="599" t="s">
        <v>357</v>
      </c>
      <c r="B5" t="s">
        <v>358</v>
      </c>
    </row>
    <row r="6" spans="1:2">
      <c r="A6" s="599" t="s">
        <v>321</v>
      </c>
      <c r="B6" t="s">
        <v>139</v>
      </c>
    </row>
    <row r="8" spans="1:2">
      <c r="A8" t="s">
        <v>382</v>
      </c>
    </row>
    <row r="9" spans="1:2">
      <c r="A9" s="784">
        <v>3237668342.9152331</v>
      </c>
    </row>
    <row r="10" spans="1:2">
      <c r="A10" s="784"/>
    </row>
    <row r="11" spans="1:2">
      <c r="A11" s="1524" t="s">
        <v>114</v>
      </c>
      <c r="B11" s="1524"/>
    </row>
    <row r="12" spans="1:2">
      <c r="A12" s="1525">
        <f>COUNTIF($B$20:$B$178,"&gt;0")</f>
        <v>131</v>
      </c>
      <c r="B12" s="1525"/>
    </row>
    <row r="13" spans="1:2">
      <c r="A13" s="599" t="s">
        <v>374</v>
      </c>
      <c r="B13" t="s">
        <v>375</v>
      </c>
    </row>
    <row r="14" spans="1:2">
      <c r="A14" s="599" t="s">
        <v>376</v>
      </c>
      <c r="B14" t="s">
        <v>377</v>
      </c>
    </row>
    <row r="15" spans="1:2">
      <c r="A15" s="599" t="s">
        <v>378</v>
      </c>
      <c r="B15" t="s">
        <v>379</v>
      </c>
    </row>
    <row r="16" spans="1:2">
      <c r="A16" s="599" t="s">
        <v>357</v>
      </c>
      <c r="B16" t="s">
        <v>358</v>
      </c>
    </row>
    <row r="17" spans="1:2">
      <c r="A17" s="599" t="s">
        <v>321</v>
      </c>
      <c r="B17" t="s">
        <v>139</v>
      </c>
    </row>
    <row r="19" spans="1:2">
      <c r="A19" s="599" t="s">
        <v>141</v>
      </c>
      <c r="B19" t="s">
        <v>382</v>
      </c>
    </row>
    <row r="20" spans="1:2">
      <c r="A20" s="600" t="s">
        <v>160</v>
      </c>
      <c r="B20" s="784">
        <v>52725096.991452992</v>
      </c>
    </row>
    <row r="21" spans="1:2">
      <c r="A21" s="600" t="s">
        <v>161</v>
      </c>
      <c r="B21" s="784">
        <v>600000</v>
      </c>
    </row>
    <row r="22" spans="1:2">
      <c r="A22" s="600" t="s">
        <v>143</v>
      </c>
      <c r="B22" s="784">
        <v>3690331.5</v>
      </c>
    </row>
    <row r="23" spans="1:2">
      <c r="A23" s="600" t="s">
        <v>162</v>
      </c>
      <c r="B23" s="784">
        <v>51271243.590000004</v>
      </c>
    </row>
    <row r="24" spans="1:2">
      <c r="A24" s="600" t="s">
        <v>164</v>
      </c>
      <c r="B24" s="784">
        <v>23820959</v>
      </c>
    </row>
    <row r="25" spans="1:2">
      <c r="A25" s="600" t="s">
        <v>165</v>
      </c>
      <c r="B25" s="784">
        <v>2800000</v>
      </c>
    </row>
    <row r="26" spans="1:2">
      <c r="A26" s="600" t="s">
        <v>166</v>
      </c>
      <c r="B26" s="784">
        <v>1100000</v>
      </c>
    </row>
    <row r="27" spans="1:2">
      <c r="A27" s="600" t="s">
        <v>167</v>
      </c>
      <c r="B27" s="784">
        <v>114727136.59999999</v>
      </c>
    </row>
    <row r="28" spans="1:2">
      <c r="A28" s="600" t="s">
        <v>168</v>
      </c>
      <c r="B28" s="784">
        <v>500000</v>
      </c>
    </row>
    <row r="29" spans="1:2">
      <c r="A29" s="600" t="s">
        <v>169</v>
      </c>
      <c r="B29" s="784">
        <v>3847270</v>
      </c>
    </row>
    <row r="30" spans="1:2">
      <c r="A30" s="600" t="s">
        <v>170</v>
      </c>
      <c r="B30" s="784">
        <v>12979438</v>
      </c>
    </row>
    <row r="31" spans="1:2">
      <c r="A31" s="600" t="s">
        <v>171</v>
      </c>
      <c r="B31" s="784">
        <v>1633845</v>
      </c>
    </row>
    <row r="32" spans="1:2">
      <c r="A32" s="600" t="s">
        <v>172</v>
      </c>
      <c r="B32" s="784">
        <v>5956519</v>
      </c>
    </row>
    <row r="33" spans="1:2">
      <c r="A33" s="600" t="s">
        <v>174</v>
      </c>
      <c r="B33" s="784">
        <v>2250000</v>
      </c>
    </row>
    <row r="34" spans="1:2">
      <c r="A34" s="600" t="s">
        <v>175</v>
      </c>
      <c r="B34" s="784">
        <v>4471162</v>
      </c>
    </row>
    <row r="35" spans="1:2">
      <c r="A35" s="600" t="s">
        <v>144</v>
      </c>
      <c r="B35" s="784">
        <v>4502593</v>
      </c>
    </row>
    <row r="36" spans="1:2">
      <c r="A36" s="600" t="s">
        <v>176</v>
      </c>
      <c r="B36" s="784">
        <v>1300000</v>
      </c>
    </row>
    <row r="37" spans="1:2">
      <c r="A37" s="600" t="s">
        <v>177</v>
      </c>
      <c r="B37" s="784">
        <v>9306449</v>
      </c>
    </row>
    <row r="38" spans="1:2">
      <c r="A38" s="600" t="s">
        <v>178</v>
      </c>
      <c r="B38" s="784">
        <v>19908059</v>
      </c>
    </row>
    <row r="39" spans="1:2">
      <c r="A39" s="600" t="s">
        <v>179</v>
      </c>
      <c r="B39" s="784">
        <v>5668147.6881481484</v>
      </c>
    </row>
    <row r="40" spans="1:2">
      <c r="A40" s="600" t="s">
        <v>180</v>
      </c>
      <c r="B40" s="784">
        <v>7402339.888888889</v>
      </c>
    </row>
    <row r="41" spans="1:2">
      <c r="A41" s="600" t="s">
        <v>181</v>
      </c>
      <c r="B41" s="784">
        <v>29914146.851851851</v>
      </c>
    </row>
    <row r="42" spans="1:2">
      <c r="A42" s="600" t="s">
        <v>182</v>
      </c>
      <c r="B42" s="784">
        <v>5478055.3703703703</v>
      </c>
    </row>
    <row r="43" spans="1:2">
      <c r="A43" s="600" t="s">
        <v>183</v>
      </c>
      <c r="B43" s="784">
        <v>18418813.185185187</v>
      </c>
    </row>
    <row r="44" spans="1:2">
      <c r="A44" s="600" t="s">
        <v>185</v>
      </c>
      <c r="B44" s="784">
        <v>0</v>
      </c>
    </row>
    <row r="45" spans="1:2">
      <c r="A45" s="600" t="s">
        <v>186</v>
      </c>
      <c r="B45" s="784">
        <v>11200000</v>
      </c>
    </row>
    <row r="46" spans="1:2">
      <c r="A46" s="600" t="s">
        <v>187</v>
      </c>
      <c r="B46" s="784">
        <v>13535310</v>
      </c>
    </row>
    <row r="47" spans="1:2">
      <c r="A47" s="600" t="s">
        <v>188</v>
      </c>
      <c r="B47" s="784">
        <v>87026679</v>
      </c>
    </row>
    <row r="48" spans="1:2">
      <c r="A48" s="600" t="s">
        <v>189</v>
      </c>
      <c r="B48" s="784">
        <v>6617930</v>
      </c>
    </row>
    <row r="49" spans="1:2">
      <c r="A49" s="600" t="s">
        <v>190</v>
      </c>
      <c r="B49" s="784">
        <v>198193</v>
      </c>
    </row>
    <row r="50" spans="1:2">
      <c r="A50" s="600" t="s">
        <v>191</v>
      </c>
      <c r="B50" s="784">
        <v>550000</v>
      </c>
    </row>
    <row r="51" spans="1:2">
      <c r="A51" s="600" t="s">
        <v>192</v>
      </c>
      <c r="B51" s="784">
        <v>45088259.274074078</v>
      </c>
    </row>
    <row r="52" spans="1:2">
      <c r="A52" s="600" t="s">
        <v>147</v>
      </c>
      <c r="B52" s="784">
        <v>1215090</v>
      </c>
    </row>
    <row r="53" spans="1:2">
      <c r="A53" s="600" t="s">
        <v>194</v>
      </c>
      <c r="B53" s="784">
        <v>2569428.4814814813</v>
      </c>
    </row>
    <row r="54" spans="1:2">
      <c r="A54" s="600" t="s">
        <v>195</v>
      </c>
      <c r="B54" s="784">
        <v>555000.03</v>
      </c>
    </row>
    <row r="55" spans="1:2">
      <c r="A55" s="600" t="s">
        <v>196</v>
      </c>
      <c r="B55" s="784">
        <v>801756</v>
      </c>
    </row>
    <row r="56" spans="1:2">
      <c r="A56" s="600" t="s">
        <v>197</v>
      </c>
      <c r="B56" s="784">
        <v>34093947</v>
      </c>
    </row>
    <row r="57" spans="1:2">
      <c r="A57" s="600" t="s">
        <v>198</v>
      </c>
      <c r="B57" s="784">
        <v>18278053.370370373</v>
      </c>
    </row>
    <row r="58" spans="1:2">
      <c r="A58" s="600" t="s">
        <v>199</v>
      </c>
      <c r="B58" s="784">
        <v>50935214</v>
      </c>
    </row>
    <row r="59" spans="1:2">
      <c r="A59" s="600" t="s">
        <v>200</v>
      </c>
      <c r="B59" s="784">
        <v>0</v>
      </c>
    </row>
    <row r="60" spans="1:2">
      <c r="A60" s="600" t="s">
        <v>201</v>
      </c>
      <c r="B60" s="784">
        <v>357784.62962962961</v>
      </c>
    </row>
    <row r="61" spans="1:2">
      <c r="A61" s="600" t="s">
        <v>202</v>
      </c>
      <c r="B61" s="784">
        <v>9011997</v>
      </c>
    </row>
    <row r="62" spans="1:2">
      <c r="A62" s="600" t="s">
        <v>203</v>
      </c>
      <c r="B62" s="784">
        <v>204487864.77777779</v>
      </c>
    </row>
    <row r="63" spans="1:2">
      <c r="A63" s="600" t="s">
        <v>204</v>
      </c>
      <c r="B63" s="784">
        <v>4297808</v>
      </c>
    </row>
    <row r="64" spans="1:2">
      <c r="A64" s="600" t="s">
        <v>205</v>
      </c>
      <c r="B64" s="784">
        <v>3200000</v>
      </c>
    </row>
    <row r="65" spans="1:2">
      <c r="A65" s="600" t="s">
        <v>206</v>
      </c>
      <c r="B65" s="784">
        <v>4502636</v>
      </c>
    </row>
    <row r="66" spans="1:2">
      <c r="A66" s="600" t="s">
        <v>207</v>
      </c>
      <c r="B66" s="784">
        <v>5700000</v>
      </c>
    </row>
    <row r="67" spans="1:2">
      <c r="A67" s="600" t="s">
        <v>208</v>
      </c>
      <c r="B67" s="784">
        <v>16143013</v>
      </c>
    </row>
    <row r="68" spans="1:2">
      <c r="A68" s="600" t="s">
        <v>209</v>
      </c>
      <c r="B68" s="784">
        <v>555000</v>
      </c>
    </row>
    <row r="69" spans="1:2">
      <c r="A69" s="600" t="s">
        <v>210</v>
      </c>
      <c r="B69" s="784">
        <v>6783889</v>
      </c>
    </row>
    <row r="70" spans="1:2">
      <c r="A70" s="600" t="s">
        <v>211</v>
      </c>
      <c r="B70" s="784">
        <v>20450627</v>
      </c>
    </row>
    <row r="71" spans="1:2">
      <c r="A71" s="600" t="s">
        <v>212</v>
      </c>
      <c r="B71" s="784">
        <v>4236379.1851851847</v>
      </c>
    </row>
    <row r="72" spans="1:2">
      <c r="A72" s="600" t="s">
        <v>213</v>
      </c>
      <c r="B72" s="784">
        <v>2158349</v>
      </c>
    </row>
    <row r="73" spans="1:2">
      <c r="A73" s="600" t="s">
        <v>214</v>
      </c>
      <c r="B73" s="784">
        <v>15503083.175555555</v>
      </c>
    </row>
    <row r="74" spans="1:2">
      <c r="A74" s="600" t="s">
        <v>215</v>
      </c>
      <c r="B74" s="784">
        <v>36562719.839259252</v>
      </c>
    </row>
    <row r="75" spans="1:2">
      <c r="A75" s="600" t="s">
        <v>216</v>
      </c>
      <c r="B75" s="784">
        <v>122443828.18518518</v>
      </c>
    </row>
    <row r="76" spans="1:2">
      <c r="A76" s="600" t="s">
        <v>217</v>
      </c>
      <c r="B76" s="784">
        <v>290360563</v>
      </c>
    </row>
    <row r="77" spans="1:2">
      <c r="A77" s="600" t="s">
        <v>149</v>
      </c>
      <c r="B77" s="784">
        <v>2428858</v>
      </c>
    </row>
    <row r="78" spans="1:2">
      <c r="A78" s="600" t="s">
        <v>218</v>
      </c>
      <c r="B78" s="784">
        <v>32334102</v>
      </c>
    </row>
    <row r="79" spans="1:2">
      <c r="A79" s="600" t="s">
        <v>219</v>
      </c>
      <c r="B79" s="784">
        <v>4579630</v>
      </c>
    </row>
    <row r="80" spans="1:2">
      <c r="A80" s="600" t="s">
        <v>220</v>
      </c>
      <c r="B80" s="784">
        <v>5702526</v>
      </c>
    </row>
    <row r="81" spans="1:2">
      <c r="A81" s="600" t="s">
        <v>221</v>
      </c>
      <c r="B81" s="784">
        <v>2500000</v>
      </c>
    </row>
    <row r="82" spans="1:2">
      <c r="A82" s="600" t="s">
        <v>222</v>
      </c>
      <c r="B82" s="784">
        <v>36467168</v>
      </c>
    </row>
    <row r="83" spans="1:2">
      <c r="A83" s="600" t="s">
        <v>223</v>
      </c>
      <c r="B83" s="784">
        <v>6298691</v>
      </c>
    </row>
    <row r="84" spans="1:2">
      <c r="A84" s="600" t="s">
        <v>224</v>
      </c>
      <c r="B84" s="784">
        <v>0</v>
      </c>
    </row>
    <row r="85" spans="1:2">
      <c r="A85" s="600" t="s">
        <v>225</v>
      </c>
      <c r="B85" s="784">
        <v>5768036</v>
      </c>
    </row>
    <row r="86" spans="1:2">
      <c r="A86" s="600" t="s">
        <v>226</v>
      </c>
      <c r="B86" s="784">
        <v>8928778</v>
      </c>
    </row>
    <row r="87" spans="1:2">
      <c r="A87" s="600" t="s">
        <v>227</v>
      </c>
      <c r="B87" s="784">
        <v>15016857.333333332</v>
      </c>
    </row>
    <row r="88" spans="1:2">
      <c r="A88" s="600" t="s">
        <v>228</v>
      </c>
      <c r="B88" s="784">
        <v>21094128</v>
      </c>
    </row>
    <row r="89" spans="1:2">
      <c r="A89" s="600" t="s">
        <v>229</v>
      </c>
      <c r="B89" s="784">
        <v>10107021</v>
      </c>
    </row>
    <row r="90" spans="1:2">
      <c r="A90" s="600" t="s">
        <v>230</v>
      </c>
      <c r="B90" s="784">
        <v>6719653.4522222225</v>
      </c>
    </row>
    <row r="91" spans="1:2">
      <c r="A91" s="600" t="s">
        <v>231</v>
      </c>
      <c r="B91" s="784">
        <v>5339573</v>
      </c>
    </row>
    <row r="92" spans="1:2">
      <c r="A92" s="600" t="s">
        <v>232</v>
      </c>
      <c r="B92" s="784">
        <v>70293217.799999997</v>
      </c>
    </row>
    <row r="93" spans="1:2">
      <c r="A93" s="600" t="s">
        <v>233</v>
      </c>
      <c r="B93" s="784">
        <v>9876177</v>
      </c>
    </row>
    <row r="94" spans="1:2">
      <c r="A94" s="600" t="s">
        <v>234</v>
      </c>
      <c r="B94" s="784">
        <v>12750808</v>
      </c>
    </row>
    <row r="95" spans="1:2">
      <c r="A95" s="600" t="s">
        <v>235</v>
      </c>
      <c r="B95" s="784">
        <v>3159297.333333333</v>
      </c>
    </row>
    <row r="96" spans="1:2">
      <c r="A96" s="600" t="s">
        <v>236</v>
      </c>
      <c r="B96" s="784">
        <v>21508203</v>
      </c>
    </row>
    <row r="97" spans="1:2">
      <c r="A97" s="600" t="s">
        <v>237</v>
      </c>
      <c r="B97" s="784">
        <v>129000</v>
      </c>
    </row>
    <row r="98" spans="1:2">
      <c r="A98" s="600" t="s">
        <v>238</v>
      </c>
      <c r="B98" s="784">
        <v>20288495.52</v>
      </c>
    </row>
    <row r="99" spans="1:2">
      <c r="A99" s="600" t="s">
        <v>239</v>
      </c>
      <c r="B99" s="784">
        <v>250000</v>
      </c>
    </row>
    <row r="100" spans="1:2">
      <c r="A100" s="600" t="s">
        <v>240</v>
      </c>
      <c r="B100" s="784">
        <v>0</v>
      </c>
    </row>
    <row r="101" spans="1:2">
      <c r="A101" s="600" t="s">
        <v>241</v>
      </c>
      <c r="B101" s="784">
        <v>2349534</v>
      </c>
    </row>
    <row r="102" spans="1:2">
      <c r="A102" s="600" t="s">
        <v>242</v>
      </c>
      <c r="B102" s="784">
        <v>13333693.149999999</v>
      </c>
    </row>
    <row r="103" spans="1:2">
      <c r="A103" s="600" t="s">
        <v>243</v>
      </c>
      <c r="B103" s="784">
        <v>37890178</v>
      </c>
    </row>
    <row r="104" spans="1:2">
      <c r="A104" s="600" t="s">
        <v>244</v>
      </c>
      <c r="B104" s="784">
        <v>900000</v>
      </c>
    </row>
    <row r="105" spans="1:2">
      <c r="A105" s="600" t="s">
        <v>245</v>
      </c>
      <c r="B105" s="784">
        <v>4186000</v>
      </c>
    </row>
    <row r="106" spans="1:2">
      <c r="A106" s="600" t="s">
        <v>246</v>
      </c>
      <c r="B106" s="784">
        <v>38021874.022962958</v>
      </c>
    </row>
    <row r="107" spans="1:2">
      <c r="A107" s="600" t="s">
        <v>247</v>
      </c>
      <c r="B107" s="784">
        <v>9951357</v>
      </c>
    </row>
    <row r="108" spans="1:2">
      <c r="A108" s="600" t="s">
        <v>248</v>
      </c>
      <c r="B108" s="784">
        <v>4642000</v>
      </c>
    </row>
    <row r="109" spans="1:2">
      <c r="A109" s="600" t="s">
        <v>250</v>
      </c>
      <c r="B109" s="784">
        <v>23056111.185185187</v>
      </c>
    </row>
    <row r="110" spans="1:2">
      <c r="A110" s="600" t="s">
        <v>251</v>
      </c>
      <c r="B110" s="784">
        <v>5450593.2999999998</v>
      </c>
    </row>
    <row r="111" spans="1:2">
      <c r="A111" s="600" t="s">
        <v>252</v>
      </c>
      <c r="B111" s="784">
        <v>21617971.449999999</v>
      </c>
    </row>
    <row r="112" spans="1:2">
      <c r="A112" s="600" t="s">
        <v>253</v>
      </c>
      <c r="B112" s="784">
        <v>107787093.3</v>
      </c>
    </row>
    <row r="113" spans="1:2">
      <c r="A113" s="600" t="s">
        <v>254</v>
      </c>
      <c r="B113" s="784">
        <v>1600000</v>
      </c>
    </row>
    <row r="114" spans="1:2">
      <c r="A114" s="600" t="s">
        <v>255</v>
      </c>
      <c r="B114" s="784">
        <v>31818535</v>
      </c>
    </row>
    <row r="115" spans="1:2">
      <c r="A115" s="600" t="s">
        <v>257</v>
      </c>
      <c r="B115" s="784">
        <v>1900000</v>
      </c>
    </row>
    <row r="116" spans="1:2">
      <c r="A116" s="600" t="s">
        <v>258</v>
      </c>
      <c r="B116" s="784">
        <v>33311713</v>
      </c>
    </row>
    <row r="117" spans="1:2">
      <c r="A117" s="600" t="s">
        <v>259</v>
      </c>
      <c r="B117" s="784">
        <v>4613888</v>
      </c>
    </row>
    <row r="118" spans="1:2">
      <c r="A118" s="600" t="s">
        <v>260</v>
      </c>
      <c r="B118" s="784">
        <v>507941630</v>
      </c>
    </row>
    <row r="119" spans="1:2">
      <c r="A119" s="600" t="s">
        <v>261</v>
      </c>
      <c r="B119" s="784">
        <v>49808705.700000003</v>
      </c>
    </row>
    <row r="120" spans="1:2">
      <c r="A120" s="600" t="s">
        <v>151</v>
      </c>
      <c r="B120" s="784">
        <v>2450000</v>
      </c>
    </row>
    <row r="121" spans="1:2">
      <c r="A121" s="600" t="s">
        <v>263</v>
      </c>
      <c r="B121" s="784">
        <v>0</v>
      </c>
    </row>
    <row r="122" spans="1:2">
      <c r="A122" s="600" t="s">
        <v>264</v>
      </c>
      <c r="B122" s="784">
        <v>11400002.888888888</v>
      </c>
    </row>
    <row r="123" spans="1:2">
      <c r="A123" s="600" t="s">
        <v>265</v>
      </c>
      <c r="B123" s="784">
        <v>3386695</v>
      </c>
    </row>
    <row r="124" spans="1:2">
      <c r="A124" s="600" t="s">
        <v>266</v>
      </c>
      <c r="B124" s="784">
        <v>3478352</v>
      </c>
    </row>
    <row r="125" spans="1:2">
      <c r="A125" s="600" t="s">
        <v>267</v>
      </c>
      <c r="B125" s="784">
        <v>61976024.296296299</v>
      </c>
    </row>
    <row r="126" spans="1:2">
      <c r="A126" s="600" t="s">
        <v>153</v>
      </c>
      <c r="B126" s="784">
        <v>2600000</v>
      </c>
    </row>
    <row r="127" spans="1:2">
      <c r="A127" s="600" t="s">
        <v>269</v>
      </c>
      <c r="B127" s="784">
        <v>16610857.560000001</v>
      </c>
    </row>
    <row r="128" spans="1:2">
      <c r="A128" s="600" t="s">
        <v>270</v>
      </c>
      <c r="B128" s="784">
        <v>3743361</v>
      </c>
    </row>
    <row r="129" spans="1:2">
      <c r="A129" s="600" t="s">
        <v>271</v>
      </c>
      <c r="B129" s="784">
        <v>33362406.627407406</v>
      </c>
    </row>
    <row r="130" spans="1:2">
      <c r="A130" s="600" t="s">
        <v>272</v>
      </c>
      <c r="B130" s="784">
        <v>13414785</v>
      </c>
    </row>
    <row r="131" spans="1:2">
      <c r="A131" s="600" t="s">
        <v>273</v>
      </c>
      <c r="B131" s="784">
        <v>19569098.407407407</v>
      </c>
    </row>
    <row r="132" spans="1:2">
      <c r="A132" s="600" t="s">
        <v>274</v>
      </c>
      <c r="B132" s="784">
        <v>94317991</v>
      </c>
    </row>
    <row r="133" spans="1:2">
      <c r="A133" s="600" t="s">
        <v>154</v>
      </c>
      <c r="B133" s="784">
        <v>355000</v>
      </c>
    </row>
    <row r="134" spans="1:2">
      <c r="A134" s="600" t="s">
        <v>155</v>
      </c>
      <c r="B134" s="784">
        <v>570000</v>
      </c>
    </row>
    <row r="135" spans="1:2">
      <c r="A135" s="600" t="s">
        <v>276</v>
      </c>
      <c r="B135" s="784">
        <v>3007999.54</v>
      </c>
    </row>
    <row r="136" spans="1:2">
      <c r="A136" s="600" t="s">
        <v>277</v>
      </c>
      <c r="B136" s="784">
        <v>64145713.379629627</v>
      </c>
    </row>
    <row r="137" spans="1:2">
      <c r="A137" s="600" t="s">
        <v>278</v>
      </c>
      <c r="B137" s="784">
        <v>282294</v>
      </c>
    </row>
    <row r="138" spans="1:2">
      <c r="A138" s="600" t="s">
        <v>279</v>
      </c>
      <c r="B138" s="784">
        <v>10340306.722222222</v>
      </c>
    </row>
    <row r="139" spans="1:2">
      <c r="A139" s="600" t="s">
        <v>280</v>
      </c>
      <c r="B139" s="784">
        <v>7469931.77962963</v>
      </c>
    </row>
    <row r="140" spans="1:2">
      <c r="A140" s="600" t="s">
        <v>156</v>
      </c>
      <c r="B140" s="784">
        <v>13367742.4</v>
      </c>
    </row>
    <row r="141" spans="1:2">
      <c r="A141" s="600" t="s">
        <v>157</v>
      </c>
      <c r="B141" s="784">
        <v>2166102</v>
      </c>
    </row>
    <row r="142" spans="1:2">
      <c r="A142" s="600" t="s">
        <v>281</v>
      </c>
      <c r="B142" s="784">
        <v>7081834</v>
      </c>
    </row>
    <row r="143" spans="1:2">
      <c r="A143" s="600" t="s">
        <v>282</v>
      </c>
      <c r="B143" s="784">
        <v>24278324.296296295</v>
      </c>
    </row>
    <row r="144" spans="1:2">
      <c r="A144" s="600" t="s">
        <v>283</v>
      </c>
      <c r="B144" s="784">
        <v>3831969.4814814813</v>
      </c>
    </row>
    <row r="145" spans="1:2">
      <c r="A145" s="600" t="s">
        <v>285</v>
      </c>
      <c r="B145" s="784">
        <v>17589490.030000001</v>
      </c>
    </row>
    <row r="146" spans="1:2">
      <c r="A146" s="600" t="s">
        <v>286</v>
      </c>
      <c r="B146" s="784">
        <v>0</v>
      </c>
    </row>
    <row r="147" spans="1:2">
      <c r="A147" s="600" t="s">
        <v>287</v>
      </c>
      <c r="B147" s="784">
        <v>0</v>
      </c>
    </row>
    <row r="148" spans="1:2">
      <c r="A148" s="600" t="s">
        <v>288</v>
      </c>
      <c r="B148" s="784">
        <v>1506389.3703703703</v>
      </c>
    </row>
    <row r="149" spans="1:2">
      <c r="A149" s="600" t="s">
        <v>289</v>
      </c>
      <c r="B149" s="784">
        <v>36394697.555555552</v>
      </c>
    </row>
    <row r="150" spans="1:2">
      <c r="A150" s="600" t="s">
        <v>290</v>
      </c>
      <c r="B150" s="784">
        <v>81373322.188695669</v>
      </c>
    </row>
    <row r="151" spans="1:2">
      <c r="A151" s="600" t="s">
        <v>292</v>
      </c>
      <c r="B151" s="784">
        <v>7919386</v>
      </c>
    </row>
    <row r="152" spans="1:2">
      <c r="A152" s="600" t="s">
        <v>293</v>
      </c>
      <c r="B152" s="784">
        <v>2554943.2298999997</v>
      </c>
    </row>
    <row r="153" spans="1:2">
      <c r="A153" s="600" t="s">
        <v>294</v>
      </c>
      <c r="B153" s="784">
        <v>10296619.84</v>
      </c>
    </row>
    <row r="154" spans="1:2">
      <c r="A154" s="600" t="s">
        <v>295</v>
      </c>
      <c r="B154" s="784">
        <v>9723194</v>
      </c>
    </row>
    <row r="155" spans="1:2">
      <c r="A155" s="600" t="s">
        <v>296</v>
      </c>
      <c r="B155" s="784">
        <v>34718415.159999996</v>
      </c>
    </row>
    <row r="156" spans="1:2">
      <c r="A156" s="600" t="s">
        <v>297</v>
      </c>
      <c r="B156" s="784">
        <v>20215751</v>
      </c>
    </row>
    <row r="157" spans="1:2">
      <c r="A157" s="600" t="s">
        <v>298</v>
      </c>
      <c r="B157" s="784">
        <v>6756238</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74" t="s">
        <v>304</v>
      </c>
    </row>
    <row r="182" spans="1:2">
      <c r="A182" s="875">
        <f>COUNTIF($A$189:$A$217,"=*")</f>
        <v>27</v>
      </c>
    </row>
    <row r="183" spans="1:2">
      <c r="A183" s="599" t="s">
        <v>376</v>
      </c>
      <c r="B183" t="s">
        <v>377</v>
      </c>
    </row>
    <row r="184" spans="1:2">
      <c r="A184" s="599" t="s">
        <v>374</v>
      </c>
      <c r="B184" t="s">
        <v>375</v>
      </c>
    </row>
    <row r="185" spans="1:2">
      <c r="A185" s="599" t="s">
        <v>378</v>
      </c>
      <c r="B185" t="s">
        <v>379</v>
      </c>
    </row>
    <row r="186" spans="1:2">
      <c r="A186" s="599" t="s">
        <v>357</v>
      </c>
      <c r="B186" t="s">
        <v>358</v>
      </c>
    </row>
    <row r="188" spans="1:2">
      <c r="A188" s="599" t="s">
        <v>141</v>
      </c>
    </row>
    <row r="189" spans="1:2">
      <c r="A189" s="600" t="s">
        <v>333</v>
      </c>
    </row>
    <row r="190" spans="1:2">
      <c r="A190" s="600" t="s">
        <v>335</v>
      </c>
    </row>
    <row r="191" spans="1:2">
      <c r="A191" s="600" t="s">
        <v>348</v>
      </c>
    </row>
    <row r="192" spans="1:2">
      <c r="A192" s="600" t="s">
        <v>338</v>
      </c>
    </row>
    <row r="193" spans="1:1">
      <c r="A193" s="600" t="s">
        <v>336</v>
      </c>
    </row>
    <row r="194" spans="1:1">
      <c r="A194" s="600" t="s">
        <v>73</v>
      </c>
    </row>
    <row r="195" spans="1:1">
      <c r="A195" s="600" t="s">
        <v>349</v>
      </c>
    </row>
    <row r="196" spans="1:1">
      <c r="A196" s="600" t="s">
        <v>346</v>
      </c>
    </row>
    <row r="197" spans="1:1">
      <c r="A197" s="600" t="s">
        <v>39</v>
      </c>
    </row>
    <row r="198" spans="1:1">
      <c r="A198" s="600" t="s">
        <v>339</v>
      </c>
    </row>
    <row r="199" spans="1:1">
      <c r="A199" s="600" t="s">
        <v>389</v>
      </c>
    </row>
    <row r="200" spans="1:1">
      <c r="A200" s="600" t="s">
        <v>342</v>
      </c>
    </row>
    <row r="201" spans="1:1">
      <c r="A201" s="600" t="s">
        <v>343</v>
      </c>
    </row>
    <row r="202" spans="1:1">
      <c r="A202" s="600" t="s">
        <v>91</v>
      </c>
    </row>
    <row r="203" spans="1:1">
      <c r="A203" s="600" t="s">
        <v>334</v>
      </c>
    </row>
    <row r="204" spans="1:1">
      <c r="A204" s="600" t="s">
        <v>337</v>
      </c>
    </row>
    <row r="205" spans="1:1">
      <c r="A205" s="600" t="s">
        <v>105</v>
      </c>
    </row>
    <row r="206" spans="1:1">
      <c r="A206" s="600" t="s">
        <v>51</v>
      </c>
    </row>
    <row r="207" spans="1:1">
      <c r="A207" s="600" t="s">
        <v>72</v>
      </c>
    </row>
    <row r="208" spans="1:1">
      <c r="A208" s="600" t="s">
        <v>350</v>
      </c>
    </row>
    <row r="209" spans="1:2">
      <c r="A209" s="600" t="s">
        <v>69</v>
      </c>
    </row>
    <row r="210" spans="1:2">
      <c r="A210" s="600" t="s">
        <v>347</v>
      </c>
    </row>
    <row r="211" spans="1:2">
      <c r="A211" s="600" t="s">
        <v>58</v>
      </c>
    </row>
    <row r="212" spans="1:2">
      <c r="A212" s="600" t="s">
        <v>98</v>
      </c>
    </row>
    <row r="213" spans="1:2">
      <c r="A213" s="600" t="s">
        <v>93</v>
      </c>
    </row>
    <row r="214" spans="1:2">
      <c r="A214" s="600" t="s">
        <v>341</v>
      </c>
    </row>
    <row r="215" spans="1:2">
      <c r="A215" s="600" t="s">
        <v>344</v>
      </c>
    </row>
    <row r="221" spans="1:2">
      <c r="A221" s="878" t="s">
        <v>1832</v>
      </c>
    </row>
    <row r="222" spans="1:2">
      <c r="A222" s="599" t="s">
        <v>357</v>
      </c>
      <c r="B222" t="s">
        <v>358</v>
      </c>
    </row>
    <row r="223" spans="1:2">
      <c r="A223" s="599" t="s">
        <v>376</v>
      </c>
      <c r="B223" t="s">
        <v>377</v>
      </c>
    </row>
    <row r="224" spans="1:2">
      <c r="A224" s="599" t="s">
        <v>378</v>
      </c>
      <c r="B224" t="s">
        <v>379</v>
      </c>
    </row>
    <row r="225" spans="1:7">
      <c r="A225" s="599" t="s">
        <v>374</v>
      </c>
      <c r="B225" t="s">
        <v>375</v>
      </c>
    </row>
    <row r="226" spans="1:7">
      <c r="A226" s="599" t="s">
        <v>321</v>
      </c>
      <c r="B226" t="s">
        <v>139</v>
      </c>
    </row>
    <row r="228" spans="1:7">
      <c r="B228" s="599" t="s">
        <v>1833</v>
      </c>
    </row>
    <row r="229" spans="1:7">
      <c r="B229" t="s">
        <v>308</v>
      </c>
      <c r="C229" t="s">
        <v>309</v>
      </c>
      <c r="D229" t="s">
        <v>310</v>
      </c>
      <c r="E229" t="s">
        <v>345</v>
      </c>
      <c r="F229" t="s">
        <v>312</v>
      </c>
      <c r="G229" t="s">
        <v>299</v>
      </c>
    </row>
    <row r="230" spans="1:7">
      <c r="A230" t="s">
        <v>382</v>
      </c>
      <c r="B230" s="810">
        <v>0.67032773616801922</v>
      </c>
      <c r="C230" s="810">
        <v>0.142397578297003</v>
      </c>
      <c r="D230" s="810">
        <v>0.12131646185919624</v>
      </c>
      <c r="E230" s="810">
        <v>4.3530741902086764E-2</v>
      </c>
      <c r="F230" s="810">
        <v>2.2427481773694781E-2</v>
      </c>
      <c r="G230" s="810">
        <v>1</v>
      </c>
    </row>
    <row r="231" spans="1:7">
      <c r="C231" s="745"/>
    </row>
    <row r="232" spans="1:7">
      <c r="A232" s="878" t="s">
        <v>1834</v>
      </c>
      <c r="C232" s="745"/>
    </row>
    <row r="233" spans="1:7">
      <c r="A233" s="599" t="s">
        <v>357</v>
      </c>
      <c r="B233" t="s">
        <v>358</v>
      </c>
      <c r="C233" s="745"/>
    </row>
    <row r="234" spans="1:7">
      <c r="A234" s="599" t="s">
        <v>376</v>
      </c>
      <c r="B234" t="s">
        <v>377</v>
      </c>
    </row>
    <row r="235" spans="1:7">
      <c r="A235" s="599" t="s">
        <v>378</v>
      </c>
      <c r="B235" t="s">
        <v>379</v>
      </c>
    </row>
    <row r="236" spans="1:7">
      <c r="A236" s="599" t="s">
        <v>374</v>
      </c>
      <c r="B236" t="s">
        <v>375</v>
      </c>
    </row>
    <row r="237" spans="1:7">
      <c r="A237" s="599" t="s">
        <v>321</v>
      </c>
      <c r="B237" t="s">
        <v>139</v>
      </c>
    </row>
    <row r="239" spans="1:7">
      <c r="A239" s="599" t="s">
        <v>141</v>
      </c>
      <c r="B239" t="s">
        <v>382</v>
      </c>
    </row>
    <row r="240" spans="1:7">
      <c r="A240" s="600" t="s">
        <v>308</v>
      </c>
      <c r="B240" s="784">
        <v>2170298890.7692308</v>
      </c>
    </row>
    <row r="241" spans="1:4">
      <c r="A241" s="600" t="s">
        <v>309</v>
      </c>
      <c r="B241" s="784">
        <v>461036131.36000001</v>
      </c>
    </row>
    <row r="242" spans="1:4">
      <c r="A242" s="600" t="s">
        <v>310</v>
      </c>
      <c r="B242" s="784">
        <v>392782468.03600311</v>
      </c>
    </row>
    <row r="243" spans="1:4">
      <c r="A243" s="600" t="s">
        <v>311</v>
      </c>
      <c r="B243" s="784">
        <v>140938105</v>
      </c>
    </row>
    <row r="244" spans="1:4">
      <c r="A244" s="600" t="s">
        <v>312</v>
      </c>
      <c r="B244" s="784">
        <v>72612747.75</v>
      </c>
    </row>
    <row r="245" spans="1:4">
      <c r="A245" s="600" t="s">
        <v>299</v>
      </c>
      <c r="B245" s="784">
        <v>3237668342.9152341</v>
      </c>
    </row>
    <row r="247" spans="1:4">
      <c r="A247" s="874" t="s">
        <v>1835</v>
      </c>
    </row>
    <row r="248" spans="1:4">
      <c r="A248" s="599" t="s">
        <v>357</v>
      </c>
      <c r="B248" t="s">
        <v>358</v>
      </c>
    </row>
    <row r="249" spans="1:4">
      <c r="A249" s="599" t="s">
        <v>376</v>
      </c>
      <c r="B249" t="s">
        <v>377</v>
      </c>
    </row>
    <row r="250" spans="1:4">
      <c r="A250" s="599" t="s">
        <v>374</v>
      </c>
      <c r="B250" t="s">
        <v>375</v>
      </c>
    </row>
    <row r="251" spans="1:4">
      <c r="A251" s="599" t="s">
        <v>378</v>
      </c>
      <c r="B251" t="s">
        <v>379</v>
      </c>
    </row>
    <row r="252" spans="1:4">
      <c r="A252" s="599" t="s">
        <v>321</v>
      </c>
      <c r="B252" t="s">
        <v>139</v>
      </c>
    </row>
    <row r="254" spans="1:4">
      <c r="A254" s="599" t="s">
        <v>141</v>
      </c>
      <c r="B254" t="s">
        <v>382</v>
      </c>
      <c r="C254" t="s">
        <v>1836</v>
      </c>
      <c r="D254" s="577" t="s">
        <v>316</v>
      </c>
    </row>
    <row r="255" spans="1:4">
      <c r="A255" s="600" t="s">
        <v>126</v>
      </c>
      <c r="B255" s="784">
        <v>504042530.00397408</v>
      </c>
      <c r="C255" s="879">
        <f t="shared" ref="C255:C261" si="0">SUMIF($A$274:$A$427,A255,$H$274:$H$427)</f>
        <v>201.59077615933737</v>
      </c>
      <c r="D255">
        <f>COUNTIFS($A$274:$A$422,A255,$F$274:$F$422,"&gt;0")</f>
        <v>22</v>
      </c>
    </row>
    <row r="256" spans="1:4">
      <c r="A256" s="600" t="s">
        <v>127</v>
      </c>
      <c r="B256" s="784">
        <v>149093147.11832529</v>
      </c>
      <c r="C256" s="879">
        <f t="shared" si="0"/>
        <v>17.128072525147303</v>
      </c>
      <c r="D256">
        <f t="shared" ref="D256:D261" si="1">COUNTIFS($A$274:$A$422,A256,$F$274:$F$422,"&gt;0")</f>
        <v>18</v>
      </c>
    </row>
    <row r="257" spans="1:13">
      <c r="A257" s="600" t="s">
        <v>128</v>
      </c>
      <c r="B257" s="784">
        <v>627181600.69962966</v>
      </c>
      <c r="C257" s="879">
        <f t="shared" si="0"/>
        <v>48.595257250978669</v>
      </c>
      <c r="D257">
        <f t="shared" si="1"/>
        <v>22</v>
      </c>
    </row>
    <row r="258" spans="1:13">
      <c r="A258" s="600" t="s">
        <v>130</v>
      </c>
      <c r="B258" s="784">
        <v>734748750.18481481</v>
      </c>
      <c r="C258" s="879">
        <f t="shared" si="0"/>
        <v>67.571936887990233</v>
      </c>
      <c r="D258">
        <f t="shared" si="1"/>
        <v>24</v>
      </c>
    </row>
    <row r="259" spans="1:13">
      <c r="A259" s="600" t="s">
        <v>131</v>
      </c>
      <c r="B259" s="784">
        <v>225424925.18370369</v>
      </c>
      <c r="C259" s="879">
        <f t="shared" si="0"/>
        <v>13.368961345317938</v>
      </c>
      <c r="D259">
        <f t="shared" si="1"/>
        <v>14</v>
      </c>
    </row>
    <row r="260" spans="1:13">
      <c r="A260" s="600" t="s">
        <v>132</v>
      </c>
      <c r="B260" s="784">
        <v>443881841.29515672</v>
      </c>
      <c r="C260" s="879">
        <f t="shared" si="0"/>
        <v>15.313525083198581</v>
      </c>
      <c r="D260">
        <f t="shared" si="1"/>
        <v>8</v>
      </c>
    </row>
    <row r="261" spans="1:13">
      <c r="A261" s="600" t="s">
        <v>129</v>
      </c>
      <c r="B261" s="784">
        <v>553295548.42962968</v>
      </c>
      <c r="C261" s="879">
        <f t="shared" si="0"/>
        <v>58.010926065692743</v>
      </c>
      <c r="D261">
        <f t="shared" si="1"/>
        <v>23</v>
      </c>
    </row>
    <row r="262" spans="1:13">
      <c r="A262" s="600" t="s">
        <v>299</v>
      </c>
      <c r="B262" s="784">
        <v>3237668342.9152341</v>
      </c>
      <c r="D262">
        <f>SUM(D255:D261)</f>
        <v>131</v>
      </c>
    </row>
    <row r="264" spans="1:13">
      <c r="J264" t="s">
        <v>148</v>
      </c>
      <c r="K264" t="s">
        <v>150</v>
      </c>
      <c r="L264" t="s">
        <v>152</v>
      </c>
      <c r="M264" t="s">
        <v>322</v>
      </c>
    </row>
    <row r="265" spans="1:13">
      <c r="I265" s="600" t="s">
        <v>126</v>
      </c>
      <c r="J265">
        <f>COUNTIFS($A$274:$A$411,$I265,$D$274:$D$411,J$264,$F$274:$F$411,"&gt;0")</f>
        <v>0</v>
      </c>
      <c r="K265">
        <f t="shared" ref="K265:M271" si="2">COUNTIFS($A$274:$A$411,$I265,$D$274:$D$411,K$264,$F$274:$F$411,"&gt;0")</f>
        <v>14</v>
      </c>
      <c r="L265">
        <f t="shared" si="2"/>
        <v>7</v>
      </c>
      <c r="M265">
        <f t="shared" si="2"/>
        <v>1</v>
      </c>
    </row>
    <row r="266" spans="1:13">
      <c r="A266" s="878" t="s">
        <v>1837</v>
      </c>
      <c r="I266" s="600" t="s">
        <v>127</v>
      </c>
      <c r="J266">
        <f t="shared" ref="J266:J271" si="3">COUNTIFS($A$274:$A$411,$I266,$D$274:$D$411,J$264,$F$274:$F$411,"&gt;0")</f>
        <v>0</v>
      </c>
      <c r="K266">
        <f t="shared" si="2"/>
        <v>4</v>
      </c>
      <c r="L266">
        <f t="shared" si="2"/>
        <v>14</v>
      </c>
      <c r="M266">
        <f t="shared" si="2"/>
        <v>0</v>
      </c>
    </row>
    <row r="267" spans="1:13">
      <c r="I267" s="600" t="s">
        <v>128</v>
      </c>
      <c r="J267">
        <f t="shared" si="3"/>
        <v>10</v>
      </c>
      <c r="K267">
        <f t="shared" si="2"/>
        <v>8</v>
      </c>
      <c r="L267">
        <f t="shared" si="2"/>
        <v>4</v>
      </c>
      <c r="M267">
        <f t="shared" si="2"/>
        <v>0</v>
      </c>
    </row>
    <row r="268" spans="1:13">
      <c r="A268" s="599" t="s">
        <v>357</v>
      </c>
      <c r="B268" t="s">
        <v>358</v>
      </c>
      <c r="I268" s="600" t="s">
        <v>130</v>
      </c>
      <c r="J268">
        <f t="shared" si="3"/>
        <v>0</v>
      </c>
      <c r="K268">
        <f t="shared" si="2"/>
        <v>6</v>
      </c>
      <c r="L268">
        <f t="shared" si="2"/>
        <v>17</v>
      </c>
      <c r="M268">
        <f t="shared" si="2"/>
        <v>1</v>
      </c>
    </row>
    <row r="269" spans="1:13">
      <c r="A269" s="599" t="s">
        <v>376</v>
      </c>
      <c r="B269" t="s">
        <v>356</v>
      </c>
      <c r="I269" s="600" t="s">
        <v>131</v>
      </c>
      <c r="J269">
        <f t="shared" si="3"/>
        <v>3</v>
      </c>
      <c r="K269">
        <f t="shared" si="2"/>
        <v>7</v>
      </c>
      <c r="L269">
        <f t="shared" si="2"/>
        <v>4</v>
      </c>
      <c r="M269">
        <f t="shared" si="2"/>
        <v>0</v>
      </c>
    </row>
    <row r="270" spans="1:13">
      <c r="A270" s="599" t="s">
        <v>374</v>
      </c>
      <c r="B270" t="s">
        <v>375</v>
      </c>
      <c r="I270" s="600" t="s">
        <v>132</v>
      </c>
      <c r="J270">
        <f t="shared" si="3"/>
        <v>1</v>
      </c>
      <c r="K270">
        <f t="shared" si="2"/>
        <v>6</v>
      </c>
      <c r="L270">
        <f t="shared" si="2"/>
        <v>1</v>
      </c>
      <c r="M270">
        <f t="shared" si="2"/>
        <v>0</v>
      </c>
    </row>
    <row r="271" spans="1:13">
      <c r="A271" s="599" t="s">
        <v>378</v>
      </c>
      <c r="B271" t="s">
        <v>379</v>
      </c>
      <c r="I271" s="600" t="s">
        <v>129</v>
      </c>
      <c r="J271">
        <f t="shared" si="3"/>
        <v>12</v>
      </c>
      <c r="K271">
        <f t="shared" si="2"/>
        <v>10</v>
      </c>
      <c r="L271">
        <f t="shared" si="2"/>
        <v>1</v>
      </c>
      <c r="M271">
        <f t="shared" si="2"/>
        <v>0</v>
      </c>
    </row>
    <row r="273" spans="1:8">
      <c r="A273" s="599" t="s">
        <v>122</v>
      </c>
      <c r="B273" s="599" t="s">
        <v>386</v>
      </c>
      <c r="C273" s="599" t="s">
        <v>432</v>
      </c>
      <c r="D273" s="599" t="s">
        <v>321</v>
      </c>
      <c r="E273" s="599" t="s">
        <v>738</v>
      </c>
      <c r="F273" t="s">
        <v>382</v>
      </c>
      <c r="G273" t="s">
        <v>1825</v>
      </c>
      <c r="H273" s="577" t="s">
        <v>1838</v>
      </c>
    </row>
    <row r="274" spans="1:8">
      <c r="A274" t="s">
        <v>126</v>
      </c>
      <c r="B274" t="s">
        <v>180</v>
      </c>
      <c r="C274" t="s">
        <v>572</v>
      </c>
      <c r="D274" t="s">
        <v>150</v>
      </c>
      <c r="E274" t="s">
        <v>145</v>
      </c>
      <c r="F274" s="784">
        <v>7402339.888888889</v>
      </c>
      <c r="G274" s="1026">
        <v>16946446</v>
      </c>
      <c r="H274">
        <f>IFERROR(F274/G274,0)</f>
        <v>0.43680780553567922</v>
      </c>
    </row>
    <row r="275" spans="1:8">
      <c r="A275" t="s">
        <v>126</v>
      </c>
      <c r="B275" t="s">
        <v>185</v>
      </c>
      <c r="C275" t="s">
        <v>578</v>
      </c>
      <c r="D275" t="s">
        <v>152</v>
      </c>
      <c r="E275" t="s">
        <v>146</v>
      </c>
      <c r="F275" s="784">
        <v>0</v>
      </c>
      <c r="G275" s="1026">
        <v>1439323774</v>
      </c>
      <c r="H275">
        <f t="shared" ref="H275:H338" si="4">IFERROR(F275/G275,0)</f>
        <v>0</v>
      </c>
    </row>
    <row r="276" spans="1:8">
      <c r="A276" t="s">
        <v>126</v>
      </c>
      <c r="B276" t="s">
        <v>190</v>
      </c>
      <c r="C276" t="s">
        <v>584</v>
      </c>
      <c r="D276" t="s">
        <v>322</v>
      </c>
      <c r="E276" t="s">
        <v>146</v>
      </c>
      <c r="F276" s="784">
        <v>198193</v>
      </c>
      <c r="G276" s="1026">
        <v>17564</v>
      </c>
      <c r="H276">
        <f t="shared" si="4"/>
        <v>11.284046914142564</v>
      </c>
    </row>
    <row r="277" spans="1:8">
      <c r="A277" t="s">
        <v>126</v>
      </c>
      <c r="B277" t="s">
        <v>204</v>
      </c>
      <c r="C277" t="s">
        <v>599</v>
      </c>
      <c r="D277" t="s">
        <v>152</v>
      </c>
      <c r="E277" t="s">
        <v>145</v>
      </c>
      <c r="F277" s="784">
        <v>4297808</v>
      </c>
      <c r="G277" s="1026">
        <v>902899</v>
      </c>
      <c r="H277">
        <f t="shared" si="4"/>
        <v>4.7600097020818497</v>
      </c>
    </row>
    <row r="278" spans="1:8">
      <c r="A278" t="s">
        <v>126</v>
      </c>
      <c r="B278" t="s">
        <v>217</v>
      </c>
      <c r="C278" t="s">
        <v>612</v>
      </c>
      <c r="D278" t="s">
        <v>150</v>
      </c>
      <c r="E278" t="s">
        <v>145</v>
      </c>
      <c r="F278" s="784">
        <v>290360563</v>
      </c>
      <c r="G278" s="1026">
        <v>276361788</v>
      </c>
      <c r="H278">
        <f t="shared" si="4"/>
        <v>1.0506538009516713</v>
      </c>
    </row>
    <row r="279" spans="1:8">
      <c r="A279" t="s">
        <v>126</v>
      </c>
      <c r="B279" t="s">
        <v>223</v>
      </c>
      <c r="C279" t="s">
        <v>619</v>
      </c>
      <c r="D279" t="s">
        <v>150</v>
      </c>
      <c r="E279" t="s">
        <v>145</v>
      </c>
      <c r="F279" s="784">
        <v>6298691</v>
      </c>
      <c r="G279" s="1026">
        <v>121388</v>
      </c>
      <c r="H279">
        <f t="shared" si="4"/>
        <v>51.888909941674633</v>
      </c>
    </row>
    <row r="280" spans="1:8">
      <c r="A280" t="s">
        <v>126</v>
      </c>
      <c r="B280" t="s">
        <v>224</v>
      </c>
      <c r="C280" t="s">
        <v>620</v>
      </c>
      <c r="D280" t="s">
        <v>148</v>
      </c>
      <c r="E280" t="s">
        <v>145</v>
      </c>
      <c r="F280" s="784">
        <v>0</v>
      </c>
      <c r="G280" s="1026">
        <v>25887045</v>
      </c>
      <c r="H280">
        <f t="shared" si="4"/>
        <v>0</v>
      </c>
    </row>
    <row r="281" spans="1:8">
      <c r="A281" t="s">
        <v>126</v>
      </c>
      <c r="B281" t="s">
        <v>227</v>
      </c>
      <c r="C281" t="s">
        <v>623</v>
      </c>
      <c r="D281" t="s">
        <v>150</v>
      </c>
      <c r="E281" t="s">
        <v>145</v>
      </c>
      <c r="F281" s="784">
        <v>15016857.333333332</v>
      </c>
      <c r="G281" s="1026">
        <v>7379358</v>
      </c>
      <c r="H281">
        <f t="shared" si="4"/>
        <v>2.0349815435615581</v>
      </c>
    </row>
    <row r="282" spans="1:8">
      <c r="A282" t="s">
        <v>126</v>
      </c>
      <c r="B282" t="s">
        <v>234</v>
      </c>
      <c r="C282" t="s">
        <v>630</v>
      </c>
      <c r="D282" t="s">
        <v>152</v>
      </c>
      <c r="E282" t="s">
        <v>146</v>
      </c>
      <c r="F282" s="784">
        <v>12750808</v>
      </c>
      <c r="G282" s="1026">
        <v>32776195</v>
      </c>
      <c r="H282">
        <f t="shared" si="4"/>
        <v>0.38902648705867171</v>
      </c>
    </row>
    <row r="283" spans="1:8">
      <c r="A283" t="s">
        <v>126</v>
      </c>
      <c r="B283" t="s">
        <v>237</v>
      </c>
      <c r="C283" t="s">
        <v>633</v>
      </c>
      <c r="D283" t="s">
        <v>152</v>
      </c>
      <c r="E283" t="s">
        <v>145</v>
      </c>
      <c r="F283" s="784">
        <v>129000</v>
      </c>
      <c r="G283" s="1026">
        <v>58413</v>
      </c>
      <c r="H283">
        <f t="shared" si="4"/>
        <v>2.2084125109136665</v>
      </c>
    </row>
    <row r="284" spans="1:8">
      <c r="A284" t="s">
        <v>126</v>
      </c>
      <c r="B284" t="s">
        <v>241</v>
      </c>
      <c r="C284" t="s">
        <v>637</v>
      </c>
      <c r="D284" t="s">
        <v>150</v>
      </c>
      <c r="E284" t="s">
        <v>145</v>
      </c>
      <c r="F284" s="784">
        <v>2349534</v>
      </c>
      <c r="G284" s="1026">
        <v>116255</v>
      </c>
      <c r="H284">
        <f t="shared" si="4"/>
        <v>20.210175906412626</v>
      </c>
    </row>
    <row r="285" spans="1:8">
      <c r="A285" t="s">
        <v>126</v>
      </c>
      <c r="B285" t="s">
        <v>243</v>
      </c>
      <c r="C285" t="s">
        <v>639</v>
      </c>
      <c r="D285" t="s">
        <v>150</v>
      </c>
      <c r="E285" t="s">
        <v>145</v>
      </c>
      <c r="F285" s="784">
        <v>37890178</v>
      </c>
      <c r="G285" s="1026">
        <v>3329282</v>
      </c>
      <c r="H285">
        <f t="shared" si="4"/>
        <v>11.380885728514436</v>
      </c>
    </row>
    <row r="286" spans="1:8">
      <c r="A286" t="s">
        <v>126</v>
      </c>
      <c r="B286" t="s">
        <v>247</v>
      </c>
      <c r="C286" t="s">
        <v>643</v>
      </c>
      <c r="D286" t="s">
        <v>150</v>
      </c>
      <c r="E286" t="s">
        <v>145</v>
      </c>
      <c r="F286" s="784">
        <v>9951357</v>
      </c>
      <c r="G286" s="1026">
        <v>54806014</v>
      </c>
      <c r="H286">
        <f t="shared" si="4"/>
        <v>0.18157417906728265</v>
      </c>
    </row>
    <row r="287" spans="1:8">
      <c r="A287" t="s">
        <v>126</v>
      </c>
      <c r="B287" t="s">
        <v>258</v>
      </c>
      <c r="C287" t="s">
        <v>654</v>
      </c>
      <c r="D287" t="s">
        <v>150</v>
      </c>
      <c r="E287" t="s">
        <v>145</v>
      </c>
      <c r="F287" s="784">
        <v>33311713</v>
      </c>
      <c r="G287" s="1026">
        <v>9119005</v>
      </c>
      <c r="H287">
        <f t="shared" si="4"/>
        <v>3.652998655006769</v>
      </c>
    </row>
    <row r="288" spans="1:8">
      <c r="A288" t="s">
        <v>126</v>
      </c>
      <c r="B288" t="s">
        <v>261</v>
      </c>
      <c r="C288" t="s">
        <v>657</v>
      </c>
      <c r="D288" t="s">
        <v>150</v>
      </c>
      <c r="E288" t="s">
        <v>145</v>
      </c>
      <c r="F288" s="784">
        <v>49808705.700000003</v>
      </c>
      <c r="G288" s="1026">
        <v>111046910</v>
      </c>
      <c r="H288">
        <f t="shared" si="4"/>
        <v>0.44853752076487319</v>
      </c>
    </row>
    <row r="289" spans="1:8">
      <c r="A289" t="s">
        <v>126</v>
      </c>
      <c r="B289" t="s">
        <v>265</v>
      </c>
      <c r="C289" t="s">
        <v>662</v>
      </c>
      <c r="D289" t="s">
        <v>150</v>
      </c>
      <c r="E289" t="s">
        <v>145</v>
      </c>
      <c r="F289" s="784">
        <v>3386695</v>
      </c>
      <c r="G289" s="1026">
        <v>200144</v>
      </c>
      <c r="H289">
        <f t="shared" si="4"/>
        <v>16.921291669997601</v>
      </c>
    </row>
    <row r="290" spans="1:8">
      <c r="A290" t="s">
        <v>126</v>
      </c>
      <c r="B290" t="s">
        <v>270</v>
      </c>
      <c r="C290" t="s">
        <v>668</v>
      </c>
      <c r="D290" t="s">
        <v>150</v>
      </c>
      <c r="E290" t="s">
        <v>145</v>
      </c>
      <c r="F290" s="784">
        <v>3743361</v>
      </c>
      <c r="G290" s="1026">
        <v>703995</v>
      </c>
      <c r="H290">
        <f t="shared" si="4"/>
        <v>5.3173119127266526</v>
      </c>
    </row>
    <row r="291" spans="1:8">
      <c r="A291" t="s">
        <v>126</v>
      </c>
      <c r="B291" t="s">
        <v>278</v>
      </c>
      <c r="C291" t="s">
        <v>678</v>
      </c>
      <c r="D291" t="s">
        <v>152</v>
      </c>
      <c r="E291" t="s">
        <v>146</v>
      </c>
      <c r="F291" s="784">
        <v>282294</v>
      </c>
      <c r="G291" s="1026">
        <v>591798</v>
      </c>
      <c r="H291">
        <f t="shared" si="4"/>
        <v>0.47701073677166872</v>
      </c>
    </row>
    <row r="292" spans="1:8">
      <c r="A292" t="s">
        <v>126</v>
      </c>
      <c r="B292" t="s">
        <v>157</v>
      </c>
      <c r="C292" t="s">
        <v>682</v>
      </c>
      <c r="D292" t="s">
        <v>152</v>
      </c>
      <c r="E292" t="s">
        <v>146</v>
      </c>
      <c r="F292" s="784">
        <v>2166102</v>
      </c>
      <c r="G292" s="1026">
        <v>69950844</v>
      </c>
      <c r="H292">
        <f t="shared" si="4"/>
        <v>3.0966059537466051E-2</v>
      </c>
    </row>
    <row r="293" spans="1:8">
      <c r="A293" t="s">
        <v>126</v>
      </c>
      <c r="B293" t="s">
        <v>281</v>
      </c>
      <c r="C293" t="s">
        <v>683</v>
      </c>
      <c r="D293" t="s">
        <v>150</v>
      </c>
      <c r="E293" t="s">
        <v>145</v>
      </c>
      <c r="F293" s="784">
        <v>7081834</v>
      </c>
      <c r="G293" s="1026">
        <v>1343875</v>
      </c>
      <c r="H293">
        <f t="shared" si="4"/>
        <v>5.2697118407589993</v>
      </c>
    </row>
    <row r="294" spans="1:8">
      <c r="A294" t="s">
        <v>126</v>
      </c>
      <c r="B294" t="s">
        <v>283</v>
      </c>
      <c r="C294" t="s">
        <v>685</v>
      </c>
      <c r="D294" t="s">
        <v>152</v>
      </c>
      <c r="E294" t="s">
        <v>145</v>
      </c>
      <c r="F294" s="784">
        <v>3831969.4814814813</v>
      </c>
      <c r="G294" s="1026">
        <v>106759</v>
      </c>
      <c r="H294">
        <f t="shared" si="4"/>
        <v>35.893643453774217</v>
      </c>
    </row>
    <row r="295" spans="1:8">
      <c r="A295" t="s">
        <v>126</v>
      </c>
      <c r="B295" t="s">
        <v>288</v>
      </c>
      <c r="C295" t="s">
        <v>690</v>
      </c>
      <c r="D295" t="s">
        <v>152</v>
      </c>
      <c r="E295" t="s">
        <v>145</v>
      </c>
      <c r="F295" s="784">
        <v>1506389.3703703703</v>
      </c>
      <c r="G295" s="1026">
        <v>77132</v>
      </c>
      <c r="H295">
        <f t="shared" si="4"/>
        <v>19.530018285152341</v>
      </c>
    </row>
    <row r="296" spans="1:8">
      <c r="A296" t="s">
        <v>126</v>
      </c>
      <c r="B296" t="s">
        <v>293</v>
      </c>
      <c r="C296" t="s">
        <v>695</v>
      </c>
      <c r="D296" t="s">
        <v>150</v>
      </c>
      <c r="E296" t="s">
        <v>145</v>
      </c>
      <c r="F296" s="784">
        <v>2554943.2298999997</v>
      </c>
      <c r="G296" s="1026">
        <v>314464</v>
      </c>
      <c r="H296">
        <f t="shared" si="4"/>
        <v>8.1247558699882969</v>
      </c>
    </row>
    <row r="297" spans="1:8">
      <c r="A297" t="s">
        <v>126</v>
      </c>
      <c r="B297" t="s">
        <v>295</v>
      </c>
      <c r="C297" t="s">
        <v>697</v>
      </c>
      <c r="D297" t="s">
        <v>150</v>
      </c>
      <c r="E297" t="s">
        <v>145</v>
      </c>
      <c r="F297" s="784">
        <v>9723194</v>
      </c>
      <c r="G297" s="1026">
        <v>98168829</v>
      </c>
      <c r="H297">
        <f t="shared" si="4"/>
        <v>9.9045634943857791E-2</v>
      </c>
    </row>
    <row r="298" spans="1:8">
      <c r="A298" t="s">
        <v>127</v>
      </c>
      <c r="B298" t="s">
        <v>161</v>
      </c>
      <c r="C298" t="s">
        <v>543</v>
      </c>
      <c r="D298" t="s">
        <v>152</v>
      </c>
      <c r="E298" t="s">
        <v>146</v>
      </c>
      <c r="F298" s="784">
        <v>600000</v>
      </c>
      <c r="G298" s="1026">
        <v>2872934</v>
      </c>
      <c r="H298">
        <f t="shared" si="4"/>
        <v>0.20884573053192312</v>
      </c>
    </row>
    <row r="299" spans="1:8">
      <c r="A299" t="s">
        <v>127</v>
      </c>
      <c r="B299" t="s">
        <v>165</v>
      </c>
      <c r="C299" t="s">
        <v>553</v>
      </c>
      <c r="D299" t="s">
        <v>152</v>
      </c>
      <c r="E299" t="s">
        <v>146</v>
      </c>
      <c r="F299" s="784">
        <v>2800000</v>
      </c>
      <c r="G299" s="1026">
        <v>2968128</v>
      </c>
      <c r="H299">
        <f t="shared" si="4"/>
        <v>0.94335554261810817</v>
      </c>
    </row>
    <row r="300" spans="1:8">
      <c r="A300" t="s">
        <v>127</v>
      </c>
      <c r="B300" t="s">
        <v>166</v>
      </c>
      <c r="C300" t="s">
        <v>554</v>
      </c>
      <c r="D300" t="s">
        <v>152</v>
      </c>
      <c r="E300" t="s">
        <v>146</v>
      </c>
      <c r="F300" s="784">
        <v>1100000</v>
      </c>
      <c r="G300" s="1026">
        <v>10223344</v>
      </c>
      <c r="H300">
        <f t="shared" si="4"/>
        <v>0.10759688806324036</v>
      </c>
    </row>
    <row r="301" spans="1:8">
      <c r="A301" t="s">
        <v>127</v>
      </c>
      <c r="B301" t="s">
        <v>168</v>
      </c>
      <c r="C301" t="s">
        <v>559</v>
      </c>
      <c r="D301" t="s">
        <v>152</v>
      </c>
      <c r="E301" t="s">
        <v>146</v>
      </c>
      <c r="F301" s="784">
        <v>500000</v>
      </c>
      <c r="G301" s="1026">
        <v>9442867</v>
      </c>
      <c r="H301">
        <f t="shared" si="4"/>
        <v>5.2950020369872834E-2</v>
      </c>
    </row>
    <row r="302" spans="1:8">
      <c r="A302" t="s">
        <v>127</v>
      </c>
      <c r="B302" t="s">
        <v>174</v>
      </c>
      <c r="C302" t="s">
        <v>565</v>
      </c>
      <c r="D302" t="s">
        <v>152</v>
      </c>
      <c r="E302" t="s">
        <v>146</v>
      </c>
      <c r="F302" s="784">
        <v>2250000</v>
      </c>
      <c r="G302" s="1026">
        <v>3263459</v>
      </c>
      <c r="H302">
        <f t="shared" si="4"/>
        <v>0.68945251035787491</v>
      </c>
    </row>
    <row r="303" spans="1:8">
      <c r="A303" t="s">
        <v>127</v>
      </c>
      <c r="B303" t="s">
        <v>176</v>
      </c>
      <c r="C303" t="s">
        <v>568</v>
      </c>
      <c r="D303" t="s">
        <v>152</v>
      </c>
      <c r="E303" t="s">
        <v>146</v>
      </c>
      <c r="F303" s="784">
        <v>1300000</v>
      </c>
      <c r="G303" s="1026">
        <v>6948445</v>
      </c>
      <c r="H303">
        <f t="shared" si="4"/>
        <v>0.18709221991395197</v>
      </c>
    </row>
    <row r="304" spans="1:8">
      <c r="A304" t="s">
        <v>127</v>
      </c>
      <c r="B304" t="s">
        <v>207</v>
      </c>
      <c r="C304" t="s">
        <v>602</v>
      </c>
      <c r="D304" t="s">
        <v>152</v>
      </c>
      <c r="E304" t="s">
        <v>146</v>
      </c>
      <c r="F304" s="784">
        <v>5700000</v>
      </c>
      <c r="G304" s="1026">
        <v>3979773</v>
      </c>
      <c r="H304">
        <f t="shared" si="4"/>
        <v>1.4322424922225463</v>
      </c>
    </row>
    <row r="305" spans="1:8">
      <c r="A305" t="s">
        <v>127</v>
      </c>
      <c r="B305" t="s">
        <v>221</v>
      </c>
      <c r="C305" t="s">
        <v>617</v>
      </c>
      <c r="D305" t="s">
        <v>152</v>
      </c>
      <c r="E305" t="s">
        <v>146</v>
      </c>
      <c r="F305" s="784">
        <v>2500000</v>
      </c>
      <c r="G305" s="1026">
        <v>18994958</v>
      </c>
      <c r="H305">
        <f t="shared" si="4"/>
        <v>0.13161387353422946</v>
      </c>
    </row>
    <row r="306" spans="1:8">
      <c r="A306" t="s">
        <v>127</v>
      </c>
      <c r="B306" t="s">
        <v>225</v>
      </c>
      <c r="C306" t="s">
        <v>621</v>
      </c>
      <c r="D306" t="s">
        <v>152</v>
      </c>
      <c r="E306" t="s">
        <v>145</v>
      </c>
      <c r="F306" s="784">
        <v>5768036</v>
      </c>
      <c r="G306" s="1026">
        <v>1794000</v>
      </c>
      <c r="H306">
        <f t="shared" si="4"/>
        <v>3.2151817168338908</v>
      </c>
    </row>
    <row r="307" spans="1:8">
      <c r="A307" t="s">
        <v>127</v>
      </c>
      <c r="B307" t="s">
        <v>226</v>
      </c>
      <c r="C307" t="s">
        <v>622</v>
      </c>
      <c r="D307" t="s">
        <v>150</v>
      </c>
      <c r="E307" t="s">
        <v>145</v>
      </c>
      <c r="F307" s="784">
        <v>8928778</v>
      </c>
      <c r="G307" s="1026">
        <v>6628347</v>
      </c>
      <c r="H307">
        <f t="shared" si="4"/>
        <v>1.3470595308302356</v>
      </c>
    </row>
    <row r="308" spans="1:8">
      <c r="A308" t="s">
        <v>127</v>
      </c>
      <c r="B308" t="s">
        <v>242</v>
      </c>
      <c r="C308" t="s">
        <v>638</v>
      </c>
      <c r="D308" t="s">
        <v>152</v>
      </c>
      <c r="E308" t="s">
        <v>145</v>
      </c>
      <c r="F308" s="784">
        <v>13333693.149999999</v>
      </c>
      <c r="G308" s="1026">
        <v>4024025</v>
      </c>
      <c r="H308">
        <f t="shared" si="4"/>
        <v>3.3135214492951706</v>
      </c>
    </row>
    <row r="309" spans="1:8">
      <c r="A309" t="s">
        <v>127</v>
      </c>
      <c r="B309" t="s">
        <v>244</v>
      </c>
      <c r="C309" t="s">
        <v>640</v>
      </c>
      <c r="D309" t="s">
        <v>152</v>
      </c>
      <c r="E309" t="s">
        <v>146</v>
      </c>
      <c r="F309" s="784">
        <v>900000</v>
      </c>
      <c r="G309" s="1026">
        <v>628051</v>
      </c>
      <c r="H309">
        <f t="shared" si="4"/>
        <v>1.4330046445272757</v>
      </c>
    </row>
    <row r="310" spans="1:8">
      <c r="A310" t="s">
        <v>127</v>
      </c>
      <c r="B310" t="s">
        <v>254</v>
      </c>
      <c r="C310" t="s">
        <v>650</v>
      </c>
      <c r="D310" t="s">
        <v>152</v>
      </c>
      <c r="E310" t="s">
        <v>146</v>
      </c>
      <c r="F310" s="784">
        <v>1600000</v>
      </c>
      <c r="G310" s="1026">
        <v>2082662</v>
      </c>
      <c r="H310">
        <f t="shared" si="4"/>
        <v>0.7682475600937646</v>
      </c>
    </row>
    <row r="311" spans="1:8">
      <c r="A311" t="s">
        <v>127</v>
      </c>
      <c r="B311" t="s">
        <v>151</v>
      </c>
      <c r="C311" t="s">
        <v>659</v>
      </c>
      <c r="D311" t="s">
        <v>152</v>
      </c>
      <c r="E311" t="s">
        <v>146</v>
      </c>
      <c r="F311" s="784">
        <v>2450000</v>
      </c>
      <c r="G311" s="1026">
        <v>19237682</v>
      </c>
      <c r="H311">
        <f t="shared" si="4"/>
        <v>0.12735422074239505</v>
      </c>
    </row>
    <row r="312" spans="1:8">
      <c r="A312" t="s">
        <v>127</v>
      </c>
      <c r="B312" t="s">
        <v>263</v>
      </c>
      <c r="C312" t="s">
        <v>660</v>
      </c>
      <c r="D312" t="s">
        <v>152</v>
      </c>
      <c r="E312" t="s">
        <v>146</v>
      </c>
      <c r="F312" s="784">
        <v>0</v>
      </c>
      <c r="G312" s="1026">
        <v>145934460</v>
      </c>
      <c r="H312">
        <f t="shared" si="4"/>
        <v>0</v>
      </c>
    </row>
    <row r="313" spans="1:8">
      <c r="A313" t="s">
        <v>127</v>
      </c>
      <c r="B313" t="s">
        <v>153</v>
      </c>
      <c r="C313" t="s">
        <v>665</v>
      </c>
      <c r="D313" t="s">
        <v>152</v>
      </c>
      <c r="E313" t="s">
        <v>146</v>
      </c>
      <c r="F313" s="784">
        <v>2600000</v>
      </c>
      <c r="G313" s="1026">
        <v>8697547</v>
      </c>
      <c r="H313">
        <f t="shared" si="4"/>
        <v>0.29893486059920116</v>
      </c>
    </row>
    <row r="314" spans="1:8">
      <c r="A314" t="s">
        <v>127</v>
      </c>
      <c r="B314" t="s">
        <v>280</v>
      </c>
      <c r="C314" t="s">
        <v>680</v>
      </c>
      <c r="D314" t="s">
        <v>150</v>
      </c>
      <c r="E314" t="s">
        <v>145</v>
      </c>
      <c r="F314" s="784">
        <v>7469931.77962963</v>
      </c>
      <c r="G314" s="1026">
        <v>9749625</v>
      </c>
      <c r="H314">
        <f t="shared" si="4"/>
        <v>0.76617631751268689</v>
      </c>
    </row>
    <row r="315" spans="1:8">
      <c r="A315" t="s">
        <v>127</v>
      </c>
      <c r="B315" t="s">
        <v>286</v>
      </c>
      <c r="C315" t="s">
        <v>688</v>
      </c>
      <c r="D315" t="s">
        <v>152</v>
      </c>
      <c r="E315" t="s">
        <v>146</v>
      </c>
      <c r="F315" s="784">
        <v>0</v>
      </c>
      <c r="G315" s="1026">
        <v>85042736</v>
      </c>
      <c r="H315">
        <f t="shared" si="4"/>
        <v>0</v>
      </c>
    </row>
    <row r="316" spans="1:8">
      <c r="A316" t="s">
        <v>127</v>
      </c>
      <c r="B316" t="s">
        <v>287</v>
      </c>
      <c r="C316" t="s">
        <v>689</v>
      </c>
      <c r="D316" t="s">
        <v>152</v>
      </c>
      <c r="E316" t="s">
        <v>146</v>
      </c>
      <c r="F316" s="784">
        <v>0</v>
      </c>
      <c r="G316" s="1026">
        <v>6117933</v>
      </c>
      <c r="H316">
        <f t="shared" si="4"/>
        <v>0</v>
      </c>
    </row>
    <row r="317" spans="1:8">
      <c r="A317" t="s">
        <v>127</v>
      </c>
      <c r="B317" t="s">
        <v>290</v>
      </c>
      <c r="C317" t="s">
        <v>692</v>
      </c>
      <c r="D317" t="s">
        <v>150</v>
      </c>
      <c r="E317" t="s">
        <v>145</v>
      </c>
      <c r="F317" s="784">
        <v>81373322.188695669</v>
      </c>
      <c r="G317" s="1026">
        <v>43466822</v>
      </c>
      <c r="H317">
        <f t="shared" si="4"/>
        <v>1.8720789430774505</v>
      </c>
    </row>
    <row r="318" spans="1:8">
      <c r="A318" t="s">
        <v>127</v>
      </c>
      <c r="B318" t="s">
        <v>292</v>
      </c>
      <c r="C318" t="s">
        <v>694</v>
      </c>
      <c r="D318" t="s">
        <v>150</v>
      </c>
      <c r="E318" t="s">
        <v>145</v>
      </c>
      <c r="F318" s="784">
        <v>7919386</v>
      </c>
      <c r="G318" s="1026">
        <v>33935765</v>
      </c>
      <c r="H318">
        <f t="shared" si="4"/>
        <v>0.23336400402348378</v>
      </c>
    </row>
    <row r="319" spans="1:8">
      <c r="A319" t="s">
        <v>128</v>
      </c>
      <c r="B319" t="s">
        <v>162</v>
      </c>
      <c r="C319" t="s">
        <v>547</v>
      </c>
      <c r="D319" t="s">
        <v>150</v>
      </c>
      <c r="E319" t="s">
        <v>145</v>
      </c>
      <c r="F319" s="784">
        <v>51271243.590000004</v>
      </c>
      <c r="G319" s="1026">
        <v>33933611</v>
      </c>
      <c r="H319">
        <f t="shared" si="4"/>
        <v>1.5109280173571862</v>
      </c>
    </row>
    <row r="320" spans="1:8">
      <c r="A320" t="s">
        <v>128</v>
      </c>
      <c r="B320" t="s">
        <v>175</v>
      </c>
      <c r="C320" t="s">
        <v>566</v>
      </c>
      <c r="D320" t="s">
        <v>152</v>
      </c>
      <c r="E320" t="s">
        <v>146</v>
      </c>
      <c r="F320" s="784">
        <v>4471162</v>
      </c>
      <c r="G320" s="1026">
        <v>2397240</v>
      </c>
      <c r="H320">
        <f t="shared" si="4"/>
        <v>1.865129065091522</v>
      </c>
    </row>
    <row r="321" spans="1:8">
      <c r="A321" t="s">
        <v>128</v>
      </c>
      <c r="B321" t="s">
        <v>178</v>
      </c>
      <c r="C321" t="s">
        <v>570</v>
      </c>
      <c r="D321" t="s">
        <v>148</v>
      </c>
      <c r="E321" t="s">
        <v>145</v>
      </c>
      <c r="F321" s="784">
        <v>19908059</v>
      </c>
      <c r="G321" s="1026">
        <v>12255429</v>
      </c>
      <c r="H321">
        <f t="shared" si="4"/>
        <v>1.6244277536102572</v>
      </c>
    </row>
    <row r="322" spans="1:8">
      <c r="A322" t="s">
        <v>128</v>
      </c>
      <c r="B322" t="s">
        <v>187</v>
      </c>
      <c r="C322" t="s">
        <v>580</v>
      </c>
      <c r="D322" t="s">
        <v>150</v>
      </c>
      <c r="E322" t="s">
        <v>145</v>
      </c>
      <c r="F322" s="784">
        <v>13535310</v>
      </c>
      <c r="G322" s="1026">
        <v>888456</v>
      </c>
      <c r="H322">
        <f t="shared" si="4"/>
        <v>15.234643021151301</v>
      </c>
    </row>
    <row r="323" spans="1:8">
      <c r="A323" t="s">
        <v>128</v>
      </c>
      <c r="B323" t="s">
        <v>201</v>
      </c>
      <c r="C323" t="s">
        <v>596</v>
      </c>
      <c r="D323" t="s">
        <v>148</v>
      </c>
      <c r="E323" t="s">
        <v>145</v>
      </c>
      <c r="F323" s="784">
        <v>357784.62962962961</v>
      </c>
      <c r="G323" s="1026">
        <v>3601462</v>
      </c>
      <c r="H323">
        <f t="shared" si="4"/>
        <v>9.9344274527852744E-2</v>
      </c>
    </row>
    <row r="324" spans="1:8">
      <c r="A324" t="s">
        <v>128</v>
      </c>
      <c r="B324" t="s">
        <v>202</v>
      </c>
      <c r="C324" t="s">
        <v>597</v>
      </c>
      <c r="D324" t="s">
        <v>150</v>
      </c>
      <c r="E324" t="s">
        <v>145</v>
      </c>
      <c r="F324" s="784">
        <v>9011997</v>
      </c>
      <c r="G324" s="1026">
        <v>1172369</v>
      </c>
      <c r="H324">
        <f t="shared" si="4"/>
        <v>7.6869970120329008</v>
      </c>
    </row>
    <row r="325" spans="1:8">
      <c r="A325" t="s">
        <v>128</v>
      </c>
      <c r="B325" t="s">
        <v>203</v>
      </c>
      <c r="C325" t="s">
        <v>598</v>
      </c>
      <c r="D325" t="s">
        <v>148</v>
      </c>
      <c r="E325" t="s">
        <v>145</v>
      </c>
      <c r="F325" s="784">
        <v>204487864.77777779</v>
      </c>
      <c r="G325" s="1026">
        <v>117876226</v>
      </c>
      <c r="H325">
        <f t="shared" si="4"/>
        <v>1.7347676602555786</v>
      </c>
    </row>
    <row r="326" spans="1:8">
      <c r="A326" t="s">
        <v>128</v>
      </c>
      <c r="B326" t="s">
        <v>222</v>
      </c>
      <c r="C326" t="s">
        <v>618</v>
      </c>
      <c r="D326" t="s">
        <v>150</v>
      </c>
      <c r="E326" t="s">
        <v>145</v>
      </c>
      <c r="F326" s="784">
        <v>36467168</v>
      </c>
      <c r="G326" s="1026">
        <v>54985702</v>
      </c>
      <c r="H326">
        <f t="shared" si="4"/>
        <v>0.66321182914060095</v>
      </c>
    </row>
    <row r="327" spans="1:8">
      <c r="A327" t="s">
        <v>128</v>
      </c>
      <c r="B327" t="s">
        <v>229</v>
      </c>
      <c r="C327" t="s">
        <v>625</v>
      </c>
      <c r="D327" t="s">
        <v>150</v>
      </c>
      <c r="E327" t="s">
        <v>145</v>
      </c>
      <c r="F327" s="784">
        <v>10107021</v>
      </c>
      <c r="G327" s="1026">
        <v>2159067</v>
      </c>
      <c r="H327">
        <f t="shared" si="4"/>
        <v>4.6811984065339338</v>
      </c>
    </row>
    <row r="328" spans="1:8">
      <c r="A328" t="s">
        <v>128</v>
      </c>
      <c r="B328" t="s">
        <v>232</v>
      </c>
      <c r="C328" t="s">
        <v>628</v>
      </c>
      <c r="D328" t="s">
        <v>148</v>
      </c>
      <c r="E328" t="s">
        <v>145</v>
      </c>
      <c r="F328" s="784">
        <v>70293217.799999997</v>
      </c>
      <c r="G328" s="1026">
        <v>28427333</v>
      </c>
      <c r="H328">
        <f t="shared" si="4"/>
        <v>2.4727334709872362</v>
      </c>
    </row>
    <row r="329" spans="1:8">
      <c r="A329" t="s">
        <v>128</v>
      </c>
      <c r="B329" t="s">
        <v>233</v>
      </c>
      <c r="C329" t="s">
        <v>629</v>
      </c>
      <c r="D329" t="s">
        <v>148</v>
      </c>
      <c r="E329" t="s">
        <v>145</v>
      </c>
      <c r="F329" s="784">
        <v>9876177</v>
      </c>
      <c r="G329" s="1026">
        <v>19647681</v>
      </c>
      <c r="H329">
        <f t="shared" si="4"/>
        <v>0.50266374947761006</v>
      </c>
    </row>
    <row r="330" spans="1:8">
      <c r="A330" t="s">
        <v>128</v>
      </c>
      <c r="B330" t="s">
        <v>239</v>
      </c>
      <c r="C330" t="s">
        <v>635</v>
      </c>
      <c r="D330" t="s">
        <v>152</v>
      </c>
      <c r="E330" t="s">
        <v>146</v>
      </c>
      <c r="F330" s="784">
        <v>250000</v>
      </c>
      <c r="G330" s="1026">
        <v>1273428</v>
      </c>
      <c r="H330">
        <f t="shared" si="4"/>
        <v>0.1963204829797994</v>
      </c>
    </row>
    <row r="331" spans="1:8">
      <c r="A331" t="s">
        <v>128</v>
      </c>
      <c r="B331" t="s">
        <v>246</v>
      </c>
      <c r="C331" t="s">
        <v>642</v>
      </c>
      <c r="D331" t="s">
        <v>148</v>
      </c>
      <c r="E331" t="s">
        <v>145</v>
      </c>
      <c r="F331" s="784">
        <v>38021874.022962958</v>
      </c>
      <c r="G331" s="1026">
        <v>32163045</v>
      </c>
      <c r="H331">
        <f t="shared" si="4"/>
        <v>1.1821602719196196</v>
      </c>
    </row>
    <row r="332" spans="1:8">
      <c r="A332" t="s">
        <v>128</v>
      </c>
      <c r="B332" t="s">
        <v>248</v>
      </c>
      <c r="C332" t="s">
        <v>644</v>
      </c>
      <c r="D332" t="s">
        <v>152</v>
      </c>
      <c r="E332" t="s">
        <v>146</v>
      </c>
      <c r="F332" s="784">
        <v>4642000</v>
      </c>
      <c r="G332" s="1026">
        <v>2587344</v>
      </c>
      <c r="H332">
        <f t="shared" si="4"/>
        <v>1.7941178289396384</v>
      </c>
    </row>
    <row r="333" spans="1:8">
      <c r="A333" t="s">
        <v>128</v>
      </c>
      <c r="B333" t="s">
        <v>264</v>
      </c>
      <c r="C333" t="s">
        <v>661</v>
      </c>
      <c r="D333" t="s">
        <v>148</v>
      </c>
      <c r="E333" t="s">
        <v>145</v>
      </c>
      <c r="F333" s="784">
        <v>11400002.888888888</v>
      </c>
      <c r="G333" s="1026">
        <v>13276517</v>
      </c>
      <c r="H333">
        <f t="shared" si="4"/>
        <v>0.85865915653095526</v>
      </c>
    </row>
    <row r="334" spans="1:8">
      <c r="A334" t="s">
        <v>128</v>
      </c>
      <c r="B334" t="s">
        <v>271</v>
      </c>
      <c r="C334" t="s">
        <v>669</v>
      </c>
      <c r="D334" t="s">
        <v>148</v>
      </c>
      <c r="E334" t="s">
        <v>145</v>
      </c>
      <c r="F334" s="784">
        <v>33362406.627407406</v>
      </c>
      <c r="G334" s="1026">
        <v>16359500</v>
      </c>
      <c r="H334">
        <f t="shared" si="4"/>
        <v>2.039329235453859</v>
      </c>
    </row>
    <row r="335" spans="1:8">
      <c r="A335" t="s">
        <v>128</v>
      </c>
      <c r="B335" t="s">
        <v>272</v>
      </c>
      <c r="C335" t="s">
        <v>670</v>
      </c>
      <c r="D335" t="s">
        <v>152</v>
      </c>
      <c r="E335" t="s">
        <v>146</v>
      </c>
      <c r="F335" s="784">
        <v>13414785</v>
      </c>
      <c r="G335" s="1026">
        <v>60041996</v>
      </c>
      <c r="H335">
        <f t="shared" si="4"/>
        <v>0.22342336853691538</v>
      </c>
    </row>
    <row r="336" spans="1:8">
      <c r="A336" t="s">
        <v>128</v>
      </c>
      <c r="B336" t="s">
        <v>273</v>
      </c>
      <c r="C336" t="s">
        <v>671</v>
      </c>
      <c r="D336" t="s">
        <v>148</v>
      </c>
      <c r="E336" t="s">
        <v>145</v>
      </c>
      <c r="F336" s="784">
        <v>19569098.407407407</v>
      </c>
      <c r="G336" s="1026">
        <v>11381377</v>
      </c>
      <c r="H336">
        <f t="shared" si="4"/>
        <v>1.7193963794897056</v>
      </c>
    </row>
    <row r="337" spans="1:8">
      <c r="A337" t="s">
        <v>128</v>
      </c>
      <c r="B337" t="s">
        <v>156</v>
      </c>
      <c r="C337" t="s">
        <v>681</v>
      </c>
      <c r="D337" t="s">
        <v>150</v>
      </c>
      <c r="E337" t="s">
        <v>145</v>
      </c>
      <c r="F337" s="784">
        <v>13367742.4</v>
      </c>
      <c r="G337" s="1026">
        <v>61498438</v>
      </c>
      <c r="H337">
        <f t="shared" si="4"/>
        <v>0.21736718581372749</v>
      </c>
    </row>
    <row r="338" spans="1:8">
      <c r="A338" t="s">
        <v>128</v>
      </c>
      <c r="B338" t="s">
        <v>289</v>
      </c>
      <c r="C338" t="s">
        <v>691</v>
      </c>
      <c r="D338" t="s">
        <v>148</v>
      </c>
      <c r="E338" t="s">
        <v>145</v>
      </c>
      <c r="F338" s="784">
        <v>36394697.555555552</v>
      </c>
      <c r="G338" s="1026">
        <v>47123533</v>
      </c>
      <c r="H338">
        <f t="shared" si="4"/>
        <v>0.77232531685507433</v>
      </c>
    </row>
    <row r="339" spans="1:8">
      <c r="A339" t="s">
        <v>128</v>
      </c>
      <c r="B339" t="s">
        <v>297</v>
      </c>
      <c r="C339" t="s">
        <v>699</v>
      </c>
      <c r="D339" t="s">
        <v>150</v>
      </c>
      <c r="E339" t="s">
        <v>145</v>
      </c>
      <c r="F339" s="784">
        <v>20215751</v>
      </c>
      <c r="G339" s="1026">
        <v>18920657</v>
      </c>
      <c r="H339">
        <f t="shared" ref="H339:H402" si="5">IFERROR(F339/G339,0)</f>
        <v>1.0684486801911794</v>
      </c>
    </row>
    <row r="340" spans="1:8">
      <c r="A340" t="s">
        <v>128</v>
      </c>
      <c r="B340" t="s">
        <v>298</v>
      </c>
      <c r="C340" t="s">
        <v>700</v>
      </c>
      <c r="D340" t="s">
        <v>150</v>
      </c>
      <c r="E340" t="s">
        <v>145</v>
      </c>
      <c r="F340" s="784">
        <v>6756238</v>
      </c>
      <c r="G340" s="1026">
        <v>15092171</v>
      </c>
      <c r="H340">
        <f t="shared" si="5"/>
        <v>0.44766508410221434</v>
      </c>
    </row>
    <row r="341" spans="1:8">
      <c r="A341" t="s">
        <v>130</v>
      </c>
      <c r="B341" t="s">
        <v>164</v>
      </c>
      <c r="C341" t="s">
        <v>551</v>
      </c>
      <c r="D341" t="s">
        <v>152</v>
      </c>
      <c r="E341" t="s">
        <v>146</v>
      </c>
      <c r="F341" s="784">
        <v>23820959</v>
      </c>
      <c r="G341" s="1026">
        <v>45605823</v>
      </c>
      <c r="H341">
        <f t="shared" si="5"/>
        <v>0.52232275251342353</v>
      </c>
    </row>
    <row r="342" spans="1:8">
      <c r="A342" t="s">
        <v>130</v>
      </c>
      <c r="B342" t="s">
        <v>169</v>
      </c>
      <c r="C342" t="s">
        <v>560</v>
      </c>
      <c r="D342" t="s">
        <v>150</v>
      </c>
      <c r="E342" t="s">
        <v>146</v>
      </c>
      <c r="F342" s="784">
        <v>3847270</v>
      </c>
      <c r="G342" s="1026">
        <v>404915</v>
      </c>
      <c r="H342">
        <f t="shared" si="5"/>
        <v>9.501426225257152</v>
      </c>
    </row>
    <row r="343" spans="1:8">
      <c r="A343" t="s">
        <v>130</v>
      </c>
      <c r="B343" t="s">
        <v>172</v>
      </c>
      <c r="C343" t="s">
        <v>564</v>
      </c>
      <c r="D343" t="s">
        <v>150</v>
      </c>
      <c r="E343" t="s">
        <v>145</v>
      </c>
      <c r="F343" s="784">
        <v>5956519</v>
      </c>
      <c r="G343" s="1026">
        <v>11832936</v>
      </c>
      <c r="H343">
        <f t="shared" si="5"/>
        <v>0.50338470519911538</v>
      </c>
    </row>
    <row r="344" spans="1:8">
      <c r="A344" t="s">
        <v>130</v>
      </c>
      <c r="B344" t="s">
        <v>144</v>
      </c>
      <c r="C344" t="s">
        <v>567</v>
      </c>
      <c r="D344" t="s">
        <v>152</v>
      </c>
      <c r="E344" t="s">
        <v>146</v>
      </c>
      <c r="F344" s="784">
        <v>4502593</v>
      </c>
      <c r="G344" s="1026">
        <v>213993441</v>
      </c>
      <c r="H344">
        <f t="shared" si="5"/>
        <v>2.1040799096267628E-2</v>
      </c>
    </row>
    <row r="345" spans="1:8">
      <c r="A345" t="s">
        <v>130</v>
      </c>
      <c r="B345" t="s">
        <v>186</v>
      </c>
      <c r="C345" t="s">
        <v>579</v>
      </c>
      <c r="D345" t="s">
        <v>152</v>
      </c>
      <c r="E345" t="s">
        <v>146</v>
      </c>
      <c r="F345" s="784">
        <v>11200000</v>
      </c>
      <c r="G345" s="1026">
        <v>51265841</v>
      </c>
      <c r="H345">
        <f t="shared" si="5"/>
        <v>0.21846905817852477</v>
      </c>
    </row>
    <row r="346" spans="1:8">
      <c r="A346" t="s">
        <v>130</v>
      </c>
      <c r="B346" t="s">
        <v>191</v>
      </c>
      <c r="C346" t="s">
        <v>585</v>
      </c>
      <c r="D346" t="s">
        <v>152</v>
      </c>
      <c r="E346" t="s">
        <v>146</v>
      </c>
      <c r="F346" s="784">
        <v>550000</v>
      </c>
      <c r="G346" s="1026">
        <v>5139053</v>
      </c>
      <c r="H346">
        <f t="shared" si="5"/>
        <v>0.10702360921360414</v>
      </c>
    </row>
    <row r="347" spans="1:8">
      <c r="A347" t="s">
        <v>130</v>
      </c>
      <c r="B347" t="s">
        <v>147</v>
      </c>
      <c r="C347" t="s">
        <v>588</v>
      </c>
      <c r="D347" t="s">
        <v>152</v>
      </c>
      <c r="E347" t="s">
        <v>146</v>
      </c>
      <c r="F347" s="784">
        <v>1215090</v>
      </c>
      <c r="G347" s="1026">
        <v>11317498</v>
      </c>
      <c r="H347">
        <f t="shared" si="5"/>
        <v>0.10736383607048131</v>
      </c>
    </row>
    <row r="348" spans="1:8">
      <c r="A348" t="s">
        <v>130</v>
      </c>
      <c r="B348" t="s">
        <v>195</v>
      </c>
      <c r="C348" t="s">
        <v>590</v>
      </c>
      <c r="D348" t="s">
        <v>152</v>
      </c>
      <c r="E348" t="s">
        <v>145</v>
      </c>
      <c r="F348" s="784">
        <v>555000.03</v>
      </c>
      <c r="G348" s="1026">
        <v>71625</v>
      </c>
      <c r="H348">
        <f t="shared" si="5"/>
        <v>7.7486915183246081</v>
      </c>
    </row>
    <row r="349" spans="1:8">
      <c r="A349" t="s">
        <v>130</v>
      </c>
      <c r="B349" t="s">
        <v>196</v>
      </c>
      <c r="C349" t="s">
        <v>591</v>
      </c>
      <c r="D349" t="s">
        <v>152</v>
      </c>
      <c r="E349" t="s">
        <v>146</v>
      </c>
      <c r="F349" s="784">
        <v>801756</v>
      </c>
      <c r="G349" s="1026">
        <v>10953714</v>
      </c>
      <c r="H349">
        <f t="shared" si="5"/>
        <v>7.3194899921615625E-2</v>
      </c>
    </row>
    <row r="350" spans="1:8">
      <c r="A350" t="s">
        <v>130</v>
      </c>
      <c r="B350" t="s">
        <v>197</v>
      </c>
      <c r="C350" t="s">
        <v>592</v>
      </c>
      <c r="D350" t="s">
        <v>152</v>
      </c>
      <c r="E350" t="s">
        <v>146</v>
      </c>
      <c r="F350" s="784">
        <v>34093947</v>
      </c>
      <c r="G350" s="1026">
        <v>17888474</v>
      </c>
      <c r="H350">
        <f t="shared" si="5"/>
        <v>1.9059170167337918</v>
      </c>
    </row>
    <row r="351" spans="1:8">
      <c r="A351" t="s">
        <v>130</v>
      </c>
      <c r="B351" t="s">
        <v>199</v>
      </c>
      <c r="C351" t="s">
        <v>594</v>
      </c>
      <c r="D351" t="s">
        <v>150</v>
      </c>
      <c r="E351" t="s">
        <v>145</v>
      </c>
      <c r="F351" s="784">
        <v>50935214</v>
      </c>
      <c r="G351" s="1026">
        <v>6518500</v>
      </c>
      <c r="H351">
        <f t="shared" si="5"/>
        <v>7.8139470737132779</v>
      </c>
    </row>
    <row r="352" spans="1:8">
      <c r="A352" t="s">
        <v>130</v>
      </c>
      <c r="B352" t="s">
        <v>200</v>
      </c>
      <c r="C352" t="s">
        <v>595</v>
      </c>
      <c r="D352" t="s">
        <v>152</v>
      </c>
      <c r="E352" t="s">
        <v>146</v>
      </c>
      <c r="F352" s="784">
        <v>0</v>
      </c>
      <c r="G352" s="1026">
        <v>1449891</v>
      </c>
      <c r="H352">
        <f t="shared" si="5"/>
        <v>0</v>
      </c>
    </row>
    <row r="353" spans="1:8">
      <c r="A353" t="s">
        <v>130</v>
      </c>
      <c r="B353" t="s">
        <v>209</v>
      </c>
      <c r="C353" t="s">
        <v>604</v>
      </c>
      <c r="D353" t="s">
        <v>152</v>
      </c>
      <c r="E353" t="s">
        <v>145</v>
      </c>
      <c r="F353" s="784">
        <v>555000</v>
      </c>
      <c r="G353" s="1026">
        <v>113015</v>
      </c>
      <c r="H353">
        <f t="shared" si="5"/>
        <v>4.9108525416980049</v>
      </c>
    </row>
    <row r="354" spans="1:8">
      <c r="A354" t="s">
        <v>130</v>
      </c>
      <c r="B354" t="s">
        <v>210</v>
      </c>
      <c r="C354" t="s">
        <v>605</v>
      </c>
      <c r="D354" t="s">
        <v>152</v>
      </c>
      <c r="E354" t="s">
        <v>146</v>
      </c>
      <c r="F354" s="784">
        <v>6783889</v>
      </c>
      <c r="G354" s="1026">
        <v>18249868</v>
      </c>
      <c r="H354">
        <f t="shared" si="5"/>
        <v>0.37172263382946114</v>
      </c>
    </row>
    <row r="355" spans="1:8">
      <c r="A355" t="s">
        <v>130</v>
      </c>
      <c r="B355" t="s">
        <v>213</v>
      </c>
      <c r="C355" t="s">
        <v>608</v>
      </c>
      <c r="D355" t="s">
        <v>152</v>
      </c>
      <c r="E355" t="s">
        <v>145</v>
      </c>
      <c r="F355" s="784">
        <v>2158349</v>
      </c>
      <c r="G355" s="1026">
        <v>790329</v>
      </c>
      <c r="H355">
        <f t="shared" si="5"/>
        <v>2.7309500220794125</v>
      </c>
    </row>
    <row r="356" spans="1:8">
      <c r="A356" t="s">
        <v>130</v>
      </c>
      <c r="B356" t="s">
        <v>214</v>
      </c>
      <c r="C356" t="s">
        <v>609</v>
      </c>
      <c r="D356" t="s">
        <v>150</v>
      </c>
      <c r="E356" t="s">
        <v>145</v>
      </c>
      <c r="F356" s="784">
        <v>15503083.175555557</v>
      </c>
      <c r="G356" s="1026">
        <v>11541683</v>
      </c>
      <c r="H356">
        <f t="shared" si="5"/>
        <v>1.3432255222705005</v>
      </c>
    </row>
    <row r="357" spans="1:8">
      <c r="A357" t="s">
        <v>130</v>
      </c>
      <c r="B357" t="s">
        <v>215</v>
      </c>
      <c r="C357" t="s">
        <v>610</v>
      </c>
      <c r="D357" t="s">
        <v>150</v>
      </c>
      <c r="E357" t="s">
        <v>145</v>
      </c>
      <c r="F357" s="784">
        <v>36562719.839259252</v>
      </c>
      <c r="G357" s="1026">
        <v>10062994</v>
      </c>
      <c r="H357">
        <f t="shared" si="5"/>
        <v>3.6333838457281451</v>
      </c>
    </row>
    <row r="358" spans="1:8">
      <c r="A358" t="s">
        <v>130</v>
      </c>
      <c r="B358" t="s">
        <v>219</v>
      </c>
      <c r="C358" t="s">
        <v>615</v>
      </c>
      <c r="D358" t="s">
        <v>152</v>
      </c>
      <c r="E358" t="s">
        <v>146</v>
      </c>
      <c r="F358" s="784">
        <v>4579630</v>
      </c>
      <c r="G358" s="1026">
        <v>2973462</v>
      </c>
      <c r="H358">
        <f t="shared" si="5"/>
        <v>1.5401676564220428</v>
      </c>
    </row>
    <row r="359" spans="1:8">
      <c r="A359" t="s">
        <v>130</v>
      </c>
      <c r="B359" t="s">
        <v>240</v>
      </c>
      <c r="C359" t="s">
        <v>636</v>
      </c>
      <c r="D359" t="s">
        <v>152</v>
      </c>
      <c r="E359" t="s">
        <v>146</v>
      </c>
      <c r="F359" s="784">
        <v>0</v>
      </c>
      <c r="G359" s="1026">
        <v>130262220</v>
      </c>
      <c r="H359">
        <f t="shared" si="5"/>
        <v>0</v>
      </c>
    </row>
    <row r="360" spans="1:8">
      <c r="A360" t="s">
        <v>130</v>
      </c>
      <c r="B360" t="s">
        <v>251</v>
      </c>
      <c r="C360" t="s">
        <v>647</v>
      </c>
      <c r="D360" t="s">
        <v>150</v>
      </c>
      <c r="E360" t="s">
        <v>145</v>
      </c>
      <c r="F360" s="784">
        <v>5450593.2999999998</v>
      </c>
      <c r="G360" s="1026">
        <v>6702379</v>
      </c>
      <c r="H360">
        <f t="shared" si="5"/>
        <v>0.81323262978712485</v>
      </c>
    </row>
    <row r="361" spans="1:8">
      <c r="A361" t="s">
        <v>130</v>
      </c>
      <c r="B361" t="s">
        <v>257</v>
      </c>
      <c r="C361" t="s">
        <v>653</v>
      </c>
      <c r="D361" t="s">
        <v>152</v>
      </c>
      <c r="E361" t="s">
        <v>146</v>
      </c>
      <c r="F361" s="784">
        <v>1900000</v>
      </c>
      <c r="G361" s="1026">
        <v>4381583</v>
      </c>
      <c r="H361">
        <f t="shared" si="5"/>
        <v>0.43363323255544856</v>
      </c>
    </row>
    <row r="362" spans="1:8">
      <c r="A362" t="s">
        <v>130</v>
      </c>
      <c r="B362" t="s">
        <v>259</v>
      </c>
      <c r="C362" t="s">
        <v>655</v>
      </c>
      <c r="D362" t="s">
        <v>152</v>
      </c>
      <c r="E362" t="s">
        <v>146</v>
      </c>
      <c r="F362" s="784">
        <v>4613888</v>
      </c>
      <c r="G362" s="1026">
        <v>7219641</v>
      </c>
      <c r="H362">
        <f t="shared" si="5"/>
        <v>0.63907443597264735</v>
      </c>
    </row>
    <row r="363" spans="1:8">
      <c r="A363" t="s">
        <v>130</v>
      </c>
      <c r="B363" t="s">
        <v>260</v>
      </c>
      <c r="C363" t="s">
        <v>656</v>
      </c>
      <c r="D363" t="s">
        <v>152</v>
      </c>
      <c r="E363" t="s">
        <v>146</v>
      </c>
      <c r="F363" s="784">
        <v>507941630</v>
      </c>
      <c r="G363" s="1026">
        <v>33359416</v>
      </c>
      <c r="H363">
        <f t="shared" si="5"/>
        <v>15.226334597703989</v>
      </c>
    </row>
    <row r="364" spans="1:8">
      <c r="A364" t="s">
        <v>130</v>
      </c>
      <c r="B364" t="s">
        <v>154</v>
      </c>
      <c r="C364" t="s">
        <v>674</v>
      </c>
      <c r="D364" t="s">
        <v>152</v>
      </c>
      <c r="E364" t="s">
        <v>145</v>
      </c>
      <c r="F364" s="784">
        <v>355000</v>
      </c>
      <c r="G364" s="1026">
        <v>184401</v>
      </c>
      <c r="H364">
        <f t="shared" si="5"/>
        <v>1.9251522497166502</v>
      </c>
    </row>
    <row r="365" spans="1:8">
      <c r="A365" t="s">
        <v>130</v>
      </c>
      <c r="B365" t="s">
        <v>155</v>
      </c>
      <c r="C365" t="s">
        <v>675</v>
      </c>
      <c r="D365" t="s">
        <v>152</v>
      </c>
      <c r="E365" t="s">
        <v>145</v>
      </c>
      <c r="F365" s="784">
        <v>570000</v>
      </c>
      <c r="G365" s="1026">
        <v>111269</v>
      </c>
      <c r="H365">
        <f t="shared" si="5"/>
        <v>5.1227206140074957</v>
      </c>
    </row>
    <row r="366" spans="1:8">
      <c r="A366" t="s">
        <v>130</v>
      </c>
      <c r="B366" t="s">
        <v>294</v>
      </c>
      <c r="C366" t="s">
        <v>696</v>
      </c>
      <c r="D366" t="s">
        <v>322</v>
      </c>
      <c r="E366" t="s">
        <v>146</v>
      </c>
      <c r="F366" s="784">
        <v>10296619.84</v>
      </c>
      <c r="G366" s="1026">
        <v>28704947</v>
      </c>
      <c r="H366">
        <f t="shared" si="5"/>
        <v>0.35870541199745115</v>
      </c>
    </row>
    <row r="367" spans="1:8">
      <c r="A367" t="s">
        <v>131</v>
      </c>
      <c r="B367" t="s">
        <v>143</v>
      </c>
      <c r="C367" t="s">
        <v>545</v>
      </c>
      <c r="D367" t="s">
        <v>150</v>
      </c>
      <c r="E367" t="s">
        <v>145</v>
      </c>
      <c r="F367" s="784">
        <v>3690331.5</v>
      </c>
      <c r="G367" s="1026">
        <v>44616626</v>
      </c>
      <c r="H367">
        <f t="shared" si="5"/>
        <v>8.2712025333336506E-2</v>
      </c>
    </row>
    <row r="368" spans="1:8">
      <c r="A368" t="s">
        <v>131</v>
      </c>
      <c r="B368" t="s">
        <v>194</v>
      </c>
      <c r="C368" t="s">
        <v>589</v>
      </c>
      <c r="D368" t="s">
        <v>150</v>
      </c>
      <c r="E368" t="s">
        <v>145</v>
      </c>
      <c r="F368" s="784">
        <v>2569428.4814814813</v>
      </c>
      <c r="G368" s="1026">
        <v>1002197</v>
      </c>
      <c r="H368">
        <f t="shared" si="5"/>
        <v>2.5637958220604147</v>
      </c>
    </row>
    <row r="369" spans="1:8">
      <c r="A369" t="s">
        <v>131</v>
      </c>
      <c r="B369" t="s">
        <v>198</v>
      </c>
      <c r="C369" t="s">
        <v>593</v>
      </c>
      <c r="D369" t="s">
        <v>150</v>
      </c>
      <c r="E369" t="s">
        <v>145</v>
      </c>
      <c r="F369" s="784">
        <v>18278053.370370373</v>
      </c>
      <c r="G369" s="1026">
        <v>104258327</v>
      </c>
      <c r="H369">
        <f t="shared" si="5"/>
        <v>0.17531504577442886</v>
      </c>
    </row>
    <row r="370" spans="1:8">
      <c r="A370" t="s">
        <v>131</v>
      </c>
      <c r="B370" t="s">
        <v>149</v>
      </c>
      <c r="C370" t="s">
        <v>613</v>
      </c>
      <c r="D370" t="s">
        <v>150</v>
      </c>
      <c r="E370" t="s">
        <v>146</v>
      </c>
      <c r="F370" s="784">
        <v>2428858</v>
      </c>
      <c r="G370" s="1026">
        <v>85028760</v>
      </c>
      <c r="H370">
        <f t="shared" si="5"/>
        <v>2.8565134902590605E-2</v>
      </c>
    </row>
    <row r="371" spans="1:8">
      <c r="A371" t="s">
        <v>131</v>
      </c>
      <c r="B371" t="s">
        <v>218</v>
      </c>
      <c r="C371" t="s">
        <v>614</v>
      </c>
      <c r="D371" t="s">
        <v>152</v>
      </c>
      <c r="E371" t="s">
        <v>146</v>
      </c>
      <c r="F371" s="784">
        <v>32334102</v>
      </c>
      <c r="G371" s="1026">
        <v>41179351</v>
      </c>
      <c r="H371">
        <f t="shared" si="5"/>
        <v>0.78520183574529867</v>
      </c>
    </row>
    <row r="372" spans="1:8">
      <c r="A372" t="s">
        <v>131</v>
      </c>
      <c r="B372" t="s">
        <v>220</v>
      </c>
      <c r="C372" t="s">
        <v>616</v>
      </c>
      <c r="D372" t="s">
        <v>152</v>
      </c>
      <c r="E372" t="s">
        <v>146</v>
      </c>
      <c r="F372" s="784">
        <v>5702526</v>
      </c>
      <c r="G372" s="1026">
        <v>10269022</v>
      </c>
      <c r="H372">
        <f t="shared" si="5"/>
        <v>0.55531344659695925</v>
      </c>
    </row>
    <row r="373" spans="1:8">
      <c r="A373" t="s">
        <v>131</v>
      </c>
      <c r="B373" t="s">
        <v>228</v>
      </c>
      <c r="C373" t="s">
        <v>624</v>
      </c>
      <c r="D373" t="s">
        <v>152</v>
      </c>
      <c r="E373" t="s">
        <v>146</v>
      </c>
      <c r="F373" s="784">
        <v>21094128</v>
      </c>
      <c r="G373" s="1026">
        <v>6769151</v>
      </c>
      <c r="H373">
        <f t="shared" si="5"/>
        <v>3.1162147217575735</v>
      </c>
    </row>
    <row r="374" spans="1:8">
      <c r="A374" t="s">
        <v>131</v>
      </c>
      <c r="B374" t="s">
        <v>231</v>
      </c>
      <c r="C374" t="s">
        <v>627</v>
      </c>
      <c r="D374" t="s">
        <v>152</v>
      </c>
      <c r="E374" t="s">
        <v>146</v>
      </c>
      <c r="F374" s="784">
        <v>5339573</v>
      </c>
      <c r="G374" s="1026">
        <v>6958538</v>
      </c>
      <c r="H374">
        <f t="shared" si="5"/>
        <v>0.76734121449074499</v>
      </c>
    </row>
    <row r="375" spans="1:8">
      <c r="A375" t="s">
        <v>131</v>
      </c>
      <c r="B375" t="s">
        <v>245</v>
      </c>
      <c r="C375" t="s">
        <v>641</v>
      </c>
      <c r="D375" t="s">
        <v>150</v>
      </c>
      <c r="E375" t="s">
        <v>145</v>
      </c>
      <c r="F375" s="784">
        <v>4186000</v>
      </c>
      <c r="G375" s="1026">
        <v>37344787</v>
      </c>
      <c r="H375">
        <f t="shared" si="5"/>
        <v>0.11209061120096896</v>
      </c>
    </row>
    <row r="376" spans="1:8">
      <c r="A376" t="s">
        <v>131</v>
      </c>
      <c r="B376" t="s">
        <v>276</v>
      </c>
      <c r="C376" t="s">
        <v>676</v>
      </c>
      <c r="D376" t="s">
        <v>150</v>
      </c>
      <c r="E376" t="s">
        <v>145</v>
      </c>
      <c r="F376" s="784">
        <v>3007999.54</v>
      </c>
      <c r="G376" s="1026">
        <v>5222756</v>
      </c>
      <c r="H376">
        <f t="shared" si="5"/>
        <v>0.57594104338782048</v>
      </c>
    </row>
    <row r="377" spans="1:8">
      <c r="A377" t="s">
        <v>131</v>
      </c>
      <c r="B377" t="s">
        <v>277</v>
      </c>
      <c r="C377" t="s">
        <v>677</v>
      </c>
      <c r="D377" t="s">
        <v>148</v>
      </c>
      <c r="E377" t="s">
        <v>145</v>
      </c>
      <c r="F377" s="784">
        <v>64145713.379629627</v>
      </c>
      <c r="G377" s="1026">
        <v>44909351</v>
      </c>
      <c r="H377">
        <f t="shared" si="5"/>
        <v>1.4283375722715215</v>
      </c>
    </row>
    <row r="378" spans="1:8">
      <c r="A378" t="s">
        <v>131</v>
      </c>
      <c r="B378" t="s">
        <v>279</v>
      </c>
      <c r="C378" t="s">
        <v>679</v>
      </c>
      <c r="D378" t="s">
        <v>148</v>
      </c>
      <c r="E378" t="s">
        <v>145</v>
      </c>
      <c r="F378" s="784">
        <v>10340306.722222222</v>
      </c>
      <c r="G378" s="1026">
        <v>18275704</v>
      </c>
      <c r="H378">
        <f t="shared" si="5"/>
        <v>0.56579526141494862</v>
      </c>
    </row>
    <row r="379" spans="1:8">
      <c r="A379" t="s">
        <v>131</v>
      </c>
      <c r="B379" t="s">
        <v>285</v>
      </c>
      <c r="C379" t="s">
        <v>687</v>
      </c>
      <c r="D379" t="s">
        <v>150</v>
      </c>
      <c r="E379" t="s">
        <v>145</v>
      </c>
      <c r="F379" s="784">
        <v>17589490.030000001</v>
      </c>
      <c r="G379" s="1026">
        <v>11935764</v>
      </c>
      <c r="H379">
        <f t="shared" si="5"/>
        <v>1.4736794418857477</v>
      </c>
    </row>
    <row r="380" spans="1:8">
      <c r="A380" t="s">
        <v>131</v>
      </c>
      <c r="B380" t="s">
        <v>296</v>
      </c>
      <c r="C380" t="s">
        <v>698</v>
      </c>
      <c r="D380" t="s">
        <v>148</v>
      </c>
      <c r="E380" t="s">
        <v>145</v>
      </c>
      <c r="F380" s="784">
        <v>34718415.159999996</v>
      </c>
      <c r="G380" s="1026">
        <v>30490639</v>
      </c>
      <c r="H380">
        <f t="shared" si="5"/>
        <v>1.138658168495583</v>
      </c>
    </row>
    <row r="381" spans="1:8">
      <c r="A381" t="s">
        <v>132</v>
      </c>
      <c r="B381" t="s">
        <v>160</v>
      </c>
      <c r="C381" t="s">
        <v>540</v>
      </c>
      <c r="D381" t="s">
        <v>148</v>
      </c>
      <c r="E381" t="s">
        <v>145</v>
      </c>
      <c r="F381" s="784">
        <v>52725096.991452992</v>
      </c>
      <c r="G381" s="1026">
        <v>39835428</v>
      </c>
      <c r="H381">
        <f t="shared" si="5"/>
        <v>1.3235730011851006</v>
      </c>
    </row>
    <row r="382" spans="1:8">
      <c r="A382" t="s">
        <v>132</v>
      </c>
      <c r="B382" t="s">
        <v>167</v>
      </c>
      <c r="C382" t="s">
        <v>557</v>
      </c>
      <c r="D382" t="s">
        <v>150</v>
      </c>
      <c r="E382" t="s">
        <v>145</v>
      </c>
      <c r="F382" s="784">
        <v>114727136.59999999</v>
      </c>
      <c r="G382" s="1026">
        <v>166303494</v>
      </c>
      <c r="H382">
        <f t="shared" si="5"/>
        <v>0.68986606258555216</v>
      </c>
    </row>
    <row r="383" spans="1:8">
      <c r="A383" t="s">
        <v>132</v>
      </c>
      <c r="B383" t="s">
        <v>171</v>
      </c>
      <c r="C383" t="s">
        <v>563</v>
      </c>
      <c r="D383" t="s">
        <v>150</v>
      </c>
      <c r="E383" t="s">
        <v>145</v>
      </c>
      <c r="F383" s="784">
        <v>1633845</v>
      </c>
      <c r="G383" s="1026">
        <v>779900</v>
      </c>
      <c r="H383">
        <f t="shared" si="5"/>
        <v>2.0949416591870751</v>
      </c>
    </row>
    <row r="384" spans="1:8">
      <c r="A384" t="s">
        <v>132</v>
      </c>
      <c r="B384" t="s">
        <v>216</v>
      </c>
      <c r="C384" t="s">
        <v>611</v>
      </c>
      <c r="D384" t="s">
        <v>150</v>
      </c>
      <c r="E384" t="s">
        <v>145</v>
      </c>
      <c r="F384" s="784">
        <v>122443828.18518519</v>
      </c>
      <c r="G384" s="1026">
        <v>1393409033</v>
      </c>
      <c r="H384">
        <f t="shared" si="5"/>
        <v>8.7873571424726932E-2</v>
      </c>
    </row>
    <row r="385" spans="1:8">
      <c r="A385" t="s">
        <v>132</v>
      </c>
      <c r="B385" t="s">
        <v>235</v>
      </c>
      <c r="C385" t="s">
        <v>631</v>
      </c>
      <c r="D385" t="s">
        <v>152</v>
      </c>
      <c r="E385" t="s">
        <v>145</v>
      </c>
      <c r="F385" s="784">
        <v>3159297.333333333</v>
      </c>
      <c r="G385" s="1026">
        <v>543620</v>
      </c>
      <c r="H385">
        <f t="shared" si="5"/>
        <v>5.8115914302883134</v>
      </c>
    </row>
    <row r="386" spans="1:8">
      <c r="A386" t="s">
        <v>132</v>
      </c>
      <c r="B386" t="s">
        <v>250</v>
      </c>
      <c r="C386" t="s">
        <v>646</v>
      </c>
      <c r="D386" t="s">
        <v>150</v>
      </c>
      <c r="E386" t="s">
        <v>145</v>
      </c>
      <c r="F386" s="784">
        <v>23056111.185185187</v>
      </c>
      <c r="G386" s="1026">
        <v>29674920</v>
      </c>
      <c r="H386">
        <f t="shared" si="5"/>
        <v>0.77695613619801462</v>
      </c>
    </row>
    <row r="387" spans="1:8">
      <c r="A387" t="s">
        <v>132</v>
      </c>
      <c r="B387" t="s">
        <v>255</v>
      </c>
      <c r="C387" t="s">
        <v>651</v>
      </c>
      <c r="D387" t="s">
        <v>150</v>
      </c>
      <c r="E387" t="s">
        <v>145</v>
      </c>
      <c r="F387" s="784">
        <v>31818535</v>
      </c>
      <c r="G387" s="1026">
        <v>225199929</v>
      </c>
      <c r="H387">
        <f t="shared" si="5"/>
        <v>0.14129016443872858</v>
      </c>
    </row>
    <row r="388" spans="1:8">
      <c r="A388" t="s">
        <v>132</v>
      </c>
      <c r="B388" t="s">
        <v>274</v>
      </c>
      <c r="C388" t="s">
        <v>672</v>
      </c>
      <c r="D388" t="s">
        <v>150</v>
      </c>
      <c r="E388" t="s">
        <v>145</v>
      </c>
      <c r="F388" s="784">
        <v>94317991</v>
      </c>
      <c r="G388" s="1026">
        <v>21497306</v>
      </c>
      <c r="H388">
        <f t="shared" si="5"/>
        <v>4.3874330578910676</v>
      </c>
    </row>
    <row r="389" spans="1:8">
      <c r="A389" t="s">
        <v>129</v>
      </c>
      <c r="B389" t="s">
        <v>170</v>
      </c>
      <c r="C389" t="s">
        <v>561</v>
      </c>
      <c r="D389" t="s">
        <v>150</v>
      </c>
      <c r="E389" t="s">
        <v>145</v>
      </c>
      <c r="F389" s="784">
        <v>12979438</v>
      </c>
      <c r="G389" s="1026">
        <v>12451031</v>
      </c>
      <c r="H389">
        <f t="shared" si="5"/>
        <v>1.0424388149061712</v>
      </c>
    </row>
    <row r="390" spans="1:8">
      <c r="A390" t="s">
        <v>129</v>
      </c>
      <c r="B390" t="s">
        <v>177</v>
      </c>
      <c r="C390" t="s">
        <v>569</v>
      </c>
      <c r="D390" t="s">
        <v>148</v>
      </c>
      <c r="E390" t="s">
        <v>145</v>
      </c>
      <c r="F390" s="784">
        <v>9306449</v>
      </c>
      <c r="G390" s="1026">
        <v>21497097</v>
      </c>
      <c r="H390">
        <f t="shared" si="5"/>
        <v>0.43291654682490383</v>
      </c>
    </row>
    <row r="391" spans="1:8">
      <c r="A391" t="s">
        <v>129</v>
      </c>
      <c r="B391" t="s">
        <v>179</v>
      </c>
      <c r="C391" t="s">
        <v>571</v>
      </c>
      <c r="D391" t="s">
        <v>150</v>
      </c>
      <c r="E391" t="s">
        <v>145</v>
      </c>
      <c r="F391" s="784">
        <v>5668147.6881481484</v>
      </c>
      <c r="G391" s="1026">
        <v>561901</v>
      </c>
      <c r="H391">
        <f t="shared" si="5"/>
        <v>10.087449013523999</v>
      </c>
    </row>
    <row r="392" spans="1:8">
      <c r="A392" t="s">
        <v>129</v>
      </c>
      <c r="B392" t="s">
        <v>181</v>
      </c>
      <c r="C392" t="s">
        <v>573</v>
      </c>
      <c r="D392" t="s">
        <v>150</v>
      </c>
      <c r="E392" t="s">
        <v>145</v>
      </c>
      <c r="F392" s="784">
        <v>29914146.851851851</v>
      </c>
      <c r="G392" s="1026">
        <v>27224262</v>
      </c>
      <c r="H392">
        <f t="shared" si="5"/>
        <v>1.0988046931024926</v>
      </c>
    </row>
    <row r="393" spans="1:8">
      <c r="A393" t="s">
        <v>129</v>
      </c>
      <c r="B393" t="s">
        <v>182</v>
      </c>
      <c r="C393" t="s">
        <v>574</v>
      </c>
      <c r="D393" t="s">
        <v>148</v>
      </c>
      <c r="E393" t="s">
        <v>145</v>
      </c>
      <c r="F393" s="784">
        <v>5478055.3703703703</v>
      </c>
      <c r="G393" s="1026">
        <v>4919987</v>
      </c>
      <c r="H393">
        <f t="shared" si="5"/>
        <v>1.1134288302734072</v>
      </c>
    </row>
    <row r="394" spans="1:8">
      <c r="A394" t="s">
        <v>129</v>
      </c>
      <c r="B394" t="s">
        <v>183</v>
      </c>
      <c r="C394" t="s">
        <v>576</v>
      </c>
      <c r="D394" t="s">
        <v>148</v>
      </c>
      <c r="E394" t="s">
        <v>145</v>
      </c>
      <c r="F394" s="784">
        <v>18418813.185185187</v>
      </c>
      <c r="G394" s="1026">
        <v>16914985</v>
      </c>
      <c r="H394">
        <f t="shared" si="5"/>
        <v>1.0889050853539146</v>
      </c>
    </row>
    <row r="395" spans="1:8">
      <c r="A395" t="s">
        <v>129</v>
      </c>
      <c r="B395" t="s">
        <v>188</v>
      </c>
      <c r="C395" t="s">
        <v>581</v>
      </c>
      <c r="D395" t="s">
        <v>148</v>
      </c>
      <c r="E395" t="s">
        <v>145</v>
      </c>
      <c r="F395" s="784">
        <v>87026679</v>
      </c>
      <c r="G395" s="1026">
        <v>92377986</v>
      </c>
      <c r="H395">
        <f t="shared" si="5"/>
        <v>0.94207162082966389</v>
      </c>
    </row>
    <row r="396" spans="1:8">
      <c r="A396" t="s">
        <v>129</v>
      </c>
      <c r="B396" t="s">
        <v>189</v>
      </c>
      <c r="C396" t="s">
        <v>582</v>
      </c>
      <c r="D396" t="s">
        <v>150</v>
      </c>
      <c r="E396" t="s">
        <v>145</v>
      </c>
      <c r="F396" s="784">
        <v>6617930</v>
      </c>
      <c r="G396" s="1026">
        <v>5657017</v>
      </c>
      <c r="H396">
        <f t="shared" si="5"/>
        <v>1.1698621375894751</v>
      </c>
    </row>
    <row r="397" spans="1:8">
      <c r="A397" t="s">
        <v>129</v>
      </c>
      <c r="B397" t="s">
        <v>192</v>
      </c>
      <c r="C397" t="s">
        <v>586</v>
      </c>
      <c r="D397" t="s">
        <v>150</v>
      </c>
      <c r="E397" t="s">
        <v>145</v>
      </c>
      <c r="F397" s="784">
        <v>45088259.274074078</v>
      </c>
      <c r="G397" s="1026">
        <v>27053629</v>
      </c>
      <c r="H397">
        <f t="shared" si="5"/>
        <v>1.6666251789759547</v>
      </c>
    </row>
    <row r="398" spans="1:8">
      <c r="A398" t="s">
        <v>129</v>
      </c>
      <c r="B398" t="s">
        <v>205</v>
      </c>
      <c r="C398" t="s">
        <v>600</v>
      </c>
      <c r="D398" t="s">
        <v>152</v>
      </c>
      <c r="E398" t="s">
        <v>146</v>
      </c>
      <c r="F398" s="784">
        <v>3200000</v>
      </c>
      <c r="G398" s="1026">
        <v>2278829</v>
      </c>
      <c r="H398">
        <f t="shared" si="5"/>
        <v>1.4042299795201834</v>
      </c>
    </row>
    <row r="399" spans="1:8">
      <c r="A399" t="s">
        <v>129</v>
      </c>
      <c r="B399" t="s">
        <v>206</v>
      </c>
      <c r="C399" t="s">
        <v>601</v>
      </c>
      <c r="D399" t="s">
        <v>148</v>
      </c>
      <c r="E399" t="s">
        <v>145</v>
      </c>
      <c r="F399" s="784">
        <v>4502636</v>
      </c>
      <c r="G399" s="1026">
        <v>2486937</v>
      </c>
      <c r="H399">
        <f t="shared" si="5"/>
        <v>1.8105147014178486</v>
      </c>
    </row>
    <row r="400" spans="1:8">
      <c r="A400" t="s">
        <v>129</v>
      </c>
      <c r="B400" t="s">
        <v>208</v>
      </c>
      <c r="C400" t="s">
        <v>603</v>
      </c>
      <c r="D400" t="s">
        <v>150</v>
      </c>
      <c r="E400" t="s">
        <v>145</v>
      </c>
      <c r="F400" s="784">
        <v>16143013</v>
      </c>
      <c r="G400" s="1026">
        <v>31732128</v>
      </c>
      <c r="H400">
        <f t="shared" si="5"/>
        <v>0.50872771596030375</v>
      </c>
    </row>
    <row r="401" spans="1:8">
      <c r="A401" t="s">
        <v>129</v>
      </c>
      <c r="B401" t="s">
        <v>211</v>
      </c>
      <c r="C401" t="s">
        <v>606</v>
      </c>
      <c r="D401" t="s">
        <v>148</v>
      </c>
      <c r="E401" t="s">
        <v>145</v>
      </c>
      <c r="F401" s="784">
        <v>20450627</v>
      </c>
      <c r="G401" s="1026">
        <v>13497237</v>
      </c>
      <c r="H401">
        <f t="shared" si="5"/>
        <v>1.5151713643318259</v>
      </c>
    </row>
    <row r="402" spans="1:8">
      <c r="A402" t="s">
        <v>129</v>
      </c>
      <c r="B402" t="s">
        <v>212</v>
      </c>
      <c r="C402" t="s">
        <v>607</v>
      </c>
      <c r="D402" t="s">
        <v>148</v>
      </c>
      <c r="E402" t="s">
        <v>145</v>
      </c>
      <c r="F402" s="784">
        <v>4236379.1851851847</v>
      </c>
      <c r="G402" s="1026">
        <v>2015490</v>
      </c>
      <c r="H402">
        <f t="shared" si="5"/>
        <v>2.1019102973396966</v>
      </c>
    </row>
    <row r="403" spans="1:8">
      <c r="A403" t="s">
        <v>129</v>
      </c>
      <c r="B403" t="s">
        <v>230</v>
      </c>
      <c r="C403" t="s">
        <v>626</v>
      </c>
      <c r="D403" t="s">
        <v>148</v>
      </c>
      <c r="E403" t="s">
        <v>145</v>
      </c>
      <c r="F403" s="784">
        <v>6719653.4522222225</v>
      </c>
      <c r="G403" s="1026">
        <v>5180208</v>
      </c>
      <c r="H403">
        <f t="shared" ref="H403:H427" si="6">IFERROR(F403/G403,0)</f>
        <v>1.2971783087131294</v>
      </c>
    </row>
    <row r="404" spans="1:8">
      <c r="A404" t="s">
        <v>129</v>
      </c>
      <c r="B404" t="s">
        <v>236</v>
      </c>
      <c r="C404" t="s">
        <v>632</v>
      </c>
      <c r="D404" t="s">
        <v>148</v>
      </c>
      <c r="E404" t="s">
        <v>145</v>
      </c>
      <c r="F404" s="784">
        <v>21508203</v>
      </c>
      <c r="G404" s="1026">
        <v>20855724</v>
      </c>
      <c r="H404">
        <f t="shared" si="6"/>
        <v>1.0312853679881839</v>
      </c>
    </row>
    <row r="405" spans="1:8">
      <c r="A405" t="s">
        <v>129</v>
      </c>
      <c r="B405" t="s">
        <v>238</v>
      </c>
      <c r="C405" t="s">
        <v>634</v>
      </c>
      <c r="D405" t="s">
        <v>150</v>
      </c>
      <c r="E405" t="s">
        <v>145</v>
      </c>
      <c r="F405" s="784">
        <v>20288495.52</v>
      </c>
      <c r="G405" s="1026">
        <v>4775110</v>
      </c>
      <c r="H405">
        <f t="shared" si="6"/>
        <v>4.2488017071858026</v>
      </c>
    </row>
    <row r="406" spans="1:8">
      <c r="A406" t="s">
        <v>129</v>
      </c>
      <c r="B406" t="s">
        <v>252</v>
      </c>
      <c r="C406" t="s">
        <v>648</v>
      </c>
      <c r="D406" t="s">
        <v>148</v>
      </c>
      <c r="E406" t="s">
        <v>145</v>
      </c>
      <c r="F406" s="784">
        <v>21617971.449999999</v>
      </c>
      <c r="G406" s="1026">
        <v>25130810</v>
      </c>
      <c r="H406">
        <f t="shared" si="6"/>
        <v>0.86021785410020601</v>
      </c>
    </row>
    <row r="407" spans="1:8">
      <c r="A407" t="s">
        <v>129</v>
      </c>
      <c r="B407" t="s">
        <v>253</v>
      </c>
      <c r="C407" t="s">
        <v>649</v>
      </c>
      <c r="D407" t="s">
        <v>150</v>
      </c>
      <c r="E407" t="s">
        <v>145</v>
      </c>
      <c r="F407" s="784">
        <v>107787093.3</v>
      </c>
      <c r="G407" s="1026">
        <v>211400704</v>
      </c>
      <c r="H407">
        <f t="shared" si="6"/>
        <v>0.50987102341910839</v>
      </c>
    </row>
    <row r="408" spans="1:8">
      <c r="A408" t="s">
        <v>129</v>
      </c>
      <c r="B408" t="s">
        <v>266</v>
      </c>
      <c r="C408" t="s">
        <v>663</v>
      </c>
      <c r="D408" t="s">
        <v>150</v>
      </c>
      <c r="E408" t="s">
        <v>145</v>
      </c>
      <c r="F408" s="784">
        <v>3478352</v>
      </c>
      <c r="G408" s="1026">
        <v>223364</v>
      </c>
      <c r="H408">
        <f t="shared" si="6"/>
        <v>15.572572124424706</v>
      </c>
    </row>
    <row r="409" spans="1:8">
      <c r="A409" t="s">
        <v>129</v>
      </c>
      <c r="B409" t="s">
        <v>267</v>
      </c>
      <c r="C409" t="s">
        <v>664</v>
      </c>
      <c r="D409" t="s">
        <v>150</v>
      </c>
      <c r="E409" t="s">
        <v>145</v>
      </c>
      <c r="F409" s="784">
        <v>61976024.296296299</v>
      </c>
      <c r="G409" s="1026">
        <v>17196308</v>
      </c>
      <c r="H409">
        <f t="shared" si="6"/>
        <v>3.6040308359385222</v>
      </c>
    </row>
    <row r="410" spans="1:8">
      <c r="A410" t="s">
        <v>129</v>
      </c>
      <c r="B410" t="s">
        <v>269</v>
      </c>
      <c r="C410" t="s">
        <v>667</v>
      </c>
      <c r="D410" t="s">
        <v>148</v>
      </c>
      <c r="E410" t="s">
        <v>145</v>
      </c>
      <c r="F410" s="784">
        <v>16610857.560000001</v>
      </c>
      <c r="G410" s="1026">
        <v>8141343</v>
      </c>
      <c r="H410">
        <f t="shared" si="6"/>
        <v>2.0403092659282382</v>
      </c>
    </row>
    <row r="411" spans="1:8">
      <c r="A411" t="s">
        <v>129</v>
      </c>
      <c r="B411" t="s">
        <v>282</v>
      </c>
      <c r="C411" t="s">
        <v>684</v>
      </c>
      <c r="D411" t="s">
        <v>148</v>
      </c>
      <c r="E411" t="s">
        <v>145</v>
      </c>
      <c r="F411" s="784">
        <v>24278324.296296295</v>
      </c>
      <c r="G411" s="1026">
        <v>8478242</v>
      </c>
      <c r="H411">
        <f t="shared" si="6"/>
        <v>2.8636035980450067</v>
      </c>
    </row>
    <row r="412" spans="1:8">
      <c r="H412">
        <f t="shared" si="6"/>
        <v>0</v>
      </c>
    </row>
    <row r="413" spans="1:8">
      <c r="H413">
        <f t="shared" si="6"/>
        <v>0</v>
      </c>
    </row>
    <row r="414" spans="1:8">
      <c r="H414">
        <f t="shared" si="6"/>
        <v>0</v>
      </c>
    </row>
    <row r="415" spans="1:8">
      <c r="H415">
        <f t="shared" si="6"/>
        <v>0</v>
      </c>
    </row>
    <row r="416" spans="1:8">
      <c r="H416">
        <f t="shared" si="6"/>
        <v>0</v>
      </c>
    </row>
    <row r="417" spans="1:8">
      <c r="H417">
        <f t="shared" si="6"/>
        <v>0</v>
      </c>
    </row>
    <row r="418" spans="1:8">
      <c r="H418">
        <f t="shared" si="6"/>
        <v>0</v>
      </c>
    </row>
    <row r="419" spans="1:8">
      <c r="H419">
        <f t="shared" si="6"/>
        <v>0</v>
      </c>
    </row>
    <row r="420" spans="1:8">
      <c r="H420">
        <f t="shared" si="6"/>
        <v>0</v>
      </c>
    </row>
    <row r="421" spans="1:8">
      <c r="H421">
        <f t="shared" si="6"/>
        <v>0</v>
      </c>
    </row>
    <row r="422" spans="1:8">
      <c r="H422">
        <f t="shared" si="6"/>
        <v>0</v>
      </c>
    </row>
    <row r="423" spans="1:8">
      <c r="H423">
        <f t="shared" si="6"/>
        <v>0</v>
      </c>
    </row>
    <row r="424" spans="1:8">
      <c r="H424">
        <f t="shared" si="6"/>
        <v>0</v>
      </c>
    </row>
    <row r="425" spans="1:8">
      <c r="H425">
        <f t="shared" si="6"/>
        <v>0</v>
      </c>
    </row>
    <row r="426" spans="1:8">
      <c r="H426">
        <f t="shared" si="6"/>
        <v>0</v>
      </c>
    </row>
    <row r="427" spans="1:8">
      <c r="H427">
        <f t="shared" si="6"/>
        <v>0</v>
      </c>
    </row>
    <row r="429" spans="1:8">
      <c r="A429" s="878" t="s">
        <v>1839</v>
      </c>
    </row>
    <row r="431" spans="1:8">
      <c r="A431" s="599" t="s">
        <v>357</v>
      </c>
      <c r="B431" t="s">
        <v>358</v>
      </c>
    </row>
    <row r="432" spans="1:8">
      <c r="A432" s="599" t="s">
        <v>378</v>
      </c>
      <c r="B432" t="s">
        <v>379</v>
      </c>
    </row>
    <row r="433" spans="1:4">
      <c r="A433" s="599" t="s">
        <v>376</v>
      </c>
      <c r="B433" t="s">
        <v>377</v>
      </c>
    </row>
    <row r="434" spans="1:4">
      <c r="A434" s="599" t="s">
        <v>374</v>
      </c>
      <c r="B434" t="s">
        <v>375</v>
      </c>
    </row>
    <row r="436" spans="1:4">
      <c r="A436" s="599" t="s">
        <v>141</v>
      </c>
      <c r="B436" t="s">
        <v>382</v>
      </c>
      <c r="C436" s="577" t="s">
        <v>1838</v>
      </c>
      <c r="D436" s="577" t="s">
        <v>316</v>
      </c>
    </row>
    <row r="437" spans="1:4">
      <c r="A437" s="600" t="s">
        <v>152</v>
      </c>
      <c r="B437" s="784">
        <v>768170404.36518526</v>
      </c>
      <c r="C437" s="880">
        <f>SUMIF($D$274:$D$427,A437,$H$274:$H$427)</f>
        <v>136.32199581297772</v>
      </c>
      <c r="D437">
        <f>COUNTIFS($D$274:$D$427,A437,$F$274:$F$427,"&gt;0")</f>
        <v>48</v>
      </c>
    </row>
    <row r="438" spans="1:4">
      <c r="A438" s="600" t="s">
        <v>150</v>
      </c>
      <c r="B438" s="784">
        <v>1613247762.2478547</v>
      </c>
      <c r="C438" s="880">
        <f>SUMIF($D$274:$D$427,A438,$H$274:$H$427)</f>
        <v>239.05502306492406</v>
      </c>
      <c r="D438">
        <f t="shared" ref="D438:D440" si="7">COUNTIFS($D$274:$D$427,A438,$F$274:$F$427,"&gt;0")</f>
        <v>55</v>
      </c>
    </row>
    <row r="439" spans="1:4">
      <c r="A439" s="600" t="s">
        <v>148</v>
      </c>
      <c r="B439" s="784">
        <v>845755363.46219349</v>
      </c>
      <c r="C439" s="880">
        <f>SUMIF($D$274:$D$427,A439,$H$274:$H$427)</f>
        <v>34.559684113620918</v>
      </c>
      <c r="D439">
        <f t="shared" si="7"/>
        <v>26</v>
      </c>
    </row>
    <row r="440" spans="1:4">
      <c r="A440" s="600" t="s">
        <v>322</v>
      </c>
      <c r="B440" s="784">
        <v>10494812.84</v>
      </c>
      <c r="C440" s="880">
        <f>SUMIF($D$274:$D$427,A440,$H$274:$H$427)</f>
        <v>11.642752326140016</v>
      </c>
      <c r="D440">
        <f t="shared" si="7"/>
        <v>2</v>
      </c>
    </row>
    <row r="441" spans="1:4">
      <c r="A441" s="600" t="s">
        <v>299</v>
      </c>
      <c r="B441" s="784">
        <v>3237668342.9152336</v>
      </c>
      <c r="C441" s="880"/>
    </row>
    <row r="447" spans="1:4">
      <c r="A447" s="878" t="s">
        <v>1840</v>
      </c>
    </row>
    <row r="449" spans="1:4">
      <c r="A449" s="599" t="s">
        <v>357</v>
      </c>
      <c r="B449" t="s">
        <v>358</v>
      </c>
    </row>
    <row r="450" spans="1:4">
      <c r="A450" s="599" t="s">
        <v>378</v>
      </c>
      <c r="B450" t="s">
        <v>379</v>
      </c>
    </row>
    <row r="451" spans="1:4">
      <c r="A451" s="599" t="s">
        <v>376</v>
      </c>
      <c r="B451" t="s">
        <v>377</v>
      </c>
    </row>
    <row r="452" spans="1:4">
      <c r="A452" s="599" t="s">
        <v>374</v>
      </c>
      <c r="B452" t="s">
        <v>375</v>
      </c>
    </row>
    <row r="454" spans="1:4">
      <c r="A454" s="599" t="s">
        <v>141</v>
      </c>
      <c r="B454" t="s">
        <v>382</v>
      </c>
      <c r="C454" t="s">
        <v>1838</v>
      </c>
      <c r="D454" t="s">
        <v>316</v>
      </c>
    </row>
    <row r="455" spans="1:4">
      <c r="A455" s="600" t="s">
        <v>145</v>
      </c>
      <c r="B455" s="784">
        <v>2488946540.0752339</v>
      </c>
      <c r="C455" s="880">
        <f>SUMIF($E$274:$E$427,A455,$H$274:$H$427)</f>
        <v>361.25546131255089</v>
      </c>
      <c r="D455">
        <f>COUNTIFS($E$274:$E$427,A455,$F$274:$F$427,"&gt;0")</f>
        <v>91</v>
      </c>
    </row>
    <row r="456" spans="1:4">
      <c r="A456" s="600" t="s">
        <v>146</v>
      </c>
      <c r="B456" s="784">
        <v>752199259.84000003</v>
      </c>
      <c r="C456" s="880">
        <f>SUMIF($E$274:$E$427,A456,$H$274:$H$427)</f>
        <v>60.323994005111885</v>
      </c>
      <c r="D456">
        <f>COUNTIFS($E$274:$E$427,A456,$F$274:$F$427,"&gt;0")</f>
        <v>40</v>
      </c>
    </row>
    <row r="457" spans="1:4">
      <c r="A457" s="600" t="s">
        <v>299</v>
      </c>
      <c r="B457" s="784">
        <v>3241145799.9152341</v>
      </c>
      <c r="C457" s="880"/>
    </row>
    <row r="458" spans="1:4">
      <c r="C458" s="880"/>
    </row>
    <row r="459" spans="1:4">
      <c r="A459" s="599" t="s">
        <v>357</v>
      </c>
      <c r="B459" t="s">
        <v>358</v>
      </c>
    </row>
    <row r="460" spans="1:4">
      <c r="A460" s="599" t="s">
        <v>378</v>
      </c>
      <c r="B460" t="s">
        <v>379</v>
      </c>
    </row>
    <row r="461" spans="1:4">
      <c r="A461" s="599" t="s">
        <v>376</v>
      </c>
      <c r="B461" t="s">
        <v>377</v>
      </c>
    </row>
    <row r="462" spans="1:4">
      <c r="A462" s="599" t="s">
        <v>374</v>
      </c>
      <c r="B462" t="s">
        <v>375</v>
      </c>
    </row>
    <row r="464" spans="1:4">
      <c r="A464" s="599" t="s">
        <v>141</v>
      </c>
      <c r="B464" t="s">
        <v>382</v>
      </c>
    </row>
    <row r="465" spans="1:9">
      <c r="A465" s="600" t="s">
        <v>145</v>
      </c>
      <c r="B465" s="877">
        <v>0.76792180720173941</v>
      </c>
      <c r="C465" s="880"/>
    </row>
    <row r="466" spans="1:9">
      <c r="A466" s="600" t="s">
        <v>146</v>
      </c>
      <c r="B466" s="877">
        <v>0.23207819279826053</v>
      </c>
      <c r="C466" s="880"/>
    </row>
    <row r="467" spans="1:9">
      <c r="A467" s="600" t="s">
        <v>299</v>
      </c>
      <c r="B467" s="877">
        <v>1</v>
      </c>
      <c r="C467" s="880"/>
    </row>
    <row r="470" spans="1:9">
      <c r="A470" s="874" t="s">
        <v>1841</v>
      </c>
    </row>
    <row r="471" spans="1:9">
      <c r="A471" s="599" t="s">
        <v>357</v>
      </c>
      <c r="B471" t="s">
        <v>358</v>
      </c>
    </row>
    <row r="472" spans="1:9">
      <c r="A472" s="599" t="s">
        <v>378</v>
      </c>
      <c r="B472" t="s">
        <v>379</v>
      </c>
    </row>
    <row r="473" spans="1:9">
      <c r="A473" s="599" t="s">
        <v>376</v>
      </c>
      <c r="B473" t="s">
        <v>377</v>
      </c>
    </row>
    <row r="474" spans="1:9">
      <c r="A474" s="599" t="s">
        <v>374</v>
      </c>
      <c r="B474" t="s">
        <v>375</v>
      </c>
    </row>
    <row r="476" spans="1:9" ht="31">
      <c r="A476" s="599" t="s">
        <v>141</v>
      </c>
      <c r="B476" t="s">
        <v>382</v>
      </c>
      <c r="C476" s="897" t="s">
        <v>126</v>
      </c>
      <c r="D476" s="897" t="s">
        <v>127</v>
      </c>
      <c r="E476" s="897" t="s">
        <v>128</v>
      </c>
      <c r="F476" s="897" t="s">
        <v>130</v>
      </c>
      <c r="G476" s="897" t="s">
        <v>131</v>
      </c>
      <c r="H476" s="897" t="s">
        <v>132</v>
      </c>
      <c r="I476" s="897" t="s">
        <v>129</v>
      </c>
    </row>
    <row r="477" spans="1:9">
      <c r="A477" s="600" t="s">
        <v>145</v>
      </c>
      <c r="B477" s="784">
        <v>2488946540.0752339</v>
      </c>
      <c r="C477" s="896">
        <f>COUNTIFS($E$274:$E$427,$A477,$A$274:$A$427,C$476,$F$274:$F$427,"&gt;0")</f>
        <v>18</v>
      </c>
      <c r="D477" s="896">
        <f t="shared" ref="D477:I478" si="8">COUNTIFS($E$274:$E$427,$A477,$A$274:$A$427,D$476,$F$274:$F$427,"&gt;0")</f>
        <v>6</v>
      </c>
      <c r="E477" s="896">
        <f t="shared" si="8"/>
        <v>18</v>
      </c>
      <c r="F477" s="896">
        <f t="shared" si="8"/>
        <v>10</v>
      </c>
      <c r="G477" s="896">
        <f t="shared" si="8"/>
        <v>9</v>
      </c>
      <c r="H477" s="896">
        <f t="shared" si="8"/>
        <v>8</v>
      </c>
      <c r="I477" s="896">
        <f t="shared" si="8"/>
        <v>22</v>
      </c>
    </row>
    <row r="478" spans="1:9">
      <c r="A478" s="600" t="s">
        <v>146</v>
      </c>
      <c r="B478" s="784">
        <v>752199259.84000003</v>
      </c>
      <c r="C478" s="896">
        <f>COUNTIFS($E$274:$E$427,$A478,$A$274:$A$427,C$476,$F$274:$F$427,"&gt;0")</f>
        <v>4</v>
      </c>
      <c r="D478" s="896">
        <f t="shared" si="8"/>
        <v>12</v>
      </c>
      <c r="E478" s="896">
        <f t="shared" si="8"/>
        <v>4</v>
      </c>
      <c r="F478" s="896">
        <f t="shared" si="8"/>
        <v>14</v>
      </c>
      <c r="G478" s="896">
        <f t="shared" si="8"/>
        <v>5</v>
      </c>
      <c r="H478" s="896">
        <f t="shared" si="8"/>
        <v>0</v>
      </c>
      <c r="I478" s="896">
        <f t="shared" si="8"/>
        <v>1</v>
      </c>
    </row>
    <row r="479" spans="1:9">
      <c r="A479" s="600" t="s">
        <v>299</v>
      </c>
      <c r="B479" s="784">
        <v>3241145799.9152341</v>
      </c>
    </row>
    <row r="483" spans="1:9">
      <c r="A483" s="878" t="s">
        <v>1842</v>
      </c>
    </row>
    <row r="484" spans="1:9">
      <c r="A484" s="599" t="s">
        <v>357</v>
      </c>
      <c r="B484" t="s">
        <v>358</v>
      </c>
    </row>
    <row r="485" spans="1:9">
      <c r="A485" s="599" t="s">
        <v>378</v>
      </c>
      <c r="B485" t="s">
        <v>379</v>
      </c>
    </row>
    <row r="486" spans="1:9">
      <c r="A486" s="599" t="s">
        <v>376</v>
      </c>
      <c r="B486" t="s">
        <v>377</v>
      </c>
    </row>
    <row r="487" spans="1:9">
      <c r="A487" s="599" t="s">
        <v>374</v>
      </c>
      <c r="B487" t="s">
        <v>375</v>
      </c>
    </row>
    <row r="488" spans="1:9">
      <c r="A488" s="599" t="s">
        <v>321</v>
      </c>
      <c r="B488" t="s">
        <v>139</v>
      </c>
    </row>
    <row r="490" spans="1:9">
      <c r="A490" s="599" t="s">
        <v>141</v>
      </c>
      <c r="B490" t="s">
        <v>382</v>
      </c>
      <c r="C490" t="s">
        <v>1843</v>
      </c>
      <c r="D490" s="881"/>
      <c r="E490" s="881"/>
      <c r="F490" s="881"/>
      <c r="G490" s="881"/>
      <c r="H490" s="881"/>
      <c r="I490" s="881"/>
    </row>
    <row r="491" spans="1:9">
      <c r="A491" s="600" t="s">
        <v>383</v>
      </c>
      <c r="B491" s="784">
        <v>2170298890.7692308</v>
      </c>
      <c r="C491" s="784"/>
      <c r="D491" s="628"/>
      <c r="E491" s="628"/>
      <c r="F491" s="628"/>
      <c r="G491" s="628"/>
      <c r="H491" s="628"/>
      <c r="I491" s="628"/>
    </row>
    <row r="492" spans="1:9">
      <c r="A492" s="876" t="s">
        <v>332</v>
      </c>
      <c r="B492" s="784">
        <v>2038950000</v>
      </c>
      <c r="C492" s="784"/>
      <c r="D492" s="628"/>
      <c r="E492" s="628"/>
      <c r="F492" s="628"/>
      <c r="G492" s="628"/>
      <c r="H492" s="628"/>
      <c r="I492" s="628"/>
    </row>
    <row r="493" spans="1:9">
      <c r="A493" s="876" t="s">
        <v>333</v>
      </c>
      <c r="B493" s="784">
        <v>67139230.769230768</v>
      </c>
      <c r="C493" s="784"/>
    </row>
    <row r="494" spans="1:9">
      <c r="A494" s="876" t="s">
        <v>334</v>
      </c>
      <c r="B494" s="784">
        <v>64209660</v>
      </c>
      <c r="C494" s="784"/>
    </row>
    <row r="495" spans="1:9">
      <c r="A495" s="600" t="s">
        <v>384</v>
      </c>
      <c r="B495" s="784">
        <v>461036131.36000001</v>
      </c>
      <c r="C495" s="784">
        <v>0</v>
      </c>
    </row>
    <row r="496" spans="1:9">
      <c r="A496" s="876" t="s">
        <v>335</v>
      </c>
      <c r="B496" s="784">
        <v>30237373</v>
      </c>
      <c r="C496" s="784">
        <v>0</v>
      </c>
    </row>
    <row r="497" spans="1:3">
      <c r="A497" s="876" t="s">
        <v>336</v>
      </c>
      <c r="B497" s="784">
        <v>3727941</v>
      </c>
      <c r="C497" s="784">
        <v>0</v>
      </c>
    </row>
    <row r="498" spans="1:3">
      <c r="A498" s="876" t="s">
        <v>73</v>
      </c>
      <c r="B498" s="784">
        <v>422218.83999999997</v>
      </c>
      <c r="C498" s="784"/>
    </row>
    <row r="499" spans="1:3">
      <c r="A499" s="876" t="s">
        <v>91</v>
      </c>
      <c r="B499" s="784">
        <v>20558915.600000001</v>
      </c>
      <c r="C499" s="784">
        <v>0</v>
      </c>
    </row>
    <row r="500" spans="1:3">
      <c r="A500" s="876" t="s">
        <v>337</v>
      </c>
      <c r="B500" s="784">
        <v>85517864</v>
      </c>
      <c r="C500" s="784">
        <v>0</v>
      </c>
    </row>
    <row r="501" spans="1:3">
      <c r="A501" s="876" t="s">
        <v>105</v>
      </c>
      <c r="B501" s="784">
        <v>1114766</v>
      </c>
      <c r="C501" s="784">
        <v>0</v>
      </c>
    </row>
    <row r="502" spans="1:3">
      <c r="A502" s="876" t="s">
        <v>51</v>
      </c>
      <c r="B502" s="784">
        <v>7277019</v>
      </c>
      <c r="C502" s="784">
        <v>0</v>
      </c>
    </row>
    <row r="503" spans="1:3">
      <c r="A503" s="876" t="s">
        <v>72</v>
      </c>
      <c r="B503" s="784">
        <v>216262</v>
      </c>
      <c r="C503" s="784">
        <v>0</v>
      </c>
    </row>
    <row r="504" spans="1:3">
      <c r="A504" s="876" t="s">
        <v>69</v>
      </c>
      <c r="B504" s="784">
        <v>443933.62</v>
      </c>
      <c r="C504" s="784">
        <v>0</v>
      </c>
    </row>
    <row r="505" spans="1:3">
      <c r="A505" s="876" t="s">
        <v>58</v>
      </c>
      <c r="B505" s="784">
        <v>311013081.30000001</v>
      </c>
      <c r="C505" s="784"/>
    </row>
    <row r="506" spans="1:3">
      <c r="A506" s="876" t="s">
        <v>93</v>
      </c>
      <c r="B506" s="784">
        <v>506757</v>
      </c>
      <c r="C506" s="784"/>
    </row>
    <row r="507" spans="1:3">
      <c r="A507" s="600" t="s">
        <v>310</v>
      </c>
      <c r="B507" s="784">
        <v>392782468.03600311</v>
      </c>
      <c r="C507" s="784">
        <v>196939000</v>
      </c>
    </row>
    <row r="508" spans="1:3">
      <c r="A508" s="876" t="s">
        <v>338</v>
      </c>
      <c r="B508" s="784">
        <v>31042645.449999999</v>
      </c>
      <c r="C508" s="784">
        <v>0</v>
      </c>
    </row>
    <row r="509" spans="1:3">
      <c r="A509" s="876" t="s">
        <v>39</v>
      </c>
      <c r="B509" s="784">
        <v>15860157</v>
      </c>
      <c r="C509" s="784"/>
    </row>
    <row r="510" spans="1:3">
      <c r="A510" s="876" t="s">
        <v>339</v>
      </c>
      <c r="B510" s="784">
        <v>49783726</v>
      </c>
      <c r="C510" s="784"/>
    </row>
    <row r="511" spans="1:3">
      <c r="A511" s="876" t="s">
        <v>340</v>
      </c>
      <c r="B511" s="784">
        <v>219837866</v>
      </c>
      <c r="C511" s="784">
        <v>196939000</v>
      </c>
    </row>
    <row r="512" spans="1:3">
      <c r="A512" s="876" t="s">
        <v>342</v>
      </c>
      <c r="B512" s="784">
        <v>20714260.074074075</v>
      </c>
      <c r="C512" s="784">
        <v>0</v>
      </c>
    </row>
    <row r="513" spans="1:3">
      <c r="A513" s="876" t="s">
        <v>343</v>
      </c>
      <c r="B513" s="784">
        <v>30349374.299999997</v>
      </c>
      <c r="C513" s="784"/>
    </row>
    <row r="514" spans="1:3">
      <c r="A514" s="876" t="s">
        <v>341</v>
      </c>
      <c r="B514" s="784">
        <v>21141883.651928999</v>
      </c>
      <c r="C514" s="784"/>
    </row>
    <row r="515" spans="1:3">
      <c r="A515" s="876" t="s">
        <v>344</v>
      </c>
      <c r="B515" s="784">
        <v>4052555.56</v>
      </c>
      <c r="C515" s="784">
        <v>0</v>
      </c>
    </row>
    <row r="516" spans="1:3">
      <c r="A516" s="600" t="s">
        <v>385</v>
      </c>
      <c r="B516" s="784">
        <v>140938105</v>
      </c>
      <c r="C516" s="784">
        <v>0</v>
      </c>
    </row>
    <row r="517" spans="1:3">
      <c r="A517" s="876" t="s">
        <v>346</v>
      </c>
      <c r="B517" s="784">
        <v>17281741</v>
      </c>
      <c r="C517" s="784">
        <v>0</v>
      </c>
    </row>
    <row r="518" spans="1:3">
      <c r="A518" s="876" t="s">
        <v>347</v>
      </c>
      <c r="B518" s="784">
        <v>123656364</v>
      </c>
      <c r="C518" s="784"/>
    </row>
    <row r="519" spans="1:3">
      <c r="A519" s="600" t="s">
        <v>312</v>
      </c>
      <c r="B519" s="784">
        <v>72612747.75</v>
      </c>
      <c r="C519" s="784">
        <v>0</v>
      </c>
    </row>
    <row r="520" spans="1:3">
      <c r="A520" s="876" t="s">
        <v>348</v>
      </c>
      <c r="B520" s="784">
        <v>19742000</v>
      </c>
      <c r="C520" s="784"/>
    </row>
    <row r="521" spans="1:3">
      <c r="A521" s="876" t="s">
        <v>349</v>
      </c>
      <c r="B521" s="784">
        <v>4158940</v>
      </c>
      <c r="C521" s="784">
        <v>0</v>
      </c>
    </row>
    <row r="522" spans="1:3">
      <c r="A522" s="876" t="s">
        <v>350</v>
      </c>
      <c r="B522" s="784">
        <v>48711807.75</v>
      </c>
      <c r="C522" s="784">
        <v>0</v>
      </c>
    </row>
    <row r="523" spans="1:3">
      <c r="A523" s="600" t="s">
        <v>299</v>
      </c>
      <c r="B523" s="784">
        <v>3237668342.9152341</v>
      </c>
      <c r="C523" s="784">
        <v>196939000</v>
      </c>
    </row>
    <row r="530" spans="1:9">
      <c r="A530" s="878" t="s">
        <v>1844</v>
      </c>
    </row>
    <row r="531" spans="1:9">
      <c r="A531" s="599" t="s">
        <v>357</v>
      </c>
      <c r="B531" t="s">
        <v>358</v>
      </c>
    </row>
    <row r="532" spans="1:9">
      <c r="A532" s="599" t="s">
        <v>378</v>
      </c>
      <c r="B532" t="s">
        <v>379</v>
      </c>
    </row>
    <row r="533" spans="1:9">
      <c r="A533" s="599" t="s">
        <v>376</v>
      </c>
      <c r="B533" t="s">
        <v>377</v>
      </c>
    </row>
    <row r="534" spans="1:9">
      <c r="A534" s="599" t="s">
        <v>737</v>
      </c>
      <c r="B534" t="s">
        <v>737</v>
      </c>
    </row>
    <row r="535" spans="1:9">
      <c r="A535" s="599" t="s">
        <v>321</v>
      </c>
      <c r="B535" t="s">
        <v>139</v>
      </c>
    </row>
    <row r="537" spans="1:9">
      <c r="A537" s="599" t="s">
        <v>141</v>
      </c>
      <c r="B537" t="s">
        <v>382</v>
      </c>
      <c r="C537" t="s">
        <v>1843</v>
      </c>
      <c r="D537" s="881"/>
      <c r="E537" s="881"/>
      <c r="F537" s="881"/>
      <c r="G537" s="881"/>
      <c r="H537" s="881"/>
      <c r="I537" s="881"/>
    </row>
    <row r="538" spans="1:9">
      <c r="A538" s="600" t="s">
        <v>384</v>
      </c>
      <c r="B538" s="784">
        <v>182943282.06</v>
      </c>
      <c r="C538" s="784">
        <v>0</v>
      </c>
      <c r="D538" s="628"/>
      <c r="E538" s="628"/>
      <c r="F538" s="628"/>
      <c r="G538" s="628"/>
      <c r="H538" s="628"/>
      <c r="I538" s="628"/>
    </row>
    <row r="539" spans="1:9">
      <c r="A539" s="876" t="s">
        <v>335</v>
      </c>
      <c r="B539" s="784">
        <v>15276510</v>
      </c>
      <c r="C539" s="784">
        <v>0</v>
      </c>
      <c r="D539" s="628"/>
      <c r="E539" s="628"/>
      <c r="F539" s="628"/>
      <c r="G539" s="628"/>
      <c r="H539" s="628"/>
      <c r="I539" s="628"/>
    </row>
    <row r="540" spans="1:9">
      <c r="A540" s="876" t="s">
        <v>336</v>
      </c>
      <c r="B540" s="784">
        <v>1997233</v>
      </c>
      <c r="C540" s="784">
        <v>0</v>
      </c>
    </row>
    <row r="541" spans="1:9">
      <c r="A541" s="876" t="s">
        <v>73</v>
      </c>
      <c r="B541" s="784">
        <v>422218.83999999997</v>
      </c>
      <c r="C541" s="784"/>
    </row>
    <row r="542" spans="1:9">
      <c r="A542" s="876" t="s">
        <v>91</v>
      </c>
      <c r="B542" s="784">
        <v>20558915.600000001</v>
      </c>
      <c r="C542" s="784">
        <v>0</v>
      </c>
    </row>
    <row r="543" spans="1:9">
      <c r="A543" s="876" t="s">
        <v>337</v>
      </c>
      <c r="B543" s="784">
        <v>85517864</v>
      </c>
      <c r="C543" s="784">
        <v>0</v>
      </c>
    </row>
    <row r="544" spans="1:9">
      <c r="A544" s="876" t="s">
        <v>105</v>
      </c>
      <c r="B544" s="784">
        <v>1114766</v>
      </c>
      <c r="C544" s="784">
        <v>0</v>
      </c>
    </row>
    <row r="545" spans="1:3">
      <c r="A545" s="876" t="s">
        <v>51</v>
      </c>
      <c r="B545" s="784">
        <v>7277019</v>
      </c>
      <c r="C545" s="784">
        <v>0</v>
      </c>
    </row>
    <row r="546" spans="1:3">
      <c r="A546" s="876" t="s">
        <v>72</v>
      </c>
      <c r="B546" s="784">
        <v>216262</v>
      </c>
      <c r="C546" s="784">
        <v>0</v>
      </c>
    </row>
    <row r="547" spans="1:3">
      <c r="A547" s="876" t="s">
        <v>69</v>
      </c>
      <c r="B547" s="784">
        <v>443933.62</v>
      </c>
      <c r="C547" s="784">
        <v>0</v>
      </c>
    </row>
    <row r="548" spans="1:3">
      <c r="A548" s="876" t="s">
        <v>58</v>
      </c>
      <c r="B548" s="784">
        <v>49611803</v>
      </c>
      <c r="C548" s="784">
        <v>0</v>
      </c>
    </row>
    <row r="549" spans="1:3">
      <c r="A549" s="876" t="s">
        <v>93</v>
      </c>
      <c r="B549" s="784">
        <v>506757</v>
      </c>
      <c r="C549" s="784"/>
    </row>
    <row r="550" spans="1:3">
      <c r="A550" s="600" t="s">
        <v>310</v>
      </c>
      <c r="B550" s="784">
        <v>67780719</v>
      </c>
      <c r="C550" s="784">
        <v>0</v>
      </c>
    </row>
    <row r="551" spans="1:3">
      <c r="A551" s="876" t="s">
        <v>340</v>
      </c>
      <c r="B551" s="784">
        <v>67780719</v>
      </c>
      <c r="C551" s="784">
        <v>0</v>
      </c>
    </row>
    <row r="552" spans="1:3">
      <c r="A552" s="600" t="s">
        <v>385</v>
      </c>
      <c r="B552" s="784">
        <v>140938105</v>
      </c>
      <c r="C552" s="784">
        <v>0</v>
      </c>
    </row>
    <row r="553" spans="1:3">
      <c r="A553" s="876" t="s">
        <v>346</v>
      </c>
      <c r="B553" s="784">
        <v>17281741</v>
      </c>
      <c r="C553" s="784">
        <v>0</v>
      </c>
    </row>
    <row r="554" spans="1:3">
      <c r="A554" s="876" t="s">
        <v>347</v>
      </c>
      <c r="B554" s="784">
        <v>123656364</v>
      </c>
      <c r="C554" s="784"/>
    </row>
    <row r="555" spans="1:3">
      <c r="A555" s="600" t="s">
        <v>312</v>
      </c>
      <c r="B555" s="784">
        <v>52870747.75</v>
      </c>
      <c r="C555" s="784">
        <v>0</v>
      </c>
    </row>
    <row r="556" spans="1:3">
      <c r="A556" s="876" t="s">
        <v>349</v>
      </c>
      <c r="B556" s="784">
        <v>4158940</v>
      </c>
      <c r="C556" s="784">
        <v>0</v>
      </c>
    </row>
    <row r="557" spans="1:3">
      <c r="A557" s="876" t="s">
        <v>350</v>
      </c>
      <c r="B557" s="784">
        <v>48711807.75</v>
      </c>
      <c r="C557" s="784">
        <v>0</v>
      </c>
    </row>
    <row r="558" spans="1:3">
      <c r="A558" s="600" t="s">
        <v>299</v>
      </c>
      <c r="B558" s="784">
        <v>444532853.81</v>
      </c>
      <c r="C558" s="784">
        <v>0</v>
      </c>
    </row>
    <row r="565" spans="1:2">
      <c r="A565" s="1524" t="s">
        <v>1845</v>
      </c>
      <c r="B565" s="1524"/>
    </row>
    <row r="567" spans="1:2">
      <c r="A567" s="599" t="s">
        <v>357</v>
      </c>
      <c r="B567" t="s">
        <v>752</v>
      </c>
    </row>
    <row r="568" spans="1:2">
      <c r="A568" s="599" t="s">
        <v>378</v>
      </c>
      <c r="B568" t="s">
        <v>379</v>
      </c>
    </row>
    <row r="569" spans="1:2">
      <c r="A569" s="599" t="s">
        <v>376</v>
      </c>
      <c r="B569" t="s">
        <v>377</v>
      </c>
    </row>
    <row r="570" spans="1:2">
      <c r="A570" s="599" t="s">
        <v>374</v>
      </c>
      <c r="B570" t="s">
        <v>375</v>
      </c>
    </row>
    <row r="572" spans="1:2">
      <c r="A572" s="599" t="s">
        <v>141</v>
      </c>
      <c r="B572" t="s">
        <v>382</v>
      </c>
    </row>
    <row r="573" spans="1:2">
      <c r="A573" s="600" t="s">
        <v>338</v>
      </c>
      <c r="B573" s="784">
        <v>36080554.690000005</v>
      </c>
    </row>
    <row r="574" spans="1:2">
      <c r="A574" s="600" t="s">
        <v>753</v>
      </c>
      <c r="B574" s="784">
        <v>653000000</v>
      </c>
    </row>
    <row r="575" spans="1:2">
      <c r="A575" s="600" t="s">
        <v>756</v>
      </c>
      <c r="B575" s="784">
        <v>370000000</v>
      </c>
    </row>
    <row r="580" spans="1:3">
      <c r="A580" s="1524" t="s">
        <v>1846</v>
      </c>
      <c r="B580" s="1524"/>
    </row>
    <row r="582" spans="1:3">
      <c r="A582" s="599" t="s">
        <v>357</v>
      </c>
      <c r="B582" t="s">
        <v>752</v>
      </c>
    </row>
    <row r="583" spans="1:3">
      <c r="A583" s="599" t="s">
        <v>378</v>
      </c>
      <c r="B583" t="s">
        <v>379</v>
      </c>
    </row>
    <row r="584" spans="1:3">
      <c r="A584" s="599" t="s">
        <v>376</v>
      </c>
      <c r="B584" t="s">
        <v>377</v>
      </c>
    </row>
    <row r="585" spans="1:3">
      <c r="A585" s="599" t="s">
        <v>374</v>
      </c>
      <c r="B585" t="s">
        <v>375</v>
      </c>
    </row>
    <row r="587" spans="1:3">
      <c r="A587" s="599" t="s">
        <v>328</v>
      </c>
      <c r="B587" s="599" t="s">
        <v>731</v>
      </c>
      <c r="C587" t="s">
        <v>382</v>
      </c>
    </row>
    <row r="588" spans="1:3">
      <c r="A588" t="s">
        <v>338</v>
      </c>
      <c r="B588" t="s">
        <v>104</v>
      </c>
      <c r="C588" s="784">
        <v>36080554.690000005</v>
      </c>
    </row>
    <row r="589" spans="1:3">
      <c r="A589" t="s">
        <v>753</v>
      </c>
      <c r="B589" t="s">
        <v>754</v>
      </c>
      <c r="C589" s="784">
        <v>653000000</v>
      </c>
    </row>
    <row r="590" spans="1:3">
      <c r="A590" t="s">
        <v>756</v>
      </c>
      <c r="B590" t="s">
        <v>757</v>
      </c>
      <c r="C590" s="784">
        <v>370000000</v>
      </c>
    </row>
    <row r="596" spans="1:2">
      <c r="A596" s="1524" t="s">
        <v>1846</v>
      </c>
      <c r="B596" s="1524"/>
    </row>
    <row r="597" spans="1:2">
      <c r="A597" s="599" t="s">
        <v>357</v>
      </c>
      <c r="B597" t="s">
        <v>139</v>
      </c>
    </row>
    <row r="598" spans="1:2">
      <c r="A598" s="599" t="s">
        <v>378</v>
      </c>
      <c r="B598" t="s">
        <v>379</v>
      </c>
    </row>
    <row r="599" spans="1:2">
      <c r="A599" s="599" t="s">
        <v>376</v>
      </c>
      <c r="B599" t="s">
        <v>377</v>
      </c>
    </row>
    <row r="600" spans="1:2">
      <c r="A600" s="599" t="s">
        <v>374</v>
      </c>
      <c r="B600" t="s">
        <v>375</v>
      </c>
    </row>
    <row r="601" spans="1:2">
      <c r="A601" s="599" t="s">
        <v>321</v>
      </c>
      <c r="B601" t="s">
        <v>139</v>
      </c>
    </row>
    <row r="603" spans="1:2">
      <c r="A603" t="s">
        <v>382</v>
      </c>
    </row>
    <row r="604" spans="1:2">
      <c r="A604" s="784">
        <v>4296748897.6052332</v>
      </c>
    </row>
  </sheetData>
  <mergeCells count="6">
    <mergeCell ref="A596:B596"/>
    <mergeCell ref="A1:B1"/>
    <mergeCell ref="A11:B11"/>
    <mergeCell ref="A12:B12"/>
    <mergeCell ref="A565:B565"/>
    <mergeCell ref="A580:B580"/>
  </mergeCells>
  <pageMargins left="0.7" right="0.7" top="0.75" bottom="0.75" header="0.3" footer="0.3"/>
  <pageSetup orientation="portrait" r:id="rId17"/>
  <drawing r:id="rId18"/>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dimension ref="A1:K635"/>
  <sheetViews>
    <sheetView topLeftCell="A247" zoomScale="85" zoomScaleNormal="85" workbookViewId="0">
      <selection activeCell="J251" sqref="J251"/>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524" t="s">
        <v>1831</v>
      </c>
      <c r="B1" s="1524"/>
    </row>
    <row r="2" spans="1:11">
      <c r="A2" s="599" t="s">
        <v>374</v>
      </c>
      <c r="B2" t="s">
        <v>375</v>
      </c>
    </row>
    <row r="3" spans="1:11">
      <c r="A3" s="599" t="s">
        <v>376</v>
      </c>
      <c r="B3" t="s">
        <v>377</v>
      </c>
    </row>
    <row r="4" spans="1:11">
      <c r="A4" s="599" t="s">
        <v>378</v>
      </c>
      <c r="B4" t="s">
        <v>379</v>
      </c>
    </row>
    <row r="5" spans="1:11">
      <c r="A5" s="599" t="s">
        <v>357</v>
      </c>
      <c r="B5" t="s">
        <v>358</v>
      </c>
    </row>
    <row r="6" spans="1:11">
      <c r="A6" s="599" t="s">
        <v>122</v>
      </c>
      <c r="B6" t="s">
        <v>356</v>
      </c>
    </row>
    <row r="7" spans="1:11">
      <c r="A7" s="599" t="s">
        <v>321</v>
      </c>
      <c r="B7" t="s">
        <v>139</v>
      </c>
    </row>
    <row r="9" spans="1:11">
      <c r="A9" t="s">
        <v>382</v>
      </c>
    </row>
    <row r="10" spans="1:11">
      <c r="A10" s="784">
        <v>3237668342.9152331</v>
      </c>
    </row>
    <row r="13" spans="1:11" ht="124">
      <c r="H13" s="895" t="s">
        <v>1847</v>
      </c>
      <c r="I13" s="895" t="s">
        <v>1848</v>
      </c>
      <c r="J13" s="895" t="s">
        <v>1849</v>
      </c>
      <c r="K13" s="895" t="s">
        <v>1850</v>
      </c>
    </row>
    <row r="14" spans="1:11">
      <c r="A14" s="599" t="s">
        <v>374</v>
      </c>
      <c r="B14" t="s">
        <v>375</v>
      </c>
      <c r="H14">
        <f>COUNTIF($C$22:$C$170,"No Income Classification")</f>
        <v>2</v>
      </c>
      <c r="I14">
        <f>COUNTIF($F$22:$F$170,"&gt;0")</f>
        <v>65</v>
      </c>
      <c r="J14">
        <f>COUNTIF($E$22:$E$170,"&gt;0")</f>
        <v>7</v>
      </c>
      <c r="K14">
        <f>COUNTIF($D$22:$D$170,"&gt;0")</f>
        <v>8</v>
      </c>
    </row>
    <row r="15" spans="1:11">
      <c r="A15" s="599" t="s">
        <v>376</v>
      </c>
      <c r="B15" t="s">
        <v>377</v>
      </c>
    </row>
    <row r="16" spans="1:11">
      <c r="A16" s="599" t="s">
        <v>378</v>
      </c>
      <c r="B16" t="s">
        <v>379</v>
      </c>
    </row>
    <row r="17" spans="1:6">
      <c r="A17" s="599" t="s">
        <v>357</v>
      </c>
      <c r="B17" t="s">
        <v>358</v>
      </c>
    </row>
    <row r="18" spans="1:6">
      <c r="A18" s="599" t="s">
        <v>122</v>
      </c>
      <c r="B18" t="s">
        <v>356</v>
      </c>
    </row>
    <row r="20" spans="1:6">
      <c r="A20" s="599" t="s">
        <v>382</v>
      </c>
      <c r="D20" s="599" t="s">
        <v>328</v>
      </c>
    </row>
    <row r="21" spans="1:6">
      <c r="A21" s="599" t="s">
        <v>386</v>
      </c>
      <c r="B21" s="599" t="s">
        <v>738</v>
      </c>
      <c r="C21" s="599" t="s">
        <v>321</v>
      </c>
      <c r="D21" t="s">
        <v>333</v>
      </c>
      <c r="E21" t="s">
        <v>334</v>
      </c>
      <c r="F21" t="s">
        <v>98</v>
      </c>
    </row>
    <row r="22" spans="1:6">
      <c r="A22" t="s">
        <v>160</v>
      </c>
      <c r="B22" t="s">
        <v>145</v>
      </c>
      <c r="C22" t="s">
        <v>148</v>
      </c>
      <c r="D22" s="784">
        <v>2019230.7692307692</v>
      </c>
      <c r="E22" s="784">
        <v>0</v>
      </c>
      <c r="F22" s="784">
        <v>33600000</v>
      </c>
    </row>
    <row r="23" spans="1:6">
      <c r="A23" t="s">
        <v>161</v>
      </c>
      <c r="B23" t="s">
        <v>146</v>
      </c>
      <c r="C23" t="s">
        <v>152</v>
      </c>
      <c r="D23" s="784">
        <v>0</v>
      </c>
      <c r="E23" s="784">
        <v>0</v>
      </c>
      <c r="F23" s="784">
        <v>0</v>
      </c>
    </row>
    <row r="24" spans="1:6">
      <c r="A24" t="s">
        <v>143</v>
      </c>
      <c r="B24" t="s">
        <v>145</v>
      </c>
      <c r="C24" t="s">
        <v>150</v>
      </c>
      <c r="D24" s="784">
        <v>0</v>
      </c>
      <c r="E24" s="784">
        <v>0</v>
      </c>
      <c r="F24" s="784">
        <v>0</v>
      </c>
    </row>
    <row r="25" spans="1:6">
      <c r="A25" t="s">
        <v>162</v>
      </c>
      <c r="B25" t="s">
        <v>145</v>
      </c>
      <c r="C25" t="s">
        <v>150</v>
      </c>
      <c r="D25" s="784">
        <v>0</v>
      </c>
      <c r="E25" s="784">
        <v>0</v>
      </c>
      <c r="F25" s="784">
        <v>43000000</v>
      </c>
    </row>
    <row r="26" spans="1:6">
      <c r="A26" t="s">
        <v>164</v>
      </c>
      <c r="B26" t="s">
        <v>146</v>
      </c>
      <c r="C26" t="s">
        <v>152</v>
      </c>
      <c r="D26" s="784">
        <v>0</v>
      </c>
      <c r="E26" s="784">
        <v>22752903</v>
      </c>
      <c r="F26" s="784">
        <v>1000000</v>
      </c>
    </row>
    <row r="27" spans="1:6">
      <c r="A27" t="s">
        <v>165</v>
      </c>
      <c r="B27" t="s">
        <v>146</v>
      </c>
      <c r="C27" t="s">
        <v>152</v>
      </c>
      <c r="D27" s="784">
        <v>0</v>
      </c>
      <c r="E27" s="784">
        <v>0</v>
      </c>
      <c r="F27" s="784">
        <v>0</v>
      </c>
    </row>
    <row r="28" spans="1:6">
      <c r="A28" t="s">
        <v>166</v>
      </c>
      <c r="B28" t="s">
        <v>146</v>
      </c>
      <c r="C28" t="s">
        <v>152</v>
      </c>
      <c r="D28" s="784">
        <v>0</v>
      </c>
      <c r="E28" s="784">
        <v>0</v>
      </c>
      <c r="F28" s="784">
        <v>0</v>
      </c>
    </row>
    <row r="29" spans="1:6">
      <c r="A29" t="s">
        <v>167</v>
      </c>
      <c r="B29" t="s">
        <v>145</v>
      </c>
      <c r="C29" t="s">
        <v>150</v>
      </c>
      <c r="D29" s="784">
        <v>0</v>
      </c>
      <c r="E29" s="784">
        <v>0</v>
      </c>
      <c r="F29" s="784">
        <v>87700000</v>
      </c>
    </row>
    <row r="30" spans="1:6">
      <c r="A30" t="s">
        <v>168</v>
      </c>
      <c r="B30" t="s">
        <v>146</v>
      </c>
      <c r="C30" t="s">
        <v>152</v>
      </c>
      <c r="D30" s="784">
        <v>0</v>
      </c>
      <c r="E30" s="784">
        <v>0</v>
      </c>
      <c r="F30" s="784">
        <v>0</v>
      </c>
    </row>
    <row r="31" spans="1:6">
      <c r="A31" t="s">
        <v>169</v>
      </c>
      <c r="B31" t="s">
        <v>146</v>
      </c>
      <c r="C31" t="s">
        <v>150</v>
      </c>
      <c r="D31" s="784">
        <v>0</v>
      </c>
      <c r="E31" s="784">
        <v>2922505</v>
      </c>
      <c r="F31" s="784">
        <v>0</v>
      </c>
    </row>
    <row r="32" spans="1:6">
      <c r="A32" t="s">
        <v>170</v>
      </c>
      <c r="B32" t="s">
        <v>145</v>
      </c>
      <c r="C32" t="s">
        <v>150</v>
      </c>
      <c r="D32" s="784">
        <v>0</v>
      </c>
      <c r="E32" s="784">
        <v>0</v>
      </c>
      <c r="F32" s="784">
        <v>5000000</v>
      </c>
    </row>
    <row r="33" spans="1:6">
      <c r="A33" t="s">
        <v>171</v>
      </c>
      <c r="B33" t="s">
        <v>145</v>
      </c>
      <c r="C33" t="s">
        <v>150</v>
      </c>
      <c r="D33" s="784">
        <v>0</v>
      </c>
      <c r="E33" s="784">
        <v>0</v>
      </c>
      <c r="F33" s="784">
        <v>0</v>
      </c>
    </row>
    <row r="34" spans="1:6">
      <c r="A34" t="s">
        <v>172</v>
      </c>
      <c r="B34" t="s">
        <v>145</v>
      </c>
      <c r="C34" t="s">
        <v>150</v>
      </c>
      <c r="D34" s="784">
        <v>0</v>
      </c>
      <c r="E34" s="784">
        <v>0</v>
      </c>
      <c r="F34" s="784">
        <v>0</v>
      </c>
    </row>
    <row r="35" spans="1:6">
      <c r="A35" t="s">
        <v>174</v>
      </c>
      <c r="B35" t="s">
        <v>146</v>
      </c>
      <c r="C35" t="s">
        <v>152</v>
      </c>
      <c r="D35" s="784">
        <v>0</v>
      </c>
      <c r="E35" s="784">
        <v>0</v>
      </c>
      <c r="F35" s="784">
        <v>0</v>
      </c>
    </row>
    <row r="36" spans="1:6">
      <c r="A36" t="s">
        <v>175</v>
      </c>
      <c r="B36" t="s">
        <v>146</v>
      </c>
      <c r="C36" t="s">
        <v>152</v>
      </c>
      <c r="D36" s="784">
        <v>0</v>
      </c>
      <c r="E36" s="784">
        <v>0</v>
      </c>
      <c r="F36" s="784">
        <v>0</v>
      </c>
    </row>
    <row r="37" spans="1:6">
      <c r="A37" t="s">
        <v>144</v>
      </c>
      <c r="B37" t="s">
        <v>146</v>
      </c>
      <c r="C37" t="s">
        <v>152</v>
      </c>
      <c r="D37" s="784">
        <v>0</v>
      </c>
      <c r="E37" s="784">
        <v>0</v>
      </c>
      <c r="F37" s="784">
        <v>0</v>
      </c>
    </row>
    <row r="38" spans="1:6">
      <c r="A38" t="s">
        <v>176</v>
      </c>
      <c r="B38" t="s">
        <v>146</v>
      </c>
      <c r="C38" t="s">
        <v>152</v>
      </c>
      <c r="D38" s="784">
        <v>0</v>
      </c>
      <c r="E38" s="784">
        <v>0</v>
      </c>
      <c r="F38" s="784">
        <v>0</v>
      </c>
    </row>
    <row r="39" spans="1:6">
      <c r="A39" t="s">
        <v>177</v>
      </c>
      <c r="B39" t="s">
        <v>145</v>
      </c>
      <c r="C39" t="s">
        <v>148</v>
      </c>
      <c r="D39" s="784">
        <v>0</v>
      </c>
      <c r="E39" s="784">
        <v>0</v>
      </c>
      <c r="F39" s="784">
        <v>0</v>
      </c>
    </row>
    <row r="40" spans="1:6">
      <c r="A40" t="s">
        <v>178</v>
      </c>
      <c r="B40" t="s">
        <v>145</v>
      </c>
      <c r="C40" t="s">
        <v>148</v>
      </c>
      <c r="D40" s="784">
        <v>0</v>
      </c>
      <c r="E40" s="784">
        <v>0</v>
      </c>
      <c r="F40" s="784">
        <v>17800000</v>
      </c>
    </row>
    <row r="41" spans="1:6">
      <c r="A41" t="s">
        <v>179</v>
      </c>
      <c r="B41" t="s">
        <v>145</v>
      </c>
      <c r="C41" t="s">
        <v>150</v>
      </c>
      <c r="D41" s="784">
        <v>0</v>
      </c>
      <c r="E41" s="784">
        <v>0</v>
      </c>
      <c r="F41" s="784">
        <v>4700000</v>
      </c>
    </row>
    <row r="42" spans="1:6">
      <c r="A42" t="s">
        <v>180</v>
      </c>
      <c r="B42" t="s">
        <v>145</v>
      </c>
      <c r="C42" t="s">
        <v>150</v>
      </c>
      <c r="D42" s="784">
        <v>0</v>
      </c>
      <c r="E42" s="784">
        <v>0</v>
      </c>
      <c r="F42" s="784">
        <v>3500000</v>
      </c>
    </row>
    <row r="43" spans="1:6">
      <c r="A43" t="s">
        <v>181</v>
      </c>
      <c r="B43" t="s">
        <v>145</v>
      </c>
      <c r="C43" t="s">
        <v>150</v>
      </c>
      <c r="D43" s="784">
        <v>0</v>
      </c>
      <c r="E43" s="784">
        <v>0</v>
      </c>
      <c r="F43" s="784">
        <v>18000000</v>
      </c>
    </row>
    <row r="44" spans="1:6">
      <c r="A44" t="s">
        <v>182</v>
      </c>
      <c r="B44" t="s">
        <v>145</v>
      </c>
      <c r="C44" t="s">
        <v>148</v>
      </c>
      <c r="D44" s="784">
        <v>0</v>
      </c>
      <c r="E44" s="784">
        <v>0</v>
      </c>
      <c r="F44" s="784">
        <v>0</v>
      </c>
    </row>
    <row r="45" spans="1:6">
      <c r="A45" t="s">
        <v>183</v>
      </c>
      <c r="B45" t="s">
        <v>145</v>
      </c>
      <c r="C45" t="s">
        <v>148</v>
      </c>
      <c r="D45" s="784">
        <v>0</v>
      </c>
      <c r="E45" s="784">
        <v>0</v>
      </c>
      <c r="F45" s="784">
        <v>9000000</v>
      </c>
    </row>
    <row r="46" spans="1:6">
      <c r="A46" t="s">
        <v>185</v>
      </c>
      <c r="B46" t="s">
        <v>146</v>
      </c>
      <c r="C46" t="s">
        <v>152</v>
      </c>
      <c r="D46" s="784">
        <v>0</v>
      </c>
      <c r="E46" s="784">
        <v>0</v>
      </c>
      <c r="F46" s="784">
        <v>0</v>
      </c>
    </row>
    <row r="47" spans="1:6">
      <c r="A47" t="s">
        <v>186</v>
      </c>
      <c r="B47" t="s">
        <v>146</v>
      </c>
      <c r="C47" t="s">
        <v>152</v>
      </c>
      <c r="D47" s="784">
        <v>0</v>
      </c>
      <c r="E47" s="784">
        <v>0</v>
      </c>
      <c r="F47" s="784">
        <v>0</v>
      </c>
    </row>
    <row r="48" spans="1:6">
      <c r="A48" t="s">
        <v>187</v>
      </c>
      <c r="B48" t="s">
        <v>145</v>
      </c>
      <c r="C48" t="s">
        <v>150</v>
      </c>
      <c r="D48" s="784">
        <v>0</v>
      </c>
      <c r="E48" s="784">
        <v>0</v>
      </c>
      <c r="F48" s="784">
        <v>12800000</v>
      </c>
    </row>
    <row r="49" spans="1:6">
      <c r="A49" t="s">
        <v>188</v>
      </c>
      <c r="B49" t="s">
        <v>145</v>
      </c>
      <c r="C49" t="s">
        <v>148</v>
      </c>
      <c r="D49" s="784">
        <v>0</v>
      </c>
      <c r="E49" s="784">
        <v>0</v>
      </c>
      <c r="F49" s="784">
        <v>50000000</v>
      </c>
    </row>
    <row r="50" spans="1:6">
      <c r="A50" t="s">
        <v>189</v>
      </c>
      <c r="B50" t="s">
        <v>145</v>
      </c>
      <c r="C50" t="s">
        <v>150</v>
      </c>
      <c r="D50" s="784">
        <v>0</v>
      </c>
      <c r="E50" s="784">
        <v>0</v>
      </c>
      <c r="F50" s="784">
        <v>3000000</v>
      </c>
    </row>
    <row r="51" spans="1:6">
      <c r="A51" t="s">
        <v>190</v>
      </c>
      <c r="B51" t="s">
        <v>146</v>
      </c>
      <c r="C51" t="s">
        <v>322</v>
      </c>
      <c r="D51" s="784">
        <v>0</v>
      </c>
      <c r="E51" s="784">
        <v>0</v>
      </c>
      <c r="F51" s="784">
        <v>0</v>
      </c>
    </row>
    <row r="52" spans="1:6">
      <c r="A52" t="s">
        <v>191</v>
      </c>
      <c r="B52" t="s">
        <v>146</v>
      </c>
      <c r="C52" t="s">
        <v>152</v>
      </c>
      <c r="D52" s="784">
        <v>0</v>
      </c>
      <c r="E52" s="784">
        <v>0</v>
      </c>
      <c r="F52" s="784">
        <v>0</v>
      </c>
    </row>
    <row r="53" spans="1:6">
      <c r="A53" t="s">
        <v>192</v>
      </c>
      <c r="B53" t="s">
        <v>145</v>
      </c>
      <c r="C53" t="s">
        <v>150</v>
      </c>
      <c r="D53" s="784">
        <v>0</v>
      </c>
      <c r="E53" s="784">
        <v>0</v>
      </c>
      <c r="F53" s="784">
        <v>31900000</v>
      </c>
    </row>
    <row r="54" spans="1:6">
      <c r="A54" t="s">
        <v>147</v>
      </c>
      <c r="B54" t="s">
        <v>146</v>
      </c>
      <c r="C54" t="s">
        <v>152</v>
      </c>
      <c r="D54" s="784">
        <v>0</v>
      </c>
      <c r="E54" s="784">
        <v>0</v>
      </c>
      <c r="F54" s="784">
        <v>0</v>
      </c>
    </row>
    <row r="55" spans="1:6">
      <c r="A55" t="s">
        <v>194</v>
      </c>
      <c r="B55" t="s">
        <v>145</v>
      </c>
      <c r="C55" t="s">
        <v>150</v>
      </c>
      <c r="D55" s="784">
        <v>0</v>
      </c>
      <c r="E55" s="784">
        <v>0</v>
      </c>
      <c r="F55" s="784">
        <v>0</v>
      </c>
    </row>
    <row r="56" spans="1:6">
      <c r="A56" t="s">
        <v>195</v>
      </c>
      <c r="B56" t="s">
        <v>145</v>
      </c>
      <c r="C56" t="s">
        <v>152</v>
      </c>
      <c r="D56" s="784">
        <v>0</v>
      </c>
      <c r="E56" s="784">
        <v>0</v>
      </c>
      <c r="F56" s="784">
        <v>0</v>
      </c>
    </row>
    <row r="57" spans="1:6">
      <c r="A57" t="s">
        <v>196</v>
      </c>
      <c r="B57" t="s">
        <v>146</v>
      </c>
      <c r="C57" t="s">
        <v>152</v>
      </c>
      <c r="D57" s="784">
        <v>0</v>
      </c>
      <c r="E57" s="784">
        <v>360305</v>
      </c>
      <c r="F57" s="784">
        <v>0</v>
      </c>
    </row>
    <row r="58" spans="1:6">
      <c r="A58" t="s">
        <v>197</v>
      </c>
      <c r="B58" t="s">
        <v>146</v>
      </c>
      <c r="C58" t="s">
        <v>152</v>
      </c>
      <c r="D58" s="784">
        <v>0</v>
      </c>
      <c r="E58" s="784">
        <v>673947</v>
      </c>
      <c r="F58" s="784">
        <v>30100000</v>
      </c>
    </row>
    <row r="59" spans="1:6">
      <c r="A59" t="s">
        <v>198</v>
      </c>
      <c r="B59" t="s">
        <v>145</v>
      </c>
      <c r="C59" t="s">
        <v>150</v>
      </c>
      <c r="D59" s="784">
        <v>0</v>
      </c>
      <c r="E59" s="784">
        <v>0</v>
      </c>
      <c r="F59" s="784">
        <v>0</v>
      </c>
    </row>
    <row r="60" spans="1:6">
      <c r="A60" t="s">
        <v>199</v>
      </c>
      <c r="B60" t="s">
        <v>145</v>
      </c>
      <c r="C60" t="s">
        <v>150</v>
      </c>
      <c r="D60" s="784">
        <v>0</v>
      </c>
      <c r="E60" s="784">
        <v>20000000</v>
      </c>
      <c r="F60" s="784">
        <v>26000000</v>
      </c>
    </row>
    <row r="61" spans="1:6">
      <c r="A61" t="s">
        <v>200</v>
      </c>
      <c r="B61" t="s">
        <v>146</v>
      </c>
      <c r="C61" t="s">
        <v>152</v>
      </c>
      <c r="D61" s="784">
        <v>0</v>
      </c>
      <c r="E61" s="784">
        <v>0</v>
      </c>
      <c r="F61" s="784">
        <v>0</v>
      </c>
    </row>
    <row r="62" spans="1:6">
      <c r="A62" t="s">
        <v>201</v>
      </c>
      <c r="B62" t="s">
        <v>145</v>
      </c>
      <c r="C62" t="s">
        <v>148</v>
      </c>
      <c r="D62" s="784">
        <v>0</v>
      </c>
      <c r="E62" s="784">
        <v>0</v>
      </c>
      <c r="F62" s="784">
        <v>0</v>
      </c>
    </row>
    <row r="63" spans="1:6">
      <c r="A63" t="s">
        <v>202</v>
      </c>
      <c r="B63" t="s">
        <v>145</v>
      </c>
      <c r="C63" t="s">
        <v>150</v>
      </c>
      <c r="D63" s="784">
        <v>0</v>
      </c>
      <c r="E63" s="784">
        <v>0</v>
      </c>
      <c r="F63" s="784">
        <v>3700000</v>
      </c>
    </row>
    <row r="64" spans="1:6">
      <c r="A64" t="s">
        <v>203</v>
      </c>
      <c r="B64" t="s">
        <v>145</v>
      </c>
      <c r="C64" t="s">
        <v>148</v>
      </c>
      <c r="D64" s="784">
        <v>0</v>
      </c>
      <c r="E64" s="784">
        <v>0</v>
      </c>
      <c r="F64" s="784">
        <v>167200000</v>
      </c>
    </row>
    <row r="65" spans="1:6">
      <c r="A65" t="s">
        <v>204</v>
      </c>
      <c r="B65" t="s">
        <v>145</v>
      </c>
      <c r="C65" t="s">
        <v>152</v>
      </c>
      <c r="D65" s="784">
        <v>0</v>
      </c>
      <c r="E65" s="784">
        <v>0</v>
      </c>
      <c r="F65" s="784">
        <v>0</v>
      </c>
    </row>
    <row r="66" spans="1:6">
      <c r="A66" t="s">
        <v>205</v>
      </c>
      <c r="B66" t="s">
        <v>146</v>
      </c>
      <c r="C66" t="s">
        <v>152</v>
      </c>
      <c r="D66" s="784">
        <v>0</v>
      </c>
      <c r="E66" s="784">
        <v>0</v>
      </c>
      <c r="F66" s="784">
        <v>2900000</v>
      </c>
    </row>
    <row r="67" spans="1:6">
      <c r="A67" t="s">
        <v>206</v>
      </c>
      <c r="B67" t="s">
        <v>145</v>
      </c>
      <c r="C67" t="s">
        <v>148</v>
      </c>
      <c r="D67" s="784">
        <v>0</v>
      </c>
      <c r="E67" s="784">
        <v>0</v>
      </c>
      <c r="F67" s="784">
        <v>1600000</v>
      </c>
    </row>
    <row r="68" spans="1:6">
      <c r="A68" t="s">
        <v>207</v>
      </c>
      <c r="B68" t="s">
        <v>146</v>
      </c>
      <c r="C68" t="s">
        <v>152</v>
      </c>
      <c r="D68" s="784">
        <v>0</v>
      </c>
      <c r="E68" s="784">
        <v>0</v>
      </c>
      <c r="F68" s="784">
        <v>1100000</v>
      </c>
    </row>
    <row r="69" spans="1:6">
      <c r="A69" t="s">
        <v>208</v>
      </c>
      <c r="B69" t="s">
        <v>145</v>
      </c>
      <c r="C69" t="s">
        <v>150</v>
      </c>
      <c r="D69" s="784">
        <v>0</v>
      </c>
      <c r="E69" s="784">
        <v>0</v>
      </c>
      <c r="F69" s="784">
        <v>7000000</v>
      </c>
    </row>
    <row r="70" spans="1:6">
      <c r="A70" t="s">
        <v>209</v>
      </c>
      <c r="B70" t="s">
        <v>145</v>
      </c>
      <c r="C70" t="s">
        <v>152</v>
      </c>
      <c r="D70" s="784">
        <v>0</v>
      </c>
      <c r="E70" s="784">
        <v>0</v>
      </c>
      <c r="F70" s="784">
        <v>0</v>
      </c>
    </row>
    <row r="71" spans="1:6">
      <c r="A71" t="s">
        <v>210</v>
      </c>
      <c r="B71" t="s">
        <v>146</v>
      </c>
      <c r="C71" t="s">
        <v>152</v>
      </c>
      <c r="D71" s="784">
        <v>0</v>
      </c>
      <c r="E71" s="784">
        <v>0</v>
      </c>
      <c r="F71" s="784">
        <v>0</v>
      </c>
    </row>
    <row r="72" spans="1:6">
      <c r="A72" t="s">
        <v>211</v>
      </c>
      <c r="B72" t="s">
        <v>145</v>
      </c>
      <c r="C72" t="s">
        <v>148</v>
      </c>
      <c r="D72" s="784">
        <v>0</v>
      </c>
      <c r="E72" s="784">
        <v>0</v>
      </c>
      <c r="F72" s="784">
        <v>10600000</v>
      </c>
    </row>
    <row r="73" spans="1:6">
      <c r="A73" t="s">
        <v>212</v>
      </c>
      <c r="B73" t="s">
        <v>145</v>
      </c>
      <c r="C73" t="s">
        <v>148</v>
      </c>
      <c r="D73" s="784">
        <v>0</v>
      </c>
      <c r="E73" s="784">
        <v>0</v>
      </c>
      <c r="F73" s="784">
        <v>2100000</v>
      </c>
    </row>
    <row r="74" spans="1:6">
      <c r="A74" t="s">
        <v>213</v>
      </c>
      <c r="B74" t="s">
        <v>145</v>
      </c>
      <c r="C74" t="s">
        <v>152</v>
      </c>
      <c r="D74" s="784">
        <v>0</v>
      </c>
      <c r="E74" s="784">
        <v>0</v>
      </c>
      <c r="F74" s="784">
        <v>200000</v>
      </c>
    </row>
    <row r="75" spans="1:6">
      <c r="A75" t="s">
        <v>214</v>
      </c>
      <c r="B75" t="s">
        <v>145</v>
      </c>
      <c r="C75" t="s">
        <v>150</v>
      </c>
      <c r="D75" s="784">
        <v>0</v>
      </c>
      <c r="E75" s="784">
        <v>0</v>
      </c>
      <c r="F75" s="784">
        <v>0</v>
      </c>
    </row>
    <row r="76" spans="1:6">
      <c r="A76" t="s">
        <v>215</v>
      </c>
      <c r="B76" t="s">
        <v>145</v>
      </c>
      <c r="C76" t="s">
        <v>150</v>
      </c>
      <c r="D76" s="784">
        <v>0</v>
      </c>
      <c r="E76" s="784">
        <v>15800000</v>
      </c>
      <c r="F76" s="784">
        <v>13800000</v>
      </c>
    </row>
    <row r="77" spans="1:6">
      <c r="A77" t="s">
        <v>216</v>
      </c>
      <c r="B77" t="s">
        <v>145</v>
      </c>
      <c r="C77" t="s">
        <v>150</v>
      </c>
      <c r="D77" s="784">
        <v>7000000</v>
      </c>
      <c r="E77" s="784">
        <v>0</v>
      </c>
      <c r="F77" s="784">
        <v>0</v>
      </c>
    </row>
    <row r="78" spans="1:6">
      <c r="A78" t="s">
        <v>217</v>
      </c>
      <c r="B78" t="s">
        <v>145</v>
      </c>
      <c r="C78" t="s">
        <v>150</v>
      </c>
      <c r="D78" s="784">
        <v>0</v>
      </c>
      <c r="E78" s="784">
        <v>0</v>
      </c>
      <c r="F78" s="784">
        <v>258300000</v>
      </c>
    </row>
    <row r="79" spans="1:6">
      <c r="A79" t="s">
        <v>149</v>
      </c>
      <c r="B79" t="s">
        <v>146</v>
      </c>
      <c r="C79" t="s">
        <v>150</v>
      </c>
      <c r="D79" s="784">
        <v>0</v>
      </c>
      <c r="E79" s="784">
        <v>0</v>
      </c>
      <c r="F79" s="784">
        <v>0</v>
      </c>
    </row>
    <row r="80" spans="1:6">
      <c r="A80" t="s">
        <v>218</v>
      </c>
      <c r="B80" t="s">
        <v>146</v>
      </c>
      <c r="C80" t="s">
        <v>152</v>
      </c>
      <c r="D80" s="784">
        <v>0</v>
      </c>
      <c r="E80" s="784">
        <v>0</v>
      </c>
      <c r="F80" s="784">
        <v>25000000</v>
      </c>
    </row>
    <row r="81" spans="1:6">
      <c r="A81" t="s">
        <v>219</v>
      </c>
      <c r="B81" t="s">
        <v>146</v>
      </c>
      <c r="C81" t="s">
        <v>152</v>
      </c>
      <c r="D81" s="784">
        <v>0</v>
      </c>
      <c r="E81" s="784">
        <v>0</v>
      </c>
      <c r="F81" s="784">
        <v>0</v>
      </c>
    </row>
    <row r="82" spans="1:6">
      <c r="A82" t="s">
        <v>220</v>
      </c>
      <c r="B82" t="s">
        <v>146</v>
      </c>
      <c r="C82" t="s">
        <v>152</v>
      </c>
      <c r="D82" s="784">
        <v>0</v>
      </c>
      <c r="E82" s="784">
        <v>0</v>
      </c>
      <c r="F82" s="784">
        <v>1300000</v>
      </c>
    </row>
    <row r="83" spans="1:6">
      <c r="A83" t="s">
        <v>221</v>
      </c>
      <c r="B83" t="s">
        <v>146</v>
      </c>
      <c r="C83" t="s">
        <v>152</v>
      </c>
      <c r="D83" s="784">
        <v>0</v>
      </c>
      <c r="E83" s="784">
        <v>0</v>
      </c>
      <c r="F83" s="784">
        <v>0</v>
      </c>
    </row>
    <row r="84" spans="1:6">
      <c r="A84" t="s">
        <v>222</v>
      </c>
      <c r="B84" t="s">
        <v>145</v>
      </c>
      <c r="C84" t="s">
        <v>150</v>
      </c>
      <c r="D84" s="784">
        <v>0</v>
      </c>
      <c r="E84" s="784">
        <v>0</v>
      </c>
      <c r="F84" s="784">
        <v>18700000</v>
      </c>
    </row>
    <row r="85" spans="1:6">
      <c r="A85" t="s">
        <v>223</v>
      </c>
      <c r="B85" t="s">
        <v>145</v>
      </c>
      <c r="C85" t="s">
        <v>150</v>
      </c>
      <c r="D85" s="784">
        <v>0</v>
      </c>
      <c r="E85" s="784">
        <v>0</v>
      </c>
      <c r="F85" s="784">
        <v>0</v>
      </c>
    </row>
    <row r="86" spans="1:6">
      <c r="A86" t="s">
        <v>224</v>
      </c>
      <c r="B86" t="s">
        <v>145</v>
      </c>
      <c r="C86" t="s">
        <v>148</v>
      </c>
      <c r="D86" s="784">
        <v>0</v>
      </c>
      <c r="E86" s="784">
        <v>0</v>
      </c>
      <c r="F86" s="784">
        <v>0</v>
      </c>
    </row>
    <row r="87" spans="1:6">
      <c r="A87" t="s">
        <v>225</v>
      </c>
      <c r="B87" t="s">
        <v>145</v>
      </c>
      <c r="C87" t="s">
        <v>152</v>
      </c>
      <c r="D87" s="784">
        <v>0</v>
      </c>
      <c r="E87" s="784">
        <v>0</v>
      </c>
      <c r="F87" s="784">
        <v>2000000</v>
      </c>
    </row>
    <row r="88" spans="1:6">
      <c r="A88" t="s">
        <v>226</v>
      </c>
      <c r="B88" t="s">
        <v>145</v>
      </c>
      <c r="C88" t="s">
        <v>150</v>
      </c>
      <c r="D88" s="784">
        <v>0</v>
      </c>
      <c r="E88" s="784">
        <v>0</v>
      </c>
      <c r="F88" s="784">
        <v>3000000</v>
      </c>
    </row>
    <row r="89" spans="1:6">
      <c r="A89" t="s">
        <v>227</v>
      </c>
      <c r="B89" t="s">
        <v>145</v>
      </c>
      <c r="C89" t="s">
        <v>150</v>
      </c>
      <c r="D89" s="784">
        <v>0</v>
      </c>
      <c r="E89" s="784">
        <v>0</v>
      </c>
      <c r="F89" s="784">
        <v>5600000</v>
      </c>
    </row>
    <row r="90" spans="1:6">
      <c r="A90" t="s">
        <v>228</v>
      </c>
      <c r="B90" t="s">
        <v>146</v>
      </c>
      <c r="C90" t="s">
        <v>152</v>
      </c>
      <c r="D90" s="784">
        <v>0</v>
      </c>
      <c r="E90" s="784">
        <v>0</v>
      </c>
      <c r="F90" s="784">
        <v>9000000</v>
      </c>
    </row>
    <row r="91" spans="1:6">
      <c r="A91" t="s">
        <v>229</v>
      </c>
      <c r="B91" t="s">
        <v>145</v>
      </c>
      <c r="C91" t="s">
        <v>150</v>
      </c>
      <c r="D91" s="784">
        <v>0</v>
      </c>
      <c r="E91" s="784">
        <v>0</v>
      </c>
      <c r="F91" s="784">
        <v>5500000</v>
      </c>
    </row>
    <row r="92" spans="1:6">
      <c r="A92" t="s">
        <v>230</v>
      </c>
      <c r="B92" t="s">
        <v>145</v>
      </c>
      <c r="C92" t="s">
        <v>148</v>
      </c>
      <c r="D92" s="784">
        <v>0</v>
      </c>
      <c r="E92" s="784">
        <v>0</v>
      </c>
      <c r="F92" s="784">
        <v>1700000</v>
      </c>
    </row>
    <row r="93" spans="1:6">
      <c r="A93" t="s">
        <v>231</v>
      </c>
      <c r="B93" t="s">
        <v>146</v>
      </c>
      <c r="C93" t="s">
        <v>152</v>
      </c>
      <c r="D93" s="784">
        <v>0</v>
      </c>
      <c r="E93" s="784">
        <v>0</v>
      </c>
      <c r="F93" s="784">
        <v>0</v>
      </c>
    </row>
    <row r="94" spans="1:6">
      <c r="A94" t="s">
        <v>232</v>
      </c>
      <c r="B94" t="s">
        <v>145</v>
      </c>
      <c r="C94" t="s">
        <v>148</v>
      </c>
      <c r="D94" s="784">
        <v>0</v>
      </c>
      <c r="E94" s="784">
        <v>0</v>
      </c>
      <c r="F94" s="784">
        <v>58500000</v>
      </c>
    </row>
    <row r="95" spans="1:6">
      <c r="A95" t="s">
        <v>233</v>
      </c>
      <c r="B95" t="s">
        <v>145</v>
      </c>
      <c r="C95" t="s">
        <v>148</v>
      </c>
      <c r="D95" s="784">
        <v>0</v>
      </c>
      <c r="E95" s="784">
        <v>0</v>
      </c>
      <c r="F95" s="784">
        <v>4700000</v>
      </c>
    </row>
    <row r="96" spans="1:6">
      <c r="A96" t="s">
        <v>234</v>
      </c>
      <c r="B96" t="s">
        <v>146</v>
      </c>
      <c r="C96" t="s">
        <v>152</v>
      </c>
      <c r="D96" s="784">
        <v>0</v>
      </c>
      <c r="E96" s="784">
        <v>0</v>
      </c>
      <c r="F96" s="784">
        <v>0</v>
      </c>
    </row>
    <row r="97" spans="1:6">
      <c r="A97" t="s">
        <v>235</v>
      </c>
      <c r="B97" t="s">
        <v>145</v>
      </c>
      <c r="C97" t="s">
        <v>152</v>
      </c>
      <c r="D97" s="784">
        <v>0</v>
      </c>
      <c r="E97" s="784">
        <v>0</v>
      </c>
      <c r="F97" s="784">
        <v>0</v>
      </c>
    </row>
    <row r="98" spans="1:6">
      <c r="A98" t="s">
        <v>236</v>
      </c>
      <c r="B98" t="s">
        <v>145</v>
      </c>
      <c r="C98" t="s">
        <v>148</v>
      </c>
      <c r="D98" s="784">
        <v>0</v>
      </c>
      <c r="E98" s="784">
        <v>0</v>
      </c>
      <c r="F98" s="784">
        <v>8000000</v>
      </c>
    </row>
    <row r="99" spans="1:6">
      <c r="A99" t="s">
        <v>237</v>
      </c>
      <c r="B99" t="s">
        <v>145</v>
      </c>
      <c r="C99" t="s">
        <v>152</v>
      </c>
      <c r="D99" s="784">
        <v>0</v>
      </c>
      <c r="E99" s="784">
        <v>0</v>
      </c>
      <c r="F99" s="784">
        <v>0</v>
      </c>
    </row>
    <row r="100" spans="1:6">
      <c r="A100" t="s">
        <v>238</v>
      </c>
      <c r="B100" t="s">
        <v>145</v>
      </c>
      <c r="C100" t="s">
        <v>150</v>
      </c>
      <c r="D100" s="784">
        <v>0</v>
      </c>
      <c r="E100" s="784">
        <v>0</v>
      </c>
      <c r="F100" s="784">
        <v>16399999.999999998</v>
      </c>
    </row>
    <row r="101" spans="1:6">
      <c r="A101" t="s">
        <v>239</v>
      </c>
      <c r="B101" t="s">
        <v>146</v>
      </c>
      <c r="C101" t="s">
        <v>152</v>
      </c>
      <c r="D101" s="784">
        <v>0</v>
      </c>
      <c r="E101" s="784">
        <v>0</v>
      </c>
      <c r="F101" s="784">
        <v>0</v>
      </c>
    </row>
    <row r="102" spans="1:6">
      <c r="A102" t="s">
        <v>240</v>
      </c>
      <c r="B102" t="s">
        <v>146</v>
      </c>
      <c r="C102" t="s">
        <v>152</v>
      </c>
      <c r="D102" s="784">
        <v>0</v>
      </c>
      <c r="E102" s="784">
        <v>0</v>
      </c>
      <c r="F102" s="784">
        <v>0</v>
      </c>
    </row>
    <row r="103" spans="1:6">
      <c r="A103" t="s">
        <v>241</v>
      </c>
      <c r="B103" t="s">
        <v>145</v>
      </c>
      <c r="C103" t="s">
        <v>150</v>
      </c>
      <c r="D103" s="784">
        <v>0</v>
      </c>
      <c r="E103" s="784">
        <v>0</v>
      </c>
      <c r="F103" s="784">
        <v>0</v>
      </c>
    </row>
    <row r="104" spans="1:6">
      <c r="A104" t="s">
        <v>242</v>
      </c>
      <c r="B104" t="s">
        <v>145</v>
      </c>
      <c r="C104" t="s">
        <v>152</v>
      </c>
      <c r="D104" s="784">
        <v>0</v>
      </c>
      <c r="E104" s="784">
        <v>0</v>
      </c>
      <c r="F104" s="784">
        <v>9800000</v>
      </c>
    </row>
    <row r="105" spans="1:6">
      <c r="A105" t="s">
        <v>243</v>
      </c>
      <c r="B105" t="s">
        <v>145</v>
      </c>
      <c r="C105" t="s">
        <v>150</v>
      </c>
      <c r="D105" s="784">
        <v>0</v>
      </c>
      <c r="E105" s="784">
        <v>0</v>
      </c>
      <c r="F105" s="784">
        <v>25500000</v>
      </c>
    </row>
    <row r="106" spans="1:6">
      <c r="A106" t="s">
        <v>244</v>
      </c>
      <c r="B106" t="s">
        <v>146</v>
      </c>
      <c r="C106" t="s">
        <v>152</v>
      </c>
      <c r="D106" s="784">
        <v>0</v>
      </c>
      <c r="E106" s="784">
        <v>0</v>
      </c>
      <c r="F106" s="784">
        <v>0</v>
      </c>
    </row>
    <row r="107" spans="1:6">
      <c r="A107" t="s">
        <v>245</v>
      </c>
      <c r="B107" t="s">
        <v>145</v>
      </c>
      <c r="C107" t="s">
        <v>150</v>
      </c>
      <c r="D107" s="784">
        <v>0</v>
      </c>
      <c r="E107" s="784">
        <v>0</v>
      </c>
      <c r="F107" s="784">
        <v>0</v>
      </c>
    </row>
    <row r="108" spans="1:6">
      <c r="A108" t="s">
        <v>246</v>
      </c>
      <c r="B108" t="s">
        <v>145</v>
      </c>
      <c r="C108" t="s">
        <v>148</v>
      </c>
      <c r="D108" s="784">
        <v>0</v>
      </c>
      <c r="E108" s="784">
        <v>0</v>
      </c>
      <c r="F108" s="784">
        <v>25000000</v>
      </c>
    </row>
    <row r="109" spans="1:6">
      <c r="A109" t="s">
        <v>247</v>
      </c>
      <c r="B109" t="s">
        <v>145</v>
      </c>
      <c r="C109" t="s">
        <v>150</v>
      </c>
      <c r="D109" s="784">
        <v>0</v>
      </c>
      <c r="E109" s="784">
        <v>0</v>
      </c>
      <c r="F109" s="784">
        <v>0</v>
      </c>
    </row>
    <row r="110" spans="1:6">
      <c r="A110" t="s">
        <v>248</v>
      </c>
      <c r="B110" t="s">
        <v>146</v>
      </c>
      <c r="C110" t="s">
        <v>152</v>
      </c>
      <c r="D110" s="784">
        <v>0</v>
      </c>
      <c r="E110" s="784">
        <v>0</v>
      </c>
      <c r="F110" s="784">
        <v>0</v>
      </c>
    </row>
    <row r="111" spans="1:6">
      <c r="A111" t="s">
        <v>250</v>
      </c>
      <c r="B111" t="s">
        <v>145</v>
      </c>
      <c r="C111" t="s">
        <v>150</v>
      </c>
      <c r="D111" s="784">
        <v>0</v>
      </c>
      <c r="E111" s="784">
        <v>0</v>
      </c>
      <c r="F111" s="784">
        <v>10900000</v>
      </c>
    </row>
    <row r="112" spans="1:6">
      <c r="A112" t="s">
        <v>251</v>
      </c>
      <c r="B112" t="s">
        <v>145</v>
      </c>
      <c r="C112" t="s">
        <v>150</v>
      </c>
      <c r="D112" s="784">
        <v>0</v>
      </c>
      <c r="E112" s="784">
        <v>0</v>
      </c>
      <c r="F112" s="784">
        <v>0</v>
      </c>
    </row>
    <row r="113" spans="1:6">
      <c r="A113" t="s">
        <v>252</v>
      </c>
      <c r="B113" t="s">
        <v>145</v>
      </c>
      <c r="C113" t="s">
        <v>148</v>
      </c>
      <c r="D113" s="784">
        <v>0</v>
      </c>
      <c r="E113" s="784">
        <v>0</v>
      </c>
      <c r="F113" s="784">
        <v>9400000</v>
      </c>
    </row>
    <row r="114" spans="1:6">
      <c r="A114" t="s">
        <v>253</v>
      </c>
      <c r="B114" t="s">
        <v>145</v>
      </c>
      <c r="C114" t="s">
        <v>150</v>
      </c>
      <c r="D114" s="784">
        <v>0</v>
      </c>
      <c r="E114" s="784">
        <v>0</v>
      </c>
      <c r="F114" s="784">
        <v>76000000</v>
      </c>
    </row>
    <row r="115" spans="1:6">
      <c r="A115" t="s">
        <v>254</v>
      </c>
      <c r="B115" t="s">
        <v>146</v>
      </c>
      <c r="C115" t="s">
        <v>152</v>
      </c>
      <c r="D115" s="784">
        <v>0</v>
      </c>
      <c r="E115" s="784">
        <v>0</v>
      </c>
      <c r="F115" s="784">
        <v>500000</v>
      </c>
    </row>
    <row r="116" spans="1:6">
      <c r="A116" t="s">
        <v>255</v>
      </c>
      <c r="B116" t="s">
        <v>145</v>
      </c>
      <c r="C116" t="s">
        <v>150</v>
      </c>
      <c r="D116" s="784">
        <v>0</v>
      </c>
      <c r="E116" s="784">
        <v>0</v>
      </c>
      <c r="F116" s="784">
        <v>0</v>
      </c>
    </row>
    <row r="117" spans="1:6">
      <c r="A117" t="s">
        <v>257</v>
      </c>
      <c r="B117" t="s">
        <v>146</v>
      </c>
      <c r="C117" t="s">
        <v>152</v>
      </c>
      <c r="D117" s="784">
        <v>0</v>
      </c>
      <c r="E117" s="784">
        <v>1700000</v>
      </c>
      <c r="F117" s="784">
        <v>0</v>
      </c>
    </row>
    <row r="118" spans="1:6">
      <c r="A118" t="s">
        <v>258</v>
      </c>
      <c r="B118" t="s">
        <v>145</v>
      </c>
      <c r="C118" t="s">
        <v>150</v>
      </c>
      <c r="D118" s="784">
        <v>0</v>
      </c>
      <c r="E118" s="784">
        <v>0</v>
      </c>
      <c r="F118" s="784">
        <v>10000000</v>
      </c>
    </row>
    <row r="119" spans="1:6">
      <c r="A119" t="s">
        <v>259</v>
      </c>
      <c r="B119" t="s">
        <v>146</v>
      </c>
      <c r="C119" t="s">
        <v>152</v>
      </c>
      <c r="D119" s="784">
        <v>0</v>
      </c>
      <c r="E119" s="784">
        <v>0</v>
      </c>
      <c r="F119" s="784">
        <v>0</v>
      </c>
    </row>
    <row r="120" spans="1:6">
      <c r="A120" t="s">
        <v>260</v>
      </c>
      <c r="B120" t="s">
        <v>146</v>
      </c>
      <c r="C120" t="s">
        <v>152</v>
      </c>
      <c r="D120" s="784">
        <v>0</v>
      </c>
      <c r="E120" s="784">
        <v>0</v>
      </c>
      <c r="F120" s="784">
        <v>500000000</v>
      </c>
    </row>
    <row r="121" spans="1:6">
      <c r="A121" t="s">
        <v>261</v>
      </c>
      <c r="B121" t="s">
        <v>145</v>
      </c>
      <c r="C121" t="s">
        <v>150</v>
      </c>
      <c r="D121" s="784">
        <v>0</v>
      </c>
      <c r="E121" s="784">
        <v>0</v>
      </c>
      <c r="F121" s="784">
        <v>27000000</v>
      </c>
    </row>
    <row r="122" spans="1:6">
      <c r="A122" t="s">
        <v>151</v>
      </c>
      <c r="B122" t="s">
        <v>146</v>
      </c>
      <c r="C122" t="s">
        <v>152</v>
      </c>
      <c r="D122" s="784">
        <v>0</v>
      </c>
      <c r="E122" s="784">
        <v>0</v>
      </c>
      <c r="F122" s="784">
        <v>0</v>
      </c>
    </row>
    <row r="123" spans="1:6">
      <c r="A123" t="s">
        <v>263</v>
      </c>
      <c r="B123" t="s">
        <v>146</v>
      </c>
      <c r="C123" t="s">
        <v>152</v>
      </c>
      <c r="D123" s="784">
        <v>0</v>
      </c>
      <c r="E123" s="784">
        <v>0</v>
      </c>
      <c r="F123" s="784">
        <v>0</v>
      </c>
    </row>
    <row r="124" spans="1:6">
      <c r="A124" t="s">
        <v>264</v>
      </c>
      <c r="B124" t="s">
        <v>145</v>
      </c>
      <c r="C124" t="s">
        <v>148</v>
      </c>
      <c r="D124" s="784">
        <v>0</v>
      </c>
      <c r="E124" s="784">
        <v>0</v>
      </c>
      <c r="F124" s="784">
        <v>7400000</v>
      </c>
    </row>
    <row r="125" spans="1:6">
      <c r="A125" t="s">
        <v>265</v>
      </c>
      <c r="B125" t="s">
        <v>145</v>
      </c>
      <c r="C125" t="s">
        <v>150</v>
      </c>
      <c r="D125" s="784">
        <v>3160000</v>
      </c>
      <c r="E125" s="784">
        <v>0</v>
      </c>
      <c r="F125" s="784">
        <v>0</v>
      </c>
    </row>
    <row r="126" spans="1:6">
      <c r="A126" t="s">
        <v>266</v>
      </c>
      <c r="B126" t="s">
        <v>145</v>
      </c>
      <c r="C126" t="s">
        <v>150</v>
      </c>
      <c r="D126" s="784">
        <v>0</v>
      </c>
      <c r="E126" s="784">
        <v>0</v>
      </c>
      <c r="F126" s="784">
        <v>1800000</v>
      </c>
    </row>
    <row r="127" spans="1:6">
      <c r="A127" t="s">
        <v>267</v>
      </c>
      <c r="B127" t="s">
        <v>145</v>
      </c>
      <c r="C127" t="s">
        <v>150</v>
      </c>
      <c r="D127" s="784">
        <v>0</v>
      </c>
      <c r="E127" s="784">
        <v>0</v>
      </c>
      <c r="F127" s="784">
        <v>54900000</v>
      </c>
    </row>
    <row r="128" spans="1:6">
      <c r="A128" t="s">
        <v>153</v>
      </c>
      <c r="B128" t="s">
        <v>146</v>
      </c>
      <c r="C128" t="s">
        <v>152</v>
      </c>
      <c r="D128" s="784">
        <v>0</v>
      </c>
      <c r="E128" s="784">
        <v>0</v>
      </c>
      <c r="F128" s="784">
        <v>0</v>
      </c>
    </row>
    <row r="129" spans="1:6">
      <c r="A129" t="s">
        <v>269</v>
      </c>
      <c r="B129" t="s">
        <v>145</v>
      </c>
      <c r="C129" t="s">
        <v>148</v>
      </c>
      <c r="D129" s="784">
        <v>0</v>
      </c>
      <c r="E129" s="784">
        <v>0</v>
      </c>
      <c r="F129" s="784">
        <v>8500000</v>
      </c>
    </row>
    <row r="130" spans="1:6">
      <c r="A130" t="s">
        <v>270</v>
      </c>
      <c r="B130" t="s">
        <v>145</v>
      </c>
      <c r="C130" t="s">
        <v>150</v>
      </c>
      <c r="D130" s="784">
        <v>0</v>
      </c>
      <c r="E130" s="784">
        <v>0</v>
      </c>
      <c r="F130" s="784">
        <v>0</v>
      </c>
    </row>
    <row r="131" spans="1:6">
      <c r="A131" t="s">
        <v>271</v>
      </c>
      <c r="B131" t="s">
        <v>145</v>
      </c>
      <c r="C131" t="s">
        <v>148</v>
      </c>
      <c r="D131" s="784">
        <v>0</v>
      </c>
      <c r="E131" s="784">
        <v>0</v>
      </c>
      <c r="F131" s="784">
        <v>18000000</v>
      </c>
    </row>
    <row r="132" spans="1:6">
      <c r="A132" t="s">
        <v>272</v>
      </c>
      <c r="B132" t="s">
        <v>146</v>
      </c>
      <c r="C132" t="s">
        <v>152</v>
      </c>
      <c r="D132" s="784">
        <v>0</v>
      </c>
      <c r="E132" s="784">
        <v>0</v>
      </c>
      <c r="F132" s="784">
        <v>0</v>
      </c>
    </row>
    <row r="133" spans="1:6">
      <c r="A133" t="s">
        <v>273</v>
      </c>
      <c r="B133" t="s">
        <v>145</v>
      </c>
      <c r="C133" t="s">
        <v>148</v>
      </c>
      <c r="D133" s="784">
        <v>0</v>
      </c>
      <c r="E133" s="784">
        <v>0</v>
      </c>
      <c r="F133" s="784">
        <v>7500000</v>
      </c>
    </row>
    <row r="134" spans="1:6">
      <c r="A134" t="s">
        <v>274</v>
      </c>
      <c r="B134" t="s">
        <v>145</v>
      </c>
      <c r="C134" t="s">
        <v>150</v>
      </c>
      <c r="D134" s="784">
        <v>48970000</v>
      </c>
      <c r="E134" s="784">
        <v>0</v>
      </c>
      <c r="F134" s="784">
        <v>39100000</v>
      </c>
    </row>
    <row r="135" spans="1:6">
      <c r="A135" t="s">
        <v>154</v>
      </c>
      <c r="B135" t="s">
        <v>145</v>
      </c>
      <c r="C135" t="s">
        <v>152</v>
      </c>
      <c r="D135" s="784">
        <v>0</v>
      </c>
      <c r="E135" s="784">
        <v>0</v>
      </c>
      <c r="F135" s="784">
        <v>0</v>
      </c>
    </row>
    <row r="136" spans="1:6">
      <c r="A136" t="s">
        <v>155</v>
      </c>
      <c r="B136" t="s">
        <v>145</v>
      </c>
      <c r="C136" t="s">
        <v>152</v>
      </c>
      <c r="D136" s="784">
        <v>0</v>
      </c>
      <c r="E136" s="784">
        <v>0</v>
      </c>
      <c r="F136" s="784">
        <v>0</v>
      </c>
    </row>
    <row r="137" spans="1:6">
      <c r="A137" t="s">
        <v>276</v>
      </c>
      <c r="B137" t="s">
        <v>145</v>
      </c>
      <c r="C137" t="s">
        <v>150</v>
      </c>
      <c r="D137" s="784">
        <v>0</v>
      </c>
      <c r="E137" s="784">
        <v>0</v>
      </c>
      <c r="F137" s="784">
        <v>0</v>
      </c>
    </row>
    <row r="138" spans="1:6">
      <c r="A138" t="s">
        <v>277</v>
      </c>
      <c r="B138" t="s">
        <v>145</v>
      </c>
      <c r="C138" t="s">
        <v>148</v>
      </c>
      <c r="D138" s="784">
        <v>0</v>
      </c>
      <c r="E138" s="784">
        <v>0</v>
      </c>
      <c r="F138" s="784">
        <v>49600000</v>
      </c>
    </row>
    <row r="139" spans="1:6">
      <c r="A139" t="s">
        <v>278</v>
      </c>
      <c r="B139" t="s">
        <v>146</v>
      </c>
      <c r="C139" t="s">
        <v>152</v>
      </c>
      <c r="D139" s="784">
        <v>0</v>
      </c>
      <c r="E139" s="784">
        <v>0</v>
      </c>
      <c r="F139" s="784">
        <v>0</v>
      </c>
    </row>
    <row r="140" spans="1:6">
      <c r="A140" t="s">
        <v>279</v>
      </c>
      <c r="B140" t="s">
        <v>145</v>
      </c>
      <c r="C140" t="s">
        <v>148</v>
      </c>
      <c r="D140" s="784">
        <v>0</v>
      </c>
      <c r="E140" s="784">
        <v>0</v>
      </c>
      <c r="F140" s="784">
        <v>0</v>
      </c>
    </row>
    <row r="141" spans="1:6">
      <c r="A141" t="s">
        <v>280</v>
      </c>
      <c r="B141" t="s">
        <v>145</v>
      </c>
      <c r="C141" t="s">
        <v>150</v>
      </c>
      <c r="D141" s="784">
        <v>770000</v>
      </c>
      <c r="E141" s="784">
        <v>0</v>
      </c>
      <c r="F141" s="784">
        <v>2400000</v>
      </c>
    </row>
    <row r="142" spans="1:6">
      <c r="A142" t="s">
        <v>156</v>
      </c>
      <c r="B142" t="s">
        <v>145</v>
      </c>
      <c r="C142" t="s">
        <v>150</v>
      </c>
      <c r="D142" s="784">
        <v>0</v>
      </c>
      <c r="E142" s="784">
        <v>0</v>
      </c>
      <c r="F142" s="784">
        <v>0</v>
      </c>
    </row>
    <row r="143" spans="1:6">
      <c r="A143" t="s">
        <v>157</v>
      </c>
      <c r="B143" t="s">
        <v>146</v>
      </c>
      <c r="C143" t="s">
        <v>152</v>
      </c>
      <c r="D143" s="784">
        <v>0</v>
      </c>
      <c r="E143" s="784">
        <v>0</v>
      </c>
      <c r="F143" s="784">
        <v>0</v>
      </c>
    </row>
    <row r="144" spans="1:6">
      <c r="A144" t="s">
        <v>281</v>
      </c>
      <c r="B144" t="s">
        <v>145</v>
      </c>
      <c r="C144" t="s">
        <v>150</v>
      </c>
      <c r="D144" s="784">
        <v>0</v>
      </c>
      <c r="E144" s="784">
        <v>0</v>
      </c>
      <c r="F144" s="784">
        <v>0</v>
      </c>
    </row>
    <row r="145" spans="1:6">
      <c r="A145" t="s">
        <v>282</v>
      </c>
      <c r="B145" t="s">
        <v>145</v>
      </c>
      <c r="C145" t="s">
        <v>148</v>
      </c>
      <c r="D145" s="784">
        <v>0</v>
      </c>
      <c r="E145" s="784">
        <v>0</v>
      </c>
      <c r="F145" s="784">
        <v>21600000</v>
      </c>
    </row>
    <row r="146" spans="1:6">
      <c r="A146" t="s">
        <v>283</v>
      </c>
      <c r="B146" t="s">
        <v>145</v>
      </c>
      <c r="C146" t="s">
        <v>152</v>
      </c>
      <c r="D146" s="784">
        <v>2770000</v>
      </c>
      <c r="E146" s="784">
        <v>0</v>
      </c>
      <c r="F146" s="784">
        <v>0</v>
      </c>
    </row>
    <row r="147" spans="1:6">
      <c r="A147" t="s">
        <v>285</v>
      </c>
      <c r="B147" t="s">
        <v>145</v>
      </c>
      <c r="C147" t="s">
        <v>150</v>
      </c>
      <c r="D147" s="784">
        <v>0</v>
      </c>
      <c r="E147" s="784">
        <v>0</v>
      </c>
      <c r="F147" s="784">
        <v>9300000</v>
      </c>
    </row>
    <row r="148" spans="1:6">
      <c r="A148" t="s">
        <v>286</v>
      </c>
      <c r="B148" t="s">
        <v>146</v>
      </c>
      <c r="C148" t="s">
        <v>152</v>
      </c>
      <c r="D148" s="784">
        <v>0</v>
      </c>
      <c r="E148" s="784">
        <v>0</v>
      </c>
      <c r="F148" s="784">
        <v>0</v>
      </c>
    </row>
    <row r="149" spans="1:6">
      <c r="A149" t="s">
        <v>287</v>
      </c>
      <c r="B149" t="s">
        <v>146</v>
      </c>
      <c r="C149" t="s">
        <v>152</v>
      </c>
      <c r="D149" s="784">
        <v>0</v>
      </c>
      <c r="E149" s="784">
        <v>0</v>
      </c>
      <c r="F149" s="784">
        <v>0</v>
      </c>
    </row>
    <row r="150" spans="1:6">
      <c r="A150" t="s">
        <v>288</v>
      </c>
      <c r="B150" t="s">
        <v>145</v>
      </c>
      <c r="C150" t="s">
        <v>152</v>
      </c>
      <c r="D150" s="784">
        <v>840000.00000000012</v>
      </c>
      <c r="E150" s="784">
        <v>0</v>
      </c>
      <c r="F150" s="784">
        <v>0</v>
      </c>
    </row>
    <row r="151" spans="1:6">
      <c r="A151" t="s">
        <v>289</v>
      </c>
      <c r="B151" t="s">
        <v>145</v>
      </c>
      <c r="C151" t="s">
        <v>148</v>
      </c>
      <c r="D151" s="784">
        <v>0</v>
      </c>
      <c r="E151" s="784">
        <v>0</v>
      </c>
      <c r="F151" s="784">
        <v>20150000</v>
      </c>
    </row>
    <row r="152" spans="1:6">
      <c r="A152" t="s">
        <v>290</v>
      </c>
      <c r="B152" t="s">
        <v>145</v>
      </c>
      <c r="C152" t="s">
        <v>150</v>
      </c>
      <c r="D152" s="784">
        <v>0</v>
      </c>
      <c r="E152" s="784">
        <v>0</v>
      </c>
      <c r="F152" s="784">
        <v>70000000</v>
      </c>
    </row>
    <row r="153" spans="1:6">
      <c r="A153" t="s">
        <v>292</v>
      </c>
      <c r="B153" t="s">
        <v>145</v>
      </c>
      <c r="C153" t="s">
        <v>150</v>
      </c>
      <c r="D153" s="784">
        <v>0</v>
      </c>
      <c r="E153" s="784">
        <v>0</v>
      </c>
      <c r="F153" s="784">
        <v>0</v>
      </c>
    </row>
    <row r="154" spans="1:6">
      <c r="A154" t="s">
        <v>293</v>
      </c>
      <c r="B154" t="s">
        <v>145</v>
      </c>
      <c r="C154" t="s">
        <v>150</v>
      </c>
      <c r="D154" s="784">
        <v>1610000</v>
      </c>
      <c r="E154" s="784">
        <v>0</v>
      </c>
      <c r="F154" s="784">
        <v>0</v>
      </c>
    </row>
    <row r="155" spans="1:6">
      <c r="A155" t="s">
        <v>294</v>
      </c>
      <c r="B155" t="s">
        <v>146</v>
      </c>
      <c r="C155" t="s">
        <v>322</v>
      </c>
      <c r="D155" s="784">
        <v>0</v>
      </c>
      <c r="E155" s="784">
        <v>0</v>
      </c>
      <c r="F155" s="784">
        <v>0</v>
      </c>
    </row>
    <row r="156" spans="1:6">
      <c r="A156" t="s">
        <v>295</v>
      </c>
      <c r="B156" t="s">
        <v>145</v>
      </c>
      <c r="C156" t="s">
        <v>150</v>
      </c>
      <c r="D156" s="784">
        <v>0</v>
      </c>
      <c r="E156" s="784">
        <v>0</v>
      </c>
      <c r="F156" s="784">
        <v>0</v>
      </c>
    </row>
    <row r="157" spans="1:6">
      <c r="A157" t="s">
        <v>296</v>
      </c>
      <c r="B157" t="s">
        <v>145</v>
      </c>
      <c r="C157" t="s">
        <v>148</v>
      </c>
      <c r="D157" s="784">
        <v>0</v>
      </c>
      <c r="E157" s="784">
        <v>0</v>
      </c>
      <c r="F157" s="784">
        <v>17800000</v>
      </c>
    </row>
    <row r="158" spans="1:6">
      <c r="A158" t="s">
        <v>297</v>
      </c>
      <c r="B158" t="s">
        <v>145</v>
      </c>
      <c r="C158" t="s">
        <v>150</v>
      </c>
      <c r="D158" s="784">
        <v>0</v>
      </c>
      <c r="E158" s="784">
        <v>0</v>
      </c>
      <c r="F158" s="784">
        <v>11800000</v>
      </c>
    </row>
    <row r="159" spans="1:6">
      <c r="A159" t="s">
        <v>298</v>
      </c>
      <c r="B159" t="s">
        <v>145</v>
      </c>
      <c r="C159" t="s">
        <v>150</v>
      </c>
      <c r="D159" s="784">
        <v>0</v>
      </c>
      <c r="E159" s="784">
        <v>0</v>
      </c>
      <c r="F159" s="784">
        <v>0</v>
      </c>
    </row>
    <row r="174" spans="1:2">
      <c r="A174" s="1524" t="s">
        <v>1851</v>
      </c>
      <c r="B174" s="1524"/>
    </row>
    <row r="175" spans="1:2">
      <c r="A175" s="892">
        <f>COUNTIF($B$184:$B$211,"&gt;0")</f>
        <v>27</v>
      </c>
      <c r="B175" s="892"/>
    </row>
    <row r="176" spans="1:2">
      <c r="A176" s="599" t="s">
        <v>374</v>
      </c>
      <c r="B176" t="s">
        <v>375</v>
      </c>
    </row>
    <row r="177" spans="1:3">
      <c r="A177" s="599" t="s">
        <v>376</v>
      </c>
      <c r="B177" t="s">
        <v>377</v>
      </c>
    </row>
    <row r="178" spans="1:3">
      <c r="A178" s="599" t="s">
        <v>378</v>
      </c>
      <c r="B178" t="s">
        <v>379</v>
      </c>
    </row>
    <row r="179" spans="1:3">
      <c r="A179" s="599" t="s">
        <v>357</v>
      </c>
      <c r="B179" t="s">
        <v>358</v>
      </c>
    </row>
    <row r="180" spans="1:3">
      <c r="A180" s="599" t="s">
        <v>122</v>
      </c>
      <c r="B180" t="s">
        <v>356</v>
      </c>
    </row>
    <row r="181" spans="1:3">
      <c r="A181" s="599" t="s">
        <v>321</v>
      </c>
      <c r="B181" t="s">
        <v>139</v>
      </c>
    </row>
    <row r="183" spans="1:3">
      <c r="A183" s="599" t="s">
        <v>141</v>
      </c>
      <c r="B183" t="s">
        <v>382</v>
      </c>
      <c r="C183" t="s">
        <v>1843</v>
      </c>
    </row>
    <row r="184" spans="1:3">
      <c r="A184" s="600" t="s">
        <v>333</v>
      </c>
      <c r="B184" s="784">
        <v>67139230.769230768</v>
      </c>
      <c r="C184" s="784"/>
    </row>
    <row r="185" spans="1:3">
      <c r="A185" s="600" t="s">
        <v>335</v>
      </c>
      <c r="B185" s="784">
        <v>30237373</v>
      </c>
      <c r="C185" s="784">
        <v>0</v>
      </c>
    </row>
    <row r="186" spans="1:3">
      <c r="A186" s="600" t="s">
        <v>348</v>
      </c>
      <c r="B186" s="784">
        <v>19742000</v>
      </c>
      <c r="C186" s="784"/>
    </row>
    <row r="187" spans="1:3">
      <c r="A187" s="600" t="s">
        <v>338</v>
      </c>
      <c r="B187" s="784">
        <v>31042645.449999999</v>
      </c>
      <c r="C187" s="784">
        <v>0</v>
      </c>
    </row>
    <row r="188" spans="1:3">
      <c r="A188" s="600" t="s">
        <v>336</v>
      </c>
      <c r="B188" s="784">
        <v>3727941</v>
      </c>
      <c r="C188" s="784">
        <v>0</v>
      </c>
    </row>
    <row r="189" spans="1:3">
      <c r="A189" s="600" t="s">
        <v>73</v>
      </c>
      <c r="B189" s="784">
        <v>422218.83999999997</v>
      </c>
      <c r="C189" s="784"/>
    </row>
    <row r="190" spans="1:3">
      <c r="A190" s="600" t="s">
        <v>349</v>
      </c>
      <c r="B190" s="784">
        <v>4158940</v>
      </c>
      <c r="C190" s="784">
        <v>0</v>
      </c>
    </row>
    <row r="191" spans="1:3">
      <c r="A191" s="600" t="s">
        <v>346</v>
      </c>
      <c r="B191" s="784">
        <v>17281741</v>
      </c>
      <c r="C191" s="784">
        <v>0</v>
      </c>
    </row>
    <row r="192" spans="1:3">
      <c r="A192" s="600" t="s">
        <v>39</v>
      </c>
      <c r="B192" s="784">
        <v>15860157</v>
      </c>
      <c r="C192" s="784"/>
    </row>
    <row r="193" spans="1:3">
      <c r="A193" s="600" t="s">
        <v>339</v>
      </c>
      <c r="B193" s="784">
        <v>49783726</v>
      </c>
      <c r="C193" s="784"/>
    </row>
    <row r="194" spans="1:3">
      <c r="A194" s="600" t="s">
        <v>340</v>
      </c>
      <c r="B194" s="784">
        <v>219837866</v>
      </c>
      <c r="C194" s="784">
        <v>196939000</v>
      </c>
    </row>
    <row r="195" spans="1:3">
      <c r="A195" s="600" t="s">
        <v>342</v>
      </c>
      <c r="B195" s="784">
        <v>20714260.074074075</v>
      </c>
      <c r="C195" s="784">
        <v>0</v>
      </c>
    </row>
    <row r="196" spans="1:3">
      <c r="A196" s="600" t="s">
        <v>343</v>
      </c>
      <c r="B196" s="784">
        <v>30349374.299999997</v>
      </c>
      <c r="C196" s="784"/>
    </row>
    <row r="197" spans="1:3">
      <c r="A197" s="600" t="s">
        <v>91</v>
      </c>
      <c r="B197" s="784">
        <v>20558915.600000001</v>
      </c>
      <c r="C197" s="784">
        <v>0</v>
      </c>
    </row>
    <row r="198" spans="1:3">
      <c r="A198" s="600" t="s">
        <v>93</v>
      </c>
      <c r="B198" s="784">
        <v>506757</v>
      </c>
      <c r="C198" s="784"/>
    </row>
    <row r="199" spans="1:3">
      <c r="A199" s="600" t="s">
        <v>334</v>
      </c>
      <c r="B199" s="784">
        <v>64209660</v>
      </c>
      <c r="C199" s="784"/>
    </row>
    <row r="200" spans="1:3">
      <c r="A200" s="600" t="s">
        <v>337</v>
      </c>
      <c r="B200" s="784">
        <v>85517864</v>
      </c>
      <c r="C200" s="784">
        <v>0</v>
      </c>
    </row>
    <row r="201" spans="1:3">
      <c r="A201" s="600" t="s">
        <v>105</v>
      </c>
      <c r="B201" s="784">
        <v>1114766</v>
      </c>
      <c r="C201" s="784">
        <v>0</v>
      </c>
    </row>
    <row r="202" spans="1:3">
      <c r="A202" s="600" t="s">
        <v>51</v>
      </c>
      <c r="B202" s="784">
        <v>7277019</v>
      </c>
      <c r="C202" s="784">
        <v>0</v>
      </c>
    </row>
    <row r="203" spans="1:3">
      <c r="A203" s="600" t="s">
        <v>72</v>
      </c>
      <c r="B203" s="784">
        <v>216262</v>
      </c>
      <c r="C203" s="784">
        <v>0</v>
      </c>
    </row>
    <row r="204" spans="1:3">
      <c r="A204" s="600" t="s">
        <v>350</v>
      </c>
      <c r="B204" s="784">
        <v>48711807.75</v>
      </c>
      <c r="C204" s="784">
        <v>0</v>
      </c>
    </row>
    <row r="205" spans="1:3">
      <c r="A205" s="600" t="s">
        <v>69</v>
      </c>
      <c r="B205" s="784">
        <v>443933.62</v>
      </c>
      <c r="C205" s="784">
        <v>0</v>
      </c>
    </row>
    <row r="206" spans="1:3">
      <c r="A206" s="600" t="s">
        <v>347</v>
      </c>
      <c r="B206" s="784">
        <v>123656364</v>
      </c>
      <c r="C206" s="784"/>
    </row>
    <row r="207" spans="1:3">
      <c r="A207" s="600" t="s">
        <v>58</v>
      </c>
      <c r="B207" s="784">
        <v>311013081.30000001</v>
      </c>
      <c r="C207" s="784"/>
    </row>
    <row r="208" spans="1:3">
      <c r="A208" s="600" t="s">
        <v>332</v>
      </c>
      <c r="B208" s="784">
        <v>2038950000</v>
      </c>
      <c r="C208" s="784"/>
    </row>
    <row r="209" spans="1:4">
      <c r="A209" s="600" t="s">
        <v>341</v>
      </c>
      <c r="B209" s="784">
        <v>21141883.651928999</v>
      </c>
      <c r="C209" s="784"/>
    </row>
    <row r="210" spans="1:4">
      <c r="A210" s="600" t="s">
        <v>344</v>
      </c>
      <c r="B210" s="784">
        <v>4052555.56</v>
      </c>
      <c r="C210" s="784">
        <v>0</v>
      </c>
    </row>
    <row r="213" spans="1:4">
      <c r="A213" s="1524" t="s">
        <v>1852</v>
      </c>
      <c r="B213" s="1524"/>
    </row>
    <row r="214" spans="1:4">
      <c r="A214" s="892"/>
      <c r="B214" s="892"/>
    </row>
    <row r="215" spans="1:4">
      <c r="A215" s="599" t="s">
        <v>374</v>
      </c>
      <c r="B215" t="s">
        <v>375</v>
      </c>
    </row>
    <row r="216" spans="1:4">
      <c r="A216" s="599" t="s">
        <v>376</v>
      </c>
      <c r="B216" t="s">
        <v>377</v>
      </c>
    </row>
    <row r="217" spans="1:4">
      <c r="A217" s="599" t="s">
        <v>378</v>
      </c>
      <c r="B217" t="s">
        <v>379</v>
      </c>
    </row>
    <row r="218" spans="1:4">
      <c r="A218" s="599" t="s">
        <v>357</v>
      </c>
      <c r="B218" t="s">
        <v>358</v>
      </c>
    </row>
    <row r="219" spans="1:4">
      <c r="A219" s="599" t="s">
        <v>122</v>
      </c>
      <c r="B219" t="s">
        <v>356</v>
      </c>
    </row>
    <row r="221" spans="1:4">
      <c r="A221" s="599" t="s">
        <v>141</v>
      </c>
      <c r="B221" t="s">
        <v>382</v>
      </c>
      <c r="C221" s="761" t="s">
        <v>1853</v>
      </c>
      <c r="D221" s="761" t="s">
        <v>316</v>
      </c>
    </row>
    <row r="222" spans="1:4">
      <c r="A222" s="600" t="s">
        <v>152</v>
      </c>
      <c r="B222" s="784">
        <v>768170404.36518526</v>
      </c>
      <c r="C222" s="944">
        <f>SUMIF($C$257:$C$405,A222,$G$257:$G$405)</f>
        <v>136.32199581297772</v>
      </c>
      <c r="D222" s="338">
        <f>COUNTIFS($C$257:$C$394,A222,$E$257:$E$394,"&gt;0")</f>
        <v>48</v>
      </c>
    </row>
    <row r="223" spans="1:4">
      <c r="A223" s="600" t="s">
        <v>150</v>
      </c>
      <c r="B223" s="784">
        <v>1613247762.2478547</v>
      </c>
      <c r="C223" s="944">
        <f>SUMIF($C$257:$C$405,A223,$G$257:$G$405)</f>
        <v>239.05502306492406</v>
      </c>
      <c r="D223" s="338">
        <f t="shared" ref="D223:D225" si="0">COUNTIFS($C$257:$C$394,A223,$E$257:$E$394,"&gt;0")</f>
        <v>55</v>
      </c>
    </row>
    <row r="224" spans="1:4">
      <c r="A224" s="600" t="s">
        <v>148</v>
      </c>
      <c r="B224" s="784">
        <v>845755363.46219349</v>
      </c>
      <c r="C224" s="944">
        <f>SUMIF($C$257:$C$405,A224,$G$257:$G$405)</f>
        <v>34.559684113620918</v>
      </c>
      <c r="D224" s="338">
        <f t="shared" si="0"/>
        <v>26</v>
      </c>
    </row>
    <row r="225" spans="1:4">
      <c r="A225" s="600" t="s">
        <v>322</v>
      </c>
      <c r="B225" s="784">
        <v>10494812.84</v>
      </c>
      <c r="C225" s="944">
        <f>SUMIF($C$257:$C$405,A225,$G$257:$G$405)</f>
        <v>11.642752326140016</v>
      </c>
      <c r="D225" s="338">
        <f t="shared" si="0"/>
        <v>2</v>
      </c>
    </row>
    <row r="226" spans="1:4">
      <c r="C226" s="879"/>
    </row>
    <row r="231" spans="1:4">
      <c r="A231" s="878" t="s">
        <v>1854</v>
      </c>
    </row>
    <row r="232" spans="1:4">
      <c r="A232" s="599" t="s">
        <v>374</v>
      </c>
      <c r="B232" t="s">
        <v>375</v>
      </c>
    </row>
    <row r="233" spans="1:4">
      <c r="A233" s="599" t="s">
        <v>376</v>
      </c>
      <c r="B233" t="s">
        <v>377</v>
      </c>
    </row>
    <row r="234" spans="1:4">
      <c r="A234" s="599" t="s">
        <v>378</v>
      </c>
      <c r="B234" t="s">
        <v>379</v>
      </c>
    </row>
    <row r="235" spans="1:4">
      <c r="A235" s="599" t="s">
        <v>357</v>
      </c>
      <c r="B235" t="s">
        <v>358</v>
      </c>
    </row>
    <row r="236" spans="1:4">
      <c r="A236" s="599" t="s">
        <v>122</v>
      </c>
      <c r="B236" t="s">
        <v>356</v>
      </c>
    </row>
    <row r="237" spans="1:4">
      <c r="A237" s="599" t="s">
        <v>321</v>
      </c>
      <c r="B237" t="s">
        <v>139</v>
      </c>
    </row>
    <row r="239" spans="1:4">
      <c r="A239" s="599" t="s">
        <v>141</v>
      </c>
      <c r="B239" t="s">
        <v>382</v>
      </c>
      <c r="C239" s="577" t="s">
        <v>316</v>
      </c>
    </row>
    <row r="240" spans="1:4">
      <c r="A240" s="600" t="s">
        <v>145</v>
      </c>
      <c r="B240" s="784">
        <v>2488946540.0752339</v>
      </c>
      <c r="C240">
        <f>COUNTIFS($B$257:$B$405,A240,$E$257:$E$405,"&gt;0")</f>
        <v>91</v>
      </c>
    </row>
    <row r="241" spans="1:10">
      <c r="A241" s="600" t="s">
        <v>146</v>
      </c>
      <c r="B241" s="784">
        <v>748721802.84000003</v>
      </c>
      <c r="C241">
        <f>COUNTIFS($B$257:$B$405,A241,$E$257:$E$405,"&gt;0")</f>
        <v>40</v>
      </c>
    </row>
    <row r="244" spans="1:10" ht="62">
      <c r="A244" s="1526" t="s">
        <v>114</v>
      </c>
      <c r="B244" s="1526"/>
      <c r="C244" s="895" t="s">
        <v>1855</v>
      </c>
      <c r="D244" s="895" t="s">
        <v>1856</v>
      </c>
      <c r="E244" s="895" t="s">
        <v>1857</v>
      </c>
      <c r="F244" s="895" t="s">
        <v>1858</v>
      </c>
      <c r="G244" s="895" t="s">
        <v>1859</v>
      </c>
    </row>
    <row r="245" spans="1:10">
      <c r="A245">
        <f>COUNTIF($E$257:$E$405,"&gt;0")</f>
        <v>131</v>
      </c>
      <c r="C245">
        <f>COUNTIFS($B$257:$B$394,"amc",$E$257:$E$394,"&gt;0")</f>
        <v>91</v>
      </c>
      <c r="D245">
        <f>COUNTIFS($C$257:$C$394,"LIC",$E$257:$E$394,"&gt;0")</f>
        <v>26</v>
      </c>
      <c r="E245">
        <f>COUNTIFS($C$257:$C$394,"LMIC",$E$257:$E$394,"&gt;0")</f>
        <v>55</v>
      </c>
      <c r="F245">
        <f>COUNTIFS($C$257:$C$394,"UMIC",$E$257:$E$394,"&gt;0")</f>
        <v>48</v>
      </c>
      <c r="G245">
        <f>COUNTIFS($C$257:$C$394,"No Income Classification",$E$257:$E$394,"&gt;0")</f>
        <v>2</v>
      </c>
    </row>
    <row r="248" spans="1:10">
      <c r="A248" s="878" t="s">
        <v>1860</v>
      </c>
      <c r="D248" s="878" t="s">
        <v>1861</v>
      </c>
      <c r="F248" s="878" t="s">
        <v>1862</v>
      </c>
      <c r="H248" s="878" t="s">
        <v>1863</v>
      </c>
      <c r="J248" t="s">
        <v>1864</v>
      </c>
    </row>
    <row r="249" spans="1:10">
      <c r="A249" s="878"/>
      <c r="D249" s="878"/>
      <c r="F249" s="878"/>
      <c r="H249" s="878"/>
    </row>
    <row r="250" spans="1:10">
      <c r="A250" s="599" t="s">
        <v>374</v>
      </c>
      <c r="B250" t="s">
        <v>375</v>
      </c>
      <c r="D250" s="898">
        <f>SUM($G$257:$G$405)</f>
        <v>421.57945531766285</v>
      </c>
      <c r="E250" s="577"/>
      <c r="F250" s="898">
        <f>AVERAGEIFS($G$257:$G$405,$E$257:$E$405,"&gt;0")</f>
        <v>3.2181637810508614</v>
      </c>
      <c r="G250" s="577"/>
      <c r="H250" s="898">
        <f>AVERAGEIFS($G$257:$G$405,$D$257:$D$405,"No",$E$257:$E$405,"&gt;0")</f>
        <v>1.4905188868900503</v>
      </c>
      <c r="J250">
        <f>COUNTIFS($D$257:$D$405,"No",$E$257:$E$405,"&gt;0")</f>
        <v>102</v>
      </c>
    </row>
    <row r="251" spans="1:10">
      <c r="A251" s="599" t="s">
        <v>376</v>
      </c>
      <c r="B251" t="s">
        <v>356</v>
      </c>
    </row>
    <row r="252" spans="1:10">
      <c r="A252" s="599" t="s">
        <v>378</v>
      </c>
      <c r="B252" t="s">
        <v>379</v>
      </c>
    </row>
    <row r="253" spans="1:10">
      <c r="A253" s="599" t="s">
        <v>357</v>
      </c>
      <c r="B253" t="s">
        <v>358</v>
      </c>
    </row>
    <row r="254" spans="1:10">
      <c r="A254" s="599" t="s">
        <v>122</v>
      </c>
      <c r="B254" t="s">
        <v>356</v>
      </c>
    </row>
    <row r="256" spans="1:10">
      <c r="A256" s="599" t="s">
        <v>386</v>
      </c>
      <c r="B256" s="599" t="s">
        <v>738</v>
      </c>
      <c r="C256" s="599" t="s">
        <v>321</v>
      </c>
      <c r="D256" s="599" t="s">
        <v>741</v>
      </c>
      <c r="E256" t="s">
        <v>382</v>
      </c>
      <c r="F256" t="s">
        <v>1825</v>
      </c>
      <c r="G256" s="577" t="s">
        <v>1836</v>
      </c>
    </row>
    <row r="257" spans="1:7">
      <c r="A257" t="s">
        <v>160</v>
      </c>
      <c r="B257" t="s">
        <v>145</v>
      </c>
      <c r="C257" t="s">
        <v>148</v>
      </c>
      <c r="D257" t="s">
        <v>544</v>
      </c>
      <c r="E257" s="784">
        <v>52725096.991452992</v>
      </c>
      <c r="F257" s="1026">
        <v>39835428</v>
      </c>
      <c r="G257" s="879">
        <f>IFERROR(E257/F257,"")</f>
        <v>1.3235730011851006</v>
      </c>
    </row>
    <row r="258" spans="1:7">
      <c r="A258" t="s">
        <v>161</v>
      </c>
      <c r="B258" t="s">
        <v>146</v>
      </c>
      <c r="C258" t="s">
        <v>152</v>
      </c>
      <c r="D258" t="s">
        <v>544</v>
      </c>
      <c r="E258" s="784">
        <v>600000</v>
      </c>
      <c r="F258" s="1026">
        <v>2872934</v>
      </c>
      <c r="G258" s="879">
        <f t="shared" ref="G258:G321" si="1">IFERROR(E258/F258,"")</f>
        <v>0.20884573053192312</v>
      </c>
    </row>
    <row r="259" spans="1:7">
      <c r="A259" t="s">
        <v>143</v>
      </c>
      <c r="B259" t="s">
        <v>145</v>
      </c>
      <c r="C259" t="s">
        <v>150</v>
      </c>
      <c r="D259" t="s">
        <v>544</v>
      </c>
      <c r="E259" s="784">
        <v>3690331.5</v>
      </c>
      <c r="F259" s="1026">
        <v>44616626</v>
      </c>
      <c r="G259" s="879">
        <f t="shared" si="1"/>
        <v>8.2712025333336506E-2</v>
      </c>
    </row>
    <row r="260" spans="1:7">
      <c r="A260" t="s">
        <v>162</v>
      </c>
      <c r="B260" t="s">
        <v>145</v>
      </c>
      <c r="C260" t="s">
        <v>150</v>
      </c>
      <c r="D260" t="s">
        <v>544</v>
      </c>
      <c r="E260" s="784">
        <v>51271243.590000004</v>
      </c>
      <c r="F260" s="1026">
        <v>33933611</v>
      </c>
      <c r="G260" s="879">
        <f t="shared" si="1"/>
        <v>1.5109280173571862</v>
      </c>
    </row>
    <row r="261" spans="1:7">
      <c r="A261" t="s">
        <v>164</v>
      </c>
      <c r="B261" t="s">
        <v>146</v>
      </c>
      <c r="C261" t="s">
        <v>152</v>
      </c>
      <c r="D261" t="s">
        <v>544</v>
      </c>
      <c r="E261" s="784">
        <v>23820959</v>
      </c>
      <c r="F261" s="1026">
        <v>45605823</v>
      </c>
      <c r="G261" s="879">
        <f t="shared" si="1"/>
        <v>0.52232275251342353</v>
      </c>
    </row>
    <row r="262" spans="1:7">
      <c r="A262" t="s">
        <v>165</v>
      </c>
      <c r="B262" t="s">
        <v>146</v>
      </c>
      <c r="C262" t="s">
        <v>152</v>
      </c>
      <c r="D262" t="s">
        <v>544</v>
      </c>
      <c r="E262" s="784">
        <v>2800000</v>
      </c>
      <c r="F262" s="1026">
        <v>2968128</v>
      </c>
      <c r="G262" s="879">
        <f t="shared" si="1"/>
        <v>0.94335554261810817</v>
      </c>
    </row>
    <row r="263" spans="1:7">
      <c r="A263" t="s">
        <v>166</v>
      </c>
      <c r="B263" t="s">
        <v>146</v>
      </c>
      <c r="C263" t="s">
        <v>152</v>
      </c>
      <c r="D263" t="s">
        <v>544</v>
      </c>
      <c r="E263" s="784">
        <v>1100000</v>
      </c>
      <c r="F263" s="1026">
        <v>10223344</v>
      </c>
      <c r="G263" s="879">
        <f t="shared" si="1"/>
        <v>0.10759688806324036</v>
      </c>
    </row>
    <row r="264" spans="1:7">
      <c r="A264" t="s">
        <v>167</v>
      </c>
      <c r="B264" t="s">
        <v>145</v>
      </c>
      <c r="C264" t="s">
        <v>150</v>
      </c>
      <c r="D264" t="s">
        <v>544</v>
      </c>
      <c r="E264" s="784">
        <v>114727136.59999999</v>
      </c>
      <c r="F264" s="1026">
        <v>166303494</v>
      </c>
      <c r="G264" s="879">
        <f t="shared" si="1"/>
        <v>0.68986606258555216</v>
      </c>
    </row>
    <row r="265" spans="1:7">
      <c r="A265" t="s">
        <v>168</v>
      </c>
      <c r="B265" t="s">
        <v>146</v>
      </c>
      <c r="C265" t="s">
        <v>152</v>
      </c>
      <c r="D265" t="s">
        <v>544</v>
      </c>
      <c r="E265" s="784">
        <v>500000</v>
      </c>
      <c r="F265" s="1026">
        <v>9442867</v>
      </c>
      <c r="G265" s="879">
        <f t="shared" si="1"/>
        <v>5.2950020369872834E-2</v>
      </c>
    </row>
    <row r="266" spans="1:7">
      <c r="A266" t="s">
        <v>169</v>
      </c>
      <c r="B266" t="s">
        <v>146</v>
      </c>
      <c r="C266" t="s">
        <v>150</v>
      </c>
      <c r="D266" t="s">
        <v>541</v>
      </c>
      <c r="E266" s="784">
        <v>3847270</v>
      </c>
      <c r="F266" s="1026">
        <v>404915</v>
      </c>
      <c r="G266" s="879">
        <f t="shared" si="1"/>
        <v>9.501426225257152</v>
      </c>
    </row>
    <row r="267" spans="1:7">
      <c r="A267" t="s">
        <v>170</v>
      </c>
      <c r="B267" t="s">
        <v>145</v>
      </c>
      <c r="C267" t="s">
        <v>150</v>
      </c>
      <c r="D267" t="s">
        <v>544</v>
      </c>
      <c r="E267" s="784">
        <v>12979438</v>
      </c>
      <c r="F267" s="1026">
        <v>12451031</v>
      </c>
      <c r="G267" s="879">
        <f t="shared" si="1"/>
        <v>1.0424388149061712</v>
      </c>
    </row>
    <row r="268" spans="1:7">
      <c r="A268" t="s">
        <v>171</v>
      </c>
      <c r="B268" t="s">
        <v>145</v>
      </c>
      <c r="C268" t="s">
        <v>150</v>
      </c>
      <c r="D268" t="s">
        <v>544</v>
      </c>
      <c r="E268" s="784">
        <v>1633845</v>
      </c>
      <c r="F268" s="1026">
        <v>779900</v>
      </c>
      <c r="G268" s="879">
        <f t="shared" si="1"/>
        <v>2.0949416591870751</v>
      </c>
    </row>
    <row r="269" spans="1:7">
      <c r="A269" t="s">
        <v>172</v>
      </c>
      <c r="B269" t="s">
        <v>145</v>
      </c>
      <c r="C269" t="s">
        <v>150</v>
      </c>
      <c r="D269" t="s">
        <v>544</v>
      </c>
      <c r="E269" s="784">
        <v>5956519</v>
      </c>
      <c r="F269" s="1026">
        <v>11832936</v>
      </c>
      <c r="G269" s="879">
        <f t="shared" si="1"/>
        <v>0.50338470519911538</v>
      </c>
    </row>
    <row r="270" spans="1:7">
      <c r="A270" t="s">
        <v>174</v>
      </c>
      <c r="B270" t="s">
        <v>146</v>
      </c>
      <c r="C270" t="s">
        <v>152</v>
      </c>
      <c r="D270" t="s">
        <v>544</v>
      </c>
      <c r="E270" s="784">
        <v>2250000</v>
      </c>
      <c r="F270" s="1026">
        <v>3263459</v>
      </c>
      <c r="G270" s="879">
        <f t="shared" si="1"/>
        <v>0.68945251035787491</v>
      </c>
    </row>
    <row r="271" spans="1:7">
      <c r="A271" t="s">
        <v>175</v>
      </c>
      <c r="B271" t="s">
        <v>146</v>
      </c>
      <c r="C271" t="s">
        <v>152</v>
      </c>
      <c r="D271" t="s">
        <v>544</v>
      </c>
      <c r="E271" s="784">
        <v>4471162</v>
      </c>
      <c r="F271" s="1026">
        <v>2397240</v>
      </c>
      <c r="G271" s="879">
        <f t="shared" si="1"/>
        <v>1.865129065091522</v>
      </c>
    </row>
    <row r="272" spans="1:7">
      <c r="A272" t="s">
        <v>144</v>
      </c>
      <c r="B272" t="s">
        <v>146</v>
      </c>
      <c r="C272" t="s">
        <v>152</v>
      </c>
      <c r="D272" t="s">
        <v>544</v>
      </c>
      <c r="E272" s="784">
        <v>4502593</v>
      </c>
      <c r="F272" s="1026">
        <v>213993441</v>
      </c>
      <c r="G272" s="879">
        <f t="shared" si="1"/>
        <v>2.1040799096267628E-2</v>
      </c>
    </row>
    <row r="273" spans="1:7">
      <c r="A273" t="s">
        <v>176</v>
      </c>
      <c r="B273" t="s">
        <v>146</v>
      </c>
      <c r="C273" t="s">
        <v>152</v>
      </c>
      <c r="D273" t="s">
        <v>544</v>
      </c>
      <c r="E273" s="784">
        <v>1300000</v>
      </c>
      <c r="F273" s="1026">
        <v>6948445</v>
      </c>
      <c r="G273" s="879">
        <f t="shared" si="1"/>
        <v>0.18709221991395197</v>
      </c>
    </row>
    <row r="274" spans="1:7">
      <c r="A274" t="s">
        <v>177</v>
      </c>
      <c r="B274" t="s">
        <v>145</v>
      </c>
      <c r="C274" t="s">
        <v>148</v>
      </c>
      <c r="D274" t="s">
        <v>544</v>
      </c>
      <c r="E274" s="784">
        <v>9306449</v>
      </c>
      <c r="F274" s="1026">
        <v>21497097</v>
      </c>
      <c r="G274" s="879">
        <f t="shared" si="1"/>
        <v>0.43291654682490383</v>
      </c>
    </row>
    <row r="275" spans="1:7">
      <c r="A275" t="s">
        <v>178</v>
      </c>
      <c r="B275" t="s">
        <v>145</v>
      </c>
      <c r="C275" t="s">
        <v>148</v>
      </c>
      <c r="D275" t="s">
        <v>544</v>
      </c>
      <c r="E275" s="784">
        <v>19908059</v>
      </c>
      <c r="F275" s="1026">
        <v>12255429</v>
      </c>
      <c r="G275" s="879">
        <f t="shared" si="1"/>
        <v>1.6244277536102572</v>
      </c>
    </row>
    <row r="276" spans="1:7">
      <c r="A276" t="s">
        <v>179</v>
      </c>
      <c r="B276" t="s">
        <v>145</v>
      </c>
      <c r="C276" t="s">
        <v>150</v>
      </c>
      <c r="D276" t="s">
        <v>541</v>
      </c>
      <c r="E276" s="784">
        <v>5668147.6881481484</v>
      </c>
      <c r="F276" s="1026">
        <v>561901</v>
      </c>
      <c r="G276" s="879">
        <f t="shared" si="1"/>
        <v>10.087449013523999</v>
      </c>
    </row>
    <row r="277" spans="1:7">
      <c r="A277" t="s">
        <v>180</v>
      </c>
      <c r="B277" t="s">
        <v>145</v>
      </c>
      <c r="C277" t="s">
        <v>150</v>
      </c>
      <c r="D277" t="s">
        <v>544</v>
      </c>
      <c r="E277" s="784">
        <v>7402339.888888889</v>
      </c>
      <c r="F277" s="1026">
        <v>16946446</v>
      </c>
      <c r="G277" s="879">
        <f t="shared" si="1"/>
        <v>0.43680780553567922</v>
      </c>
    </row>
    <row r="278" spans="1:7">
      <c r="A278" t="s">
        <v>181</v>
      </c>
      <c r="B278" t="s">
        <v>145</v>
      </c>
      <c r="C278" t="s">
        <v>150</v>
      </c>
      <c r="D278" t="s">
        <v>544</v>
      </c>
      <c r="E278" s="784">
        <v>29914146.851851851</v>
      </c>
      <c r="F278" s="1026">
        <v>27224262</v>
      </c>
      <c r="G278" s="879">
        <f t="shared" si="1"/>
        <v>1.0988046931024926</v>
      </c>
    </row>
    <row r="279" spans="1:7">
      <c r="A279" t="s">
        <v>182</v>
      </c>
      <c r="B279" t="s">
        <v>145</v>
      </c>
      <c r="C279" t="s">
        <v>148</v>
      </c>
      <c r="D279" t="s">
        <v>544</v>
      </c>
      <c r="E279" s="784">
        <v>5478055.3703703703</v>
      </c>
      <c r="F279" s="1026">
        <v>4919987</v>
      </c>
      <c r="G279" s="879">
        <f t="shared" si="1"/>
        <v>1.1134288302734072</v>
      </c>
    </row>
    <row r="280" spans="1:7">
      <c r="A280" t="s">
        <v>183</v>
      </c>
      <c r="B280" t="s">
        <v>145</v>
      </c>
      <c r="C280" t="s">
        <v>148</v>
      </c>
      <c r="D280" t="s">
        <v>544</v>
      </c>
      <c r="E280" s="784">
        <v>18418813.185185187</v>
      </c>
      <c r="F280" s="1026">
        <v>16914985</v>
      </c>
      <c r="G280" s="879">
        <f t="shared" si="1"/>
        <v>1.0889050853539146</v>
      </c>
    </row>
    <row r="281" spans="1:7">
      <c r="A281" t="s">
        <v>185</v>
      </c>
      <c r="B281" t="s">
        <v>146</v>
      </c>
      <c r="C281" t="s">
        <v>152</v>
      </c>
      <c r="D281" t="s">
        <v>544</v>
      </c>
      <c r="E281" s="784">
        <v>0</v>
      </c>
      <c r="F281" s="1026">
        <v>1439323774</v>
      </c>
      <c r="G281" s="879">
        <f t="shared" si="1"/>
        <v>0</v>
      </c>
    </row>
    <row r="282" spans="1:7">
      <c r="A282" t="s">
        <v>186</v>
      </c>
      <c r="B282" t="s">
        <v>146</v>
      </c>
      <c r="C282" t="s">
        <v>152</v>
      </c>
      <c r="D282" t="s">
        <v>544</v>
      </c>
      <c r="E282" s="784">
        <v>11200000</v>
      </c>
      <c r="F282" s="1026">
        <v>51265841</v>
      </c>
      <c r="G282" s="879">
        <f t="shared" si="1"/>
        <v>0.21846905817852477</v>
      </c>
    </row>
    <row r="283" spans="1:7">
      <c r="A283" t="s">
        <v>187</v>
      </c>
      <c r="B283" t="s">
        <v>145</v>
      </c>
      <c r="C283" t="s">
        <v>150</v>
      </c>
      <c r="D283" t="s">
        <v>541</v>
      </c>
      <c r="E283" s="784">
        <v>13535310</v>
      </c>
      <c r="F283" s="1026">
        <v>888456</v>
      </c>
      <c r="G283" s="879">
        <f t="shared" si="1"/>
        <v>15.234643021151301</v>
      </c>
    </row>
    <row r="284" spans="1:7">
      <c r="A284" t="s">
        <v>188</v>
      </c>
      <c r="B284" t="s">
        <v>145</v>
      </c>
      <c r="C284" t="s">
        <v>148</v>
      </c>
      <c r="D284" t="s">
        <v>544</v>
      </c>
      <c r="E284" s="784">
        <v>87026679</v>
      </c>
      <c r="F284" s="1026">
        <v>92377986</v>
      </c>
      <c r="G284" s="879">
        <f t="shared" si="1"/>
        <v>0.94207162082966389</v>
      </c>
    </row>
    <row r="285" spans="1:7">
      <c r="A285" t="s">
        <v>189</v>
      </c>
      <c r="B285" t="s">
        <v>145</v>
      </c>
      <c r="C285" t="s">
        <v>150</v>
      </c>
      <c r="D285" t="s">
        <v>544</v>
      </c>
      <c r="E285" s="784">
        <v>6617930</v>
      </c>
      <c r="F285" s="1026">
        <v>5657017</v>
      </c>
      <c r="G285" s="879">
        <f t="shared" si="1"/>
        <v>1.1698621375894751</v>
      </c>
    </row>
    <row r="286" spans="1:7">
      <c r="A286" t="s">
        <v>190</v>
      </c>
      <c r="B286" t="s">
        <v>146</v>
      </c>
      <c r="C286" t="s">
        <v>322</v>
      </c>
      <c r="D286" t="s">
        <v>541</v>
      </c>
      <c r="E286" s="784">
        <v>198193</v>
      </c>
      <c r="F286" s="1026">
        <v>17564</v>
      </c>
      <c r="G286" s="879">
        <f t="shared" si="1"/>
        <v>11.284046914142564</v>
      </c>
    </row>
    <row r="287" spans="1:7">
      <c r="A287" t="s">
        <v>191</v>
      </c>
      <c r="B287" t="s">
        <v>146</v>
      </c>
      <c r="C287" t="s">
        <v>152</v>
      </c>
      <c r="D287" t="s">
        <v>544</v>
      </c>
      <c r="E287" s="784">
        <v>550000</v>
      </c>
      <c r="F287" s="1026">
        <v>5139053</v>
      </c>
      <c r="G287" s="879">
        <f t="shared" si="1"/>
        <v>0.10702360921360414</v>
      </c>
    </row>
    <row r="288" spans="1:7">
      <c r="A288" t="s">
        <v>192</v>
      </c>
      <c r="B288" t="s">
        <v>145</v>
      </c>
      <c r="C288" t="s">
        <v>150</v>
      </c>
      <c r="D288" t="s">
        <v>544</v>
      </c>
      <c r="E288" s="784">
        <v>45088259.274074078</v>
      </c>
      <c r="F288" s="1026">
        <v>27053629</v>
      </c>
      <c r="G288" s="879">
        <f t="shared" si="1"/>
        <v>1.6666251789759547</v>
      </c>
    </row>
    <row r="289" spans="1:7">
      <c r="A289" t="s">
        <v>147</v>
      </c>
      <c r="B289" t="s">
        <v>146</v>
      </c>
      <c r="C289" t="s">
        <v>152</v>
      </c>
      <c r="D289" t="s">
        <v>541</v>
      </c>
      <c r="E289" s="784">
        <v>1215090</v>
      </c>
      <c r="F289" s="1026">
        <v>11317498</v>
      </c>
      <c r="G289" s="879">
        <f t="shared" si="1"/>
        <v>0.10736383607048131</v>
      </c>
    </row>
    <row r="290" spans="1:7">
      <c r="A290" t="s">
        <v>194</v>
      </c>
      <c r="B290" t="s">
        <v>145</v>
      </c>
      <c r="C290" t="s">
        <v>150</v>
      </c>
      <c r="D290" t="s">
        <v>544</v>
      </c>
      <c r="E290" s="784">
        <v>2569428.4814814813</v>
      </c>
      <c r="F290" s="1026">
        <v>1002197</v>
      </c>
      <c r="G290" s="879">
        <f t="shared" si="1"/>
        <v>2.5637958220604147</v>
      </c>
    </row>
    <row r="291" spans="1:7">
      <c r="A291" t="s">
        <v>195</v>
      </c>
      <c r="B291" t="s">
        <v>145</v>
      </c>
      <c r="C291" t="s">
        <v>152</v>
      </c>
      <c r="D291" t="s">
        <v>541</v>
      </c>
      <c r="E291" s="784">
        <v>555000.03</v>
      </c>
      <c r="F291" s="1026">
        <v>71625</v>
      </c>
      <c r="G291" s="879">
        <f t="shared" si="1"/>
        <v>7.7486915183246081</v>
      </c>
    </row>
    <row r="292" spans="1:7">
      <c r="A292" t="s">
        <v>196</v>
      </c>
      <c r="B292" t="s">
        <v>146</v>
      </c>
      <c r="C292" t="s">
        <v>152</v>
      </c>
      <c r="D292" t="s">
        <v>541</v>
      </c>
      <c r="E292" s="784">
        <v>801756</v>
      </c>
      <c r="F292" s="1026">
        <v>10953714</v>
      </c>
      <c r="G292" s="879">
        <f t="shared" si="1"/>
        <v>7.3194899921615625E-2</v>
      </c>
    </row>
    <row r="293" spans="1:7">
      <c r="A293" t="s">
        <v>197</v>
      </c>
      <c r="B293" t="s">
        <v>146</v>
      </c>
      <c r="C293" t="s">
        <v>152</v>
      </c>
      <c r="D293" t="s">
        <v>544</v>
      </c>
      <c r="E293" s="784">
        <v>34093947</v>
      </c>
      <c r="F293" s="1026">
        <v>17888474</v>
      </c>
      <c r="G293" s="879">
        <f t="shared" si="1"/>
        <v>1.9059170167337918</v>
      </c>
    </row>
    <row r="294" spans="1:7">
      <c r="A294" t="s">
        <v>198</v>
      </c>
      <c r="B294" t="s">
        <v>145</v>
      </c>
      <c r="C294" t="s">
        <v>150</v>
      </c>
      <c r="D294" t="s">
        <v>544</v>
      </c>
      <c r="E294" s="784">
        <v>18278053.370370373</v>
      </c>
      <c r="F294" s="1026">
        <v>104258327</v>
      </c>
      <c r="G294" s="879">
        <f t="shared" si="1"/>
        <v>0.17531504577442886</v>
      </c>
    </row>
    <row r="295" spans="1:7">
      <c r="A295" t="s">
        <v>199</v>
      </c>
      <c r="B295" t="s">
        <v>145</v>
      </c>
      <c r="C295" t="s">
        <v>150</v>
      </c>
      <c r="D295" t="s">
        <v>544</v>
      </c>
      <c r="E295" s="784">
        <v>50935214</v>
      </c>
      <c r="F295" s="1026">
        <v>6518500</v>
      </c>
      <c r="G295" s="879">
        <f t="shared" si="1"/>
        <v>7.8139470737132779</v>
      </c>
    </row>
    <row r="296" spans="1:7">
      <c r="A296" t="s">
        <v>200</v>
      </c>
      <c r="B296" t="s">
        <v>146</v>
      </c>
      <c r="C296" t="s">
        <v>152</v>
      </c>
      <c r="D296" t="s">
        <v>544</v>
      </c>
      <c r="E296" s="784">
        <v>0</v>
      </c>
      <c r="F296" s="1026">
        <v>1449891</v>
      </c>
      <c r="G296" s="879">
        <f t="shared" si="1"/>
        <v>0</v>
      </c>
    </row>
    <row r="297" spans="1:7">
      <c r="A297" t="s">
        <v>201</v>
      </c>
      <c r="B297" t="s">
        <v>145</v>
      </c>
      <c r="C297" t="s">
        <v>148</v>
      </c>
      <c r="D297" t="s">
        <v>544</v>
      </c>
      <c r="E297" s="784">
        <v>357784.62962962961</v>
      </c>
      <c r="F297" s="1026">
        <v>3601462</v>
      </c>
      <c r="G297" s="879">
        <f t="shared" si="1"/>
        <v>9.9344274527852744E-2</v>
      </c>
    </row>
    <row r="298" spans="1:7">
      <c r="A298" t="s">
        <v>202</v>
      </c>
      <c r="B298" t="s">
        <v>145</v>
      </c>
      <c r="C298" t="s">
        <v>150</v>
      </c>
      <c r="D298" t="s">
        <v>544</v>
      </c>
      <c r="E298" s="784">
        <v>9011997</v>
      </c>
      <c r="F298" s="1026">
        <v>1172369</v>
      </c>
      <c r="G298" s="879">
        <f t="shared" si="1"/>
        <v>7.6869970120329008</v>
      </c>
    </row>
    <row r="299" spans="1:7">
      <c r="A299" t="s">
        <v>203</v>
      </c>
      <c r="B299" t="s">
        <v>145</v>
      </c>
      <c r="C299" t="s">
        <v>148</v>
      </c>
      <c r="D299" t="s">
        <v>544</v>
      </c>
      <c r="E299" s="784">
        <v>204487864.77777779</v>
      </c>
      <c r="F299" s="1026">
        <v>117876226</v>
      </c>
      <c r="G299" s="879">
        <f t="shared" si="1"/>
        <v>1.7347676602555786</v>
      </c>
    </row>
    <row r="300" spans="1:7">
      <c r="A300" t="s">
        <v>204</v>
      </c>
      <c r="B300" t="s">
        <v>145</v>
      </c>
      <c r="C300" t="s">
        <v>152</v>
      </c>
      <c r="D300" t="s">
        <v>541</v>
      </c>
      <c r="E300" s="784">
        <v>4297808</v>
      </c>
      <c r="F300" s="1026">
        <v>902899</v>
      </c>
      <c r="G300" s="879">
        <f t="shared" si="1"/>
        <v>4.7600097020818497</v>
      </c>
    </row>
    <row r="301" spans="1:7">
      <c r="A301" t="s">
        <v>205</v>
      </c>
      <c r="B301" t="s">
        <v>146</v>
      </c>
      <c r="C301" t="s">
        <v>152</v>
      </c>
      <c r="D301" t="s">
        <v>544</v>
      </c>
      <c r="E301" s="784">
        <v>3200000</v>
      </c>
      <c r="F301" s="1026">
        <v>2278829</v>
      </c>
      <c r="G301" s="879">
        <f t="shared" si="1"/>
        <v>1.4042299795201834</v>
      </c>
    </row>
    <row r="302" spans="1:7">
      <c r="A302" t="s">
        <v>206</v>
      </c>
      <c r="B302" t="s">
        <v>145</v>
      </c>
      <c r="C302" t="s">
        <v>148</v>
      </c>
      <c r="D302" t="s">
        <v>544</v>
      </c>
      <c r="E302" s="784">
        <v>4502636</v>
      </c>
      <c r="F302" s="1026">
        <v>2486937</v>
      </c>
      <c r="G302" s="879">
        <f t="shared" si="1"/>
        <v>1.8105147014178486</v>
      </c>
    </row>
    <row r="303" spans="1:7">
      <c r="A303" t="s">
        <v>207</v>
      </c>
      <c r="B303" t="s">
        <v>146</v>
      </c>
      <c r="C303" t="s">
        <v>152</v>
      </c>
      <c r="D303" t="s">
        <v>544</v>
      </c>
      <c r="E303" s="784">
        <v>5700000</v>
      </c>
      <c r="F303" s="1026">
        <v>3979773</v>
      </c>
      <c r="G303" s="879">
        <f t="shared" si="1"/>
        <v>1.4322424922225463</v>
      </c>
    </row>
    <row r="304" spans="1:7">
      <c r="A304" t="s">
        <v>208</v>
      </c>
      <c r="B304" t="s">
        <v>145</v>
      </c>
      <c r="C304" t="s">
        <v>150</v>
      </c>
      <c r="D304" t="s">
        <v>544</v>
      </c>
      <c r="E304" s="784">
        <v>16143013</v>
      </c>
      <c r="F304" s="1026">
        <v>31732128</v>
      </c>
      <c r="G304" s="879">
        <f t="shared" si="1"/>
        <v>0.50872771596030375</v>
      </c>
    </row>
    <row r="305" spans="1:7">
      <c r="A305" t="s">
        <v>209</v>
      </c>
      <c r="B305" t="s">
        <v>145</v>
      </c>
      <c r="C305" t="s">
        <v>152</v>
      </c>
      <c r="D305" t="s">
        <v>541</v>
      </c>
      <c r="E305" s="784">
        <v>555000</v>
      </c>
      <c r="F305" s="1026">
        <v>113015</v>
      </c>
      <c r="G305" s="879">
        <f t="shared" si="1"/>
        <v>4.9108525416980049</v>
      </c>
    </row>
    <row r="306" spans="1:7">
      <c r="A306" t="s">
        <v>210</v>
      </c>
      <c r="B306" t="s">
        <v>146</v>
      </c>
      <c r="C306" t="s">
        <v>152</v>
      </c>
      <c r="D306" t="s">
        <v>544</v>
      </c>
      <c r="E306" s="784">
        <v>6783889</v>
      </c>
      <c r="F306" s="1026">
        <v>18249868</v>
      </c>
      <c r="G306" s="879">
        <f t="shared" si="1"/>
        <v>0.37172263382946114</v>
      </c>
    </row>
    <row r="307" spans="1:7">
      <c r="A307" t="s">
        <v>211</v>
      </c>
      <c r="B307" t="s">
        <v>145</v>
      </c>
      <c r="C307" t="s">
        <v>148</v>
      </c>
      <c r="D307" t="s">
        <v>544</v>
      </c>
      <c r="E307" s="784">
        <v>20450627</v>
      </c>
      <c r="F307" s="1026">
        <v>13497237</v>
      </c>
      <c r="G307" s="879">
        <f t="shared" si="1"/>
        <v>1.5151713643318259</v>
      </c>
    </row>
    <row r="308" spans="1:7">
      <c r="A308" t="s">
        <v>212</v>
      </c>
      <c r="B308" t="s">
        <v>145</v>
      </c>
      <c r="C308" t="s">
        <v>148</v>
      </c>
      <c r="D308" t="s">
        <v>541</v>
      </c>
      <c r="E308" s="784">
        <v>4236379.1851851847</v>
      </c>
      <c r="F308" s="1026">
        <v>2015490</v>
      </c>
      <c r="G308" s="879">
        <f t="shared" si="1"/>
        <v>2.1019102973396966</v>
      </c>
    </row>
    <row r="309" spans="1:7">
      <c r="A309" t="s">
        <v>213</v>
      </c>
      <c r="B309" t="s">
        <v>145</v>
      </c>
      <c r="C309" t="s">
        <v>152</v>
      </c>
      <c r="D309" t="s">
        <v>541</v>
      </c>
      <c r="E309" s="784">
        <v>2158349</v>
      </c>
      <c r="F309" s="1026">
        <v>790329</v>
      </c>
      <c r="G309" s="879">
        <f t="shared" si="1"/>
        <v>2.7309500220794125</v>
      </c>
    </row>
    <row r="310" spans="1:7">
      <c r="A310" t="s">
        <v>214</v>
      </c>
      <c r="B310" t="s">
        <v>145</v>
      </c>
      <c r="C310" t="s">
        <v>150</v>
      </c>
      <c r="D310" t="s">
        <v>541</v>
      </c>
      <c r="E310" s="784">
        <v>15503083.175555557</v>
      </c>
      <c r="F310" s="1026">
        <v>11541683</v>
      </c>
      <c r="G310" s="879">
        <f t="shared" si="1"/>
        <v>1.3432255222705005</v>
      </c>
    </row>
    <row r="311" spans="1:7">
      <c r="A311" t="s">
        <v>215</v>
      </c>
      <c r="B311" t="s">
        <v>145</v>
      </c>
      <c r="C311" t="s">
        <v>150</v>
      </c>
      <c r="D311" t="s">
        <v>544</v>
      </c>
      <c r="E311" s="784">
        <v>36562719.839259252</v>
      </c>
      <c r="F311" s="1026">
        <v>10062994</v>
      </c>
      <c r="G311" s="879">
        <f t="shared" si="1"/>
        <v>3.6333838457281451</v>
      </c>
    </row>
    <row r="312" spans="1:7">
      <c r="A312" t="s">
        <v>216</v>
      </c>
      <c r="B312" t="s">
        <v>145</v>
      </c>
      <c r="C312" t="s">
        <v>150</v>
      </c>
      <c r="D312" t="s">
        <v>544</v>
      </c>
      <c r="E312" s="784">
        <v>122443828.18518519</v>
      </c>
      <c r="F312" s="1026">
        <v>1393409033</v>
      </c>
      <c r="G312" s="879">
        <f t="shared" si="1"/>
        <v>8.7873571424726932E-2</v>
      </c>
    </row>
    <row r="313" spans="1:7">
      <c r="A313" t="s">
        <v>217</v>
      </c>
      <c r="B313" t="s">
        <v>145</v>
      </c>
      <c r="C313" t="s">
        <v>150</v>
      </c>
      <c r="D313" t="s">
        <v>544</v>
      </c>
      <c r="E313" s="784">
        <v>290360563</v>
      </c>
      <c r="F313" s="1026">
        <v>276361788</v>
      </c>
      <c r="G313" s="879">
        <f t="shared" si="1"/>
        <v>1.0506538009516713</v>
      </c>
    </row>
    <row r="314" spans="1:7">
      <c r="A314" t="s">
        <v>149</v>
      </c>
      <c r="B314" t="s">
        <v>146</v>
      </c>
      <c r="C314" t="s">
        <v>150</v>
      </c>
      <c r="D314" t="s">
        <v>544</v>
      </c>
      <c r="E314" s="784">
        <v>2428858</v>
      </c>
      <c r="F314" s="1026">
        <v>85028760</v>
      </c>
      <c r="G314" s="879">
        <f t="shared" si="1"/>
        <v>2.8565134902590605E-2</v>
      </c>
    </row>
    <row r="315" spans="1:7">
      <c r="A315" t="s">
        <v>218</v>
      </c>
      <c r="B315" t="s">
        <v>146</v>
      </c>
      <c r="C315" t="s">
        <v>152</v>
      </c>
      <c r="D315" t="s">
        <v>544</v>
      </c>
      <c r="E315" s="784">
        <v>32334102</v>
      </c>
      <c r="F315" s="1026">
        <v>41179351</v>
      </c>
      <c r="G315" s="879">
        <f t="shared" si="1"/>
        <v>0.78520183574529867</v>
      </c>
    </row>
    <row r="316" spans="1:7">
      <c r="A316" t="s">
        <v>219</v>
      </c>
      <c r="B316" t="s">
        <v>146</v>
      </c>
      <c r="C316" t="s">
        <v>152</v>
      </c>
      <c r="D316" t="s">
        <v>541</v>
      </c>
      <c r="E316" s="784">
        <v>4579630</v>
      </c>
      <c r="F316" s="1026">
        <v>2973462</v>
      </c>
      <c r="G316" s="879">
        <f t="shared" si="1"/>
        <v>1.5401676564220428</v>
      </c>
    </row>
    <row r="317" spans="1:7">
      <c r="A317" t="s">
        <v>220</v>
      </c>
      <c r="B317" t="s">
        <v>146</v>
      </c>
      <c r="C317" t="s">
        <v>152</v>
      </c>
      <c r="D317" t="s">
        <v>544</v>
      </c>
      <c r="E317" s="784">
        <v>5702526</v>
      </c>
      <c r="F317" s="1026">
        <v>10269022</v>
      </c>
      <c r="G317" s="879">
        <f t="shared" si="1"/>
        <v>0.55531344659695925</v>
      </c>
    </row>
    <row r="318" spans="1:7">
      <c r="A318" t="s">
        <v>221</v>
      </c>
      <c r="B318" t="s">
        <v>146</v>
      </c>
      <c r="C318" t="s">
        <v>152</v>
      </c>
      <c r="D318" t="s">
        <v>544</v>
      </c>
      <c r="E318" s="784">
        <v>2500000</v>
      </c>
      <c r="F318" s="1026">
        <v>18994958</v>
      </c>
      <c r="G318" s="879">
        <f t="shared" si="1"/>
        <v>0.13161387353422946</v>
      </c>
    </row>
    <row r="319" spans="1:7">
      <c r="A319" t="s">
        <v>222</v>
      </c>
      <c r="B319" t="s">
        <v>145</v>
      </c>
      <c r="C319" t="s">
        <v>150</v>
      </c>
      <c r="D319" t="s">
        <v>544</v>
      </c>
      <c r="E319" s="784">
        <v>36467168</v>
      </c>
      <c r="F319" s="1026">
        <v>54985702</v>
      </c>
      <c r="G319" s="879">
        <f t="shared" si="1"/>
        <v>0.66321182914060095</v>
      </c>
    </row>
    <row r="320" spans="1:7">
      <c r="A320" t="s">
        <v>223</v>
      </c>
      <c r="B320" t="s">
        <v>145</v>
      </c>
      <c r="C320" t="s">
        <v>150</v>
      </c>
      <c r="D320" t="s">
        <v>541</v>
      </c>
      <c r="E320" s="784">
        <v>6298691</v>
      </c>
      <c r="F320" s="1026">
        <v>121388</v>
      </c>
      <c r="G320" s="879">
        <f t="shared" si="1"/>
        <v>51.888909941674633</v>
      </c>
    </row>
    <row r="321" spans="1:7">
      <c r="A321" t="s">
        <v>224</v>
      </c>
      <c r="B321" t="s">
        <v>145</v>
      </c>
      <c r="C321" t="s">
        <v>148</v>
      </c>
      <c r="D321" t="s">
        <v>544</v>
      </c>
      <c r="E321" s="784">
        <v>0</v>
      </c>
      <c r="F321" s="1026">
        <v>25887045</v>
      </c>
      <c r="G321" s="879">
        <f t="shared" si="1"/>
        <v>0</v>
      </c>
    </row>
    <row r="322" spans="1:7">
      <c r="A322" t="s">
        <v>225</v>
      </c>
      <c r="B322" t="s">
        <v>145</v>
      </c>
      <c r="C322" t="s">
        <v>152</v>
      </c>
      <c r="D322" t="s">
        <v>544</v>
      </c>
      <c r="E322" s="784">
        <v>5768036</v>
      </c>
      <c r="F322" s="1026">
        <v>1794000</v>
      </c>
      <c r="G322" s="879">
        <f t="shared" ref="G322:G385" si="2">IFERROR(E322/F322,"")</f>
        <v>3.2151817168338908</v>
      </c>
    </row>
    <row r="323" spans="1:7">
      <c r="A323" t="s">
        <v>226</v>
      </c>
      <c r="B323" t="s">
        <v>145</v>
      </c>
      <c r="C323" t="s">
        <v>150</v>
      </c>
      <c r="D323" t="s">
        <v>544</v>
      </c>
      <c r="E323" s="784">
        <v>8928778</v>
      </c>
      <c r="F323" s="1026">
        <v>6628347</v>
      </c>
      <c r="G323" s="879">
        <f t="shared" si="2"/>
        <v>1.3470595308302356</v>
      </c>
    </row>
    <row r="324" spans="1:7">
      <c r="A324" t="s">
        <v>227</v>
      </c>
      <c r="B324" t="s">
        <v>145</v>
      </c>
      <c r="C324" t="s">
        <v>150</v>
      </c>
      <c r="D324" t="s">
        <v>544</v>
      </c>
      <c r="E324" s="784">
        <v>15016857.333333332</v>
      </c>
      <c r="F324" s="1026">
        <v>7379358</v>
      </c>
      <c r="G324" s="879">
        <f t="shared" si="2"/>
        <v>2.0349815435615581</v>
      </c>
    </row>
    <row r="325" spans="1:7">
      <c r="A325" t="s">
        <v>228</v>
      </c>
      <c r="B325" t="s">
        <v>146</v>
      </c>
      <c r="C325" t="s">
        <v>152</v>
      </c>
      <c r="D325" t="s">
        <v>544</v>
      </c>
      <c r="E325" s="784">
        <v>21094128</v>
      </c>
      <c r="F325" s="1026">
        <v>6769151</v>
      </c>
      <c r="G325" s="879">
        <f t="shared" si="2"/>
        <v>3.1162147217575735</v>
      </c>
    </row>
    <row r="326" spans="1:7">
      <c r="A326" t="s">
        <v>229</v>
      </c>
      <c r="B326" t="s">
        <v>145</v>
      </c>
      <c r="C326" t="s">
        <v>150</v>
      </c>
      <c r="D326" t="s">
        <v>544</v>
      </c>
      <c r="E326" s="784">
        <v>10107021</v>
      </c>
      <c r="F326" s="1026">
        <v>2159067</v>
      </c>
      <c r="G326" s="879">
        <f t="shared" si="2"/>
        <v>4.6811984065339338</v>
      </c>
    </row>
    <row r="327" spans="1:7">
      <c r="A327" t="s">
        <v>230</v>
      </c>
      <c r="B327" t="s">
        <v>145</v>
      </c>
      <c r="C327" t="s">
        <v>148</v>
      </c>
      <c r="D327" t="s">
        <v>544</v>
      </c>
      <c r="E327" s="784">
        <v>6719653.4522222225</v>
      </c>
      <c r="F327" s="1026">
        <v>5180208</v>
      </c>
      <c r="G327" s="879">
        <f t="shared" si="2"/>
        <v>1.2971783087131294</v>
      </c>
    </row>
    <row r="328" spans="1:7">
      <c r="A328" t="s">
        <v>231</v>
      </c>
      <c r="B328" t="s">
        <v>146</v>
      </c>
      <c r="C328" t="s">
        <v>152</v>
      </c>
      <c r="D328" t="s">
        <v>544</v>
      </c>
      <c r="E328" s="784">
        <v>5339573</v>
      </c>
      <c r="F328" s="1026">
        <v>6958538</v>
      </c>
      <c r="G328" s="879">
        <f t="shared" si="2"/>
        <v>0.76734121449074499</v>
      </c>
    </row>
    <row r="329" spans="1:7">
      <c r="A329" t="s">
        <v>232</v>
      </c>
      <c r="B329" t="s">
        <v>145</v>
      </c>
      <c r="C329" t="s">
        <v>148</v>
      </c>
      <c r="D329" t="s">
        <v>544</v>
      </c>
      <c r="E329" s="784">
        <v>70293217.799999997</v>
      </c>
      <c r="F329" s="1026">
        <v>28427333</v>
      </c>
      <c r="G329" s="879">
        <f t="shared" si="2"/>
        <v>2.4727334709872362</v>
      </c>
    </row>
    <row r="330" spans="1:7">
      <c r="A330" t="s">
        <v>233</v>
      </c>
      <c r="B330" t="s">
        <v>145</v>
      </c>
      <c r="C330" t="s">
        <v>148</v>
      </c>
      <c r="D330" t="s">
        <v>544</v>
      </c>
      <c r="E330" s="784">
        <v>9876177</v>
      </c>
      <c r="F330" s="1026">
        <v>19647681</v>
      </c>
      <c r="G330" s="879">
        <f t="shared" si="2"/>
        <v>0.50266374947761006</v>
      </c>
    </row>
    <row r="331" spans="1:7">
      <c r="A331" t="s">
        <v>234</v>
      </c>
      <c r="B331" t="s">
        <v>146</v>
      </c>
      <c r="C331" t="s">
        <v>152</v>
      </c>
      <c r="D331" t="s">
        <v>544</v>
      </c>
      <c r="E331" s="784">
        <v>12750808</v>
      </c>
      <c r="F331" s="1026">
        <v>32776195</v>
      </c>
      <c r="G331" s="879">
        <f t="shared" si="2"/>
        <v>0.38902648705867171</v>
      </c>
    </row>
    <row r="332" spans="1:7">
      <c r="A332" t="s">
        <v>235</v>
      </c>
      <c r="B332" t="s">
        <v>145</v>
      </c>
      <c r="C332" t="s">
        <v>152</v>
      </c>
      <c r="D332" t="s">
        <v>541</v>
      </c>
      <c r="E332" s="784">
        <v>3159297.333333333</v>
      </c>
      <c r="F332" s="1026">
        <v>543620</v>
      </c>
      <c r="G332" s="879">
        <f t="shared" si="2"/>
        <v>5.8115914302883134</v>
      </c>
    </row>
    <row r="333" spans="1:7">
      <c r="A333" t="s">
        <v>236</v>
      </c>
      <c r="B333" t="s">
        <v>145</v>
      </c>
      <c r="C333" t="s">
        <v>148</v>
      </c>
      <c r="D333" t="s">
        <v>544</v>
      </c>
      <c r="E333" s="784">
        <v>21508203</v>
      </c>
      <c r="F333" s="1026">
        <v>20855724</v>
      </c>
      <c r="G333" s="879">
        <f t="shared" si="2"/>
        <v>1.0312853679881839</v>
      </c>
    </row>
    <row r="334" spans="1:7">
      <c r="A334" t="s">
        <v>237</v>
      </c>
      <c r="B334" t="s">
        <v>145</v>
      </c>
      <c r="C334" t="s">
        <v>152</v>
      </c>
      <c r="D334" t="s">
        <v>541</v>
      </c>
      <c r="E334" s="784">
        <v>129000</v>
      </c>
      <c r="F334" s="1026">
        <v>58413</v>
      </c>
      <c r="G334" s="879">
        <f t="shared" si="2"/>
        <v>2.2084125109136665</v>
      </c>
    </row>
    <row r="335" spans="1:7">
      <c r="A335" t="s">
        <v>238</v>
      </c>
      <c r="B335" t="s">
        <v>145</v>
      </c>
      <c r="C335" t="s">
        <v>150</v>
      </c>
      <c r="D335" t="s">
        <v>544</v>
      </c>
      <c r="E335" s="784">
        <v>20288495.52</v>
      </c>
      <c r="F335" s="1026">
        <v>4775110</v>
      </c>
      <c r="G335" s="879">
        <f t="shared" si="2"/>
        <v>4.2488017071858026</v>
      </c>
    </row>
    <row r="336" spans="1:7">
      <c r="A336" t="s">
        <v>239</v>
      </c>
      <c r="B336" t="s">
        <v>146</v>
      </c>
      <c r="C336" t="s">
        <v>152</v>
      </c>
      <c r="D336" t="s">
        <v>541</v>
      </c>
      <c r="E336" s="784">
        <v>250000</v>
      </c>
      <c r="F336" s="1026">
        <v>1273428</v>
      </c>
      <c r="G336" s="879">
        <f t="shared" si="2"/>
        <v>0.1963204829797994</v>
      </c>
    </row>
    <row r="337" spans="1:7">
      <c r="A337" t="s">
        <v>240</v>
      </c>
      <c r="B337" t="s">
        <v>146</v>
      </c>
      <c r="C337" t="s">
        <v>152</v>
      </c>
      <c r="D337" t="s">
        <v>544</v>
      </c>
      <c r="E337" s="784">
        <v>0</v>
      </c>
      <c r="F337" s="1026">
        <v>130262220</v>
      </c>
      <c r="G337" s="879">
        <f t="shared" si="2"/>
        <v>0</v>
      </c>
    </row>
    <row r="338" spans="1:7">
      <c r="A338" t="s">
        <v>241</v>
      </c>
      <c r="B338" t="s">
        <v>145</v>
      </c>
      <c r="C338" t="s">
        <v>150</v>
      </c>
      <c r="D338" t="s">
        <v>541</v>
      </c>
      <c r="E338" s="784">
        <v>2349534</v>
      </c>
      <c r="F338" s="1026">
        <v>116255</v>
      </c>
      <c r="G338" s="879">
        <f t="shared" si="2"/>
        <v>20.210175906412626</v>
      </c>
    </row>
    <row r="339" spans="1:7">
      <c r="A339" t="s">
        <v>242</v>
      </c>
      <c r="B339" t="s">
        <v>145</v>
      </c>
      <c r="C339" t="s">
        <v>152</v>
      </c>
      <c r="D339" t="s">
        <v>544</v>
      </c>
      <c r="E339" s="784">
        <v>13333693.149999999</v>
      </c>
      <c r="F339" s="1026">
        <v>4024025</v>
      </c>
      <c r="G339" s="879">
        <f t="shared" si="2"/>
        <v>3.3135214492951706</v>
      </c>
    </row>
    <row r="340" spans="1:7">
      <c r="A340" t="s">
        <v>243</v>
      </c>
      <c r="B340" t="s">
        <v>145</v>
      </c>
      <c r="C340" t="s">
        <v>150</v>
      </c>
      <c r="D340" t="s">
        <v>544</v>
      </c>
      <c r="E340" s="784">
        <v>37890178</v>
      </c>
      <c r="F340" s="1026">
        <v>3329282</v>
      </c>
      <c r="G340" s="879">
        <f t="shared" si="2"/>
        <v>11.380885728514436</v>
      </c>
    </row>
    <row r="341" spans="1:7">
      <c r="A341" t="s">
        <v>244</v>
      </c>
      <c r="B341" t="s">
        <v>146</v>
      </c>
      <c r="C341" t="s">
        <v>152</v>
      </c>
      <c r="D341" t="s">
        <v>544</v>
      </c>
      <c r="E341" s="784">
        <v>900000</v>
      </c>
      <c r="F341" s="1026">
        <v>628051</v>
      </c>
      <c r="G341" s="879">
        <f t="shared" si="2"/>
        <v>1.4330046445272757</v>
      </c>
    </row>
    <row r="342" spans="1:7">
      <c r="A342" t="s">
        <v>245</v>
      </c>
      <c r="B342" t="s">
        <v>145</v>
      </c>
      <c r="C342" t="s">
        <v>150</v>
      </c>
      <c r="D342" t="s">
        <v>544</v>
      </c>
      <c r="E342" s="784">
        <v>4186000</v>
      </c>
      <c r="F342" s="1026">
        <v>37344787</v>
      </c>
      <c r="G342" s="879">
        <f t="shared" si="2"/>
        <v>0.11209061120096896</v>
      </c>
    </row>
    <row r="343" spans="1:7">
      <c r="A343" t="s">
        <v>246</v>
      </c>
      <c r="B343" t="s">
        <v>145</v>
      </c>
      <c r="C343" t="s">
        <v>148</v>
      </c>
      <c r="D343" t="s">
        <v>544</v>
      </c>
      <c r="E343" s="784">
        <v>38021874.022962958</v>
      </c>
      <c r="F343" s="1026">
        <v>32163045</v>
      </c>
      <c r="G343" s="879">
        <f t="shared" si="2"/>
        <v>1.1821602719196196</v>
      </c>
    </row>
    <row r="344" spans="1:7">
      <c r="A344" t="s">
        <v>247</v>
      </c>
      <c r="B344" t="s">
        <v>145</v>
      </c>
      <c r="C344" t="s">
        <v>150</v>
      </c>
      <c r="D344" t="s">
        <v>544</v>
      </c>
      <c r="E344" s="784">
        <v>9951357</v>
      </c>
      <c r="F344" s="1026">
        <v>54806014</v>
      </c>
      <c r="G344" s="879">
        <f t="shared" si="2"/>
        <v>0.18157417906728265</v>
      </c>
    </row>
    <row r="345" spans="1:7">
      <c r="A345" t="s">
        <v>248</v>
      </c>
      <c r="B345" t="s">
        <v>146</v>
      </c>
      <c r="C345" t="s">
        <v>152</v>
      </c>
      <c r="D345" t="s">
        <v>544</v>
      </c>
      <c r="E345" s="784">
        <v>4642000</v>
      </c>
      <c r="F345" s="1026">
        <v>2587344</v>
      </c>
      <c r="G345" s="879">
        <f t="shared" si="2"/>
        <v>1.7941178289396384</v>
      </c>
    </row>
    <row r="346" spans="1:7">
      <c r="A346" t="s">
        <v>250</v>
      </c>
      <c r="B346" t="s">
        <v>145</v>
      </c>
      <c r="C346" t="s">
        <v>150</v>
      </c>
      <c r="D346" t="s">
        <v>544</v>
      </c>
      <c r="E346" s="784">
        <v>23056111.185185187</v>
      </c>
      <c r="F346" s="1026">
        <v>29674920</v>
      </c>
      <c r="G346" s="879">
        <f t="shared" si="2"/>
        <v>0.77695613619801462</v>
      </c>
    </row>
    <row r="347" spans="1:7">
      <c r="A347" t="s">
        <v>251</v>
      </c>
      <c r="B347" t="s">
        <v>145</v>
      </c>
      <c r="C347" t="s">
        <v>150</v>
      </c>
      <c r="D347" t="s">
        <v>544</v>
      </c>
      <c r="E347" s="784">
        <v>5450593.2999999998</v>
      </c>
      <c r="F347" s="1026">
        <v>6702379</v>
      </c>
      <c r="G347" s="879">
        <f t="shared" si="2"/>
        <v>0.81323262978712485</v>
      </c>
    </row>
    <row r="348" spans="1:7">
      <c r="A348" t="s">
        <v>252</v>
      </c>
      <c r="B348" t="s">
        <v>145</v>
      </c>
      <c r="C348" t="s">
        <v>148</v>
      </c>
      <c r="D348" t="s">
        <v>544</v>
      </c>
      <c r="E348" s="784">
        <v>21617971.449999999</v>
      </c>
      <c r="F348" s="1026">
        <v>25130810</v>
      </c>
      <c r="G348" s="879">
        <f t="shared" si="2"/>
        <v>0.86021785410020601</v>
      </c>
    </row>
    <row r="349" spans="1:7">
      <c r="A349" t="s">
        <v>253</v>
      </c>
      <c r="B349" t="s">
        <v>145</v>
      </c>
      <c r="C349" t="s">
        <v>150</v>
      </c>
      <c r="D349" t="s">
        <v>544</v>
      </c>
      <c r="E349" s="784">
        <v>107787093.3</v>
      </c>
      <c r="F349" s="1026">
        <v>211400704</v>
      </c>
      <c r="G349" s="879">
        <f t="shared" si="2"/>
        <v>0.50987102341910839</v>
      </c>
    </row>
    <row r="350" spans="1:7">
      <c r="A350" t="s">
        <v>254</v>
      </c>
      <c r="B350" t="s">
        <v>146</v>
      </c>
      <c r="C350" t="s">
        <v>152</v>
      </c>
      <c r="D350" t="s">
        <v>544</v>
      </c>
      <c r="E350" s="784">
        <v>1600000</v>
      </c>
      <c r="F350" s="1026">
        <v>2082662</v>
      </c>
      <c r="G350" s="879">
        <f t="shared" si="2"/>
        <v>0.7682475600937646</v>
      </c>
    </row>
    <row r="351" spans="1:7">
      <c r="A351" t="s">
        <v>255</v>
      </c>
      <c r="B351" t="s">
        <v>145</v>
      </c>
      <c r="C351" t="s">
        <v>150</v>
      </c>
      <c r="D351" t="s">
        <v>544</v>
      </c>
      <c r="E351" s="784">
        <v>31818535</v>
      </c>
      <c r="F351" s="1026">
        <v>225199929</v>
      </c>
      <c r="G351" s="879">
        <f t="shared" si="2"/>
        <v>0.14129016443872858</v>
      </c>
    </row>
    <row r="352" spans="1:7">
      <c r="A352" t="s">
        <v>257</v>
      </c>
      <c r="B352" t="s">
        <v>146</v>
      </c>
      <c r="C352" t="s">
        <v>152</v>
      </c>
      <c r="D352" t="s">
        <v>544</v>
      </c>
      <c r="E352" s="784">
        <v>1900000</v>
      </c>
      <c r="F352" s="1026">
        <v>4381583</v>
      </c>
      <c r="G352" s="879">
        <f t="shared" si="2"/>
        <v>0.43363323255544856</v>
      </c>
    </row>
    <row r="353" spans="1:7">
      <c r="A353" t="s">
        <v>258</v>
      </c>
      <c r="B353" t="s">
        <v>145</v>
      </c>
      <c r="C353" t="s">
        <v>150</v>
      </c>
      <c r="D353" t="s">
        <v>541</v>
      </c>
      <c r="E353" s="784">
        <v>33311713</v>
      </c>
      <c r="F353" s="1026">
        <v>9119005</v>
      </c>
      <c r="G353" s="879">
        <f t="shared" si="2"/>
        <v>3.652998655006769</v>
      </c>
    </row>
    <row r="354" spans="1:7">
      <c r="A354" t="s">
        <v>259</v>
      </c>
      <c r="B354" t="s">
        <v>146</v>
      </c>
      <c r="C354" t="s">
        <v>152</v>
      </c>
      <c r="D354" t="s">
        <v>544</v>
      </c>
      <c r="E354" s="784">
        <v>4613888</v>
      </c>
      <c r="F354" s="1026">
        <v>7219641</v>
      </c>
      <c r="G354" s="879">
        <f t="shared" si="2"/>
        <v>0.63907443597264735</v>
      </c>
    </row>
    <row r="355" spans="1:7">
      <c r="A355" t="s">
        <v>260</v>
      </c>
      <c r="B355" t="s">
        <v>146</v>
      </c>
      <c r="C355" t="s">
        <v>152</v>
      </c>
      <c r="D355" t="s">
        <v>544</v>
      </c>
      <c r="E355" s="784">
        <v>507941630</v>
      </c>
      <c r="F355" s="1026">
        <v>33359416</v>
      </c>
      <c r="G355" s="879">
        <f t="shared" si="2"/>
        <v>15.226334597703989</v>
      </c>
    </row>
    <row r="356" spans="1:7">
      <c r="A356" t="s">
        <v>261</v>
      </c>
      <c r="B356" t="s">
        <v>145</v>
      </c>
      <c r="C356" t="s">
        <v>150</v>
      </c>
      <c r="D356" t="s">
        <v>544</v>
      </c>
      <c r="E356" s="784">
        <v>49808705.700000003</v>
      </c>
      <c r="F356" s="1026">
        <v>111046910</v>
      </c>
      <c r="G356" s="879">
        <f t="shared" si="2"/>
        <v>0.44853752076487319</v>
      </c>
    </row>
    <row r="357" spans="1:7">
      <c r="A357" t="s">
        <v>151</v>
      </c>
      <c r="B357" t="s">
        <v>146</v>
      </c>
      <c r="C357" t="s">
        <v>152</v>
      </c>
      <c r="D357" t="s">
        <v>544</v>
      </c>
      <c r="E357" s="784">
        <v>2450000</v>
      </c>
      <c r="F357" s="1026">
        <v>19237682</v>
      </c>
      <c r="G357" s="879">
        <f t="shared" si="2"/>
        <v>0.12735422074239505</v>
      </c>
    </row>
    <row r="358" spans="1:7">
      <c r="A358" t="s">
        <v>263</v>
      </c>
      <c r="B358" t="s">
        <v>146</v>
      </c>
      <c r="C358" t="s">
        <v>152</v>
      </c>
      <c r="D358" t="s">
        <v>544</v>
      </c>
      <c r="E358" s="784">
        <v>0</v>
      </c>
      <c r="F358" s="1026">
        <v>145934460</v>
      </c>
      <c r="G358" s="879">
        <f t="shared" si="2"/>
        <v>0</v>
      </c>
    </row>
    <row r="359" spans="1:7">
      <c r="A359" t="s">
        <v>264</v>
      </c>
      <c r="B359" t="s">
        <v>145</v>
      </c>
      <c r="C359" t="s">
        <v>148</v>
      </c>
      <c r="D359" t="s">
        <v>544</v>
      </c>
      <c r="E359" s="784">
        <v>11400002.888888888</v>
      </c>
      <c r="F359" s="1026">
        <v>13276517</v>
      </c>
      <c r="G359" s="879">
        <f t="shared" si="2"/>
        <v>0.85865915653095526</v>
      </c>
    </row>
    <row r="360" spans="1:7">
      <c r="A360" t="s">
        <v>265</v>
      </c>
      <c r="B360" t="s">
        <v>145</v>
      </c>
      <c r="C360" t="s">
        <v>150</v>
      </c>
      <c r="D360" t="s">
        <v>541</v>
      </c>
      <c r="E360" s="784">
        <v>3386695</v>
      </c>
      <c r="F360" s="1026">
        <v>200144</v>
      </c>
      <c r="G360" s="879">
        <f t="shared" si="2"/>
        <v>16.921291669997601</v>
      </c>
    </row>
    <row r="361" spans="1:7">
      <c r="A361" t="s">
        <v>266</v>
      </c>
      <c r="B361" t="s">
        <v>145</v>
      </c>
      <c r="C361" t="s">
        <v>150</v>
      </c>
      <c r="D361" t="s">
        <v>541</v>
      </c>
      <c r="E361" s="784">
        <v>3478352</v>
      </c>
      <c r="F361" s="1026">
        <v>223364</v>
      </c>
      <c r="G361" s="879">
        <f t="shared" si="2"/>
        <v>15.572572124424706</v>
      </c>
    </row>
    <row r="362" spans="1:7">
      <c r="A362" t="s">
        <v>267</v>
      </c>
      <c r="B362" t="s">
        <v>145</v>
      </c>
      <c r="C362" t="s">
        <v>150</v>
      </c>
      <c r="D362" t="s">
        <v>544</v>
      </c>
      <c r="E362" s="784">
        <v>61976024.296296299</v>
      </c>
      <c r="F362" s="1026">
        <v>17196308</v>
      </c>
      <c r="G362" s="879">
        <f t="shared" si="2"/>
        <v>3.6040308359385222</v>
      </c>
    </row>
    <row r="363" spans="1:7">
      <c r="A363" t="s">
        <v>153</v>
      </c>
      <c r="B363" t="s">
        <v>146</v>
      </c>
      <c r="C363" t="s">
        <v>152</v>
      </c>
      <c r="D363" t="s">
        <v>544</v>
      </c>
      <c r="E363" s="784">
        <v>2600000</v>
      </c>
      <c r="F363" s="1026">
        <v>8697547</v>
      </c>
      <c r="G363" s="879">
        <f t="shared" si="2"/>
        <v>0.29893486059920116</v>
      </c>
    </row>
    <row r="364" spans="1:7">
      <c r="A364" t="s">
        <v>269</v>
      </c>
      <c r="B364" t="s">
        <v>145</v>
      </c>
      <c r="C364" t="s">
        <v>148</v>
      </c>
      <c r="D364" t="s">
        <v>544</v>
      </c>
      <c r="E364" s="784">
        <v>16610857.560000001</v>
      </c>
      <c r="F364" s="1026">
        <v>8141343</v>
      </c>
      <c r="G364" s="879">
        <f t="shared" si="2"/>
        <v>2.0403092659282382</v>
      </c>
    </row>
    <row r="365" spans="1:7">
      <c r="A365" t="s">
        <v>270</v>
      </c>
      <c r="B365" t="s">
        <v>145</v>
      </c>
      <c r="C365" t="s">
        <v>150</v>
      </c>
      <c r="D365" t="s">
        <v>541</v>
      </c>
      <c r="E365" s="784">
        <v>3743361</v>
      </c>
      <c r="F365" s="1026">
        <v>703995</v>
      </c>
      <c r="G365" s="879">
        <f t="shared" si="2"/>
        <v>5.3173119127266526</v>
      </c>
    </row>
    <row r="366" spans="1:7">
      <c r="A366" t="s">
        <v>271</v>
      </c>
      <c r="B366" t="s">
        <v>145</v>
      </c>
      <c r="C366" t="s">
        <v>148</v>
      </c>
      <c r="D366" t="s">
        <v>544</v>
      </c>
      <c r="E366" s="784">
        <v>33362406.627407406</v>
      </c>
      <c r="F366" s="1026">
        <v>16359500</v>
      </c>
      <c r="G366" s="879">
        <f t="shared" si="2"/>
        <v>2.039329235453859</v>
      </c>
    </row>
    <row r="367" spans="1:7">
      <c r="A367" t="s">
        <v>272</v>
      </c>
      <c r="B367" t="s">
        <v>146</v>
      </c>
      <c r="C367" t="s">
        <v>152</v>
      </c>
      <c r="D367" t="s">
        <v>544</v>
      </c>
      <c r="E367" s="784">
        <v>13414785</v>
      </c>
      <c r="F367" s="1026">
        <v>60041996</v>
      </c>
      <c r="G367" s="879">
        <f t="shared" si="2"/>
        <v>0.22342336853691538</v>
      </c>
    </row>
    <row r="368" spans="1:7">
      <c r="A368" t="s">
        <v>273</v>
      </c>
      <c r="B368" t="s">
        <v>145</v>
      </c>
      <c r="C368" t="s">
        <v>148</v>
      </c>
      <c r="D368" t="s">
        <v>544</v>
      </c>
      <c r="E368" s="784">
        <v>19569098.407407407</v>
      </c>
      <c r="F368" s="1026">
        <v>11381377</v>
      </c>
      <c r="G368" s="879">
        <f t="shared" si="2"/>
        <v>1.7193963794897056</v>
      </c>
    </row>
    <row r="369" spans="1:7">
      <c r="A369" t="s">
        <v>274</v>
      </c>
      <c r="B369" t="s">
        <v>145</v>
      </c>
      <c r="C369" t="s">
        <v>150</v>
      </c>
      <c r="D369" t="s">
        <v>544</v>
      </c>
      <c r="E369" s="784">
        <v>94317991</v>
      </c>
      <c r="F369" s="1026">
        <v>21497306</v>
      </c>
      <c r="G369" s="879">
        <f t="shared" si="2"/>
        <v>4.3874330578910676</v>
      </c>
    </row>
    <row r="370" spans="1:7">
      <c r="A370" t="s">
        <v>154</v>
      </c>
      <c r="B370" t="s">
        <v>145</v>
      </c>
      <c r="C370" t="s">
        <v>152</v>
      </c>
      <c r="D370" t="s">
        <v>541</v>
      </c>
      <c r="E370" s="784">
        <v>355000</v>
      </c>
      <c r="F370" s="1026">
        <v>184401</v>
      </c>
      <c r="G370" s="879">
        <f t="shared" si="2"/>
        <v>1.9251522497166502</v>
      </c>
    </row>
    <row r="371" spans="1:7">
      <c r="A371" t="s">
        <v>155</v>
      </c>
      <c r="B371" t="s">
        <v>145</v>
      </c>
      <c r="C371" t="s">
        <v>152</v>
      </c>
      <c r="D371" t="s">
        <v>541</v>
      </c>
      <c r="E371" s="784">
        <v>570000</v>
      </c>
      <c r="F371" s="1026">
        <v>111269</v>
      </c>
      <c r="G371" s="879">
        <f t="shared" si="2"/>
        <v>5.1227206140074957</v>
      </c>
    </row>
    <row r="372" spans="1:7">
      <c r="A372" t="s">
        <v>276</v>
      </c>
      <c r="B372" t="s">
        <v>145</v>
      </c>
      <c r="C372" t="s">
        <v>150</v>
      </c>
      <c r="D372" t="s">
        <v>544</v>
      </c>
      <c r="E372" s="784">
        <v>3007999.54</v>
      </c>
      <c r="F372" s="1026">
        <v>5222756</v>
      </c>
      <c r="G372" s="879">
        <f t="shared" si="2"/>
        <v>0.57594104338782048</v>
      </c>
    </row>
    <row r="373" spans="1:7">
      <c r="A373" t="s">
        <v>277</v>
      </c>
      <c r="B373" t="s">
        <v>145</v>
      </c>
      <c r="C373" t="s">
        <v>148</v>
      </c>
      <c r="D373" t="s">
        <v>544</v>
      </c>
      <c r="E373" s="784">
        <v>64145713.379629627</v>
      </c>
      <c r="F373" s="1026">
        <v>44909351</v>
      </c>
      <c r="G373" s="879">
        <f t="shared" si="2"/>
        <v>1.4283375722715215</v>
      </c>
    </row>
    <row r="374" spans="1:7">
      <c r="A374" t="s">
        <v>278</v>
      </c>
      <c r="B374" t="s">
        <v>146</v>
      </c>
      <c r="C374" t="s">
        <v>152</v>
      </c>
      <c r="D374" t="s">
        <v>541</v>
      </c>
      <c r="E374" s="784">
        <v>282294</v>
      </c>
      <c r="F374" s="1026">
        <v>591798</v>
      </c>
      <c r="G374" s="879">
        <f t="shared" si="2"/>
        <v>0.47701073677166872</v>
      </c>
    </row>
    <row r="375" spans="1:7">
      <c r="A375" t="s">
        <v>279</v>
      </c>
      <c r="B375" t="s">
        <v>145</v>
      </c>
      <c r="C375" t="s">
        <v>148</v>
      </c>
      <c r="D375" t="s">
        <v>544</v>
      </c>
      <c r="E375" s="784">
        <v>10340306.722222222</v>
      </c>
      <c r="F375" s="1026">
        <v>18275704</v>
      </c>
      <c r="G375" s="879">
        <f t="shared" si="2"/>
        <v>0.56579526141494862</v>
      </c>
    </row>
    <row r="376" spans="1:7">
      <c r="A376" t="s">
        <v>280</v>
      </c>
      <c r="B376" t="s">
        <v>145</v>
      </c>
      <c r="C376" t="s">
        <v>150</v>
      </c>
      <c r="D376" t="s">
        <v>544</v>
      </c>
      <c r="E376" s="784">
        <v>7469931.77962963</v>
      </c>
      <c r="F376" s="1026">
        <v>9749625</v>
      </c>
      <c r="G376" s="879">
        <f t="shared" si="2"/>
        <v>0.76617631751268689</v>
      </c>
    </row>
    <row r="377" spans="1:7">
      <c r="A377" t="s">
        <v>156</v>
      </c>
      <c r="B377" t="s">
        <v>145</v>
      </c>
      <c r="C377" t="s">
        <v>150</v>
      </c>
      <c r="D377" t="s">
        <v>544</v>
      </c>
      <c r="E377" s="784">
        <v>13367742.4</v>
      </c>
      <c r="F377" s="1026">
        <v>61498438</v>
      </c>
      <c r="G377" s="879">
        <f t="shared" si="2"/>
        <v>0.21736718581372749</v>
      </c>
    </row>
    <row r="378" spans="1:7">
      <c r="A378" t="s">
        <v>157</v>
      </c>
      <c r="B378" t="s">
        <v>146</v>
      </c>
      <c r="C378" t="s">
        <v>152</v>
      </c>
      <c r="D378" t="s">
        <v>544</v>
      </c>
      <c r="E378" s="784">
        <v>2166102</v>
      </c>
      <c r="F378" s="1026">
        <v>69950844</v>
      </c>
      <c r="G378" s="879">
        <f t="shared" si="2"/>
        <v>3.0966059537466051E-2</v>
      </c>
    </row>
    <row r="379" spans="1:7">
      <c r="A379" t="s">
        <v>281</v>
      </c>
      <c r="B379" t="s">
        <v>145</v>
      </c>
      <c r="C379" t="s">
        <v>150</v>
      </c>
      <c r="D379" t="s">
        <v>541</v>
      </c>
      <c r="E379" s="784">
        <v>7081834</v>
      </c>
      <c r="F379" s="1026">
        <v>1343875</v>
      </c>
      <c r="G379" s="879">
        <f t="shared" si="2"/>
        <v>5.2697118407589993</v>
      </c>
    </row>
    <row r="380" spans="1:7">
      <c r="A380" t="s">
        <v>282</v>
      </c>
      <c r="B380" t="s">
        <v>145</v>
      </c>
      <c r="C380" t="s">
        <v>148</v>
      </c>
      <c r="D380" t="s">
        <v>544</v>
      </c>
      <c r="E380" s="784">
        <v>24278324.296296295</v>
      </c>
      <c r="F380" s="1026">
        <v>8478242</v>
      </c>
      <c r="G380" s="879">
        <f t="shared" si="2"/>
        <v>2.8636035980450067</v>
      </c>
    </row>
    <row r="381" spans="1:7">
      <c r="A381" t="s">
        <v>283</v>
      </c>
      <c r="B381" t="s">
        <v>145</v>
      </c>
      <c r="C381" t="s">
        <v>152</v>
      </c>
      <c r="D381" t="s">
        <v>541</v>
      </c>
      <c r="E381" s="784">
        <v>3831969.4814814813</v>
      </c>
      <c r="F381" s="1026">
        <v>106759</v>
      </c>
      <c r="G381" s="879">
        <f t="shared" si="2"/>
        <v>35.893643453774217</v>
      </c>
    </row>
    <row r="382" spans="1:7">
      <c r="A382" t="s">
        <v>285</v>
      </c>
      <c r="B382" t="s">
        <v>145</v>
      </c>
      <c r="C382" t="s">
        <v>150</v>
      </c>
      <c r="D382" t="s">
        <v>544</v>
      </c>
      <c r="E382" s="784">
        <v>17589490.030000001</v>
      </c>
      <c r="F382" s="1026">
        <v>11935764</v>
      </c>
      <c r="G382" s="879">
        <f t="shared" si="2"/>
        <v>1.4736794418857477</v>
      </c>
    </row>
    <row r="383" spans="1:7">
      <c r="A383" t="s">
        <v>286</v>
      </c>
      <c r="B383" t="s">
        <v>146</v>
      </c>
      <c r="C383" t="s">
        <v>152</v>
      </c>
      <c r="D383" t="s">
        <v>544</v>
      </c>
      <c r="E383" s="784">
        <v>0</v>
      </c>
      <c r="F383" s="1026">
        <v>85042736</v>
      </c>
      <c r="G383" s="879">
        <f t="shared" si="2"/>
        <v>0</v>
      </c>
    </row>
    <row r="384" spans="1:7">
      <c r="A384" t="s">
        <v>287</v>
      </c>
      <c r="B384" t="s">
        <v>146</v>
      </c>
      <c r="C384" t="s">
        <v>152</v>
      </c>
      <c r="D384" t="s">
        <v>544</v>
      </c>
      <c r="E384" s="784">
        <v>0</v>
      </c>
      <c r="F384" s="1026">
        <v>6117933</v>
      </c>
      <c r="G384" s="879">
        <f t="shared" si="2"/>
        <v>0</v>
      </c>
    </row>
    <row r="385" spans="1:7">
      <c r="A385" t="s">
        <v>288</v>
      </c>
      <c r="B385" t="s">
        <v>145</v>
      </c>
      <c r="C385" t="s">
        <v>152</v>
      </c>
      <c r="D385" t="s">
        <v>541</v>
      </c>
      <c r="E385" s="784">
        <v>1506389.3703703703</v>
      </c>
      <c r="F385" s="1026">
        <v>77132</v>
      </c>
      <c r="G385" s="879">
        <f t="shared" si="2"/>
        <v>19.530018285152341</v>
      </c>
    </row>
    <row r="386" spans="1:7">
      <c r="A386" t="s">
        <v>289</v>
      </c>
      <c r="B386" t="s">
        <v>145</v>
      </c>
      <c r="C386" t="s">
        <v>148</v>
      </c>
      <c r="D386" t="s">
        <v>544</v>
      </c>
      <c r="E386" s="784">
        <v>36394697.555555552</v>
      </c>
      <c r="F386" s="1026">
        <v>47123533</v>
      </c>
      <c r="G386" s="879">
        <f t="shared" ref="G386:G405" si="3">IFERROR(E386/F386,"")</f>
        <v>0.77232531685507433</v>
      </c>
    </row>
    <row r="387" spans="1:7">
      <c r="A387" t="s">
        <v>290</v>
      </c>
      <c r="B387" t="s">
        <v>145</v>
      </c>
      <c r="C387" t="s">
        <v>150</v>
      </c>
      <c r="D387" t="s">
        <v>544</v>
      </c>
      <c r="E387" s="784">
        <v>81373322.188695669</v>
      </c>
      <c r="F387" s="1026">
        <v>43466822</v>
      </c>
      <c r="G387" s="879">
        <f t="shared" si="3"/>
        <v>1.8720789430774505</v>
      </c>
    </row>
    <row r="388" spans="1:7">
      <c r="A388" t="s">
        <v>292</v>
      </c>
      <c r="B388" t="s">
        <v>145</v>
      </c>
      <c r="C388" t="s">
        <v>150</v>
      </c>
      <c r="D388" t="s">
        <v>544</v>
      </c>
      <c r="E388" s="784">
        <v>7919386</v>
      </c>
      <c r="F388" s="1026">
        <v>33935765</v>
      </c>
      <c r="G388" s="879">
        <f t="shared" si="3"/>
        <v>0.23336400402348378</v>
      </c>
    </row>
    <row r="389" spans="1:7">
      <c r="A389" t="s">
        <v>293</v>
      </c>
      <c r="B389" t="s">
        <v>145</v>
      </c>
      <c r="C389" t="s">
        <v>150</v>
      </c>
      <c r="D389" t="s">
        <v>541</v>
      </c>
      <c r="E389" s="784">
        <v>2554943.2298999997</v>
      </c>
      <c r="F389" s="1026">
        <v>314464</v>
      </c>
      <c r="G389" s="879">
        <f t="shared" si="3"/>
        <v>8.1247558699882969</v>
      </c>
    </row>
    <row r="390" spans="1:7">
      <c r="A390" t="s">
        <v>294</v>
      </c>
      <c r="B390" t="s">
        <v>146</v>
      </c>
      <c r="C390" t="s">
        <v>322</v>
      </c>
      <c r="D390" t="s">
        <v>544</v>
      </c>
      <c r="E390" s="784">
        <v>10296619.84</v>
      </c>
      <c r="F390" s="1026">
        <v>28704947</v>
      </c>
      <c r="G390" s="879">
        <f t="shared" si="3"/>
        <v>0.35870541199745115</v>
      </c>
    </row>
    <row r="391" spans="1:7">
      <c r="A391" t="s">
        <v>295</v>
      </c>
      <c r="B391" t="s">
        <v>145</v>
      </c>
      <c r="C391" t="s">
        <v>150</v>
      </c>
      <c r="D391" t="s">
        <v>544</v>
      </c>
      <c r="E391" s="784">
        <v>9723194</v>
      </c>
      <c r="F391" s="1026">
        <v>98168829</v>
      </c>
      <c r="G391" s="879">
        <f t="shared" si="3"/>
        <v>9.9045634943857791E-2</v>
      </c>
    </row>
    <row r="392" spans="1:7">
      <c r="A392" t="s">
        <v>296</v>
      </c>
      <c r="B392" t="s">
        <v>145</v>
      </c>
      <c r="C392" t="s">
        <v>148</v>
      </c>
      <c r="D392" t="s">
        <v>544</v>
      </c>
      <c r="E392" s="784">
        <v>34718415.159999996</v>
      </c>
      <c r="F392" s="1026">
        <v>30490639</v>
      </c>
      <c r="G392" s="879">
        <f t="shared" si="3"/>
        <v>1.138658168495583</v>
      </c>
    </row>
    <row r="393" spans="1:7">
      <c r="A393" t="s">
        <v>297</v>
      </c>
      <c r="B393" t="s">
        <v>145</v>
      </c>
      <c r="C393" t="s">
        <v>150</v>
      </c>
      <c r="D393" t="s">
        <v>544</v>
      </c>
      <c r="E393" s="784">
        <v>20215751</v>
      </c>
      <c r="F393" s="1026">
        <v>18920657</v>
      </c>
      <c r="G393" s="879">
        <f t="shared" si="3"/>
        <v>1.0684486801911794</v>
      </c>
    </row>
    <row r="394" spans="1:7">
      <c r="A394" t="s">
        <v>298</v>
      </c>
      <c r="B394" t="s">
        <v>145</v>
      </c>
      <c r="C394" t="s">
        <v>150</v>
      </c>
      <c r="D394" t="s">
        <v>544</v>
      </c>
      <c r="E394" s="784">
        <v>6756238</v>
      </c>
      <c r="F394" s="1026">
        <v>15092171</v>
      </c>
      <c r="G394" s="879">
        <f t="shared" si="3"/>
        <v>0.44766508410221434</v>
      </c>
    </row>
    <row r="395" spans="1:7">
      <c r="G395" s="879" t="str">
        <f t="shared" si="3"/>
        <v/>
      </c>
    </row>
    <row r="396" spans="1:7">
      <c r="G396" s="879" t="str">
        <f t="shared" si="3"/>
        <v/>
      </c>
    </row>
    <row r="397" spans="1:7">
      <c r="G397" s="879" t="str">
        <f t="shared" si="3"/>
        <v/>
      </c>
    </row>
    <row r="398" spans="1:7">
      <c r="G398" s="879" t="str">
        <f t="shared" si="3"/>
        <v/>
      </c>
    </row>
    <row r="399" spans="1:7">
      <c r="G399" s="879" t="str">
        <f t="shared" si="3"/>
        <v/>
      </c>
    </row>
    <row r="400" spans="1:7">
      <c r="G400" s="879" t="str">
        <f t="shared" si="3"/>
        <v/>
      </c>
    </row>
    <row r="401" spans="1:7">
      <c r="G401" s="879" t="str">
        <f t="shared" si="3"/>
        <v/>
      </c>
    </row>
    <row r="402" spans="1:7">
      <c r="G402" s="879" t="str">
        <f t="shared" si="3"/>
        <v/>
      </c>
    </row>
    <row r="403" spans="1:7">
      <c r="G403" s="879" t="str">
        <f t="shared" si="3"/>
        <v/>
      </c>
    </row>
    <row r="404" spans="1:7">
      <c r="G404" s="879" t="str">
        <f t="shared" si="3"/>
        <v/>
      </c>
    </row>
    <row r="405" spans="1:7">
      <c r="G405" s="879" t="str">
        <f t="shared" si="3"/>
        <v/>
      </c>
    </row>
    <row r="412" spans="1:7">
      <c r="A412" s="1524" t="s">
        <v>1865</v>
      </c>
      <c r="B412" s="1524"/>
    </row>
    <row r="413" spans="1:7">
      <c r="A413" s="599" t="s">
        <v>374</v>
      </c>
      <c r="B413" t="s">
        <v>375</v>
      </c>
    </row>
    <row r="414" spans="1:7">
      <c r="A414" s="599" t="s">
        <v>376</v>
      </c>
      <c r="B414" t="s">
        <v>377</v>
      </c>
    </row>
    <row r="415" spans="1:7">
      <c r="A415" s="599" t="s">
        <v>378</v>
      </c>
      <c r="B415" t="s">
        <v>379</v>
      </c>
    </row>
    <row r="416" spans="1:7">
      <c r="A416" s="599" t="s">
        <v>357</v>
      </c>
      <c r="B416" t="s">
        <v>358</v>
      </c>
    </row>
    <row r="417" spans="1:6">
      <c r="A417" s="599" t="s">
        <v>122</v>
      </c>
      <c r="B417" t="s">
        <v>356</v>
      </c>
    </row>
    <row r="418" spans="1:6">
      <c r="A418" s="599" t="s">
        <v>321</v>
      </c>
      <c r="B418" t="s">
        <v>139</v>
      </c>
    </row>
    <row r="420" spans="1:6">
      <c r="B420" s="599" t="s">
        <v>1833</v>
      </c>
    </row>
    <row r="421" spans="1:6">
      <c r="B421" t="s">
        <v>308</v>
      </c>
      <c r="C421" t="s">
        <v>309</v>
      </c>
      <c r="D421" t="s">
        <v>310</v>
      </c>
      <c r="E421" t="s">
        <v>345</v>
      </c>
      <c r="F421" t="s">
        <v>312</v>
      </c>
    </row>
    <row r="422" spans="1:6">
      <c r="A422" t="s">
        <v>382</v>
      </c>
      <c r="B422" s="877">
        <v>0.67032773616801922</v>
      </c>
      <c r="C422" s="877">
        <v>0.142397578297003</v>
      </c>
      <c r="D422" s="877">
        <v>0.12131646185919624</v>
      </c>
      <c r="E422" s="877">
        <v>4.3530741902086764E-2</v>
      </c>
      <c r="F422" s="877">
        <v>2.2427481773694781E-2</v>
      </c>
    </row>
    <row r="426" spans="1:6">
      <c r="A426" s="1524" t="s">
        <v>1865</v>
      </c>
      <c r="B426" s="1524"/>
    </row>
    <row r="427" spans="1:6">
      <c r="A427" s="599" t="s">
        <v>374</v>
      </c>
      <c r="B427" t="s">
        <v>375</v>
      </c>
    </row>
    <row r="428" spans="1:6">
      <c r="A428" s="599" t="s">
        <v>376</v>
      </c>
      <c r="B428" t="s">
        <v>377</v>
      </c>
    </row>
    <row r="429" spans="1:6">
      <c r="A429" s="599" t="s">
        <v>378</v>
      </c>
      <c r="B429" t="s">
        <v>379</v>
      </c>
    </row>
    <row r="430" spans="1:6">
      <c r="A430" s="599" t="s">
        <v>357</v>
      </c>
      <c r="B430" t="s">
        <v>358</v>
      </c>
    </row>
    <row r="431" spans="1:6">
      <c r="A431" s="599" t="s">
        <v>122</v>
      </c>
      <c r="B431" t="s">
        <v>356</v>
      </c>
    </row>
    <row r="432" spans="1:6">
      <c r="A432" s="599" t="s">
        <v>321</v>
      </c>
      <c r="B432" t="s">
        <v>139</v>
      </c>
    </row>
    <row r="434" spans="1:2">
      <c r="A434" s="599" t="s">
        <v>141</v>
      </c>
      <c r="B434" t="s">
        <v>382</v>
      </c>
    </row>
    <row r="435" spans="1:2">
      <c r="A435" s="600" t="s">
        <v>308</v>
      </c>
      <c r="B435" s="784">
        <v>2170298890.7692308</v>
      </c>
    </row>
    <row r="436" spans="1:2">
      <c r="A436" s="600" t="s">
        <v>309</v>
      </c>
      <c r="B436" s="784">
        <v>461036131.36000001</v>
      </c>
    </row>
    <row r="437" spans="1:2">
      <c r="A437" s="600" t="s">
        <v>310</v>
      </c>
      <c r="B437" s="784">
        <v>392782468.03600311</v>
      </c>
    </row>
    <row r="438" spans="1:2">
      <c r="A438" s="600" t="s">
        <v>345</v>
      </c>
      <c r="B438" s="784">
        <v>140938105</v>
      </c>
    </row>
    <row r="439" spans="1:2">
      <c r="A439" s="600" t="s">
        <v>312</v>
      </c>
      <c r="B439" s="784">
        <v>72612747.75</v>
      </c>
    </row>
    <row r="446" spans="1:2">
      <c r="A446" s="1524" t="s">
        <v>1866</v>
      </c>
      <c r="B446" s="1524"/>
    </row>
    <row r="447" spans="1:2">
      <c r="A447" s="599" t="s">
        <v>374</v>
      </c>
      <c r="B447" t="s">
        <v>356</v>
      </c>
    </row>
    <row r="448" spans="1:2">
      <c r="A448" s="599" t="s">
        <v>376</v>
      </c>
      <c r="B448" t="s">
        <v>377</v>
      </c>
    </row>
    <row r="449" spans="1:2">
      <c r="A449" s="599" t="s">
        <v>378</v>
      </c>
      <c r="B449" t="s">
        <v>379</v>
      </c>
    </row>
    <row r="450" spans="1:2">
      <c r="A450" s="599" t="s">
        <v>357</v>
      </c>
      <c r="B450" t="s">
        <v>358</v>
      </c>
    </row>
    <row r="451" spans="1:2">
      <c r="A451" s="599" t="s">
        <v>122</v>
      </c>
      <c r="B451" t="s">
        <v>356</v>
      </c>
    </row>
    <row r="452" spans="1:2">
      <c r="A452" s="599" t="s">
        <v>737</v>
      </c>
      <c r="B452" t="s">
        <v>737</v>
      </c>
    </row>
    <row r="453" spans="1:2">
      <c r="A453" s="599" t="s">
        <v>321</v>
      </c>
      <c r="B453" t="s">
        <v>139</v>
      </c>
    </row>
    <row r="455" spans="1:2">
      <c r="A455" s="599" t="s">
        <v>141</v>
      </c>
      <c r="B455" t="s">
        <v>382</v>
      </c>
    </row>
    <row r="456" spans="1:2">
      <c r="A456" s="600" t="s">
        <v>335</v>
      </c>
      <c r="B456" s="784">
        <v>15276510</v>
      </c>
    </row>
    <row r="457" spans="1:2">
      <c r="A457" s="600" t="s">
        <v>336</v>
      </c>
      <c r="B457" s="784">
        <v>1997233</v>
      </c>
    </row>
    <row r="458" spans="1:2">
      <c r="A458" s="600" t="s">
        <v>73</v>
      </c>
      <c r="B458" s="784">
        <v>422218.83999999997</v>
      </c>
    </row>
    <row r="459" spans="1:2">
      <c r="A459" s="600" t="s">
        <v>349</v>
      </c>
      <c r="B459" s="784">
        <v>4158940</v>
      </c>
    </row>
    <row r="460" spans="1:2">
      <c r="A460" s="600" t="s">
        <v>346</v>
      </c>
      <c r="B460" s="784">
        <v>17281741</v>
      </c>
    </row>
    <row r="461" spans="1:2">
      <c r="A461" s="600" t="s">
        <v>340</v>
      </c>
      <c r="B461" s="784">
        <v>67780719</v>
      </c>
    </row>
    <row r="462" spans="1:2">
      <c r="A462" s="600" t="s">
        <v>91</v>
      </c>
      <c r="B462" s="784">
        <v>20558915.600000001</v>
      </c>
    </row>
    <row r="463" spans="1:2">
      <c r="A463" s="600" t="s">
        <v>93</v>
      </c>
      <c r="B463" s="784">
        <v>506757</v>
      </c>
    </row>
    <row r="464" spans="1:2">
      <c r="A464" s="600" t="s">
        <v>337</v>
      </c>
      <c r="B464" s="784">
        <v>85517864</v>
      </c>
    </row>
    <row r="465" spans="1:2">
      <c r="A465" s="600" t="s">
        <v>105</v>
      </c>
      <c r="B465" s="784">
        <v>1114766</v>
      </c>
    </row>
    <row r="466" spans="1:2">
      <c r="A466" s="600" t="s">
        <v>51</v>
      </c>
      <c r="B466" s="784">
        <v>7277019</v>
      </c>
    </row>
    <row r="467" spans="1:2">
      <c r="A467" s="600" t="s">
        <v>72</v>
      </c>
      <c r="B467" s="784">
        <v>216262</v>
      </c>
    </row>
    <row r="468" spans="1:2">
      <c r="A468" s="600" t="s">
        <v>350</v>
      </c>
      <c r="B468" s="784">
        <v>48711807.75</v>
      </c>
    </row>
    <row r="469" spans="1:2">
      <c r="A469" s="600" t="s">
        <v>69</v>
      </c>
      <c r="B469" s="784">
        <v>443933.62</v>
      </c>
    </row>
    <row r="470" spans="1:2">
      <c r="A470" s="600" t="s">
        <v>347</v>
      </c>
      <c r="B470" s="784">
        <v>123656364</v>
      </c>
    </row>
    <row r="471" spans="1:2">
      <c r="A471" s="600" t="s">
        <v>58</v>
      </c>
      <c r="B471" s="784">
        <v>49611803</v>
      </c>
    </row>
    <row r="479" spans="1:2">
      <c r="A479" s="599" t="s">
        <v>374</v>
      </c>
      <c r="B479" t="s">
        <v>375</v>
      </c>
    </row>
    <row r="480" spans="1:2">
      <c r="A480" s="599" t="s">
        <v>376</v>
      </c>
      <c r="B480" t="s">
        <v>139</v>
      </c>
    </row>
    <row r="481" spans="1:9">
      <c r="A481" s="599" t="s">
        <v>378</v>
      </c>
      <c r="B481" t="s">
        <v>379</v>
      </c>
    </row>
    <row r="482" spans="1:9">
      <c r="A482" s="599" t="s">
        <v>357</v>
      </c>
      <c r="B482" t="s">
        <v>358</v>
      </c>
    </row>
    <row r="483" spans="1:9">
      <c r="A483" s="599" t="s">
        <v>122</v>
      </c>
      <c r="B483" t="s">
        <v>356</v>
      </c>
    </row>
    <row r="484" spans="1:9">
      <c r="A484" s="599" t="s">
        <v>321</v>
      </c>
      <c r="B484" t="s">
        <v>139</v>
      </c>
    </row>
    <row r="486" spans="1:9">
      <c r="A486" s="599" t="s">
        <v>386</v>
      </c>
      <c r="B486" t="s">
        <v>382</v>
      </c>
      <c r="C486" t="s">
        <v>1825</v>
      </c>
      <c r="D486" s="577" t="s">
        <v>1853</v>
      </c>
      <c r="E486" s="577"/>
      <c r="F486" s="577"/>
      <c r="G486" s="577"/>
      <c r="H486" s="577"/>
      <c r="I486" s="577"/>
    </row>
    <row r="487" spans="1:9">
      <c r="A487" t="s">
        <v>160</v>
      </c>
      <c r="B487" s="784">
        <v>52725096.991452992</v>
      </c>
      <c r="C487" s="1026">
        <v>39835428</v>
      </c>
      <c r="D487" s="879">
        <f>IFERROR(B487/C487,"")</f>
        <v>1.3235730011851006</v>
      </c>
      <c r="H487" s="879"/>
    </row>
    <row r="488" spans="1:9">
      <c r="A488" t="s">
        <v>161</v>
      </c>
      <c r="B488" s="784">
        <v>600000</v>
      </c>
      <c r="C488" s="1026">
        <v>2872934</v>
      </c>
      <c r="D488" s="879">
        <f t="shared" ref="D488:D551" si="4">IFERROR(B488/C488,"")</f>
        <v>0.20884573053192312</v>
      </c>
      <c r="H488" s="879"/>
    </row>
    <row r="489" spans="1:9">
      <c r="A489" t="s">
        <v>143</v>
      </c>
      <c r="B489" s="784">
        <v>3690331.5</v>
      </c>
      <c r="C489" s="1026">
        <v>44616626</v>
      </c>
      <c r="D489" s="879">
        <f t="shared" si="4"/>
        <v>8.2712025333336506E-2</v>
      </c>
      <c r="H489" s="879"/>
    </row>
    <row r="490" spans="1:9">
      <c r="A490" t="s">
        <v>162</v>
      </c>
      <c r="B490" s="784">
        <v>51271243.590000004</v>
      </c>
      <c r="C490" s="1026">
        <v>33933611</v>
      </c>
      <c r="D490" s="879">
        <f t="shared" si="4"/>
        <v>1.5109280173571862</v>
      </c>
      <c r="H490" s="879"/>
    </row>
    <row r="491" spans="1:9">
      <c r="A491" t="s">
        <v>164</v>
      </c>
      <c r="B491" s="784">
        <v>23820959</v>
      </c>
      <c r="C491" s="1026">
        <v>45605823</v>
      </c>
      <c r="D491" s="879">
        <f t="shared" si="4"/>
        <v>0.52232275251342353</v>
      </c>
      <c r="H491" s="879"/>
    </row>
    <row r="492" spans="1:9">
      <c r="A492" t="s">
        <v>165</v>
      </c>
      <c r="B492" s="784">
        <v>2800000</v>
      </c>
      <c r="C492" s="1026">
        <v>2968128</v>
      </c>
      <c r="D492" s="879">
        <f t="shared" si="4"/>
        <v>0.94335554261810817</v>
      </c>
      <c r="H492" s="879"/>
    </row>
    <row r="493" spans="1:9">
      <c r="A493" t="s">
        <v>166</v>
      </c>
      <c r="B493" s="784">
        <v>1100000</v>
      </c>
      <c r="C493" s="1026">
        <v>10223344</v>
      </c>
      <c r="D493" s="879">
        <f t="shared" si="4"/>
        <v>0.10759688806324036</v>
      </c>
      <c r="H493" s="879"/>
    </row>
    <row r="494" spans="1:9">
      <c r="A494" t="s">
        <v>167</v>
      </c>
      <c r="B494" s="784">
        <v>114727136.59999999</v>
      </c>
      <c r="C494" s="1026">
        <v>166303494</v>
      </c>
      <c r="D494" s="879">
        <f t="shared" si="4"/>
        <v>0.68986606258555216</v>
      </c>
      <c r="H494" s="879"/>
    </row>
    <row r="495" spans="1:9">
      <c r="A495" t="s">
        <v>168</v>
      </c>
      <c r="B495" s="784">
        <v>500000</v>
      </c>
      <c r="C495" s="1026">
        <v>9442867</v>
      </c>
      <c r="D495" s="879">
        <f t="shared" si="4"/>
        <v>5.2950020369872834E-2</v>
      </c>
      <c r="H495" s="879"/>
    </row>
    <row r="496" spans="1:9">
      <c r="A496" t="s">
        <v>169</v>
      </c>
      <c r="B496" s="784">
        <v>3847270</v>
      </c>
      <c r="C496" s="1026">
        <v>404915</v>
      </c>
      <c r="D496" s="879">
        <f t="shared" si="4"/>
        <v>9.501426225257152</v>
      </c>
      <c r="H496" s="879"/>
    </row>
    <row r="497" spans="1:8">
      <c r="A497" t="s">
        <v>170</v>
      </c>
      <c r="B497" s="784">
        <v>12979438</v>
      </c>
      <c r="C497" s="1026">
        <v>12451031</v>
      </c>
      <c r="D497" s="879">
        <f t="shared" si="4"/>
        <v>1.0424388149061712</v>
      </c>
      <c r="H497" s="879"/>
    </row>
    <row r="498" spans="1:8">
      <c r="A498" t="s">
        <v>171</v>
      </c>
      <c r="B498" s="784">
        <v>1633845</v>
      </c>
      <c r="C498" s="1026">
        <v>779900</v>
      </c>
      <c r="D498" s="879">
        <f t="shared" si="4"/>
        <v>2.0949416591870751</v>
      </c>
      <c r="H498" s="879"/>
    </row>
    <row r="499" spans="1:8">
      <c r="A499" t="s">
        <v>172</v>
      </c>
      <c r="B499" s="784">
        <v>5956519</v>
      </c>
      <c r="C499" s="1026">
        <v>11832936</v>
      </c>
      <c r="D499" s="879">
        <f t="shared" si="4"/>
        <v>0.50338470519911538</v>
      </c>
      <c r="H499" s="879"/>
    </row>
    <row r="500" spans="1:8">
      <c r="A500" t="s">
        <v>174</v>
      </c>
      <c r="B500" s="784">
        <v>2250000</v>
      </c>
      <c r="C500" s="1026">
        <v>3263459</v>
      </c>
      <c r="D500" s="879">
        <f t="shared" si="4"/>
        <v>0.68945251035787491</v>
      </c>
      <c r="H500" s="879"/>
    </row>
    <row r="501" spans="1:8">
      <c r="A501" t="s">
        <v>175</v>
      </c>
      <c r="B501" s="784">
        <v>4471162</v>
      </c>
      <c r="C501" s="1026">
        <v>2397240</v>
      </c>
      <c r="D501" s="879">
        <f t="shared" si="4"/>
        <v>1.865129065091522</v>
      </c>
      <c r="H501" s="879"/>
    </row>
    <row r="502" spans="1:8">
      <c r="A502" t="s">
        <v>144</v>
      </c>
      <c r="B502" s="784">
        <v>4502593</v>
      </c>
      <c r="C502" s="1026">
        <v>213993441</v>
      </c>
      <c r="D502" s="879">
        <f t="shared" si="4"/>
        <v>2.1040799096267628E-2</v>
      </c>
      <c r="H502" s="879"/>
    </row>
    <row r="503" spans="1:8">
      <c r="A503" t="s">
        <v>176</v>
      </c>
      <c r="B503" s="784">
        <v>1300000</v>
      </c>
      <c r="C503" s="1026">
        <v>6948445</v>
      </c>
      <c r="D503" s="879">
        <f t="shared" si="4"/>
        <v>0.18709221991395197</v>
      </c>
      <c r="H503" s="879"/>
    </row>
    <row r="504" spans="1:8">
      <c r="A504" t="s">
        <v>177</v>
      </c>
      <c r="B504" s="784">
        <v>9306449</v>
      </c>
      <c r="C504" s="1026">
        <v>21497097</v>
      </c>
      <c r="D504" s="879">
        <f t="shared" si="4"/>
        <v>0.43291654682490383</v>
      </c>
      <c r="H504" s="879"/>
    </row>
    <row r="505" spans="1:8">
      <c r="A505" t="s">
        <v>178</v>
      </c>
      <c r="B505" s="784">
        <v>19908059</v>
      </c>
      <c r="C505" s="1026">
        <v>12255429</v>
      </c>
      <c r="D505" s="879">
        <f t="shared" si="4"/>
        <v>1.6244277536102572</v>
      </c>
      <c r="H505" s="879"/>
    </row>
    <row r="506" spans="1:8">
      <c r="A506" t="s">
        <v>179</v>
      </c>
      <c r="B506" s="784">
        <v>5668147.6881481484</v>
      </c>
      <c r="C506" s="1026">
        <v>561901</v>
      </c>
      <c r="D506" s="879">
        <f t="shared" si="4"/>
        <v>10.087449013523999</v>
      </c>
      <c r="H506" s="879"/>
    </row>
    <row r="507" spans="1:8">
      <c r="A507" t="s">
        <v>180</v>
      </c>
      <c r="B507" s="784">
        <v>7402339.888888889</v>
      </c>
      <c r="C507" s="1026">
        <v>16946446</v>
      </c>
      <c r="D507" s="879">
        <f t="shared" si="4"/>
        <v>0.43680780553567922</v>
      </c>
      <c r="H507" s="879"/>
    </row>
    <row r="508" spans="1:8">
      <c r="A508" t="s">
        <v>181</v>
      </c>
      <c r="B508" s="784">
        <v>29914146.851851851</v>
      </c>
      <c r="C508" s="1026">
        <v>27224262</v>
      </c>
      <c r="D508" s="879">
        <f t="shared" si="4"/>
        <v>1.0988046931024926</v>
      </c>
      <c r="H508" s="879"/>
    </row>
    <row r="509" spans="1:8">
      <c r="A509" t="s">
        <v>182</v>
      </c>
      <c r="B509" s="784">
        <v>5478055.3703703703</v>
      </c>
      <c r="C509" s="1026">
        <v>4919987</v>
      </c>
      <c r="D509" s="879">
        <f t="shared" si="4"/>
        <v>1.1134288302734072</v>
      </c>
      <c r="H509" s="879"/>
    </row>
    <row r="510" spans="1:8">
      <c r="A510" t="s">
        <v>183</v>
      </c>
      <c r="B510" s="784">
        <v>18418813.185185187</v>
      </c>
      <c r="C510" s="1026">
        <v>16914985</v>
      </c>
      <c r="D510" s="879">
        <f t="shared" si="4"/>
        <v>1.0889050853539146</v>
      </c>
      <c r="H510" s="879"/>
    </row>
    <row r="511" spans="1:8">
      <c r="A511" t="s">
        <v>185</v>
      </c>
      <c r="B511" s="784">
        <v>0</v>
      </c>
      <c r="C511" s="1026">
        <v>1439323774</v>
      </c>
      <c r="D511" s="879">
        <f t="shared" si="4"/>
        <v>0</v>
      </c>
      <c r="H511" s="879"/>
    </row>
    <row r="512" spans="1:8">
      <c r="A512" t="s">
        <v>186</v>
      </c>
      <c r="B512" s="784">
        <v>11200000</v>
      </c>
      <c r="C512" s="1026">
        <v>51265841</v>
      </c>
      <c r="D512" s="879">
        <f t="shared" si="4"/>
        <v>0.21846905817852477</v>
      </c>
      <c r="H512" s="879"/>
    </row>
    <row r="513" spans="1:8">
      <c r="A513" t="s">
        <v>187</v>
      </c>
      <c r="B513" s="784">
        <v>13535310</v>
      </c>
      <c r="C513" s="1026">
        <v>888456</v>
      </c>
      <c r="D513" s="879">
        <f t="shared" si="4"/>
        <v>15.234643021151301</v>
      </c>
      <c r="H513" s="879"/>
    </row>
    <row r="514" spans="1:8">
      <c r="A514" t="s">
        <v>188</v>
      </c>
      <c r="B514" s="784">
        <v>87026679</v>
      </c>
      <c r="C514" s="1026">
        <v>92377986</v>
      </c>
      <c r="D514" s="879">
        <f t="shared" si="4"/>
        <v>0.94207162082966389</v>
      </c>
      <c r="H514" s="879"/>
    </row>
    <row r="515" spans="1:8">
      <c r="A515" t="s">
        <v>189</v>
      </c>
      <c r="B515" s="784">
        <v>6617930</v>
      </c>
      <c r="C515" s="1026">
        <v>5657017</v>
      </c>
      <c r="D515" s="879">
        <f t="shared" si="4"/>
        <v>1.1698621375894751</v>
      </c>
      <c r="H515" s="879"/>
    </row>
    <row r="516" spans="1:8">
      <c r="A516" t="s">
        <v>190</v>
      </c>
      <c r="B516" s="784">
        <v>198193</v>
      </c>
      <c r="C516" s="1026">
        <v>17564</v>
      </c>
      <c r="D516" s="879">
        <f t="shared" si="4"/>
        <v>11.284046914142564</v>
      </c>
      <c r="H516" s="879"/>
    </row>
    <row r="517" spans="1:8">
      <c r="A517" t="s">
        <v>191</v>
      </c>
      <c r="B517" s="784">
        <v>550000</v>
      </c>
      <c r="C517" s="1026">
        <v>5139053</v>
      </c>
      <c r="D517" s="879">
        <f t="shared" si="4"/>
        <v>0.10702360921360414</v>
      </c>
      <c r="H517" s="879"/>
    </row>
    <row r="518" spans="1:8">
      <c r="A518" t="s">
        <v>192</v>
      </c>
      <c r="B518" s="784">
        <v>45088259.274074078</v>
      </c>
      <c r="C518" s="1026">
        <v>27053629</v>
      </c>
      <c r="D518" s="879">
        <f t="shared" si="4"/>
        <v>1.6666251789759547</v>
      </c>
      <c r="H518" s="879"/>
    </row>
    <row r="519" spans="1:8">
      <c r="A519" t="s">
        <v>147</v>
      </c>
      <c r="B519" s="784">
        <v>1215090</v>
      </c>
      <c r="C519" s="1026">
        <v>11317498</v>
      </c>
      <c r="D519" s="879">
        <f t="shared" si="4"/>
        <v>0.10736383607048131</v>
      </c>
      <c r="H519" s="879"/>
    </row>
    <row r="520" spans="1:8">
      <c r="A520" t="s">
        <v>194</v>
      </c>
      <c r="B520" s="784">
        <v>2569428.4814814813</v>
      </c>
      <c r="C520" s="1026">
        <v>1002197</v>
      </c>
      <c r="D520" s="879">
        <f t="shared" si="4"/>
        <v>2.5637958220604147</v>
      </c>
      <c r="H520" s="879"/>
    </row>
    <row r="521" spans="1:8">
      <c r="A521" t="s">
        <v>195</v>
      </c>
      <c r="B521" s="784">
        <v>555000.03</v>
      </c>
      <c r="C521" s="1026">
        <v>71625</v>
      </c>
      <c r="D521" s="879">
        <f t="shared" si="4"/>
        <v>7.7486915183246081</v>
      </c>
      <c r="H521" s="879"/>
    </row>
    <row r="522" spans="1:8">
      <c r="A522" t="s">
        <v>196</v>
      </c>
      <c r="B522" s="784">
        <v>801756</v>
      </c>
      <c r="C522" s="1026">
        <v>10953714</v>
      </c>
      <c r="D522" s="879">
        <f t="shared" si="4"/>
        <v>7.3194899921615625E-2</v>
      </c>
      <c r="H522" s="879"/>
    </row>
    <row r="523" spans="1:8">
      <c r="A523" t="s">
        <v>197</v>
      </c>
      <c r="B523" s="784">
        <v>34093947</v>
      </c>
      <c r="C523" s="1026">
        <v>17888474</v>
      </c>
      <c r="D523" s="879">
        <f t="shared" si="4"/>
        <v>1.9059170167337918</v>
      </c>
      <c r="H523" s="879"/>
    </row>
    <row r="524" spans="1:8">
      <c r="A524" t="s">
        <v>198</v>
      </c>
      <c r="B524" s="784">
        <v>18278053.370370373</v>
      </c>
      <c r="C524" s="1026">
        <v>104258327</v>
      </c>
      <c r="D524" s="879">
        <f t="shared" si="4"/>
        <v>0.17531504577442886</v>
      </c>
      <c r="H524" s="879"/>
    </row>
    <row r="525" spans="1:8">
      <c r="A525" t="s">
        <v>199</v>
      </c>
      <c r="B525" s="784">
        <v>50935214</v>
      </c>
      <c r="C525" s="1026">
        <v>6518500</v>
      </c>
      <c r="D525" s="879">
        <f t="shared" si="4"/>
        <v>7.8139470737132779</v>
      </c>
      <c r="H525" s="879"/>
    </row>
    <row r="526" spans="1:8">
      <c r="A526" t="s">
        <v>200</v>
      </c>
      <c r="B526" s="784">
        <v>0</v>
      </c>
      <c r="C526" s="1026">
        <v>1449891</v>
      </c>
      <c r="D526" s="879">
        <f t="shared" si="4"/>
        <v>0</v>
      </c>
      <c r="H526" s="879"/>
    </row>
    <row r="527" spans="1:8">
      <c r="A527" t="s">
        <v>201</v>
      </c>
      <c r="B527" s="784">
        <v>357784.62962962961</v>
      </c>
      <c r="C527" s="1026">
        <v>3601462</v>
      </c>
      <c r="D527" s="879">
        <f t="shared" si="4"/>
        <v>9.9344274527852744E-2</v>
      </c>
      <c r="H527" s="879"/>
    </row>
    <row r="528" spans="1:8">
      <c r="A528" t="s">
        <v>202</v>
      </c>
      <c r="B528" s="784">
        <v>9011997</v>
      </c>
      <c r="C528" s="1026">
        <v>1172369</v>
      </c>
      <c r="D528" s="879">
        <f t="shared" si="4"/>
        <v>7.6869970120329008</v>
      </c>
      <c r="H528" s="879"/>
    </row>
    <row r="529" spans="1:8">
      <c r="A529" t="s">
        <v>203</v>
      </c>
      <c r="B529" s="784">
        <v>204487864.77777779</v>
      </c>
      <c r="C529" s="1026">
        <v>117876226</v>
      </c>
      <c r="D529" s="879">
        <f t="shared" si="4"/>
        <v>1.7347676602555786</v>
      </c>
      <c r="H529" s="879"/>
    </row>
    <row r="530" spans="1:8">
      <c r="A530" t="s">
        <v>204</v>
      </c>
      <c r="B530" s="784">
        <v>4297808</v>
      </c>
      <c r="C530" s="1026">
        <v>902899</v>
      </c>
      <c r="D530" s="879">
        <f t="shared" si="4"/>
        <v>4.7600097020818497</v>
      </c>
      <c r="H530" s="879"/>
    </row>
    <row r="531" spans="1:8">
      <c r="A531" t="s">
        <v>205</v>
      </c>
      <c r="B531" s="784">
        <v>3200000</v>
      </c>
      <c r="C531" s="1026">
        <v>2278829</v>
      </c>
      <c r="D531" s="879">
        <f t="shared" si="4"/>
        <v>1.4042299795201834</v>
      </c>
      <c r="H531" s="879"/>
    </row>
    <row r="532" spans="1:8">
      <c r="A532" t="s">
        <v>206</v>
      </c>
      <c r="B532" s="784">
        <v>4502636</v>
      </c>
      <c r="C532" s="1026">
        <v>2486937</v>
      </c>
      <c r="D532" s="879">
        <f t="shared" si="4"/>
        <v>1.8105147014178486</v>
      </c>
      <c r="H532" s="879"/>
    </row>
    <row r="533" spans="1:8">
      <c r="A533" t="s">
        <v>207</v>
      </c>
      <c r="B533" s="784">
        <v>5700000</v>
      </c>
      <c r="C533" s="1026">
        <v>3979773</v>
      </c>
      <c r="D533" s="879">
        <f t="shared" si="4"/>
        <v>1.4322424922225463</v>
      </c>
      <c r="H533" s="879"/>
    </row>
    <row r="534" spans="1:8">
      <c r="A534" t="s">
        <v>208</v>
      </c>
      <c r="B534" s="784">
        <v>16143013</v>
      </c>
      <c r="C534" s="1026">
        <v>31732128</v>
      </c>
      <c r="D534" s="879">
        <f t="shared" si="4"/>
        <v>0.50872771596030375</v>
      </c>
      <c r="H534" s="879"/>
    </row>
    <row r="535" spans="1:8">
      <c r="A535" t="s">
        <v>209</v>
      </c>
      <c r="B535" s="784">
        <v>555000</v>
      </c>
      <c r="C535" s="1026">
        <v>113015</v>
      </c>
      <c r="D535" s="879">
        <f t="shared" si="4"/>
        <v>4.9108525416980049</v>
      </c>
      <c r="H535" s="879"/>
    </row>
    <row r="536" spans="1:8">
      <c r="A536" t="s">
        <v>210</v>
      </c>
      <c r="B536" s="784">
        <v>6783889</v>
      </c>
      <c r="C536" s="1026">
        <v>18249868</v>
      </c>
      <c r="D536" s="879">
        <f t="shared" si="4"/>
        <v>0.37172263382946114</v>
      </c>
      <c r="H536" s="879"/>
    </row>
    <row r="537" spans="1:8">
      <c r="A537" t="s">
        <v>211</v>
      </c>
      <c r="B537" s="784">
        <v>20450627</v>
      </c>
      <c r="C537" s="1026">
        <v>13497237</v>
      </c>
      <c r="D537" s="879">
        <f t="shared" si="4"/>
        <v>1.5151713643318259</v>
      </c>
      <c r="H537" s="879"/>
    </row>
    <row r="538" spans="1:8">
      <c r="A538" t="s">
        <v>212</v>
      </c>
      <c r="B538" s="784">
        <v>4236379.1851851847</v>
      </c>
      <c r="C538" s="1026">
        <v>2015490</v>
      </c>
      <c r="D538" s="879">
        <f t="shared" si="4"/>
        <v>2.1019102973396966</v>
      </c>
      <c r="H538" s="879"/>
    </row>
    <row r="539" spans="1:8">
      <c r="A539" t="s">
        <v>213</v>
      </c>
      <c r="B539" s="784">
        <v>2158349</v>
      </c>
      <c r="C539" s="1026">
        <v>790329</v>
      </c>
      <c r="D539" s="879">
        <f t="shared" si="4"/>
        <v>2.7309500220794125</v>
      </c>
      <c r="H539" s="879"/>
    </row>
    <row r="540" spans="1:8">
      <c r="A540" t="s">
        <v>214</v>
      </c>
      <c r="B540" s="784">
        <v>15503083.175555557</v>
      </c>
      <c r="C540" s="1026">
        <v>11541683</v>
      </c>
      <c r="D540" s="879">
        <f t="shared" si="4"/>
        <v>1.3432255222705005</v>
      </c>
      <c r="H540" s="879"/>
    </row>
    <row r="541" spans="1:8">
      <c r="A541" t="s">
        <v>215</v>
      </c>
      <c r="B541" s="784">
        <v>36562719.839259252</v>
      </c>
      <c r="C541" s="1026">
        <v>10062994</v>
      </c>
      <c r="D541" s="879">
        <f t="shared" si="4"/>
        <v>3.6333838457281451</v>
      </c>
      <c r="H541" s="879"/>
    </row>
    <row r="542" spans="1:8">
      <c r="A542" t="s">
        <v>216</v>
      </c>
      <c r="B542" s="784">
        <v>122443828.18518519</v>
      </c>
      <c r="C542" s="1026">
        <v>1393409033</v>
      </c>
      <c r="D542" s="879">
        <f t="shared" si="4"/>
        <v>8.7873571424726932E-2</v>
      </c>
      <c r="H542" s="879"/>
    </row>
    <row r="543" spans="1:8">
      <c r="A543" t="s">
        <v>217</v>
      </c>
      <c r="B543" s="784">
        <v>290360563</v>
      </c>
      <c r="C543" s="1026">
        <v>276361788</v>
      </c>
      <c r="D543" s="879">
        <f t="shared" si="4"/>
        <v>1.0506538009516713</v>
      </c>
      <c r="H543" s="879"/>
    </row>
    <row r="544" spans="1:8">
      <c r="A544" t="s">
        <v>149</v>
      </c>
      <c r="B544" s="784">
        <v>2428858</v>
      </c>
      <c r="C544" s="1026">
        <v>85028760</v>
      </c>
      <c r="D544" s="879">
        <f t="shared" si="4"/>
        <v>2.8565134902590605E-2</v>
      </c>
      <c r="H544" s="879"/>
    </row>
    <row r="545" spans="1:8">
      <c r="A545" t="s">
        <v>218</v>
      </c>
      <c r="B545" s="784">
        <v>32334102</v>
      </c>
      <c r="C545" s="1026">
        <v>41179351</v>
      </c>
      <c r="D545" s="879">
        <f t="shared" si="4"/>
        <v>0.78520183574529867</v>
      </c>
      <c r="H545" s="879"/>
    </row>
    <row r="546" spans="1:8">
      <c r="A546" t="s">
        <v>219</v>
      </c>
      <c r="B546" s="784">
        <v>4579630</v>
      </c>
      <c r="C546" s="1026">
        <v>2973462</v>
      </c>
      <c r="D546" s="879">
        <f t="shared" si="4"/>
        <v>1.5401676564220428</v>
      </c>
      <c r="H546" s="879"/>
    </row>
    <row r="547" spans="1:8">
      <c r="A547" t="s">
        <v>220</v>
      </c>
      <c r="B547" s="784">
        <v>5702526</v>
      </c>
      <c r="C547" s="1026">
        <v>10269022</v>
      </c>
      <c r="D547" s="879">
        <f t="shared" si="4"/>
        <v>0.55531344659695925</v>
      </c>
      <c r="H547" s="879"/>
    </row>
    <row r="548" spans="1:8">
      <c r="A548" t="s">
        <v>221</v>
      </c>
      <c r="B548" s="784">
        <v>2500000</v>
      </c>
      <c r="C548" s="1026">
        <v>18994958</v>
      </c>
      <c r="D548" s="879">
        <f t="shared" si="4"/>
        <v>0.13161387353422946</v>
      </c>
      <c r="H548" s="879"/>
    </row>
    <row r="549" spans="1:8">
      <c r="A549" t="s">
        <v>222</v>
      </c>
      <c r="B549" s="784">
        <v>36467168</v>
      </c>
      <c r="C549" s="1026">
        <v>54985702</v>
      </c>
      <c r="D549" s="879">
        <f t="shared" si="4"/>
        <v>0.66321182914060095</v>
      </c>
      <c r="H549" s="879"/>
    </row>
    <row r="550" spans="1:8">
      <c r="A550" t="s">
        <v>223</v>
      </c>
      <c r="B550" s="784">
        <v>6298691</v>
      </c>
      <c r="C550" s="1026">
        <v>121388</v>
      </c>
      <c r="D550" s="879">
        <f t="shared" si="4"/>
        <v>51.888909941674633</v>
      </c>
      <c r="H550" s="879"/>
    </row>
    <row r="551" spans="1:8">
      <c r="A551" t="s">
        <v>224</v>
      </c>
      <c r="B551" s="784">
        <v>0</v>
      </c>
      <c r="C551" s="1026">
        <v>25887045</v>
      </c>
      <c r="D551" s="879">
        <f t="shared" si="4"/>
        <v>0</v>
      </c>
      <c r="H551" s="879"/>
    </row>
    <row r="552" spans="1:8">
      <c r="A552" t="s">
        <v>225</v>
      </c>
      <c r="B552" s="784">
        <v>5768036</v>
      </c>
      <c r="C552" s="1026">
        <v>1794000</v>
      </c>
      <c r="D552" s="879">
        <f t="shared" ref="D552:D615" si="5">IFERROR(B552/C552,"")</f>
        <v>3.2151817168338908</v>
      </c>
      <c r="H552" s="879"/>
    </row>
    <row r="553" spans="1:8">
      <c r="A553" t="s">
        <v>226</v>
      </c>
      <c r="B553" s="784">
        <v>8928778</v>
      </c>
      <c r="C553" s="1026">
        <v>6628347</v>
      </c>
      <c r="D553" s="879">
        <f t="shared" si="5"/>
        <v>1.3470595308302356</v>
      </c>
      <c r="H553" s="879"/>
    </row>
    <row r="554" spans="1:8">
      <c r="A554" t="s">
        <v>227</v>
      </c>
      <c r="B554" s="784">
        <v>15016857.333333332</v>
      </c>
      <c r="C554" s="1026">
        <v>7379358</v>
      </c>
      <c r="D554" s="879">
        <f t="shared" si="5"/>
        <v>2.0349815435615581</v>
      </c>
      <c r="H554" s="879"/>
    </row>
    <row r="555" spans="1:8">
      <c r="A555" t="s">
        <v>228</v>
      </c>
      <c r="B555" s="784">
        <v>21094128</v>
      </c>
      <c r="C555" s="1026">
        <v>6769151</v>
      </c>
      <c r="D555" s="879">
        <f t="shared" si="5"/>
        <v>3.1162147217575735</v>
      </c>
      <c r="H555" s="879"/>
    </row>
    <row r="556" spans="1:8">
      <c r="A556" t="s">
        <v>229</v>
      </c>
      <c r="B556" s="784">
        <v>10107021</v>
      </c>
      <c r="C556" s="1026">
        <v>2159067</v>
      </c>
      <c r="D556" s="879">
        <f t="shared" si="5"/>
        <v>4.6811984065339338</v>
      </c>
      <c r="H556" s="879"/>
    </row>
    <row r="557" spans="1:8">
      <c r="A557" t="s">
        <v>230</v>
      </c>
      <c r="B557" s="784">
        <v>6719653.4522222225</v>
      </c>
      <c r="C557" s="1026">
        <v>5180208</v>
      </c>
      <c r="D557" s="879">
        <f t="shared" si="5"/>
        <v>1.2971783087131294</v>
      </c>
      <c r="H557" s="879"/>
    </row>
    <row r="558" spans="1:8">
      <c r="A558" t="s">
        <v>231</v>
      </c>
      <c r="B558" s="784">
        <v>5339573</v>
      </c>
      <c r="C558" s="1026">
        <v>6958538</v>
      </c>
      <c r="D558" s="879">
        <f t="shared" si="5"/>
        <v>0.76734121449074499</v>
      </c>
      <c r="H558" s="879"/>
    </row>
    <row r="559" spans="1:8">
      <c r="A559" t="s">
        <v>232</v>
      </c>
      <c r="B559" s="784">
        <v>70293217.799999997</v>
      </c>
      <c r="C559" s="1026">
        <v>28427333</v>
      </c>
      <c r="D559" s="879">
        <f t="shared" si="5"/>
        <v>2.4727334709872362</v>
      </c>
      <c r="H559" s="879"/>
    </row>
    <row r="560" spans="1:8">
      <c r="A560" t="s">
        <v>233</v>
      </c>
      <c r="B560" s="784">
        <v>9876177</v>
      </c>
      <c r="C560" s="1026">
        <v>19647681</v>
      </c>
      <c r="D560" s="879">
        <f t="shared" si="5"/>
        <v>0.50266374947761006</v>
      </c>
      <c r="H560" s="879"/>
    </row>
    <row r="561" spans="1:8">
      <c r="A561" t="s">
        <v>234</v>
      </c>
      <c r="B561" s="784">
        <v>12750808</v>
      </c>
      <c r="C561" s="1026">
        <v>32776195</v>
      </c>
      <c r="D561" s="879">
        <f t="shared" si="5"/>
        <v>0.38902648705867171</v>
      </c>
      <c r="H561" s="879"/>
    </row>
    <row r="562" spans="1:8">
      <c r="A562" t="s">
        <v>235</v>
      </c>
      <c r="B562" s="784">
        <v>3159297.333333333</v>
      </c>
      <c r="C562" s="1026">
        <v>543620</v>
      </c>
      <c r="D562" s="879">
        <f t="shared" si="5"/>
        <v>5.8115914302883134</v>
      </c>
      <c r="H562" s="879"/>
    </row>
    <row r="563" spans="1:8">
      <c r="A563" t="s">
        <v>236</v>
      </c>
      <c r="B563" s="784">
        <v>21508203</v>
      </c>
      <c r="C563" s="1026">
        <v>20855724</v>
      </c>
      <c r="D563" s="879">
        <f t="shared" si="5"/>
        <v>1.0312853679881839</v>
      </c>
      <c r="H563" s="879"/>
    </row>
    <row r="564" spans="1:8">
      <c r="A564" t="s">
        <v>237</v>
      </c>
      <c r="B564" s="784">
        <v>129000</v>
      </c>
      <c r="C564" s="1026">
        <v>58413</v>
      </c>
      <c r="D564" s="879">
        <f t="shared" si="5"/>
        <v>2.2084125109136665</v>
      </c>
      <c r="H564" s="879"/>
    </row>
    <row r="565" spans="1:8">
      <c r="A565" t="s">
        <v>238</v>
      </c>
      <c r="B565" s="784">
        <v>20288495.52</v>
      </c>
      <c r="C565" s="1026">
        <v>4775110</v>
      </c>
      <c r="D565" s="879">
        <f t="shared" si="5"/>
        <v>4.2488017071858026</v>
      </c>
      <c r="H565" s="879"/>
    </row>
    <row r="566" spans="1:8">
      <c r="A566" t="s">
        <v>239</v>
      </c>
      <c r="B566" s="784">
        <v>250000</v>
      </c>
      <c r="C566" s="1026">
        <v>1273428</v>
      </c>
      <c r="D566" s="879">
        <f t="shared" si="5"/>
        <v>0.1963204829797994</v>
      </c>
      <c r="H566" s="879"/>
    </row>
    <row r="567" spans="1:8">
      <c r="A567" t="s">
        <v>240</v>
      </c>
      <c r="B567" s="784">
        <v>0</v>
      </c>
      <c r="C567" s="1026">
        <v>130262220</v>
      </c>
      <c r="D567" s="879">
        <f t="shared" si="5"/>
        <v>0</v>
      </c>
      <c r="H567" s="879"/>
    </row>
    <row r="568" spans="1:8">
      <c r="A568" t="s">
        <v>241</v>
      </c>
      <c r="B568" s="784">
        <v>2349534</v>
      </c>
      <c r="C568" s="1026">
        <v>116255</v>
      </c>
      <c r="D568" s="879">
        <f t="shared" si="5"/>
        <v>20.210175906412626</v>
      </c>
      <c r="H568" s="879"/>
    </row>
    <row r="569" spans="1:8">
      <c r="A569" t="s">
        <v>242</v>
      </c>
      <c r="B569" s="784">
        <v>13333693.149999999</v>
      </c>
      <c r="C569" s="1026">
        <v>4024025</v>
      </c>
      <c r="D569" s="879">
        <f t="shared" si="5"/>
        <v>3.3135214492951706</v>
      </c>
      <c r="H569" s="879"/>
    </row>
    <row r="570" spans="1:8">
      <c r="A570" t="s">
        <v>243</v>
      </c>
      <c r="B570" s="784">
        <v>37890178</v>
      </c>
      <c r="C570" s="1026">
        <v>3329282</v>
      </c>
      <c r="D570" s="879">
        <f t="shared" si="5"/>
        <v>11.380885728514436</v>
      </c>
      <c r="H570" s="879"/>
    </row>
    <row r="571" spans="1:8">
      <c r="A571" t="s">
        <v>244</v>
      </c>
      <c r="B571" s="784">
        <v>900000</v>
      </c>
      <c r="C571" s="1026">
        <v>628051</v>
      </c>
      <c r="D571" s="879">
        <f t="shared" si="5"/>
        <v>1.4330046445272757</v>
      </c>
      <c r="H571" s="879"/>
    </row>
    <row r="572" spans="1:8">
      <c r="A572" t="s">
        <v>245</v>
      </c>
      <c r="B572" s="784">
        <v>4186000</v>
      </c>
      <c r="C572" s="1026">
        <v>37344787</v>
      </c>
      <c r="D572" s="879">
        <f t="shared" si="5"/>
        <v>0.11209061120096896</v>
      </c>
      <c r="H572" s="879"/>
    </row>
    <row r="573" spans="1:8">
      <c r="A573" t="s">
        <v>246</v>
      </c>
      <c r="B573" s="784">
        <v>38021874.022962958</v>
      </c>
      <c r="C573" s="1026">
        <v>32163045</v>
      </c>
      <c r="D573" s="879">
        <f t="shared" si="5"/>
        <v>1.1821602719196196</v>
      </c>
      <c r="H573" s="879"/>
    </row>
    <row r="574" spans="1:8">
      <c r="A574" t="s">
        <v>247</v>
      </c>
      <c r="B574" s="784">
        <v>9951357</v>
      </c>
      <c r="C574" s="1026">
        <v>54806014</v>
      </c>
      <c r="D574" s="879">
        <f t="shared" si="5"/>
        <v>0.18157417906728265</v>
      </c>
      <c r="H574" s="879"/>
    </row>
    <row r="575" spans="1:8">
      <c r="A575" t="s">
        <v>248</v>
      </c>
      <c r="B575" s="784">
        <v>4642000</v>
      </c>
      <c r="C575" s="1026">
        <v>2587344</v>
      </c>
      <c r="D575" s="879">
        <f t="shared" si="5"/>
        <v>1.7941178289396384</v>
      </c>
      <c r="H575" s="879"/>
    </row>
    <row r="576" spans="1:8">
      <c r="A576" t="s">
        <v>250</v>
      </c>
      <c r="B576" s="784">
        <v>23056111.185185187</v>
      </c>
      <c r="C576" s="1026">
        <v>29674920</v>
      </c>
      <c r="D576" s="879">
        <f t="shared" si="5"/>
        <v>0.77695613619801462</v>
      </c>
      <c r="H576" s="879"/>
    </row>
    <row r="577" spans="1:8">
      <c r="A577" t="s">
        <v>251</v>
      </c>
      <c r="B577" s="784">
        <v>5450593.2999999998</v>
      </c>
      <c r="C577" s="1026">
        <v>6702379</v>
      </c>
      <c r="D577" s="879">
        <f t="shared" si="5"/>
        <v>0.81323262978712485</v>
      </c>
      <c r="H577" s="879"/>
    </row>
    <row r="578" spans="1:8">
      <c r="A578" t="s">
        <v>252</v>
      </c>
      <c r="B578" s="784">
        <v>21617971.449999999</v>
      </c>
      <c r="C578" s="1026">
        <v>25130810</v>
      </c>
      <c r="D578" s="879">
        <f t="shared" si="5"/>
        <v>0.86021785410020601</v>
      </c>
      <c r="H578" s="879"/>
    </row>
    <row r="579" spans="1:8">
      <c r="A579" t="s">
        <v>253</v>
      </c>
      <c r="B579" s="784">
        <v>107787093.3</v>
      </c>
      <c r="C579" s="1026">
        <v>211400704</v>
      </c>
      <c r="D579" s="879">
        <f t="shared" si="5"/>
        <v>0.50987102341910839</v>
      </c>
      <c r="H579" s="879"/>
    </row>
    <row r="580" spans="1:8">
      <c r="A580" t="s">
        <v>254</v>
      </c>
      <c r="B580" s="784">
        <v>1600000</v>
      </c>
      <c r="C580" s="1026">
        <v>2082662</v>
      </c>
      <c r="D580" s="879">
        <f t="shared" si="5"/>
        <v>0.7682475600937646</v>
      </c>
      <c r="H580" s="879"/>
    </row>
    <row r="581" spans="1:8">
      <c r="A581" t="s">
        <v>255</v>
      </c>
      <c r="B581" s="784">
        <v>31818535</v>
      </c>
      <c r="C581" s="1026">
        <v>225199929</v>
      </c>
      <c r="D581" s="879">
        <f t="shared" si="5"/>
        <v>0.14129016443872858</v>
      </c>
      <c r="H581" s="879"/>
    </row>
    <row r="582" spans="1:8">
      <c r="A582" t="s">
        <v>257</v>
      </c>
      <c r="B582" s="784">
        <v>1900000</v>
      </c>
      <c r="C582" s="1026">
        <v>4381583</v>
      </c>
      <c r="D582" s="879">
        <f t="shared" si="5"/>
        <v>0.43363323255544856</v>
      </c>
      <c r="H582" s="879"/>
    </row>
    <row r="583" spans="1:8">
      <c r="A583" t="s">
        <v>258</v>
      </c>
      <c r="B583" s="784">
        <v>33311713</v>
      </c>
      <c r="C583" s="1026">
        <v>9119005</v>
      </c>
      <c r="D583" s="879">
        <f t="shared" si="5"/>
        <v>3.652998655006769</v>
      </c>
      <c r="H583" s="879"/>
    </row>
    <row r="584" spans="1:8">
      <c r="A584" t="s">
        <v>259</v>
      </c>
      <c r="B584" s="784">
        <v>4613888</v>
      </c>
      <c r="C584" s="1026">
        <v>7219641</v>
      </c>
      <c r="D584" s="879">
        <f t="shared" si="5"/>
        <v>0.63907443597264735</v>
      </c>
      <c r="H584" s="879"/>
    </row>
    <row r="585" spans="1:8">
      <c r="A585" t="s">
        <v>260</v>
      </c>
      <c r="B585" s="784">
        <v>507941630</v>
      </c>
      <c r="C585" s="1026">
        <v>33359416</v>
      </c>
      <c r="D585" s="879">
        <f t="shared" si="5"/>
        <v>15.226334597703989</v>
      </c>
      <c r="H585" s="879"/>
    </row>
    <row r="586" spans="1:8">
      <c r="A586" t="s">
        <v>261</v>
      </c>
      <c r="B586" s="784">
        <v>49808705.700000003</v>
      </c>
      <c r="C586" s="1026">
        <v>111046910</v>
      </c>
      <c r="D586" s="879">
        <f t="shared" si="5"/>
        <v>0.44853752076487319</v>
      </c>
      <c r="H586" s="879"/>
    </row>
    <row r="587" spans="1:8">
      <c r="A587" t="s">
        <v>151</v>
      </c>
      <c r="B587" s="784">
        <v>2450000</v>
      </c>
      <c r="C587" s="1026">
        <v>19237682</v>
      </c>
      <c r="D587" s="879">
        <f t="shared" si="5"/>
        <v>0.12735422074239505</v>
      </c>
      <c r="H587" s="879"/>
    </row>
    <row r="588" spans="1:8">
      <c r="A588" t="s">
        <v>263</v>
      </c>
      <c r="B588" s="784">
        <v>0</v>
      </c>
      <c r="C588" s="1026">
        <v>145934460</v>
      </c>
      <c r="D588" s="879">
        <f t="shared" si="5"/>
        <v>0</v>
      </c>
      <c r="H588" s="879"/>
    </row>
    <row r="589" spans="1:8">
      <c r="A589" t="s">
        <v>264</v>
      </c>
      <c r="B589" s="784">
        <v>11400002.888888888</v>
      </c>
      <c r="C589" s="1026">
        <v>13276517</v>
      </c>
      <c r="D589" s="879">
        <f t="shared" si="5"/>
        <v>0.85865915653095526</v>
      </c>
      <c r="H589" s="879"/>
    </row>
    <row r="590" spans="1:8">
      <c r="A590" t="s">
        <v>265</v>
      </c>
      <c r="B590" s="784">
        <v>3386695</v>
      </c>
      <c r="C590" s="1026">
        <v>200144</v>
      </c>
      <c r="D590" s="879">
        <f t="shared" si="5"/>
        <v>16.921291669997601</v>
      </c>
      <c r="H590" s="879"/>
    </row>
    <row r="591" spans="1:8">
      <c r="A591" t="s">
        <v>266</v>
      </c>
      <c r="B591" s="784">
        <v>3478352</v>
      </c>
      <c r="C591" s="1026">
        <v>223364</v>
      </c>
      <c r="D591" s="879">
        <f t="shared" si="5"/>
        <v>15.572572124424706</v>
      </c>
      <c r="H591" s="879"/>
    </row>
    <row r="592" spans="1:8">
      <c r="A592" t="s">
        <v>267</v>
      </c>
      <c r="B592" s="784">
        <v>61976024.296296299</v>
      </c>
      <c r="C592" s="1026">
        <v>17196308</v>
      </c>
      <c r="D592" s="879">
        <f t="shared" si="5"/>
        <v>3.6040308359385222</v>
      </c>
      <c r="H592" s="879"/>
    </row>
    <row r="593" spans="1:8">
      <c r="A593" t="s">
        <v>153</v>
      </c>
      <c r="B593" s="784">
        <v>2600000</v>
      </c>
      <c r="C593" s="1026">
        <v>8697547</v>
      </c>
      <c r="D593" s="879">
        <f t="shared" si="5"/>
        <v>0.29893486059920116</v>
      </c>
      <c r="H593" s="879"/>
    </row>
    <row r="594" spans="1:8">
      <c r="A594" t="s">
        <v>269</v>
      </c>
      <c r="B594" s="784">
        <v>16610857.560000001</v>
      </c>
      <c r="C594" s="1026">
        <v>8141343</v>
      </c>
      <c r="D594" s="879">
        <f t="shared" si="5"/>
        <v>2.0403092659282382</v>
      </c>
      <c r="H594" s="879"/>
    </row>
    <row r="595" spans="1:8">
      <c r="A595" t="s">
        <v>270</v>
      </c>
      <c r="B595" s="784">
        <v>3743361</v>
      </c>
      <c r="C595" s="1026">
        <v>703995</v>
      </c>
      <c r="D595" s="879">
        <f t="shared" si="5"/>
        <v>5.3173119127266526</v>
      </c>
      <c r="H595" s="879"/>
    </row>
    <row r="596" spans="1:8">
      <c r="A596" t="s">
        <v>271</v>
      </c>
      <c r="B596" s="784">
        <v>33362406.627407406</v>
      </c>
      <c r="C596" s="1026">
        <v>16359500</v>
      </c>
      <c r="D596" s="879">
        <f t="shared" si="5"/>
        <v>2.039329235453859</v>
      </c>
      <c r="H596" s="879"/>
    </row>
    <row r="597" spans="1:8">
      <c r="A597" t="s">
        <v>272</v>
      </c>
      <c r="B597" s="784">
        <v>13414785</v>
      </c>
      <c r="C597" s="1026">
        <v>60041996</v>
      </c>
      <c r="D597" s="879">
        <f t="shared" si="5"/>
        <v>0.22342336853691538</v>
      </c>
      <c r="H597" s="879"/>
    </row>
    <row r="598" spans="1:8">
      <c r="A598" t="s">
        <v>273</v>
      </c>
      <c r="B598" s="784">
        <v>19569098.407407407</v>
      </c>
      <c r="C598" s="1026">
        <v>11381377</v>
      </c>
      <c r="D598" s="879">
        <f t="shared" si="5"/>
        <v>1.7193963794897056</v>
      </c>
      <c r="H598" s="879"/>
    </row>
    <row r="599" spans="1:8">
      <c r="A599" t="s">
        <v>274</v>
      </c>
      <c r="B599" s="784">
        <v>94317991</v>
      </c>
      <c r="C599" s="1026">
        <v>21497306</v>
      </c>
      <c r="D599" s="879">
        <f t="shared" si="5"/>
        <v>4.3874330578910676</v>
      </c>
      <c r="H599" s="879"/>
    </row>
    <row r="600" spans="1:8">
      <c r="A600" t="s">
        <v>154</v>
      </c>
      <c r="B600" s="784">
        <v>355000</v>
      </c>
      <c r="C600" s="1026">
        <v>184401</v>
      </c>
      <c r="D600" s="879">
        <f t="shared" si="5"/>
        <v>1.9251522497166502</v>
      </c>
      <c r="H600" s="879"/>
    </row>
    <row r="601" spans="1:8">
      <c r="A601" t="s">
        <v>155</v>
      </c>
      <c r="B601" s="784">
        <v>570000</v>
      </c>
      <c r="C601" s="1026">
        <v>111269</v>
      </c>
      <c r="D601" s="879">
        <f t="shared" si="5"/>
        <v>5.1227206140074957</v>
      </c>
      <c r="H601" s="879"/>
    </row>
    <row r="602" spans="1:8">
      <c r="A602" t="s">
        <v>276</v>
      </c>
      <c r="B602" s="784">
        <v>3007999.54</v>
      </c>
      <c r="C602" s="1026">
        <v>5222756</v>
      </c>
      <c r="D602" s="879">
        <f t="shared" si="5"/>
        <v>0.57594104338782048</v>
      </c>
      <c r="H602" s="879"/>
    </row>
    <row r="603" spans="1:8">
      <c r="A603" t="s">
        <v>277</v>
      </c>
      <c r="B603" s="784">
        <v>64145713.379629627</v>
      </c>
      <c r="C603" s="1026">
        <v>44909351</v>
      </c>
      <c r="D603" s="879">
        <f t="shared" si="5"/>
        <v>1.4283375722715215</v>
      </c>
      <c r="H603" s="879"/>
    </row>
    <row r="604" spans="1:8">
      <c r="A604" t="s">
        <v>278</v>
      </c>
      <c r="B604" s="784">
        <v>282294</v>
      </c>
      <c r="C604" s="1026">
        <v>591798</v>
      </c>
      <c r="D604" s="879">
        <f t="shared" si="5"/>
        <v>0.47701073677166872</v>
      </c>
      <c r="H604" s="879"/>
    </row>
    <row r="605" spans="1:8">
      <c r="A605" t="s">
        <v>279</v>
      </c>
      <c r="B605" s="784">
        <v>10340306.722222222</v>
      </c>
      <c r="C605" s="1026">
        <v>18275704</v>
      </c>
      <c r="D605" s="879">
        <f t="shared" si="5"/>
        <v>0.56579526141494862</v>
      </c>
      <c r="H605" s="879"/>
    </row>
    <row r="606" spans="1:8">
      <c r="A606" t="s">
        <v>280</v>
      </c>
      <c r="B606" s="784">
        <v>7469931.77962963</v>
      </c>
      <c r="C606" s="1026">
        <v>9749625</v>
      </c>
      <c r="D606" s="879">
        <f t="shared" si="5"/>
        <v>0.76617631751268689</v>
      </c>
      <c r="H606" s="879"/>
    </row>
    <row r="607" spans="1:8">
      <c r="A607" t="s">
        <v>156</v>
      </c>
      <c r="B607" s="784">
        <v>13367742.4</v>
      </c>
      <c r="C607" s="1026">
        <v>61498438</v>
      </c>
      <c r="D607" s="879">
        <f t="shared" si="5"/>
        <v>0.21736718581372749</v>
      </c>
      <c r="H607" s="879"/>
    </row>
    <row r="608" spans="1:8">
      <c r="A608" t="s">
        <v>157</v>
      </c>
      <c r="B608" s="784">
        <v>2166102</v>
      </c>
      <c r="C608" s="1026">
        <v>69950844</v>
      </c>
      <c r="D608" s="879">
        <f t="shared" si="5"/>
        <v>3.0966059537466051E-2</v>
      </c>
      <c r="H608" s="879"/>
    </row>
    <row r="609" spans="1:8">
      <c r="A609" t="s">
        <v>281</v>
      </c>
      <c r="B609" s="784">
        <v>7081834</v>
      </c>
      <c r="C609" s="1026">
        <v>1343875</v>
      </c>
      <c r="D609" s="879">
        <f t="shared" si="5"/>
        <v>5.2697118407589993</v>
      </c>
      <c r="H609" s="879"/>
    </row>
    <row r="610" spans="1:8">
      <c r="A610" t="s">
        <v>282</v>
      </c>
      <c r="B610" s="784">
        <v>24278324.296296295</v>
      </c>
      <c r="C610" s="1026">
        <v>8478242</v>
      </c>
      <c r="D610" s="879">
        <f t="shared" si="5"/>
        <v>2.8636035980450067</v>
      </c>
      <c r="H610" s="879"/>
    </row>
    <row r="611" spans="1:8">
      <c r="A611" t="s">
        <v>283</v>
      </c>
      <c r="B611" s="784">
        <v>3831969.4814814813</v>
      </c>
      <c r="C611" s="1026">
        <v>106759</v>
      </c>
      <c r="D611" s="879">
        <f t="shared" si="5"/>
        <v>35.893643453774217</v>
      </c>
      <c r="H611" s="879"/>
    </row>
    <row r="612" spans="1:8">
      <c r="A612" t="s">
        <v>285</v>
      </c>
      <c r="B612" s="784">
        <v>17589490.030000001</v>
      </c>
      <c r="C612" s="1026">
        <v>11935764</v>
      </c>
      <c r="D612" s="879">
        <f t="shared" si="5"/>
        <v>1.4736794418857477</v>
      </c>
      <c r="H612" s="879"/>
    </row>
    <row r="613" spans="1:8">
      <c r="A613" t="s">
        <v>286</v>
      </c>
      <c r="B613" s="784">
        <v>0</v>
      </c>
      <c r="C613" s="1026">
        <v>85042736</v>
      </c>
      <c r="D613" s="879">
        <f t="shared" si="5"/>
        <v>0</v>
      </c>
      <c r="H613" s="879"/>
    </row>
    <row r="614" spans="1:8">
      <c r="A614" t="s">
        <v>287</v>
      </c>
      <c r="B614" s="784">
        <v>0</v>
      </c>
      <c r="C614" s="1026">
        <v>6117933</v>
      </c>
      <c r="D614" s="879">
        <f t="shared" si="5"/>
        <v>0</v>
      </c>
      <c r="H614" s="879"/>
    </row>
    <row r="615" spans="1:8">
      <c r="A615" t="s">
        <v>288</v>
      </c>
      <c r="B615" s="784">
        <v>1506389.3703703703</v>
      </c>
      <c r="C615" s="1026">
        <v>77132</v>
      </c>
      <c r="D615" s="879">
        <f t="shared" si="5"/>
        <v>19.530018285152341</v>
      </c>
      <c r="H615" s="879"/>
    </row>
    <row r="616" spans="1:8">
      <c r="A616" t="s">
        <v>289</v>
      </c>
      <c r="B616" s="784">
        <v>36394697.555555552</v>
      </c>
      <c r="C616" s="1026">
        <v>47123533</v>
      </c>
      <c r="D616" s="879">
        <f t="shared" ref="D616:D635" si="6">IFERROR(B616/C616,"")</f>
        <v>0.77232531685507433</v>
      </c>
      <c r="H616" s="879"/>
    </row>
    <row r="617" spans="1:8">
      <c r="A617" t="s">
        <v>290</v>
      </c>
      <c r="B617" s="784">
        <v>81373322.188695669</v>
      </c>
      <c r="C617" s="1026">
        <v>43466822</v>
      </c>
      <c r="D617" s="879">
        <f t="shared" si="6"/>
        <v>1.8720789430774505</v>
      </c>
      <c r="H617" s="879"/>
    </row>
    <row r="618" spans="1:8">
      <c r="A618" t="s">
        <v>292</v>
      </c>
      <c r="B618" s="784">
        <v>7919386</v>
      </c>
      <c r="C618" s="1026">
        <v>33935765</v>
      </c>
      <c r="D618" s="879">
        <f t="shared" si="6"/>
        <v>0.23336400402348378</v>
      </c>
      <c r="H618" s="879"/>
    </row>
    <row r="619" spans="1:8">
      <c r="A619" t="s">
        <v>293</v>
      </c>
      <c r="B619" s="784">
        <v>2554943.2298999997</v>
      </c>
      <c r="C619" s="1026">
        <v>314464</v>
      </c>
      <c r="D619" s="879">
        <f t="shared" si="6"/>
        <v>8.1247558699882969</v>
      </c>
      <c r="H619" s="879"/>
    </row>
    <row r="620" spans="1:8">
      <c r="A620" t="s">
        <v>294</v>
      </c>
      <c r="B620" s="784">
        <v>10296619.84</v>
      </c>
      <c r="C620" s="1026">
        <v>28704947</v>
      </c>
      <c r="D620" s="879">
        <f t="shared" si="6"/>
        <v>0.35870541199745115</v>
      </c>
      <c r="H620" s="879"/>
    </row>
    <row r="621" spans="1:8">
      <c r="A621" t="s">
        <v>295</v>
      </c>
      <c r="B621" s="784">
        <v>9723194</v>
      </c>
      <c r="C621" s="1026">
        <v>98168829</v>
      </c>
      <c r="D621" s="879">
        <f t="shared" si="6"/>
        <v>9.9045634943857791E-2</v>
      </c>
      <c r="H621" s="879"/>
    </row>
    <row r="622" spans="1:8">
      <c r="A622" t="s">
        <v>296</v>
      </c>
      <c r="B622" s="784">
        <v>34718415.159999996</v>
      </c>
      <c r="C622" s="1026">
        <v>30490639</v>
      </c>
      <c r="D622" s="879">
        <f t="shared" si="6"/>
        <v>1.138658168495583</v>
      </c>
      <c r="H622" s="879"/>
    </row>
    <row r="623" spans="1:8">
      <c r="A623" t="s">
        <v>297</v>
      </c>
      <c r="B623" s="784">
        <v>20215751</v>
      </c>
      <c r="C623" s="1026">
        <v>18920657</v>
      </c>
      <c r="D623" s="879">
        <f t="shared" si="6"/>
        <v>1.0684486801911794</v>
      </c>
      <c r="H623" s="879"/>
    </row>
    <row r="624" spans="1:8">
      <c r="A624" t="s">
        <v>298</v>
      </c>
      <c r="B624" s="784">
        <v>6756238</v>
      </c>
      <c r="C624" s="1026">
        <v>15092171</v>
      </c>
      <c r="D624" s="879">
        <f t="shared" si="6"/>
        <v>0.44766508410221434</v>
      </c>
      <c r="H624" s="879"/>
    </row>
    <row r="625" spans="4:8">
      <c r="D625" s="879" t="str">
        <f t="shared" si="6"/>
        <v/>
      </c>
      <c r="H625" s="879"/>
    </row>
    <row r="626" spans="4:8">
      <c r="D626" s="879" t="str">
        <f t="shared" si="6"/>
        <v/>
      </c>
      <c r="H626" s="879"/>
    </row>
    <row r="627" spans="4:8">
      <c r="D627" s="879" t="str">
        <f t="shared" si="6"/>
        <v/>
      </c>
      <c r="H627" s="879"/>
    </row>
    <row r="628" spans="4:8">
      <c r="D628" s="879" t="str">
        <f t="shared" si="6"/>
        <v/>
      </c>
      <c r="H628" s="879"/>
    </row>
    <row r="629" spans="4:8">
      <c r="D629" s="879" t="str">
        <f t="shared" si="6"/>
        <v/>
      </c>
      <c r="H629" s="879"/>
    </row>
    <row r="630" spans="4:8">
      <c r="D630" s="879" t="str">
        <f t="shared" si="6"/>
        <v/>
      </c>
      <c r="H630" s="879"/>
    </row>
    <row r="631" spans="4:8">
      <c r="D631" s="879" t="str">
        <f t="shared" si="6"/>
        <v/>
      </c>
      <c r="H631" s="879"/>
    </row>
    <row r="632" spans="4:8">
      <c r="D632" s="879" t="str">
        <f t="shared" si="6"/>
        <v/>
      </c>
      <c r="H632" s="879"/>
    </row>
    <row r="633" spans="4:8">
      <c r="D633" s="879" t="str">
        <f t="shared" si="6"/>
        <v/>
      </c>
      <c r="H633" s="879"/>
    </row>
    <row r="634" spans="4:8">
      <c r="D634" s="879" t="str">
        <f t="shared" si="6"/>
        <v/>
      </c>
      <c r="H634" s="879"/>
    </row>
    <row r="635" spans="4:8">
      <c r="D635" s="879" t="str">
        <f t="shared" si="6"/>
        <v/>
      </c>
      <c r="H635" s="879"/>
    </row>
  </sheetData>
  <mergeCells count="7">
    <mergeCell ref="A446:B446"/>
    <mergeCell ref="A426:B426"/>
    <mergeCell ref="A1:B1"/>
    <mergeCell ref="A244:B244"/>
    <mergeCell ref="A174:B174"/>
    <mergeCell ref="A213:B213"/>
    <mergeCell ref="A412:B412"/>
  </mergeCells>
  <pageMargins left="0.7" right="0.7" top="0.75" bottom="0.75" header="0.3" footer="0.3"/>
  <pageSetup orientation="portrait" r:id="rId11"/>
  <drawing r:id="rId1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dimension ref="A1:G158"/>
  <sheetViews>
    <sheetView topLeftCell="A118" workbookViewId="0">
      <selection activeCell="E147" sqref="E147:E151"/>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s>
  <sheetData>
    <row r="1" spans="1:7">
      <c r="F1" t="s">
        <v>1867</v>
      </c>
    </row>
    <row r="2" spans="1:7" ht="31">
      <c r="A2" s="771" t="s">
        <v>432</v>
      </c>
      <c r="B2" s="772" t="s">
        <v>433</v>
      </c>
      <c r="C2" s="773" t="s">
        <v>122</v>
      </c>
      <c r="D2" s="774" t="s">
        <v>3</v>
      </c>
      <c r="E2" s="774" t="s">
        <v>741</v>
      </c>
      <c r="F2" s="775" t="s">
        <v>1868</v>
      </c>
      <c r="G2" s="775" t="s">
        <v>1869</v>
      </c>
    </row>
    <row r="3" spans="1:7">
      <c r="A3" s="55" t="s">
        <v>540</v>
      </c>
      <c r="B3" s="55" t="s">
        <v>160</v>
      </c>
      <c r="C3" s="55" t="s">
        <v>132</v>
      </c>
      <c r="D3" s="63" t="s">
        <v>148</v>
      </c>
      <c r="E3" s="63" t="s">
        <v>544</v>
      </c>
      <c r="F3">
        <v>39835428</v>
      </c>
      <c r="G3" s="776">
        <f>F3*0.3</f>
        <v>11950628.4</v>
      </c>
    </row>
    <row r="4" spans="1:7">
      <c r="A4" s="55" t="s">
        <v>547</v>
      </c>
      <c r="B4" s="55" t="s">
        <v>162</v>
      </c>
      <c r="C4" s="55" t="s">
        <v>128</v>
      </c>
      <c r="D4" s="55" t="s">
        <v>150</v>
      </c>
      <c r="E4" s="63" t="s">
        <v>544</v>
      </c>
      <c r="F4">
        <v>33933611</v>
      </c>
      <c r="G4" s="776">
        <f t="shared" ref="G4:G68" si="0">F4*0.3</f>
        <v>10180083.299999999</v>
      </c>
    </row>
    <row r="5" spans="1:7">
      <c r="A5" s="147" t="s">
        <v>543</v>
      </c>
      <c r="B5" s="147" t="s">
        <v>161</v>
      </c>
      <c r="C5" s="55" t="s">
        <v>127</v>
      </c>
      <c r="D5" s="55" t="s">
        <v>152</v>
      </c>
      <c r="E5" s="63" t="s">
        <v>544</v>
      </c>
      <c r="F5">
        <v>2872934</v>
      </c>
      <c r="G5" s="776">
        <f t="shared" si="0"/>
        <v>861880.2</v>
      </c>
    </row>
    <row r="6" spans="1:7">
      <c r="A6" s="147" t="s">
        <v>551</v>
      </c>
      <c r="B6" s="147" t="s">
        <v>164</v>
      </c>
      <c r="C6" s="55" t="s">
        <v>130</v>
      </c>
      <c r="D6" s="55" t="s">
        <v>152</v>
      </c>
      <c r="E6" s="63" t="s">
        <v>544</v>
      </c>
      <c r="F6">
        <v>45605823</v>
      </c>
      <c r="G6" s="776">
        <f t="shared" si="0"/>
        <v>13681746.9</v>
      </c>
    </row>
    <row r="7" spans="1:7">
      <c r="A7" s="147" t="s">
        <v>553</v>
      </c>
      <c r="B7" s="147" t="s">
        <v>165</v>
      </c>
      <c r="C7" s="55" t="s">
        <v>127</v>
      </c>
      <c r="D7" s="55" t="s">
        <v>152</v>
      </c>
      <c r="E7" s="63" t="s">
        <v>544</v>
      </c>
      <c r="F7">
        <v>2968128</v>
      </c>
      <c r="G7" s="776">
        <f t="shared" si="0"/>
        <v>890438.4</v>
      </c>
    </row>
    <row r="8" spans="1:7">
      <c r="A8" s="147" t="s">
        <v>549</v>
      </c>
      <c r="B8" s="147" t="s">
        <v>163</v>
      </c>
      <c r="C8" s="55" t="s">
        <v>130</v>
      </c>
      <c r="D8" s="55" t="s">
        <v>550</v>
      </c>
      <c r="E8" s="55" t="s">
        <v>541</v>
      </c>
      <c r="F8">
        <v>97928</v>
      </c>
      <c r="G8" s="776">
        <f t="shared" si="0"/>
        <v>29378.399999999998</v>
      </c>
    </row>
    <row r="9" spans="1:7">
      <c r="A9" s="55" t="s">
        <v>554</v>
      </c>
      <c r="B9" s="55" t="s">
        <v>166</v>
      </c>
      <c r="C9" s="55" t="s">
        <v>127</v>
      </c>
      <c r="D9" s="55" t="s">
        <v>152</v>
      </c>
      <c r="E9" s="63" t="s">
        <v>544</v>
      </c>
      <c r="F9">
        <v>10223344</v>
      </c>
      <c r="G9" s="776">
        <f t="shared" si="0"/>
        <v>3067003.1999999997</v>
      </c>
    </row>
    <row r="10" spans="1:7">
      <c r="A10" s="55" t="s">
        <v>555</v>
      </c>
      <c r="B10" s="55" t="s">
        <v>556</v>
      </c>
      <c r="C10" s="55" t="s">
        <v>130</v>
      </c>
      <c r="D10" s="55" t="s">
        <v>550</v>
      </c>
      <c r="E10" s="55" t="s">
        <v>541</v>
      </c>
      <c r="G10" s="776"/>
    </row>
    <row r="11" spans="1:7">
      <c r="A11" s="55" t="s">
        <v>570</v>
      </c>
      <c r="B11" s="55" t="s">
        <v>178</v>
      </c>
      <c r="C11" s="55" t="s">
        <v>128</v>
      </c>
      <c r="D11" s="55" t="s">
        <v>148</v>
      </c>
      <c r="E11" s="63" t="s">
        <v>544</v>
      </c>
      <c r="F11">
        <v>12255429</v>
      </c>
      <c r="G11" s="776">
        <f t="shared" si="0"/>
        <v>3676628.6999999997</v>
      </c>
    </row>
    <row r="12" spans="1:7">
      <c r="A12" s="55" t="s">
        <v>561</v>
      </c>
      <c r="B12" s="55" t="s">
        <v>170</v>
      </c>
      <c r="C12" s="55" t="s">
        <v>129</v>
      </c>
      <c r="D12" s="55" t="s">
        <v>150</v>
      </c>
      <c r="E12" s="63" t="s">
        <v>544</v>
      </c>
      <c r="F12">
        <v>12451031</v>
      </c>
      <c r="G12" s="776">
        <f t="shared" si="0"/>
        <v>3735309.3</v>
      </c>
    </row>
    <row r="13" spans="1:7">
      <c r="A13" s="55" t="s">
        <v>569</v>
      </c>
      <c r="B13" s="55" t="s">
        <v>177</v>
      </c>
      <c r="C13" s="55" t="s">
        <v>129</v>
      </c>
      <c r="D13" s="55" t="s">
        <v>148</v>
      </c>
      <c r="E13" s="63" t="s">
        <v>544</v>
      </c>
      <c r="F13">
        <v>21497097</v>
      </c>
      <c r="G13" s="776">
        <f t="shared" si="0"/>
        <v>6449129.0999999996</v>
      </c>
    </row>
    <row r="14" spans="1:7">
      <c r="A14" s="55" t="s">
        <v>557</v>
      </c>
      <c r="B14" s="55" t="s">
        <v>167</v>
      </c>
      <c r="C14" s="55" t="s">
        <v>132</v>
      </c>
      <c r="D14" s="55" t="s">
        <v>150</v>
      </c>
      <c r="E14" s="63" t="s">
        <v>544</v>
      </c>
      <c r="F14">
        <v>166303494</v>
      </c>
      <c r="G14" s="776">
        <f t="shared" si="0"/>
        <v>49891048.199999996</v>
      </c>
    </row>
    <row r="15" spans="1:7">
      <c r="A15" s="147" t="s">
        <v>568</v>
      </c>
      <c r="B15" s="147" t="s">
        <v>176</v>
      </c>
      <c r="C15" s="55" t="s">
        <v>127</v>
      </c>
      <c r="D15" s="55" t="s">
        <v>152</v>
      </c>
      <c r="E15" s="63" t="s">
        <v>544</v>
      </c>
      <c r="F15">
        <v>6948445</v>
      </c>
      <c r="G15" s="776">
        <f t="shared" si="0"/>
        <v>2084533.5</v>
      </c>
    </row>
    <row r="16" spans="1:7">
      <c r="A16" s="55" t="s">
        <v>565</v>
      </c>
      <c r="B16" s="55" t="s">
        <v>174</v>
      </c>
      <c r="C16" s="55" t="s">
        <v>127</v>
      </c>
      <c r="D16" s="55" t="s">
        <v>152</v>
      </c>
      <c r="E16" s="63" t="s">
        <v>544</v>
      </c>
      <c r="F16">
        <v>3263459</v>
      </c>
      <c r="G16" s="776">
        <f t="shared" si="0"/>
        <v>979037.7</v>
      </c>
    </row>
    <row r="17" spans="1:7">
      <c r="A17" s="147" t="s">
        <v>559</v>
      </c>
      <c r="B17" s="147" t="s">
        <v>168</v>
      </c>
      <c r="C17" s="55" t="s">
        <v>127</v>
      </c>
      <c r="D17" s="55" t="s">
        <v>152</v>
      </c>
      <c r="E17" s="63" t="s">
        <v>544</v>
      </c>
      <c r="F17">
        <v>9442867</v>
      </c>
      <c r="G17" s="776">
        <f t="shared" si="0"/>
        <v>2832860.1</v>
      </c>
    </row>
    <row r="18" spans="1:7">
      <c r="A18" s="55" t="s">
        <v>560</v>
      </c>
      <c r="B18" s="55" t="s">
        <v>169</v>
      </c>
      <c r="C18" s="55" t="s">
        <v>130</v>
      </c>
      <c r="D18" s="55" t="s">
        <v>150</v>
      </c>
      <c r="E18" s="55" t="s">
        <v>541</v>
      </c>
      <c r="F18">
        <v>404915</v>
      </c>
      <c r="G18" s="776">
        <f t="shared" si="0"/>
        <v>121474.5</v>
      </c>
    </row>
    <row r="19" spans="1:7">
      <c r="A19" s="55" t="s">
        <v>564</v>
      </c>
      <c r="B19" s="55" t="s">
        <v>172</v>
      </c>
      <c r="C19" s="55" t="s">
        <v>130</v>
      </c>
      <c r="D19" s="55" t="s">
        <v>150</v>
      </c>
      <c r="E19" s="63" t="s">
        <v>544</v>
      </c>
      <c r="F19">
        <v>11832936</v>
      </c>
      <c r="G19" s="776">
        <f t="shared" si="0"/>
        <v>3549880.8</v>
      </c>
    </row>
    <row r="20" spans="1:7">
      <c r="A20" s="55" t="s">
        <v>567</v>
      </c>
      <c r="B20" s="55" t="s">
        <v>144</v>
      </c>
      <c r="C20" s="55" t="s">
        <v>130</v>
      </c>
      <c r="D20" s="55" t="s">
        <v>152</v>
      </c>
      <c r="E20" s="63" t="s">
        <v>544</v>
      </c>
      <c r="F20">
        <v>213993441</v>
      </c>
      <c r="G20" s="776">
        <f t="shared" si="0"/>
        <v>64198032.299999997</v>
      </c>
    </row>
    <row r="21" spans="1:7">
      <c r="A21" s="55" t="s">
        <v>563</v>
      </c>
      <c r="B21" s="55" t="s">
        <v>171</v>
      </c>
      <c r="C21" s="55" t="s">
        <v>132</v>
      </c>
      <c r="D21" s="55" t="s">
        <v>150</v>
      </c>
      <c r="E21" s="63" t="s">
        <v>544</v>
      </c>
      <c r="F21">
        <v>779900</v>
      </c>
      <c r="G21" s="776">
        <f t="shared" si="0"/>
        <v>233970</v>
      </c>
    </row>
    <row r="22" spans="1:7">
      <c r="A22" s="147" t="s">
        <v>566</v>
      </c>
      <c r="B22" s="147" t="s">
        <v>175</v>
      </c>
      <c r="C22" s="55" t="s">
        <v>128</v>
      </c>
      <c r="D22" s="55" t="s">
        <v>152</v>
      </c>
      <c r="E22" s="63" t="s">
        <v>544</v>
      </c>
      <c r="F22">
        <v>2397240</v>
      </c>
      <c r="G22" s="776">
        <f t="shared" si="0"/>
        <v>719172</v>
      </c>
    </row>
    <row r="23" spans="1:7">
      <c r="A23" s="55" t="s">
        <v>574</v>
      </c>
      <c r="B23" s="55" t="s">
        <v>182</v>
      </c>
      <c r="C23" s="55" t="s">
        <v>129</v>
      </c>
      <c r="D23" s="55" t="s">
        <v>148</v>
      </c>
      <c r="E23" s="63" t="s">
        <v>544</v>
      </c>
      <c r="F23">
        <v>4919987</v>
      </c>
      <c r="G23" s="776">
        <f t="shared" si="0"/>
        <v>1475996.0999999999</v>
      </c>
    </row>
    <row r="24" spans="1:7">
      <c r="A24" s="147" t="s">
        <v>577</v>
      </c>
      <c r="B24" s="147" t="s">
        <v>184</v>
      </c>
      <c r="C24" s="55" t="s">
        <v>130</v>
      </c>
      <c r="D24" s="55" t="s">
        <v>550</v>
      </c>
      <c r="E24" s="63" t="s">
        <v>544</v>
      </c>
      <c r="F24">
        <v>19116209</v>
      </c>
      <c r="G24" s="776">
        <f t="shared" si="0"/>
        <v>5734862.7000000002</v>
      </c>
    </row>
    <row r="25" spans="1:7">
      <c r="A25" s="147" t="s">
        <v>578</v>
      </c>
      <c r="B25" s="147" t="s">
        <v>185</v>
      </c>
      <c r="C25" s="55" t="s">
        <v>126</v>
      </c>
      <c r="D25" s="55" t="s">
        <v>152</v>
      </c>
      <c r="E25" s="63" t="s">
        <v>544</v>
      </c>
      <c r="F25">
        <v>1439323774</v>
      </c>
      <c r="G25" s="776">
        <f t="shared" si="0"/>
        <v>431797132.19999999</v>
      </c>
    </row>
    <row r="26" spans="1:7">
      <c r="A26" s="55" t="s">
        <v>586</v>
      </c>
      <c r="B26" s="55" t="s">
        <v>192</v>
      </c>
      <c r="C26" s="55" t="s">
        <v>129</v>
      </c>
      <c r="D26" s="55" t="s">
        <v>150</v>
      </c>
      <c r="E26" s="63" t="s">
        <v>544</v>
      </c>
      <c r="F26">
        <v>27053629</v>
      </c>
      <c r="G26" s="776">
        <f t="shared" si="0"/>
        <v>8116088.6999999993</v>
      </c>
    </row>
    <row r="27" spans="1:7">
      <c r="A27" s="55" t="s">
        <v>573</v>
      </c>
      <c r="B27" s="55" t="s">
        <v>181</v>
      </c>
      <c r="C27" s="55" t="s">
        <v>129</v>
      </c>
      <c r="D27" s="55" t="s">
        <v>150</v>
      </c>
      <c r="E27" s="63" t="s">
        <v>544</v>
      </c>
      <c r="F27">
        <v>27224262</v>
      </c>
      <c r="G27" s="776">
        <f t="shared" si="0"/>
        <v>8167278.5999999996</v>
      </c>
    </row>
    <row r="28" spans="1:7">
      <c r="A28" s="55" t="s">
        <v>581</v>
      </c>
      <c r="B28" s="55" t="s">
        <v>188</v>
      </c>
      <c r="C28" s="55" t="s">
        <v>129</v>
      </c>
      <c r="D28" s="55" t="s">
        <v>148</v>
      </c>
      <c r="E28" s="63" t="s">
        <v>544</v>
      </c>
      <c r="F28">
        <v>92377986</v>
      </c>
      <c r="G28" s="776">
        <f t="shared" si="0"/>
        <v>27713395.800000001</v>
      </c>
    </row>
    <row r="29" spans="1:7">
      <c r="A29" s="55" t="s">
        <v>582</v>
      </c>
      <c r="B29" s="55" t="s">
        <v>189</v>
      </c>
      <c r="C29" s="55" t="s">
        <v>129</v>
      </c>
      <c r="D29" s="55" t="s">
        <v>150</v>
      </c>
      <c r="E29" s="63" t="s">
        <v>544</v>
      </c>
      <c r="F29">
        <v>5657017</v>
      </c>
      <c r="G29" s="776">
        <f t="shared" si="0"/>
        <v>1697105.0999999999</v>
      </c>
    </row>
    <row r="30" spans="1:7">
      <c r="A30" s="55" t="s">
        <v>584</v>
      </c>
      <c r="B30" s="55" t="s">
        <v>190</v>
      </c>
      <c r="C30" s="55" t="s">
        <v>126</v>
      </c>
      <c r="D30" s="55" t="s">
        <v>322</v>
      </c>
      <c r="E30" s="55" t="s">
        <v>541</v>
      </c>
      <c r="F30">
        <v>17564</v>
      </c>
      <c r="G30" s="776">
        <f t="shared" si="0"/>
        <v>5269.2</v>
      </c>
    </row>
    <row r="31" spans="1:7">
      <c r="A31" s="147" t="s">
        <v>579</v>
      </c>
      <c r="B31" s="147" t="s">
        <v>186</v>
      </c>
      <c r="C31" s="55" t="s">
        <v>130</v>
      </c>
      <c r="D31" s="55" t="s">
        <v>152</v>
      </c>
      <c r="E31" s="63" t="s">
        <v>544</v>
      </c>
      <c r="F31">
        <v>51265841</v>
      </c>
      <c r="G31" s="776">
        <f t="shared" si="0"/>
        <v>15379752.299999999</v>
      </c>
    </row>
    <row r="32" spans="1:7">
      <c r="A32" s="55" t="s">
        <v>580</v>
      </c>
      <c r="B32" s="55" t="s">
        <v>187</v>
      </c>
      <c r="C32" s="55" t="s">
        <v>128</v>
      </c>
      <c r="D32" s="55" t="s">
        <v>150</v>
      </c>
      <c r="E32" s="55" t="s">
        <v>541</v>
      </c>
      <c r="F32">
        <v>888456</v>
      </c>
      <c r="G32" s="776">
        <f t="shared" si="0"/>
        <v>266536.8</v>
      </c>
    </row>
    <row r="33" spans="1:7">
      <c r="A33" s="55" t="s">
        <v>571</v>
      </c>
      <c r="B33" s="55" t="s">
        <v>179</v>
      </c>
      <c r="C33" s="55" t="s">
        <v>129</v>
      </c>
      <c r="D33" s="55" t="s">
        <v>150</v>
      </c>
      <c r="E33" s="55" t="s">
        <v>541</v>
      </c>
      <c r="F33">
        <v>561901</v>
      </c>
      <c r="G33" s="776">
        <f t="shared" si="0"/>
        <v>168570.3</v>
      </c>
    </row>
    <row r="34" spans="1:7">
      <c r="A34" s="55" t="s">
        <v>585</v>
      </c>
      <c r="B34" s="55" t="s">
        <v>191</v>
      </c>
      <c r="C34" s="55" t="s">
        <v>130</v>
      </c>
      <c r="D34" s="55" t="s">
        <v>152</v>
      </c>
      <c r="E34" s="63" t="s">
        <v>544</v>
      </c>
      <c r="F34">
        <v>5139053</v>
      </c>
      <c r="G34" s="776">
        <f t="shared" si="0"/>
        <v>1541715.9</v>
      </c>
    </row>
    <row r="35" spans="1:7">
      <c r="A35" s="55" t="s">
        <v>588</v>
      </c>
      <c r="B35" s="55" t="s">
        <v>147</v>
      </c>
      <c r="C35" s="55" t="s">
        <v>130</v>
      </c>
      <c r="D35" s="55" t="s">
        <v>152</v>
      </c>
      <c r="E35" s="55" t="s">
        <v>541</v>
      </c>
      <c r="F35">
        <v>11317498</v>
      </c>
      <c r="G35" s="776">
        <f t="shared" si="0"/>
        <v>3395249.4</v>
      </c>
    </row>
    <row r="36" spans="1:7">
      <c r="A36" s="55" t="s">
        <v>589</v>
      </c>
      <c r="B36" s="55" t="s">
        <v>194</v>
      </c>
      <c r="C36" s="55" t="s">
        <v>131</v>
      </c>
      <c r="D36" s="55" t="s">
        <v>150</v>
      </c>
      <c r="E36" s="63" t="s">
        <v>544</v>
      </c>
      <c r="F36">
        <v>1002197</v>
      </c>
      <c r="G36" s="776">
        <f t="shared" si="0"/>
        <v>300659.09999999998</v>
      </c>
    </row>
    <row r="37" spans="1:7">
      <c r="A37" s="55" t="s">
        <v>590</v>
      </c>
      <c r="B37" s="55" t="s">
        <v>195</v>
      </c>
      <c r="C37" s="55" t="s">
        <v>130</v>
      </c>
      <c r="D37" s="55" t="s">
        <v>152</v>
      </c>
      <c r="E37" s="55" t="s">
        <v>541</v>
      </c>
      <c r="F37">
        <v>71625</v>
      </c>
      <c r="G37" s="776">
        <f t="shared" si="0"/>
        <v>21487.5</v>
      </c>
    </row>
    <row r="38" spans="1:7">
      <c r="A38" s="147" t="s">
        <v>591</v>
      </c>
      <c r="B38" s="147" t="s">
        <v>196</v>
      </c>
      <c r="C38" s="55" t="s">
        <v>130</v>
      </c>
      <c r="D38" s="55" t="s">
        <v>152</v>
      </c>
      <c r="E38" s="55" t="s">
        <v>541</v>
      </c>
      <c r="F38">
        <v>10953714</v>
      </c>
      <c r="G38" s="776">
        <f t="shared" si="0"/>
        <v>3286114.1999999997</v>
      </c>
    </row>
    <row r="39" spans="1:7">
      <c r="A39" s="55" t="s">
        <v>545</v>
      </c>
      <c r="B39" s="55" t="s">
        <v>143</v>
      </c>
      <c r="C39" s="55" t="s">
        <v>131</v>
      </c>
      <c r="D39" s="55" t="s">
        <v>150</v>
      </c>
      <c r="E39" s="63" t="s">
        <v>544</v>
      </c>
      <c r="F39">
        <v>44616626</v>
      </c>
      <c r="G39" s="776">
        <f t="shared" si="0"/>
        <v>13384987.799999999</v>
      </c>
    </row>
    <row r="40" spans="1:7">
      <c r="A40" s="55" t="s">
        <v>592</v>
      </c>
      <c r="B40" s="55" t="s">
        <v>197</v>
      </c>
      <c r="C40" s="55" t="s">
        <v>130</v>
      </c>
      <c r="D40" s="55" t="s">
        <v>152</v>
      </c>
      <c r="E40" s="63" t="s">
        <v>544</v>
      </c>
      <c r="F40">
        <v>17888474</v>
      </c>
      <c r="G40" s="776">
        <f t="shared" si="0"/>
        <v>5366542.2</v>
      </c>
    </row>
    <row r="41" spans="1:7">
      <c r="A41" s="55" t="s">
        <v>593</v>
      </c>
      <c r="B41" s="55" t="s">
        <v>198</v>
      </c>
      <c r="C41" s="55" t="s">
        <v>131</v>
      </c>
      <c r="D41" s="55" t="s">
        <v>150</v>
      </c>
      <c r="E41" s="63" t="s">
        <v>544</v>
      </c>
      <c r="F41">
        <v>104258327</v>
      </c>
      <c r="G41" s="776">
        <f t="shared" si="0"/>
        <v>31277498.099999998</v>
      </c>
    </row>
    <row r="42" spans="1:7">
      <c r="A42" s="55" t="s">
        <v>596</v>
      </c>
      <c r="B42" s="55" t="s">
        <v>201</v>
      </c>
      <c r="C42" s="55" t="s">
        <v>128</v>
      </c>
      <c r="D42" s="55" t="s">
        <v>148</v>
      </c>
      <c r="E42" s="63" t="s">
        <v>544</v>
      </c>
      <c r="F42">
        <v>3601462</v>
      </c>
      <c r="G42" s="776">
        <f t="shared" si="0"/>
        <v>1080438.5999999999</v>
      </c>
    </row>
    <row r="43" spans="1:7">
      <c r="A43" s="55" t="s">
        <v>598</v>
      </c>
      <c r="B43" s="55" t="s">
        <v>203</v>
      </c>
      <c r="C43" s="55" t="s">
        <v>128</v>
      </c>
      <c r="D43" s="55" t="s">
        <v>148</v>
      </c>
      <c r="E43" s="63" t="s">
        <v>544</v>
      </c>
      <c r="F43">
        <v>117876226</v>
      </c>
      <c r="G43" s="776">
        <f t="shared" si="0"/>
        <v>35362867.799999997</v>
      </c>
    </row>
    <row r="44" spans="1:7">
      <c r="A44" s="55" t="s">
        <v>599</v>
      </c>
      <c r="B44" s="55" t="s">
        <v>204</v>
      </c>
      <c r="C44" s="55" t="s">
        <v>126</v>
      </c>
      <c r="D44" s="55" t="s">
        <v>152</v>
      </c>
      <c r="E44" s="55" t="s">
        <v>541</v>
      </c>
      <c r="F44">
        <v>902899</v>
      </c>
      <c r="G44" s="776">
        <f t="shared" si="0"/>
        <v>270869.7</v>
      </c>
    </row>
    <row r="45" spans="1:7">
      <c r="A45" s="55" t="s">
        <v>637</v>
      </c>
      <c r="B45" s="55" t="s">
        <v>241</v>
      </c>
      <c r="C45" s="55" t="s">
        <v>126</v>
      </c>
      <c r="D45" s="55" t="s">
        <v>150</v>
      </c>
      <c r="E45" s="55" t="s">
        <v>541</v>
      </c>
      <c r="F45">
        <v>116255</v>
      </c>
      <c r="G45" s="776">
        <f t="shared" si="0"/>
        <v>34876.5</v>
      </c>
    </row>
    <row r="46" spans="1:7">
      <c r="A46" s="55" t="s">
        <v>600</v>
      </c>
      <c r="B46" s="55" t="s">
        <v>205</v>
      </c>
      <c r="C46" s="55" t="s">
        <v>129</v>
      </c>
      <c r="D46" s="55" t="s">
        <v>152</v>
      </c>
      <c r="E46" s="63" t="s">
        <v>544</v>
      </c>
      <c r="F46">
        <v>2278829</v>
      </c>
      <c r="G46" s="776">
        <f t="shared" si="0"/>
        <v>683648.7</v>
      </c>
    </row>
    <row r="47" spans="1:7">
      <c r="A47" s="55" t="s">
        <v>602</v>
      </c>
      <c r="B47" s="55" t="s">
        <v>207</v>
      </c>
      <c r="C47" s="55" t="s">
        <v>127</v>
      </c>
      <c r="D47" s="55" t="s">
        <v>152</v>
      </c>
      <c r="E47" s="63" t="s">
        <v>544</v>
      </c>
      <c r="F47">
        <v>3979773</v>
      </c>
      <c r="G47" s="776">
        <f t="shared" si="0"/>
        <v>1193931.8999999999</v>
      </c>
    </row>
    <row r="48" spans="1:7">
      <c r="A48" s="55" t="s">
        <v>603</v>
      </c>
      <c r="B48" s="55" t="s">
        <v>208</v>
      </c>
      <c r="C48" s="55" t="s">
        <v>129</v>
      </c>
      <c r="D48" s="55" t="s">
        <v>150</v>
      </c>
      <c r="E48" s="63" t="s">
        <v>544</v>
      </c>
      <c r="F48">
        <v>31732128</v>
      </c>
      <c r="G48" s="776">
        <f t="shared" si="0"/>
        <v>9519638.4000000004</v>
      </c>
    </row>
    <row r="49" spans="1:7">
      <c r="A49" s="55" t="s">
        <v>606</v>
      </c>
      <c r="B49" s="55" t="s">
        <v>211</v>
      </c>
      <c r="C49" s="55" t="s">
        <v>129</v>
      </c>
      <c r="D49" s="55" t="s">
        <v>148</v>
      </c>
      <c r="E49" s="63" t="s">
        <v>544</v>
      </c>
      <c r="F49">
        <v>13497237</v>
      </c>
      <c r="G49" s="776">
        <f t="shared" si="0"/>
        <v>4049171.0999999996</v>
      </c>
    </row>
    <row r="50" spans="1:7">
      <c r="A50" s="55" t="s">
        <v>601</v>
      </c>
      <c r="B50" s="55" t="s">
        <v>206</v>
      </c>
      <c r="C50" s="55" t="s">
        <v>129</v>
      </c>
      <c r="D50" s="55" t="s">
        <v>148</v>
      </c>
      <c r="E50" s="63" t="s">
        <v>544</v>
      </c>
      <c r="F50">
        <v>2486937</v>
      </c>
      <c r="G50" s="776">
        <f t="shared" si="0"/>
        <v>746081.1</v>
      </c>
    </row>
    <row r="51" spans="1:7">
      <c r="A51" s="55" t="s">
        <v>607</v>
      </c>
      <c r="B51" s="55" t="s">
        <v>212</v>
      </c>
      <c r="C51" s="55" t="s">
        <v>129</v>
      </c>
      <c r="D51" s="55" t="s">
        <v>148</v>
      </c>
      <c r="E51" s="55" t="s">
        <v>541</v>
      </c>
      <c r="F51">
        <v>2015490</v>
      </c>
      <c r="G51" s="776">
        <f t="shared" si="0"/>
        <v>604647</v>
      </c>
    </row>
    <row r="52" spans="1:7">
      <c r="A52" s="147" t="s">
        <v>595</v>
      </c>
      <c r="B52" s="147" t="s">
        <v>200</v>
      </c>
      <c r="C52" s="55" t="s">
        <v>130</v>
      </c>
      <c r="D52" s="55" t="s">
        <v>152</v>
      </c>
      <c r="E52" s="63" t="s">
        <v>544</v>
      </c>
      <c r="F52">
        <v>1449891</v>
      </c>
      <c r="G52" s="776">
        <f t="shared" si="0"/>
        <v>434967.3</v>
      </c>
    </row>
    <row r="53" spans="1:7">
      <c r="A53" s="55" t="s">
        <v>604</v>
      </c>
      <c r="B53" s="55" t="s">
        <v>209</v>
      </c>
      <c r="C53" s="55" t="s">
        <v>130</v>
      </c>
      <c r="D53" s="55" t="s">
        <v>152</v>
      </c>
      <c r="E53" s="55" t="s">
        <v>541</v>
      </c>
      <c r="F53">
        <v>113015</v>
      </c>
      <c r="G53" s="776">
        <f t="shared" si="0"/>
        <v>33904.5</v>
      </c>
    </row>
    <row r="54" spans="1:7">
      <c r="A54" s="147" t="s">
        <v>605</v>
      </c>
      <c r="B54" s="147" t="s">
        <v>210</v>
      </c>
      <c r="C54" s="55" t="s">
        <v>130</v>
      </c>
      <c r="D54" s="55" t="s">
        <v>152</v>
      </c>
      <c r="E54" s="63" t="s">
        <v>544</v>
      </c>
      <c r="F54">
        <v>18249868</v>
      </c>
      <c r="G54" s="776">
        <f t="shared" si="0"/>
        <v>5474960.3999999994</v>
      </c>
    </row>
    <row r="55" spans="1:7">
      <c r="A55" s="55" t="s">
        <v>608</v>
      </c>
      <c r="B55" s="55" t="s">
        <v>213</v>
      </c>
      <c r="C55" s="55" t="s">
        <v>130</v>
      </c>
      <c r="D55" s="55" t="s">
        <v>152</v>
      </c>
      <c r="E55" s="55" t="s">
        <v>541</v>
      </c>
      <c r="F55">
        <v>790329</v>
      </c>
      <c r="G55" s="776">
        <f t="shared" si="0"/>
        <v>237098.69999999998</v>
      </c>
    </row>
    <row r="56" spans="1:7">
      <c r="A56" s="55" t="s">
        <v>610</v>
      </c>
      <c r="B56" s="55" t="s">
        <v>215</v>
      </c>
      <c r="C56" s="55" t="s">
        <v>130</v>
      </c>
      <c r="D56" s="55" t="s">
        <v>150</v>
      </c>
      <c r="E56" s="63" t="s">
        <v>544</v>
      </c>
      <c r="F56">
        <v>10062994</v>
      </c>
      <c r="G56" s="776">
        <f t="shared" si="0"/>
        <v>3018898.1999999997</v>
      </c>
    </row>
    <row r="57" spans="1:7">
      <c r="A57" s="147" t="s">
        <v>587</v>
      </c>
      <c r="B57" s="147" t="s">
        <v>193</v>
      </c>
      <c r="C57" s="55" t="s">
        <v>127</v>
      </c>
      <c r="D57" s="55" t="s">
        <v>550</v>
      </c>
      <c r="E57" s="63" t="s">
        <v>544</v>
      </c>
      <c r="F57">
        <v>4105268</v>
      </c>
      <c r="G57" s="776">
        <f t="shared" si="0"/>
        <v>1231580.3999999999</v>
      </c>
    </row>
    <row r="58" spans="1:7">
      <c r="A58" s="55" t="s">
        <v>609</v>
      </c>
      <c r="B58" s="55" t="s">
        <v>214</v>
      </c>
      <c r="C58" s="55" t="s">
        <v>130</v>
      </c>
      <c r="D58" s="55" t="s">
        <v>150</v>
      </c>
      <c r="E58" s="55" t="s">
        <v>541</v>
      </c>
      <c r="F58">
        <v>11541683</v>
      </c>
      <c r="G58" s="776">
        <f t="shared" si="0"/>
        <v>3462504.9</v>
      </c>
    </row>
    <row r="59" spans="1:7">
      <c r="A59" s="55" t="s">
        <v>612</v>
      </c>
      <c r="B59" s="55" t="s">
        <v>217</v>
      </c>
      <c r="C59" s="55" t="s">
        <v>126</v>
      </c>
      <c r="D59" s="55" t="s">
        <v>150</v>
      </c>
      <c r="E59" s="63" t="s">
        <v>544</v>
      </c>
      <c r="F59">
        <v>276361788</v>
      </c>
      <c r="G59" s="776">
        <f t="shared" si="0"/>
        <v>82908536.399999991</v>
      </c>
    </row>
    <row r="60" spans="1:7">
      <c r="A60" s="55" t="s">
        <v>611</v>
      </c>
      <c r="B60" s="55" t="s">
        <v>216</v>
      </c>
      <c r="C60" s="55" t="s">
        <v>132</v>
      </c>
      <c r="D60" s="55" t="s">
        <v>150</v>
      </c>
      <c r="E60" s="63" t="s">
        <v>544</v>
      </c>
      <c r="F60">
        <v>1393409033</v>
      </c>
      <c r="G60" s="776">
        <f t="shared" si="0"/>
        <v>418022709.89999998</v>
      </c>
    </row>
    <row r="61" spans="1:7">
      <c r="A61" s="55" t="s">
        <v>613</v>
      </c>
      <c r="B61" s="55" t="s">
        <v>149</v>
      </c>
      <c r="C61" s="55" t="s">
        <v>131</v>
      </c>
      <c r="D61" s="55" t="s">
        <v>150</v>
      </c>
      <c r="E61" s="63" t="s">
        <v>544</v>
      </c>
      <c r="F61">
        <v>85028760</v>
      </c>
      <c r="G61" s="776">
        <f t="shared" si="0"/>
        <v>25508628</v>
      </c>
    </row>
    <row r="62" spans="1:7">
      <c r="A62" s="55" t="s">
        <v>614</v>
      </c>
      <c r="B62" s="55" t="s">
        <v>218</v>
      </c>
      <c r="C62" s="55" t="s">
        <v>131</v>
      </c>
      <c r="D62" s="55" t="s">
        <v>152</v>
      </c>
      <c r="E62" s="63" t="s">
        <v>544</v>
      </c>
      <c r="F62">
        <v>41179351</v>
      </c>
      <c r="G62" s="776">
        <f t="shared" si="0"/>
        <v>12353805.299999999</v>
      </c>
    </row>
    <row r="63" spans="1:7">
      <c r="A63" s="147" t="s">
        <v>615</v>
      </c>
      <c r="B63" s="147" t="s">
        <v>219</v>
      </c>
      <c r="C63" s="55" t="s">
        <v>130</v>
      </c>
      <c r="D63" s="55" t="s">
        <v>152</v>
      </c>
      <c r="E63" s="55" t="s">
        <v>541</v>
      </c>
      <c r="F63">
        <v>2973462</v>
      </c>
      <c r="G63" s="776">
        <f t="shared" si="0"/>
        <v>892038.6</v>
      </c>
    </row>
    <row r="64" spans="1:7">
      <c r="A64" s="55" t="s">
        <v>616</v>
      </c>
      <c r="B64" s="55" t="s">
        <v>220</v>
      </c>
      <c r="C64" s="55" t="s">
        <v>131</v>
      </c>
      <c r="D64" s="55" t="s">
        <v>152</v>
      </c>
      <c r="E64" s="63" t="s">
        <v>544</v>
      </c>
      <c r="F64">
        <v>10269022</v>
      </c>
      <c r="G64" s="776">
        <f t="shared" si="0"/>
        <v>3080706.6</v>
      </c>
    </row>
    <row r="65" spans="1:7">
      <c r="A65" s="147" t="s">
        <v>617</v>
      </c>
      <c r="B65" s="147" t="s">
        <v>221</v>
      </c>
      <c r="C65" s="55" t="s">
        <v>127</v>
      </c>
      <c r="D65" s="55" t="s">
        <v>152</v>
      </c>
      <c r="E65" s="63" t="s">
        <v>544</v>
      </c>
      <c r="F65">
        <v>18994958</v>
      </c>
      <c r="G65" s="776">
        <f t="shared" si="0"/>
        <v>5698487.3999999994</v>
      </c>
    </row>
    <row r="66" spans="1:7">
      <c r="A66" s="55" t="s">
        <v>618</v>
      </c>
      <c r="B66" s="55" t="s">
        <v>222</v>
      </c>
      <c r="C66" s="55" t="s">
        <v>128</v>
      </c>
      <c r="D66" s="55" t="s">
        <v>150</v>
      </c>
      <c r="E66" s="63" t="s">
        <v>544</v>
      </c>
      <c r="F66">
        <v>54985702</v>
      </c>
      <c r="G66" s="776">
        <f t="shared" si="0"/>
        <v>16495710.6</v>
      </c>
    </row>
    <row r="67" spans="1:7">
      <c r="A67" s="55" t="s">
        <v>622</v>
      </c>
      <c r="B67" s="55" t="s">
        <v>226</v>
      </c>
      <c r="C67" s="55" t="s">
        <v>127</v>
      </c>
      <c r="D67" s="55" t="s">
        <v>150</v>
      </c>
      <c r="E67" s="63" t="s">
        <v>544</v>
      </c>
      <c r="F67">
        <v>6628347</v>
      </c>
      <c r="G67" s="776">
        <f t="shared" si="0"/>
        <v>1988504.0999999999</v>
      </c>
    </row>
    <row r="68" spans="1:7">
      <c r="A68" s="55" t="s">
        <v>572</v>
      </c>
      <c r="B68" s="55" t="s">
        <v>180</v>
      </c>
      <c r="C68" s="55" t="s">
        <v>126</v>
      </c>
      <c r="D68" s="55" t="s">
        <v>150</v>
      </c>
      <c r="E68" s="63" t="s">
        <v>544</v>
      </c>
      <c r="F68">
        <v>16946446</v>
      </c>
      <c r="G68" s="776">
        <f t="shared" si="0"/>
        <v>5083933.8</v>
      </c>
    </row>
    <row r="69" spans="1:7">
      <c r="A69" s="55" t="s">
        <v>619</v>
      </c>
      <c r="B69" s="55" t="s">
        <v>223</v>
      </c>
      <c r="C69" s="55" t="s">
        <v>126</v>
      </c>
      <c r="D69" s="55" t="s">
        <v>150</v>
      </c>
      <c r="E69" s="55" t="s">
        <v>541</v>
      </c>
      <c r="F69">
        <v>121388</v>
      </c>
      <c r="G69" s="776">
        <f t="shared" ref="G69:G132" si="1">F69*0.3</f>
        <v>36416.400000000001</v>
      </c>
    </row>
    <row r="70" spans="1:7">
      <c r="A70" s="147" t="s">
        <v>673</v>
      </c>
      <c r="B70" s="147" t="s">
        <v>275</v>
      </c>
      <c r="C70" s="55" t="s">
        <v>130</v>
      </c>
      <c r="D70" s="55" t="s">
        <v>550</v>
      </c>
      <c r="E70" s="55" t="s">
        <v>541</v>
      </c>
      <c r="F70">
        <v>53192</v>
      </c>
      <c r="G70" s="776">
        <f t="shared" si="1"/>
        <v>15957.599999999999</v>
      </c>
    </row>
    <row r="71" spans="1:7">
      <c r="A71" s="55" t="s">
        <v>623</v>
      </c>
      <c r="B71" s="55" t="s">
        <v>227</v>
      </c>
      <c r="C71" s="55" t="s">
        <v>126</v>
      </c>
      <c r="D71" s="55" t="s">
        <v>150</v>
      </c>
      <c r="E71" s="63" t="s">
        <v>544</v>
      </c>
      <c r="F71">
        <v>7379358</v>
      </c>
      <c r="G71" s="776">
        <f t="shared" si="1"/>
        <v>2213807.4</v>
      </c>
    </row>
    <row r="72" spans="1:7">
      <c r="A72" s="55" t="s">
        <v>624</v>
      </c>
      <c r="B72" s="55" t="s">
        <v>228</v>
      </c>
      <c r="C72" s="55" t="s">
        <v>131</v>
      </c>
      <c r="D72" s="55" t="s">
        <v>152</v>
      </c>
      <c r="E72" s="63" t="s">
        <v>544</v>
      </c>
      <c r="F72">
        <v>6769151</v>
      </c>
      <c r="G72" s="776">
        <f t="shared" si="1"/>
        <v>2030745.2999999998</v>
      </c>
    </row>
    <row r="73" spans="1:7">
      <c r="A73" s="55" t="s">
        <v>626</v>
      </c>
      <c r="B73" s="55" t="s">
        <v>230</v>
      </c>
      <c r="C73" s="55" t="s">
        <v>129</v>
      </c>
      <c r="D73" s="55" t="s">
        <v>148</v>
      </c>
      <c r="E73" s="63" t="s">
        <v>544</v>
      </c>
      <c r="F73">
        <v>5180208</v>
      </c>
      <c r="G73" s="776">
        <f t="shared" si="1"/>
        <v>1554062.4</v>
      </c>
    </row>
    <row r="74" spans="1:7">
      <c r="A74" s="55" t="s">
        <v>627</v>
      </c>
      <c r="B74" s="55" t="s">
        <v>231</v>
      </c>
      <c r="C74" s="55" t="s">
        <v>131</v>
      </c>
      <c r="D74" s="55" t="s">
        <v>152</v>
      </c>
      <c r="E74" s="63" t="s">
        <v>544</v>
      </c>
      <c r="F74">
        <v>6958538</v>
      </c>
      <c r="G74" s="776">
        <f t="shared" si="1"/>
        <v>2087561.4</v>
      </c>
    </row>
    <row r="75" spans="1:7">
      <c r="A75" s="55" t="s">
        <v>674</v>
      </c>
      <c r="B75" s="55" t="s">
        <v>154</v>
      </c>
      <c r="C75" s="55" t="s">
        <v>130</v>
      </c>
      <c r="D75" s="55" t="s">
        <v>152</v>
      </c>
      <c r="E75" s="55" t="s">
        <v>541</v>
      </c>
      <c r="F75">
        <v>184401</v>
      </c>
      <c r="G75" s="776">
        <f t="shared" si="1"/>
        <v>55320.299999999996</v>
      </c>
    </row>
    <row r="76" spans="1:7">
      <c r="A76" s="55" t="s">
        <v>672</v>
      </c>
      <c r="B76" s="55" t="s">
        <v>274</v>
      </c>
      <c r="C76" s="55" t="s">
        <v>132</v>
      </c>
      <c r="D76" s="55" t="s">
        <v>150</v>
      </c>
      <c r="E76" s="63" t="s">
        <v>544</v>
      </c>
      <c r="F76">
        <v>21497306</v>
      </c>
      <c r="G76" s="776">
        <f t="shared" si="1"/>
        <v>6449191.7999999998</v>
      </c>
    </row>
    <row r="77" spans="1:7">
      <c r="A77" s="55" t="s">
        <v>625</v>
      </c>
      <c r="B77" s="55" t="s">
        <v>229</v>
      </c>
      <c r="C77" s="55" t="s">
        <v>128</v>
      </c>
      <c r="D77" s="55" t="s">
        <v>150</v>
      </c>
      <c r="E77" s="63" t="s">
        <v>544</v>
      </c>
      <c r="F77">
        <v>2159067</v>
      </c>
      <c r="G77" s="776">
        <f t="shared" si="1"/>
        <v>647720.1</v>
      </c>
    </row>
    <row r="78" spans="1:7">
      <c r="A78" s="55" t="s">
        <v>641</v>
      </c>
      <c r="B78" s="55" t="s">
        <v>245</v>
      </c>
      <c r="C78" s="55" t="s">
        <v>131</v>
      </c>
      <c r="D78" s="55" t="s">
        <v>150</v>
      </c>
      <c r="E78" s="63" t="s">
        <v>544</v>
      </c>
      <c r="F78">
        <v>37344787</v>
      </c>
      <c r="G78" s="776">
        <f t="shared" si="1"/>
        <v>11203436.1</v>
      </c>
    </row>
    <row r="79" spans="1:7">
      <c r="A79" s="55" t="s">
        <v>638</v>
      </c>
      <c r="B79" s="55" t="s">
        <v>242</v>
      </c>
      <c r="C79" s="55" t="s">
        <v>127</v>
      </c>
      <c r="D79" s="55" t="s">
        <v>152</v>
      </c>
      <c r="E79" s="63" t="s">
        <v>544</v>
      </c>
      <c r="F79">
        <v>4024025</v>
      </c>
      <c r="G79" s="776">
        <f t="shared" si="1"/>
        <v>1207207.5</v>
      </c>
    </row>
    <row r="80" spans="1:7">
      <c r="A80" s="55" t="s">
        <v>628</v>
      </c>
      <c r="B80" s="55" t="s">
        <v>232</v>
      </c>
      <c r="C80" s="55" t="s">
        <v>128</v>
      </c>
      <c r="D80" s="55" t="s">
        <v>148</v>
      </c>
      <c r="E80" s="63" t="s">
        <v>544</v>
      </c>
      <c r="F80">
        <v>28427333</v>
      </c>
      <c r="G80" s="776">
        <f t="shared" si="1"/>
        <v>8528199.9000000004</v>
      </c>
    </row>
    <row r="81" spans="1:7">
      <c r="A81" s="55" t="s">
        <v>631</v>
      </c>
      <c r="B81" s="55" t="s">
        <v>235</v>
      </c>
      <c r="C81" s="55" t="s">
        <v>132</v>
      </c>
      <c r="D81" s="55" t="s">
        <v>152</v>
      </c>
      <c r="E81" s="55" t="s">
        <v>541</v>
      </c>
      <c r="F81">
        <v>543620</v>
      </c>
      <c r="G81" s="776">
        <f t="shared" si="1"/>
        <v>163086</v>
      </c>
    </row>
    <row r="82" spans="1:7">
      <c r="A82" s="147" t="s">
        <v>636</v>
      </c>
      <c r="B82" s="147" t="s">
        <v>240</v>
      </c>
      <c r="C82" s="55" t="s">
        <v>130</v>
      </c>
      <c r="D82" s="55" t="s">
        <v>152</v>
      </c>
      <c r="E82" s="63" t="s">
        <v>544</v>
      </c>
      <c r="F82">
        <v>130262220</v>
      </c>
      <c r="G82" s="776">
        <f t="shared" si="1"/>
        <v>39078666</v>
      </c>
    </row>
    <row r="83" spans="1:7">
      <c r="A83" s="147" t="s">
        <v>633</v>
      </c>
      <c r="B83" s="147" t="s">
        <v>237</v>
      </c>
      <c r="C83" s="55" t="s">
        <v>126</v>
      </c>
      <c r="D83" s="55" t="s">
        <v>152</v>
      </c>
      <c r="E83" s="55" t="s">
        <v>541</v>
      </c>
      <c r="F83">
        <v>58413</v>
      </c>
      <c r="G83" s="776">
        <f t="shared" si="1"/>
        <v>17523.899999999998</v>
      </c>
    </row>
    <row r="84" spans="1:7">
      <c r="A84" s="147" t="s">
        <v>650</v>
      </c>
      <c r="B84" s="147" t="s">
        <v>254</v>
      </c>
      <c r="C84" s="55" t="s">
        <v>127</v>
      </c>
      <c r="D84" s="55" t="s">
        <v>152</v>
      </c>
      <c r="E84" s="63" t="s">
        <v>544</v>
      </c>
      <c r="F84">
        <v>2082662</v>
      </c>
      <c r="G84" s="776">
        <f t="shared" si="1"/>
        <v>624798.6</v>
      </c>
    </row>
    <row r="85" spans="1:7">
      <c r="A85" s="55" t="s">
        <v>632</v>
      </c>
      <c r="B85" s="55" t="s">
        <v>236</v>
      </c>
      <c r="C85" s="55" t="s">
        <v>129</v>
      </c>
      <c r="D85" s="55" t="s">
        <v>148</v>
      </c>
      <c r="E85" s="63" t="s">
        <v>544</v>
      </c>
      <c r="F85">
        <v>20855724</v>
      </c>
      <c r="G85" s="776">
        <f t="shared" si="1"/>
        <v>6256717.2000000002</v>
      </c>
    </row>
    <row r="86" spans="1:7">
      <c r="A86" s="55" t="s">
        <v>643</v>
      </c>
      <c r="B86" s="55" t="s">
        <v>247</v>
      </c>
      <c r="C86" s="55" t="s">
        <v>126</v>
      </c>
      <c r="D86" s="55" t="s">
        <v>150</v>
      </c>
      <c r="E86" s="63" t="s">
        <v>544</v>
      </c>
      <c r="F86">
        <v>54806014</v>
      </c>
      <c r="G86" s="776">
        <f t="shared" si="1"/>
        <v>16441804.199999999</v>
      </c>
    </row>
    <row r="87" spans="1:7">
      <c r="A87" s="55" t="s">
        <v>640</v>
      </c>
      <c r="B87" s="55" t="s">
        <v>244</v>
      </c>
      <c r="C87" s="55" t="s">
        <v>127</v>
      </c>
      <c r="D87" s="55" t="s">
        <v>152</v>
      </c>
      <c r="E87" s="63" t="s">
        <v>544</v>
      </c>
      <c r="F87">
        <v>628051</v>
      </c>
      <c r="G87" s="776">
        <f t="shared" si="1"/>
        <v>188415.3</v>
      </c>
    </row>
    <row r="88" spans="1:7">
      <c r="A88" s="55" t="s">
        <v>639</v>
      </c>
      <c r="B88" s="55" t="s">
        <v>243</v>
      </c>
      <c r="C88" s="55" t="s">
        <v>126</v>
      </c>
      <c r="D88" s="55" t="s">
        <v>150</v>
      </c>
      <c r="E88" s="63" t="s">
        <v>544</v>
      </c>
      <c r="F88">
        <v>3329282</v>
      </c>
      <c r="G88" s="776">
        <f t="shared" si="1"/>
        <v>998784.6</v>
      </c>
    </row>
    <row r="89" spans="1:7">
      <c r="A89" s="55" t="s">
        <v>642</v>
      </c>
      <c r="B89" s="55" t="s">
        <v>246</v>
      </c>
      <c r="C89" s="55" t="s">
        <v>128</v>
      </c>
      <c r="D89" s="55" t="s">
        <v>148</v>
      </c>
      <c r="E89" s="63" t="s">
        <v>544</v>
      </c>
      <c r="F89">
        <v>32163045</v>
      </c>
      <c r="G89" s="776">
        <f t="shared" si="1"/>
        <v>9648913.5</v>
      </c>
    </row>
    <row r="90" spans="1:7">
      <c r="A90" s="55" t="s">
        <v>634</v>
      </c>
      <c r="B90" s="55" t="s">
        <v>238</v>
      </c>
      <c r="C90" s="55" t="s">
        <v>129</v>
      </c>
      <c r="D90" s="55" t="s">
        <v>150</v>
      </c>
      <c r="E90" s="63" t="s">
        <v>544</v>
      </c>
      <c r="F90">
        <v>4775110</v>
      </c>
      <c r="G90" s="776">
        <f t="shared" si="1"/>
        <v>1432533</v>
      </c>
    </row>
    <row r="91" spans="1:7">
      <c r="A91" s="55" t="s">
        <v>635</v>
      </c>
      <c r="B91" s="55" t="s">
        <v>239</v>
      </c>
      <c r="C91" s="55" t="s">
        <v>128</v>
      </c>
      <c r="D91" s="55" t="s">
        <v>152</v>
      </c>
      <c r="E91" s="55" t="s">
        <v>541</v>
      </c>
      <c r="F91">
        <v>1273428</v>
      </c>
      <c r="G91" s="776">
        <f t="shared" si="1"/>
        <v>382028.39999999997</v>
      </c>
    </row>
    <row r="92" spans="1:7">
      <c r="A92" s="55" t="s">
        <v>629</v>
      </c>
      <c r="B92" s="55" t="s">
        <v>233</v>
      </c>
      <c r="C92" s="55" t="s">
        <v>128</v>
      </c>
      <c r="D92" s="55" t="s">
        <v>148</v>
      </c>
      <c r="E92" s="63" t="s">
        <v>544</v>
      </c>
      <c r="F92">
        <v>19647681</v>
      </c>
      <c r="G92" s="776">
        <f t="shared" si="1"/>
        <v>5894304.2999999998</v>
      </c>
    </row>
    <row r="93" spans="1:7">
      <c r="A93" s="147" t="s">
        <v>630</v>
      </c>
      <c r="B93" s="147" t="s">
        <v>234</v>
      </c>
      <c r="C93" s="55" t="s">
        <v>126</v>
      </c>
      <c r="D93" s="55" t="s">
        <v>152</v>
      </c>
      <c r="E93" s="63" t="s">
        <v>544</v>
      </c>
      <c r="F93">
        <v>32776195</v>
      </c>
      <c r="G93" s="776">
        <f t="shared" si="1"/>
        <v>9832858.5</v>
      </c>
    </row>
    <row r="94" spans="1:7">
      <c r="A94" s="147" t="s">
        <v>644</v>
      </c>
      <c r="B94" s="147" t="s">
        <v>248</v>
      </c>
      <c r="C94" s="55" t="s">
        <v>128</v>
      </c>
      <c r="D94" s="55" t="s">
        <v>152</v>
      </c>
      <c r="E94" s="63" t="s">
        <v>544</v>
      </c>
      <c r="F94">
        <v>2587344</v>
      </c>
      <c r="G94" s="776">
        <f t="shared" si="1"/>
        <v>776203.2</v>
      </c>
    </row>
    <row r="95" spans="1:7">
      <c r="A95" s="55" t="s">
        <v>648</v>
      </c>
      <c r="B95" s="55" t="s">
        <v>252</v>
      </c>
      <c r="C95" s="55" t="s">
        <v>129</v>
      </c>
      <c r="D95" s="55" t="s">
        <v>148</v>
      </c>
      <c r="E95" s="63" t="s">
        <v>544</v>
      </c>
      <c r="F95">
        <v>25130810</v>
      </c>
      <c r="G95" s="776">
        <f t="shared" si="1"/>
        <v>7539243</v>
      </c>
    </row>
    <row r="96" spans="1:7">
      <c r="A96" s="55" t="s">
        <v>649</v>
      </c>
      <c r="B96" s="55" t="s">
        <v>253</v>
      </c>
      <c r="C96" s="55" t="s">
        <v>129</v>
      </c>
      <c r="D96" s="55" t="s">
        <v>150</v>
      </c>
      <c r="E96" s="63" t="s">
        <v>544</v>
      </c>
      <c r="F96">
        <v>211400704</v>
      </c>
      <c r="G96" s="776">
        <f t="shared" si="1"/>
        <v>63420211.199999996</v>
      </c>
    </row>
    <row r="97" spans="1:7">
      <c r="A97" s="55" t="s">
        <v>647</v>
      </c>
      <c r="B97" s="55" t="s">
        <v>251</v>
      </c>
      <c r="C97" s="55" t="s">
        <v>130</v>
      </c>
      <c r="D97" s="55" t="s">
        <v>150</v>
      </c>
      <c r="E97" s="63" t="s">
        <v>544</v>
      </c>
      <c r="F97">
        <v>6702379</v>
      </c>
      <c r="G97" s="776">
        <f t="shared" si="1"/>
        <v>2010713.7</v>
      </c>
    </row>
    <row r="98" spans="1:7">
      <c r="A98" s="55" t="s">
        <v>646</v>
      </c>
      <c r="B98" s="55" t="s">
        <v>250</v>
      </c>
      <c r="C98" s="55" t="s">
        <v>132</v>
      </c>
      <c r="D98" s="55" t="s">
        <v>150</v>
      </c>
      <c r="E98" s="63" t="s">
        <v>544</v>
      </c>
      <c r="F98">
        <v>29674920</v>
      </c>
      <c r="G98" s="776">
        <f t="shared" si="1"/>
        <v>8902476</v>
      </c>
    </row>
    <row r="99" spans="1:7">
      <c r="A99" s="147" t="s">
        <v>645</v>
      </c>
      <c r="B99" s="147" t="s">
        <v>249</v>
      </c>
      <c r="C99" s="55" t="s">
        <v>126</v>
      </c>
      <c r="D99" s="55" t="s">
        <v>550</v>
      </c>
      <c r="E99" s="55" t="s">
        <v>541</v>
      </c>
      <c r="F99">
        <v>10834</v>
      </c>
      <c r="G99" s="776">
        <f t="shared" si="1"/>
        <v>3250.2</v>
      </c>
    </row>
    <row r="100" spans="1:7">
      <c r="A100" s="55" t="s">
        <v>651</v>
      </c>
      <c r="B100" s="55" t="s">
        <v>255</v>
      </c>
      <c r="C100" s="55" t="s">
        <v>132</v>
      </c>
      <c r="D100" s="55" t="s">
        <v>150</v>
      </c>
      <c r="E100" s="63" t="s">
        <v>544</v>
      </c>
      <c r="F100">
        <v>225199929</v>
      </c>
      <c r="G100" s="776">
        <f t="shared" si="1"/>
        <v>67559978.700000003</v>
      </c>
    </row>
    <row r="101" spans="1:7">
      <c r="A101" s="55" t="s">
        <v>653</v>
      </c>
      <c r="B101" s="55" t="s">
        <v>257</v>
      </c>
      <c r="C101" s="55" t="s">
        <v>130</v>
      </c>
      <c r="D101" s="55" t="s">
        <v>152</v>
      </c>
      <c r="E101" s="63" t="s">
        <v>544</v>
      </c>
      <c r="F101">
        <v>4381583</v>
      </c>
      <c r="G101" s="776">
        <f t="shared" si="1"/>
        <v>1314474.8999999999</v>
      </c>
    </row>
    <row r="102" spans="1:7">
      <c r="A102" s="147" t="s">
        <v>656</v>
      </c>
      <c r="B102" s="147" t="s">
        <v>260</v>
      </c>
      <c r="C102" s="55" t="s">
        <v>130</v>
      </c>
      <c r="D102" s="55" t="s">
        <v>152</v>
      </c>
      <c r="E102" s="63" t="s">
        <v>544</v>
      </c>
      <c r="F102">
        <v>33359416</v>
      </c>
      <c r="G102" s="776">
        <f t="shared" si="1"/>
        <v>10007824.799999999</v>
      </c>
    </row>
    <row r="103" spans="1:7">
      <c r="A103" s="55" t="s">
        <v>657</v>
      </c>
      <c r="B103" s="55" t="s">
        <v>261</v>
      </c>
      <c r="C103" s="55" t="s">
        <v>126</v>
      </c>
      <c r="D103" s="55" t="s">
        <v>150</v>
      </c>
      <c r="E103" s="63" t="s">
        <v>544</v>
      </c>
      <c r="F103">
        <v>111046910</v>
      </c>
      <c r="G103" s="776">
        <f t="shared" si="1"/>
        <v>33314073</v>
      </c>
    </row>
    <row r="104" spans="1:7">
      <c r="A104" s="147" t="s">
        <v>652</v>
      </c>
      <c r="B104" s="147" t="s">
        <v>256</v>
      </c>
      <c r="C104" s="55" t="s">
        <v>130</v>
      </c>
      <c r="D104" s="55" t="s">
        <v>550</v>
      </c>
      <c r="E104" s="55" t="s">
        <v>541</v>
      </c>
      <c r="F104">
        <v>18092</v>
      </c>
      <c r="G104" s="776">
        <f t="shared" si="1"/>
        <v>5427.5999999999995</v>
      </c>
    </row>
    <row r="105" spans="1:7">
      <c r="A105" s="55" t="s">
        <v>654</v>
      </c>
      <c r="B105" s="55" t="s">
        <v>258</v>
      </c>
      <c r="C105" s="55" t="s">
        <v>126</v>
      </c>
      <c r="D105" s="55" t="s">
        <v>150</v>
      </c>
      <c r="E105" s="55" t="s">
        <v>541</v>
      </c>
      <c r="F105">
        <v>9119005</v>
      </c>
      <c r="G105" s="776">
        <f t="shared" si="1"/>
        <v>2735701.5</v>
      </c>
    </row>
    <row r="106" spans="1:7">
      <c r="A106" s="147" t="s">
        <v>658</v>
      </c>
      <c r="B106" s="147" t="s">
        <v>262</v>
      </c>
      <c r="C106" s="55" t="s">
        <v>127</v>
      </c>
      <c r="D106" s="55" t="s">
        <v>550</v>
      </c>
      <c r="E106" s="63" t="s">
        <v>544</v>
      </c>
      <c r="F106">
        <v>37846605</v>
      </c>
      <c r="G106" s="776">
        <f t="shared" si="1"/>
        <v>11353981.5</v>
      </c>
    </row>
    <row r="107" spans="1:7">
      <c r="A107" s="55" t="s">
        <v>620</v>
      </c>
      <c r="B107" s="55" t="s">
        <v>224</v>
      </c>
      <c r="C107" s="55" t="s">
        <v>126</v>
      </c>
      <c r="D107" s="55" t="s">
        <v>148</v>
      </c>
      <c r="E107" s="63" t="s">
        <v>544</v>
      </c>
      <c r="F107">
        <v>25887045</v>
      </c>
      <c r="G107" s="776">
        <f t="shared" si="1"/>
        <v>7766113.5</v>
      </c>
    </row>
    <row r="108" spans="1:7">
      <c r="A108" s="147" t="s">
        <v>655</v>
      </c>
      <c r="B108" s="147" t="s">
        <v>259</v>
      </c>
      <c r="C108" s="55" t="s">
        <v>130</v>
      </c>
      <c r="D108" s="55" t="s">
        <v>152</v>
      </c>
      <c r="E108" s="63" t="s">
        <v>544</v>
      </c>
      <c r="F108">
        <v>7219641</v>
      </c>
      <c r="G108" s="776">
        <f t="shared" si="1"/>
        <v>2165892.2999999998</v>
      </c>
    </row>
    <row r="109" spans="1:7">
      <c r="A109" s="55" t="s">
        <v>676</v>
      </c>
      <c r="B109" s="55" t="s">
        <v>276</v>
      </c>
      <c r="C109" s="55" t="s">
        <v>131</v>
      </c>
      <c r="D109" s="55" t="s">
        <v>150</v>
      </c>
      <c r="E109" s="63" t="s">
        <v>544</v>
      </c>
      <c r="F109">
        <v>5222756</v>
      </c>
      <c r="G109" s="776">
        <f t="shared" si="1"/>
        <v>1566826.8</v>
      </c>
    </row>
    <row r="110" spans="1:7">
      <c r="A110" s="147" t="s">
        <v>659</v>
      </c>
      <c r="B110" s="147" t="s">
        <v>151</v>
      </c>
      <c r="C110" s="55" t="s">
        <v>127</v>
      </c>
      <c r="D110" s="55" t="s">
        <v>152</v>
      </c>
      <c r="E110" s="63" t="s">
        <v>544</v>
      </c>
      <c r="F110">
        <v>19237682</v>
      </c>
      <c r="G110" s="776">
        <f t="shared" si="1"/>
        <v>5771304.5999999996</v>
      </c>
    </row>
    <row r="111" spans="1:7">
      <c r="A111" s="147" t="s">
        <v>660</v>
      </c>
      <c r="B111" s="147" t="s">
        <v>263</v>
      </c>
      <c r="C111" s="55" t="s">
        <v>127</v>
      </c>
      <c r="D111" s="55" t="s">
        <v>152</v>
      </c>
      <c r="E111" s="63" t="s">
        <v>544</v>
      </c>
      <c r="F111">
        <v>145934460</v>
      </c>
      <c r="G111" s="776">
        <f t="shared" si="1"/>
        <v>43780338</v>
      </c>
    </row>
    <row r="112" spans="1:7">
      <c r="A112" s="55" t="s">
        <v>661</v>
      </c>
      <c r="B112" s="55" t="s">
        <v>264</v>
      </c>
      <c r="C112" s="55" t="s">
        <v>128</v>
      </c>
      <c r="D112" s="55" t="s">
        <v>148</v>
      </c>
      <c r="E112" s="63" t="s">
        <v>544</v>
      </c>
      <c r="F112">
        <v>13276517</v>
      </c>
      <c r="G112" s="776">
        <f t="shared" si="1"/>
        <v>3982955.0999999996</v>
      </c>
    </row>
    <row r="113" spans="1:7">
      <c r="A113" s="55" t="s">
        <v>677</v>
      </c>
      <c r="B113" s="55" t="s">
        <v>277</v>
      </c>
      <c r="C113" s="55" t="s">
        <v>131</v>
      </c>
      <c r="D113" s="55" t="s">
        <v>148</v>
      </c>
      <c r="E113" s="63" t="s">
        <v>544</v>
      </c>
      <c r="F113">
        <v>44909351</v>
      </c>
      <c r="G113" s="776">
        <f t="shared" si="1"/>
        <v>13472805.299999999</v>
      </c>
    </row>
    <row r="114" spans="1:7">
      <c r="A114" s="55" t="s">
        <v>664</v>
      </c>
      <c r="B114" s="55" t="s">
        <v>267</v>
      </c>
      <c r="C114" s="55" t="s">
        <v>129</v>
      </c>
      <c r="D114" s="55" t="s">
        <v>150</v>
      </c>
      <c r="E114" s="63" t="s">
        <v>544</v>
      </c>
      <c r="F114">
        <v>17196308</v>
      </c>
      <c r="G114" s="776">
        <f t="shared" si="1"/>
        <v>5158892.3999999994</v>
      </c>
    </row>
    <row r="115" spans="1:7">
      <c r="A115" s="58" t="s">
        <v>668</v>
      </c>
      <c r="B115" s="58" t="s">
        <v>270</v>
      </c>
      <c r="C115" s="58" t="s">
        <v>126</v>
      </c>
      <c r="D115" s="58" t="s">
        <v>150</v>
      </c>
      <c r="E115" s="58" t="s">
        <v>541</v>
      </c>
      <c r="F115">
        <v>703995</v>
      </c>
      <c r="G115" s="776">
        <f t="shared" si="1"/>
        <v>211198.5</v>
      </c>
    </row>
    <row r="116" spans="1:7">
      <c r="A116" s="57" t="s">
        <v>667</v>
      </c>
      <c r="B116" s="57" t="s">
        <v>269</v>
      </c>
      <c r="C116" s="57" t="s">
        <v>129</v>
      </c>
      <c r="D116" s="57" t="s">
        <v>148</v>
      </c>
      <c r="E116" s="63" t="s">
        <v>544</v>
      </c>
      <c r="F116">
        <v>8141343</v>
      </c>
      <c r="G116" s="776">
        <f t="shared" si="1"/>
        <v>2442402.9</v>
      </c>
    </row>
    <row r="117" spans="1:7">
      <c r="A117" s="57" t="s">
        <v>594</v>
      </c>
      <c r="B117" s="57" t="s">
        <v>199</v>
      </c>
      <c r="C117" s="57" t="s">
        <v>130</v>
      </c>
      <c r="D117" s="57" t="s">
        <v>150</v>
      </c>
      <c r="E117" s="63" t="s">
        <v>544</v>
      </c>
      <c r="F117">
        <v>6518500</v>
      </c>
      <c r="G117" s="776">
        <f t="shared" si="1"/>
        <v>1955550</v>
      </c>
    </row>
    <row r="118" spans="1:7">
      <c r="A118" s="57" t="s">
        <v>669</v>
      </c>
      <c r="B118" s="57" t="s">
        <v>271</v>
      </c>
      <c r="C118" s="57" t="s">
        <v>128</v>
      </c>
      <c r="D118" s="57" t="s">
        <v>148</v>
      </c>
      <c r="E118" s="63" t="s">
        <v>544</v>
      </c>
      <c r="F118">
        <v>16359500</v>
      </c>
      <c r="G118" s="776">
        <f t="shared" si="1"/>
        <v>4907850</v>
      </c>
    </row>
    <row r="119" spans="1:7">
      <c r="A119" s="149" t="s">
        <v>665</v>
      </c>
      <c r="B119" s="149" t="s">
        <v>153</v>
      </c>
      <c r="C119" s="57" t="s">
        <v>127</v>
      </c>
      <c r="D119" s="57" t="s">
        <v>152</v>
      </c>
      <c r="E119" s="63" t="s">
        <v>544</v>
      </c>
      <c r="F119">
        <v>8697547</v>
      </c>
      <c r="G119" s="776">
        <f t="shared" si="1"/>
        <v>2609264.1</v>
      </c>
    </row>
    <row r="120" spans="1:7">
      <c r="A120" s="57" t="s">
        <v>671</v>
      </c>
      <c r="B120" s="57" t="s">
        <v>273</v>
      </c>
      <c r="C120" s="57" t="s">
        <v>128</v>
      </c>
      <c r="D120" s="57" t="s">
        <v>148</v>
      </c>
      <c r="E120" s="63" t="s">
        <v>544</v>
      </c>
      <c r="F120">
        <v>11381377</v>
      </c>
      <c r="G120" s="776">
        <f t="shared" si="1"/>
        <v>3414413.1</v>
      </c>
    </row>
    <row r="121" spans="1:7">
      <c r="A121" s="57" t="s">
        <v>663</v>
      </c>
      <c r="B121" s="57" t="s">
        <v>266</v>
      </c>
      <c r="C121" s="57" t="s">
        <v>129</v>
      </c>
      <c r="D121" s="57" t="s">
        <v>150</v>
      </c>
      <c r="E121" s="57" t="s">
        <v>541</v>
      </c>
      <c r="F121">
        <v>223364</v>
      </c>
      <c r="G121" s="776">
        <f t="shared" si="1"/>
        <v>67009.2</v>
      </c>
    </row>
    <row r="122" spans="1:7">
      <c r="A122" s="149" t="s">
        <v>678</v>
      </c>
      <c r="B122" s="149" t="s">
        <v>278</v>
      </c>
      <c r="C122" s="57" t="s">
        <v>126</v>
      </c>
      <c r="D122" s="57" t="s">
        <v>152</v>
      </c>
      <c r="E122" s="57" t="s">
        <v>541</v>
      </c>
      <c r="F122">
        <v>591798</v>
      </c>
      <c r="G122" s="776">
        <f t="shared" si="1"/>
        <v>177539.4</v>
      </c>
    </row>
    <row r="123" spans="1:7">
      <c r="A123" s="57" t="s">
        <v>597</v>
      </c>
      <c r="B123" s="57" t="s">
        <v>202</v>
      </c>
      <c r="C123" s="57" t="s">
        <v>128</v>
      </c>
      <c r="D123" s="57" t="s">
        <v>150</v>
      </c>
      <c r="E123" s="63" t="s">
        <v>544</v>
      </c>
      <c r="F123">
        <v>1172369</v>
      </c>
      <c r="G123" s="776">
        <f t="shared" si="1"/>
        <v>351710.7</v>
      </c>
    </row>
    <row r="124" spans="1:7">
      <c r="A124" s="57" t="s">
        <v>666</v>
      </c>
      <c r="B124" s="57" t="s">
        <v>268</v>
      </c>
      <c r="C124" s="57" t="s">
        <v>128</v>
      </c>
      <c r="D124" s="57" t="s">
        <v>550</v>
      </c>
      <c r="E124" s="57" t="s">
        <v>541</v>
      </c>
      <c r="F124">
        <v>98340</v>
      </c>
      <c r="G124" s="776">
        <f t="shared" si="1"/>
        <v>29502</v>
      </c>
    </row>
    <row r="125" spans="1:7">
      <c r="A125" s="57" t="s">
        <v>679</v>
      </c>
      <c r="B125" s="57" t="s">
        <v>279</v>
      </c>
      <c r="C125" s="57" t="s">
        <v>131</v>
      </c>
      <c r="D125" s="57" t="s">
        <v>148</v>
      </c>
      <c r="E125" s="63" t="s">
        <v>544</v>
      </c>
      <c r="F125">
        <v>18275704</v>
      </c>
      <c r="G125" s="776">
        <f t="shared" si="1"/>
        <v>5482711.2000000002</v>
      </c>
    </row>
    <row r="126" spans="1:7">
      <c r="A126" s="57" t="s">
        <v>576</v>
      </c>
      <c r="B126" s="57" t="s">
        <v>183</v>
      </c>
      <c r="C126" s="57" t="s">
        <v>129</v>
      </c>
      <c r="D126" s="57" t="s">
        <v>148</v>
      </c>
      <c r="E126" s="63" t="s">
        <v>544</v>
      </c>
      <c r="F126">
        <v>16914985</v>
      </c>
      <c r="G126" s="776">
        <f t="shared" si="1"/>
        <v>5074495.5</v>
      </c>
    </row>
    <row r="127" spans="1:7">
      <c r="A127" s="57" t="s">
        <v>684</v>
      </c>
      <c r="B127" s="57" t="s">
        <v>282</v>
      </c>
      <c r="C127" s="57" t="s">
        <v>129</v>
      </c>
      <c r="D127" s="57" t="s">
        <v>148</v>
      </c>
      <c r="E127" s="63" t="s">
        <v>544</v>
      </c>
      <c r="F127">
        <v>8478242</v>
      </c>
      <c r="G127" s="776">
        <f t="shared" si="1"/>
        <v>2543472.6</v>
      </c>
    </row>
    <row r="128" spans="1:7">
      <c r="A128" s="149" t="s">
        <v>682</v>
      </c>
      <c r="B128" s="149" t="s">
        <v>157</v>
      </c>
      <c r="C128" s="57" t="s">
        <v>126</v>
      </c>
      <c r="D128" s="57" t="s">
        <v>152</v>
      </c>
      <c r="E128" s="63" t="s">
        <v>544</v>
      </c>
      <c r="F128">
        <v>69950844</v>
      </c>
      <c r="G128" s="776">
        <f t="shared" si="1"/>
        <v>20985253.199999999</v>
      </c>
    </row>
    <row r="129" spans="1:7">
      <c r="A129" s="57" t="s">
        <v>680</v>
      </c>
      <c r="B129" s="57" t="s">
        <v>280</v>
      </c>
      <c r="C129" s="57" t="s">
        <v>127</v>
      </c>
      <c r="D129" s="57" t="s">
        <v>150</v>
      </c>
      <c r="E129" s="63" t="s">
        <v>544</v>
      </c>
      <c r="F129">
        <v>9749625</v>
      </c>
      <c r="G129" s="776">
        <f t="shared" si="1"/>
        <v>2924887.5</v>
      </c>
    </row>
    <row r="130" spans="1:7">
      <c r="A130" s="57" t="s">
        <v>689</v>
      </c>
      <c r="B130" s="57" t="s">
        <v>287</v>
      </c>
      <c r="C130" s="57" t="s">
        <v>127</v>
      </c>
      <c r="D130" s="57" t="s">
        <v>152</v>
      </c>
      <c r="E130" s="63" t="s">
        <v>544</v>
      </c>
      <c r="F130">
        <v>6117933</v>
      </c>
      <c r="G130" s="776">
        <f t="shared" si="1"/>
        <v>1835379.9</v>
      </c>
    </row>
    <row r="131" spans="1:7">
      <c r="A131" s="57" t="s">
        <v>683</v>
      </c>
      <c r="B131" s="57" t="s">
        <v>281</v>
      </c>
      <c r="C131" s="57" t="s">
        <v>126</v>
      </c>
      <c r="D131" s="57" t="s">
        <v>150</v>
      </c>
      <c r="E131" s="57" t="s">
        <v>541</v>
      </c>
      <c r="F131">
        <v>1343875</v>
      </c>
      <c r="G131" s="776">
        <f t="shared" si="1"/>
        <v>403162.5</v>
      </c>
    </row>
    <row r="132" spans="1:7">
      <c r="A132" s="57" t="s">
        <v>685</v>
      </c>
      <c r="B132" s="57" t="s">
        <v>283</v>
      </c>
      <c r="C132" s="57" t="s">
        <v>126</v>
      </c>
      <c r="D132" s="57" t="s">
        <v>152</v>
      </c>
      <c r="E132" s="57" t="s">
        <v>541</v>
      </c>
      <c r="F132">
        <v>106759</v>
      </c>
      <c r="G132" s="776">
        <f t="shared" si="1"/>
        <v>32027.699999999997</v>
      </c>
    </row>
    <row r="133" spans="1:7">
      <c r="A133" s="57" t="s">
        <v>686</v>
      </c>
      <c r="B133" s="57" t="s">
        <v>284</v>
      </c>
      <c r="C133" s="57" t="s">
        <v>130</v>
      </c>
      <c r="D133" s="57" t="s">
        <v>550</v>
      </c>
      <c r="E133" s="57" t="s">
        <v>541</v>
      </c>
      <c r="F133">
        <v>1399491</v>
      </c>
      <c r="G133" s="776">
        <f t="shared" ref="G133:G151" si="2">F133*0.3</f>
        <v>419847.3</v>
      </c>
    </row>
    <row r="134" spans="1:7">
      <c r="A134" s="57" t="s">
        <v>687</v>
      </c>
      <c r="B134" s="57" t="s">
        <v>285</v>
      </c>
      <c r="C134" s="57" t="s">
        <v>131</v>
      </c>
      <c r="D134" s="57" t="s">
        <v>150</v>
      </c>
      <c r="E134" s="63" t="s">
        <v>544</v>
      </c>
      <c r="F134">
        <v>11935764</v>
      </c>
      <c r="G134" s="776">
        <f t="shared" si="2"/>
        <v>3580729.1999999997</v>
      </c>
    </row>
    <row r="135" spans="1:7">
      <c r="A135" s="149" t="s">
        <v>688</v>
      </c>
      <c r="B135" s="149" t="s">
        <v>286</v>
      </c>
      <c r="C135" s="57" t="s">
        <v>127</v>
      </c>
      <c r="D135" s="57" t="s">
        <v>152</v>
      </c>
      <c r="E135" s="63" t="s">
        <v>544</v>
      </c>
      <c r="F135">
        <v>85042736</v>
      </c>
      <c r="G135" s="776">
        <f t="shared" si="2"/>
        <v>25512820.800000001</v>
      </c>
    </row>
    <row r="136" spans="1:7">
      <c r="A136" s="57" t="s">
        <v>690</v>
      </c>
      <c r="B136" s="57" t="s">
        <v>288</v>
      </c>
      <c r="C136" s="57" t="s">
        <v>126</v>
      </c>
      <c r="D136" s="57" t="s">
        <v>152</v>
      </c>
      <c r="E136" s="57" t="s">
        <v>541</v>
      </c>
      <c r="F136">
        <v>77132</v>
      </c>
      <c r="G136" s="776">
        <f t="shared" si="2"/>
        <v>23139.599999999999</v>
      </c>
    </row>
    <row r="137" spans="1:7">
      <c r="A137" s="57" t="s">
        <v>681</v>
      </c>
      <c r="B137" s="57" t="s">
        <v>156</v>
      </c>
      <c r="C137" s="57" t="s">
        <v>128</v>
      </c>
      <c r="D137" s="57" t="s">
        <v>150</v>
      </c>
      <c r="E137" s="63" t="s">
        <v>544</v>
      </c>
      <c r="F137">
        <v>61498438</v>
      </c>
      <c r="G137" s="776">
        <f t="shared" si="2"/>
        <v>18449531.399999999</v>
      </c>
    </row>
    <row r="138" spans="1:7">
      <c r="A138" s="57" t="s">
        <v>691</v>
      </c>
      <c r="B138" s="57" t="s">
        <v>289</v>
      </c>
      <c r="C138" s="57" t="s">
        <v>128</v>
      </c>
      <c r="D138" s="57" t="s">
        <v>148</v>
      </c>
      <c r="E138" s="63" t="s">
        <v>544</v>
      </c>
      <c r="F138">
        <v>47123533</v>
      </c>
      <c r="G138" s="776">
        <f t="shared" si="2"/>
        <v>14137059.9</v>
      </c>
    </row>
    <row r="139" spans="1:7">
      <c r="A139" s="57" t="s">
        <v>692</v>
      </c>
      <c r="B139" s="57" t="s">
        <v>290</v>
      </c>
      <c r="C139" s="57" t="s">
        <v>127</v>
      </c>
      <c r="D139" s="57" t="s">
        <v>150</v>
      </c>
      <c r="E139" s="63" t="s">
        <v>544</v>
      </c>
      <c r="F139">
        <v>43466822</v>
      </c>
      <c r="G139" s="776">
        <f t="shared" si="2"/>
        <v>13040046.6</v>
      </c>
    </row>
    <row r="140" spans="1:7">
      <c r="A140" s="149" t="s">
        <v>693</v>
      </c>
      <c r="B140" s="149" t="s">
        <v>291</v>
      </c>
      <c r="C140" s="57" t="s">
        <v>130</v>
      </c>
      <c r="D140" s="57" t="s">
        <v>550</v>
      </c>
      <c r="E140" s="63" t="s">
        <v>544</v>
      </c>
      <c r="F140">
        <v>3473727</v>
      </c>
      <c r="G140" s="776">
        <f t="shared" si="2"/>
        <v>1042118.1</v>
      </c>
    </row>
    <row r="141" spans="1:7">
      <c r="A141" s="57" t="s">
        <v>694</v>
      </c>
      <c r="B141" s="57" t="s">
        <v>292</v>
      </c>
      <c r="C141" s="57" t="s">
        <v>127</v>
      </c>
      <c r="D141" s="57" t="s">
        <v>150</v>
      </c>
      <c r="E141" s="63" t="s">
        <v>544</v>
      </c>
      <c r="F141">
        <v>33935765</v>
      </c>
      <c r="G141" s="776">
        <f t="shared" si="2"/>
        <v>10180729.5</v>
      </c>
    </row>
    <row r="142" spans="1:7">
      <c r="A142" s="57" t="s">
        <v>675</v>
      </c>
      <c r="B142" s="57" t="s">
        <v>155</v>
      </c>
      <c r="C142" s="57" t="s">
        <v>130</v>
      </c>
      <c r="D142" s="57" t="s">
        <v>152</v>
      </c>
      <c r="E142" s="57" t="s">
        <v>541</v>
      </c>
      <c r="F142">
        <v>111269</v>
      </c>
      <c r="G142" s="776">
        <f t="shared" si="2"/>
        <v>33380.699999999997</v>
      </c>
    </row>
    <row r="143" spans="1:7">
      <c r="A143" s="57" t="s">
        <v>696</v>
      </c>
      <c r="B143" s="57" t="s">
        <v>294</v>
      </c>
      <c r="C143" s="57" t="s">
        <v>130</v>
      </c>
      <c r="D143" s="55" t="s">
        <v>322</v>
      </c>
      <c r="E143" s="63" t="s">
        <v>544</v>
      </c>
      <c r="F143">
        <v>28704947</v>
      </c>
      <c r="G143" s="776">
        <f t="shared" si="2"/>
        <v>8611484.0999999996</v>
      </c>
    </row>
    <row r="144" spans="1:7">
      <c r="A144" s="57" t="s">
        <v>697</v>
      </c>
      <c r="B144" s="57" t="s">
        <v>295</v>
      </c>
      <c r="C144" s="57" t="s">
        <v>126</v>
      </c>
      <c r="D144" s="57" t="s">
        <v>150</v>
      </c>
      <c r="E144" s="63" t="s">
        <v>544</v>
      </c>
      <c r="F144">
        <v>98168829</v>
      </c>
      <c r="G144" s="776">
        <f t="shared" si="2"/>
        <v>29450648.699999999</v>
      </c>
    </row>
    <row r="145" spans="1:7">
      <c r="A145" s="57" t="s">
        <v>695</v>
      </c>
      <c r="B145" s="57" t="s">
        <v>293</v>
      </c>
      <c r="C145" s="57" t="s">
        <v>126</v>
      </c>
      <c r="D145" s="57" t="s">
        <v>150</v>
      </c>
      <c r="E145" s="57" t="s">
        <v>541</v>
      </c>
      <c r="F145">
        <v>314464</v>
      </c>
      <c r="G145" s="776">
        <f t="shared" si="2"/>
        <v>94339.199999999997</v>
      </c>
    </row>
    <row r="146" spans="1:7">
      <c r="A146" s="57" t="s">
        <v>662</v>
      </c>
      <c r="B146" s="57" t="s">
        <v>265</v>
      </c>
      <c r="C146" s="57" t="s">
        <v>126</v>
      </c>
      <c r="D146" s="57" t="s">
        <v>150</v>
      </c>
      <c r="E146" s="57" t="s">
        <v>541</v>
      </c>
      <c r="F146">
        <v>200144</v>
      </c>
      <c r="G146" s="776">
        <f t="shared" si="2"/>
        <v>60043.199999999997</v>
      </c>
    </row>
    <row r="147" spans="1:7">
      <c r="A147" s="57" t="s">
        <v>621</v>
      </c>
      <c r="B147" s="57" t="s">
        <v>225</v>
      </c>
      <c r="C147" s="57" t="s">
        <v>127</v>
      </c>
      <c r="D147" s="57" t="s">
        <v>152</v>
      </c>
      <c r="E147" s="63" t="s">
        <v>544</v>
      </c>
      <c r="F147">
        <v>1794000</v>
      </c>
      <c r="G147" s="776">
        <f t="shared" si="2"/>
        <v>538200</v>
      </c>
    </row>
    <row r="148" spans="1:7">
      <c r="A148" s="57" t="s">
        <v>698</v>
      </c>
      <c r="B148" s="57" t="s">
        <v>296</v>
      </c>
      <c r="C148" s="57" t="s">
        <v>131</v>
      </c>
      <c r="D148" s="57" t="s">
        <v>148</v>
      </c>
      <c r="E148" s="63" t="s">
        <v>544</v>
      </c>
      <c r="F148">
        <v>30490639</v>
      </c>
      <c r="G148" s="776">
        <f t="shared" si="2"/>
        <v>9147191.6999999993</v>
      </c>
    </row>
    <row r="149" spans="1:7">
      <c r="A149" s="57" t="s">
        <v>670</v>
      </c>
      <c r="B149" s="57" t="s">
        <v>272</v>
      </c>
      <c r="C149" s="57" t="s">
        <v>128</v>
      </c>
      <c r="D149" s="57" t="s">
        <v>152</v>
      </c>
      <c r="E149" s="63" t="s">
        <v>544</v>
      </c>
      <c r="F149">
        <v>60041996</v>
      </c>
      <c r="G149" s="776">
        <f t="shared" si="2"/>
        <v>18012598.800000001</v>
      </c>
    </row>
    <row r="150" spans="1:7">
      <c r="A150" s="61" t="s">
        <v>699</v>
      </c>
      <c r="B150" s="61" t="s">
        <v>297</v>
      </c>
      <c r="C150" s="61" t="s">
        <v>128</v>
      </c>
      <c r="D150" s="61" t="s">
        <v>150</v>
      </c>
      <c r="E150" s="63" t="s">
        <v>544</v>
      </c>
      <c r="F150">
        <v>18920657</v>
      </c>
      <c r="G150" s="776">
        <f t="shared" si="2"/>
        <v>5676197.0999999996</v>
      </c>
    </row>
    <row r="151" spans="1:7">
      <c r="A151" s="55" t="s">
        <v>700</v>
      </c>
      <c r="B151" s="55" t="s">
        <v>298</v>
      </c>
      <c r="C151" s="55" t="s">
        <v>128</v>
      </c>
      <c r="D151" s="55" t="s">
        <v>150</v>
      </c>
      <c r="E151" s="63" t="s">
        <v>544</v>
      </c>
      <c r="F151">
        <v>15092171</v>
      </c>
      <c r="G151" s="776">
        <f t="shared" si="2"/>
        <v>4527651.3</v>
      </c>
    </row>
    <row r="158" spans="1:7">
      <c r="A158" s="53">
        <v>1</v>
      </c>
      <c r="B158" s="53">
        <v>2</v>
      </c>
      <c r="C158" s="53">
        <v>3</v>
      </c>
      <c r="D158" s="53">
        <v>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dimension ref="A1:E33"/>
  <sheetViews>
    <sheetView zoomScale="90" zoomScaleNormal="90" workbookViewId="0">
      <selection activeCell="L36" sqref="L36"/>
    </sheetView>
  </sheetViews>
  <sheetFormatPr defaultColWidth="8.58203125" defaultRowHeight="14.5"/>
  <cols>
    <col min="1" max="1" width="27.83203125" style="656" customWidth="1"/>
    <col min="2" max="2" width="12.5" style="655" bestFit="1" customWidth="1"/>
    <col min="3" max="3" width="13" style="656" customWidth="1"/>
    <col min="4" max="4" width="8.58203125" style="656"/>
    <col min="5" max="5" width="11.58203125" style="656" bestFit="1" customWidth="1"/>
    <col min="6" max="16384" width="8.58203125" style="656"/>
  </cols>
  <sheetData>
    <row r="1" spans="1:4">
      <c r="A1" s="654" t="s">
        <v>1870</v>
      </c>
    </row>
    <row r="3" spans="1:4" ht="15" thickBot="1">
      <c r="A3" s="656" t="s">
        <v>432</v>
      </c>
      <c r="B3" s="657" t="s">
        <v>358</v>
      </c>
      <c r="C3" s="658" t="s">
        <v>525</v>
      </c>
      <c r="D3" s="656" t="s">
        <v>432</v>
      </c>
    </row>
    <row r="4" spans="1:4">
      <c r="A4" s="656" t="s">
        <v>547</v>
      </c>
      <c r="B4" s="655" t="s">
        <v>162</v>
      </c>
      <c r="C4" s="659">
        <v>191000</v>
      </c>
      <c r="D4" s="656" t="str">
        <f>VLOOKUP(B4,'[7]Country codes'!$A$3:$B$150,2,FALSE)</f>
        <v>AGO</v>
      </c>
    </row>
    <row r="5" spans="1:4">
      <c r="A5" s="656" t="s">
        <v>598</v>
      </c>
      <c r="B5" s="655" t="s">
        <v>203</v>
      </c>
      <c r="C5" s="659">
        <v>3158000</v>
      </c>
      <c r="D5" s="656" t="str">
        <f>VLOOKUP(B5,'[7]Country codes'!$A$3:$B$150,2,FALSE)</f>
        <v>ETH</v>
      </c>
    </row>
    <row r="6" spans="1:4">
      <c r="A6" s="656" t="s">
        <v>603</v>
      </c>
      <c r="B6" s="655" t="s">
        <v>208</v>
      </c>
      <c r="C6" s="659">
        <v>223000</v>
      </c>
      <c r="D6" s="656" t="str">
        <f>VLOOKUP(B6,'[7]Country codes'!$A$3:$B$150,2,FALSE)</f>
        <v>GHA</v>
      </c>
    </row>
    <row r="7" spans="1:4">
      <c r="A7" s="656" t="s">
        <v>618</v>
      </c>
      <c r="B7" s="655" t="s">
        <v>222</v>
      </c>
      <c r="C7" s="659">
        <v>2702000</v>
      </c>
      <c r="D7" s="656" t="str">
        <f>VLOOKUP(B7,'[7]Country codes'!$A$3:$B$150,2,FALSE)</f>
        <v>KEN</v>
      </c>
    </row>
    <row r="8" spans="1:4">
      <c r="A8" s="656" t="s">
        <v>557</v>
      </c>
      <c r="B8" s="655" t="s">
        <v>167</v>
      </c>
      <c r="C8" s="659">
        <v>1074000</v>
      </c>
      <c r="D8" s="656" t="str">
        <f>VLOOKUP(B8,'[7]Country codes'!$A$3:$B$150,2,FALSE)</f>
        <v>BGD</v>
      </c>
    </row>
    <row r="9" spans="1:4">
      <c r="A9" s="656" t="s">
        <v>569</v>
      </c>
      <c r="B9" s="655" t="s">
        <v>177</v>
      </c>
      <c r="C9" s="659">
        <v>2736000</v>
      </c>
      <c r="D9" s="656" t="str">
        <f>VLOOKUP(B9,'[7]Country codes'!$A$3:$B$150,2,FALSE)</f>
        <v>BFA</v>
      </c>
    </row>
    <row r="10" spans="1:4">
      <c r="A10" s="656" t="s">
        <v>586</v>
      </c>
      <c r="B10" s="656" t="s">
        <v>192</v>
      </c>
      <c r="C10" s="659">
        <v>1500000</v>
      </c>
      <c r="D10" s="656" t="str">
        <f>VLOOKUP(B10,'[7]Country codes'!$A$3:$B$150,2,FALSE)</f>
        <v>CIV</v>
      </c>
    </row>
    <row r="11" spans="1:4">
      <c r="A11" s="656" t="s">
        <v>581</v>
      </c>
      <c r="B11" s="656" t="s">
        <v>188</v>
      </c>
      <c r="C11" s="659">
        <v>850000</v>
      </c>
      <c r="D11" s="656" t="str">
        <f>VLOOKUP(B11,'[7]Country codes'!$A$3:$B$150,2,FALSE)</f>
        <v>COD</v>
      </c>
    </row>
    <row r="12" spans="1:4">
      <c r="A12" s="656" t="s">
        <v>623</v>
      </c>
      <c r="B12" s="656" t="s">
        <v>227</v>
      </c>
      <c r="C12" s="659">
        <v>248000</v>
      </c>
      <c r="D12" s="656" t="str">
        <f>VLOOKUP(B12,'[7]Country codes'!$A$3:$B$150,2,FALSE)</f>
        <v>LAO</v>
      </c>
    </row>
    <row r="13" spans="1:4">
      <c r="A13" s="656" t="s">
        <v>572</v>
      </c>
      <c r="B13" s="655" t="s">
        <v>180</v>
      </c>
      <c r="C13" s="659">
        <v>354000</v>
      </c>
      <c r="D13" s="656" t="str">
        <f>VLOOKUP(B13,'[7]Country codes'!$A$3:$B$150,2,FALSE)</f>
        <v>KHM</v>
      </c>
    </row>
    <row r="14" spans="1:4">
      <c r="A14" s="656" t="s">
        <v>691</v>
      </c>
      <c r="B14" s="655" t="s">
        <v>289</v>
      </c>
      <c r="C14" s="659">
        <v>1106000</v>
      </c>
      <c r="D14" s="656" t="str">
        <f>VLOOKUP(B14,'[7]Country codes'!$A$3:$B$150,2,FALSE)</f>
        <v>UGA</v>
      </c>
    </row>
    <row r="15" spans="1:4">
      <c r="A15" s="656" t="s">
        <v>649</v>
      </c>
      <c r="B15" s="655" t="s">
        <v>253</v>
      </c>
      <c r="C15" s="659">
        <v>1714000</v>
      </c>
      <c r="D15" s="656" t="str">
        <f>VLOOKUP(B15,'[7]Country codes'!$A$3:$B$150,2,FALSE)</f>
        <v>NGA</v>
      </c>
    </row>
    <row r="16" spans="1:4">
      <c r="A16" s="656" t="s">
        <v>642</v>
      </c>
      <c r="B16" s="655" t="s">
        <v>246</v>
      </c>
      <c r="C16" s="659">
        <v>1328000</v>
      </c>
      <c r="D16" s="656" t="str">
        <f>VLOOKUP(B16,'[7]Country codes'!$A$3:$B$150,2,FALSE)</f>
        <v>MOZ</v>
      </c>
    </row>
    <row r="17" spans="1:5">
      <c r="A17" s="656" t="s">
        <v>651</v>
      </c>
      <c r="B17" s="655" t="s">
        <v>255</v>
      </c>
      <c r="C17" s="659">
        <v>697000</v>
      </c>
      <c r="D17" s="656" t="str">
        <f>VLOOKUP(B17,'[7]Country codes'!$A$3:$B$150,2,FALSE)</f>
        <v>PAK</v>
      </c>
      <c r="E17" s="676"/>
    </row>
    <row r="18" spans="1:5">
      <c r="A18" s="656" t="s">
        <v>670</v>
      </c>
      <c r="B18" s="655" t="s">
        <v>272</v>
      </c>
      <c r="C18" s="659">
        <v>987000</v>
      </c>
      <c r="D18" s="656" t="str">
        <f>VLOOKUP(B18,'[7]Country codes'!$A$3:$B$150,2,FALSE)</f>
        <v>ZAF</v>
      </c>
    </row>
    <row r="19" spans="1:5">
      <c r="A19" s="656" t="s">
        <v>700</v>
      </c>
      <c r="B19" s="655" t="s">
        <v>298</v>
      </c>
      <c r="C19" s="659">
        <v>100000</v>
      </c>
      <c r="D19" s="656" t="str">
        <f>VLOOKUP(B19,'[7]Country codes'!$A$3:$B$150,2,FALSE)</f>
        <v>ZWE</v>
      </c>
    </row>
    <row r="20" spans="1:5">
      <c r="A20" s="656" t="s">
        <v>619</v>
      </c>
      <c r="B20" s="655" t="s">
        <v>223</v>
      </c>
      <c r="C20" s="659">
        <v>99000</v>
      </c>
      <c r="D20" s="656" t="str">
        <f>VLOOKUP(B20,'[7]Country codes'!$A$3:$B$150,2,FALSE)</f>
        <v>KIR</v>
      </c>
    </row>
    <row r="21" spans="1:5">
      <c r="A21" s="656" t="s">
        <v>646</v>
      </c>
      <c r="B21" s="655" t="s">
        <v>250</v>
      </c>
      <c r="C21" s="659">
        <v>99000</v>
      </c>
      <c r="D21" s="656" t="str">
        <f>VLOOKUP(B21,'[7]Country codes'!$A$3:$B$150,2,FALSE)</f>
        <v>NPL</v>
      </c>
    </row>
    <row r="22" spans="1:5">
      <c r="A22" s="656" t="s">
        <v>540</v>
      </c>
      <c r="B22" s="655" t="s">
        <v>160</v>
      </c>
      <c r="C22" s="659">
        <v>99000</v>
      </c>
      <c r="D22" s="656" t="str">
        <f>VLOOKUP(B22,'[7]Country codes'!$A$3:$B$150,2,FALSE)</f>
        <v>AFG</v>
      </c>
    </row>
    <row r="23" spans="1:5">
      <c r="A23" s="656" t="s">
        <v>683</v>
      </c>
      <c r="B23" s="656" t="s">
        <v>281</v>
      </c>
      <c r="C23" s="659">
        <v>99000</v>
      </c>
      <c r="D23" s="656" t="str">
        <f>VLOOKUP(B23,'[7]Country codes'!$A$3:$B$150,2,FALSE)</f>
        <v>TLS</v>
      </c>
    </row>
    <row r="24" spans="1:5">
      <c r="A24" s="656" t="s">
        <v>657</v>
      </c>
      <c r="B24" s="655" t="s">
        <v>261</v>
      </c>
      <c r="C24" s="659">
        <v>99000</v>
      </c>
      <c r="D24" s="656" t="str">
        <f>VLOOKUP(B24,'[7]Country codes'!$A$3:$B$150,2,FALSE)</f>
        <v>PHL</v>
      </c>
    </row>
    <row r="25" spans="1:5">
      <c r="A25" s="656" t="s">
        <v>639</v>
      </c>
      <c r="B25" s="655" t="s">
        <v>243</v>
      </c>
      <c r="C25" s="659">
        <v>99000</v>
      </c>
      <c r="D25" s="656" t="str">
        <f>VLOOKUP(B25,'[7]Country codes'!$A$3:$B$150,2,FALSE)</f>
        <v>MNG</v>
      </c>
    </row>
    <row r="26" spans="1:5">
      <c r="A26" s="656" t="s">
        <v>611</v>
      </c>
      <c r="B26" s="655" t="s">
        <v>216</v>
      </c>
      <c r="C26" s="659">
        <v>81000</v>
      </c>
      <c r="D26" s="656" t="str">
        <f>VLOOKUP(B26,'[7]Country codes'!$A$3:$B$150,2,FALSE)</f>
        <v>IND</v>
      </c>
    </row>
    <row r="27" spans="1:5">
      <c r="A27" s="656" t="s">
        <v>609</v>
      </c>
      <c r="B27" s="655" t="s">
        <v>214</v>
      </c>
      <c r="C27" s="659">
        <v>99000</v>
      </c>
      <c r="D27" s="656" t="str">
        <f>VLOOKUP(B27,'[7]Country codes'!$A$3:$B$150,2,FALSE)</f>
        <v>HTI</v>
      </c>
    </row>
    <row r="28" spans="1:5">
      <c r="A28" s="656" t="e">
        <v>#N/A</v>
      </c>
      <c r="B28" s="655" t="s">
        <v>1871</v>
      </c>
      <c r="C28" s="659">
        <v>6710000</v>
      </c>
      <c r="D28" s="656" t="e">
        <f>VLOOKUP(B28,'[7]Country codes'!$A$3:$B$150,2,FALSE)</f>
        <v>#N/A</v>
      </c>
    </row>
    <row r="29" spans="1:5">
      <c r="A29" s="656" t="e">
        <v>#N/A</v>
      </c>
      <c r="B29" s="655" t="s">
        <v>1872</v>
      </c>
      <c r="C29" s="659">
        <v>4740000</v>
      </c>
      <c r="D29" s="656" t="e">
        <f>VLOOKUP(B29,'[7]Country codes'!$A$3:$B$150,2,FALSE)</f>
        <v>#N/A</v>
      </c>
    </row>
    <row r="30" spans="1:5">
      <c r="A30" s="656" t="e">
        <v>#N/A</v>
      </c>
      <c r="B30" s="655" t="s">
        <v>1873</v>
      </c>
      <c r="C30" s="659">
        <v>225000</v>
      </c>
      <c r="D30" s="656" t="e">
        <f>VLOOKUP(B30,'[7]Country codes'!$A$3:$B$150,2,FALSE)</f>
        <v>#N/A</v>
      </c>
    </row>
    <row r="31" spans="1:5">
      <c r="A31" s="655"/>
      <c r="B31" s="659"/>
    </row>
    <row r="32" spans="1:5">
      <c r="A32" s="655" t="s">
        <v>1874</v>
      </c>
      <c r="B32" s="659">
        <v>31189000</v>
      </c>
    </row>
    <row r="33" spans="1:2">
      <c r="A33" s="655" t="s">
        <v>1875</v>
      </c>
      <c r="B33" s="660">
        <f>SUM(C28:C30)</f>
        <v>11675000</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dimension ref="A1:H26"/>
  <sheetViews>
    <sheetView zoomScale="80" zoomScaleNormal="80" workbookViewId="0">
      <selection activeCell="B5" sqref="B5"/>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77" t="s">
        <v>386</v>
      </c>
      <c r="B1" s="678" t="s">
        <v>1876</v>
      </c>
      <c r="C1" s="678" t="s">
        <v>1877</v>
      </c>
      <c r="D1" s="678" t="s">
        <v>96</v>
      </c>
      <c r="E1" s="678" t="s">
        <v>1878</v>
      </c>
      <c r="F1" s="678" t="s">
        <v>1879</v>
      </c>
      <c r="G1" s="679" t="s">
        <v>1880</v>
      </c>
      <c r="H1" s="678" t="s">
        <v>1881</v>
      </c>
    </row>
    <row r="2" spans="1:8">
      <c r="A2" s="1013" t="s">
        <v>1882</v>
      </c>
      <c r="B2" s="1014">
        <v>500000000</v>
      </c>
      <c r="C2" s="1015" t="s">
        <v>1056</v>
      </c>
      <c r="D2" s="1015" t="s">
        <v>1883</v>
      </c>
      <c r="E2" s="1015" t="s">
        <v>754</v>
      </c>
      <c r="F2" s="1015" t="s">
        <v>1884</v>
      </c>
      <c r="G2" s="1016"/>
      <c r="H2" s="1015"/>
    </row>
    <row r="3" spans="1:8">
      <c r="A3" s="1013" t="s">
        <v>1882</v>
      </c>
      <c r="B3" s="1017">
        <v>653000000</v>
      </c>
      <c r="C3" s="1018" t="s">
        <v>1057</v>
      </c>
      <c r="D3" s="1015" t="s">
        <v>1883</v>
      </c>
      <c r="E3" s="1015" t="s">
        <v>754</v>
      </c>
      <c r="F3" s="1018" t="s">
        <v>1884</v>
      </c>
      <c r="G3" s="1019"/>
      <c r="H3" s="1018"/>
    </row>
    <row r="4" spans="1:8">
      <c r="A4" s="1020" t="s">
        <v>1885</v>
      </c>
      <c r="B4" s="1017">
        <v>370000000</v>
      </c>
      <c r="C4" s="1018" t="s">
        <v>1057</v>
      </c>
      <c r="D4" s="1018" t="s">
        <v>756</v>
      </c>
      <c r="E4" s="1018" t="s">
        <v>757</v>
      </c>
      <c r="F4" s="1018" t="s">
        <v>1884</v>
      </c>
      <c r="G4" s="1019"/>
      <c r="H4" s="680" t="s">
        <v>1886</v>
      </c>
    </row>
    <row r="5" spans="1:8">
      <c r="A5" s="1020" t="s">
        <v>1885</v>
      </c>
      <c r="B5" s="1017">
        <v>36080554.690000005</v>
      </c>
      <c r="C5" s="1018" t="s">
        <v>1057</v>
      </c>
      <c r="D5" s="1018" t="s">
        <v>338</v>
      </c>
      <c r="E5" s="1018" t="s">
        <v>104</v>
      </c>
      <c r="F5" s="1018" t="s">
        <v>745</v>
      </c>
      <c r="G5" s="1019"/>
      <c r="H5" s="1018"/>
    </row>
    <row r="6" spans="1:8">
      <c r="A6" s="1020"/>
      <c r="B6" s="1017"/>
      <c r="C6" s="1018"/>
      <c r="D6" s="1018"/>
      <c r="E6" s="1018"/>
      <c r="F6" s="1018"/>
      <c r="G6" s="1019"/>
      <c r="H6" s="1018"/>
    </row>
    <row r="7" spans="1:8">
      <c r="A7" s="1020"/>
      <c r="B7" s="1017"/>
      <c r="C7" s="1018"/>
      <c r="D7" s="1018"/>
      <c r="E7" s="1018"/>
      <c r="F7" s="1018"/>
      <c r="G7" s="1019"/>
      <c r="H7" s="1018"/>
    </row>
    <row r="8" spans="1:8">
      <c r="A8" s="1020"/>
      <c r="B8" s="1017"/>
      <c r="C8" s="1018"/>
      <c r="D8" s="1018"/>
      <c r="E8" s="1018"/>
      <c r="F8" s="1018"/>
      <c r="G8" s="1019"/>
      <c r="H8" s="1018"/>
    </row>
    <row r="9" spans="1:8">
      <c r="A9" s="1020"/>
      <c r="B9" s="1017"/>
      <c r="C9" s="1018"/>
      <c r="D9" s="1018"/>
      <c r="E9" s="1018"/>
      <c r="F9" s="1018"/>
      <c r="G9" s="1019"/>
      <c r="H9" s="1018"/>
    </row>
    <row r="10" spans="1:8">
      <c r="A10" s="1020"/>
      <c r="B10" s="1017"/>
      <c r="C10" s="1018"/>
      <c r="D10" s="1018"/>
      <c r="E10" s="1018"/>
      <c r="F10" s="1018"/>
      <c r="G10" s="1019"/>
      <c r="H10" s="1018"/>
    </row>
    <row r="11" spans="1:8">
      <c r="A11" s="1020"/>
      <c r="B11" s="1017"/>
      <c r="C11" s="1018"/>
      <c r="D11" s="1018"/>
      <c r="E11" s="1018"/>
      <c r="F11" s="1018"/>
      <c r="G11" s="1019"/>
      <c r="H11" s="1018"/>
    </row>
    <row r="12" spans="1:8">
      <c r="A12" s="1020"/>
      <c r="B12" s="1017"/>
      <c r="C12" s="1018"/>
      <c r="D12" s="1018"/>
      <c r="E12" s="1018"/>
      <c r="F12" s="1018"/>
      <c r="G12" s="1019"/>
      <c r="H12" s="1018"/>
    </row>
    <row r="13" spans="1:8">
      <c r="A13" s="1020"/>
      <c r="B13" s="1017"/>
      <c r="C13" s="1018"/>
      <c r="D13" s="1018"/>
      <c r="E13" s="1018"/>
      <c r="F13" s="1018"/>
      <c r="G13" s="1019"/>
      <c r="H13" s="1018"/>
    </row>
    <row r="14" spans="1:8">
      <c r="A14" s="1020"/>
      <c r="B14" s="1017"/>
      <c r="C14" s="1018"/>
      <c r="D14" s="1018"/>
      <c r="E14" s="1018"/>
      <c r="F14" s="1018"/>
      <c r="G14" s="1019"/>
      <c r="H14" s="1018"/>
    </row>
    <row r="15" spans="1:8">
      <c r="A15" s="1020"/>
      <c r="B15" s="1017"/>
      <c r="C15" s="1018"/>
      <c r="D15" s="1018"/>
      <c r="E15" s="1018"/>
      <c r="F15" s="1018"/>
      <c r="G15" s="1019"/>
      <c r="H15" s="1018"/>
    </row>
    <row r="16" spans="1:8">
      <c r="A16" s="1020"/>
      <c r="B16" s="1017"/>
      <c r="C16" s="1018"/>
      <c r="D16" s="1018"/>
      <c r="E16" s="1018"/>
      <c r="F16" s="1018"/>
      <c r="G16" s="1019"/>
      <c r="H16" s="1018"/>
    </row>
    <row r="17" spans="1:8">
      <c r="A17" s="1020"/>
      <c r="B17" s="1017"/>
      <c r="C17" s="1018"/>
      <c r="D17" s="1018"/>
      <c r="E17" s="1018"/>
      <c r="F17" s="1018"/>
      <c r="G17" s="1019"/>
      <c r="H17" s="1018"/>
    </row>
    <row r="18" spans="1:8">
      <c r="A18" s="1020"/>
      <c r="B18" s="1017"/>
      <c r="C18" s="1018"/>
      <c r="D18" s="1018"/>
      <c r="E18" s="1018"/>
      <c r="F18" s="1018"/>
      <c r="G18" s="1019"/>
      <c r="H18" s="1018"/>
    </row>
    <row r="19" spans="1:8">
      <c r="A19" s="1020"/>
      <c r="B19" s="1017"/>
      <c r="C19" s="1018"/>
      <c r="D19" s="1018"/>
      <c r="E19" s="1018"/>
      <c r="F19" s="1018"/>
      <c r="G19" s="1019"/>
      <c r="H19" s="1018"/>
    </row>
    <row r="20" spans="1:8">
      <c r="A20" s="1020"/>
      <c r="B20" s="1017"/>
      <c r="C20" s="1018"/>
      <c r="D20" s="1018"/>
      <c r="E20" s="1018"/>
      <c r="F20" s="1018"/>
      <c r="G20" s="1019"/>
      <c r="H20" s="1018"/>
    </row>
    <row r="21" spans="1:8">
      <c r="A21" s="1020"/>
      <c r="B21" s="1017"/>
      <c r="C21" s="1018"/>
      <c r="D21" s="1018"/>
      <c r="E21" s="1018"/>
      <c r="F21" s="1018"/>
      <c r="G21" s="1019"/>
      <c r="H21" s="1018"/>
    </row>
    <row r="22" spans="1:8">
      <c r="A22" s="1020"/>
      <c r="B22" s="1017"/>
      <c r="C22" s="1018"/>
      <c r="D22" s="1018"/>
      <c r="E22" s="1018"/>
      <c r="F22" s="1018"/>
      <c r="G22" s="1019"/>
      <c r="H22" s="1018"/>
    </row>
    <row r="23" spans="1:8">
      <c r="A23" s="1020"/>
      <c r="B23" s="1017"/>
      <c r="C23" s="1018"/>
      <c r="D23" s="1018"/>
      <c r="E23" s="1018"/>
      <c r="F23" s="1018"/>
      <c r="G23" s="1019"/>
      <c r="H23" s="1018"/>
    </row>
    <row r="24" spans="1:8">
      <c r="A24" s="1020"/>
      <c r="B24" s="1017"/>
      <c r="C24" s="1018"/>
      <c r="D24" s="1018"/>
      <c r="E24" s="1018"/>
      <c r="F24" s="1018"/>
      <c r="G24" s="1019"/>
      <c r="H24" s="1018"/>
    </row>
    <row r="25" spans="1:8">
      <c r="A25" s="1020"/>
      <c r="B25" s="1017"/>
      <c r="C25" s="1018"/>
      <c r="D25" s="1018"/>
      <c r="E25" s="1018"/>
      <c r="F25" s="1018"/>
      <c r="G25" s="1019"/>
      <c r="H25" s="1018"/>
    </row>
    <row r="26" spans="1:8" ht="16" thickBot="1">
      <c r="A26" s="1021"/>
      <c r="B26" s="1022"/>
      <c r="C26" s="1023"/>
      <c r="D26" s="1023"/>
      <c r="E26" s="1023"/>
      <c r="F26" s="1018"/>
      <c r="G26" s="1024"/>
      <c r="H26" s="1023"/>
    </row>
  </sheetData>
  <hyperlinks>
    <hyperlink ref="H4" r:id="rId1" xr:uid="{1B58F6D4-9EBC-4253-8802-FB1E1FBA5005}"/>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SharedWithUsers>
    <MediaLengthInSeconds xmlns="b370a6fa-a798-42e0-969d-19c284d8683f" xsi:nil="true"/>
  </documentManagement>
</p:properties>
</file>

<file path=customXml/itemProps1.xml><?xml version="1.0" encoding="utf-8"?>
<ds:datastoreItem xmlns:ds="http://schemas.openxmlformats.org/officeDocument/2006/customXml" ds:itemID="{6D67BE16-BF22-4F44-9729-BA65640B6908}">
  <ds:schemaRefs>
    <ds:schemaRef ds:uri="http://schemas.microsoft.com/DataMashup"/>
  </ds:schemaRefs>
</ds:datastoreItem>
</file>

<file path=customXml/itemProps2.xml><?xml version="1.0" encoding="utf-8"?>
<ds:datastoreItem xmlns:ds="http://schemas.openxmlformats.org/officeDocument/2006/customXml" ds:itemID="{8ECB4B7E-FE81-44BA-98C0-3F52BC00EB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4.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4d734418-5f83-46ba-93f9-144784262766"/>
    <ds:schemaRef ds:uri="62ca1376-8bea-4949-825e-fec085c3924e"/>
    <ds:schemaRef ds:uri="b370a6fa-a798-42e0-969d-19c284d868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61</vt:i4>
      </vt:variant>
    </vt:vector>
  </HeadingPairs>
  <TitlesOfParts>
    <vt:vector size="98" baseType="lpstr">
      <vt:lpstr>Data Sources</vt:lpstr>
      <vt:lpstr>Funding Delivery Channel</vt:lpstr>
      <vt:lpstr>Dashboard</vt:lpstr>
      <vt:lpstr>Global DB</vt:lpstr>
      <vt:lpstr>Regional DB</vt:lpstr>
      <vt:lpstr>Summary</vt:lpstr>
      <vt:lpstr>Matrix Allocations</vt:lpstr>
      <vt:lpstr>CDS Needs-based</vt:lpstr>
      <vt:lpstr>Sheet2</vt:lpstr>
      <vt:lpstr>Data Structure</vt:lpstr>
      <vt:lpstr>Regional Pivot</vt:lpstr>
      <vt:lpstr>DFAT</vt:lpstr>
      <vt:lpstr>Matrix</vt:lpstr>
      <vt:lpstr>Delivery Table</vt:lpstr>
      <vt:lpstr>ADB Projects</vt:lpstr>
      <vt:lpstr>Reference</vt:lpstr>
      <vt:lpstr>IsDB Projects</vt:lpstr>
      <vt:lpstr>USAID</vt:lpstr>
      <vt:lpstr>Primary Delivery Channel</vt:lpstr>
      <vt:lpstr>WB projects data</vt:lpstr>
      <vt:lpstr>WB pijects overview</vt:lpstr>
      <vt:lpstr>WB Approved projects</vt:lpstr>
      <vt:lpstr>PID</vt:lpstr>
      <vt:lpstr>WB Financing Data</vt:lpstr>
      <vt:lpstr>IDB C19 Vaccine Projects</vt:lpstr>
      <vt:lpstr>GAVI CCE</vt:lpstr>
      <vt:lpstr>CDS EAW</vt:lpstr>
      <vt:lpstr>CDS early access ceilings</vt:lpstr>
      <vt:lpstr>Vaccines donations</vt:lpstr>
      <vt:lpstr>CDS NBW</vt:lpstr>
      <vt:lpstr>UNICEF-BMZ</vt:lpstr>
      <vt:lpstr>DB(3) Pivots</vt:lpstr>
      <vt:lpstr>DB(1) Pivots</vt:lpstr>
      <vt:lpstr>DB(2) Pivots</vt:lpstr>
      <vt:lpstr>Country Ref</vt:lpstr>
      <vt:lpstr>BMGF_clean data</vt:lpstr>
      <vt:lpstr>Unallocated Funding</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cdsa</vt:lpstr>
      <vt:lpstr>cdsd</vt:lpstr>
      <vt:lpstr>cdsiso</vt:lpstr>
      <vt:lpstr>cdsstat</vt:lpstr>
      <vt:lpstr>cdsuni</vt:lpstr>
      <vt:lpstr>cdsvd</vt:lpstr>
      <vt:lpstr>czevd</vt:lpstr>
      <vt:lpstr>DATA</vt:lpstr>
      <vt:lpstr>debtd</vt:lpstr>
      <vt:lpstr>echovd</vt:lpstr>
      <vt:lpstr>elmavd</vt:lpstr>
      <vt:lpstr>gaavd</vt:lpstr>
      <vt:lpstr>gbfvd</vt:lpstr>
      <vt:lpstr>GGHE</vt:lpstr>
      <vt:lpstr>goff</vt:lpstr>
      <vt:lpstr>gtauvd</vt:lpstr>
      <vt:lpstr>gtawvd</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2022-10-13T11:27:08Z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141800</vt:r8>
  </property>
  <property fmtid="{D5CDD505-2E9C-101B-9397-08002B2CF9AE}" pid="14" name="xd_Signature">
    <vt:bool>false</vt:bool>
  </property>
  <property fmtid="{D5CDD505-2E9C-101B-9397-08002B2CF9AE}" pid="15" name="xd_ProgID">
    <vt:lpwstr/>
  </property>
  <property fmtid="{D5CDD505-2E9C-101B-9397-08002B2CF9AE}" pid="16" name="_SourceUrl">
    <vt:lpwstr/>
  </property>
  <property fmtid="{D5CDD505-2E9C-101B-9397-08002B2CF9AE}" pid="17" name="_SharedFileIndex">
    <vt:lpwstr/>
  </property>
  <property fmtid="{D5CDD505-2E9C-101B-9397-08002B2CF9AE}" pid="18" name="TemplateUrl">
    <vt:lpwstr/>
  </property>
  <property fmtid="{D5CDD505-2E9C-101B-9397-08002B2CF9AE}" pid="19" name="TriggerFlowInfo">
    <vt:lpwstr/>
  </property>
</Properties>
</file>